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3CD0CC8-A8EE-408C-8DE7-235716A262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ƯỚNG DẪN NHẬP LIỆU" sheetId="1" r:id="rId1"/>
    <sheet name="Tổng hợp" sheetId="2" r:id="rId2"/>
    <sheet name="HSK1 (3.0)" sheetId="3" r:id="rId3"/>
    <sheet name="HSK2 (3.0)" sheetId="4" r:id="rId4"/>
    <sheet name="HSK2 (3.0) test" sheetId="5" state="hidden" r:id="rId5"/>
    <sheet name="HSK3 (3.0)" sheetId="6" r:id="rId6"/>
    <sheet name="HSK2 cũ" sheetId="7" state="hidden" r:id="rId7"/>
    <sheet name="HSK 3 (3.0) test" sheetId="8" state="hidden" r:id="rId8"/>
    <sheet name="HSK3 cũ" sheetId="9" state="hidden" r:id="rId9"/>
    <sheet name="HSK4 cũ" sheetId="10" state="hidden" r:id="rId10"/>
    <sheet name="HSK1 cũ" sheetId="11" state="hidden" r:id="rId11"/>
    <sheet name="HSK5 cũ" sheetId="12" state="hidden" r:id="rId12"/>
  </sheets>
  <definedNames>
    <definedName name="_xlnm._FilterDatabase" localSheetId="4" hidden="1">'HSK2 (3.0) test'!$A$1:$N$215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2" i="8" l="1"/>
  <c r="M275" i="8"/>
  <c r="L238" i="8"/>
  <c r="H230" i="8"/>
  <c r="E208" i="8"/>
  <c r="G204" i="8"/>
  <c r="M186" i="8"/>
  <c r="M184" i="8"/>
  <c r="G171" i="8"/>
  <c r="K168" i="8"/>
  <c r="G157" i="8"/>
  <c r="M154" i="8"/>
  <c r="H143" i="8"/>
  <c r="J141" i="8"/>
  <c r="E130" i="8"/>
  <c r="K127" i="8"/>
  <c r="L117" i="8"/>
  <c r="F116" i="8"/>
  <c r="L109" i="8"/>
  <c r="J108" i="8"/>
  <c r="G104" i="8"/>
  <c r="E103" i="8"/>
  <c r="M99" i="8"/>
  <c r="K98" i="8"/>
  <c r="M95" i="8"/>
  <c r="I95" i="8"/>
  <c r="K92" i="8"/>
  <c r="K91" i="8"/>
  <c r="L89" i="8"/>
  <c r="M88" i="8"/>
  <c r="E87" i="8"/>
  <c r="G86" i="8"/>
  <c r="I84" i="8"/>
  <c r="J83" i="8"/>
  <c r="M81" i="8"/>
  <c r="D81" i="8"/>
  <c r="G79" i="8"/>
  <c r="H78" i="8"/>
  <c r="K76" i="8"/>
  <c r="L75" i="8"/>
  <c r="D74" i="8"/>
  <c r="F73" i="8"/>
  <c r="I71" i="8"/>
  <c r="L70" i="8"/>
  <c r="E69" i="8"/>
  <c r="M68" i="8"/>
  <c r="K66" i="8"/>
  <c r="I66" i="8"/>
  <c r="M64" i="8"/>
  <c r="E64" i="8"/>
  <c r="I62" i="8"/>
  <c r="G62" i="8"/>
  <c r="E60" i="8"/>
  <c r="M59" i="8"/>
  <c r="K57" i="8"/>
  <c r="I57" i="8"/>
  <c r="M55" i="8"/>
  <c r="F55" i="8"/>
  <c r="K53" i="8"/>
  <c r="I53" i="8"/>
  <c r="I51" i="8"/>
  <c r="G51" i="8"/>
  <c r="L49" i="8"/>
  <c r="E49" i="8"/>
  <c r="J47" i="8"/>
  <c r="H47" i="8"/>
  <c r="H45" i="8"/>
  <c r="F45" i="8"/>
  <c r="F43" i="8"/>
  <c r="D43" i="8"/>
  <c r="I41" i="8"/>
  <c r="L40" i="8"/>
  <c r="G39" i="8"/>
  <c r="F39" i="8"/>
  <c r="E39" i="8"/>
  <c r="E37" i="8"/>
  <c r="D37" i="8"/>
  <c r="M36" i="8"/>
  <c r="H35" i="8"/>
  <c r="L34" i="8"/>
  <c r="K34" i="8"/>
  <c r="G33" i="8"/>
  <c r="F33" i="8"/>
  <c r="E33" i="8"/>
  <c r="G31" i="8"/>
  <c r="F31" i="8"/>
  <c r="E31" i="8"/>
  <c r="K29" i="8"/>
  <c r="J29" i="8"/>
  <c r="I29" i="8"/>
  <c r="K27" i="8"/>
  <c r="J27" i="8"/>
  <c r="I27" i="8"/>
  <c r="E26" i="8"/>
  <c r="D26" i="8"/>
  <c r="M25" i="8"/>
  <c r="E24" i="8"/>
  <c r="D24" i="8"/>
  <c r="M23" i="8"/>
  <c r="I22" i="8"/>
  <c r="H22" i="8"/>
  <c r="G22" i="8"/>
  <c r="I20" i="8"/>
  <c r="H20" i="8"/>
  <c r="G20" i="8"/>
  <c r="M18" i="8"/>
  <c r="L18" i="8"/>
  <c r="K18" i="8"/>
  <c r="H17" i="8"/>
  <c r="M16" i="8"/>
  <c r="L16" i="8"/>
  <c r="K16" i="8"/>
  <c r="H15" i="8"/>
  <c r="G15" i="8"/>
  <c r="F15" i="8"/>
  <c r="E15" i="8"/>
  <c r="L13" i="8"/>
  <c r="G13" i="8"/>
  <c r="F13" i="8"/>
  <c r="E13" i="8"/>
  <c r="L11" i="8"/>
  <c r="K11" i="8"/>
  <c r="J11" i="8"/>
  <c r="I11" i="8"/>
  <c r="F10" i="8"/>
  <c r="K9" i="8"/>
  <c r="J9" i="8"/>
  <c r="I9" i="8"/>
  <c r="F8" i="8"/>
  <c r="E8" i="8"/>
  <c r="D8" i="8"/>
  <c r="M7" i="8"/>
  <c r="J6" i="8"/>
  <c r="E6" i="8"/>
  <c r="D6" i="8"/>
  <c r="M5" i="8"/>
  <c r="J4" i="8"/>
  <c r="I4" i="8"/>
  <c r="H4" i="8"/>
  <c r="G4" i="8"/>
  <c r="D3" i="8"/>
  <c r="I2" i="8"/>
  <c r="H2" i="8"/>
  <c r="G2" i="8"/>
  <c r="D2" i="8" a="1"/>
  <c r="M342" i="8" s="1"/>
  <c r="M188" i="5"/>
  <c r="M166" i="5"/>
  <c r="M145" i="5"/>
  <c r="K133" i="5"/>
  <c r="G125" i="5"/>
  <c r="K118" i="5"/>
  <c r="H112" i="5"/>
  <c r="E106" i="5"/>
  <c r="I99" i="5"/>
  <c r="G93" i="5"/>
  <c r="I88" i="5"/>
  <c r="K83" i="5"/>
  <c r="M78" i="5"/>
  <c r="F74" i="5"/>
  <c r="M69" i="5"/>
  <c r="J65" i="5"/>
  <c r="K62" i="5"/>
  <c r="E59" i="5"/>
  <c r="G56" i="5"/>
  <c r="K52" i="5"/>
  <c r="D50" i="5"/>
  <c r="H47" i="5"/>
  <c r="K44" i="5"/>
  <c r="E42" i="5"/>
  <c r="I39" i="5"/>
  <c r="M36" i="5"/>
  <c r="H34" i="5"/>
  <c r="E32" i="5"/>
  <c r="E30" i="5"/>
  <c r="M27" i="5"/>
  <c r="F26" i="5"/>
  <c r="D24" i="5"/>
  <c r="G22" i="5"/>
  <c r="E20" i="5"/>
  <c r="G18" i="5"/>
  <c r="G16" i="5"/>
  <c r="K14" i="5"/>
  <c r="K12" i="5"/>
  <c r="E11" i="5"/>
  <c r="E9" i="5"/>
  <c r="I7" i="5"/>
  <c r="I5" i="5"/>
  <c r="M3" i="5"/>
  <c r="D2" i="5" a="1"/>
  <c r="D2" i="5"/>
  <c r="M2712" i="2"/>
  <c r="L2712" i="2"/>
  <c r="K2712" i="2"/>
  <c r="J2712" i="2"/>
  <c r="H2712" i="2"/>
  <c r="G2712" i="2"/>
  <c r="F2712" i="2"/>
  <c r="E2712" i="2"/>
  <c r="D2712" i="2"/>
  <c r="C2712" i="2"/>
  <c r="A2712" i="2"/>
  <c r="M2711" i="2"/>
  <c r="L2711" i="2"/>
  <c r="K2711" i="2"/>
  <c r="J2711" i="2"/>
  <c r="H2711" i="2"/>
  <c r="G2711" i="2"/>
  <c r="F2711" i="2"/>
  <c r="E2711" i="2"/>
  <c r="D2711" i="2"/>
  <c r="C2711" i="2"/>
  <c r="A2711" i="2"/>
  <c r="M2710" i="2"/>
  <c r="L2710" i="2"/>
  <c r="K2710" i="2"/>
  <c r="J2710" i="2"/>
  <c r="H2710" i="2"/>
  <c r="G2710" i="2"/>
  <c r="F2710" i="2"/>
  <c r="E2710" i="2"/>
  <c r="D2710" i="2"/>
  <c r="C2710" i="2"/>
  <c r="A2710" i="2"/>
  <c r="M2709" i="2"/>
  <c r="L2709" i="2"/>
  <c r="K2709" i="2"/>
  <c r="J2709" i="2"/>
  <c r="H2709" i="2"/>
  <c r="G2709" i="2"/>
  <c r="F2709" i="2"/>
  <c r="E2709" i="2"/>
  <c r="D2709" i="2"/>
  <c r="C2709" i="2"/>
  <c r="A2709" i="2"/>
  <c r="M2708" i="2"/>
  <c r="L2708" i="2"/>
  <c r="K2708" i="2"/>
  <c r="J2708" i="2"/>
  <c r="H2708" i="2"/>
  <c r="G2708" i="2"/>
  <c r="F2708" i="2"/>
  <c r="E2708" i="2"/>
  <c r="D2708" i="2"/>
  <c r="C2708" i="2"/>
  <c r="A2708" i="2"/>
  <c r="M2707" i="2"/>
  <c r="L2707" i="2"/>
  <c r="K2707" i="2"/>
  <c r="J2707" i="2"/>
  <c r="H2707" i="2"/>
  <c r="G2707" i="2"/>
  <c r="F2707" i="2"/>
  <c r="E2707" i="2"/>
  <c r="D2707" i="2"/>
  <c r="C2707" i="2"/>
  <c r="A2707" i="2"/>
  <c r="M2706" i="2"/>
  <c r="L2706" i="2"/>
  <c r="K2706" i="2"/>
  <c r="J2706" i="2"/>
  <c r="H2706" i="2"/>
  <c r="G2706" i="2"/>
  <c r="F2706" i="2"/>
  <c r="E2706" i="2"/>
  <c r="D2706" i="2"/>
  <c r="C2706" i="2"/>
  <c r="A2706" i="2"/>
  <c r="M2705" i="2"/>
  <c r="L2705" i="2"/>
  <c r="K2705" i="2"/>
  <c r="J2705" i="2"/>
  <c r="H2705" i="2"/>
  <c r="G2705" i="2"/>
  <c r="F2705" i="2"/>
  <c r="E2705" i="2"/>
  <c r="D2705" i="2"/>
  <c r="C2705" i="2"/>
  <c r="A2705" i="2"/>
  <c r="M2704" i="2"/>
  <c r="L2704" i="2"/>
  <c r="K2704" i="2"/>
  <c r="J2704" i="2"/>
  <c r="H2704" i="2"/>
  <c r="G2704" i="2"/>
  <c r="F2704" i="2"/>
  <c r="E2704" i="2"/>
  <c r="D2704" i="2"/>
  <c r="C2704" i="2"/>
  <c r="A2704" i="2"/>
  <c r="M2703" i="2"/>
  <c r="L2703" i="2"/>
  <c r="K2703" i="2"/>
  <c r="J2703" i="2"/>
  <c r="H2703" i="2"/>
  <c r="G2703" i="2"/>
  <c r="F2703" i="2"/>
  <c r="E2703" i="2"/>
  <c r="D2703" i="2"/>
  <c r="C2703" i="2"/>
  <c r="A2703" i="2"/>
  <c r="M2702" i="2"/>
  <c r="L2702" i="2"/>
  <c r="K2702" i="2"/>
  <c r="J2702" i="2"/>
  <c r="H2702" i="2"/>
  <c r="G2702" i="2"/>
  <c r="F2702" i="2"/>
  <c r="E2702" i="2"/>
  <c r="D2702" i="2"/>
  <c r="C2702" i="2"/>
  <c r="A2702" i="2"/>
  <c r="M2701" i="2"/>
  <c r="L2701" i="2"/>
  <c r="K2701" i="2"/>
  <c r="J2701" i="2"/>
  <c r="H2701" i="2"/>
  <c r="G2701" i="2"/>
  <c r="F2701" i="2"/>
  <c r="E2701" i="2"/>
  <c r="D2701" i="2"/>
  <c r="C2701" i="2"/>
  <c r="A2701" i="2"/>
  <c r="M2700" i="2"/>
  <c r="L2700" i="2"/>
  <c r="K2700" i="2"/>
  <c r="J2700" i="2"/>
  <c r="H2700" i="2"/>
  <c r="G2700" i="2"/>
  <c r="F2700" i="2"/>
  <c r="E2700" i="2"/>
  <c r="D2700" i="2"/>
  <c r="C2700" i="2"/>
  <c r="A2700" i="2"/>
  <c r="M2699" i="2"/>
  <c r="L2699" i="2"/>
  <c r="K2699" i="2"/>
  <c r="J2699" i="2"/>
  <c r="H2699" i="2"/>
  <c r="G2699" i="2"/>
  <c r="F2699" i="2"/>
  <c r="E2699" i="2"/>
  <c r="D2699" i="2"/>
  <c r="C2699" i="2"/>
  <c r="A2699" i="2"/>
  <c r="M2698" i="2"/>
  <c r="L2698" i="2"/>
  <c r="K2698" i="2"/>
  <c r="J2698" i="2"/>
  <c r="H2698" i="2"/>
  <c r="G2698" i="2"/>
  <c r="F2698" i="2"/>
  <c r="E2698" i="2"/>
  <c r="D2698" i="2"/>
  <c r="C2698" i="2"/>
  <c r="A2698" i="2"/>
  <c r="M2697" i="2"/>
  <c r="L2697" i="2"/>
  <c r="K2697" i="2"/>
  <c r="J2697" i="2"/>
  <c r="H2697" i="2"/>
  <c r="G2697" i="2"/>
  <c r="F2697" i="2"/>
  <c r="E2697" i="2"/>
  <c r="D2697" i="2"/>
  <c r="C2697" i="2"/>
  <c r="A2697" i="2"/>
  <c r="M2696" i="2"/>
  <c r="L2696" i="2"/>
  <c r="K2696" i="2"/>
  <c r="J2696" i="2"/>
  <c r="H2696" i="2"/>
  <c r="G2696" i="2"/>
  <c r="F2696" i="2"/>
  <c r="E2696" i="2"/>
  <c r="D2696" i="2"/>
  <c r="C2696" i="2"/>
  <c r="A2696" i="2"/>
  <c r="M2695" i="2"/>
  <c r="L2695" i="2"/>
  <c r="K2695" i="2"/>
  <c r="J2695" i="2"/>
  <c r="H2695" i="2"/>
  <c r="G2695" i="2"/>
  <c r="F2695" i="2"/>
  <c r="E2695" i="2"/>
  <c r="D2695" i="2"/>
  <c r="C2695" i="2"/>
  <c r="A2695" i="2"/>
  <c r="M2694" i="2"/>
  <c r="L2694" i="2"/>
  <c r="K2694" i="2"/>
  <c r="J2694" i="2"/>
  <c r="H2694" i="2"/>
  <c r="G2694" i="2"/>
  <c r="F2694" i="2"/>
  <c r="E2694" i="2"/>
  <c r="D2694" i="2"/>
  <c r="C2694" i="2"/>
  <c r="A2694" i="2"/>
  <c r="M2693" i="2"/>
  <c r="L2693" i="2"/>
  <c r="K2693" i="2"/>
  <c r="J2693" i="2"/>
  <c r="H2693" i="2"/>
  <c r="G2693" i="2"/>
  <c r="F2693" i="2"/>
  <c r="E2693" i="2"/>
  <c r="D2693" i="2"/>
  <c r="C2693" i="2"/>
  <c r="A2693" i="2"/>
  <c r="M2692" i="2"/>
  <c r="L2692" i="2"/>
  <c r="K2692" i="2"/>
  <c r="J2692" i="2"/>
  <c r="H2692" i="2"/>
  <c r="G2692" i="2"/>
  <c r="F2692" i="2"/>
  <c r="E2692" i="2"/>
  <c r="D2692" i="2"/>
  <c r="C2692" i="2"/>
  <c r="A2692" i="2"/>
  <c r="M2691" i="2"/>
  <c r="L2691" i="2"/>
  <c r="K2691" i="2"/>
  <c r="J2691" i="2"/>
  <c r="H2691" i="2"/>
  <c r="G2691" i="2"/>
  <c r="F2691" i="2"/>
  <c r="E2691" i="2"/>
  <c r="D2691" i="2"/>
  <c r="C2691" i="2"/>
  <c r="A2691" i="2"/>
  <c r="M2690" i="2"/>
  <c r="L2690" i="2"/>
  <c r="K2690" i="2"/>
  <c r="J2690" i="2"/>
  <c r="H2690" i="2"/>
  <c r="G2690" i="2"/>
  <c r="F2690" i="2"/>
  <c r="E2690" i="2"/>
  <c r="D2690" i="2"/>
  <c r="C2690" i="2"/>
  <c r="A2690" i="2"/>
  <c r="M2689" i="2"/>
  <c r="L2689" i="2"/>
  <c r="K2689" i="2"/>
  <c r="J2689" i="2"/>
  <c r="H2689" i="2"/>
  <c r="G2689" i="2"/>
  <c r="F2689" i="2"/>
  <c r="E2689" i="2"/>
  <c r="D2689" i="2"/>
  <c r="C2689" i="2"/>
  <c r="A2689" i="2"/>
  <c r="M2688" i="2"/>
  <c r="L2688" i="2"/>
  <c r="K2688" i="2"/>
  <c r="J2688" i="2"/>
  <c r="H2688" i="2"/>
  <c r="G2688" i="2"/>
  <c r="F2688" i="2"/>
  <c r="E2688" i="2"/>
  <c r="D2688" i="2"/>
  <c r="C2688" i="2"/>
  <c r="A2688" i="2"/>
  <c r="M2687" i="2"/>
  <c r="L2687" i="2"/>
  <c r="K2687" i="2"/>
  <c r="J2687" i="2"/>
  <c r="H2687" i="2"/>
  <c r="G2687" i="2"/>
  <c r="F2687" i="2"/>
  <c r="E2687" i="2"/>
  <c r="D2687" i="2"/>
  <c r="C2687" i="2"/>
  <c r="A2687" i="2"/>
  <c r="M2686" i="2"/>
  <c r="L2686" i="2"/>
  <c r="K2686" i="2"/>
  <c r="J2686" i="2"/>
  <c r="H2686" i="2"/>
  <c r="G2686" i="2"/>
  <c r="F2686" i="2"/>
  <c r="E2686" i="2"/>
  <c r="D2686" i="2"/>
  <c r="C2686" i="2"/>
  <c r="A2686" i="2"/>
  <c r="M2685" i="2"/>
  <c r="L2685" i="2"/>
  <c r="K2685" i="2"/>
  <c r="J2685" i="2"/>
  <c r="H2685" i="2"/>
  <c r="G2685" i="2"/>
  <c r="F2685" i="2"/>
  <c r="E2685" i="2"/>
  <c r="D2685" i="2"/>
  <c r="C2685" i="2"/>
  <c r="A2685" i="2"/>
  <c r="M2684" i="2"/>
  <c r="L2684" i="2"/>
  <c r="K2684" i="2"/>
  <c r="J2684" i="2"/>
  <c r="H2684" i="2"/>
  <c r="G2684" i="2"/>
  <c r="F2684" i="2"/>
  <c r="E2684" i="2"/>
  <c r="D2684" i="2"/>
  <c r="C2684" i="2"/>
  <c r="A2684" i="2"/>
  <c r="M2683" i="2"/>
  <c r="L2683" i="2"/>
  <c r="K2683" i="2"/>
  <c r="J2683" i="2"/>
  <c r="H2683" i="2"/>
  <c r="G2683" i="2"/>
  <c r="F2683" i="2"/>
  <c r="E2683" i="2"/>
  <c r="D2683" i="2"/>
  <c r="C2683" i="2"/>
  <c r="A2683" i="2"/>
  <c r="M2682" i="2"/>
  <c r="L2682" i="2"/>
  <c r="K2682" i="2"/>
  <c r="J2682" i="2"/>
  <c r="H2682" i="2"/>
  <c r="G2682" i="2"/>
  <c r="F2682" i="2"/>
  <c r="E2682" i="2"/>
  <c r="D2682" i="2"/>
  <c r="C2682" i="2"/>
  <c r="A2682" i="2"/>
  <c r="M2681" i="2"/>
  <c r="L2681" i="2"/>
  <c r="K2681" i="2"/>
  <c r="J2681" i="2"/>
  <c r="H2681" i="2"/>
  <c r="G2681" i="2"/>
  <c r="F2681" i="2"/>
  <c r="E2681" i="2"/>
  <c r="D2681" i="2"/>
  <c r="C2681" i="2"/>
  <c r="A2681" i="2"/>
  <c r="M2680" i="2"/>
  <c r="L2680" i="2"/>
  <c r="K2680" i="2"/>
  <c r="J2680" i="2"/>
  <c r="H2680" i="2"/>
  <c r="G2680" i="2"/>
  <c r="F2680" i="2"/>
  <c r="E2680" i="2"/>
  <c r="D2680" i="2"/>
  <c r="C2680" i="2"/>
  <c r="A2680" i="2"/>
  <c r="M2679" i="2"/>
  <c r="L2679" i="2"/>
  <c r="K2679" i="2"/>
  <c r="J2679" i="2"/>
  <c r="H2679" i="2"/>
  <c r="G2679" i="2"/>
  <c r="F2679" i="2"/>
  <c r="E2679" i="2"/>
  <c r="D2679" i="2"/>
  <c r="C2679" i="2"/>
  <c r="A2679" i="2"/>
  <c r="M2678" i="2"/>
  <c r="L2678" i="2"/>
  <c r="K2678" i="2"/>
  <c r="J2678" i="2"/>
  <c r="H2678" i="2"/>
  <c r="G2678" i="2"/>
  <c r="F2678" i="2"/>
  <c r="E2678" i="2"/>
  <c r="D2678" i="2"/>
  <c r="C2678" i="2"/>
  <c r="A2678" i="2"/>
  <c r="M2677" i="2"/>
  <c r="L2677" i="2"/>
  <c r="K2677" i="2"/>
  <c r="J2677" i="2"/>
  <c r="H2677" i="2"/>
  <c r="G2677" i="2"/>
  <c r="F2677" i="2"/>
  <c r="E2677" i="2"/>
  <c r="D2677" i="2"/>
  <c r="C2677" i="2"/>
  <c r="A2677" i="2"/>
  <c r="M2676" i="2"/>
  <c r="L2676" i="2"/>
  <c r="K2676" i="2"/>
  <c r="J2676" i="2"/>
  <c r="H2676" i="2"/>
  <c r="G2676" i="2"/>
  <c r="F2676" i="2"/>
  <c r="E2676" i="2"/>
  <c r="D2676" i="2"/>
  <c r="C2676" i="2"/>
  <c r="A2676" i="2"/>
  <c r="M2675" i="2"/>
  <c r="L2675" i="2"/>
  <c r="K2675" i="2"/>
  <c r="J2675" i="2"/>
  <c r="H2675" i="2"/>
  <c r="G2675" i="2"/>
  <c r="F2675" i="2"/>
  <c r="E2675" i="2"/>
  <c r="D2675" i="2"/>
  <c r="C2675" i="2"/>
  <c r="A2675" i="2"/>
  <c r="M2674" i="2"/>
  <c r="L2674" i="2"/>
  <c r="K2674" i="2"/>
  <c r="J2674" i="2"/>
  <c r="H2674" i="2"/>
  <c r="G2674" i="2"/>
  <c r="F2674" i="2"/>
  <c r="E2674" i="2"/>
  <c r="D2674" i="2"/>
  <c r="C2674" i="2"/>
  <c r="A2674" i="2"/>
  <c r="M2673" i="2"/>
  <c r="L2673" i="2"/>
  <c r="K2673" i="2"/>
  <c r="J2673" i="2"/>
  <c r="H2673" i="2"/>
  <c r="G2673" i="2"/>
  <c r="F2673" i="2"/>
  <c r="E2673" i="2"/>
  <c r="D2673" i="2"/>
  <c r="C2673" i="2"/>
  <c r="A2673" i="2"/>
  <c r="M2672" i="2"/>
  <c r="L2672" i="2"/>
  <c r="K2672" i="2"/>
  <c r="J2672" i="2"/>
  <c r="H2672" i="2"/>
  <c r="G2672" i="2"/>
  <c r="F2672" i="2"/>
  <c r="E2672" i="2"/>
  <c r="D2672" i="2"/>
  <c r="C2672" i="2"/>
  <c r="A2672" i="2"/>
  <c r="M2671" i="2"/>
  <c r="L2671" i="2"/>
  <c r="K2671" i="2"/>
  <c r="J2671" i="2"/>
  <c r="H2671" i="2"/>
  <c r="G2671" i="2"/>
  <c r="F2671" i="2"/>
  <c r="E2671" i="2"/>
  <c r="D2671" i="2"/>
  <c r="C2671" i="2"/>
  <c r="A2671" i="2"/>
  <c r="M2670" i="2"/>
  <c r="L2670" i="2"/>
  <c r="K2670" i="2"/>
  <c r="J2670" i="2"/>
  <c r="H2670" i="2"/>
  <c r="G2670" i="2"/>
  <c r="F2670" i="2"/>
  <c r="E2670" i="2"/>
  <c r="D2670" i="2"/>
  <c r="C2670" i="2"/>
  <c r="A2670" i="2"/>
  <c r="M2669" i="2"/>
  <c r="L2669" i="2"/>
  <c r="K2669" i="2"/>
  <c r="J2669" i="2"/>
  <c r="H2669" i="2"/>
  <c r="G2669" i="2"/>
  <c r="F2669" i="2"/>
  <c r="E2669" i="2"/>
  <c r="D2669" i="2"/>
  <c r="C2669" i="2"/>
  <c r="A2669" i="2"/>
  <c r="M2668" i="2"/>
  <c r="L2668" i="2"/>
  <c r="K2668" i="2"/>
  <c r="J2668" i="2"/>
  <c r="H2668" i="2"/>
  <c r="G2668" i="2"/>
  <c r="F2668" i="2"/>
  <c r="E2668" i="2"/>
  <c r="D2668" i="2"/>
  <c r="C2668" i="2"/>
  <c r="A2668" i="2"/>
  <c r="M2667" i="2"/>
  <c r="L2667" i="2"/>
  <c r="K2667" i="2"/>
  <c r="J2667" i="2"/>
  <c r="H2667" i="2"/>
  <c r="G2667" i="2"/>
  <c r="F2667" i="2"/>
  <c r="E2667" i="2"/>
  <c r="D2667" i="2"/>
  <c r="C2667" i="2"/>
  <c r="A2667" i="2"/>
  <c r="M2666" i="2"/>
  <c r="L2666" i="2"/>
  <c r="K2666" i="2"/>
  <c r="J2666" i="2"/>
  <c r="H2666" i="2"/>
  <c r="G2666" i="2"/>
  <c r="F2666" i="2"/>
  <c r="E2666" i="2"/>
  <c r="D2666" i="2"/>
  <c r="C2666" i="2"/>
  <c r="A2666" i="2"/>
  <c r="M2665" i="2"/>
  <c r="L2665" i="2"/>
  <c r="K2665" i="2"/>
  <c r="J2665" i="2"/>
  <c r="H2665" i="2"/>
  <c r="G2665" i="2"/>
  <c r="F2665" i="2"/>
  <c r="E2665" i="2"/>
  <c r="D2665" i="2"/>
  <c r="C2665" i="2"/>
  <c r="A2665" i="2"/>
  <c r="M2664" i="2"/>
  <c r="L2664" i="2"/>
  <c r="K2664" i="2"/>
  <c r="J2664" i="2"/>
  <c r="H2664" i="2"/>
  <c r="G2664" i="2"/>
  <c r="F2664" i="2"/>
  <c r="E2664" i="2"/>
  <c r="D2664" i="2"/>
  <c r="C2664" i="2"/>
  <c r="A2664" i="2"/>
  <c r="M2663" i="2"/>
  <c r="L2663" i="2"/>
  <c r="K2663" i="2"/>
  <c r="J2663" i="2"/>
  <c r="H2663" i="2"/>
  <c r="G2663" i="2"/>
  <c r="F2663" i="2"/>
  <c r="E2663" i="2"/>
  <c r="D2663" i="2"/>
  <c r="C2663" i="2"/>
  <c r="A2663" i="2"/>
  <c r="M2662" i="2"/>
  <c r="L2662" i="2"/>
  <c r="K2662" i="2"/>
  <c r="J2662" i="2"/>
  <c r="H2662" i="2"/>
  <c r="G2662" i="2"/>
  <c r="F2662" i="2"/>
  <c r="E2662" i="2"/>
  <c r="D2662" i="2"/>
  <c r="C2662" i="2"/>
  <c r="A2662" i="2"/>
  <c r="M2661" i="2"/>
  <c r="L2661" i="2"/>
  <c r="K2661" i="2"/>
  <c r="J2661" i="2"/>
  <c r="H2661" i="2"/>
  <c r="G2661" i="2"/>
  <c r="F2661" i="2"/>
  <c r="E2661" i="2"/>
  <c r="D2661" i="2"/>
  <c r="C2661" i="2"/>
  <c r="A2661" i="2"/>
  <c r="M2660" i="2"/>
  <c r="L2660" i="2"/>
  <c r="K2660" i="2"/>
  <c r="J2660" i="2"/>
  <c r="H2660" i="2"/>
  <c r="G2660" i="2"/>
  <c r="F2660" i="2"/>
  <c r="E2660" i="2"/>
  <c r="D2660" i="2"/>
  <c r="C2660" i="2"/>
  <c r="A2660" i="2"/>
  <c r="M2659" i="2"/>
  <c r="L2659" i="2"/>
  <c r="K2659" i="2"/>
  <c r="J2659" i="2"/>
  <c r="H2659" i="2"/>
  <c r="G2659" i="2"/>
  <c r="F2659" i="2"/>
  <c r="E2659" i="2"/>
  <c r="D2659" i="2"/>
  <c r="C2659" i="2"/>
  <c r="A2659" i="2"/>
  <c r="M2658" i="2"/>
  <c r="L2658" i="2"/>
  <c r="K2658" i="2"/>
  <c r="J2658" i="2"/>
  <c r="H2658" i="2"/>
  <c r="G2658" i="2"/>
  <c r="F2658" i="2"/>
  <c r="E2658" i="2"/>
  <c r="D2658" i="2"/>
  <c r="C2658" i="2"/>
  <c r="A2658" i="2"/>
  <c r="M2657" i="2"/>
  <c r="L2657" i="2"/>
  <c r="K2657" i="2"/>
  <c r="J2657" i="2"/>
  <c r="H2657" i="2"/>
  <c r="G2657" i="2"/>
  <c r="F2657" i="2"/>
  <c r="E2657" i="2"/>
  <c r="D2657" i="2"/>
  <c r="C2657" i="2"/>
  <c r="A2657" i="2"/>
  <c r="M2656" i="2"/>
  <c r="L2656" i="2"/>
  <c r="K2656" i="2"/>
  <c r="J2656" i="2"/>
  <c r="H2656" i="2"/>
  <c r="G2656" i="2"/>
  <c r="F2656" i="2"/>
  <c r="E2656" i="2"/>
  <c r="D2656" i="2"/>
  <c r="C2656" i="2"/>
  <c r="A2656" i="2"/>
  <c r="M2655" i="2"/>
  <c r="L2655" i="2"/>
  <c r="K2655" i="2"/>
  <c r="J2655" i="2"/>
  <c r="H2655" i="2"/>
  <c r="G2655" i="2"/>
  <c r="F2655" i="2"/>
  <c r="E2655" i="2"/>
  <c r="D2655" i="2"/>
  <c r="C2655" i="2"/>
  <c r="A2655" i="2"/>
  <c r="M2654" i="2"/>
  <c r="L2654" i="2"/>
  <c r="K2654" i="2"/>
  <c r="J2654" i="2"/>
  <c r="H2654" i="2"/>
  <c r="G2654" i="2"/>
  <c r="F2654" i="2"/>
  <c r="E2654" i="2"/>
  <c r="D2654" i="2"/>
  <c r="C2654" i="2"/>
  <c r="A2654" i="2"/>
  <c r="M2653" i="2"/>
  <c r="L2653" i="2"/>
  <c r="K2653" i="2"/>
  <c r="J2653" i="2"/>
  <c r="H2653" i="2"/>
  <c r="G2653" i="2"/>
  <c r="F2653" i="2"/>
  <c r="E2653" i="2"/>
  <c r="D2653" i="2"/>
  <c r="C2653" i="2"/>
  <c r="A2653" i="2"/>
  <c r="M2652" i="2"/>
  <c r="L2652" i="2"/>
  <c r="K2652" i="2"/>
  <c r="J2652" i="2"/>
  <c r="H2652" i="2"/>
  <c r="G2652" i="2"/>
  <c r="F2652" i="2"/>
  <c r="E2652" i="2"/>
  <c r="D2652" i="2"/>
  <c r="C2652" i="2"/>
  <c r="A2652" i="2"/>
  <c r="M2651" i="2"/>
  <c r="L2651" i="2"/>
  <c r="K2651" i="2"/>
  <c r="J2651" i="2"/>
  <c r="H2651" i="2"/>
  <c r="G2651" i="2"/>
  <c r="F2651" i="2"/>
  <c r="E2651" i="2"/>
  <c r="D2651" i="2"/>
  <c r="C2651" i="2"/>
  <c r="A2651" i="2"/>
  <c r="M2650" i="2"/>
  <c r="L2650" i="2"/>
  <c r="K2650" i="2"/>
  <c r="J2650" i="2"/>
  <c r="H2650" i="2"/>
  <c r="G2650" i="2"/>
  <c r="F2650" i="2"/>
  <c r="E2650" i="2"/>
  <c r="D2650" i="2"/>
  <c r="C2650" i="2"/>
  <c r="A2650" i="2"/>
  <c r="M2649" i="2"/>
  <c r="L2649" i="2"/>
  <c r="K2649" i="2"/>
  <c r="J2649" i="2"/>
  <c r="H2649" i="2"/>
  <c r="G2649" i="2"/>
  <c r="F2649" i="2"/>
  <c r="E2649" i="2"/>
  <c r="D2649" i="2"/>
  <c r="C2649" i="2"/>
  <c r="A2649" i="2"/>
  <c r="M2648" i="2"/>
  <c r="L2648" i="2"/>
  <c r="K2648" i="2"/>
  <c r="J2648" i="2"/>
  <c r="H2648" i="2"/>
  <c r="G2648" i="2"/>
  <c r="F2648" i="2"/>
  <c r="E2648" i="2"/>
  <c r="D2648" i="2"/>
  <c r="C2648" i="2"/>
  <c r="A2648" i="2"/>
  <c r="M2647" i="2"/>
  <c r="L2647" i="2"/>
  <c r="K2647" i="2"/>
  <c r="J2647" i="2"/>
  <c r="H2647" i="2"/>
  <c r="G2647" i="2"/>
  <c r="F2647" i="2"/>
  <c r="E2647" i="2"/>
  <c r="D2647" i="2"/>
  <c r="C2647" i="2"/>
  <c r="A2647" i="2"/>
  <c r="M2646" i="2"/>
  <c r="L2646" i="2"/>
  <c r="K2646" i="2"/>
  <c r="J2646" i="2"/>
  <c r="H2646" i="2"/>
  <c r="G2646" i="2"/>
  <c r="F2646" i="2"/>
  <c r="E2646" i="2"/>
  <c r="D2646" i="2"/>
  <c r="C2646" i="2"/>
  <c r="A2646" i="2"/>
  <c r="M2645" i="2"/>
  <c r="L2645" i="2"/>
  <c r="K2645" i="2"/>
  <c r="J2645" i="2"/>
  <c r="H2645" i="2"/>
  <c r="G2645" i="2"/>
  <c r="F2645" i="2"/>
  <c r="E2645" i="2"/>
  <c r="D2645" i="2"/>
  <c r="C2645" i="2"/>
  <c r="A2645" i="2"/>
  <c r="M2644" i="2"/>
  <c r="L2644" i="2"/>
  <c r="K2644" i="2"/>
  <c r="J2644" i="2"/>
  <c r="H2644" i="2"/>
  <c r="G2644" i="2"/>
  <c r="F2644" i="2"/>
  <c r="E2644" i="2"/>
  <c r="D2644" i="2"/>
  <c r="C2644" i="2"/>
  <c r="A2644" i="2"/>
  <c r="M2643" i="2"/>
  <c r="L2643" i="2"/>
  <c r="K2643" i="2"/>
  <c r="J2643" i="2"/>
  <c r="H2643" i="2"/>
  <c r="G2643" i="2"/>
  <c r="F2643" i="2"/>
  <c r="E2643" i="2"/>
  <c r="D2643" i="2"/>
  <c r="C2643" i="2"/>
  <c r="A2643" i="2"/>
  <c r="M2642" i="2"/>
  <c r="L2642" i="2"/>
  <c r="K2642" i="2"/>
  <c r="J2642" i="2"/>
  <c r="H2642" i="2"/>
  <c r="G2642" i="2"/>
  <c r="F2642" i="2"/>
  <c r="E2642" i="2"/>
  <c r="D2642" i="2"/>
  <c r="C2642" i="2"/>
  <c r="A2642" i="2"/>
  <c r="M2641" i="2"/>
  <c r="L2641" i="2"/>
  <c r="K2641" i="2"/>
  <c r="J2641" i="2"/>
  <c r="H2641" i="2"/>
  <c r="G2641" i="2"/>
  <c r="F2641" i="2"/>
  <c r="E2641" i="2"/>
  <c r="D2641" i="2"/>
  <c r="C2641" i="2"/>
  <c r="A2641" i="2"/>
  <c r="M2640" i="2"/>
  <c r="L2640" i="2"/>
  <c r="K2640" i="2"/>
  <c r="J2640" i="2"/>
  <c r="H2640" i="2"/>
  <c r="G2640" i="2"/>
  <c r="F2640" i="2"/>
  <c r="E2640" i="2"/>
  <c r="D2640" i="2"/>
  <c r="C2640" i="2"/>
  <c r="A2640" i="2"/>
  <c r="M2639" i="2"/>
  <c r="L2639" i="2"/>
  <c r="K2639" i="2"/>
  <c r="J2639" i="2"/>
  <c r="H2639" i="2"/>
  <c r="G2639" i="2"/>
  <c r="F2639" i="2"/>
  <c r="E2639" i="2"/>
  <c r="D2639" i="2"/>
  <c r="C2639" i="2"/>
  <c r="A2639" i="2"/>
  <c r="M2638" i="2"/>
  <c r="L2638" i="2"/>
  <c r="K2638" i="2"/>
  <c r="J2638" i="2"/>
  <c r="H2638" i="2"/>
  <c r="G2638" i="2"/>
  <c r="F2638" i="2"/>
  <c r="E2638" i="2"/>
  <c r="D2638" i="2"/>
  <c r="C2638" i="2"/>
  <c r="A2638" i="2"/>
  <c r="M2637" i="2"/>
  <c r="L2637" i="2"/>
  <c r="K2637" i="2"/>
  <c r="J2637" i="2"/>
  <c r="H2637" i="2"/>
  <c r="G2637" i="2"/>
  <c r="F2637" i="2"/>
  <c r="E2637" i="2"/>
  <c r="D2637" i="2"/>
  <c r="C2637" i="2"/>
  <c r="A2637" i="2"/>
  <c r="M2636" i="2"/>
  <c r="L2636" i="2"/>
  <c r="K2636" i="2"/>
  <c r="J2636" i="2"/>
  <c r="H2636" i="2"/>
  <c r="G2636" i="2"/>
  <c r="F2636" i="2"/>
  <c r="E2636" i="2"/>
  <c r="D2636" i="2"/>
  <c r="C2636" i="2"/>
  <c r="A2636" i="2"/>
  <c r="M2635" i="2"/>
  <c r="L2635" i="2"/>
  <c r="K2635" i="2"/>
  <c r="J2635" i="2"/>
  <c r="H2635" i="2"/>
  <c r="G2635" i="2"/>
  <c r="F2635" i="2"/>
  <c r="E2635" i="2"/>
  <c r="D2635" i="2"/>
  <c r="C2635" i="2"/>
  <c r="A2635" i="2"/>
  <c r="M2634" i="2"/>
  <c r="L2634" i="2"/>
  <c r="K2634" i="2"/>
  <c r="J2634" i="2"/>
  <c r="H2634" i="2"/>
  <c r="G2634" i="2"/>
  <c r="F2634" i="2"/>
  <c r="E2634" i="2"/>
  <c r="D2634" i="2"/>
  <c r="C2634" i="2"/>
  <c r="A2634" i="2"/>
  <c r="M2633" i="2"/>
  <c r="L2633" i="2"/>
  <c r="K2633" i="2"/>
  <c r="J2633" i="2"/>
  <c r="H2633" i="2"/>
  <c r="G2633" i="2"/>
  <c r="F2633" i="2"/>
  <c r="E2633" i="2"/>
  <c r="D2633" i="2"/>
  <c r="C2633" i="2"/>
  <c r="A2633" i="2"/>
  <c r="M2632" i="2"/>
  <c r="L2632" i="2"/>
  <c r="K2632" i="2"/>
  <c r="J2632" i="2"/>
  <c r="H2632" i="2"/>
  <c r="G2632" i="2"/>
  <c r="F2632" i="2"/>
  <c r="E2632" i="2"/>
  <c r="D2632" i="2"/>
  <c r="C2632" i="2"/>
  <c r="A2632" i="2"/>
  <c r="M2631" i="2"/>
  <c r="L2631" i="2"/>
  <c r="K2631" i="2"/>
  <c r="J2631" i="2"/>
  <c r="H2631" i="2"/>
  <c r="G2631" i="2"/>
  <c r="F2631" i="2"/>
  <c r="E2631" i="2"/>
  <c r="D2631" i="2"/>
  <c r="C2631" i="2"/>
  <c r="A2631" i="2"/>
  <c r="M2630" i="2"/>
  <c r="L2630" i="2"/>
  <c r="K2630" i="2"/>
  <c r="J2630" i="2"/>
  <c r="H2630" i="2"/>
  <c r="G2630" i="2"/>
  <c r="F2630" i="2"/>
  <c r="E2630" i="2"/>
  <c r="D2630" i="2"/>
  <c r="C2630" i="2"/>
  <c r="A2630" i="2"/>
  <c r="M2629" i="2"/>
  <c r="L2629" i="2"/>
  <c r="K2629" i="2"/>
  <c r="J2629" i="2"/>
  <c r="H2629" i="2"/>
  <c r="G2629" i="2"/>
  <c r="F2629" i="2"/>
  <c r="E2629" i="2"/>
  <c r="D2629" i="2"/>
  <c r="C2629" i="2"/>
  <c r="A2629" i="2"/>
  <c r="M2628" i="2"/>
  <c r="L2628" i="2"/>
  <c r="K2628" i="2"/>
  <c r="J2628" i="2"/>
  <c r="H2628" i="2"/>
  <c r="G2628" i="2"/>
  <c r="F2628" i="2"/>
  <c r="E2628" i="2"/>
  <c r="D2628" i="2"/>
  <c r="C2628" i="2"/>
  <c r="A2628" i="2"/>
  <c r="M2627" i="2"/>
  <c r="L2627" i="2"/>
  <c r="K2627" i="2"/>
  <c r="J2627" i="2"/>
  <c r="H2627" i="2"/>
  <c r="G2627" i="2"/>
  <c r="F2627" i="2"/>
  <c r="E2627" i="2"/>
  <c r="D2627" i="2"/>
  <c r="C2627" i="2"/>
  <c r="A2627" i="2"/>
  <c r="M2626" i="2"/>
  <c r="L2626" i="2"/>
  <c r="K2626" i="2"/>
  <c r="J2626" i="2"/>
  <c r="H2626" i="2"/>
  <c r="G2626" i="2"/>
  <c r="F2626" i="2"/>
  <c r="E2626" i="2"/>
  <c r="D2626" i="2"/>
  <c r="C2626" i="2"/>
  <c r="A2626" i="2"/>
  <c r="M2625" i="2"/>
  <c r="L2625" i="2"/>
  <c r="K2625" i="2"/>
  <c r="J2625" i="2"/>
  <c r="H2625" i="2"/>
  <c r="G2625" i="2"/>
  <c r="F2625" i="2"/>
  <c r="E2625" i="2"/>
  <c r="D2625" i="2"/>
  <c r="C2625" i="2"/>
  <c r="A2625" i="2"/>
  <c r="M2624" i="2"/>
  <c r="L2624" i="2"/>
  <c r="K2624" i="2"/>
  <c r="J2624" i="2"/>
  <c r="H2624" i="2"/>
  <c r="G2624" i="2"/>
  <c r="F2624" i="2"/>
  <c r="E2624" i="2"/>
  <c r="D2624" i="2"/>
  <c r="C2624" i="2"/>
  <c r="A2624" i="2"/>
  <c r="M2623" i="2"/>
  <c r="L2623" i="2"/>
  <c r="K2623" i="2"/>
  <c r="J2623" i="2"/>
  <c r="H2623" i="2"/>
  <c r="G2623" i="2"/>
  <c r="F2623" i="2"/>
  <c r="E2623" i="2"/>
  <c r="D2623" i="2"/>
  <c r="C2623" i="2"/>
  <c r="A2623" i="2"/>
  <c r="M2622" i="2"/>
  <c r="L2622" i="2"/>
  <c r="K2622" i="2"/>
  <c r="J2622" i="2"/>
  <c r="H2622" i="2"/>
  <c r="G2622" i="2"/>
  <c r="F2622" i="2"/>
  <c r="E2622" i="2"/>
  <c r="D2622" i="2"/>
  <c r="C2622" i="2"/>
  <c r="A2622" i="2"/>
  <c r="M2621" i="2"/>
  <c r="L2621" i="2"/>
  <c r="K2621" i="2"/>
  <c r="J2621" i="2"/>
  <c r="H2621" i="2"/>
  <c r="G2621" i="2"/>
  <c r="F2621" i="2"/>
  <c r="E2621" i="2"/>
  <c r="D2621" i="2"/>
  <c r="C2621" i="2"/>
  <c r="A2621" i="2"/>
  <c r="M2620" i="2"/>
  <c r="L2620" i="2"/>
  <c r="K2620" i="2"/>
  <c r="J2620" i="2"/>
  <c r="H2620" i="2"/>
  <c r="G2620" i="2"/>
  <c r="F2620" i="2"/>
  <c r="E2620" i="2"/>
  <c r="D2620" i="2"/>
  <c r="C2620" i="2"/>
  <c r="A2620" i="2"/>
  <c r="M2619" i="2"/>
  <c r="L2619" i="2"/>
  <c r="K2619" i="2"/>
  <c r="J2619" i="2"/>
  <c r="H2619" i="2"/>
  <c r="G2619" i="2"/>
  <c r="F2619" i="2"/>
  <c r="E2619" i="2"/>
  <c r="D2619" i="2"/>
  <c r="C2619" i="2"/>
  <c r="A2619" i="2"/>
  <c r="M2618" i="2"/>
  <c r="L2618" i="2"/>
  <c r="K2618" i="2"/>
  <c r="J2618" i="2"/>
  <c r="H2618" i="2"/>
  <c r="G2618" i="2"/>
  <c r="F2618" i="2"/>
  <c r="E2618" i="2"/>
  <c r="D2618" i="2"/>
  <c r="C2618" i="2"/>
  <c r="A2618" i="2"/>
  <c r="M2617" i="2"/>
  <c r="L2617" i="2"/>
  <c r="K2617" i="2"/>
  <c r="J2617" i="2"/>
  <c r="H2617" i="2"/>
  <c r="G2617" i="2"/>
  <c r="F2617" i="2"/>
  <c r="E2617" i="2"/>
  <c r="D2617" i="2"/>
  <c r="C2617" i="2"/>
  <c r="A2617" i="2"/>
  <c r="M2616" i="2"/>
  <c r="L2616" i="2"/>
  <c r="K2616" i="2"/>
  <c r="J2616" i="2"/>
  <c r="H2616" i="2"/>
  <c r="G2616" i="2"/>
  <c r="F2616" i="2"/>
  <c r="E2616" i="2"/>
  <c r="D2616" i="2"/>
  <c r="C2616" i="2"/>
  <c r="A2616" i="2"/>
  <c r="M2615" i="2"/>
  <c r="L2615" i="2"/>
  <c r="K2615" i="2"/>
  <c r="J2615" i="2"/>
  <c r="H2615" i="2"/>
  <c r="G2615" i="2"/>
  <c r="F2615" i="2"/>
  <c r="E2615" i="2"/>
  <c r="D2615" i="2"/>
  <c r="C2615" i="2"/>
  <c r="A2615" i="2"/>
  <c r="M2614" i="2"/>
  <c r="L2614" i="2"/>
  <c r="K2614" i="2"/>
  <c r="J2614" i="2"/>
  <c r="H2614" i="2"/>
  <c r="G2614" i="2"/>
  <c r="F2614" i="2"/>
  <c r="E2614" i="2"/>
  <c r="D2614" i="2"/>
  <c r="C2614" i="2"/>
  <c r="A2614" i="2"/>
  <c r="M2613" i="2"/>
  <c r="L2613" i="2"/>
  <c r="K2613" i="2"/>
  <c r="J2613" i="2"/>
  <c r="H2613" i="2"/>
  <c r="G2613" i="2"/>
  <c r="F2613" i="2"/>
  <c r="E2613" i="2"/>
  <c r="D2613" i="2"/>
  <c r="C2613" i="2"/>
  <c r="A2613" i="2"/>
  <c r="M2612" i="2"/>
  <c r="L2612" i="2"/>
  <c r="K2612" i="2"/>
  <c r="J2612" i="2"/>
  <c r="H2612" i="2"/>
  <c r="G2612" i="2"/>
  <c r="F2612" i="2"/>
  <c r="E2612" i="2"/>
  <c r="D2612" i="2"/>
  <c r="C2612" i="2"/>
  <c r="A2612" i="2"/>
  <c r="M2611" i="2"/>
  <c r="L2611" i="2"/>
  <c r="K2611" i="2"/>
  <c r="J2611" i="2"/>
  <c r="H2611" i="2"/>
  <c r="G2611" i="2"/>
  <c r="F2611" i="2"/>
  <c r="E2611" i="2"/>
  <c r="D2611" i="2"/>
  <c r="C2611" i="2"/>
  <c r="A2611" i="2"/>
  <c r="M2610" i="2"/>
  <c r="L2610" i="2"/>
  <c r="K2610" i="2"/>
  <c r="J2610" i="2"/>
  <c r="H2610" i="2"/>
  <c r="G2610" i="2"/>
  <c r="F2610" i="2"/>
  <c r="E2610" i="2"/>
  <c r="D2610" i="2"/>
  <c r="C2610" i="2"/>
  <c r="A2610" i="2"/>
  <c r="M2609" i="2"/>
  <c r="L2609" i="2"/>
  <c r="K2609" i="2"/>
  <c r="J2609" i="2"/>
  <c r="H2609" i="2"/>
  <c r="G2609" i="2"/>
  <c r="F2609" i="2"/>
  <c r="E2609" i="2"/>
  <c r="D2609" i="2"/>
  <c r="C2609" i="2"/>
  <c r="A2609" i="2"/>
  <c r="M2608" i="2"/>
  <c r="L2608" i="2"/>
  <c r="K2608" i="2"/>
  <c r="J2608" i="2"/>
  <c r="H2608" i="2"/>
  <c r="G2608" i="2"/>
  <c r="F2608" i="2"/>
  <c r="E2608" i="2"/>
  <c r="D2608" i="2"/>
  <c r="C2608" i="2"/>
  <c r="A2608" i="2"/>
  <c r="M2607" i="2"/>
  <c r="L2607" i="2"/>
  <c r="K2607" i="2"/>
  <c r="J2607" i="2"/>
  <c r="H2607" i="2"/>
  <c r="G2607" i="2"/>
  <c r="F2607" i="2"/>
  <c r="E2607" i="2"/>
  <c r="D2607" i="2"/>
  <c r="C2607" i="2"/>
  <c r="A2607" i="2"/>
  <c r="M2606" i="2"/>
  <c r="L2606" i="2"/>
  <c r="K2606" i="2"/>
  <c r="J2606" i="2"/>
  <c r="H2606" i="2"/>
  <c r="G2606" i="2"/>
  <c r="F2606" i="2"/>
  <c r="E2606" i="2"/>
  <c r="D2606" i="2"/>
  <c r="C2606" i="2"/>
  <c r="A2606" i="2"/>
  <c r="M2605" i="2"/>
  <c r="L2605" i="2"/>
  <c r="K2605" i="2"/>
  <c r="J2605" i="2"/>
  <c r="H2605" i="2"/>
  <c r="G2605" i="2"/>
  <c r="F2605" i="2"/>
  <c r="E2605" i="2"/>
  <c r="D2605" i="2"/>
  <c r="C2605" i="2"/>
  <c r="A2605" i="2"/>
  <c r="M2604" i="2"/>
  <c r="L2604" i="2"/>
  <c r="K2604" i="2"/>
  <c r="J2604" i="2"/>
  <c r="H2604" i="2"/>
  <c r="G2604" i="2"/>
  <c r="F2604" i="2"/>
  <c r="E2604" i="2"/>
  <c r="D2604" i="2"/>
  <c r="C2604" i="2"/>
  <c r="A2604" i="2"/>
  <c r="M2603" i="2"/>
  <c r="L2603" i="2"/>
  <c r="K2603" i="2"/>
  <c r="J2603" i="2"/>
  <c r="H2603" i="2"/>
  <c r="G2603" i="2"/>
  <c r="F2603" i="2"/>
  <c r="E2603" i="2"/>
  <c r="D2603" i="2"/>
  <c r="C2603" i="2"/>
  <c r="A2603" i="2"/>
  <c r="M2602" i="2"/>
  <c r="L2602" i="2"/>
  <c r="K2602" i="2"/>
  <c r="J2602" i="2"/>
  <c r="H2602" i="2"/>
  <c r="G2602" i="2"/>
  <c r="F2602" i="2"/>
  <c r="E2602" i="2"/>
  <c r="D2602" i="2"/>
  <c r="C2602" i="2"/>
  <c r="A2602" i="2"/>
  <c r="M2601" i="2"/>
  <c r="L2601" i="2"/>
  <c r="K2601" i="2"/>
  <c r="J2601" i="2"/>
  <c r="H2601" i="2"/>
  <c r="G2601" i="2"/>
  <c r="F2601" i="2"/>
  <c r="E2601" i="2"/>
  <c r="D2601" i="2"/>
  <c r="C2601" i="2"/>
  <c r="A2601" i="2"/>
  <c r="M2600" i="2"/>
  <c r="L2600" i="2"/>
  <c r="K2600" i="2"/>
  <c r="J2600" i="2"/>
  <c r="H2600" i="2"/>
  <c r="G2600" i="2"/>
  <c r="F2600" i="2"/>
  <c r="E2600" i="2"/>
  <c r="D2600" i="2"/>
  <c r="C2600" i="2"/>
  <c r="A2600" i="2"/>
  <c r="M2599" i="2"/>
  <c r="L2599" i="2"/>
  <c r="K2599" i="2"/>
  <c r="J2599" i="2"/>
  <c r="H2599" i="2"/>
  <c r="G2599" i="2"/>
  <c r="F2599" i="2"/>
  <c r="E2599" i="2"/>
  <c r="D2599" i="2"/>
  <c r="C2599" i="2"/>
  <c r="A2599" i="2"/>
  <c r="M2598" i="2"/>
  <c r="L2598" i="2"/>
  <c r="K2598" i="2"/>
  <c r="J2598" i="2"/>
  <c r="H2598" i="2"/>
  <c r="G2598" i="2"/>
  <c r="F2598" i="2"/>
  <c r="E2598" i="2"/>
  <c r="D2598" i="2"/>
  <c r="C2598" i="2"/>
  <c r="A2598" i="2"/>
  <c r="M2597" i="2"/>
  <c r="L2597" i="2"/>
  <c r="K2597" i="2"/>
  <c r="J2597" i="2"/>
  <c r="H2597" i="2"/>
  <c r="G2597" i="2"/>
  <c r="F2597" i="2"/>
  <c r="E2597" i="2"/>
  <c r="D2597" i="2"/>
  <c r="C2597" i="2"/>
  <c r="A2597" i="2"/>
  <c r="M2596" i="2"/>
  <c r="L2596" i="2"/>
  <c r="K2596" i="2"/>
  <c r="J2596" i="2"/>
  <c r="H2596" i="2"/>
  <c r="G2596" i="2"/>
  <c r="F2596" i="2"/>
  <c r="E2596" i="2"/>
  <c r="D2596" i="2"/>
  <c r="C2596" i="2"/>
  <c r="A2596" i="2"/>
  <c r="M2595" i="2"/>
  <c r="L2595" i="2"/>
  <c r="K2595" i="2"/>
  <c r="J2595" i="2"/>
  <c r="H2595" i="2"/>
  <c r="G2595" i="2"/>
  <c r="F2595" i="2"/>
  <c r="E2595" i="2"/>
  <c r="D2595" i="2"/>
  <c r="C2595" i="2"/>
  <c r="A2595" i="2"/>
  <c r="M2594" i="2"/>
  <c r="L2594" i="2"/>
  <c r="K2594" i="2"/>
  <c r="J2594" i="2"/>
  <c r="H2594" i="2"/>
  <c r="G2594" i="2"/>
  <c r="F2594" i="2"/>
  <c r="E2594" i="2"/>
  <c r="D2594" i="2"/>
  <c r="C2594" i="2"/>
  <c r="A2594" i="2"/>
  <c r="M2593" i="2"/>
  <c r="L2593" i="2"/>
  <c r="K2593" i="2"/>
  <c r="J2593" i="2"/>
  <c r="H2593" i="2"/>
  <c r="G2593" i="2"/>
  <c r="F2593" i="2"/>
  <c r="E2593" i="2"/>
  <c r="D2593" i="2"/>
  <c r="C2593" i="2"/>
  <c r="A2593" i="2"/>
  <c r="M2592" i="2"/>
  <c r="L2592" i="2"/>
  <c r="K2592" i="2"/>
  <c r="J2592" i="2"/>
  <c r="H2592" i="2"/>
  <c r="G2592" i="2"/>
  <c r="F2592" i="2"/>
  <c r="E2592" i="2"/>
  <c r="D2592" i="2"/>
  <c r="C2592" i="2"/>
  <c r="A2592" i="2"/>
  <c r="M2591" i="2"/>
  <c r="L2591" i="2"/>
  <c r="K2591" i="2"/>
  <c r="J2591" i="2"/>
  <c r="H2591" i="2"/>
  <c r="G2591" i="2"/>
  <c r="F2591" i="2"/>
  <c r="E2591" i="2"/>
  <c r="D2591" i="2"/>
  <c r="C2591" i="2"/>
  <c r="A2591" i="2"/>
  <c r="M2590" i="2"/>
  <c r="L2590" i="2"/>
  <c r="K2590" i="2"/>
  <c r="J2590" i="2"/>
  <c r="H2590" i="2"/>
  <c r="G2590" i="2"/>
  <c r="F2590" i="2"/>
  <c r="E2590" i="2"/>
  <c r="D2590" i="2"/>
  <c r="C2590" i="2"/>
  <c r="A2590" i="2"/>
  <c r="M2589" i="2"/>
  <c r="L2589" i="2"/>
  <c r="K2589" i="2"/>
  <c r="J2589" i="2"/>
  <c r="H2589" i="2"/>
  <c r="G2589" i="2"/>
  <c r="F2589" i="2"/>
  <c r="E2589" i="2"/>
  <c r="D2589" i="2"/>
  <c r="C2589" i="2"/>
  <c r="A2589" i="2"/>
  <c r="M2588" i="2"/>
  <c r="L2588" i="2"/>
  <c r="K2588" i="2"/>
  <c r="J2588" i="2"/>
  <c r="H2588" i="2"/>
  <c r="G2588" i="2"/>
  <c r="F2588" i="2"/>
  <c r="E2588" i="2"/>
  <c r="D2588" i="2"/>
  <c r="C2588" i="2"/>
  <c r="A2588" i="2"/>
  <c r="M2587" i="2"/>
  <c r="L2587" i="2"/>
  <c r="K2587" i="2"/>
  <c r="J2587" i="2"/>
  <c r="H2587" i="2"/>
  <c r="G2587" i="2"/>
  <c r="F2587" i="2"/>
  <c r="E2587" i="2"/>
  <c r="D2587" i="2"/>
  <c r="C2587" i="2"/>
  <c r="A2587" i="2"/>
  <c r="M2586" i="2"/>
  <c r="L2586" i="2"/>
  <c r="K2586" i="2"/>
  <c r="J2586" i="2"/>
  <c r="H2586" i="2"/>
  <c r="G2586" i="2"/>
  <c r="F2586" i="2"/>
  <c r="E2586" i="2"/>
  <c r="D2586" i="2"/>
  <c r="C2586" i="2"/>
  <c r="A2586" i="2"/>
  <c r="M2585" i="2"/>
  <c r="L2585" i="2"/>
  <c r="K2585" i="2"/>
  <c r="J2585" i="2"/>
  <c r="H2585" i="2"/>
  <c r="G2585" i="2"/>
  <c r="F2585" i="2"/>
  <c r="E2585" i="2"/>
  <c r="D2585" i="2"/>
  <c r="C2585" i="2"/>
  <c r="A2585" i="2"/>
  <c r="M2584" i="2"/>
  <c r="L2584" i="2"/>
  <c r="K2584" i="2"/>
  <c r="J2584" i="2"/>
  <c r="H2584" i="2"/>
  <c r="G2584" i="2"/>
  <c r="F2584" i="2"/>
  <c r="E2584" i="2"/>
  <c r="D2584" i="2"/>
  <c r="C2584" i="2"/>
  <c r="A2584" i="2"/>
  <c r="M2583" i="2"/>
  <c r="L2583" i="2"/>
  <c r="K2583" i="2"/>
  <c r="J2583" i="2"/>
  <c r="H2583" i="2"/>
  <c r="G2583" i="2"/>
  <c r="F2583" i="2"/>
  <c r="E2583" i="2"/>
  <c r="D2583" i="2"/>
  <c r="C2583" i="2"/>
  <c r="A2583" i="2"/>
  <c r="M2582" i="2"/>
  <c r="L2582" i="2"/>
  <c r="K2582" i="2"/>
  <c r="J2582" i="2"/>
  <c r="H2582" i="2"/>
  <c r="G2582" i="2"/>
  <c r="F2582" i="2"/>
  <c r="E2582" i="2"/>
  <c r="D2582" i="2"/>
  <c r="C2582" i="2"/>
  <c r="A2582" i="2"/>
  <c r="M2581" i="2"/>
  <c r="L2581" i="2"/>
  <c r="K2581" i="2"/>
  <c r="J2581" i="2"/>
  <c r="H2581" i="2"/>
  <c r="G2581" i="2"/>
  <c r="F2581" i="2"/>
  <c r="E2581" i="2"/>
  <c r="D2581" i="2"/>
  <c r="C2581" i="2"/>
  <c r="A2581" i="2"/>
  <c r="M2580" i="2"/>
  <c r="L2580" i="2"/>
  <c r="K2580" i="2"/>
  <c r="J2580" i="2"/>
  <c r="H2580" i="2"/>
  <c r="G2580" i="2"/>
  <c r="F2580" i="2"/>
  <c r="E2580" i="2"/>
  <c r="D2580" i="2"/>
  <c r="C2580" i="2"/>
  <c r="A2580" i="2"/>
  <c r="M2579" i="2"/>
  <c r="L2579" i="2"/>
  <c r="K2579" i="2"/>
  <c r="J2579" i="2"/>
  <c r="H2579" i="2"/>
  <c r="G2579" i="2"/>
  <c r="F2579" i="2"/>
  <c r="E2579" i="2"/>
  <c r="D2579" i="2"/>
  <c r="C2579" i="2"/>
  <c r="A2579" i="2"/>
  <c r="M2578" i="2"/>
  <c r="L2578" i="2"/>
  <c r="K2578" i="2"/>
  <c r="J2578" i="2"/>
  <c r="H2578" i="2"/>
  <c r="G2578" i="2"/>
  <c r="F2578" i="2"/>
  <c r="E2578" i="2"/>
  <c r="D2578" i="2"/>
  <c r="C2578" i="2"/>
  <c r="A2578" i="2"/>
  <c r="M2577" i="2"/>
  <c r="L2577" i="2"/>
  <c r="K2577" i="2"/>
  <c r="J2577" i="2"/>
  <c r="H2577" i="2"/>
  <c r="G2577" i="2"/>
  <c r="F2577" i="2"/>
  <c r="E2577" i="2"/>
  <c r="D2577" i="2"/>
  <c r="C2577" i="2"/>
  <c r="A2577" i="2"/>
  <c r="M2576" i="2"/>
  <c r="L2576" i="2"/>
  <c r="K2576" i="2"/>
  <c r="J2576" i="2"/>
  <c r="H2576" i="2"/>
  <c r="G2576" i="2"/>
  <c r="F2576" i="2"/>
  <c r="E2576" i="2"/>
  <c r="D2576" i="2"/>
  <c r="C2576" i="2"/>
  <c r="A2576" i="2"/>
  <c r="M2575" i="2"/>
  <c r="L2575" i="2"/>
  <c r="K2575" i="2"/>
  <c r="J2575" i="2"/>
  <c r="H2575" i="2"/>
  <c r="G2575" i="2"/>
  <c r="F2575" i="2"/>
  <c r="E2575" i="2"/>
  <c r="D2575" i="2"/>
  <c r="C2575" i="2"/>
  <c r="A2575" i="2"/>
  <c r="M2574" i="2"/>
  <c r="L2574" i="2"/>
  <c r="K2574" i="2"/>
  <c r="J2574" i="2"/>
  <c r="H2574" i="2"/>
  <c r="G2574" i="2"/>
  <c r="F2574" i="2"/>
  <c r="E2574" i="2"/>
  <c r="D2574" i="2"/>
  <c r="C2574" i="2"/>
  <c r="A2574" i="2"/>
  <c r="M2573" i="2"/>
  <c r="L2573" i="2"/>
  <c r="K2573" i="2"/>
  <c r="J2573" i="2"/>
  <c r="H2573" i="2"/>
  <c r="G2573" i="2"/>
  <c r="F2573" i="2"/>
  <c r="E2573" i="2"/>
  <c r="D2573" i="2"/>
  <c r="C2573" i="2"/>
  <c r="A2573" i="2"/>
  <c r="M2572" i="2"/>
  <c r="L2572" i="2"/>
  <c r="K2572" i="2"/>
  <c r="J2572" i="2"/>
  <c r="H2572" i="2"/>
  <c r="G2572" i="2"/>
  <c r="F2572" i="2"/>
  <c r="E2572" i="2"/>
  <c r="D2572" i="2"/>
  <c r="C2572" i="2"/>
  <c r="A2572" i="2"/>
  <c r="M2571" i="2"/>
  <c r="L2571" i="2"/>
  <c r="K2571" i="2"/>
  <c r="J2571" i="2"/>
  <c r="H2571" i="2"/>
  <c r="G2571" i="2"/>
  <c r="F2571" i="2"/>
  <c r="E2571" i="2"/>
  <c r="D2571" i="2"/>
  <c r="C2571" i="2"/>
  <c r="A2571" i="2"/>
  <c r="M2570" i="2"/>
  <c r="L2570" i="2"/>
  <c r="K2570" i="2"/>
  <c r="J2570" i="2"/>
  <c r="H2570" i="2"/>
  <c r="G2570" i="2"/>
  <c r="F2570" i="2"/>
  <c r="E2570" i="2"/>
  <c r="D2570" i="2"/>
  <c r="C2570" i="2"/>
  <c r="A2570" i="2"/>
  <c r="M2569" i="2"/>
  <c r="L2569" i="2"/>
  <c r="K2569" i="2"/>
  <c r="J2569" i="2"/>
  <c r="H2569" i="2"/>
  <c r="G2569" i="2"/>
  <c r="F2569" i="2"/>
  <c r="E2569" i="2"/>
  <c r="D2569" i="2"/>
  <c r="C2569" i="2"/>
  <c r="A2569" i="2"/>
  <c r="M2568" i="2"/>
  <c r="L2568" i="2"/>
  <c r="K2568" i="2"/>
  <c r="J2568" i="2"/>
  <c r="H2568" i="2"/>
  <c r="G2568" i="2"/>
  <c r="F2568" i="2"/>
  <c r="E2568" i="2"/>
  <c r="D2568" i="2"/>
  <c r="C2568" i="2"/>
  <c r="A2568" i="2"/>
  <c r="M2567" i="2"/>
  <c r="L2567" i="2"/>
  <c r="K2567" i="2"/>
  <c r="J2567" i="2"/>
  <c r="H2567" i="2"/>
  <c r="G2567" i="2"/>
  <c r="F2567" i="2"/>
  <c r="E2567" i="2"/>
  <c r="D2567" i="2"/>
  <c r="C2567" i="2"/>
  <c r="A2567" i="2"/>
  <c r="M2566" i="2"/>
  <c r="L2566" i="2"/>
  <c r="K2566" i="2"/>
  <c r="J2566" i="2"/>
  <c r="H2566" i="2"/>
  <c r="G2566" i="2"/>
  <c r="F2566" i="2"/>
  <c r="E2566" i="2"/>
  <c r="D2566" i="2"/>
  <c r="C2566" i="2"/>
  <c r="A2566" i="2"/>
  <c r="M2565" i="2"/>
  <c r="L2565" i="2"/>
  <c r="K2565" i="2"/>
  <c r="J2565" i="2"/>
  <c r="H2565" i="2"/>
  <c r="G2565" i="2"/>
  <c r="F2565" i="2"/>
  <c r="E2565" i="2"/>
  <c r="D2565" i="2"/>
  <c r="C2565" i="2"/>
  <c r="A2565" i="2"/>
  <c r="M2564" i="2"/>
  <c r="L2564" i="2"/>
  <c r="K2564" i="2"/>
  <c r="J2564" i="2"/>
  <c r="H2564" i="2"/>
  <c r="G2564" i="2"/>
  <c r="F2564" i="2"/>
  <c r="E2564" i="2"/>
  <c r="D2564" i="2"/>
  <c r="C2564" i="2"/>
  <c r="A2564" i="2"/>
  <c r="M2563" i="2"/>
  <c r="L2563" i="2"/>
  <c r="K2563" i="2"/>
  <c r="J2563" i="2"/>
  <c r="H2563" i="2"/>
  <c r="G2563" i="2"/>
  <c r="F2563" i="2"/>
  <c r="E2563" i="2"/>
  <c r="D2563" i="2"/>
  <c r="C2563" i="2"/>
  <c r="A2563" i="2"/>
  <c r="M2562" i="2"/>
  <c r="L2562" i="2"/>
  <c r="K2562" i="2"/>
  <c r="J2562" i="2"/>
  <c r="H2562" i="2"/>
  <c r="G2562" i="2"/>
  <c r="F2562" i="2"/>
  <c r="E2562" i="2"/>
  <c r="D2562" i="2"/>
  <c r="C2562" i="2"/>
  <c r="A2562" i="2"/>
  <c r="M2561" i="2"/>
  <c r="L2561" i="2"/>
  <c r="K2561" i="2"/>
  <c r="J2561" i="2"/>
  <c r="H2561" i="2"/>
  <c r="G2561" i="2"/>
  <c r="F2561" i="2"/>
  <c r="E2561" i="2"/>
  <c r="D2561" i="2"/>
  <c r="C2561" i="2"/>
  <c r="A2561" i="2"/>
  <c r="M2560" i="2"/>
  <c r="L2560" i="2"/>
  <c r="K2560" i="2"/>
  <c r="J2560" i="2"/>
  <c r="H2560" i="2"/>
  <c r="G2560" i="2"/>
  <c r="F2560" i="2"/>
  <c r="E2560" i="2"/>
  <c r="D2560" i="2"/>
  <c r="C2560" i="2"/>
  <c r="A2560" i="2"/>
  <c r="M2559" i="2"/>
  <c r="L2559" i="2"/>
  <c r="K2559" i="2"/>
  <c r="J2559" i="2"/>
  <c r="H2559" i="2"/>
  <c r="G2559" i="2"/>
  <c r="F2559" i="2"/>
  <c r="E2559" i="2"/>
  <c r="D2559" i="2"/>
  <c r="C2559" i="2"/>
  <c r="A2559" i="2"/>
  <c r="M2558" i="2"/>
  <c r="L2558" i="2"/>
  <c r="K2558" i="2"/>
  <c r="J2558" i="2"/>
  <c r="H2558" i="2"/>
  <c r="G2558" i="2"/>
  <c r="F2558" i="2"/>
  <c r="E2558" i="2"/>
  <c r="D2558" i="2"/>
  <c r="C2558" i="2"/>
  <c r="A2558" i="2"/>
  <c r="M2557" i="2"/>
  <c r="L2557" i="2"/>
  <c r="K2557" i="2"/>
  <c r="J2557" i="2"/>
  <c r="H2557" i="2"/>
  <c r="G2557" i="2"/>
  <c r="F2557" i="2"/>
  <c r="E2557" i="2"/>
  <c r="D2557" i="2"/>
  <c r="C2557" i="2"/>
  <c r="A2557" i="2"/>
  <c r="M2556" i="2"/>
  <c r="L2556" i="2"/>
  <c r="K2556" i="2"/>
  <c r="J2556" i="2"/>
  <c r="H2556" i="2"/>
  <c r="G2556" i="2"/>
  <c r="F2556" i="2"/>
  <c r="E2556" i="2"/>
  <c r="D2556" i="2"/>
  <c r="C2556" i="2"/>
  <c r="A2556" i="2"/>
  <c r="M2555" i="2"/>
  <c r="L2555" i="2"/>
  <c r="K2555" i="2"/>
  <c r="J2555" i="2"/>
  <c r="H2555" i="2"/>
  <c r="G2555" i="2"/>
  <c r="F2555" i="2"/>
  <c r="E2555" i="2"/>
  <c r="D2555" i="2"/>
  <c r="C2555" i="2"/>
  <c r="A2555" i="2"/>
  <c r="M2554" i="2"/>
  <c r="L2554" i="2"/>
  <c r="K2554" i="2"/>
  <c r="J2554" i="2"/>
  <c r="H2554" i="2"/>
  <c r="G2554" i="2"/>
  <c r="F2554" i="2"/>
  <c r="E2554" i="2"/>
  <c r="D2554" i="2"/>
  <c r="C2554" i="2"/>
  <c r="A2554" i="2"/>
  <c r="M2553" i="2"/>
  <c r="L2553" i="2"/>
  <c r="K2553" i="2"/>
  <c r="J2553" i="2"/>
  <c r="H2553" i="2"/>
  <c r="G2553" i="2"/>
  <c r="F2553" i="2"/>
  <c r="E2553" i="2"/>
  <c r="D2553" i="2"/>
  <c r="C2553" i="2"/>
  <c r="A2553" i="2"/>
  <c r="M2552" i="2"/>
  <c r="L2552" i="2"/>
  <c r="K2552" i="2"/>
  <c r="J2552" i="2"/>
  <c r="H2552" i="2"/>
  <c r="G2552" i="2"/>
  <c r="F2552" i="2"/>
  <c r="E2552" i="2"/>
  <c r="D2552" i="2"/>
  <c r="C2552" i="2"/>
  <c r="A2552" i="2"/>
  <c r="M2551" i="2"/>
  <c r="L2551" i="2"/>
  <c r="K2551" i="2"/>
  <c r="J2551" i="2"/>
  <c r="H2551" i="2"/>
  <c r="G2551" i="2"/>
  <c r="F2551" i="2"/>
  <c r="E2551" i="2"/>
  <c r="D2551" i="2"/>
  <c r="C2551" i="2"/>
  <c r="A2551" i="2"/>
  <c r="M2550" i="2"/>
  <c r="L2550" i="2"/>
  <c r="K2550" i="2"/>
  <c r="J2550" i="2"/>
  <c r="H2550" i="2"/>
  <c r="G2550" i="2"/>
  <c r="F2550" i="2"/>
  <c r="E2550" i="2"/>
  <c r="D2550" i="2"/>
  <c r="C2550" i="2"/>
  <c r="A2550" i="2"/>
  <c r="M2549" i="2"/>
  <c r="L2549" i="2"/>
  <c r="K2549" i="2"/>
  <c r="J2549" i="2"/>
  <c r="H2549" i="2"/>
  <c r="G2549" i="2"/>
  <c r="F2549" i="2"/>
  <c r="E2549" i="2"/>
  <c r="D2549" i="2"/>
  <c r="C2549" i="2"/>
  <c r="A2549" i="2"/>
  <c r="M2548" i="2"/>
  <c r="L2548" i="2"/>
  <c r="K2548" i="2"/>
  <c r="J2548" i="2"/>
  <c r="H2548" i="2"/>
  <c r="G2548" i="2"/>
  <c r="F2548" i="2"/>
  <c r="E2548" i="2"/>
  <c r="D2548" i="2"/>
  <c r="C2548" i="2"/>
  <c r="A2548" i="2"/>
  <c r="M2547" i="2"/>
  <c r="L2547" i="2"/>
  <c r="K2547" i="2"/>
  <c r="J2547" i="2"/>
  <c r="H2547" i="2"/>
  <c r="G2547" i="2"/>
  <c r="F2547" i="2"/>
  <c r="E2547" i="2"/>
  <c r="D2547" i="2"/>
  <c r="C2547" i="2"/>
  <c r="A2547" i="2"/>
  <c r="M2546" i="2"/>
  <c r="L2546" i="2"/>
  <c r="K2546" i="2"/>
  <c r="J2546" i="2"/>
  <c r="H2546" i="2"/>
  <c r="G2546" i="2"/>
  <c r="F2546" i="2"/>
  <c r="E2546" i="2"/>
  <c r="D2546" i="2"/>
  <c r="C2546" i="2"/>
  <c r="A2546" i="2"/>
  <c r="M2545" i="2"/>
  <c r="L2545" i="2"/>
  <c r="K2545" i="2"/>
  <c r="J2545" i="2"/>
  <c r="H2545" i="2"/>
  <c r="G2545" i="2"/>
  <c r="F2545" i="2"/>
  <c r="E2545" i="2"/>
  <c r="D2545" i="2"/>
  <c r="C2545" i="2"/>
  <c r="A2545" i="2"/>
  <c r="M2544" i="2"/>
  <c r="L2544" i="2"/>
  <c r="K2544" i="2"/>
  <c r="J2544" i="2"/>
  <c r="H2544" i="2"/>
  <c r="G2544" i="2"/>
  <c r="F2544" i="2"/>
  <c r="E2544" i="2"/>
  <c r="D2544" i="2"/>
  <c r="C2544" i="2"/>
  <c r="A2544" i="2"/>
  <c r="M2543" i="2"/>
  <c r="L2543" i="2"/>
  <c r="K2543" i="2"/>
  <c r="J2543" i="2"/>
  <c r="H2543" i="2"/>
  <c r="G2543" i="2"/>
  <c r="F2543" i="2"/>
  <c r="E2543" i="2"/>
  <c r="D2543" i="2"/>
  <c r="C2543" i="2"/>
  <c r="A2543" i="2"/>
  <c r="M2542" i="2"/>
  <c r="L2542" i="2"/>
  <c r="K2542" i="2"/>
  <c r="J2542" i="2"/>
  <c r="H2542" i="2"/>
  <c r="G2542" i="2"/>
  <c r="F2542" i="2"/>
  <c r="E2542" i="2"/>
  <c r="D2542" i="2"/>
  <c r="C2542" i="2"/>
  <c r="A2542" i="2"/>
  <c r="M2541" i="2"/>
  <c r="L2541" i="2"/>
  <c r="K2541" i="2"/>
  <c r="J2541" i="2"/>
  <c r="H2541" i="2"/>
  <c r="G2541" i="2"/>
  <c r="F2541" i="2"/>
  <c r="E2541" i="2"/>
  <c r="D2541" i="2"/>
  <c r="C2541" i="2"/>
  <c r="A2541" i="2"/>
  <c r="M2540" i="2"/>
  <c r="L2540" i="2"/>
  <c r="K2540" i="2"/>
  <c r="J2540" i="2"/>
  <c r="H2540" i="2"/>
  <c r="G2540" i="2"/>
  <c r="F2540" i="2"/>
  <c r="E2540" i="2"/>
  <c r="D2540" i="2"/>
  <c r="C2540" i="2"/>
  <c r="A2540" i="2"/>
  <c r="M2539" i="2"/>
  <c r="L2539" i="2"/>
  <c r="K2539" i="2"/>
  <c r="J2539" i="2"/>
  <c r="H2539" i="2"/>
  <c r="G2539" i="2"/>
  <c r="F2539" i="2"/>
  <c r="E2539" i="2"/>
  <c r="D2539" i="2"/>
  <c r="C2539" i="2"/>
  <c r="A2539" i="2"/>
  <c r="M2538" i="2"/>
  <c r="L2538" i="2"/>
  <c r="K2538" i="2"/>
  <c r="J2538" i="2"/>
  <c r="H2538" i="2"/>
  <c r="G2538" i="2"/>
  <c r="F2538" i="2"/>
  <c r="E2538" i="2"/>
  <c r="D2538" i="2"/>
  <c r="C2538" i="2"/>
  <c r="A2538" i="2"/>
  <c r="M2537" i="2"/>
  <c r="L2537" i="2"/>
  <c r="K2537" i="2"/>
  <c r="J2537" i="2"/>
  <c r="H2537" i="2"/>
  <c r="G2537" i="2"/>
  <c r="F2537" i="2"/>
  <c r="E2537" i="2"/>
  <c r="D2537" i="2"/>
  <c r="C2537" i="2"/>
  <c r="A2537" i="2"/>
  <c r="M2536" i="2"/>
  <c r="L2536" i="2"/>
  <c r="K2536" i="2"/>
  <c r="J2536" i="2"/>
  <c r="H2536" i="2"/>
  <c r="G2536" i="2"/>
  <c r="F2536" i="2"/>
  <c r="E2536" i="2"/>
  <c r="D2536" i="2"/>
  <c r="C2536" i="2"/>
  <c r="A2536" i="2"/>
  <c r="M2535" i="2"/>
  <c r="L2535" i="2"/>
  <c r="K2535" i="2"/>
  <c r="J2535" i="2"/>
  <c r="H2535" i="2"/>
  <c r="G2535" i="2"/>
  <c r="F2535" i="2"/>
  <c r="E2535" i="2"/>
  <c r="D2535" i="2"/>
  <c r="C2535" i="2"/>
  <c r="A2535" i="2"/>
  <c r="M2534" i="2"/>
  <c r="L2534" i="2"/>
  <c r="K2534" i="2"/>
  <c r="J2534" i="2"/>
  <c r="H2534" i="2"/>
  <c r="G2534" i="2"/>
  <c r="F2534" i="2"/>
  <c r="E2534" i="2"/>
  <c r="D2534" i="2"/>
  <c r="C2534" i="2"/>
  <c r="A2534" i="2"/>
  <c r="M2533" i="2"/>
  <c r="L2533" i="2"/>
  <c r="K2533" i="2"/>
  <c r="J2533" i="2"/>
  <c r="H2533" i="2"/>
  <c r="G2533" i="2"/>
  <c r="F2533" i="2"/>
  <c r="E2533" i="2"/>
  <c r="D2533" i="2"/>
  <c r="C2533" i="2"/>
  <c r="A2533" i="2"/>
  <c r="M2532" i="2"/>
  <c r="L2532" i="2"/>
  <c r="K2532" i="2"/>
  <c r="J2532" i="2"/>
  <c r="H2532" i="2"/>
  <c r="G2532" i="2"/>
  <c r="F2532" i="2"/>
  <c r="E2532" i="2"/>
  <c r="D2532" i="2"/>
  <c r="C2532" i="2"/>
  <c r="A2532" i="2"/>
  <c r="M2531" i="2"/>
  <c r="L2531" i="2"/>
  <c r="K2531" i="2"/>
  <c r="J2531" i="2"/>
  <c r="H2531" i="2"/>
  <c r="G2531" i="2"/>
  <c r="F2531" i="2"/>
  <c r="E2531" i="2"/>
  <c r="D2531" i="2"/>
  <c r="C2531" i="2"/>
  <c r="A2531" i="2"/>
  <c r="M2530" i="2"/>
  <c r="L2530" i="2"/>
  <c r="K2530" i="2"/>
  <c r="J2530" i="2"/>
  <c r="H2530" i="2"/>
  <c r="G2530" i="2"/>
  <c r="F2530" i="2"/>
  <c r="E2530" i="2"/>
  <c r="D2530" i="2"/>
  <c r="C2530" i="2"/>
  <c r="A2530" i="2"/>
  <c r="M2529" i="2"/>
  <c r="L2529" i="2"/>
  <c r="K2529" i="2"/>
  <c r="J2529" i="2"/>
  <c r="H2529" i="2"/>
  <c r="G2529" i="2"/>
  <c r="F2529" i="2"/>
  <c r="E2529" i="2"/>
  <c r="D2529" i="2"/>
  <c r="C2529" i="2"/>
  <c r="A2529" i="2"/>
  <c r="M2528" i="2"/>
  <c r="L2528" i="2"/>
  <c r="K2528" i="2"/>
  <c r="J2528" i="2"/>
  <c r="H2528" i="2"/>
  <c r="G2528" i="2"/>
  <c r="F2528" i="2"/>
  <c r="E2528" i="2"/>
  <c r="D2528" i="2"/>
  <c r="C2528" i="2"/>
  <c r="A2528" i="2"/>
  <c r="M2527" i="2"/>
  <c r="L2527" i="2"/>
  <c r="K2527" i="2"/>
  <c r="J2527" i="2"/>
  <c r="H2527" i="2"/>
  <c r="G2527" i="2"/>
  <c r="F2527" i="2"/>
  <c r="E2527" i="2"/>
  <c r="D2527" i="2"/>
  <c r="C2527" i="2"/>
  <c r="A2527" i="2"/>
  <c r="M2526" i="2"/>
  <c r="L2526" i="2"/>
  <c r="K2526" i="2"/>
  <c r="J2526" i="2"/>
  <c r="H2526" i="2"/>
  <c r="G2526" i="2"/>
  <c r="F2526" i="2"/>
  <c r="E2526" i="2"/>
  <c r="D2526" i="2"/>
  <c r="C2526" i="2"/>
  <c r="A2526" i="2"/>
  <c r="M2525" i="2"/>
  <c r="L2525" i="2"/>
  <c r="K2525" i="2"/>
  <c r="J2525" i="2"/>
  <c r="H2525" i="2"/>
  <c r="G2525" i="2"/>
  <c r="F2525" i="2"/>
  <c r="E2525" i="2"/>
  <c r="D2525" i="2"/>
  <c r="C2525" i="2"/>
  <c r="A2525" i="2"/>
  <c r="M2524" i="2"/>
  <c r="L2524" i="2"/>
  <c r="K2524" i="2"/>
  <c r="J2524" i="2"/>
  <c r="H2524" i="2"/>
  <c r="G2524" i="2"/>
  <c r="F2524" i="2"/>
  <c r="E2524" i="2"/>
  <c r="D2524" i="2"/>
  <c r="C2524" i="2"/>
  <c r="A2524" i="2"/>
  <c r="M2523" i="2"/>
  <c r="L2523" i="2"/>
  <c r="K2523" i="2"/>
  <c r="J2523" i="2"/>
  <c r="H2523" i="2"/>
  <c r="G2523" i="2"/>
  <c r="F2523" i="2"/>
  <c r="E2523" i="2"/>
  <c r="D2523" i="2"/>
  <c r="C2523" i="2"/>
  <c r="A2523" i="2"/>
  <c r="M2522" i="2"/>
  <c r="L2522" i="2"/>
  <c r="K2522" i="2"/>
  <c r="J2522" i="2"/>
  <c r="H2522" i="2"/>
  <c r="G2522" i="2"/>
  <c r="F2522" i="2"/>
  <c r="E2522" i="2"/>
  <c r="D2522" i="2"/>
  <c r="C2522" i="2"/>
  <c r="A2522" i="2"/>
  <c r="M2521" i="2"/>
  <c r="L2521" i="2"/>
  <c r="K2521" i="2"/>
  <c r="J2521" i="2"/>
  <c r="H2521" i="2"/>
  <c r="G2521" i="2"/>
  <c r="F2521" i="2"/>
  <c r="E2521" i="2"/>
  <c r="D2521" i="2"/>
  <c r="C2521" i="2"/>
  <c r="A2521" i="2"/>
  <c r="M2520" i="2"/>
  <c r="L2520" i="2"/>
  <c r="K2520" i="2"/>
  <c r="J2520" i="2"/>
  <c r="H2520" i="2"/>
  <c r="G2520" i="2"/>
  <c r="F2520" i="2"/>
  <c r="E2520" i="2"/>
  <c r="D2520" i="2"/>
  <c r="C2520" i="2"/>
  <c r="A2520" i="2"/>
  <c r="M2519" i="2"/>
  <c r="L2519" i="2"/>
  <c r="K2519" i="2"/>
  <c r="J2519" i="2"/>
  <c r="H2519" i="2"/>
  <c r="G2519" i="2"/>
  <c r="F2519" i="2"/>
  <c r="E2519" i="2"/>
  <c r="D2519" i="2"/>
  <c r="C2519" i="2"/>
  <c r="A2519" i="2"/>
  <c r="M2518" i="2"/>
  <c r="L2518" i="2"/>
  <c r="K2518" i="2"/>
  <c r="J2518" i="2"/>
  <c r="H2518" i="2"/>
  <c r="G2518" i="2"/>
  <c r="F2518" i="2"/>
  <c r="E2518" i="2"/>
  <c r="D2518" i="2"/>
  <c r="C2518" i="2"/>
  <c r="A2518" i="2"/>
  <c r="M2517" i="2"/>
  <c r="L2517" i="2"/>
  <c r="K2517" i="2"/>
  <c r="J2517" i="2"/>
  <c r="H2517" i="2"/>
  <c r="G2517" i="2"/>
  <c r="F2517" i="2"/>
  <c r="E2517" i="2"/>
  <c r="D2517" i="2"/>
  <c r="C2517" i="2"/>
  <c r="A2517" i="2"/>
  <c r="M2516" i="2"/>
  <c r="L2516" i="2"/>
  <c r="K2516" i="2"/>
  <c r="J2516" i="2"/>
  <c r="H2516" i="2"/>
  <c r="G2516" i="2"/>
  <c r="F2516" i="2"/>
  <c r="E2516" i="2"/>
  <c r="D2516" i="2"/>
  <c r="C2516" i="2"/>
  <c r="A2516" i="2"/>
  <c r="M2515" i="2"/>
  <c r="L2515" i="2"/>
  <c r="K2515" i="2"/>
  <c r="J2515" i="2"/>
  <c r="H2515" i="2"/>
  <c r="G2515" i="2"/>
  <c r="F2515" i="2"/>
  <c r="E2515" i="2"/>
  <c r="D2515" i="2"/>
  <c r="C2515" i="2"/>
  <c r="A2515" i="2"/>
  <c r="M2514" i="2"/>
  <c r="L2514" i="2"/>
  <c r="K2514" i="2"/>
  <c r="J2514" i="2"/>
  <c r="H2514" i="2"/>
  <c r="G2514" i="2"/>
  <c r="F2514" i="2"/>
  <c r="E2514" i="2"/>
  <c r="D2514" i="2"/>
  <c r="C2514" i="2"/>
  <c r="A2514" i="2"/>
  <c r="M2513" i="2"/>
  <c r="L2513" i="2"/>
  <c r="K2513" i="2"/>
  <c r="J2513" i="2"/>
  <c r="H2513" i="2"/>
  <c r="G2513" i="2"/>
  <c r="F2513" i="2"/>
  <c r="E2513" i="2"/>
  <c r="D2513" i="2"/>
  <c r="C2513" i="2"/>
  <c r="A2513" i="2"/>
  <c r="M2512" i="2"/>
  <c r="L2512" i="2"/>
  <c r="K2512" i="2"/>
  <c r="J2512" i="2"/>
  <c r="H2512" i="2"/>
  <c r="G2512" i="2"/>
  <c r="F2512" i="2"/>
  <c r="E2512" i="2"/>
  <c r="D2512" i="2"/>
  <c r="C2512" i="2"/>
  <c r="A2512" i="2"/>
  <c r="M2511" i="2"/>
  <c r="L2511" i="2"/>
  <c r="K2511" i="2"/>
  <c r="J2511" i="2"/>
  <c r="H2511" i="2"/>
  <c r="G2511" i="2"/>
  <c r="F2511" i="2"/>
  <c r="E2511" i="2"/>
  <c r="D2511" i="2"/>
  <c r="C2511" i="2"/>
  <c r="A2511" i="2"/>
  <c r="M2510" i="2"/>
  <c r="L2510" i="2"/>
  <c r="K2510" i="2"/>
  <c r="J2510" i="2"/>
  <c r="H2510" i="2"/>
  <c r="G2510" i="2"/>
  <c r="F2510" i="2"/>
  <c r="E2510" i="2"/>
  <c r="D2510" i="2"/>
  <c r="C2510" i="2"/>
  <c r="A2510" i="2"/>
  <c r="M2509" i="2"/>
  <c r="L2509" i="2"/>
  <c r="K2509" i="2"/>
  <c r="J2509" i="2"/>
  <c r="H2509" i="2"/>
  <c r="G2509" i="2"/>
  <c r="F2509" i="2"/>
  <c r="E2509" i="2"/>
  <c r="D2509" i="2"/>
  <c r="C2509" i="2"/>
  <c r="A2509" i="2"/>
  <c r="M2508" i="2"/>
  <c r="L2508" i="2"/>
  <c r="K2508" i="2"/>
  <c r="J2508" i="2"/>
  <c r="H2508" i="2"/>
  <c r="G2508" i="2"/>
  <c r="F2508" i="2"/>
  <c r="E2508" i="2"/>
  <c r="D2508" i="2"/>
  <c r="C2508" i="2"/>
  <c r="A2508" i="2"/>
  <c r="M2507" i="2"/>
  <c r="L2507" i="2"/>
  <c r="K2507" i="2"/>
  <c r="J2507" i="2"/>
  <c r="H2507" i="2"/>
  <c r="G2507" i="2"/>
  <c r="F2507" i="2"/>
  <c r="E2507" i="2"/>
  <c r="D2507" i="2"/>
  <c r="C2507" i="2"/>
  <c r="A2507" i="2"/>
  <c r="M2506" i="2"/>
  <c r="L2506" i="2"/>
  <c r="K2506" i="2"/>
  <c r="J2506" i="2"/>
  <c r="H2506" i="2"/>
  <c r="G2506" i="2"/>
  <c r="F2506" i="2"/>
  <c r="E2506" i="2"/>
  <c r="D2506" i="2"/>
  <c r="C2506" i="2"/>
  <c r="A2506" i="2"/>
  <c r="M2505" i="2"/>
  <c r="L2505" i="2"/>
  <c r="K2505" i="2"/>
  <c r="J2505" i="2"/>
  <c r="H2505" i="2"/>
  <c r="G2505" i="2"/>
  <c r="F2505" i="2"/>
  <c r="E2505" i="2"/>
  <c r="D2505" i="2"/>
  <c r="C2505" i="2"/>
  <c r="A2505" i="2"/>
  <c r="M2504" i="2"/>
  <c r="L2504" i="2"/>
  <c r="K2504" i="2"/>
  <c r="J2504" i="2"/>
  <c r="H2504" i="2"/>
  <c r="G2504" i="2"/>
  <c r="F2504" i="2"/>
  <c r="E2504" i="2"/>
  <c r="D2504" i="2"/>
  <c r="C2504" i="2"/>
  <c r="A2504" i="2"/>
  <c r="M2503" i="2"/>
  <c r="L2503" i="2"/>
  <c r="K2503" i="2"/>
  <c r="J2503" i="2"/>
  <c r="H2503" i="2"/>
  <c r="G2503" i="2"/>
  <c r="F2503" i="2"/>
  <c r="E2503" i="2"/>
  <c r="D2503" i="2"/>
  <c r="C2503" i="2"/>
  <c r="A2503" i="2"/>
  <c r="M2502" i="2"/>
  <c r="L2502" i="2"/>
  <c r="K2502" i="2"/>
  <c r="J2502" i="2"/>
  <c r="H2502" i="2"/>
  <c r="G2502" i="2"/>
  <c r="F2502" i="2"/>
  <c r="E2502" i="2"/>
  <c r="D2502" i="2"/>
  <c r="C2502" i="2"/>
  <c r="A2502" i="2"/>
  <c r="M2501" i="2"/>
  <c r="L2501" i="2"/>
  <c r="K2501" i="2"/>
  <c r="J2501" i="2"/>
  <c r="H2501" i="2"/>
  <c r="G2501" i="2"/>
  <c r="F2501" i="2"/>
  <c r="E2501" i="2"/>
  <c r="D2501" i="2"/>
  <c r="C2501" i="2"/>
  <c r="A2501" i="2"/>
  <c r="M2500" i="2"/>
  <c r="L2500" i="2"/>
  <c r="K2500" i="2"/>
  <c r="J2500" i="2"/>
  <c r="H2500" i="2"/>
  <c r="G2500" i="2"/>
  <c r="F2500" i="2"/>
  <c r="E2500" i="2"/>
  <c r="D2500" i="2"/>
  <c r="C2500" i="2"/>
  <c r="A2500" i="2"/>
  <c r="M2499" i="2"/>
  <c r="L2499" i="2"/>
  <c r="K2499" i="2"/>
  <c r="J2499" i="2"/>
  <c r="H2499" i="2"/>
  <c r="G2499" i="2"/>
  <c r="F2499" i="2"/>
  <c r="E2499" i="2"/>
  <c r="D2499" i="2"/>
  <c r="C2499" i="2"/>
  <c r="A2499" i="2"/>
  <c r="M2498" i="2"/>
  <c r="L2498" i="2"/>
  <c r="K2498" i="2"/>
  <c r="J2498" i="2"/>
  <c r="H2498" i="2"/>
  <c r="G2498" i="2"/>
  <c r="F2498" i="2"/>
  <c r="E2498" i="2"/>
  <c r="D2498" i="2"/>
  <c r="C2498" i="2"/>
  <c r="A2498" i="2"/>
  <c r="M2497" i="2"/>
  <c r="L2497" i="2"/>
  <c r="K2497" i="2"/>
  <c r="J2497" i="2"/>
  <c r="H2497" i="2"/>
  <c r="G2497" i="2"/>
  <c r="F2497" i="2"/>
  <c r="E2497" i="2"/>
  <c r="D2497" i="2"/>
  <c r="C2497" i="2"/>
  <c r="A2497" i="2"/>
  <c r="M2496" i="2"/>
  <c r="L2496" i="2"/>
  <c r="K2496" i="2"/>
  <c r="J2496" i="2"/>
  <c r="H2496" i="2"/>
  <c r="G2496" i="2"/>
  <c r="F2496" i="2"/>
  <c r="E2496" i="2"/>
  <c r="D2496" i="2"/>
  <c r="C2496" i="2"/>
  <c r="A2496" i="2"/>
  <c r="M2495" i="2"/>
  <c r="L2495" i="2"/>
  <c r="K2495" i="2"/>
  <c r="J2495" i="2"/>
  <c r="H2495" i="2"/>
  <c r="G2495" i="2"/>
  <c r="F2495" i="2"/>
  <c r="E2495" i="2"/>
  <c r="D2495" i="2"/>
  <c r="C2495" i="2"/>
  <c r="A2495" i="2"/>
  <c r="M2494" i="2"/>
  <c r="L2494" i="2"/>
  <c r="K2494" i="2"/>
  <c r="J2494" i="2"/>
  <c r="H2494" i="2"/>
  <c r="G2494" i="2"/>
  <c r="F2494" i="2"/>
  <c r="E2494" i="2"/>
  <c r="D2494" i="2"/>
  <c r="C2494" i="2"/>
  <c r="A2494" i="2"/>
  <c r="M2493" i="2"/>
  <c r="L2493" i="2"/>
  <c r="K2493" i="2"/>
  <c r="J2493" i="2"/>
  <c r="H2493" i="2"/>
  <c r="G2493" i="2"/>
  <c r="F2493" i="2"/>
  <c r="E2493" i="2"/>
  <c r="D2493" i="2"/>
  <c r="C2493" i="2"/>
  <c r="A2493" i="2"/>
  <c r="M2492" i="2"/>
  <c r="L2492" i="2"/>
  <c r="K2492" i="2"/>
  <c r="J2492" i="2"/>
  <c r="H2492" i="2"/>
  <c r="G2492" i="2"/>
  <c r="F2492" i="2"/>
  <c r="E2492" i="2"/>
  <c r="D2492" i="2"/>
  <c r="C2492" i="2"/>
  <c r="A2492" i="2"/>
  <c r="M2491" i="2"/>
  <c r="L2491" i="2"/>
  <c r="K2491" i="2"/>
  <c r="J2491" i="2"/>
  <c r="H2491" i="2"/>
  <c r="G2491" i="2"/>
  <c r="F2491" i="2"/>
  <c r="E2491" i="2"/>
  <c r="D2491" i="2"/>
  <c r="C2491" i="2"/>
  <c r="A2491" i="2"/>
  <c r="M2490" i="2"/>
  <c r="L2490" i="2"/>
  <c r="K2490" i="2"/>
  <c r="J2490" i="2"/>
  <c r="H2490" i="2"/>
  <c r="G2490" i="2"/>
  <c r="F2490" i="2"/>
  <c r="E2490" i="2"/>
  <c r="D2490" i="2"/>
  <c r="C2490" i="2"/>
  <c r="A2490" i="2"/>
  <c r="M2489" i="2"/>
  <c r="L2489" i="2"/>
  <c r="K2489" i="2"/>
  <c r="J2489" i="2"/>
  <c r="H2489" i="2"/>
  <c r="G2489" i="2"/>
  <c r="F2489" i="2"/>
  <c r="E2489" i="2"/>
  <c r="D2489" i="2"/>
  <c r="C2489" i="2"/>
  <c r="A2489" i="2"/>
  <c r="M2488" i="2"/>
  <c r="L2488" i="2"/>
  <c r="K2488" i="2"/>
  <c r="J2488" i="2"/>
  <c r="H2488" i="2"/>
  <c r="G2488" i="2"/>
  <c r="F2488" i="2"/>
  <c r="E2488" i="2"/>
  <c r="D2488" i="2"/>
  <c r="C2488" i="2"/>
  <c r="A2488" i="2"/>
  <c r="M2487" i="2"/>
  <c r="L2487" i="2"/>
  <c r="K2487" i="2"/>
  <c r="J2487" i="2"/>
  <c r="H2487" i="2"/>
  <c r="G2487" i="2"/>
  <c r="F2487" i="2"/>
  <c r="E2487" i="2"/>
  <c r="D2487" i="2"/>
  <c r="C2487" i="2"/>
  <c r="A2487" i="2"/>
  <c r="M2486" i="2"/>
  <c r="L2486" i="2"/>
  <c r="K2486" i="2"/>
  <c r="J2486" i="2"/>
  <c r="H2486" i="2"/>
  <c r="G2486" i="2"/>
  <c r="F2486" i="2"/>
  <c r="E2486" i="2"/>
  <c r="D2486" i="2"/>
  <c r="C2486" i="2"/>
  <c r="A2486" i="2"/>
  <c r="M2485" i="2"/>
  <c r="L2485" i="2"/>
  <c r="K2485" i="2"/>
  <c r="J2485" i="2"/>
  <c r="H2485" i="2"/>
  <c r="G2485" i="2"/>
  <c r="F2485" i="2"/>
  <c r="E2485" i="2"/>
  <c r="D2485" i="2"/>
  <c r="C2485" i="2"/>
  <c r="A2485" i="2"/>
  <c r="M2484" i="2"/>
  <c r="L2484" i="2"/>
  <c r="K2484" i="2"/>
  <c r="J2484" i="2"/>
  <c r="H2484" i="2"/>
  <c r="G2484" i="2"/>
  <c r="F2484" i="2"/>
  <c r="E2484" i="2"/>
  <c r="D2484" i="2"/>
  <c r="C2484" i="2"/>
  <c r="A2484" i="2"/>
  <c r="M2483" i="2"/>
  <c r="L2483" i="2"/>
  <c r="K2483" i="2"/>
  <c r="J2483" i="2"/>
  <c r="H2483" i="2"/>
  <c r="G2483" i="2"/>
  <c r="F2483" i="2"/>
  <c r="E2483" i="2"/>
  <c r="D2483" i="2"/>
  <c r="C2483" i="2"/>
  <c r="A2483" i="2"/>
  <c r="M2482" i="2"/>
  <c r="L2482" i="2"/>
  <c r="K2482" i="2"/>
  <c r="J2482" i="2"/>
  <c r="H2482" i="2"/>
  <c r="G2482" i="2"/>
  <c r="F2482" i="2"/>
  <c r="E2482" i="2"/>
  <c r="D2482" i="2"/>
  <c r="C2482" i="2"/>
  <c r="A2482" i="2"/>
  <c r="M2481" i="2"/>
  <c r="L2481" i="2"/>
  <c r="K2481" i="2"/>
  <c r="J2481" i="2"/>
  <c r="H2481" i="2"/>
  <c r="G2481" i="2"/>
  <c r="F2481" i="2"/>
  <c r="E2481" i="2"/>
  <c r="D2481" i="2"/>
  <c r="C2481" i="2"/>
  <c r="A2481" i="2"/>
  <c r="M2480" i="2"/>
  <c r="L2480" i="2"/>
  <c r="K2480" i="2"/>
  <c r="J2480" i="2"/>
  <c r="H2480" i="2"/>
  <c r="G2480" i="2"/>
  <c r="F2480" i="2"/>
  <c r="E2480" i="2"/>
  <c r="D2480" i="2"/>
  <c r="C2480" i="2"/>
  <c r="A2480" i="2"/>
  <c r="M2479" i="2"/>
  <c r="L2479" i="2"/>
  <c r="K2479" i="2"/>
  <c r="J2479" i="2"/>
  <c r="H2479" i="2"/>
  <c r="G2479" i="2"/>
  <c r="F2479" i="2"/>
  <c r="E2479" i="2"/>
  <c r="D2479" i="2"/>
  <c r="C2479" i="2"/>
  <c r="A2479" i="2"/>
  <c r="M2478" i="2"/>
  <c r="L2478" i="2"/>
  <c r="K2478" i="2"/>
  <c r="J2478" i="2"/>
  <c r="H2478" i="2"/>
  <c r="G2478" i="2"/>
  <c r="F2478" i="2"/>
  <c r="E2478" i="2"/>
  <c r="D2478" i="2"/>
  <c r="C2478" i="2"/>
  <c r="A2478" i="2"/>
  <c r="M2477" i="2"/>
  <c r="L2477" i="2"/>
  <c r="K2477" i="2"/>
  <c r="J2477" i="2"/>
  <c r="H2477" i="2"/>
  <c r="G2477" i="2"/>
  <c r="F2477" i="2"/>
  <c r="E2477" i="2"/>
  <c r="D2477" i="2"/>
  <c r="C2477" i="2"/>
  <c r="A2477" i="2"/>
  <c r="M2476" i="2"/>
  <c r="L2476" i="2"/>
  <c r="K2476" i="2"/>
  <c r="J2476" i="2"/>
  <c r="H2476" i="2"/>
  <c r="G2476" i="2"/>
  <c r="F2476" i="2"/>
  <c r="E2476" i="2"/>
  <c r="D2476" i="2"/>
  <c r="C2476" i="2"/>
  <c r="A2476" i="2"/>
  <c r="M2475" i="2"/>
  <c r="L2475" i="2"/>
  <c r="K2475" i="2"/>
  <c r="J2475" i="2"/>
  <c r="H2475" i="2"/>
  <c r="G2475" i="2"/>
  <c r="F2475" i="2"/>
  <c r="E2475" i="2"/>
  <c r="D2475" i="2"/>
  <c r="C2475" i="2"/>
  <c r="A2475" i="2"/>
  <c r="M2474" i="2"/>
  <c r="L2474" i="2"/>
  <c r="K2474" i="2"/>
  <c r="J2474" i="2"/>
  <c r="H2474" i="2"/>
  <c r="G2474" i="2"/>
  <c r="F2474" i="2"/>
  <c r="E2474" i="2"/>
  <c r="D2474" i="2"/>
  <c r="C2474" i="2"/>
  <c r="A2474" i="2"/>
  <c r="M2473" i="2"/>
  <c r="L2473" i="2"/>
  <c r="K2473" i="2"/>
  <c r="J2473" i="2"/>
  <c r="H2473" i="2"/>
  <c r="G2473" i="2"/>
  <c r="F2473" i="2"/>
  <c r="E2473" i="2"/>
  <c r="D2473" i="2"/>
  <c r="C2473" i="2"/>
  <c r="A2473" i="2"/>
  <c r="M2472" i="2"/>
  <c r="L2472" i="2"/>
  <c r="K2472" i="2"/>
  <c r="J2472" i="2"/>
  <c r="H2472" i="2"/>
  <c r="G2472" i="2"/>
  <c r="F2472" i="2"/>
  <c r="E2472" i="2"/>
  <c r="D2472" i="2"/>
  <c r="C2472" i="2"/>
  <c r="A2472" i="2"/>
  <c r="M2471" i="2"/>
  <c r="L2471" i="2"/>
  <c r="K2471" i="2"/>
  <c r="J2471" i="2"/>
  <c r="H2471" i="2"/>
  <c r="G2471" i="2"/>
  <c r="F2471" i="2"/>
  <c r="E2471" i="2"/>
  <c r="D2471" i="2"/>
  <c r="C2471" i="2"/>
  <c r="A2471" i="2"/>
  <c r="M2470" i="2"/>
  <c r="L2470" i="2"/>
  <c r="K2470" i="2"/>
  <c r="J2470" i="2"/>
  <c r="H2470" i="2"/>
  <c r="G2470" i="2"/>
  <c r="F2470" i="2"/>
  <c r="E2470" i="2"/>
  <c r="D2470" i="2"/>
  <c r="C2470" i="2"/>
  <c r="A2470" i="2"/>
  <c r="M2469" i="2"/>
  <c r="L2469" i="2"/>
  <c r="K2469" i="2"/>
  <c r="J2469" i="2"/>
  <c r="H2469" i="2"/>
  <c r="G2469" i="2"/>
  <c r="F2469" i="2"/>
  <c r="E2469" i="2"/>
  <c r="D2469" i="2"/>
  <c r="C2469" i="2"/>
  <c r="A2469" i="2"/>
  <c r="M2468" i="2"/>
  <c r="L2468" i="2"/>
  <c r="K2468" i="2"/>
  <c r="J2468" i="2"/>
  <c r="H2468" i="2"/>
  <c r="G2468" i="2"/>
  <c r="F2468" i="2"/>
  <c r="E2468" i="2"/>
  <c r="D2468" i="2"/>
  <c r="C2468" i="2"/>
  <c r="A2468" i="2"/>
  <c r="M2467" i="2"/>
  <c r="L2467" i="2"/>
  <c r="K2467" i="2"/>
  <c r="J2467" i="2"/>
  <c r="H2467" i="2"/>
  <c r="G2467" i="2"/>
  <c r="F2467" i="2"/>
  <c r="E2467" i="2"/>
  <c r="D2467" i="2"/>
  <c r="C2467" i="2"/>
  <c r="A2467" i="2"/>
  <c r="M2466" i="2"/>
  <c r="L2466" i="2"/>
  <c r="K2466" i="2"/>
  <c r="J2466" i="2"/>
  <c r="H2466" i="2"/>
  <c r="G2466" i="2"/>
  <c r="F2466" i="2"/>
  <c r="E2466" i="2"/>
  <c r="D2466" i="2"/>
  <c r="C2466" i="2"/>
  <c r="A2466" i="2"/>
  <c r="M2465" i="2"/>
  <c r="L2465" i="2"/>
  <c r="K2465" i="2"/>
  <c r="J2465" i="2"/>
  <c r="H2465" i="2"/>
  <c r="G2465" i="2"/>
  <c r="F2465" i="2"/>
  <c r="E2465" i="2"/>
  <c r="D2465" i="2"/>
  <c r="C2465" i="2"/>
  <c r="A2465" i="2"/>
  <c r="M2464" i="2"/>
  <c r="L2464" i="2"/>
  <c r="K2464" i="2"/>
  <c r="J2464" i="2"/>
  <c r="H2464" i="2"/>
  <c r="G2464" i="2"/>
  <c r="F2464" i="2"/>
  <c r="E2464" i="2"/>
  <c r="D2464" i="2"/>
  <c r="C2464" i="2"/>
  <c r="A2464" i="2"/>
  <c r="M2463" i="2"/>
  <c r="L2463" i="2"/>
  <c r="K2463" i="2"/>
  <c r="J2463" i="2"/>
  <c r="H2463" i="2"/>
  <c r="G2463" i="2"/>
  <c r="F2463" i="2"/>
  <c r="E2463" i="2"/>
  <c r="D2463" i="2"/>
  <c r="C2463" i="2"/>
  <c r="A2463" i="2"/>
  <c r="M2462" i="2"/>
  <c r="L2462" i="2"/>
  <c r="K2462" i="2"/>
  <c r="J2462" i="2"/>
  <c r="H2462" i="2"/>
  <c r="G2462" i="2"/>
  <c r="F2462" i="2"/>
  <c r="E2462" i="2"/>
  <c r="D2462" i="2"/>
  <c r="C2462" i="2"/>
  <c r="A2462" i="2"/>
  <c r="M2461" i="2"/>
  <c r="L2461" i="2"/>
  <c r="K2461" i="2"/>
  <c r="J2461" i="2"/>
  <c r="H2461" i="2"/>
  <c r="G2461" i="2"/>
  <c r="F2461" i="2"/>
  <c r="E2461" i="2"/>
  <c r="D2461" i="2"/>
  <c r="C2461" i="2"/>
  <c r="A2461" i="2"/>
  <c r="M2460" i="2"/>
  <c r="L2460" i="2"/>
  <c r="K2460" i="2"/>
  <c r="J2460" i="2"/>
  <c r="H2460" i="2"/>
  <c r="G2460" i="2"/>
  <c r="F2460" i="2"/>
  <c r="E2460" i="2"/>
  <c r="D2460" i="2"/>
  <c r="C2460" i="2"/>
  <c r="A2460" i="2"/>
  <c r="M2459" i="2"/>
  <c r="L2459" i="2"/>
  <c r="K2459" i="2"/>
  <c r="J2459" i="2"/>
  <c r="H2459" i="2"/>
  <c r="G2459" i="2"/>
  <c r="F2459" i="2"/>
  <c r="E2459" i="2"/>
  <c r="D2459" i="2"/>
  <c r="C2459" i="2"/>
  <c r="A2459" i="2"/>
  <c r="M2458" i="2"/>
  <c r="L2458" i="2"/>
  <c r="K2458" i="2"/>
  <c r="J2458" i="2"/>
  <c r="H2458" i="2"/>
  <c r="G2458" i="2"/>
  <c r="F2458" i="2"/>
  <c r="E2458" i="2"/>
  <c r="D2458" i="2"/>
  <c r="C2458" i="2"/>
  <c r="A2458" i="2"/>
  <c r="M2457" i="2"/>
  <c r="L2457" i="2"/>
  <c r="K2457" i="2"/>
  <c r="J2457" i="2"/>
  <c r="H2457" i="2"/>
  <c r="G2457" i="2"/>
  <c r="F2457" i="2"/>
  <c r="E2457" i="2"/>
  <c r="D2457" i="2"/>
  <c r="C2457" i="2"/>
  <c r="A2457" i="2"/>
  <c r="M2456" i="2"/>
  <c r="L2456" i="2"/>
  <c r="K2456" i="2"/>
  <c r="J2456" i="2"/>
  <c r="H2456" i="2"/>
  <c r="G2456" i="2"/>
  <c r="F2456" i="2"/>
  <c r="E2456" i="2"/>
  <c r="D2456" i="2"/>
  <c r="C2456" i="2"/>
  <c r="A2456" i="2"/>
  <c r="M2455" i="2"/>
  <c r="L2455" i="2"/>
  <c r="K2455" i="2"/>
  <c r="J2455" i="2"/>
  <c r="H2455" i="2"/>
  <c r="G2455" i="2"/>
  <c r="F2455" i="2"/>
  <c r="E2455" i="2"/>
  <c r="D2455" i="2"/>
  <c r="C2455" i="2"/>
  <c r="A2455" i="2"/>
  <c r="M2454" i="2"/>
  <c r="L2454" i="2"/>
  <c r="K2454" i="2"/>
  <c r="J2454" i="2"/>
  <c r="H2454" i="2"/>
  <c r="G2454" i="2"/>
  <c r="F2454" i="2"/>
  <c r="E2454" i="2"/>
  <c r="D2454" i="2"/>
  <c r="C2454" i="2"/>
  <c r="A2454" i="2"/>
  <c r="M2453" i="2"/>
  <c r="L2453" i="2"/>
  <c r="K2453" i="2"/>
  <c r="J2453" i="2"/>
  <c r="H2453" i="2"/>
  <c r="G2453" i="2"/>
  <c r="F2453" i="2"/>
  <c r="E2453" i="2"/>
  <c r="D2453" i="2"/>
  <c r="C2453" i="2"/>
  <c r="A2453" i="2"/>
  <c r="M2452" i="2"/>
  <c r="L2452" i="2"/>
  <c r="K2452" i="2"/>
  <c r="J2452" i="2"/>
  <c r="H2452" i="2"/>
  <c r="G2452" i="2"/>
  <c r="F2452" i="2"/>
  <c r="E2452" i="2"/>
  <c r="D2452" i="2"/>
  <c r="C2452" i="2"/>
  <c r="A2452" i="2"/>
  <c r="M2451" i="2"/>
  <c r="L2451" i="2"/>
  <c r="K2451" i="2"/>
  <c r="J2451" i="2"/>
  <c r="H2451" i="2"/>
  <c r="G2451" i="2"/>
  <c r="F2451" i="2"/>
  <c r="E2451" i="2"/>
  <c r="D2451" i="2"/>
  <c r="C2451" i="2"/>
  <c r="A2451" i="2"/>
  <c r="M2450" i="2"/>
  <c r="L2450" i="2"/>
  <c r="K2450" i="2"/>
  <c r="J2450" i="2"/>
  <c r="H2450" i="2"/>
  <c r="G2450" i="2"/>
  <c r="F2450" i="2"/>
  <c r="E2450" i="2"/>
  <c r="D2450" i="2"/>
  <c r="C2450" i="2"/>
  <c r="A2450" i="2"/>
  <c r="M2449" i="2"/>
  <c r="L2449" i="2"/>
  <c r="K2449" i="2"/>
  <c r="J2449" i="2"/>
  <c r="H2449" i="2"/>
  <c r="G2449" i="2"/>
  <c r="F2449" i="2"/>
  <c r="E2449" i="2"/>
  <c r="D2449" i="2"/>
  <c r="C2449" i="2"/>
  <c r="A2449" i="2"/>
  <c r="M2448" i="2"/>
  <c r="L2448" i="2"/>
  <c r="K2448" i="2"/>
  <c r="J2448" i="2"/>
  <c r="H2448" i="2"/>
  <c r="G2448" i="2"/>
  <c r="F2448" i="2"/>
  <c r="E2448" i="2"/>
  <c r="D2448" i="2"/>
  <c r="C2448" i="2"/>
  <c r="A2448" i="2"/>
  <c r="M2447" i="2"/>
  <c r="L2447" i="2"/>
  <c r="K2447" i="2"/>
  <c r="J2447" i="2"/>
  <c r="H2447" i="2"/>
  <c r="G2447" i="2"/>
  <c r="F2447" i="2"/>
  <c r="E2447" i="2"/>
  <c r="D2447" i="2"/>
  <c r="C2447" i="2"/>
  <c r="A2447" i="2"/>
  <c r="M2446" i="2"/>
  <c r="L2446" i="2"/>
  <c r="K2446" i="2"/>
  <c r="J2446" i="2"/>
  <c r="H2446" i="2"/>
  <c r="G2446" i="2"/>
  <c r="F2446" i="2"/>
  <c r="E2446" i="2"/>
  <c r="D2446" i="2"/>
  <c r="C2446" i="2"/>
  <c r="A2446" i="2"/>
  <c r="M2445" i="2"/>
  <c r="L2445" i="2"/>
  <c r="K2445" i="2"/>
  <c r="J2445" i="2"/>
  <c r="H2445" i="2"/>
  <c r="G2445" i="2"/>
  <c r="F2445" i="2"/>
  <c r="E2445" i="2"/>
  <c r="D2445" i="2"/>
  <c r="C2445" i="2"/>
  <c r="A2445" i="2"/>
  <c r="M2444" i="2"/>
  <c r="L2444" i="2"/>
  <c r="K2444" i="2"/>
  <c r="J2444" i="2"/>
  <c r="H2444" i="2"/>
  <c r="G2444" i="2"/>
  <c r="F2444" i="2"/>
  <c r="E2444" i="2"/>
  <c r="D2444" i="2"/>
  <c r="C2444" i="2"/>
  <c r="A2444" i="2"/>
  <c r="M2443" i="2"/>
  <c r="L2443" i="2"/>
  <c r="K2443" i="2"/>
  <c r="J2443" i="2"/>
  <c r="H2443" i="2"/>
  <c r="G2443" i="2"/>
  <c r="F2443" i="2"/>
  <c r="E2443" i="2"/>
  <c r="D2443" i="2"/>
  <c r="C2443" i="2"/>
  <c r="A2443" i="2"/>
  <c r="M2442" i="2"/>
  <c r="L2442" i="2"/>
  <c r="K2442" i="2"/>
  <c r="J2442" i="2"/>
  <c r="H2442" i="2"/>
  <c r="G2442" i="2"/>
  <c r="F2442" i="2"/>
  <c r="E2442" i="2"/>
  <c r="D2442" i="2"/>
  <c r="C2442" i="2"/>
  <c r="A2442" i="2"/>
  <c r="M2441" i="2"/>
  <c r="L2441" i="2"/>
  <c r="K2441" i="2"/>
  <c r="J2441" i="2"/>
  <c r="H2441" i="2"/>
  <c r="G2441" i="2"/>
  <c r="F2441" i="2"/>
  <c r="E2441" i="2"/>
  <c r="D2441" i="2"/>
  <c r="C2441" i="2"/>
  <c r="A2441" i="2"/>
  <c r="M2440" i="2"/>
  <c r="L2440" i="2"/>
  <c r="K2440" i="2"/>
  <c r="J2440" i="2"/>
  <c r="H2440" i="2"/>
  <c r="G2440" i="2"/>
  <c r="F2440" i="2"/>
  <c r="E2440" i="2"/>
  <c r="D2440" i="2"/>
  <c r="C2440" i="2"/>
  <c r="A2440" i="2"/>
  <c r="M2439" i="2"/>
  <c r="L2439" i="2"/>
  <c r="K2439" i="2"/>
  <c r="J2439" i="2"/>
  <c r="H2439" i="2"/>
  <c r="G2439" i="2"/>
  <c r="F2439" i="2"/>
  <c r="E2439" i="2"/>
  <c r="D2439" i="2"/>
  <c r="C2439" i="2"/>
  <c r="A2439" i="2"/>
  <c r="M2438" i="2"/>
  <c r="L2438" i="2"/>
  <c r="K2438" i="2"/>
  <c r="J2438" i="2"/>
  <c r="H2438" i="2"/>
  <c r="G2438" i="2"/>
  <c r="F2438" i="2"/>
  <c r="E2438" i="2"/>
  <c r="D2438" i="2"/>
  <c r="C2438" i="2"/>
  <c r="A2438" i="2"/>
  <c r="M2437" i="2"/>
  <c r="L2437" i="2"/>
  <c r="K2437" i="2"/>
  <c r="J2437" i="2"/>
  <c r="H2437" i="2"/>
  <c r="G2437" i="2"/>
  <c r="F2437" i="2"/>
  <c r="E2437" i="2"/>
  <c r="D2437" i="2"/>
  <c r="C2437" i="2"/>
  <c r="A2437" i="2"/>
  <c r="M2436" i="2"/>
  <c r="L2436" i="2"/>
  <c r="K2436" i="2"/>
  <c r="J2436" i="2"/>
  <c r="H2436" i="2"/>
  <c r="G2436" i="2"/>
  <c r="F2436" i="2"/>
  <c r="E2436" i="2"/>
  <c r="D2436" i="2"/>
  <c r="C2436" i="2"/>
  <c r="A2436" i="2"/>
  <c r="M2435" i="2"/>
  <c r="L2435" i="2"/>
  <c r="K2435" i="2"/>
  <c r="J2435" i="2"/>
  <c r="H2435" i="2"/>
  <c r="G2435" i="2"/>
  <c r="F2435" i="2"/>
  <c r="E2435" i="2"/>
  <c r="D2435" i="2"/>
  <c r="C2435" i="2"/>
  <c r="A2435" i="2"/>
  <c r="M2434" i="2"/>
  <c r="L2434" i="2"/>
  <c r="K2434" i="2"/>
  <c r="J2434" i="2"/>
  <c r="H2434" i="2"/>
  <c r="G2434" i="2"/>
  <c r="F2434" i="2"/>
  <c r="E2434" i="2"/>
  <c r="D2434" i="2"/>
  <c r="C2434" i="2"/>
  <c r="A2434" i="2"/>
  <c r="M2433" i="2"/>
  <c r="L2433" i="2"/>
  <c r="K2433" i="2"/>
  <c r="J2433" i="2"/>
  <c r="H2433" i="2"/>
  <c r="G2433" i="2"/>
  <c r="F2433" i="2"/>
  <c r="E2433" i="2"/>
  <c r="D2433" i="2"/>
  <c r="C2433" i="2"/>
  <c r="A2433" i="2"/>
  <c r="M2432" i="2"/>
  <c r="L2432" i="2"/>
  <c r="K2432" i="2"/>
  <c r="J2432" i="2"/>
  <c r="H2432" i="2"/>
  <c r="G2432" i="2"/>
  <c r="F2432" i="2"/>
  <c r="E2432" i="2"/>
  <c r="D2432" i="2"/>
  <c r="C2432" i="2"/>
  <c r="A2432" i="2"/>
  <c r="M2431" i="2"/>
  <c r="L2431" i="2"/>
  <c r="K2431" i="2"/>
  <c r="J2431" i="2"/>
  <c r="H2431" i="2"/>
  <c r="G2431" i="2"/>
  <c r="F2431" i="2"/>
  <c r="E2431" i="2"/>
  <c r="D2431" i="2"/>
  <c r="C2431" i="2"/>
  <c r="A2431" i="2"/>
  <c r="M2430" i="2"/>
  <c r="L2430" i="2"/>
  <c r="K2430" i="2"/>
  <c r="J2430" i="2"/>
  <c r="H2430" i="2"/>
  <c r="G2430" i="2"/>
  <c r="F2430" i="2"/>
  <c r="E2430" i="2"/>
  <c r="D2430" i="2"/>
  <c r="C2430" i="2"/>
  <c r="A2430" i="2"/>
  <c r="M2429" i="2"/>
  <c r="L2429" i="2"/>
  <c r="K2429" i="2"/>
  <c r="J2429" i="2"/>
  <c r="H2429" i="2"/>
  <c r="G2429" i="2"/>
  <c r="F2429" i="2"/>
  <c r="E2429" i="2"/>
  <c r="D2429" i="2"/>
  <c r="C2429" i="2"/>
  <c r="A2429" i="2"/>
  <c r="M2428" i="2"/>
  <c r="L2428" i="2"/>
  <c r="K2428" i="2"/>
  <c r="J2428" i="2"/>
  <c r="H2428" i="2"/>
  <c r="G2428" i="2"/>
  <c r="F2428" i="2"/>
  <c r="E2428" i="2"/>
  <c r="D2428" i="2"/>
  <c r="C2428" i="2"/>
  <c r="A2428" i="2"/>
  <c r="M2427" i="2"/>
  <c r="L2427" i="2"/>
  <c r="K2427" i="2"/>
  <c r="J2427" i="2"/>
  <c r="H2427" i="2"/>
  <c r="G2427" i="2"/>
  <c r="F2427" i="2"/>
  <c r="E2427" i="2"/>
  <c r="D2427" i="2"/>
  <c r="C2427" i="2"/>
  <c r="A2427" i="2"/>
  <c r="M2426" i="2"/>
  <c r="L2426" i="2"/>
  <c r="K2426" i="2"/>
  <c r="J2426" i="2"/>
  <c r="H2426" i="2"/>
  <c r="G2426" i="2"/>
  <c r="F2426" i="2"/>
  <c r="E2426" i="2"/>
  <c r="D2426" i="2"/>
  <c r="C2426" i="2"/>
  <c r="A2426" i="2"/>
  <c r="M2425" i="2"/>
  <c r="L2425" i="2"/>
  <c r="K2425" i="2"/>
  <c r="J2425" i="2"/>
  <c r="H2425" i="2"/>
  <c r="G2425" i="2"/>
  <c r="F2425" i="2"/>
  <c r="E2425" i="2"/>
  <c r="D2425" i="2"/>
  <c r="C2425" i="2"/>
  <c r="A2425" i="2"/>
  <c r="M2424" i="2"/>
  <c r="L2424" i="2"/>
  <c r="K2424" i="2"/>
  <c r="J2424" i="2"/>
  <c r="H2424" i="2"/>
  <c r="G2424" i="2"/>
  <c r="F2424" i="2"/>
  <c r="E2424" i="2"/>
  <c r="D2424" i="2"/>
  <c r="C2424" i="2"/>
  <c r="A2424" i="2"/>
  <c r="M2423" i="2"/>
  <c r="L2423" i="2"/>
  <c r="K2423" i="2"/>
  <c r="J2423" i="2"/>
  <c r="H2423" i="2"/>
  <c r="G2423" i="2"/>
  <c r="F2423" i="2"/>
  <c r="E2423" i="2"/>
  <c r="D2423" i="2"/>
  <c r="C2423" i="2"/>
  <c r="A2423" i="2"/>
  <c r="M2422" i="2"/>
  <c r="L2422" i="2"/>
  <c r="K2422" i="2"/>
  <c r="J2422" i="2"/>
  <c r="H2422" i="2"/>
  <c r="G2422" i="2"/>
  <c r="F2422" i="2"/>
  <c r="E2422" i="2"/>
  <c r="D2422" i="2"/>
  <c r="C2422" i="2"/>
  <c r="A2422" i="2"/>
  <c r="M2421" i="2"/>
  <c r="L2421" i="2"/>
  <c r="K2421" i="2"/>
  <c r="J2421" i="2"/>
  <c r="H2421" i="2"/>
  <c r="G2421" i="2"/>
  <c r="F2421" i="2"/>
  <c r="E2421" i="2"/>
  <c r="D2421" i="2"/>
  <c r="C2421" i="2"/>
  <c r="A2421" i="2"/>
  <c r="M2420" i="2"/>
  <c r="L2420" i="2"/>
  <c r="K2420" i="2"/>
  <c r="J2420" i="2"/>
  <c r="H2420" i="2"/>
  <c r="G2420" i="2"/>
  <c r="F2420" i="2"/>
  <c r="E2420" i="2"/>
  <c r="D2420" i="2"/>
  <c r="C2420" i="2"/>
  <c r="A2420" i="2"/>
  <c r="M2419" i="2"/>
  <c r="L2419" i="2"/>
  <c r="K2419" i="2"/>
  <c r="J2419" i="2"/>
  <c r="H2419" i="2"/>
  <c r="G2419" i="2"/>
  <c r="F2419" i="2"/>
  <c r="E2419" i="2"/>
  <c r="D2419" i="2"/>
  <c r="C2419" i="2"/>
  <c r="A2419" i="2"/>
  <c r="M2418" i="2"/>
  <c r="L2418" i="2"/>
  <c r="K2418" i="2"/>
  <c r="J2418" i="2"/>
  <c r="H2418" i="2"/>
  <c r="G2418" i="2"/>
  <c r="F2418" i="2"/>
  <c r="E2418" i="2"/>
  <c r="D2418" i="2"/>
  <c r="C2418" i="2"/>
  <c r="A2418" i="2"/>
  <c r="M2417" i="2"/>
  <c r="L2417" i="2"/>
  <c r="K2417" i="2"/>
  <c r="J2417" i="2"/>
  <c r="H2417" i="2"/>
  <c r="G2417" i="2"/>
  <c r="F2417" i="2"/>
  <c r="E2417" i="2"/>
  <c r="D2417" i="2"/>
  <c r="C2417" i="2"/>
  <c r="A2417" i="2"/>
  <c r="M2416" i="2"/>
  <c r="L2416" i="2"/>
  <c r="K2416" i="2"/>
  <c r="J2416" i="2"/>
  <c r="H2416" i="2"/>
  <c r="G2416" i="2"/>
  <c r="F2416" i="2"/>
  <c r="E2416" i="2"/>
  <c r="D2416" i="2"/>
  <c r="C2416" i="2"/>
  <c r="A2416" i="2"/>
  <c r="M2415" i="2"/>
  <c r="L2415" i="2"/>
  <c r="K2415" i="2"/>
  <c r="J2415" i="2"/>
  <c r="H2415" i="2"/>
  <c r="G2415" i="2"/>
  <c r="F2415" i="2"/>
  <c r="E2415" i="2"/>
  <c r="D2415" i="2"/>
  <c r="C2415" i="2"/>
  <c r="A2415" i="2"/>
  <c r="M2414" i="2"/>
  <c r="L2414" i="2"/>
  <c r="K2414" i="2"/>
  <c r="J2414" i="2"/>
  <c r="H2414" i="2"/>
  <c r="G2414" i="2"/>
  <c r="F2414" i="2"/>
  <c r="E2414" i="2"/>
  <c r="D2414" i="2"/>
  <c r="C2414" i="2"/>
  <c r="A2414" i="2"/>
  <c r="M2413" i="2"/>
  <c r="L2413" i="2"/>
  <c r="K2413" i="2"/>
  <c r="J2413" i="2"/>
  <c r="H2413" i="2"/>
  <c r="G2413" i="2"/>
  <c r="F2413" i="2"/>
  <c r="E2413" i="2"/>
  <c r="D2413" i="2"/>
  <c r="C2413" i="2"/>
  <c r="A2413" i="2"/>
  <c r="M2412" i="2"/>
  <c r="L2412" i="2"/>
  <c r="K2412" i="2"/>
  <c r="J2412" i="2"/>
  <c r="H2412" i="2"/>
  <c r="G2412" i="2"/>
  <c r="F2412" i="2"/>
  <c r="E2412" i="2"/>
  <c r="D2412" i="2"/>
  <c r="C2412" i="2"/>
  <c r="A2412" i="2"/>
  <c r="M2411" i="2"/>
  <c r="L2411" i="2"/>
  <c r="K2411" i="2"/>
  <c r="J2411" i="2"/>
  <c r="H2411" i="2"/>
  <c r="G2411" i="2"/>
  <c r="F2411" i="2"/>
  <c r="E2411" i="2"/>
  <c r="D2411" i="2"/>
  <c r="C2411" i="2"/>
  <c r="A2411" i="2"/>
  <c r="M2410" i="2"/>
  <c r="L2410" i="2"/>
  <c r="K2410" i="2"/>
  <c r="J2410" i="2"/>
  <c r="H2410" i="2"/>
  <c r="G2410" i="2"/>
  <c r="F2410" i="2"/>
  <c r="E2410" i="2"/>
  <c r="D2410" i="2"/>
  <c r="C2410" i="2"/>
  <c r="A2410" i="2"/>
  <c r="M2409" i="2"/>
  <c r="L2409" i="2"/>
  <c r="K2409" i="2"/>
  <c r="J2409" i="2"/>
  <c r="H2409" i="2"/>
  <c r="G2409" i="2"/>
  <c r="F2409" i="2"/>
  <c r="E2409" i="2"/>
  <c r="D2409" i="2"/>
  <c r="C2409" i="2"/>
  <c r="A2409" i="2"/>
  <c r="M2408" i="2"/>
  <c r="L2408" i="2"/>
  <c r="K2408" i="2"/>
  <c r="J2408" i="2"/>
  <c r="H2408" i="2"/>
  <c r="G2408" i="2"/>
  <c r="F2408" i="2"/>
  <c r="E2408" i="2"/>
  <c r="D2408" i="2"/>
  <c r="C2408" i="2"/>
  <c r="A2408" i="2"/>
  <c r="M2407" i="2"/>
  <c r="L2407" i="2"/>
  <c r="K2407" i="2"/>
  <c r="J2407" i="2"/>
  <c r="H2407" i="2"/>
  <c r="G2407" i="2"/>
  <c r="F2407" i="2"/>
  <c r="E2407" i="2"/>
  <c r="D2407" i="2"/>
  <c r="C2407" i="2"/>
  <c r="A2407" i="2"/>
  <c r="M2406" i="2"/>
  <c r="L2406" i="2"/>
  <c r="K2406" i="2"/>
  <c r="J2406" i="2"/>
  <c r="H2406" i="2"/>
  <c r="G2406" i="2"/>
  <c r="F2406" i="2"/>
  <c r="E2406" i="2"/>
  <c r="D2406" i="2"/>
  <c r="C2406" i="2"/>
  <c r="A2406" i="2"/>
  <c r="M2405" i="2"/>
  <c r="L2405" i="2"/>
  <c r="K2405" i="2"/>
  <c r="J2405" i="2"/>
  <c r="H2405" i="2"/>
  <c r="G2405" i="2"/>
  <c r="F2405" i="2"/>
  <c r="E2405" i="2"/>
  <c r="D2405" i="2"/>
  <c r="C2405" i="2"/>
  <c r="A2405" i="2"/>
  <c r="M2404" i="2"/>
  <c r="L2404" i="2"/>
  <c r="K2404" i="2"/>
  <c r="J2404" i="2"/>
  <c r="H2404" i="2"/>
  <c r="G2404" i="2"/>
  <c r="F2404" i="2"/>
  <c r="E2404" i="2"/>
  <c r="D2404" i="2"/>
  <c r="C2404" i="2"/>
  <c r="A2404" i="2"/>
  <c r="M2403" i="2"/>
  <c r="L2403" i="2"/>
  <c r="K2403" i="2"/>
  <c r="J2403" i="2"/>
  <c r="H2403" i="2"/>
  <c r="G2403" i="2"/>
  <c r="F2403" i="2"/>
  <c r="E2403" i="2"/>
  <c r="D2403" i="2"/>
  <c r="C2403" i="2"/>
  <c r="A2403" i="2"/>
  <c r="M2402" i="2"/>
  <c r="L2402" i="2"/>
  <c r="K2402" i="2"/>
  <c r="J2402" i="2"/>
  <c r="H2402" i="2"/>
  <c r="G2402" i="2"/>
  <c r="F2402" i="2"/>
  <c r="E2402" i="2"/>
  <c r="D2402" i="2"/>
  <c r="C2402" i="2"/>
  <c r="A2402" i="2"/>
  <c r="M2401" i="2"/>
  <c r="L2401" i="2"/>
  <c r="K2401" i="2"/>
  <c r="J2401" i="2"/>
  <c r="H2401" i="2"/>
  <c r="G2401" i="2"/>
  <c r="F2401" i="2"/>
  <c r="E2401" i="2"/>
  <c r="D2401" i="2"/>
  <c r="C2401" i="2"/>
  <c r="A2401" i="2"/>
  <c r="M2400" i="2"/>
  <c r="L2400" i="2"/>
  <c r="K2400" i="2"/>
  <c r="J2400" i="2"/>
  <c r="H2400" i="2"/>
  <c r="G2400" i="2"/>
  <c r="F2400" i="2"/>
  <c r="E2400" i="2"/>
  <c r="D2400" i="2"/>
  <c r="C2400" i="2"/>
  <c r="A2400" i="2"/>
  <c r="M2399" i="2"/>
  <c r="L2399" i="2"/>
  <c r="K2399" i="2"/>
  <c r="J2399" i="2"/>
  <c r="H2399" i="2"/>
  <c r="G2399" i="2"/>
  <c r="F2399" i="2"/>
  <c r="E2399" i="2"/>
  <c r="D2399" i="2"/>
  <c r="C2399" i="2"/>
  <c r="A2399" i="2"/>
  <c r="M2398" i="2"/>
  <c r="L2398" i="2"/>
  <c r="K2398" i="2"/>
  <c r="J2398" i="2"/>
  <c r="H2398" i="2"/>
  <c r="G2398" i="2"/>
  <c r="F2398" i="2"/>
  <c r="E2398" i="2"/>
  <c r="D2398" i="2"/>
  <c r="C2398" i="2"/>
  <c r="A2398" i="2"/>
  <c r="M2397" i="2"/>
  <c r="L2397" i="2"/>
  <c r="K2397" i="2"/>
  <c r="J2397" i="2"/>
  <c r="H2397" i="2"/>
  <c r="G2397" i="2"/>
  <c r="F2397" i="2"/>
  <c r="E2397" i="2"/>
  <c r="D2397" i="2"/>
  <c r="C2397" i="2"/>
  <c r="A2397" i="2"/>
  <c r="M2396" i="2"/>
  <c r="L2396" i="2"/>
  <c r="K2396" i="2"/>
  <c r="J2396" i="2"/>
  <c r="H2396" i="2"/>
  <c r="G2396" i="2"/>
  <c r="F2396" i="2"/>
  <c r="E2396" i="2"/>
  <c r="D2396" i="2"/>
  <c r="C2396" i="2"/>
  <c r="A2396" i="2"/>
  <c r="M2395" i="2"/>
  <c r="L2395" i="2"/>
  <c r="K2395" i="2"/>
  <c r="J2395" i="2"/>
  <c r="H2395" i="2"/>
  <c r="G2395" i="2"/>
  <c r="F2395" i="2"/>
  <c r="E2395" i="2"/>
  <c r="D2395" i="2"/>
  <c r="C2395" i="2"/>
  <c r="A2395" i="2"/>
  <c r="M2394" i="2"/>
  <c r="L2394" i="2"/>
  <c r="K2394" i="2"/>
  <c r="J2394" i="2"/>
  <c r="H2394" i="2"/>
  <c r="G2394" i="2"/>
  <c r="F2394" i="2"/>
  <c r="E2394" i="2"/>
  <c r="D2394" i="2"/>
  <c r="C2394" i="2"/>
  <c r="A2394" i="2"/>
  <c r="M2393" i="2"/>
  <c r="L2393" i="2"/>
  <c r="K2393" i="2"/>
  <c r="J2393" i="2"/>
  <c r="H2393" i="2"/>
  <c r="G2393" i="2"/>
  <c r="F2393" i="2"/>
  <c r="E2393" i="2"/>
  <c r="D2393" i="2"/>
  <c r="C2393" i="2"/>
  <c r="A2393" i="2"/>
  <c r="M2392" i="2"/>
  <c r="L2392" i="2"/>
  <c r="K2392" i="2"/>
  <c r="J2392" i="2"/>
  <c r="H2392" i="2"/>
  <c r="G2392" i="2"/>
  <c r="F2392" i="2"/>
  <c r="E2392" i="2"/>
  <c r="D2392" i="2"/>
  <c r="C2392" i="2"/>
  <c r="A2392" i="2"/>
  <c r="M2391" i="2"/>
  <c r="L2391" i="2"/>
  <c r="K2391" i="2"/>
  <c r="J2391" i="2"/>
  <c r="H2391" i="2"/>
  <c r="G2391" i="2"/>
  <c r="F2391" i="2"/>
  <c r="E2391" i="2"/>
  <c r="D2391" i="2"/>
  <c r="C2391" i="2"/>
  <c r="A2391" i="2"/>
  <c r="M2390" i="2"/>
  <c r="L2390" i="2"/>
  <c r="K2390" i="2"/>
  <c r="J2390" i="2"/>
  <c r="H2390" i="2"/>
  <c r="G2390" i="2"/>
  <c r="F2390" i="2"/>
  <c r="E2390" i="2"/>
  <c r="D2390" i="2"/>
  <c r="C2390" i="2"/>
  <c r="A2390" i="2"/>
  <c r="M2389" i="2"/>
  <c r="L2389" i="2"/>
  <c r="K2389" i="2"/>
  <c r="J2389" i="2"/>
  <c r="H2389" i="2"/>
  <c r="G2389" i="2"/>
  <c r="F2389" i="2"/>
  <c r="E2389" i="2"/>
  <c r="D2389" i="2"/>
  <c r="C2389" i="2"/>
  <c r="A2389" i="2"/>
  <c r="M2388" i="2"/>
  <c r="L2388" i="2"/>
  <c r="K2388" i="2"/>
  <c r="J2388" i="2"/>
  <c r="H2388" i="2"/>
  <c r="G2388" i="2"/>
  <c r="F2388" i="2"/>
  <c r="E2388" i="2"/>
  <c r="D2388" i="2"/>
  <c r="C2388" i="2"/>
  <c r="A2388" i="2"/>
  <c r="M2387" i="2"/>
  <c r="L2387" i="2"/>
  <c r="K2387" i="2"/>
  <c r="J2387" i="2"/>
  <c r="H2387" i="2"/>
  <c r="G2387" i="2"/>
  <c r="F2387" i="2"/>
  <c r="E2387" i="2"/>
  <c r="D2387" i="2"/>
  <c r="C2387" i="2"/>
  <c r="A2387" i="2"/>
  <c r="M2386" i="2"/>
  <c r="L2386" i="2"/>
  <c r="K2386" i="2"/>
  <c r="J2386" i="2"/>
  <c r="H2386" i="2"/>
  <c r="G2386" i="2"/>
  <c r="F2386" i="2"/>
  <c r="E2386" i="2"/>
  <c r="D2386" i="2"/>
  <c r="C2386" i="2"/>
  <c r="A2386" i="2"/>
  <c r="M2385" i="2"/>
  <c r="L2385" i="2"/>
  <c r="K2385" i="2"/>
  <c r="J2385" i="2"/>
  <c r="H2385" i="2"/>
  <c r="G2385" i="2"/>
  <c r="F2385" i="2"/>
  <c r="E2385" i="2"/>
  <c r="D2385" i="2"/>
  <c r="C2385" i="2"/>
  <c r="A2385" i="2"/>
  <c r="M2384" i="2"/>
  <c r="L2384" i="2"/>
  <c r="K2384" i="2"/>
  <c r="J2384" i="2"/>
  <c r="H2384" i="2"/>
  <c r="G2384" i="2"/>
  <c r="F2384" i="2"/>
  <c r="E2384" i="2"/>
  <c r="D2384" i="2"/>
  <c r="C2384" i="2"/>
  <c r="A2384" i="2"/>
  <c r="M2383" i="2"/>
  <c r="L2383" i="2"/>
  <c r="K2383" i="2"/>
  <c r="J2383" i="2"/>
  <c r="H2383" i="2"/>
  <c r="G2383" i="2"/>
  <c r="F2383" i="2"/>
  <c r="E2383" i="2"/>
  <c r="D2383" i="2"/>
  <c r="C2383" i="2"/>
  <c r="A2383" i="2"/>
  <c r="M2382" i="2"/>
  <c r="L2382" i="2"/>
  <c r="K2382" i="2"/>
  <c r="J2382" i="2"/>
  <c r="H2382" i="2"/>
  <c r="G2382" i="2"/>
  <c r="F2382" i="2"/>
  <c r="E2382" i="2"/>
  <c r="D2382" i="2"/>
  <c r="C2382" i="2"/>
  <c r="A2382" i="2"/>
  <c r="M2381" i="2"/>
  <c r="L2381" i="2"/>
  <c r="K2381" i="2"/>
  <c r="J2381" i="2"/>
  <c r="H2381" i="2"/>
  <c r="G2381" i="2"/>
  <c r="F2381" i="2"/>
  <c r="E2381" i="2"/>
  <c r="D2381" i="2"/>
  <c r="C2381" i="2"/>
  <c r="A2381" i="2"/>
  <c r="M2380" i="2"/>
  <c r="L2380" i="2"/>
  <c r="K2380" i="2"/>
  <c r="J2380" i="2"/>
  <c r="H2380" i="2"/>
  <c r="G2380" i="2"/>
  <c r="F2380" i="2"/>
  <c r="E2380" i="2"/>
  <c r="D2380" i="2"/>
  <c r="C2380" i="2"/>
  <c r="A2380" i="2"/>
  <c r="M2379" i="2"/>
  <c r="L2379" i="2"/>
  <c r="K2379" i="2"/>
  <c r="J2379" i="2"/>
  <c r="H2379" i="2"/>
  <c r="G2379" i="2"/>
  <c r="F2379" i="2"/>
  <c r="E2379" i="2"/>
  <c r="D2379" i="2"/>
  <c r="C2379" i="2"/>
  <c r="A2379" i="2"/>
  <c r="M2378" i="2"/>
  <c r="L2378" i="2"/>
  <c r="K2378" i="2"/>
  <c r="J2378" i="2"/>
  <c r="H2378" i="2"/>
  <c r="G2378" i="2"/>
  <c r="F2378" i="2"/>
  <c r="E2378" i="2"/>
  <c r="D2378" i="2"/>
  <c r="C2378" i="2"/>
  <c r="A2378" i="2"/>
  <c r="M2377" i="2"/>
  <c r="L2377" i="2"/>
  <c r="K2377" i="2"/>
  <c r="J2377" i="2"/>
  <c r="H2377" i="2"/>
  <c r="G2377" i="2"/>
  <c r="F2377" i="2"/>
  <c r="E2377" i="2"/>
  <c r="D2377" i="2"/>
  <c r="C2377" i="2"/>
  <c r="A2377" i="2"/>
  <c r="M2376" i="2"/>
  <c r="L2376" i="2"/>
  <c r="K2376" i="2"/>
  <c r="J2376" i="2"/>
  <c r="H2376" i="2"/>
  <c r="G2376" i="2"/>
  <c r="F2376" i="2"/>
  <c r="E2376" i="2"/>
  <c r="D2376" i="2"/>
  <c r="C2376" i="2"/>
  <c r="A2376" i="2"/>
  <c r="M2375" i="2"/>
  <c r="L2375" i="2"/>
  <c r="K2375" i="2"/>
  <c r="J2375" i="2"/>
  <c r="H2375" i="2"/>
  <c r="G2375" i="2"/>
  <c r="F2375" i="2"/>
  <c r="E2375" i="2"/>
  <c r="D2375" i="2"/>
  <c r="C2375" i="2"/>
  <c r="A2375" i="2"/>
  <c r="M2374" i="2"/>
  <c r="L2374" i="2"/>
  <c r="K2374" i="2"/>
  <c r="J2374" i="2"/>
  <c r="H2374" i="2"/>
  <c r="G2374" i="2"/>
  <c r="F2374" i="2"/>
  <c r="E2374" i="2"/>
  <c r="D2374" i="2"/>
  <c r="C2374" i="2"/>
  <c r="A2374" i="2"/>
  <c r="M2373" i="2"/>
  <c r="L2373" i="2"/>
  <c r="K2373" i="2"/>
  <c r="J2373" i="2"/>
  <c r="H2373" i="2"/>
  <c r="G2373" i="2"/>
  <c r="E2373" i="2"/>
  <c r="D2373" i="2"/>
  <c r="C2373" i="2"/>
  <c r="A2373" i="2"/>
  <c r="M2372" i="2"/>
  <c r="L2372" i="2"/>
  <c r="K2372" i="2"/>
  <c r="J2372" i="2"/>
  <c r="H2372" i="2"/>
  <c r="G2372" i="2"/>
  <c r="F2372" i="2"/>
  <c r="E2372" i="2"/>
  <c r="D2372" i="2"/>
  <c r="C2372" i="2"/>
  <c r="A2372" i="2"/>
  <c r="M2371" i="2"/>
  <c r="L2371" i="2"/>
  <c r="K2371" i="2"/>
  <c r="J2371" i="2"/>
  <c r="H2371" i="2"/>
  <c r="G2371" i="2"/>
  <c r="F2371" i="2"/>
  <c r="E2371" i="2"/>
  <c r="D2371" i="2"/>
  <c r="C2371" i="2"/>
  <c r="A2371" i="2"/>
  <c r="M2370" i="2"/>
  <c r="L2370" i="2"/>
  <c r="K2370" i="2"/>
  <c r="J2370" i="2"/>
  <c r="H2370" i="2"/>
  <c r="G2370" i="2"/>
  <c r="F2370" i="2"/>
  <c r="E2370" i="2"/>
  <c r="D2370" i="2"/>
  <c r="C2370" i="2"/>
  <c r="A2370" i="2"/>
  <c r="M2369" i="2"/>
  <c r="L2369" i="2"/>
  <c r="K2369" i="2"/>
  <c r="J2369" i="2"/>
  <c r="H2369" i="2"/>
  <c r="G2369" i="2"/>
  <c r="F2369" i="2"/>
  <c r="E2369" i="2"/>
  <c r="D2369" i="2"/>
  <c r="C2369" i="2"/>
  <c r="A2369" i="2"/>
  <c r="M2368" i="2"/>
  <c r="L2368" i="2"/>
  <c r="K2368" i="2"/>
  <c r="J2368" i="2"/>
  <c r="H2368" i="2"/>
  <c r="G2368" i="2"/>
  <c r="F2368" i="2"/>
  <c r="E2368" i="2"/>
  <c r="D2368" i="2"/>
  <c r="C2368" i="2"/>
  <c r="A2368" i="2"/>
  <c r="M2367" i="2"/>
  <c r="L2367" i="2"/>
  <c r="K2367" i="2"/>
  <c r="J2367" i="2"/>
  <c r="H2367" i="2"/>
  <c r="G2367" i="2"/>
  <c r="F2367" i="2"/>
  <c r="E2367" i="2"/>
  <c r="D2367" i="2"/>
  <c r="C2367" i="2"/>
  <c r="A2367" i="2"/>
  <c r="M2366" i="2"/>
  <c r="L2366" i="2"/>
  <c r="K2366" i="2"/>
  <c r="J2366" i="2"/>
  <c r="H2366" i="2"/>
  <c r="G2366" i="2"/>
  <c r="F2366" i="2"/>
  <c r="E2366" i="2"/>
  <c r="D2366" i="2"/>
  <c r="C2366" i="2"/>
  <c r="A2366" i="2"/>
  <c r="M2365" i="2"/>
  <c r="L2365" i="2"/>
  <c r="K2365" i="2"/>
  <c r="J2365" i="2"/>
  <c r="H2365" i="2"/>
  <c r="G2365" i="2"/>
  <c r="F2365" i="2"/>
  <c r="E2365" i="2"/>
  <c r="D2365" i="2"/>
  <c r="C2365" i="2"/>
  <c r="A2365" i="2"/>
  <c r="M2364" i="2"/>
  <c r="L2364" i="2"/>
  <c r="K2364" i="2"/>
  <c r="J2364" i="2"/>
  <c r="H2364" i="2"/>
  <c r="G2364" i="2"/>
  <c r="F2364" i="2"/>
  <c r="E2364" i="2"/>
  <c r="D2364" i="2"/>
  <c r="C2364" i="2"/>
  <c r="A2364" i="2"/>
  <c r="M2363" i="2"/>
  <c r="L2363" i="2"/>
  <c r="K2363" i="2"/>
  <c r="J2363" i="2"/>
  <c r="H2363" i="2"/>
  <c r="G2363" i="2"/>
  <c r="F2363" i="2"/>
  <c r="E2363" i="2"/>
  <c r="D2363" i="2"/>
  <c r="C2363" i="2"/>
  <c r="A2363" i="2"/>
  <c r="M2362" i="2"/>
  <c r="L2362" i="2"/>
  <c r="K2362" i="2"/>
  <c r="J2362" i="2"/>
  <c r="H2362" i="2"/>
  <c r="G2362" i="2"/>
  <c r="F2362" i="2"/>
  <c r="E2362" i="2"/>
  <c r="D2362" i="2"/>
  <c r="C2362" i="2"/>
  <c r="A2362" i="2"/>
  <c r="M2361" i="2"/>
  <c r="L2361" i="2"/>
  <c r="K2361" i="2"/>
  <c r="J2361" i="2"/>
  <c r="H2361" i="2"/>
  <c r="G2361" i="2"/>
  <c r="F2361" i="2"/>
  <c r="E2361" i="2"/>
  <c r="D2361" i="2"/>
  <c r="C2361" i="2"/>
  <c r="A2361" i="2"/>
  <c r="M2360" i="2"/>
  <c r="L2360" i="2"/>
  <c r="K2360" i="2"/>
  <c r="J2360" i="2"/>
  <c r="H2360" i="2"/>
  <c r="G2360" i="2"/>
  <c r="F2360" i="2"/>
  <c r="E2360" i="2"/>
  <c r="D2360" i="2"/>
  <c r="C2360" i="2"/>
  <c r="A2360" i="2"/>
  <c r="M2359" i="2"/>
  <c r="L2359" i="2"/>
  <c r="K2359" i="2"/>
  <c r="J2359" i="2"/>
  <c r="H2359" i="2"/>
  <c r="G2359" i="2"/>
  <c r="F2359" i="2"/>
  <c r="E2359" i="2"/>
  <c r="D2359" i="2"/>
  <c r="C2359" i="2"/>
  <c r="A2359" i="2"/>
  <c r="M2358" i="2"/>
  <c r="L2358" i="2"/>
  <c r="K2358" i="2"/>
  <c r="J2358" i="2"/>
  <c r="H2358" i="2"/>
  <c r="G2358" i="2"/>
  <c r="F2358" i="2"/>
  <c r="E2358" i="2"/>
  <c r="D2358" i="2"/>
  <c r="C2358" i="2"/>
  <c r="A2358" i="2"/>
  <c r="M2357" i="2"/>
  <c r="L2357" i="2"/>
  <c r="K2357" i="2"/>
  <c r="J2357" i="2"/>
  <c r="H2357" i="2"/>
  <c r="G2357" i="2"/>
  <c r="F2357" i="2"/>
  <c r="E2357" i="2"/>
  <c r="D2357" i="2"/>
  <c r="C2357" i="2"/>
  <c r="A2357" i="2"/>
  <c r="M2356" i="2"/>
  <c r="L2356" i="2"/>
  <c r="K2356" i="2"/>
  <c r="J2356" i="2"/>
  <c r="H2356" i="2"/>
  <c r="G2356" i="2"/>
  <c r="F2356" i="2"/>
  <c r="E2356" i="2"/>
  <c r="D2356" i="2"/>
  <c r="C2356" i="2"/>
  <c r="A2356" i="2"/>
  <c r="M2355" i="2"/>
  <c r="L2355" i="2"/>
  <c r="K2355" i="2"/>
  <c r="J2355" i="2"/>
  <c r="H2355" i="2"/>
  <c r="G2355" i="2"/>
  <c r="F2355" i="2"/>
  <c r="E2355" i="2"/>
  <c r="D2355" i="2"/>
  <c r="C2355" i="2"/>
  <c r="A2355" i="2"/>
  <c r="M2354" i="2"/>
  <c r="L2354" i="2"/>
  <c r="K2354" i="2"/>
  <c r="J2354" i="2"/>
  <c r="H2354" i="2"/>
  <c r="G2354" i="2"/>
  <c r="F2354" i="2"/>
  <c r="E2354" i="2"/>
  <c r="D2354" i="2"/>
  <c r="C2354" i="2"/>
  <c r="A2354" i="2"/>
  <c r="M2353" i="2"/>
  <c r="L2353" i="2"/>
  <c r="K2353" i="2"/>
  <c r="J2353" i="2"/>
  <c r="H2353" i="2"/>
  <c r="G2353" i="2"/>
  <c r="F2353" i="2"/>
  <c r="E2353" i="2"/>
  <c r="D2353" i="2"/>
  <c r="C2353" i="2"/>
  <c r="A2353" i="2"/>
  <c r="M2352" i="2"/>
  <c r="L2352" i="2"/>
  <c r="K2352" i="2"/>
  <c r="J2352" i="2"/>
  <c r="H2352" i="2"/>
  <c r="G2352" i="2"/>
  <c r="F2352" i="2"/>
  <c r="E2352" i="2"/>
  <c r="D2352" i="2"/>
  <c r="C2352" i="2"/>
  <c r="A2352" i="2"/>
  <c r="M2351" i="2"/>
  <c r="L2351" i="2"/>
  <c r="K2351" i="2"/>
  <c r="J2351" i="2"/>
  <c r="H2351" i="2"/>
  <c r="G2351" i="2"/>
  <c r="F2351" i="2"/>
  <c r="E2351" i="2"/>
  <c r="D2351" i="2"/>
  <c r="C2351" i="2"/>
  <c r="A2351" i="2"/>
  <c r="M2350" i="2"/>
  <c r="L2350" i="2"/>
  <c r="K2350" i="2"/>
  <c r="J2350" i="2"/>
  <c r="H2350" i="2"/>
  <c r="G2350" i="2"/>
  <c r="F2350" i="2"/>
  <c r="E2350" i="2"/>
  <c r="D2350" i="2"/>
  <c r="C2350" i="2"/>
  <c r="A2350" i="2"/>
  <c r="M2349" i="2"/>
  <c r="L2349" i="2"/>
  <c r="K2349" i="2"/>
  <c r="J2349" i="2"/>
  <c r="H2349" i="2"/>
  <c r="G2349" i="2"/>
  <c r="F2349" i="2"/>
  <c r="E2349" i="2"/>
  <c r="D2349" i="2"/>
  <c r="C2349" i="2"/>
  <c r="A2349" i="2"/>
  <c r="M2348" i="2"/>
  <c r="L2348" i="2"/>
  <c r="K2348" i="2"/>
  <c r="J2348" i="2"/>
  <c r="H2348" i="2"/>
  <c r="G2348" i="2"/>
  <c r="F2348" i="2"/>
  <c r="E2348" i="2"/>
  <c r="D2348" i="2"/>
  <c r="C2348" i="2"/>
  <c r="A2348" i="2"/>
  <c r="M2347" i="2"/>
  <c r="L2347" i="2"/>
  <c r="K2347" i="2"/>
  <c r="J2347" i="2"/>
  <c r="H2347" i="2"/>
  <c r="G2347" i="2"/>
  <c r="F2347" i="2"/>
  <c r="E2347" i="2"/>
  <c r="D2347" i="2"/>
  <c r="C2347" i="2"/>
  <c r="A2347" i="2"/>
  <c r="M2346" i="2"/>
  <c r="L2346" i="2"/>
  <c r="K2346" i="2"/>
  <c r="J2346" i="2"/>
  <c r="H2346" i="2"/>
  <c r="G2346" i="2"/>
  <c r="F2346" i="2"/>
  <c r="E2346" i="2"/>
  <c r="D2346" i="2"/>
  <c r="C2346" i="2"/>
  <c r="A2346" i="2"/>
  <c r="M2345" i="2"/>
  <c r="L2345" i="2"/>
  <c r="K2345" i="2"/>
  <c r="J2345" i="2"/>
  <c r="H2345" i="2"/>
  <c r="G2345" i="2"/>
  <c r="F2345" i="2"/>
  <c r="E2345" i="2"/>
  <c r="D2345" i="2"/>
  <c r="C2345" i="2"/>
  <c r="A2345" i="2"/>
  <c r="M2344" i="2"/>
  <c r="L2344" i="2"/>
  <c r="K2344" i="2"/>
  <c r="J2344" i="2"/>
  <c r="H2344" i="2"/>
  <c r="G2344" i="2"/>
  <c r="F2344" i="2"/>
  <c r="E2344" i="2"/>
  <c r="D2344" i="2"/>
  <c r="C2344" i="2"/>
  <c r="A2344" i="2"/>
  <c r="M2343" i="2"/>
  <c r="L2343" i="2"/>
  <c r="K2343" i="2"/>
  <c r="J2343" i="2"/>
  <c r="H2343" i="2"/>
  <c r="G2343" i="2"/>
  <c r="F2343" i="2"/>
  <c r="E2343" i="2"/>
  <c r="D2343" i="2"/>
  <c r="C2343" i="2"/>
  <c r="A2343" i="2"/>
  <c r="M2342" i="2"/>
  <c r="L2342" i="2"/>
  <c r="K2342" i="2"/>
  <c r="J2342" i="2"/>
  <c r="H2342" i="2"/>
  <c r="G2342" i="2"/>
  <c r="F2342" i="2"/>
  <c r="E2342" i="2"/>
  <c r="D2342" i="2"/>
  <c r="C2342" i="2"/>
  <c r="A2342" i="2"/>
  <c r="M2341" i="2"/>
  <c r="L2341" i="2"/>
  <c r="K2341" i="2"/>
  <c r="J2341" i="2"/>
  <c r="H2341" i="2"/>
  <c r="G2341" i="2"/>
  <c r="F2341" i="2"/>
  <c r="E2341" i="2"/>
  <c r="D2341" i="2"/>
  <c r="C2341" i="2"/>
  <c r="A2341" i="2"/>
  <c r="M2340" i="2"/>
  <c r="L2340" i="2"/>
  <c r="K2340" i="2"/>
  <c r="J2340" i="2"/>
  <c r="H2340" i="2"/>
  <c r="G2340" i="2"/>
  <c r="F2340" i="2"/>
  <c r="E2340" i="2"/>
  <c r="D2340" i="2"/>
  <c r="C2340" i="2"/>
  <c r="A2340" i="2"/>
  <c r="M2339" i="2"/>
  <c r="L2339" i="2"/>
  <c r="K2339" i="2"/>
  <c r="J2339" i="2"/>
  <c r="H2339" i="2"/>
  <c r="G2339" i="2"/>
  <c r="F2339" i="2"/>
  <c r="E2339" i="2"/>
  <c r="D2339" i="2"/>
  <c r="C2339" i="2"/>
  <c r="A2339" i="2"/>
  <c r="M2338" i="2"/>
  <c r="L2338" i="2"/>
  <c r="K2338" i="2"/>
  <c r="J2338" i="2"/>
  <c r="H2338" i="2"/>
  <c r="G2338" i="2"/>
  <c r="F2338" i="2"/>
  <c r="E2338" i="2"/>
  <c r="D2338" i="2"/>
  <c r="C2338" i="2"/>
  <c r="A2338" i="2"/>
  <c r="M2337" i="2"/>
  <c r="L2337" i="2"/>
  <c r="K2337" i="2"/>
  <c r="J2337" i="2"/>
  <c r="H2337" i="2"/>
  <c r="G2337" i="2"/>
  <c r="F2337" i="2"/>
  <c r="E2337" i="2"/>
  <c r="D2337" i="2"/>
  <c r="C2337" i="2"/>
  <c r="A2337" i="2"/>
  <c r="M2336" i="2"/>
  <c r="L2336" i="2"/>
  <c r="K2336" i="2"/>
  <c r="J2336" i="2"/>
  <c r="H2336" i="2"/>
  <c r="G2336" i="2"/>
  <c r="F2336" i="2"/>
  <c r="E2336" i="2"/>
  <c r="D2336" i="2"/>
  <c r="C2336" i="2"/>
  <c r="A2336" i="2"/>
  <c r="M2335" i="2"/>
  <c r="L2335" i="2"/>
  <c r="K2335" i="2"/>
  <c r="J2335" i="2"/>
  <c r="H2335" i="2"/>
  <c r="G2335" i="2"/>
  <c r="F2335" i="2"/>
  <c r="E2335" i="2"/>
  <c r="D2335" i="2"/>
  <c r="C2335" i="2"/>
  <c r="A2335" i="2"/>
  <c r="M2334" i="2"/>
  <c r="L2334" i="2"/>
  <c r="K2334" i="2"/>
  <c r="J2334" i="2"/>
  <c r="H2334" i="2"/>
  <c r="G2334" i="2"/>
  <c r="E2334" i="2"/>
  <c r="D2334" i="2"/>
  <c r="C2334" i="2"/>
  <c r="A2334" i="2"/>
  <c r="M2333" i="2"/>
  <c r="L2333" i="2"/>
  <c r="K2333" i="2"/>
  <c r="J2333" i="2"/>
  <c r="H2333" i="2"/>
  <c r="G2333" i="2"/>
  <c r="F2333" i="2"/>
  <c r="E2333" i="2"/>
  <c r="D2333" i="2"/>
  <c r="C2333" i="2"/>
  <c r="A2333" i="2"/>
  <c r="M2332" i="2"/>
  <c r="L2332" i="2"/>
  <c r="K2332" i="2"/>
  <c r="J2332" i="2"/>
  <c r="H2332" i="2"/>
  <c r="G2332" i="2"/>
  <c r="F2332" i="2"/>
  <c r="E2332" i="2"/>
  <c r="D2332" i="2"/>
  <c r="C2332" i="2"/>
  <c r="A2332" i="2"/>
  <c r="M2331" i="2"/>
  <c r="L2331" i="2"/>
  <c r="K2331" i="2"/>
  <c r="J2331" i="2"/>
  <c r="H2331" i="2"/>
  <c r="G2331" i="2"/>
  <c r="F2331" i="2"/>
  <c r="E2331" i="2"/>
  <c r="D2331" i="2"/>
  <c r="C2331" i="2"/>
  <c r="A2331" i="2"/>
  <c r="M2330" i="2"/>
  <c r="L2330" i="2"/>
  <c r="K2330" i="2"/>
  <c r="J2330" i="2"/>
  <c r="H2330" i="2"/>
  <c r="G2330" i="2"/>
  <c r="F2330" i="2"/>
  <c r="E2330" i="2"/>
  <c r="D2330" i="2"/>
  <c r="C2330" i="2"/>
  <c r="A2330" i="2"/>
  <c r="M2329" i="2"/>
  <c r="L2329" i="2"/>
  <c r="K2329" i="2"/>
  <c r="J2329" i="2"/>
  <c r="H2329" i="2"/>
  <c r="G2329" i="2"/>
  <c r="F2329" i="2"/>
  <c r="E2329" i="2"/>
  <c r="D2329" i="2"/>
  <c r="C2329" i="2"/>
  <c r="A2329" i="2"/>
  <c r="M2328" i="2"/>
  <c r="L2328" i="2"/>
  <c r="K2328" i="2"/>
  <c r="J2328" i="2"/>
  <c r="H2328" i="2"/>
  <c r="G2328" i="2"/>
  <c r="F2328" i="2"/>
  <c r="E2328" i="2"/>
  <c r="D2328" i="2"/>
  <c r="C2328" i="2"/>
  <c r="A2328" i="2"/>
  <c r="M2327" i="2"/>
  <c r="L2327" i="2"/>
  <c r="K2327" i="2"/>
  <c r="J2327" i="2"/>
  <c r="H2327" i="2"/>
  <c r="G2327" i="2"/>
  <c r="F2327" i="2"/>
  <c r="E2327" i="2"/>
  <c r="D2327" i="2"/>
  <c r="C2327" i="2"/>
  <c r="A2327" i="2"/>
  <c r="M2326" i="2"/>
  <c r="L2326" i="2"/>
  <c r="K2326" i="2"/>
  <c r="J2326" i="2"/>
  <c r="H2326" i="2"/>
  <c r="G2326" i="2"/>
  <c r="F2326" i="2"/>
  <c r="E2326" i="2"/>
  <c r="D2326" i="2"/>
  <c r="C2326" i="2"/>
  <c r="A2326" i="2"/>
  <c r="M2325" i="2"/>
  <c r="L2325" i="2"/>
  <c r="K2325" i="2"/>
  <c r="J2325" i="2"/>
  <c r="H2325" i="2"/>
  <c r="G2325" i="2"/>
  <c r="F2325" i="2"/>
  <c r="E2325" i="2"/>
  <c r="D2325" i="2"/>
  <c r="C2325" i="2"/>
  <c r="A2325" i="2"/>
  <c r="M2324" i="2"/>
  <c r="L2324" i="2"/>
  <c r="K2324" i="2"/>
  <c r="J2324" i="2"/>
  <c r="H2324" i="2"/>
  <c r="G2324" i="2"/>
  <c r="F2324" i="2"/>
  <c r="E2324" i="2"/>
  <c r="D2324" i="2"/>
  <c r="C2324" i="2"/>
  <c r="A2324" i="2"/>
  <c r="M2323" i="2"/>
  <c r="L2323" i="2"/>
  <c r="K2323" i="2"/>
  <c r="J2323" i="2"/>
  <c r="H2323" i="2"/>
  <c r="G2323" i="2"/>
  <c r="F2323" i="2"/>
  <c r="E2323" i="2"/>
  <c r="D2323" i="2"/>
  <c r="C2323" i="2"/>
  <c r="A2323" i="2"/>
  <c r="M2322" i="2"/>
  <c r="L2322" i="2"/>
  <c r="K2322" i="2"/>
  <c r="J2322" i="2"/>
  <c r="H2322" i="2"/>
  <c r="G2322" i="2"/>
  <c r="F2322" i="2"/>
  <c r="E2322" i="2"/>
  <c r="D2322" i="2"/>
  <c r="C2322" i="2"/>
  <c r="A2322" i="2"/>
  <c r="M2321" i="2"/>
  <c r="L2321" i="2"/>
  <c r="K2321" i="2"/>
  <c r="J2321" i="2"/>
  <c r="H2321" i="2"/>
  <c r="G2321" i="2"/>
  <c r="F2321" i="2"/>
  <c r="E2321" i="2"/>
  <c r="D2321" i="2"/>
  <c r="C2321" i="2"/>
  <c r="A2321" i="2"/>
  <c r="M2320" i="2"/>
  <c r="L2320" i="2"/>
  <c r="K2320" i="2"/>
  <c r="J2320" i="2"/>
  <c r="H2320" i="2"/>
  <c r="G2320" i="2"/>
  <c r="F2320" i="2"/>
  <c r="E2320" i="2"/>
  <c r="D2320" i="2"/>
  <c r="C2320" i="2"/>
  <c r="A2320" i="2"/>
  <c r="M2319" i="2"/>
  <c r="L2319" i="2"/>
  <c r="K2319" i="2"/>
  <c r="J2319" i="2"/>
  <c r="H2319" i="2"/>
  <c r="G2319" i="2"/>
  <c r="F2319" i="2"/>
  <c r="E2319" i="2"/>
  <c r="D2319" i="2"/>
  <c r="C2319" i="2"/>
  <c r="A2319" i="2"/>
  <c r="M2318" i="2"/>
  <c r="L2318" i="2"/>
  <c r="K2318" i="2"/>
  <c r="J2318" i="2"/>
  <c r="H2318" i="2"/>
  <c r="G2318" i="2"/>
  <c r="F2318" i="2"/>
  <c r="E2318" i="2"/>
  <c r="D2318" i="2"/>
  <c r="C2318" i="2"/>
  <c r="A2318" i="2"/>
  <c r="M2317" i="2"/>
  <c r="L2317" i="2"/>
  <c r="K2317" i="2"/>
  <c r="J2317" i="2"/>
  <c r="H2317" i="2"/>
  <c r="G2317" i="2"/>
  <c r="F2317" i="2"/>
  <c r="E2317" i="2"/>
  <c r="D2317" i="2"/>
  <c r="C2317" i="2"/>
  <c r="A2317" i="2"/>
  <c r="M2316" i="2"/>
  <c r="L2316" i="2"/>
  <c r="K2316" i="2"/>
  <c r="J2316" i="2"/>
  <c r="H2316" i="2"/>
  <c r="G2316" i="2"/>
  <c r="F2316" i="2"/>
  <c r="E2316" i="2"/>
  <c r="D2316" i="2"/>
  <c r="C2316" i="2"/>
  <c r="A2316" i="2"/>
  <c r="M2315" i="2"/>
  <c r="L2315" i="2"/>
  <c r="K2315" i="2"/>
  <c r="J2315" i="2"/>
  <c r="H2315" i="2"/>
  <c r="G2315" i="2"/>
  <c r="F2315" i="2"/>
  <c r="E2315" i="2"/>
  <c r="D2315" i="2"/>
  <c r="C2315" i="2"/>
  <c r="A2315" i="2"/>
  <c r="M2314" i="2"/>
  <c r="L2314" i="2"/>
  <c r="K2314" i="2"/>
  <c r="J2314" i="2"/>
  <c r="H2314" i="2"/>
  <c r="G2314" i="2"/>
  <c r="F2314" i="2"/>
  <c r="E2314" i="2"/>
  <c r="D2314" i="2"/>
  <c r="C2314" i="2"/>
  <c r="A2314" i="2"/>
  <c r="M2313" i="2"/>
  <c r="L2313" i="2"/>
  <c r="K2313" i="2"/>
  <c r="J2313" i="2"/>
  <c r="H2313" i="2"/>
  <c r="G2313" i="2"/>
  <c r="F2313" i="2"/>
  <c r="E2313" i="2"/>
  <c r="D2313" i="2"/>
  <c r="C2313" i="2"/>
  <c r="A2313" i="2"/>
  <c r="M2312" i="2"/>
  <c r="L2312" i="2"/>
  <c r="K2312" i="2"/>
  <c r="J2312" i="2"/>
  <c r="H2312" i="2"/>
  <c r="G2312" i="2"/>
  <c r="F2312" i="2"/>
  <c r="E2312" i="2"/>
  <c r="D2312" i="2"/>
  <c r="C2312" i="2"/>
  <c r="A2312" i="2"/>
  <c r="M2311" i="2"/>
  <c r="L2311" i="2"/>
  <c r="K2311" i="2"/>
  <c r="J2311" i="2"/>
  <c r="H2311" i="2"/>
  <c r="G2311" i="2"/>
  <c r="F2311" i="2"/>
  <c r="E2311" i="2"/>
  <c r="D2311" i="2"/>
  <c r="C2311" i="2"/>
  <c r="A2311" i="2"/>
  <c r="M2310" i="2"/>
  <c r="L2310" i="2"/>
  <c r="K2310" i="2"/>
  <c r="J2310" i="2"/>
  <c r="H2310" i="2"/>
  <c r="G2310" i="2"/>
  <c r="F2310" i="2"/>
  <c r="E2310" i="2"/>
  <c r="D2310" i="2"/>
  <c r="C2310" i="2"/>
  <c r="A2310" i="2"/>
  <c r="M2309" i="2"/>
  <c r="L2309" i="2"/>
  <c r="K2309" i="2"/>
  <c r="J2309" i="2"/>
  <c r="H2309" i="2"/>
  <c r="G2309" i="2"/>
  <c r="F2309" i="2"/>
  <c r="E2309" i="2"/>
  <c r="D2309" i="2"/>
  <c r="C2309" i="2"/>
  <c r="A2309" i="2"/>
  <c r="M2308" i="2"/>
  <c r="L2308" i="2"/>
  <c r="K2308" i="2"/>
  <c r="J2308" i="2"/>
  <c r="H2308" i="2"/>
  <c r="G2308" i="2"/>
  <c r="F2308" i="2"/>
  <c r="E2308" i="2"/>
  <c r="D2308" i="2"/>
  <c r="C2308" i="2"/>
  <c r="A2308" i="2"/>
  <c r="M2307" i="2"/>
  <c r="L2307" i="2"/>
  <c r="K2307" i="2"/>
  <c r="J2307" i="2"/>
  <c r="H2307" i="2"/>
  <c r="G2307" i="2"/>
  <c r="F2307" i="2"/>
  <c r="E2307" i="2"/>
  <c r="D2307" i="2"/>
  <c r="C2307" i="2"/>
  <c r="A2307" i="2"/>
  <c r="M2306" i="2"/>
  <c r="L2306" i="2"/>
  <c r="K2306" i="2"/>
  <c r="J2306" i="2"/>
  <c r="H2306" i="2"/>
  <c r="G2306" i="2"/>
  <c r="F2306" i="2"/>
  <c r="E2306" i="2"/>
  <c r="D2306" i="2"/>
  <c r="C2306" i="2"/>
  <c r="A2306" i="2"/>
  <c r="M2305" i="2"/>
  <c r="L2305" i="2"/>
  <c r="K2305" i="2"/>
  <c r="J2305" i="2"/>
  <c r="H2305" i="2"/>
  <c r="G2305" i="2"/>
  <c r="F2305" i="2"/>
  <c r="E2305" i="2"/>
  <c r="D2305" i="2"/>
  <c r="C2305" i="2"/>
  <c r="A2305" i="2"/>
  <c r="M2304" i="2"/>
  <c r="L2304" i="2"/>
  <c r="K2304" i="2"/>
  <c r="J2304" i="2"/>
  <c r="H2304" i="2"/>
  <c r="G2304" i="2"/>
  <c r="F2304" i="2"/>
  <c r="E2304" i="2"/>
  <c r="D2304" i="2"/>
  <c r="C2304" i="2"/>
  <c r="A2304" i="2"/>
  <c r="M2303" i="2"/>
  <c r="L2303" i="2"/>
  <c r="K2303" i="2"/>
  <c r="J2303" i="2"/>
  <c r="H2303" i="2"/>
  <c r="G2303" i="2"/>
  <c r="F2303" i="2"/>
  <c r="E2303" i="2"/>
  <c r="D2303" i="2"/>
  <c r="C2303" i="2"/>
  <c r="A2303" i="2"/>
  <c r="M2302" i="2"/>
  <c r="L2302" i="2"/>
  <c r="K2302" i="2"/>
  <c r="J2302" i="2"/>
  <c r="H2302" i="2"/>
  <c r="G2302" i="2"/>
  <c r="F2302" i="2"/>
  <c r="E2302" i="2"/>
  <c r="D2302" i="2"/>
  <c r="C2302" i="2"/>
  <c r="A2302" i="2"/>
  <c r="M2301" i="2"/>
  <c r="L2301" i="2"/>
  <c r="K2301" i="2"/>
  <c r="J2301" i="2"/>
  <c r="H2301" i="2"/>
  <c r="G2301" i="2"/>
  <c r="F2301" i="2"/>
  <c r="E2301" i="2"/>
  <c r="D2301" i="2"/>
  <c r="C2301" i="2"/>
  <c r="A2301" i="2"/>
  <c r="M2300" i="2"/>
  <c r="L2300" i="2"/>
  <c r="K2300" i="2"/>
  <c r="J2300" i="2"/>
  <c r="H2300" i="2"/>
  <c r="G2300" i="2"/>
  <c r="F2300" i="2"/>
  <c r="E2300" i="2"/>
  <c r="D2300" i="2"/>
  <c r="C2300" i="2"/>
  <c r="A2300" i="2"/>
  <c r="M2299" i="2"/>
  <c r="L2299" i="2"/>
  <c r="K2299" i="2"/>
  <c r="J2299" i="2"/>
  <c r="H2299" i="2"/>
  <c r="G2299" i="2"/>
  <c r="F2299" i="2"/>
  <c r="E2299" i="2"/>
  <c r="D2299" i="2"/>
  <c r="C2299" i="2"/>
  <c r="A2299" i="2"/>
  <c r="M2298" i="2"/>
  <c r="L2298" i="2"/>
  <c r="K2298" i="2"/>
  <c r="J2298" i="2"/>
  <c r="H2298" i="2"/>
  <c r="G2298" i="2"/>
  <c r="F2298" i="2"/>
  <c r="E2298" i="2"/>
  <c r="D2298" i="2"/>
  <c r="C2298" i="2"/>
  <c r="A2298" i="2"/>
  <c r="M2297" i="2"/>
  <c r="L2297" i="2"/>
  <c r="K2297" i="2"/>
  <c r="J2297" i="2"/>
  <c r="H2297" i="2"/>
  <c r="G2297" i="2"/>
  <c r="F2297" i="2"/>
  <c r="E2297" i="2"/>
  <c r="D2297" i="2"/>
  <c r="C2297" i="2"/>
  <c r="A2297" i="2"/>
  <c r="M2296" i="2"/>
  <c r="L2296" i="2"/>
  <c r="K2296" i="2"/>
  <c r="J2296" i="2"/>
  <c r="H2296" i="2"/>
  <c r="G2296" i="2"/>
  <c r="F2296" i="2"/>
  <c r="E2296" i="2"/>
  <c r="D2296" i="2"/>
  <c r="C2296" i="2"/>
  <c r="A2296" i="2"/>
  <c r="M2295" i="2"/>
  <c r="L2295" i="2"/>
  <c r="K2295" i="2"/>
  <c r="J2295" i="2"/>
  <c r="H2295" i="2"/>
  <c r="G2295" i="2"/>
  <c r="F2295" i="2"/>
  <c r="E2295" i="2"/>
  <c r="D2295" i="2"/>
  <c r="C2295" i="2"/>
  <c r="A2295" i="2"/>
  <c r="M2294" i="2"/>
  <c r="L2294" i="2"/>
  <c r="K2294" i="2"/>
  <c r="J2294" i="2"/>
  <c r="H2294" i="2"/>
  <c r="G2294" i="2"/>
  <c r="F2294" i="2"/>
  <c r="E2294" i="2"/>
  <c r="D2294" i="2"/>
  <c r="C2294" i="2"/>
  <c r="A2294" i="2"/>
  <c r="M2293" i="2"/>
  <c r="L2293" i="2"/>
  <c r="K2293" i="2"/>
  <c r="J2293" i="2"/>
  <c r="H2293" i="2"/>
  <c r="G2293" i="2"/>
  <c r="F2293" i="2"/>
  <c r="E2293" i="2"/>
  <c r="D2293" i="2"/>
  <c r="C2293" i="2"/>
  <c r="A2293" i="2"/>
  <c r="M2292" i="2"/>
  <c r="L2292" i="2"/>
  <c r="K2292" i="2"/>
  <c r="J2292" i="2"/>
  <c r="H2292" i="2"/>
  <c r="G2292" i="2"/>
  <c r="F2292" i="2"/>
  <c r="E2292" i="2"/>
  <c r="D2292" i="2"/>
  <c r="C2292" i="2"/>
  <c r="A2292" i="2"/>
  <c r="M2291" i="2"/>
  <c r="L2291" i="2"/>
  <c r="K2291" i="2"/>
  <c r="J2291" i="2"/>
  <c r="H2291" i="2"/>
  <c r="G2291" i="2"/>
  <c r="F2291" i="2"/>
  <c r="E2291" i="2"/>
  <c r="D2291" i="2"/>
  <c r="C2291" i="2"/>
  <c r="A2291" i="2"/>
  <c r="M2290" i="2"/>
  <c r="L2290" i="2"/>
  <c r="K2290" i="2"/>
  <c r="J2290" i="2"/>
  <c r="H2290" i="2"/>
  <c r="G2290" i="2"/>
  <c r="F2290" i="2"/>
  <c r="E2290" i="2"/>
  <c r="D2290" i="2"/>
  <c r="C2290" i="2"/>
  <c r="A2290" i="2"/>
  <c r="M2289" i="2"/>
  <c r="L2289" i="2"/>
  <c r="K2289" i="2"/>
  <c r="J2289" i="2"/>
  <c r="H2289" i="2"/>
  <c r="G2289" i="2"/>
  <c r="F2289" i="2"/>
  <c r="E2289" i="2"/>
  <c r="D2289" i="2"/>
  <c r="C2289" i="2"/>
  <c r="A2289" i="2"/>
  <c r="M2288" i="2"/>
  <c r="L2288" i="2"/>
  <c r="K2288" i="2"/>
  <c r="J2288" i="2"/>
  <c r="H2288" i="2"/>
  <c r="G2288" i="2"/>
  <c r="F2288" i="2"/>
  <c r="E2288" i="2"/>
  <c r="D2288" i="2"/>
  <c r="C2288" i="2"/>
  <c r="A2288" i="2"/>
  <c r="M2287" i="2"/>
  <c r="L2287" i="2"/>
  <c r="K2287" i="2"/>
  <c r="J2287" i="2"/>
  <c r="H2287" i="2"/>
  <c r="G2287" i="2"/>
  <c r="F2287" i="2"/>
  <c r="E2287" i="2"/>
  <c r="D2287" i="2"/>
  <c r="C2287" i="2"/>
  <c r="A2287" i="2"/>
  <c r="M2286" i="2"/>
  <c r="L2286" i="2"/>
  <c r="K2286" i="2"/>
  <c r="J2286" i="2"/>
  <c r="H2286" i="2"/>
  <c r="G2286" i="2"/>
  <c r="F2286" i="2"/>
  <c r="E2286" i="2"/>
  <c r="D2286" i="2"/>
  <c r="C2286" i="2"/>
  <c r="A2286" i="2"/>
  <c r="M2285" i="2"/>
  <c r="L2285" i="2"/>
  <c r="K2285" i="2"/>
  <c r="J2285" i="2"/>
  <c r="H2285" i="2"/>
  <c r="G2285" i="2"/>
  <c r="F2285" i="2"/>
  <c r="E2285" i="2"/>
  <c r="D2285" i="2"/>
  <c r="C2285" i="2"/>
  <c r="A2285" i="2"/>
  <c r="M2284" i="2"/>
  <c r="L2284" i="2"/>
  <c r="K2284" i="2"/>
  <c r="J2284" i="2"/>
  <c r="H2284" i="2"/>
  <c r="G2284" i="2"/>
  <c r="F2284" i="2"/>
  <c r="E2284" i="2"/>
  <c r="D2284" i="2"/>
  <c r="C2284" i="2"/>
  <c r="A2284" i="2"/>
  <c r="M2283" i="2"/>
  <c r="L2283" i="2"/>
  <c r="K2283" i="2"/>
  <c r="J2283" i="2"/>
  <c r="H2283" i="2"/>
  <c r="G2283" i="2"/>
  <c r="F2283" i="2"/>
  <c r="E2283" i="2"/>
  <c r="D2283" i="2"/>
  <c r="C2283" i="2"/>
  <c r="A2283" i="2"/>
  <c r="M2282" i="2"/>
  <c r="L2282" i="2"/>
  <c r="K2282" i="2"/>
  <c r="J2282" i="2"/>
  <c r="H2282" i="2"/>
  <c r="G2282" i="2"/>
  <c r="F2282" i="2"/>
  <c r="E2282" i="2"/>
  <c r="D2282" i="2"/>
  <c r="C2282" i="2"/>
  <c r="A2282" i="2"/>
  <c r="M2281" i="2"/>
  <c r="L2281" i="2"/>
  <c r="K2281" i="2"/>
  <c r="J2281" i="2"/>
  <c r="H2281" i="2"/>
  <c r="G2281" i="2"/>
  <c r="F2281" i="2"/>
  <c r="E2281" i="2"/>
  <c r="D2281" i="2"/>
  <c r="C2281" i="2"/>
  <c r="A2281" i="2"/>
  <c r="M2280" i="2"/>
  <c r="L2280" i="2"/>
  <c r="K2280" i="2"/>
  <c r="J2280" i="2"/>
  <c r="H2280" i="2"/>
  <c r="G2280" i="2"/>
  <c r="F2280" i="2"/>
  <c r="E2280" i="2"/>
  <c r="D2280" i="2"/>
  <c r="C2280" i="2"/>
  <c r="A2280" i="2"/>
  <c r="M2279" i="2"/>
  <c r="L2279" i="2"/>
  <c r="K2279" i="2"/>
  <c r="J2279" i="2"/>
  <c r="H2279" i="2"/>
  <c r="G2279" i="2"/>
  <c r="F2279" i="2"/>
  <c r="E2279" i="2"/>
  <c r="D2279" i="2"/>
  <c r="C2279" i="2"/>
  <c r="A2279" i="2"/>
  <c r="M2278" i="2"/>
  <c r="L2278" i="2"/>
  <c r="K2278" i="2"/>
  <c r="J2278" i="2"/>
  <c r="H2278" i="2"/>
  <c r="G2278" i="2"/>
  <c r="F2278" i="2"/>
  <c r="E2278" i="2"/>
  <c r="D2278" i="2"/>
  <c r="C2278" i="2"/>
  <c r="A2278" i="2"/>
  <c r="M2277" i="2"/>
  <c r="L2277" i="2"/>
  <c r="K2277" i="2"/>
  <c r="J2277" i="2"/>
  <c r="H2277" i="2"/>
  <c r="G2277" i="2"/>
  <c r="F2277" i="2"/>
  <c r="E2277" i="2"/>
  <c r="D2277" i="2"/>
  <c r="C2277" i="2"/>
  <c r="A2277" i="2"/>
  <c r="M2276" i="2"/>
  <c r="L2276" i="2"/>
  <c r="K2276" i="2"/>
  <c r="J2276" i="2"/>
  <c r="H2276" i="2"/>
  <c r="G2276" i="2"/>
  <c r="F2276" i="2"/>
  <c r="E2276" i="2"/>
  <c r="D2276" i="2"/>
  <c r="C2276" i="2"/>
  <c r="A2276" i="2"/>
  <c r="M2275" i="2"/>
  <c r="L2275" i="2"/>
  <c r="K2275" i="2"/>
  <c r="J2275" i="2"/>
  <c r="H2275" i="2"/>
  <c r="G2275" i="2"/>
  <c r="F2275" i="2"/>
  <c r="E2275" i="2"/>
  <c r="D2275" i="2"/>
  <c r="C2275" i="2"/>
  <c r="A2275" i="2"/>
  <c r="M2274" i="2"/>
  <c r="L2274" i="2"/>
  <c r="K2274" i="2"/>
  <c r="J2274" i="2"/>
  <c r="H2274" i="2"/>
  <c r="G2274" i="2"/>
  <c r="F2274" i="2"/>
  <c r="E2274" i="2"/>
  <c r="D2274" i="2"/>
  <c r="C2274" i="2"/>
  <c r="A2274" i="2"/>
  <c r="M2273" i="2"/>
  <c r="L2273" i="2"/>
  <c r="K2273" i="2"/>
  <c r="J2273" i="2"/>
  <c r="H2273" i="2"/>
  <c r="G2273" i="2"/>
  <c r="F2273" i="2"/>
  <c r="E2273" i="2"/>
  <c r="D2273" i="2"/>
  <c r="C2273" i="2"/>
  <c r="A2273" i="2"/>
  <c r="M2272" i="2"/>
  <c r="L2272" i="2"/>
  <c r="K2272" i="2"/>
  <c r="J2272" i="2"/>
  <c r="H2272" i="2"/>
  <c r="G2272" i="2"/>
  <c r="F2272" i="2"/>
  <c r="E2272" i="2"/>
  <c r="D2272" i="2"/>
  <c r="C2272" i="2"/>
  <c r="A2272" i="2"/>
  <c r="M2271" i="2"/>
  <c r="L2271" i="2"/>
  <c r="K2271" i="2"/>
  <c r="J2271" i="2"/>
  <c r="H2271" i="2"/>
  <c r="G2271" i="2"/>
  <c r="F2271" i="2"/>
  <c r="E2271" i="2"/>
  <c r="D2271" i="2"/>
  <c r="C2271" i="2"/>
  <c r="A2271" i="2"/>
  <c r="M2270" i="2"/>
  <c r="L2270" i="2"/>
  <c r="K2270" i="2"/>
  <c r="J2270" i="2"/>
  <c r="H2270" i="2"/>
  <c r="G2270" i="2"/>
  <c r="F2270" i="2"/>
  <c r="E2270" i="2"/>
  <c r="D2270" i="2"/>
  <c r="C2270" i="2"/>
  <c r="A2270" i="2"/>
  <c r="M2269" i="2"/>
  <c r="L2269" i="2"/>
  <c r="K2269" i="2"/>
  <c r="J2269" i="2"/>
  <c r="H2269" i="2"/>
  <c r="G2269" i="2"/>
  <c r="F2269" i="2"/>
  <c r="E2269" i="2"/>
  <c r="D2269" i="2"/>
  <c r="C2269" i="2"/>
  <c r="A2269" i="2"/>
  <c r="M2268" i="2"/>
  <c r="L2268" i="2"/>
  <c r="K2268" i="2"/>
  <c r="J2268" i="2"/>
  <c r="H2268" i="2"/>
  <c r="G2268" i="2"/>
  <c r="F2268" i="2"/>
  <c r="E2268" i="2"/>
  <c r="D2268" i="2"/>
  <c r="C2268" i="2"/>
  <c r="A2268" i="2"/>
  <c r="M2267" i="2"/>
  <c r="L2267" i="2"/>
  <c r="K2267" i="2"/>
  <c r="J2267" i="2"/>
  <c r="H2267" i="2"/>
  <c r="G2267" i="2"/>
  <c r="F2267" i="2"/>
  <c r="E2267" i="2"/>
  <c r="D2267" i="2"/>
  <c r="C2267" i="2"/>
  <c r="A2267" i="2"/>
  <c r="M2266" i="2"/>
  <c r="L2266" i="2"/>
  <c r="K2266" i="2"/>
  <c r="J2266" i="2"/>
  <c r="H2266" i="2"/>
  <c r="G2266" i="2"/>
  <c r="F2266" i="2"/>
  <c r="E2266" i="2"/>
  <c r="D2266" i="2"/>
  <c r="C2266" i="2"/>
  <c r="A2266" i="2"/>
  <c r="M2265" i="2"/>
  <c r="L2265" i="2"/>
  <c r="K2265" i="2"/>
  <c r="J2265" i="2"/>
  <c r="H2265" i="2"/>
  <c r="G2265" i="2"/>
  <c r="F2265" i="2"/>
  <c r="E2265" i="2"/>
  <c r="D2265" i="2"/>
  <c r="C2265" i="2"/>
  <c r="A2265" i="2"/>
  <c r="M2264" i="2"/>
  <c r="L2264" i="2"/>
  <c r="K2264" i="2"/>
  <c r="J2264" i="2"/>
  <c r="H2264" i="2"/>
  <c r="G2264" i="2"/>
  <c r="F2264" i="2"/>
  <c r="E2264" i="2"/>
  <c r="D2264" i="2"/>
  <c r="C2264" i="2"/>
  <c r="A2264" i="2"/>
  <c r="M2263" i="2"/>
  <c r="L2263" i="2"/>
  <c r="K2263" i="2"/>
  <c r="J2263" i="2"/>
  <c r="H2263" i="2"/>
  <c r="G2263" i="2"/>
  <c r="F2263" i="2"/>
  <c r="E2263" i="2"/>
  <c r="D2263" i="2"/>
  <c r="C2263" i="2"/>
  <c r="A2263" i="2"/>
  <c r="M2262" i="2"/>
  <c r="L2262" i="2"/>
  <c r="K2262" i="2"/>
  <c r="J2262" i="2"/>
  <c r="H2262" i="2"/>
  <c r="G2262" i="2"/>
  <c r="F2262" i="2"/>
  <c r="E2262" i="2"/>
  <c r="D2262" i="2"/>
  <c r="C2262" i="2"/>
  <c r="A2262" i="2"/>
  <c r="M2261" i="2"/>
  <c r="L2261" i="2"/>
  <c r="K2261" i="2"/>
  <c r="J2261" i="2"/>
  <c r="H2261" i="2"/>
  <c r="G2261" i="2"/>
  <c r="F2261" i="2"/>
  <c r="E2261" i="2"/>
  <c r="D2261" i="2"/>
  <c r="C2261" i="2"/>
  <c r="A2261" i="2"/>
  <c r="M2260" i="2"/>
  <c r="L2260" i="2"/>
  <c r="K2260" i="2"/>
  <c r="J2260" i="2"/>
  <c r="H2260" i="2"/>
  <c r="G2260" i="2"/>
  <c r="E2260" i="2"/>
  <c r="D2260" i="2"/>
  <c r="C2260" i="2"/>
  <c r="A2260" i="2"/>
  <c r="M2259" i="2"/>
  <c r="L2259" i="2"/>
  <c r="K2259" i="2"/>
  <c r="J2259" i="2"/>
  <c r="H2259" i="2"/>
  <c r="G2259" i="2"/>
  <c r="F2259" i="2"/>
  <c r="E2259" i="2"/>
  <c r="D2259" i="2"/>
  <c r="C2259" i="2"/>
  <c r="A2259" i="2"/>
  <c r="M2258" i="2"/>
  <c r="L2258" i="2"/>
  <c r="K2258" i="2"/>
  <c r="J2258" i="2"/>
  <c r="H2258" i="2"/>
  <c r="G2258" i="2"/>
  <c r="F2258" i="2"/>
  <c r="E2258" i="2"/>
  <c r="D2258" i="2"/>
  <c r="C2258" i="2"/>
  <c r="A2258" i="2"/>
  <c r="M2257" i="2"/>
  <c r="L2257" i="2"/>
  <c r="K2257" i="2"/>
  <c r="J2257" i="2"/>
  <c r="H2257" i="2"/>
  <c r="G2257" i="2"/>
  <c r="F2257" i="2"/>
  <c r="E2257" i="2"/>
  <c r="D2257" i="2"/>
  <c r="C2257" i="2"/>
  <c r="A2257" i="2"/>
  <c r="M2256" i="2"/>
  <c r="L2256" i="2"/>
  <c r="K2256" i="2"/>
  <c r="J2256" i="2"/>
  <c r="H2256" i="2"/>
  <c r="G2256" i="2"/>
  <c r="F2256" i="2"/>
  <c r="E2256" i="2"/>
  <c r="D2256" i="2"/>
  <c r="C2256" i="2"/>
  <c r="A2256" i="2"/>
  <c r="M2255" i="2"/>
  <c r="L2255" i="2"/>
  <c r="K2255" i="2"/>
  <c r="J2255" i="2"/>
  <c r="H2255" i="2"/>
  <c r="G2255" i="2"/>
  <c r="F2255" i="2"/>
  <c r="E2255" i="2"/>
  <c r="D2255" i="2"/>
  <c r="C2255" i="2"/>
  <c r="A2255" i="2"/>
  <c r="M2254" i="2"/>
  <c r="L2254" i="2"/>
  <c r="K2254" i="2"/>
  <c r="J2254" i="2"/>
  <c r="H2254" i="2"/>
  <c r="G2254" i="2"/>
  <c r="F2254" i="2"/>
  <c r="E2254" i="2"/>
  <c r="D2254" i="2"/>
  <c r="C2254" i="2"/>
  <c r="A2254" i="2"/>
  <c r="M2253" i="2"/>
  <c r="L2253" i="2"/>
  <c r="K2253" i="2"/>
  <c r="J2253" i="2"/>
  <c r="H2253" i="2"/>
  <c r="G2253" i="2"/>
  <c r="F2253" i="2"/>
  <c r="E2253" i="2"/>
  <c r="D2253" i="2"/>
  <c r="C2253" i="2"/>
  <c r="A2253" i="2"/>
  <c r="M2252" i="2"/>
  <c r="L2252" i="2"/>
  <c r="K2252" i="2"/>
  <c r="J2252" i="2"/>
  <c r="H2252" i="2"/>
  <c r="G2252" i="2"/>
  <c r="F2252" i="2"/>
  <c r="E2252" i="2"/>
  <c r="D2252" i="2"/>
  <c r="C2252" i="2"/>
  <c r="A2252" i="2"/>
  <c r="M2251" i="2"/>
  <c r="L2251" i="2"/>
  <c r="K2251" i="2"/>
  <c r="J2251" i="2"/>
  <c r="H2251" i="2"/>
  <c r="G2251" i="2"/>
  <c r="F2251" i="2"/>
  <c r="E2251" i="2"/>
  <c r="D2251" i="2"/>
  <c r="C2251" i="2"/>
  <c r="A2251" i="2"/>
  <c r="M2250" i="2"/>
  <c r="L2250" i="2"/>
  <c r="K2250" i="2"/>
  <c r="J2250" i="2"/>
  <c r="H2250" i="2"/>
  <c r="G2250" i="2"/>
  <c r="F2250" i="2"/>
  <c r="E2250" i="2"/>
  <c r="D2250" i="2"/>
  <c r="C2250" i="2"/>
  <c r="A2250" i="2"/>
  <c r="M2249" i="2"/>
  <c r="L2249" i="2"/>
  <c r="K2249" i="2"/>
  <c r="J2249" i="2"/>
  <c r="H2249" i="2"/>
  <c r="G2249" i="2"/>
  <c r="F2249" i="2"/>
  <c r="E2249" i="2"/>
  <c r="D2249" i="2"/>
  <c r="C2249" i="2"/>
  <c r="A2249" i="2"/>
  <c r="M2248" i="2"/>
  <c r="L2248" i="2"/>
  <c r="K2248" i="2"/>
  <c r="J2248" i="2"/>
  <c r="H2248" i="2"/>
  <c r="G2248" i="2"/>
  <c r="F2248" i="2"/>
  <c r="E2248" i="2"/>
  <c r="D2248" i="2"/>
  <c r="C2248" i="2"/>
  <c r="A2248" i="2"/>
  <c r="M2247" i="2"/>
  <c r="L2247" i="2"/>
  <c r="K2247" i="2"/>
  <c r="J2247" i="2"/>
  <c r="H2247" i="2"/>
  <c r="G2247" i="2"/>
  <c r="F2247" i="2"/>
  <c r="E2247" i="2"/>
  <c r="D2247" i="2"/>
  <c r="C2247" i="2"/>
  <c r="A2247" i="2"/>
  <c r="M2246" i="2"/>
  <c r="L2246" i="2"/>
  <c r="K2246" i="2"/>
  <c r="J2246" i="2"/>
  <c r="H2246" i="2"/>
  <c r="G2246" i="2"/>
  <c r="F2246" i="2"/>
  <c r="E2246" i="2"/>
  <c r="D2246" i="2"/>
  <c r="C2246" i="2"/>
  <c r="A2246" i="2"/>
  <c r="M2245" i="2"/>
  <c r="L2245" i="2"/>
  <c r="K2245" i="2"/>
  <c r="J2245" i="2"/>
  <c r="H2245" i="2"/>
  <c r="G2245" i="2"/>
  <c r="F2245" i="2"/>
  <c r="E2245" i="2"/>
  <c r="D2245" i="2"/>
  <c r="C2245" i="2"/>
  <c r="A2245" i="2"/>
  <c r="M2244" i="2"/>
  <c r="L2244" i="2"/>
  <c r="K2244" i="2"/>
  <c r="J2244" i="2"/>
  <c r="H2244" i="2"/>
  <c r="G2244" i="2"/>
  <c r="F2244" i="2"/>
  <c r="E2244" i="2"/>
  <c r="D2244" i="2"/>
  <c r="C2244" i="2"/>
  <c r="A2244" i="2"/>
  <c r="M2243" i="2"/>
  <c r="L2243" i="2"/>
  <c r="K2243" i="2"/>
  <c r="J2243" i="2"/>
  <c r="H2243" i="2"/>
  <c r="G2243" i="2"/>
  <c r="F2243" i="2"/>
  <c r="E2243" i="2"/>
  <c r="D2243" i="2"/>
  <c r="C2243" i="2"/>
  <c r="A2243" i="2"/>
  <c r="M2242" i="2"/>
  <c r="L2242" i="2"/>
  <c r="K2242" i="2"/>
  <c r="J2242" i="2"/>
  <c r="H2242" i="2"/>
  <c r="G2242" i="2"/>
  <c r="F2242" i="2"/>
  <c r="E2242" i="2"/>
  <c r="D2242" i="2"/>
  <c r="C2242" i="2"/>
  <c r="A2242" i="2"/>
  <c r="M2241" i="2"/>
  <c r="L2241" i="2"/>
  <c r="K2241" i="2"/>
  <c r="J2241" i="2"/>
  <c r="H2241" i="2"/>
  <c r="G2241" i="2"/>
  <c r="F2241" i="2"/>
  <c r="E2241" i="2"/>
  <c r="D2241" i="2"/>
  <c r="C2241" i="2"/>
  <c r="A2241" i="2"/>
  <c r="M2240" i="2"/>
  <c r="L2240" i="2"/>
  <c r="K2240" i="2"/>
  <c r="J2240" i="2"/>
  <c r="H2240" i="2"/>
  <c r="G2240" i="2"/>
  <c r="F2240" i="2"/>
  <c r="E2240" i="2"/>
  <c r="D2240" i="2"/>
  <c r="C2240" i="2"/>
  <c r="A2240" i="2"/>
  <c r="M2239" i="2"/>
  <c r="L2239" i="2"/>
  <c r="K2239" i="2"/>
  <c r="J2239" i="2"/>
  <c r="H2239" i="2"/>
  <c r="G2239" i="2"/>
  <c r="F2239" i="2"/>
  <c r="E2239" i="2"/>
  <c r="D2239" i="2"/>
  <c r="C2239" i="2"/>
  <c r="A2239" i="2"/>
  <c r="M2238" i="2"/>
  <c r="L2238" i="2"/>
  <c r="K2238" i="2"/>
  <c r="J2238" i="2"/>
  <c r="H2238" i="2"/>
  <c r="G2238" i="2"/>
  <c r="E2238" i="2"/>
  <c r="D2238" i="2"/>
  <c r="C2238" i="2"/>
  <c r="A2238" i="2"/>
  <c r="M2237" i="2"/>
  <c r="L2237" i="2"/>
  <c r="K2237" i="2"/>
  <c r="J2237" i="2"/>
  <c r="H2237" i="2"/>
  <c r="G2237" i="2"/>
  <c r="F2237" i="2"/>
  <c r="E2237" i="2"/>
  <c r="D2237" i="2"/>
  <c r="C2237" i="2"/>
  <c r="A2237" i="2"/>
  <c r="M2236" i="2"/>
  <c r="L2236" i="2"/>
  <c r="K2236" i="2"/>
  <c r="J2236" i="2"/>
  <c r="H2236" i="2"/>
  <c r="G2236" i="2"/>
  <c r="F2236" i="2"/>
  <c r="E2236" i="2"/>
  <c r="D2236" i="2"/>
  <c r="C2236" i="2"/>
  <c r="A2236" i="2"/>
  <c r="M2235" i="2"/>
  <c r="L2235" i="2"/>
  <c r="K2235" i="2"/>
  <c r="J2235" i="2"/>
  <c r="H2235" i="2"/>
  <c r="G2235" i="2"/>
  <c r="F2235" i="2"/>
  <c r="E2235" i="2"/>
  <c r="D2235" i="2"/>
  <c r="C2235" i="2"/>
  <c r="A2235" i="2"/>
  <c r="M2234" i="2"/>
  <c r="L2234" i="2"/>
  <c r="K2234" i="2"/>
  <c r="J2234" i="2"/>
  <c r="H2234" i="2"/>
  <c r="G2234" i="2"/>
  <c r="F2234" i="2"/>
  <c r="E2234" i="2"/>
  <c r="D2234" i="2"/>
  <c r="C2234" i="2"/>
  <c r="A2234" i="2"/>
  <c r="M2233" i="2"/>
  <c r="L2233" i="2"/>
  <c r="K2233" i="2"/>
  <c r="J2233" i="2"/>
  <c r="H2233" i="2"/>
  <c r="G2233" i="2"/>
  <c r="F2233" i="2"/>
  <c r="E2233" i="2"/>
  <c r="D2233" i="2"/>
  <c r="C2233" i="2"/>
  <c r="A2233" i="2"/>
  <c r="M2232" i="2"/>
  <c r="L2232" i="2"/>
  <c r="K2232" i="2"/>
  <c r="J2232" i="2"/>
  <c r="H2232" i="2"/>
  <c r="G2232" i="2"/>
  <c r="F2232" i="2"/>
  <c r="E2232" i="2"/>
  <c r="D2232" i="2"/>
  <c r="C2232" i="2"/>
  <c r="A2232" i="2"/>
  <c r="M2231" i="2"/>
  <c r="L2231" i="2"/>
  <c r="K2231" i="2"/>
  <c r="J2231" i="2"/>
  <c r="H2231" i="2"/>
  <c r="G2231" i="2"/>
  <c r="F2231" i="2"/>
  <c r="E2231" i="2"/>
  <c r="D2231" i="2"/>
  <c r="C2231" i="2"/>
  <c r="A2231" i="2"/>
  <c r="M2230" i="2"/>
  <c r="L2230" i="2"/>
  <c r="K2230" i="2"/>
  <c r="J2230" i="2"/>
  <c r="H2230" i="2"/>
  <c r="G2230" i="2"/>
  <c r="F2230" i="2"/>
  <c r="E2230" i="2"/>
  <c r="D2230" i="2"/>
  <c r="C2230" i="2"/>
  <c r="A2230" i="2"/>
  <c r="M2229" i="2"/>
  <c r="L2229" i="2"/>
  <c r="K2229" i="2"/>
  <c r="J2229" i="2"/>
  <c r="H2229" i="2"/>
  <c r="G2229" i="2"/>
  <c r="F2229" i="2"/>
  <c r="E2229" i="2"/>
  <c r="D2229" i="2"/>
  <c r="C2229" i="2"/>
  <c r="A2229" i="2"/>
  <c r="M2228" i="2"/>
  <c r="L2228" i="2"/>
  <c r="K2228" i="2"/>
  <c r="J2228" i="2"/>
  <c r="H2228" i="2"/>
  <c r="G2228" i="2"/>
  <c r="F2228" i="2"/>
  <c r="E2228" i="2"/>
  <c r="D2228" i="2"/>
  <c r="C2228" i="2"/>
  <c r="A2228" i="2"/>
  <c r="M2227" i="2"/>
  <c r="L2227" i="2"/>
  <c r="K2227" i="2"/>
  <c r="J2227" i="2"/>
  <c r="H2227" i="2"/>
  <c r="G2227" i="2"/>
  <c r="F2227" i="2"/>
  <c r="E2227" i="2"/>
  <c r="D2227" i="2"/>
  <c r="C2227" i="2"/>
  <c r="A2227" i="2"/>
  <c r="M2226" i="2"/>
  <c r="L2226" i="2"/>
  <c r="K2226" i="2"/>
  <c r="J2226" i="2"/>
  <c r="H2226" i="2"/>
  <c r="G2226" i="2"/>
  <c r="F2226" i="2"/>
  <c r="E2226" i="2"/>
  <c r="D2226" i="2"/>
  <c r="C2226" i="2"/>
  <c r="A2226" i="2"/>
  <c r="M2225" i="2"/>
  <c r="L2225" i="2"/>
  <c r="K2225" i="2"/>
  <c r="J2225" i="2"/>
  <c r="H2225" i="2"/>
  <c r="G2225" i="2"/>
  <c r="F2225" i="2"/>
  <c r="E2225" i="2"/>
  <c r="D2225" i="2"/>
  <c r="C2225" i="2"/>
  <c r="A2225" i="2"/>
  <c r="M2224" i="2"/>
  <c r="L2224" i="2"/>
  <c r="K2224" i="2"/>
  <c r="J2224" i="2"/>
  <c r="H2224" i="2"/>
  <c r="G2224" i="2"/>
  <c r="F2224" i="2"/>
  <c r="E2224" i="2"/>
  <c r="D2224" i="2"/>
  <c r="C2224" i="2"/>
  <c r="A2224" i="2"/>
  <c r="M2223" i="2"/>
  <c r="L2223" i="2"/>
  <c r="K2223" i="2"/>
  <c r="J2223" i="2"/>
  <c r="H2223" i="2"/>
  <c r="G2223" i="2"/>
  <c r="F2223" i="2"/>
  <c r="E2223" i="2"/>
  <c r="D2223" i="2"/>
  <c r="C2223" i="2"/>
  <c r="A2223" i="2"/>
  <c r="M2222" i="2"/>
  <c r="L2222" i="2"/>
  <c r="K2222" i="2"/>
  <c r="J2222" i="2"/>
  <c r="H2222" i="2"/>
  <c r="G2222" i="2"/>
  <c r="F2222" i="2"/>
  <c r="E2222" i="2"/>
  <c r="D2222" i="2"/>
  <c r="C2222" i="2"/>
  <c r="A2222" i="2"/>
  <c r="M2221" i="2"/>
  <c r="L2221" i="2"/>
  <c r="K2221" i="2"/>
  <c r="J2221" i="2"/>
  <c r="H2221" i="2"/>
  <c r="G2221" i="2"/>
  <c r="F2221" i="2"/>
  <c r="E2221" i="2"/>
  <c r="D2221" i="2"/>
  <c r="C2221" i="2"/>
  <c r="A2221" i="2"/>
  <c r="M2220" i="2"/>
  <c r="L2220" i="2"/>
  <c r="K2220" i="2"/>
  <c r="J2220" i="2"/>
  <c r="H2220" i="2"/>
  <c r="G2220" i="2"/>
  <c r="F2220" i="2"/>
  <c r="E2220" i="2"/>
  <c r="D2220" i="2"/>
  <c r="C2220" i="2"/>
  <c r="A2220" i="2"/>
  <c r="M2219" i="2"/>
  <c r="L2219" i="2"/>
  <c r="K2219" i="2"/>
  <c r="J2219" i="2"/>
  <c r="H2219" i="2"/>
  <c r="G2219" i="2"/>
  <c r="F2219" i="2"/>
  <c r="E2219" i="2"/>
  <c r="D2219" i="2"/>
  <c r="C2219" i="2"/>
  <c r="A2219" i="2"/>
  <c r="M2218" i="2"/>
  <c r="L2218" i="2"/>
  <c r="K2218" i="2"/>
  <c r="J2218" i="2"/>
  <c r="H2218" i="2"/>
  <c r="G2218" i="2"/>
  <c r="F2218" i="2"/>
  <c r="E2218" i="2"/>
  <c r="D2218" i="2"/>
  <c r="C2218" i="2"/>
  <c r="A2218" i="2"/>
  <c r="M2217" i="2"/>
  <c r="L2217" i="2"/>
  <c r="K2217" i="2"/>
  <c r="J2217" i="2"/>
  <c r="H2217" i="2"/>
  <c r="G2217" i="2"/>
  <c r="F2217" i="2"/>
  <c r="E2217" i="2"/>
  <c r="D2217" i="2"/>
  <c r="C2217" i="2"/>
  <c r="A2217" i="2"/>
  <c r="M2216" i="2"/>
  <c r="L2216" i="2"/>
  <c r="K2216" i="2"/>
  <c r="J2216" i="2"/>
  <c r="H2216" i="2"/>
  <c r="G2216" i="2"/>
  <c r="F2216" i="2"/>
  <c r="E2216" i="2"/>
  <c r="D2216" i="2"/>
  <c r="C2216" i="2"/>
  <c r="A2216" i="2"/>
  <c r="M2215" i="2"/>
  <c r="L2215" i="2"/>
  <c r="K2215" i="2"/>
  <c r="J2215" i="2"/>
  <c r="H2215" i="2"/>
  <c r="G2215" i="2"/>
  <c r="F2215" i="2"/>
  <c r="E2215" i="2"/>
  <c r="D2215" i="2"/>
  <c r="C2215" i="2"/>
  <c r="A2215" i="2"/>
  <c r="M2214" i="2"/>
  <c r="L2214" i="2"/>
  <c r="K2214" i="2"/>
  <c r="J2214" i="2"/>
  <c r="H2214" i="2"/>
  <c r="G2214" i="2"/>
  <c r="F2214" i="2"/>
  <c r="E2214" i="2"/>
  <c r="D2214" i="2"/>
  <c r="C2214" i="2"/>
  <c r="A2214" i="2"/>
  <c r="M2213" i="2"/>
  <c r="L2213" i="2"/>
  <c r="K2213" i="2"/>
  <c r="J2213" i="2"/>
  <c r="H2213" i="2"/>
  <c r="G2213" i="2"/>
  <c r="F2213" i="2"/>
  <c r="E2213" i="2"/>
  <c r="D2213" i="2"/>
  <c r="C2213" i="2"/>
  <c r="A2213" i="2"/>
  <c r="M2212" i="2"/>
  <c r="L2212" i="2"/>
  <c r="K2212" i="2"/>
  <c r="J2212" i="2"/>
  <c r="H2212" i="2"/>
  <c r="G2212" i="2"/>
  <c r="F2212" i="2"/>
  <c r="E2212" i="2"/>
  <c r="D2212" i="2"/>
  <c r="C2212" i="2"/>
  <c r="A2212" i="2"/>
  <c r="M2211" i="2"/>
  <c r="L2211" i="2"/>
  <c r="K2211" i="2"/>
  <c r="J2211" i="2"/>
  <c r="H2211" i="2"/>
  <c r="G2211" i="2"/>
  <c r="F2211" i="2"/>
  <c r="E2211" i="2"/>
  <c r="D2211" i="2"/>
  <c r="C2211" i="2"/>
  <c r="A2211" i="2"/>
  <c r="M2210" i="2"/>
  <c r="L2210" i="2"/>
  <c r="K2210" i="2"/>
  <c r="J2210" i="2"/>
  <c r="H2210" i="2"/>
  <c r="G2210" i="2"/>
  <c r="F2210" i="2"/>
  <c r="E2210" i="2"/>
  <c r="D2210" i="2"/>
  <c r="C2210" i="2"/>
  <c r="A2210" i="2"/>
  <c r="M2209" i="2"/>
  <c r="L2209" i="2"/>
  <c r="K2209" i="2"/>
  <c r="J2209" i="2"/>
  <c r="H2209" i="2"/>
  <c r="G2209" i="2"/>
  <c r="F2209" i="2"/>
  <c r="E2209" i="2"/>
  <c r="D2209" i="2"/>
  <c r="C2209" i="2"/>
  <c r="A2209" i="2"/>
  <c r="M2208" i="2"/>
  <c r="L2208" i="2"/>
  <c r="K2208" i="2"/>
  <c r="J2208" i="2"/>
  <c r="H2208" i="2"/>
  <c r="G2208" i="2"/>
  <c r="F2208" i="2"/>
  <c r="E2208" i="2"/>
  <c r="D2208" i="2"/>
  <c r="C2208" i="2"/>
  <c r="A2208" i="2"/>
  <c r="M2207" i="2"/>
  <c r="L2207" i="2"/>
  <c r="K2207" i="2"/>
  <c r="J2207" i="2"/>
  <c r="H2207" i="2"/>
  <c r="G2207" i="2"/>
  <c r="F2207" i="2"/>
  <c r="E2207" i="2"/>
  <c r="D2207" i="2"/>
  <c r="C2207" i="2"/>
  <c r="A2207" i="2"/>
  <c r="M2206" i="2"/>
  <c r="L2206" i="2"/>
  <c r="K2206" i="2"/>
  <c r="J2206" i="2"/>
  <c r="H2206" i="2"/>
  <c r="G2206" i="2"/>
  <c r="F2206" i="2"/>
  <c r="E2206" i="2"/>
  <c r="D2206" i="2"/>
  <c r="C2206" i="2"/>
  <c r="A2206" i="2"/>
  <c r="M2205" i="2"/>
  <c r="L2205" i="2"/>
  <c r="K2205" i="2"/>
  <c r="J2205" i="2"/>
  <c r="H2205" i="2"/>
  <c r="G2205" i="2"/>
  <c r="F2205" i="2"/>
  <c r="E2205" i="2"/>
  <c r="D2205" i="2"/>
  <c r="C2205" i="2"/>
  <c r="A2205" i="2"/>
  <c r="M2204" i="2"/>
  <c r="L2204" i="2"/>
  <c r="K2204" i="2"/>
  <c r="J2204" i="2"/>
  <c r="H2204" i="2"/>
  <c r="G2204" i="2"/>
  <c r="F2204" i="2"/>
  <c r="E2204" i="2"/>
  <c r="D2204" i="2"/>
  <c r="C2204" i="2"/>
  <c r="A2204" i="2"/>
  <c r="M2203" i="2"/>
  <c r="L2203" i="2"/>
  <c r="K2203" i="2"/>
  <c r="J2203" i="2"/>
  <c r="H2203" i="2"/>
  <c r="G2203" i="2"/>
  <c r="F2203" i="2"/>
  <c r="E2203" i="2"/>
  <c r="D2203" i="2"/>
  <c r="C2203" i="2"/>
  <c r="A2203" i="2"/>
  <c r="M2202" i="2"/>
  <c r="L2202" i="2"/>
  <c r="K2202" i="2"/>
  <c r="J2202" i="2"/>
  <c r="H2202" i="2"/>
  <c r="G2202" i="2"/>
  <c r="F2202" i="2"/>
  <c r="E2202" i="2"/>
  <c r="D2202" i="2"/>
  <c r="C2202" i="2"/>
  <c r="A2202" i="2"/>
  <c r="M2201" i="2"/>
  <c r="L2201" i="2"/>
  <c r="K2201" i="2"/>
  <c r="J2201" i="2"/>
  <c r="H2201" i="2"/>
  <c r="G2201" i="2"/>
  <c r="F2201" i="2"/>
  <c r="E2201" i="2"/>
  <c r="D2201" i="2"/>
  <c r="C2201" i="2"/>
  <c r="A2201" i="2"/>
  <c r="M2200" i="2"/>
  <c r="L2200" i="2"/>
  <c r="K2200" i="2"/>
  <c r="J2200" i="2"/>
  <c r="H2200" i="2"/>
  <c r="G2200" i="2"/>
  <c r="F2200" i="2"/>
  <c r="E2200" i="2"/>
  <c r="D2200" i="2"/>
  <c r="C2200" i="2"/>
  <c r="A2200" i="2"/>
  <c r="M2199" i="2"/>
  <c r="L2199" i="2"/>
  <c r="K2199" i="2"/>
  <c r="J2199" i="2"/>
  <c r="H2199" i="2"/>
  <c r="G2199" i="2"/>
  <c r="F2199" i="2"/>
  <c r="E2199" i="2"/>
  <c r="D2199" i="2"/>
  <c r="C2199" i="2"/>
  <c r="A2199" i="2"/>
  <c r="M2198" i="2"/>
  <c r="L2198" i="2"/>
  <c r="K2198" i="2"/>
  <c r="J2198" i="2"/>
  <c r="H2198" i="2"/>
  <c r="G2198" i="2"/>
  <c r="F2198" i="2"/>
  <c r="E2198" i="2"/>
  <c r="D2198" i="2"/>
  <c r="C2198" i="2"/>
  <c r="A2198" i="2"/>
  <c r="M2197" i="2"/>
  <c r="L2197" i="2"/>
  <c r="K2197" i="2"/>
  <c r="J2197" i="2"/>
  <c r="H2197" i="2"/>
  <c r="G2197" i="2"/>
  <c r="F2197" i="2"/>
  <c r="E2197" i="2"/>
  <c r="D2197" i="2"/>
  <c r="C2197" i="2"/>
  <c r="A2197" i="2"/>
  <c r="M2196" i="2"/>
  <c r="L2196" i="2"/>
  <c r="K2196" i="2"/>
  <c r="J2196" i="2"/>
  <c r="H2196" i="2"/>
  <c r="G2196" i="2"/>
  <c r="F2196" i="2"/>
  <c r="E2196" i="2"/>
  <c r="D2196" i="2"/>
  <c r="C2196" i="2"/>
  <c r="A2196" i="2"/>
  <c r="M2195" i="2"/>
  <c r="L2195" i="2"/>
  <c r="K2195" i="2"/>
  <c r="J2195" i="2"/>
  <c r="H2195" i="2"/>
  <c r="G2195" i="2"/>
  <c r="F2195" i="2"/>
  <c r="E2195" i="2"/>
  <c r="D2195" i="2"/>
  <c r="C2195" i="2"/>
  <c r="A2195" i="2"/>
  <c r="M2194" i="2"/>
  <c r="L2194" i="2"/>
  <c r="K2194" i="2"/>
  <c r="J2194" i="2"/>
  <c r="H2194" i="2"/>
  <c r="G2194" i="2"/>
  <c r="F2194" i="2"/>
  <c r="E2194" i="2"/>
  <c r="D2194" i="2"/>
  <c r="C2194" i="2"/>
  <c r="A2194" i="2"/>
  <c r="M2193" i="2"/>
  <c r="L2193" i="2"/>
  <c r="K2193" i="2"/>
  <c r="J2193" i="2"/>
  <c r="H2193" i="2"/>
  <c r="G2193" i="2"/>
  <c r="F2193" i="2"/>
  <c r="E2193" i="2"/>
  <c r="D2193" i="2"/>
  <c r="C2193" i="2"/>
  <c r="A2193" i="2"/>
  <c r="M2192" i="2"/>
  <c r="L2192" i="2"/>
  <c r="K2192" i="2"/>
  <c r="J2192" i="2"/>
  <c r="H2192" i="2"/>
  <c r="G2192" i="2"/>
  <c r="F2192" i="2"/>
  <c r="E2192" i="2"/>
  <c r="D2192" i="2"/>
  <c r="C2192" i="2"/>
  <c r="A2192" i="2"/>
  <c r="M2191" i="2"/>
  <c r="L2191" i="2"/>
  <c r="K2191" i="2"/>
  <c r="J2191" i="2"/>
  <c r="H2191" i="2"/>
  <c r="G2191" i="2"/>
  <c r="F2191" i="2"/>
  <c r="E2191" i="2"/>
  <c r="D2191" i="2"/>
  <c r="C2191" i="2"/>
  <c r="A2191" i="2"/>
  <c r="M2190" i="2"/>
  <c r="L2190" i="2"/>
  <c r="K2190" i="2"/>
  <c r="J2190" i="2"/>
  <c r="H2190" i="2"/>
  <c r="G2190" i="2"/>
  <c r="F2190" i="2"/>
  <c r="E2190" i="2"/>
  <c r="D2190" i="2"/>
  <c r="C2190" i="2"/>
  <c r="A2190" i="2"/>
  <c r="M2189" i="2"/>
  <c r="L2189" i="2"/>
  <c r="K2189" i="2"/>
  <c r="J2189" i="2"/>
  <c r="H2189" i="2"/>
  <c r="G2189" i="2"/>
  <c r="F2189" i="2"/>
  <c r="E2189" i="2"/>
  <c r="D2189" i="2"/>
  <c r="C2189" i="2"/>
  <c r="A2189" i="2"/>
  <c r="M2188" i="2"/>
  <c r="L2188" i="2"/>
  <c r="K2188" i="2"/>
  <c r="J2188" i="2"/>
  <c r="H2188" i="2"/>
  <c r="G2188" i="2"/>
  <c r="F2188" i="2"/>
  <c r="E2188" i="2"/>
  <c r="D2188" i="2"/>
  <c r="C2188" i="2"/>
  <c r="A2188" i="2"/>
  <c r="M2187" i="2"/>
  <c r="L2187" i="2"/>
  <c r="K2187" i="2"/>
  <c r="J2187" i="2"/>
  <c r="H2187" i="2"/>
  <c r="G2187" i="2"/>
  <c r="F2187" i="2"/>
  <c r="E2187" i="2"/>
  <c r="D2187" i="2"/>
  <c r="C2187" i="2"/>
  <c r="A2187" i="2"/>
  <c r="M2186" i="2"/>
  <c r="L2186" i="2"/>
  <c r="K2186" i="2"/>
  <c r="J2186" i="2"/>
  <c r="H2186" i="2"/>
  <c r="G2186" i="2"/>
  <c r="F2186" i="2"/>
  <c r="E2186" i="2"/>
  <c r="D2186" i="2"/>
  <c r="C2186" i="2"/>
  <c r="A2186" i="2"/>
  <c r="M2185" i="2"/>
  <c r="L2185" i="2"/>
  <c r="K2185" i="2"/>
  <c r="J2185" i="2"/>
  <c r="H2185" i="2"/>
  <c r="G2185" i="2"/>
  <c r="F2185" i="2"/>
  <c r="E2185" i="2"/>
  <c r="D2185" i="2"/>
  <c r="C2185" i="2"/>
  <c r="A2185" i="2"/>
  <c r="M2184" i="2"/>
  <c r="L2184" i="2"/>
  <c r="K2184" i="2"/>
  <c r="J2184" i="2"/>
  <c r="H2184" i="2"/>
  <c r="G2184" i="2"/>
  <c r="F2184" i="2"/>
  <c r="E2184" i="2"/>
  <c r="D2184" i="2"/>
  <c r="C2184" i="2"/>
  <c r="A2184" i="2"/>
  <c r="M2183" i="2"/>
  <c r="L2183" i="2"/>
  <c r="K2183" i="2"/>
  <c r="J2183" i="2"/>
  <c r="H2183" i="2"/>
  <c r="G2183" i="2"/>
  <c r="F2183" i="2"/>
  <c r="E2183" i="2"/>
  <c r="D2183" i="2"/>
  <c r="C2183" i="2"/>
  <c r="A2183" i="2"/>
  <c r="M2182" i="2"/>
  <c r="L2182" i="2"/>
  <c r="K2182" i="2"/>
  <c r="J2182" i="2"/>
  <c r="H2182" i="2"/>
  <c r="G2182" i="2"/>
  <c r="F2182" i="2"/>
  <c r="E2182" i="2"/>
  <c r="D2182" i="2"/>
  <c r="C2182" i="2"/>
  <c r="A2182" i="2"/>
  <c r="M2181" i="2"/>
  <c r="L2181" i="2"/>
  <c r="K2181" i="2"/>
  <c r="J2181" i="2"/>
  <c r="H2181" i="2"/>
  <c r="G2181" i="2"/>
  <c r="F2181" i="2"/>
  <c r="E2181" i="2"/>
  <c r="D2181" i="2"/>
  <c r="C2181" i="2"/>
  <c r="A2181" i="2"/>
  <c r="M2180" i="2"/>
  <c r="L2180" i="2"/>
  <c r="K2180" i="2"/>
  <c r="J2180" i="2"/>
  <c r="H2180" i="2"/>
  <c r="G2180" i="2"/>
  <c r="F2180" i="2"/>
  <c r="E2180" i="2"/>
  <c r="D2180" i="2"/>
  <c r="C2180" i="2"/>
  <c r="A2180" i="2"/>
  <c r="M2179" i="2"/>
  <c r="L2179" i="2"/>
  <c r="K2179" i="2"/>
  <c r="J2179" i="2"/>
  <c r="H2179" i="2"/>
  <c r="G2179" i="2"/>
  <c r="F2179" i="2"/>
  <c r="E2179" i="2"/>
  <c r="D2179" i="2"/>
  <c r="C2179" i="2"/>
  <c r="A2179" i="2"/>
  <c r="M2178" i="2"/>
  <c r="L2178" i="2"/>
  <c r="K2178" i="2"/>
  <c r="J2178" i="2"/>
  <c r="H2178" i="2"/>
  <c r="G2178" i="2"/>
  <c r="F2178" i="2"/>
  <c r="E2178" i="2"/>
  <c r="D2178" i="2"/>
  <c r="C2178" i="2"/>
  <c r="A2178" i="2"/>
  <c r="M2177" i="2"/>
  <c r="L2177" i="2"/>
  <c r="K2177" i="2"/>
  <c r="J2177" i="2"/>
  <c r="H2177" i="2"/>
  <c r="G2177" i="2"/>
  <c r="F2177" i="2"/>
  <c r="E2177" i="2"/>
  <c r="D2177" i="2"/>
  <c r="C2177" i="2"/>
  <c r="A2177" i="2"/>
  <c r="M2176" i="2"/>
  <c r="L2176" i="2"/>
  <c r="K2176" i="2"/>
  <c r="J2176" i="2"/>
  <c r="H2176" i="2"/>
  <c r="G2176" i="2"/>
  <c r="F2176" i="2"/>
  <c r="E2176" i="2"/>
  <c r="D2176" i="2"/>
  <c r="C2176" i="2"/>
  <c r="A2176" i="2"/>
  <c r="M2175" i="2"/>
  <c r="L2175" i="2"/>
  <c r="K2175" i="2"/>
  <c r="J2175" i="2"/>
  <c r="H2175" i="2"/>
  <c r="G2175" i="2"/>
  <c r="F2175" i="2"/>
  <c r="E2175" i="2"/>
  <c r="D2175" i="2"/>
  <c r="C2175" i="2"/>
  <c r="A2175" i="2"/>
  <c r="M2174" i="2"/>
  <c r="L2174" i="2"/>
  <c r="K2174" i="2"/>
  <c r="J2174" i="2"/>
  <c r="H2174" i="2"/>
  <c r="G2174" i="2"/>
  <c r="F2174" i="2"/>
  <c r="E2174" i="2"/>
  <c r="D2174" i="2"/>
  <c r="C2174" i="2"/>
  <c r="A2174" i="2"/>
  <c r="M2173" i="2"/>
  <c r="L2173" i="2"/>
  <c r="K2173" i="2"/>
  <c r="J2173" i="2"/>
  <c r="H2173" i="2"/>
  <c r="G2173" i="2"/>
  <c r="F2173" i="2"/>
  <c r="E2173" i="2"/>
  <c r="D2173" i="2"/>
  <c r="C2173" i="2"/>
  <c r="A2173" i="2"/>
  <c r="M2172" i="2"/>
  <c r="L2172" i="2"/>
  <c r="K2172" i="2"/>
  <c r="J2172" i="2"/>
  <c r="H2172" i="2"/>
  <c r="G2172" i="2"/>
  <c r="F2172" i="2"/>
  <c r="E2172" i="2"/>
  <c r="D2172" i="2"/>
  <c r="C2172" i="2"/>
  <c r="A2172" i="2"/>
  <c r="M2171" i="2"/>
  <c r="L2171" i="2"/>
  <c r="K2171" i="2"/>
  <c r="J2171" i="2"/>
  <c r="H2171" i="2"/>
  <c r="G2171" i="2"/>
  <c r="F2171" i="2"/>
  <c r="E2171" i="2"/>
  <c r="D2171" i="2"/>
  <c r="C2171" i="2"/>
  <c r="A2171" i="2"/>
  <c r="M2170" i="2"/>
  <c r="L2170" i="2"/>
  <c r="K2170" i="2"/>
  <c r="J2170" i="2"/>
  <c r="H2170" i="2"/>
  <c r="G2170" i="2"/>
  <c r="F2170" i="2"/>
  <c r="E2170" i="2"/>
  <c r="D2170" i="2"/>
  <c r="C2170" i="2"/>
  <c r="A2170" i="2"/>
  <c r="M2169" i="2"/>
  <c r="L2169" i="2"/>
  <c r="K2169" i="2"/>
  <c r="J2169" i="2"/>
  <c r="H2169" i="2"/>
  <c r="G2169" i="2"/>
  <c r="F2169" i="2"/>
  <c r="E2169" i="2"/>
  <c r="D2169" i="2"/>
  <c r="C2169" i="2"/>
  <c r="A2169" i="2"/>
  <c r="M2168" i="2"/>
  <c r="L2168" i="2"/>
  <c r="K2168" i="2"/>
  <c r="J2168" i="2"/>
  <c r="H2168" i="2"/>
  <c r="G2168" i="2"/>
  <c r="F2168" i="2"/>
  <c r="E2168" i="2"/>
  <c r="D2168" i="2"/>
  <c r="C2168" i="2"/>
  <c r="A2168" i="2"/>
  <c r="M2167" i="2"/>
  <c r="L2167" i="2"/>
  <c r="K2167" i="2"/>
  <c r="J2167" i="2"/>
  <c r="H2167" i="2"/>
  <c r="G2167" i="2"/>
  <c r="F2167" i="2"/>
  <c r="E2167" i="2"/>
  <c r="D2167" i="2"/>
  <c r="C2167" i="2"/>
  <c r="A2167" i="2"/>
  <c r="M2166" i="2"/>
  <c r="L2166" i="2"/>
  <c r="K2166" i="2"/>
  <c r="J2166" i="2"/>
  <c r="H2166" i="2"/>
  <c r="G2166" i="2"/>
  <c r="F2166" i="2"/>
  <c r="E2166" i="2"/>
  <c r="D2166" i="2"/>
  <c r="C2166" i="2"/>
  <c r="A2166" i="2"/>
  <c r="M2165" i="2"/>
  <c r="L2165" i="2"/>
  <c r="K2165" i="2"/>
  <c r="J2165" i="2"/>
  <c r="H2165" i="2"/>
  <c r="G2165" i="2"/>
  <c r="F2165" i="2"/>
  <c r="E2165" i="2"/>
  <c r="D2165" i="2"/>
  <c r="C2165" i="2"/>
  <c r="A2165" i="2"/>
  <c r="M2164" i="2"/>
  <c r="L2164" i="2"/>
  <c r="K2164" i="2"/>
  <c r="J2164" i="2"/>
  <c r="H2164" i="2"/>
  <c r="G2164" i="2"/>
  <c r="F2164" i="2"/>
  <c r="E2164" i="2"/>
  <c r="D2164" i="2"/>
  <c r="C2164" i="2"/>
  <c r="A2164" i="2"/>
  <c r="M2163" i="2"/>
  <c r="L2163" i="2"/>
  <c r="K2163" i="2"/>
  <c r="J2163" i="2"/>
  <c r="H2163" i="2"/>
  <c r="G2163" i="2"/>
  <c r="F2163" i="2"/>
  <c r="E2163" i="2"/>
  <c r="D2163" i="2"/>
  <c r="C2163" i="2"/>
  <c r="A2163" i="2"/>
  <c r="M2162" i="2"/>
  <c r="L2162" i="2"/>
  <c r="K2162" i="2"/>
  <c r="J2162" i="2"/>
  <c r="H2162" i="2"/>
  <c r="G2162" i="2"/>
  <c r="F2162" i="2"/>
  <c r="E2162" i="2"/>
  <c r="D2162" i="2"/>
  <c r="C2162" i="2"/>
  <c r="A2162" i="2"/>
  <c r="M2161" i="2"/>
  <c r="L2161" i="2"/>
  <c r="K2161" i="2"/>
  <c r="J2161" i="2"/>
  <c r="H2161" i="2"/>
  <c r="G2161" i="2"/>
  <c r="F2161" i="2"/>
  <c r="E2161" i="2"/>
  <c r="D2161" i="2"/>
  <c r="C2161" i="2"/>
  <c r="A2161" i="2"/>
  <c r="M2160" i="2"/>
  <c r="L2160" i="2"/>
  <c r="K2160" i="2"/>
  <c r="J2160" i="2"/>
  <c r="H2160" i="2"/>
  <c r="G2160" i="2"/>
  <c r="F2160" i="2"/>
  <c r="E2160" i="2"/>
  <c r="D2160" i="2"/>
  <c r="C2160" i="2"/>
  <c r="A2160" i="2"/>
  <c r="M2159" i="2"/>
  <c r="L2159" i="2"/>
  <c r="K2159" i="2"/>
  <c r="J2159" i="2"/>
  <c r="H2159" i="2"/>
  <c r="G2159" i="2"/>
  <c r="F2159" i="2"/>
  <c r="E2159" i="2"/>
  <c r="D2159" i="2"/>
  <c r="C2159" i="2"/>
  <c r="A2159" i="2"/>
  <c r="M2158" i="2"/>
  <c r="L2158" i="2"/>
  <c r="K2158" i="2"/>
  <c r="J2158" i="2"/>
  <c r="H2158" i="2"/>
  <c r="G2158" i="2"/>
  <c r="F2158" i="2"/>
  <c r="E2158" i="2"/>
  <c r="D2158" i="2"/>
  <c r="C2158" i="2"/>
  <c r="A2158" i="2"/>
  <c r="M2157" i="2"/>
  <c r="L2157" i="2"/>
  <c r="K2157" i="2"/>
  <c r="J2157" i="2"/>
  <c r="H2157" i="2"/>
  <c r="G2157" i="2"/>
  <c r="F2157" i="2"/>
  <c r="E2157" i="2"/>
  <c r="D2157" i="2"/>
  <c r="C2157" i="2"/>
  <c r="A2157" i="2"/>
  <c r="M2156" i="2"/>
  <c r="L2156" i="2"/>
  <c r="K2156" i="2"/>
  <c r="J2156" i="2"/>
  <c r="H2156" i="2"/>
  <c r="G2156" i="2"/>
  <c r="F2156" i="2"/>
  <c r="E2156" i="2"/>
  <c r="D2156" i="2"/>
  <c r="C2156" i="2"/>
  <c r="A2156" i="2"/>
  <c r="M2155" i="2"/>
  <c r="L2155" i="2"/>
  <c r="K2155" i="2"/>
  <c r="J2155" i="2"/>
  <c r="H2155" i="2"/>
  <c r="G2155" i="2"/>
  <c r="F2155" i="2"/>
  <c r="E2155" i="2"/>
  <c r="D2155" i="2"/>
  <c r="C2155" i="2"/>
  <c r="A2155" i="2"/>
  <c r="M2154" i="2"/>
  <c r="L2154" i="2"/>
  <c r="K2154" i="2"/>
  <c r="J2154" i="2"/>
  <c r="H2154" i="2"/>
  <c r="G2154" i="2"/>
  <c r="F2154" i="2"/>
  <c r="E2154" i="2"/>
  <c r="D2154" i="2"/>
  <c r="C2154" i="2"/>
  <c r="A2154" i="2"/>
  <c r="M2153" i="2"/>
  <c r="L2153" i="2"/>
  <c r="K2153" i="2"/>
  <c r="J2153" i="2"/>
  <c r="H2153" i="2"/>
  <c r="G2153" i="2"/>
  <c r="F2153" i="2"/>
  <c r="E2153" i="2"/>
  <c r="D2153" i="2"/>
  <c r="C2153" i="2"/>
  <c r="A2153" i="2"/>
  <c r="M2152" i="2"/>
  <c r="L2152" i="2"/>
  <c r="K2152" i="2"/>
  <c r="J2152" i="2"/>
  <c r="H2152" i="2"/>
  <c r="G2152" i="2"/>
  <c r="F2152" i="2"/>
  <c r="E2152" i="2"/>
  <c r="D2152" i="2"/>
  <c r="C2152" i="2"/>
  <c r="A2152" i="2"/>
  <c r="M2151" i="2"/>
  <c r="L2151" i="2"/>
  <c r="K2151" i="2"/>
  <c r="J2151" i="2"/>
  <c r="H2151" i="2"/>
  <c r="G2151" i="2"/>
  <c r="F2151" i="2"/>
  <c r="E2151" i="2"/>
  <c r="D2151" i="2"/>
  <c r="C2151" i="2"/>
  <c r="A2151" i="2"/>
  <c r="M2150" i="2"/>
  <c r="L2150" i="2"/>
  <c r="K2150" i="2"/>
  <c r="J2150" i="2"/>
  <c r="H2150" i="2"/>
  <c r="G2150" i="2"/>
  <c r="F2150" i="2"/>
  <c r="E2150" i="2"/>
  <c r="D2150" i="2"/>
  <c r="C2150" i="2"/>
  <c r="A2150" i="2"/>
  <c r="M2149" i="2"/>
  <c r="L2149" i="2"/>
  <c r="K2149" i="2"/>
  <c r="J2149" i="2"/>
  <c r="H2149" i="2"/>
  <c r="G2149" i="2"/>
  <c r="F2149" i="2"/>
  <c r="E2149" i="2"/>
  <c r="D2149" i="2"/>
  <c r="C2149" i="2"/>
  <c r="A2149" i="2"/>
  <c r="M2148" i="2"/>
  <c r="L2148" i="2"/>
  <c r="K2148" i="2"/>
  <c r="J2148" i="2"/>
  <c r="H2148" i="2"/>
  <c r="G2148" i="2"/>
  <c r="F2148" i="2"/>
  <c r="E2148" i="2"/>
  <c r="D2148" i="2"/>
  <c r="C2148" i="2"/>
  <c r="A2148" i="2"/>
  <c r="M2147" i="2"/>
  <c r="L2147" i="2"/>
  <c r="K2147" i="2"/>
  <c r="J2147" i="2"/>
  <c r="H2147" i="2"/>
  <c r="G2147" i="2"/>
  <c r="F2147" i="2"/>
  <c r="E2147" i="2"/>
  <c r="D2147" i="2"/>
  <c r="C2147" i="2"/>
  <c r="A2147" i="2"/>
  <c r="M2146" i="2"/>
  <c r="L2146" i="2"/>
  <c r="K2146" i="2"/>
  <c r="J2146" i="2"/>
  <c r="H2146" i="2"/>
  <c r="G2146" i="2"/>
  <c r="F2146" i="2"/>
  <c r="E2146" i="2"/>
  <c r="D2146" i="2"/>
  <c r="C2146" i="2"/>
  <c r="A2146" i="2"/>
  <c r="M2145" i="2"/>
  <c r="L2145" i="2"/>
  <c r="K2145" i="2"/>
  <c r="J2145" i="2"/>
  <c r="H2145" i="2"/>
  <c r="G2145" i="2"/>
  <c r="F2145" i="2"/>
  <c r="E2145" i="2"/>
  <c r="D2145" i="2"/>
  <c r="C2145" i="2"/>
  <c r="A2145" i="2"/>
  <c r="M2144" i="2"/>
  <c r="L2144" i="2"/>
  <c r="K2144" i="2"/>
  <c r="J2144" i="2"/>
  <c r="H2144" i="2"/>
  <c r="G2144" i="2"/>
  <c r="F2144" i="2"/>
  <c r="E2144" i="2"/>
  <c r="D2144" i="2"/>
  <c r="C2144" i="2"/>
  <c r="A2144" i="2"/>
  <c r="M2143" i="2"/>
  <c r="L2143" i="2"/>
  <c r="K2143" i="2"/>
  <c r="J2143" i="2"/>
  <c r="H2143" i="2"/>
  <c r="G2143" i="2"/>
  <c r="F2143" i="2"/>
  <c r="E2143" i="2"/>
  <c r="D2143" i="2"/>
  <c r="C2143" i="2"/>
  <c r="A2143" i="2"/>
  <c r="M2142" i="2"/>
  <c r="L2142" i="2"/>
  <c r="K2142" i="2"/>
  <c r="J2142" i="2"/>
  <c r="H2142" i="2"/>
  <c r="G2142" i="2"/>
  <c r="F2142" i="2"/>
  <c r="E2142" i="2"/>
  <c r="D2142" i="2"/>
  <c r="C2142" i="2"/>
  <c r="A2142" i="2"/>
  <c r="M2141" i="2"/>
  <c r="L2141" i="2"/>
  <c r="K2141" i="2"/>
  <c r="J2141" i="2"/>
  <c r="H2141" i="2"/>
  <c r="G2141" i="2"/>
  <c r="F2141" i="2"/>
  <c r="E2141" i="2"/>
  <c r="D2141" i="2"/>
  <c r="C2141" i="2"/>
  <c r="A2141" i="2"/>
  <c r="M2140" i="2"/>
  <c r="L2140" i="2"/>
  <c r="K2140" i="2"/>
  <c r="J2140" i="2"/>
  <c r="H2140" i="2"/>
  <c r="G2140" i="2"/>
  <c r="F2140" i="2"/>
  <c r="E2140" i="2"/>
  <c r="D2140" i="2"/>
  <c r="C2140" i="2"/>
  <c r="A2140" i="2"/>
  <c r="M2139" i="2"/>
  <c r="L2139" i="2"/>
  <c r="K2139" i="2"/>
  <c r="J2139" i="2"/>
  <c r="H2139" i="2"/>
  <c r="G2139" i="2"/>
  <c r="F2139" i="2"/>
  <c r="E2139" i="2"/>
  <c r="D2139" i="2"/>
  <c r="C2139" i="2"/>
  <c r="A2139" i="2"/>
  <c r="M2138" i="2"/>
  <c r="L2138" i="2"/>
  <c r="K2138" i="2"/>
  <c r="J2138" i="2"/>
  <c r="H2138" i="2"/>
  <c r="G2138" i="2"/>
  <c r="F2138" i="2"/>
  <c r="E2138" i="2"/>
  <c r="D2138" i="2"/>
  <c r="C2138" i="2"/>
  <c r="A2138" i="2"/>
  <c r="M2137" i="2"/>
  <c r="L2137" i="2"/>
  <c r="K2137" i="2"/>
  <c r="J2137" i="2"/>
  <c r="H2137" i="2"/>
  <c r="G2137" i="2"/>
  <c r="F2137" i="2"/>
  <c r="E2137" i="2"/>
  <c r="D2137" i="2"/>
  <c r="C2137" i="2"/>
  <c r="A2137" i="2"/>
  <c r="M2136" i="2"/>
  <c r="L2136" i="2"/>
  <c r="K2136" i="2"/>
  <c r="J2136" i="2"/>
  <c r="H2136" i="2"/>
  <c r="G2136" i="2"/>
  <c r="F2136" i="2"/>
  <c r="E2136" i="2"/>
  <c r="D2136" i="2"/>
  <c r="C2136" i="2"/>
  <c r="A2136" i="2"/>
  <c r="M2135" i="2"/>
  <c r="L2135" i="2"/>
  <c r="K2135" i="2"/>
  <c r="J2135" i="2"/>
  <c r="H2135" i="2"/>
  <c r="G2135" i="2"/>
  <c r="F2135" i="2"/>
  <c r="E2135" i="2"/>
  <c r="D2135" i="2"/>
  <c r="C2135" i="2"/>
  <c r="A2135" i="2"/>
  <c r="M2134" i="2"/>
  <c r="L2134" i="2"/>
  <c r="K2134" i="2"/>
  <c r="J2134" i="2"/>
  <c r="H2134" i="2"/>
  <c r="G2134" i="2"/>
  <c r="F2134" i="2"/>
  <c r="E2134" i="2"/>
  <c r="D2134" i="2"/>
  <c r="C2134" i="2"/>
  <c r="A2134" i="2"/>
  <c r="M2133" i="2"/>
  <c r="L2133" i="2"/>
  <c r="K2133" i="2"/>
  <c r="J2133" i="2"/>
  <c r="H2133" i="2"/>
  <c r="G2133" i="2"/>
  <c r="F2133" i="2"/>
  <c r="E2133" i="2"/>
  <c r="D2133" i="2"/>
  <c r="C2133" i="2"/>
  <c r="A2133" i="2"/>
  <c r="M2132" i="2"/>
  <c r="L2132" i="2"/>
  <c r="K2132" i="2"/>
  <c r="J2132" i="2"/>
  <c r="H2132" i="2"/>
  <c r="G2132" i="2"/>
  <c r="F2132" i="2"/>
  <c r="E2132" i="2"/>
  <c r="D2132" i="2"/>
  <c r="C2132" i="2"/>
  <c r="A2132" i="2"/>
  <c r="M2131" i="2"/>
  <c r="L2131" i="2"/>
  <c r="K2131" i="2"/>
  <c r="J2131" i="2"/>
  <c r="H2131" i="2"/>
  <c r="G2131" i="2"/>
  <c r="F2131" i="2"/>
  <c r="E2131" i="2"/>
  <c r="D2131" i="2"/>
  <c r="C2131" i="2"/>
  <c r="A2131" i="2"/>
  <c r="M2130" i="2"/>
  <c r="L2130" i="2"/>
  <c r="K2130" i="2"/>
  <c r="J2130" i="2"/>
  <c r="H2130" i="2"/>
  <c r="G2130" i="2"/>
  <c r="F2130" i="2"/>
  <c r="E2130" i="2"/>
  <c r="D2130" i="2"/>
  <c r="C2130" i="2"/>
  <c r="A2130" i="2"/>
  <c r="M2129" i="2"/>
  <c r="L2129" i="2"/>
  <c r="K2129" i="2"/>
  <c r="J2129" i="2"/>
  <c r="H2129" i="2"/>
  <c r="G2129" i="2"/>
  <c r="F2129" i="2"/>
  <c r="E2129" i="2"/>
  <c r="D2129" i="2"/>
  <c r="C2129" i="2"/>
  <c r="A2129" i="2"/>
  <c r="M2128" i="2"/>
  <c r="L2128" i="2"/>
  <c r="K2128" i="2"/>
  <c r="J2128" i="2"/>
  <c r="H2128" i="2"/>
  <c r="G2128" i="2"/>
  <c r="F2128" i="2"/>
  <c r="E2128" i="2"/>
  <c r="D2128" i="2"/>
  <c r="C2128" i="2"/>
  <c r="A2128" i="2"/>
  <c r="M2127" i="2"/>
  <c r="L2127" i="2"/>
  <c r="K2127" i="2"/>
  <c r="J2127" i="2"/>
  <c r="H2127" i="2"/>
  <c r="G2127" i="2"/>
  <c r="E2127" i="2"/>
  <c r="D2127" i="2"/>
  <c r="C2127" i="2"/>
  <c r="A2127" i="2"/>
  <c r="M2126" i="2"/>
  <c r="L2126" i="2"/>
  <c r="K2126" i="2"/>
  <c r="J2126" i="2"/>
  <c r="H2126" i="2"/>
  <c r="G2126" i="2"/>
  <c r="F2126" i="2"/>
  <c r="E2126" i="2"/>
  <c r="D2126" i="2"/>
  <c r="C2126" i="2"/>
  <c r="A2126" i="2"/>
  <c r="M2125" i="2"/>
  <c r="L2125" i="2"/>
  <c r="K2125" i="2"/>
  <c r="J2125" i="2"/>
  <c r="H2125" i="2"/>
  <c r="G2125" i="2"/>
  <c r="F2125" i="2"/>
  <c r="E2125" i="2"/>
  <c r="D2125" i="2"/>
  <c r="C2125" i="2"/>
  <c r="A2125" i="2"/>
  <c r="M2124" i="2"/>
  <c r="L2124" i="2"/>
  <c r="K2124" i="2"/>
  <c r="J2124" i="2"/>
  <c r="H2124" i="2"/>
  <c r="G2124" i="2"/>
  <c r="F2124" i="2"/>
  <c r="E2124" i="2"/>
  <c r="D2124" i="2"/>
  <c r="C2124" i="2"/>
  <c r="A2124" i="2"/>
  <c r="M2123" i="2"/>
  <c r="L2123" i="2"/>
  <c r="K2123" i="2"/>
  <c r="J2123" i="2"/>
  <c r="H2123" i="2"/>
  <c r="G2123" i="2"/>
  <c r="F2123" i="2"/>
  <c r="E2123" i="2"/>
  <c r="D2123" i="2"/>
  <c r="C2123" i="2"/>
  <c r="A2123" i="2"/>
  <c r="M2122" i="2"/>
  <c r="L2122" i="2"/>
  <c r="K2122" i="2"/>
  <c r="J2122" i="2"/>
  <c r="H2122" i="2"/>
  <c r="G2122" i="2"/>
  <c r="F2122" i="2"/>
  <c r="E2122" i="2"/>
  <c r="D2122" i="2"/>
  <c r="C2122" i="2"/>
  <c r="A2122" i="2"/>
  <c r="M2121" i="2"/>
  <c r="L2121" i="2"/>
  <c r="K2121" i="2"/>
  <c r="J2121" i="2"/>
  <c r="H2121" i="2"/>
  <c r="G2121" i="2"/>
  <c r="F2121" i="2"/>
  <c r="E2121" i="2"/>
  <c r="D2121" i="2"/>
  <c r="C2121" i="2"/>
  <c r="A2121" i="2"/>
  <c r="M2120" i="2"/>
  <c r="L2120" i="2"/>
  <c r="K2120" i="2"/>
  <c r="J2120" i="2"/>
  <c r="H2120" i="2"/>
  <c r="G2120" i="2"/>
  <c r="F2120" i="2"/>
  <c r="E2120" i="2"/>
  <c r="D2120" i="2"/>
  <c r="C2120" i="2"/>
  <c r="A2120" i="2"/>
  <c r="M2119" i="2"/>
  <c r="L2119" i="2"/>
  <c r="K2119" i="2"/>
  <c r="J2119" i="2"/>
  <c r="H2119" i="2"/>
  <c r="G2119" i="2"/>
  <c r="F2119" i="2"/>
  <c r="E2119" i="2"/>
  <c r="D2119" i="2"/>
  <c r="C2119" i="2"/>
  <c r="A2119" i="2"/>
  <c r="M2118" i="2"/>
  <c r="L2118" i="2"/>
  <c r="K2118" i="2"/>
  <c r="J2118" i="2"/>
  <c r="H2118" i="2"/>
  <c r="G2118" i="2"/>
  <c r="F2118" i="2"/>
  <c r="E2118" i="2"/>
  <c r="D2118" i="2"/>
  <c r="C2118" i="2"/>
  <c r="A2118" i="2"/>
  <c r="M2117" i="2"/>
  <c r="L2117" i="2"/>
  <c r="K2117" i="2"/>
  <c r="J2117" i="2"/>
  <c r="H2117" i="2"/>
  <c r="G2117" i="2"/>
  <c r="F2117" i="2"/>
  <c r="E2117" i="2"/>
  <c r="D2117" i="2"/>
  <c r="C2117" i="2"/>
  <c r="A2117" i="2"/>
  <c r="M2116" i="2"/>
  <c r="L2116" i="2"/>
  <c r="K2116" i="2"/>
  <c r="J2116" i="2"/>
  <c r="H2116" i="2"/>
  <c r="G2116" i="2"/>
  <c r="F2116" i="2"/>
  <c r="E2116" i="2"/>
  <c r="D2116" i="2"/>
  <c r="C2116" i="2"/>
  <c r="A2116" i="2"/>
  <c r="M2115" i="2"/>
  <c r="L2115" i="2"/>
  <c r="K2115" i="2"/>
  <c r="J2115" i="2"/>
  <c r="H2115" i="2"/>
  <c r="G2115" i="2"/>
  <c r="F2115" i="2"/>
  <c r="E2115" i="2"/>
  <c r="D2115" i="2"/>
  <c r="C2115" i="2"/>
  <c r="A2115" i="2"/>
  <c r="M2114" i="2"/>
  <c r="L2114" i="2"/>
  <c r="K2114" i="2"/>
  <c r="J2114" i="2"/>
  <c r="H2114" i="2"/>
  <c r="G2114" i="2"/>
  <c r="F2114" i="2"/>
  <c r="E2114" i="2"/>
  <c r="D2114" i="2"/>
  <c r="C2114" i="2"/>
  <c r="A2114" i="2"/>
  <c r="M2113" i="2"/>
  <c r="L2113" i="2"/>
  <c r="K2113" i="2"/>
  <c r="J2113" i="2"/>
  <c r="H2113" i="2"/>
  <c r="G2113" i="2"/>
  <c r="F2113" i="2"/>
  <c r="E2113" i="2"/>
  <c r="D2113" i="2"/>
  <c r="C2113" i="2"/>
  <c r="A2113" i="2"/>
  <c r="M2112" i="2"/>
  <c r="L2112" i="2"/>
  <c r="K2112" i="2"/>
  <c r="J2112" i="2"/>
  <c r="H2112" i="2"/>
  <c r="G2112" i="2"/>
  <c r="F2112" i="2"/>
  <c r="E2112" i="2"/>
  <c r="D2112" i="2"/>
  <c r="C2112" i="2"/>
  <c r="A2112" i="2"/>
  <c r="M2111" i="2"/>
  <c r="L2111" i="2"/>
  <c r="K2111" i="2"/>
  <c r="J2111" i="2"/>
  <c r="H2111" i="2"/>
  <c r="G2111" i="2"/>
  <c r="F2111" i="2"/>
  <c r="E2111" i="2"/>
  <c r="D2111" i="2"/>
  <c r="C2111" i="2"/>
  <c r="A2111" i="2"/>
  <c r="M2110" i="2"/>
  <c r="L2110" i="2"/>
  <c r="K2110" i="2"/>
  <c r="J2110" i="2"/>
  <c r="H2110" i="2"/>
  <c r="G2110" i="2"/>
  <c r="F2110" i="2"/>
  <c r="E2110" i="2"/>
  <c r="D2110" i="2"/>
  <c r="C2110" i="2"/>
  <c r="A2110" i="2"/>
  <c r="M2109" i="2"/>
  <c r="L2109" i="2"/>
  <c r="K2109" i="2"/>
  <c r="J2109" i="2"/>
  <c r="H2109" i="2"/>
  <c r="G2109" i="2"/>
  <c r="F2109" i="2"/>
  <c r="E2109" i="2"/>
  <c r="D2109" i="2"/>
  <c r="C2109" i="2"/>
  <c r="A2109" i="2"/>
  <c r="M2108" i="2"/>
  <c r="L2108" i="2"/>
  <c r="K2108" i="2"/>
  <c r="J2108" i="2"/>
  <c r="H2108" i="2"/>
  <c r="G2108" i="2"/>
  <c r="F2108" i="2"/>
  <c r="E2108" i="2"/>
  <c r="D2108" i="2"/>
  <c r="C2108" i="2"/>
  <c r="A2108" i="2"/>
  <c r="M2107" i="2"/>
  <c r="L2107" i="2"/>
  <c r="K2107" i="2"/>
  <c r="J2107" i="2"/>
  <c r="H2107" i="2"/>
  <c r="G2107" i="2"/>
  <c r="F2107" i="2"/>
  <c r="E2107" i="2"/>
  <c r="D2107" i="2"/>
  <c r="C2107" i="2"/>
  <c r="A2107" i="2"/>
  <c r="M2106" i="2"/>
  <c r="L2106" i="2"/>
  <c r="K2106" i="2"/>
  <c r="J2106" i="2"/>
  <c r="H2106" i="2"/>
  <c r="G2106" i="2"/>
  <c r="F2106" i="2"/>
  <c r="E2106" i="2"/>
  <c r="D2106" i="2"/>
  <c r="C2106" i="2"/>
  <c r="A2106" i="2"/>
  <c r="M2105" i="2"/>
  <c r="L2105" i="2"/>
  <c r="K2105" i="2"/>
  <c r="J2105" i="2"/>
  <c r="H2105" i="2"/>
  <c r="G2105" i="2"/>
  <c r="F2105" i="2"/>
  <c r="E2105" i="2"/>
  <c r="D2105" i="2"/>
  <c r="C2105" i="2"/>
  <c r="A2105" i="2"/>
  <c r="M2104" i="2"/>
  <c r="L2104" i="2"/>
  <c r="K2104" i="2"/>
  <c r="J2104" i="2"/>
  <c r="H2104" i="2"/>
  <c r="G2104" i="2"/>
  <c r="F2104" i="2"/>
  <c r="E2104" i="2"/>
  <c r="D2104" i="2"/>
  <c r="C2104" i="2"/>
  <c r="A2104" i="2"/>
  <c r="M2103" i="2"/>
  <c r="L2103" i="2"/>
  <c r="K2103" i="2"/>
  <c r="J2103" i="2"/>
  <c r="H2103" i="2"/>
  <c r="G2103" i="2"/>
  <c r="F2103" i="2"/>
  <c r="E2103" i="2"/>
  <c r="D2103" i="2"/>
  <c r="C2103" i="2"/>
  <c r="A2103" i="2"/>
  <c r="M2102" i="2"/>
  <c r="L2102" i="2"/>
  <c r="K2102" i="2"/>
  <c r="J2102" i="2"/>
  <c r="H2102" i="2"/>
  <c r="G2102" i="2"/>
  <c r="F2102" i="2"/>
  <c r="E2102" i="2"/>
  <c r="D2102" i="2"/>
  <c r="C2102" i="2"/>
  <c r="A2102" i="2"/>
  <c r="M2101" i="2"/>
  <c r="L2101" i="2"/>
  <c r="K2101" i="2"/>
  <c r="J2101" i="2"/>
  <c r="H2101" i="2"/>
  <c r="G2101" i="2"/>
  <c r="F2101" i="2"/>
  <c r="E2101" i="2"/>
  <c r="D2101" i="2"/>
  <c r="C2101" i="2"/>
  <c r="A2101" i="2"/>
  <c r="M2100" i="2"/>
  <c r="L2100" i="2"/>
  <c r="K2100" i="2"/>
  <c r="J2100" i="2"/>
  <c r="H2100" i="2"/>
  <c r="G2100" i="2"/>
  <c r="F2100" i="2"/>
  <c r="E2100" i="2"/>
  <c r="D2100" i="2"/>
  <c r="C2100" i="2"/>
  <c r="A2100" i="2"/>
  <c r="M2099" i="2"/>
  <c r="L2099" i="2"/>
  <c r="K2099" i="2"/>
  <c r="J2099" i="2"/>
  <c r="H2099" i="2"/>
  <c r="G2099" i="2"/>
  <c r="F2099" i="2"/>
  <c r="E2099" i="2"/>
  <c r="D2099" i="2"/>
  <c r="C2099" i="2"/>
  <c r="A2099" i="2"/>
  <c r="M2098" i="2"/>
  <c r="L2098" i="2"/>
  <c r="K2098" i="2"/>
  <c r="J2098" i="2"/>
  <c r="H2098" i="2"/>
  <c r="G2098" i="2"/>
  <c r="F2098" i="2"/>
  <c r="E2098" i="2"/>
  <c r="D2098" i="2"/>
  <c r="C2098" i="2"/>
  <c r="A2098" i="2"/>
  <c r="M2097" i="2"/>
  <c r="L2097" i="2"/>
  <c r="K2097" i="2"/>
  <c r="J2097" i="2"/>
  <c r="H2097" i="2"/>
  <c r="G2097" i="2"/>
  <c r="F2097" i="2"/>
  <c r="E2097" i="2"/>
  <c r="D2097" i="2"/>
  <c r="C2097" i="2"/>
  <c r="A2097" i="2"/>
  <c r="M2096" i="2"/>
  <c r="L2096" i="2"/>
  <c r="K2096" i="2"/>
  <c r="J2096" i="2"/>
  <c r="H2096" i="2"/>
  <c r="G2096" i="2"/>
  <c r="F2096" i="2"/>
  <c r="E2096" i="2"/>
  <c r="D2096" i="2"/>
  <c r="C2096" i="2"/>
  <c r="A2096" i="2"/>
  <c r="M2095" i="2"/>
  <c r="L2095" i="2"/>
  <c r="K2095" i="2"/>
  <c r="J2095" i="2"/>
  <c r="H2095" i="2"/>
  <c r="G2095" i="2"/>
  <c r="F2095" i="2"/>
  <c r="E2095" i="2"/>
  <c r="D2095" i="2"/>
  <c r="C2095" i="2"/>
  <c r="A2095" i="2"/>
  <c r="M2094" i="2"/>
  <c r="L2094" i="2"/>
  <c r="K2094" i="2"/>
  <c r="J2094" i="2"/>
  <c r="H2094" i="2"/>
  <c r="G2094" i="2"/>
  <c r="F2094" i="2"/>
  <c r="E2094" i="2"/>
  <c r="D2094" i="2"/>
  <c r="C2094" i="2"/>
  <c r="A2094" i="2"/>
  <c r="M2093" i="2"/>
  <c r="L2093" i="2"/>
  <c r="K2093" i="2"/>
  <c r="J2093" i="2"/>
  <c r="H2093" i="2"/>
  <c r="G2093" i="2"/>
  <c r="F2093" i="2"/>
  <c r="E2093" i="2"/>
  <c r="D2093" i="2"/>
  <c r="C2093" i="2"/>
  <c r="A2093" i="2"/>
  <c r="M2092" i="2"/>
  <c r="L2092" i="2"/>
  <c r="K2092" i="2"/>
  <c r="J2092" i="2"/>
  <c r="H2092" i="2"/>
  <c r="G2092" i="2"/>
  <c r="F2092" i="2"/>
  <c r="E2092" i="2"/>
  <c r="D2092" i="2"/>
  <c r="C2092" i="2"/>
  <c r="A2092" i="2"/>
  <c r="M2091" i="2"/>
  <c r="L2091" i="2"/>
  <c r="K2091" i="2"/>
  <c r="J2091" i="2"/>
  <c r="H2091" i="2"/>
  <c r="G2091" i="2"/>
  <c r="F2091" i="2"/>
  <c r="E2091" i="2"/>
  <c r="D2091" i="2"/>
  <c r="C2091" i="2"/>
  <c r="A2091" i="2"/>
  <c r="M2090" i="2"/>
  <c r="L2090" i="2"/>
  <c r="K2090" i="2"/>
  <c r="J2090" i="2"/>
  <c r="H2090" i="2"/>
  <c r="G2090" i="2"/>
  <c r="E2090" i="2"/>
  <c r="D2090" i="2"/>
  <c r="C2090" i="2"/>
  <c r="A2090" i="2"/>
  <c r="M2089" i="2"/>
  <c r="L2089" i="2"/>
  <c r="K2089" i="2"/>
  <c r="J2089" i="2"/>
  <c r="H2089" i="2"/>
  <c r="G2089" i="2"/>
  <c r="F2089" i="2"/>
  <c r="E2089" i="2"/>
  <c r="D2089" i="2"/>
  <c r="C2089" i="2"/>
  <c r="A2089" i="2"/>
  <c r="M2088" i="2"/>
  <c r="L2088" i="2"/>
  <c r="K2088" i="2"/>
  <c r="J2088" i="2"/>
  <c r="H2088" i="2"/>
  <c r="G2088" i="2"/>
  <c r="F2088" i="2"/>
  <c r="E2088" i="2"/>
  <c r="D2088" i="2"/>
  <c r="C2088" i="2"/>
  <c r="A2088" i="2"/>
  <c r="M2087" i="2"/>
  <c r="L2087" i="2"/>
  <c r="K2087" i="2"/>
  <c r="J2087" i="2"/>
  <c r="H2087" i="2"/>
  <c r="G2087" i="2"/>
  <c r="F2087" i="2"/>
  <c r="E2087" i="2"/>
  <c r="D2087" i="2"/>
  <c r="C2087" i="2"/>
  <c r="A2087" i="2"/>
  <c r="M2086" i="2"/>
  <c r="L2086" i="2"/>
  <c r="K2086" i="2"/>
  <c r="J2086" i="2"/>
  <c r="H2086" i="2"/>
  <c r="G2086" i="2"/>
  <c r="F2086" i="2"/>
  <c r="E2086" i="2"/>
  <c r="D2086" i="2"/>
  <c r="C2086" i="2"/>
  <c r="A2086" i="2"/>
  <c r="M2085" i="2"/>
  <c r="L2085" i="2"/>
  <c r="K2085" i="2"/>
  <c r="J2085" i="2"/>
  <c r="H2085" i="2"/>
  <c r="G2085" i="2"/>
  <c r="F2085" i="2"/>
  <c r="E2085" i="2"/>
  <c r="D2085" i="2"/>
  <c r="C2085" i="2"/>
  <c r="A2085" i="2"/>
  <c r="M2084" i="2"/>
  <c r="L2084" i="2"/>
  <c r="K2084" i="2"/>
  <c r="J2084" i="2"/>
  <c r="H2084" i="2"/>
  <c r="G2084" i="2"/>
  <c r="F2084" i="2"/>
  <c r="E2084" i="2"/>
  <c r="D2084" i="2"/>
  <c r="C2084" i="2"/>
  <c r="A2084" i="2"/>
  <c r="M2083" i="2"/>
  <c r="L2083" i="2"/>
  <c r="K2083" i="2"/>
  <c r="J2083" i="2"/>
  <c r="H2083" i="2"/>
  <c r="G2083" i="2"/>
  <c r="F2083" i="2"/>
  <c r="E2083" i="2"/>
  <c r="D2083" i="2"/>
  <c r="C2083" i="2"/>
  <c r="A2083" i="2"/>
  <c r="M2082" i="2"/>
  <c r="L2082" i="2"/>
  <c r="K2082" i="2"/>
  <c r="J2082" i="2"/>
  <c r="H2082" i="2"/>
  <c r="G2082" i="2"/>
  <c r="F2082" i="2"/>
  <c r="E2082" i="2"/>
  <c r="D2082" i="2"/>
  <c r="C2082" i="2"/>
  <c r="A2082" i="2"/>
  <c r="M2081" i="2"/>
  <c r="L2081" i="2"/>
  <c r="K2081" i="2"/>
  <c r="J2081" i="2"/>
  <c r="H2081" i="2"/>
  <c r="G2081" i="2"/>
  <c r="F2081" i="2"/>
  <c r="E2081" i="2"/>
  <c r="D2081" i="2"/>
  <c r="C2081" i="2"/>
  <c r="A2081" i="2"/>
  <c r="M2080" i="2"/>
  <c r="L2080" i="2"/>
  <c r="K2080" i="2"/>
  <c r="J2080" i="2"/>
  <c r="H2080" i="2"/>
  <c r="G2080" i="2"/>
  <c r="F2080" i="2"/>
  <c r="E2080" i="2"/>
  <c r="D2080" i="2"/>
  <c r="C2080" i="2"/>
  <c r="A2080" i="2"/>
  <c r="M2079" i="2"/>
  <c r="L2079" i="2"/>
  <c r="K2079" i="2"/>
  <c r="J2079" i="2"/>
  <c r="H2079" i="2"/>
  <c r="G2079" i="2"/>
  <c r="F2079" i="2"/>
  <c r="E2079" i="2"/>
  <c r="D2079" i="2"/>
  <c r="C2079" i="2"/>
  <c r="A2079" i="2"/>
  <c r="M2078" i="2"/>
  <c r="L2078" i="2"/>
  <c r="K2078" i="2"/>
  <c r="J2078" i="2"/>
  <c r="H2078" i="2"/>
  <c r="G2078" i="2"/>
  <c r="F2078" i="2"/>
  <c r="E2078" i="2"/>
  <c r="D2078" i="2"/>
  <c r="C2078" i="2"/>
  <c r="A2078" i="2"/>
  <c r="M2077" i="2"/>
  <c r="L2077" i="2"/>
  <c r="K2077" i="2"/>
  <c r="J2077" i="2"/>
  <c r="H2077" i="2"/>
  <c r="G2077" i="2"/>
  <c r="E2077" i="2"/>
  <c r="D2077" i="2"/>
  <c r="C2077" i="2"/>
  <c r="A2077" i="2"/>
  <c r="M2076" i="2"/>
  <c r="L2076" i="2"/>
  <c r="K2076" i="2"/>
  <c r="J2076" i="2"/>
  <c r="H2076" i="2"/>
  <c r="G2076" i="2"/>
  <c r="F2076" i="2"/>
  <c r="E2076" i="2"/>
  <c r="D2076" i="2"/>
  <c r="C2076" i="2"/>
  <c r="A2076" i="2"/>
  <c r="M2075" i="2"/>
  <c r="L2075" i="2"/>
  <c r="K2075" i="2"/>
  <c r="J2075" i="2"/>
  <c r="H2075" i="2"/>
  <c r="G2075" i="2"/>
  <c r="F2075" i="2"/>
  <c r="E2075" i="2"/>
  <c r="D2075" i="2"/>
  <c r="C2075" i="2"/>
  <c r="A2075" i="2"/>
  <c r="M2074" i="2"/>
  <c r="L2074" i="2"/>
  <c r="K2074" i="2"/>
  <c r="J2074" i="2"/>
  <c r="H2074" i="2"/>
  <c r="G2074" i="2"/>
  <c r="F2074" i="2"/>
  <c r="E2074" i="2"/>
  <c r="D2074" i="2"/>
  <c r="C2074" i="2"/>
  <c r="A2074" i="2"/>
  <c r="M2073" i="2"/>
  <c r="L2073" i="2"/>
  <c r="K2073" i="2"/>
  <c r="J2073" i="2"/>
  <c r="H2073" i="2"/>
  <c r="G2073" i="2"/>
  <c r="F2073" i="2"/>
  <c r="E2073" i="2"/>
  <c r="D2073" i="2"/>
  <c r="C2073" i="2"/>
  <c r="A2073" i="2"/>
  <c r="M2072" i="2"/>
  <c r="L2072" i="2"/>
  <c r="K2072" i="2"/>
  <c r="J2072" i="2"/>
  <c r="H2072" i="2"/>
  <c r="G2072" i="2"/>
  <c r="F2072" i="2"/>
  <c r="E2072" i="2"/>
  <c r="D2072" i="2"/>
  <c r="C2072" i="2"/>
  <c r="A2072" i="2"/>
  <c r="M2071" i="2"/>
  <c r="L2071" i="2"/>
  <c r="K2071" i="2"/>
  <c r="J2071" i="2"/>
  <c r="H2071" i="2"/>
  <c r="G2071" i="2"/>
  <c r="F2071" i="2"/>
  <c r="E2071" i="2"/>
  <c r="D2071" i="2"/>
  <c r="C2071" i="2"/>
  <c r="A2071" i="2"/>
  <c r="M2070" i="2"/>
  <c r="L2070" i="2"/>
  <c r="K2070" i="2"/>
  <c r="J2070" i="2"/>
  <c r="H2070" i="2"/>
  <c r="G2070" i="2"/>
  <c r="F2070" i="2"/>
  <c r="E2070" i="2"/>
  <c r="D2070" i="2"/>
  <c r="C2070" i="2"/>
  <c r="A2070" i="2"/>
  <c r="M2069" i="2"/>
  <c r="L2069" i="2"/>
  <c r="K2069" i="2"/>
  <c r="J2069" i="2"/>
  <c r="H2069" i="2"/>
  <c r="G2069" i="2"/>
  <c r="F2069" i="2"/>
  <c r="E2069" i="2"/>
  <c r="D2069" i="2"/>
  <c r="C2069" i="2"/>
  <c r="A2069" i="2"/>
  <c r="M2068" i="2"/>
  <c r="L2068" i="2"/>
  <c r="K2068" i="2"/>
  <c r="J2068" i="2"/>
  <c r="H2068" i="2"/>
  <c r="G2068" i="2"/>
  <c r="F2068" i="2"/>
  <c r="E2068" i="2"/>
  <c r="D2068" i="2"/>
  <c r="C2068" i="2"/>
  <c r="A2068" i="2"/>
  <c r="M2067" i="2"/>
  <c r="L2067" i="2"/>
  <c r="K2067" i="2"/>
  <c r="J2067" i="2"/>
  <c r="H2067" i="2"/>
  <c r="G2067" i="2"/>
  <c r="F2067" i="2"/>
  <c r="E2067" i="2"/>
  <c r="D2067" i="2"/>
  <c r="C2067" i="2"/>
  <c r="A2067" i="2"/>
  <c r="M2066" i="2"/>
  <c r="L2066" i="2"/>
  <c r="K2066" i="2"/>
  <c r="J2066" i="2"/>
  <c r="H2066" i="2"/>
  <c r="G2066" i="2"/>
  <c r="F2066" i="2"/>
  <c r="E2066" i="2"/>
  <c r="D2066" i="2"/>
  <c r="C2066" i="2"/>
  <c r="A2066" i="2"/>
  <c r="M2065" i="2"/>
  <c r="L2065" i="2"/>
  <c r="K2065" i="2"/>
  <c r="J2065" i="2"/>
  <c r="H2065" i="2"/>
  <c r="G2065" i="2"/>
  <c r="F2065" i="2"/>
  <c r="E2065" i="2"/>
  <c r="D2065" i="2"/>
  <c r="C2065" i="2"/>
  <c r="A2065" i="2"/>
  <c r="M2064" i="2"/>
  <c r="L2064" i="2"/>
  <c r="K2064" i="2"/>
  <c r="J2064" i="2"/>
  <c r="H2064" i="2"/>
  <c r="G2064" i="2"/>
  <c r="F2064" i="2"/>
  <c r="E2064" i="2"/>
  <c r="D2064" i="2"/>
  <c r="C2064" i="2"/>
  <c r="A2064" i="2"/>
  <c r="M2063" i="2"/>
  <c r="L2063" i="2"/>
  <c r="K2063" i="2"/>
  <c r="J2063" i="2"/>
  <c r="H2063" i="2"/>
  <c r="G2063" i="2"/>
  <c r="F2063" i="2"/>
  <c r="E2063" i="2"/>
  <c r="D2063" i="2"/>
  <c r="C2063" i="2"/>
  <c r="A2063" i="2"/>
  <c r="M2062" i="2"/>
  <c r="L2062" i="2"/>
  <c r="K2062" i="2"/>
  <c r="J2062" i="2"/>
  <c r="H2062" i="2"/>
  <c r="G2062" i="2"/>
  <c r="F2062" i="2"/>
  <c r="E2062" i="2"/>
  <c r="D2062" i="2"/>
  <c r="C2062" i="2"/>
  <c r="A2062" i="2"/>
  <c r="M2061" i="2"/>
  <c r="L2061" i="2"/>
  <c r="K2061" i="2"/>
  <c r="J2061" i="2"/>
  <c r="H2061" i="2"/>
  <c r="G2061" i="2"/>
  <c r="F2061" i="2"/>
  <c r="E2061" i="2"/>
  <c r="D2061" i="2"/>
  <c r="C2061" i="2"/>
  <c r="A2061" i="2"/>
  <c r="M2060" i="2"/>
  <c r="L2060" i="2"/>
  <c r="K2060" i="2"/>
  <c r="J2060" i="2"/>
  <c r="H2060" i="2"/>
  <c r="G2060" i="2"/>
  <c r="F2060" i="2"/>
  <c r="E2060" i="2"/>
  <c r="D2060" i="2"/>
  <c r="C2060" i="2"/>
  <c r="A2060" i="2"/>
  <c r="M2059" i="2"/>
  <c r="L2059" i="2"/>
  <c r="K2059" i="2"/>
  <c r="J2059" i="2"/>
  <c r="H2059" i="2"/>
  <c r="G2059" i="2"/>
  <c r="F2059" i="2"/>
  <c r="E2059" i="2"/>
  <c r="D2059" i="2"/>
  <c r="C2059" i="2"/>
  <c r="A2059" i="2"/>
  <c r="M2058" i="2"/>
  <c r="L2058" i="2"/>
  <c r="K2058" i="2"/>
  <c r="J2058" i="2"/>
  <c r="H2058" i="2"/>
  <c r="G2058" i="2"/>
  <c r="F2058" i="2"/>
  <c r="E2058" i="2"/>
  <c r="D2058" i="2"/>
  <c r="C2058" i="2"/>
  <c r="A2058" i="2"/>
  <c r="M2057" i="2"/>
  <c r="L2057" i="2"/>
  <c r="K2057" i="2"/>
  <c r="J2057" i="2"/>
  <c r="H2057" i="2"/>
  <c r="G2057" i="2"/>
  <c r="F2057" i="2"/>
  <c r="E2057" i="2"/>
  <c r="D2057" i="2"/>
  <c r="C2057" i="2"/>
  <c r="A2057" i="2"/>
  <c r="M2056" i="2"/>
  <c r="L2056" i="2"/>
  <c r="K2056" i="2"/>
  <c r="J2056" i="2"/>
  <c r="H2056" i="2"/>
  <c r="G2056" i="2"/>
  <c r="F2056" i="2"/>
  <c r="E2056" i="2"/>
  <c r="D2056" i="2"/>
  <c r="C2056" i="2"/>
  <c r="A2056" i="2"/>
  <c r="M2055" i="2"/>
  <c r="L2055" i="2"/>
  <c r="K2055" i="2"/>
  <c r="J2055" i="2"/>
  <c r="H2055" i="2"/>
  <c r="G2055" i="2"/>
  <c r="F2055" i="2"/>
  <c r="E2055" i="2"/>
  <c r="D2055" i="2"/>
  <c r="C2055" i="2"/>
  <c r="A2055" i="2"/>
  <c r="M2054" i="2"/>
  <c r="L2054" i="2"/>
  <c r="K2054" i="2"/>
  <c r="J2054" i="2"/>
  <c r="H2054" i="2"/>
  <c r="G2054" i="2"/>
  <c r="F2054" i="2"/>
  <c r="E2054" i="2"/>
  <c r="D2054" i="2"/>
  <c r="C2054" i="2"/>
  <c r="A2054" i="2"/>
  <c r="M2053" i="2"/>
  <c r="L2053" i="2"/>
  <c r="K2053" i="2"/>
  <c r="J2053" i="2"/>
  <c r="H2053" i="2"/>
  <c r="G2053" i="2"/>
  <c r="F2053" i="2"/>
  <c r="E2053" i="2"/>
  <c r="D2053" i="2"/>
  <c r="C2053" i="2"/>
  <c r="A2053" i="2"/>
  <c r="M2052" i="2"/>
  <c r="L2052" i="2"/>
  <c r="K2052" i="2"/>
  <c r="J2052" i="2"/>
  <c r="H2052" i="2"/>
  <c r="G2052" i="2"/>
  <c r="F2052" i="2"/>
  <c r="E2052" i="2"/>
  <c r="D2052" i="2"/>
  <c r="C2052" i="2"/>
  <c r="A2052" i="2"/>
  <c r="M2051" i="2"/>
  <c r="L2051" i="2"/>
  <c r="K2051" i="2"/>
  <c r="J2051" i="2"/>
  <c r="H2051" i="2"/>
  <c r="G2051" i="2"/>
  <c r="F2051" i="2"/>
  <c r="E2051" i="2"/>
  <c r="D2051" i="2"/>
  <c r="C2051" i="2"/>
  <c r="A2051" i="2"/>
  <c r="M2050" i="2"/>
  <c r="L2050" i="2"/>
  <c r="K2050" i="2"/>
  <c r="J2050" i="2"/>
  <c r="H2050" i="2"/>
  <c r="G2050" i="2"/>
  <c r="F2050" i="2"/>
  <c r="E2050" i="2"/>
  <c r="D2050" i="2"/>
  <c r="C2050" i="2"/>
  <c r="A2050" i="2"/>
  <c r="M2049" i="2"/>
  <c r="L2049" i="2"/>
  <c r="K2049" i="2"/>
  <c r="J2049" i="2"/>
  <c r="H2049" i="2"/>
  <c r="G2049" i="2"/>
  <c r="F2049" i="2"/>
  <c r="E2049" i="2"/>
  <c r="D2049" i="2"/>
  <c r="C2049" i="2"/>
  <c r="A2049" i="2"/>
  <c r="M2048" i="2"/>
  <c r="L2048" i="2"/>
  <c r="K2048" i="2"/>
  <c r="J2048" i="2"/>
  <c r="H2048" i="2"/>
  <c r="G2048" i="2"/>
  <c r="F2048" i="2"/>
  <c r="E2048" i="2"/>
  <c r="D2048" i="2"/>
  <c r="C2048" i="2"/>
  <c r="A2048" i="2"/>
  <c r="M2047" i="2"/>
  <c r="L2047" i="2"/>
  <c r="K2047" i="2"/>
  <c r="J2047" i="2"/>
  <c r="H2047" i="2"/>
  <c r="G2047" i="2"/>
  <c r="F2047" i="2"/>
  <c r="E2047" i="2"/>
  <c r="D2047" i="2"/>
  <c r="C2047" i="2"/>
  <c r="A2047" i="2"/>
  <c r="M2046" i="2"/>
  <c r="L2046" i="2"/>
  <c r="K2046" i="2"/>
  <c r="J2046" i="2"/>
  <c r="H2046" i="2"/>
  <c r="G2046" i="2"/>
  <c r="F2046" i="2"/>
  <c r="E2046" i="2"/>
  <c r="D2046" i="2"/>
  <c r="C2046" i="2"/>
  <c r="A2046" i="2"/>
  <c r="M2045" i="2"/>
  <c r="L2045" i="2"/>
  <c r="K2045" i="2"/>
  <c r="J2045" i="2"/>
  <c r="H2045" i="2"/>
  <c r="G2045" i="2"/>
  <c r="F2045" i="2"/>
  <c r="E2045" i="2"/>
  <c r="D2045" i="2"/>
  <c r="C2045" i="2"/>
  <c r="A2045" i="2"/>
  <c r="M2044" i="2"/>
  <c r="L2044" i="2"/>
  <c r="K2044" i="2"/>
  <c r="J2044" i="2"/>
  <c r="H2044" i="2"/>
  <c r="G2044" i="2"/>
  <c r="F2044" i="2"/>
  <c r="E2044" i="2"/>
  <c r="D2044" i="2"/>
  <c r="C2044" i="2"/>
  <c r="A2044" i="2"/>
  <c r="M2043" i="2"/>
  <c r="L2043" i="2"/>
  <c r="K2043" i="2"/>
  <c r="J2043" i="2"/>
  <c r="H2043" i="2"/>
  <c r="G2043" i="2"/>
  <c r="F2043" i="2"/>
  <c r="E2043" i="2"/>
  <c r="D2043" i="2"/>
  <c r="C2043" i="2"/>
  <c r="A2043" i="2"/>
  <c r="M2042" i="2"/>
  <c r="L2042" i="2"/>
  <c r="K2042" i="2"/>
  <c r="J2042" i="2"/>
  <c r="H2042" i="2"/>
  <c r="G2042" i="2"/>
  <c r="F2042" i="2"/>
  <c r="E2042" i="2"/>
  <c r="D2042" i="2"/>
  <c r="C2042" i="2"/>
  <c r="A2042" i="2"/>
  <c r="M2041" i="2"/>
  <c r="L2041" i="2"/>
  <c r="K2041" i="2"/>
  <c r="J2041" i="2"/>
  <c r="H2041" i="2"/>
  <c r="G2041" i="2"/>
  <c r="F2041" i="2"/>
  <c r="E2041" i="2"/>
  <c r="D2041" i="2"/>
  <c r="C2041" i="2"/>
  <c r="A2041" i="2"/>
  <c r="M2040" i="2"/>
  <c r="L2040" i="2"/>
  <c r="K2040" i="2"/>
  <c r="J2040" i="2"/>
  <c r="H2040" i="2"/>
  <c r="G2040" i="2"/>
  <c r="F2040" i="2"/>
  <c r="E2040" i="2"/>
  <c r="D2040" i="2"/>
  <c r="C2040" i="2"/>
  <c r="A2040" i="2"/>
  <c r="M2039" i="2"/>
  <c r="L2039" i="2"/>
  <c r="K2039" i="2"/>
  <c r="J2039" i="2"/>
  <c r="H2039" i="2"/>
  <c r="G2039" i="2"/>
  <c r="F2039" i="2"/>
  <c r="E2039" i="2"/>
  <c r="D2039" i="2"/>
  <c r="C2039" i="2"/>
  <c r="A2039" i="2"/>
  <c r="M2038" i="2"/>
  <c r="L2038" i="2"/>
  <c r="K2038" i="2"/>
  <c r="J2038" i="2"/>
  <c r="H2038" i="2"/>
  <c r="G2038" i="2"/>
  <c r="F2038" i="2"/>
  <c r="E2038" i="2"/>
  <c r="D2038" i="2"/>
  <c r="C2038" i="2"/>
  <c r="A2038" i="2"/>
  <c r="M2037" i="2"/>
  <c r="L2037" i="2"/>
  <c r="K2037" i="2"/>
  <c r="J2037" i="2"/>
  <c r="H2037" i="2"/>
  <c r="G2037" i="2"/>
  <c r="F2037" i="2"/>
  <c r="E2037" i="2"/>
  <c r="D2037" i="2"/>
  <c r="C2037" i="2"/>
  <c r="A2037" i="2"/>
  <c r="M2036" i="2"/>
  <c r="L2036" i="2"/>
  <c r="K2036" i="2"/>
  <c r="J2036" i="2"/>
  <c r="H2036" i="2"/>
  <c r="G2036" i="2"/>
  <c r="F2036" i="2"/>
  <c r="E2036" i="2"/>
  <c r="D2036" i="2"/>
  <c r="C2036" i="2"/>
  <c r="A2036" i="2"/>
  <c r="M2035" i="2"/>
  <c r="L2035" i="2"/>
  <c r="K2035" i="2"/>
  <c r="J2035" i="2"/>
  <c r="H2035" i="2"/>
  <c r="G2035" i="2"/>
  <c r="F2035" i="2"/>
  <c r="E2035" i="2"/>
  <c r="D2035" i="2"/>
  <c r="C2035" i="2"/>
  <c r="A2035" i="2"/>
  <c r="M2034" i="2"/>
  <c r="L2034" i="2"/>
  <c r="K2034" i="2"/>
  <c r="J2034" i="2"/>
  <c r="H2034" i="2"/>
  <c r="G2034" i="2"/>
  <c r="F2034" i="2"/>
  <c r="E2034" i="2"/>
  <c r="D2034" i="2"/>
  <c r="C2034" i="2"/>
  <c r="A2034" i="2"/>
  <c r="M2033" i="2"/>
  <c r="L2033" i="2"/>
  <c r="K2033" i="2"/>
  <c r="J2033" i="2"/>
  <c r="H2033" i="2"/>
  <c r="G2033" i="2"/>
  <c r="F2033" i="2"/>
  <c r="E2033" i="2"/>
  <c r="D2033" i="2"/>
  <c r="C2033" i="2"/>
  <c r="A2033" i="2"/>
  <c r="M2032" i="2"/>
  <c r="L2032" i="2"/>
  <c r="K2032" i="2"/>
  <c r="J2032" i="2"/>
  <c r="H2032" i="2"/>
  <c r="G2032" i="2"/>
  <c r="F2032" i="2"/>
  <c r="E2032" i="2"/>
  <c r="D2032" i="2"/>
  <c r="C2032" i="2"/>
  <c r="A2032" i="2"/>
  <c r="M2031" i="2"/>
  <c r="L2031" i="2"/>
  <c r="K2031" i="2"/>
  <c r="J2031" i="2"/>
  <c r="H2031" i="2"/>
  <c r="G2031" i="2"/>
  <c r="F2031" i="2"/>
  <c r="E2031" i="2"/>
  <c r="D2031" i="2"/>
  <c r="C2031" i="2"/>
  <c r="A2031" i="2"/>
  <c r="M2030" i="2"/>
  <c r="L2030" i="2"/>
  <c r="K2030" i="2"/>
  <c r="J2030" i="2"/>
  <c r="H2030" i="2"/>
  <c r="G2030" i="2"/>
  <c r="F2030" i="2"/>
  <c r="E2030" i="2"/>
  <c r="D2030" i="2"/>
  <c r="C2030" i="2"/>
  <c r="A2030" i="2"/>
  <c r="M2029" i="2"/>
  <c r="L2029" i="2"/>
  <c r="K2029" i="2"/>
  <c r="J2029" i="2"/>
  <c r="H2029" i="2"/>
  <c r="G2029" i="2"/>
  <c r="F2029" i="2"/>
  <c r="E2029" i="2"/>
  <c r="D2029" i="2"/>
  <c r="C2029" i="2"/>
  <c r="A2029" i="2"/>
  <c r="M2028" i="2"/>
  <c r="L2028" i="2"/>
  <c r="K2028" i="2"/>
  <c r="J2028" i="2"/>
  <c r="H2028" i="2"/>
  <c r="G2028" i="2"/>
  <c r="F2028" i="2"/>
  <c r="E2028" i="2"/>
  <c r="D2028" i="2"/>
  <c r="C2028" i="2"/>
  <c r="A2028" i="2"/>
  <c r="M2027" i="2"/>
  <c r="L2027" i="2"/>
  <c r="K2027" i="2"/>
  <c r="J2027" i="2"/>
  <c r="H2027" i="2"/>
  <c r="G2027" i="2"/>
  <c r="F2027" i="2"/>
  <c r="E2027" i="2"/>
  <c r="D2027" i="2"/>
  <c r="C2027" i="2"/>
  <c r="A2027" i="2"/>
  <c r="M2026" i="2"/>
  <c r="L2026" i="2"/>
  <c r="K2026" i="2"/>
  <c r="J2026" i="2"/>
  <c r="H2026" i="2"/>
  <c r="G2026" i="2"/>
  <c r="F2026" i="2"/>
  <c r="E2026" i="2"/>
  <c r="D2026" i="2"/>
  <c r="C2026" i="2"/>
  <c r="A2026" i="2"/>
  <c r="M2025" i="2"/>
  <c r="L2025" i="2"/>
  <c r="K2025" i="2"/>
  <c r="J2025" i="2"/>
  <c r="H2025" i="2"/>
  <c r="G2025" i="2"/>
  <c r="F2025" i="2"/>
  <c r="E2025" i="2"/>
  <c r="D2025" i="2"/>
  <c r="C2025" i="2"/>
  <c r="A2025" i="2"/>
  <c r="M2024" i="2"/>
  <c r="L2024" i="2"/>
  <c r="K2024" i="2"/>
  <c r="J2024" i="2"/>
  <c r="H2024" i="2"/>
  <c r="G2024" i="2"/>
  <c r="F2024" i="2"/>
  <c r="E2024" i="2"/>
  <c r="D2024" i="2"/>
  <c r="C2024" i="2"/>
  <c r="A2024" i="2"/>
  <c r="M2023" i="2"/>
  <c r="L2023" i="2"/>
  <c r="K2023" i="2"/>
  <c r="J2023" i="2"/>
  <c r="H2023" i="2"/>
  <c r="G2023" i="2"/>
  <c r="F2023" i="2"/>
  <c r="E2023" i="2"/>
  <c r="D2023" i="2"/>
  <c r="C2023" i="2"/>
  <c r="A2023" i="2"/>
  <c r="M2022" i="2"/>
  <c r="L2022" i="2"/>
  <c r="K2022" i="2"/>
  <c r="J2022" i="2"/>
  <c r="H2022" i="2"/>
  <c r="G2022" i="2"/>
  <c r="F2022" i="2"/>
  <c r="E2022" i="2"/>
  <c r="D2022" i="2"/>
  <c r="C2022" i="2"/>
  <c r="A2022" i="2"/>
  <c r="M2021" i="2"/>
  <c r="L2021" i="2"/>
  <c r="K2021" i="2"/>
  <c r="J2021" i="2"/>
  <c r="H2021" i="2"/>
  <c r="G2021" i="2"/>
  <c r="F2021" i="2"/>
  <c r="E2021" i="2"/>
  <c r="D2021" i="2"/>
  <c r="C2021" i="2"/>
  <c r="A2021" i="2"/>
  <c r="M2020" i="2"/>
  <c r="L2020" i="2"/>
  <c r="K2020" i="2"/>
  <c r="J2020" i="2"/>
  <c r="H2020" i="2"/>
  <c r="G2020" i="2"/>
  <c r="F2020" i="2"/>
  <c r="E2020" i="2"/>
  <c r="D2020" i="2"/>
  <c r="C2020" i="2"/>
  <c r="A2020" i="2"/>
  <c r="M2019" i="2"/>
  <c r="L2019" i="2"/>
  <c r="K2019" i="2"/>
  <c r="J2019" i="2"/>
  <c r="H2019" i="2"/>
  <c r="G2019" i="2"/>
  <c r="F2019" i="2"/>
  <c r="E2019" i="2"/>
  <c r="D2019" i="2"/>
  <c r="C2019" i="2"/>
  <c r="A2019" i="2"/>
  <c r="M2018" i="2"/>
  <c r="L2018" i="2"/>
  <c r="K2018" i="2"/>
  <c r="J2018" i="2"/>
  <c r="H2018" i="2"/>
  <c r="G2018" i="2"/>
  <c r="F2018" i="2"/>
  <c r="E2018" i="2"/>
  <c r="D2018" i="2"/>
  <c r="C2018" i="2"/>
  <c r="A2018" i="2"/>
  <c r="M2017" i="2"/>
  <c r="L2017" i="2"/>
  <c r="K2017" i="2"/>
  <c r="J2017" i="2"/>
  <c r="H2017" i="2"/>
  <c r="G2017" i="2"/>
  <c r="F2017" i="2"/>
  <c r="E2017" i="2"/>
  <c r="D2017" i="2"/>
  <c r="C2017" i="2"/>
  <c r="A2017" i="2"/>
  <c r="M2016" i="2"/>
  <c r="L2016" i="2"/>
  <c r="K2016" i="2"/>
  <c r="J2016" i="2"/>
  <c r="H2016" i="2"/>
  <c r="G2016" i="2"/>
  <c r="F2016" i="2"/>
  <c r="E2016" i="2"/>
  <c r="D2016" i="2"/>
  <c r="C2016" i="2"/>
  <c r="A2016" i="2"/>
  <c r="M2015" i="2"/>
  <c r="L2015" i="2"/>
  <c r="K2015" i="2"/>
  <c r="J2015" i="2"/>
  <c r="H2015" i="2"/>
  <c r="G2015" i="2"/>
  <c r="F2015" i="2"/>
  <c r="E2015" i="2"/>
  <c r="D2015" i="2"/>
  <c r="C2015" i="2"/>
  <c r="A2015" i="2"/>
  <c r="M2014" i="2"/>
  <c r="L2014" i="2"/>
  <c r="K2014" i="2"/>
  <c r="J2014" i="2"/>
  <c r="H2014" i="2"/>
  <c r="G2014" i="2"/>
  <c r="F2014" i="2"/>
  <c r="E2014" i="2"/>
  <c r="D2014" i="2"/>
  <c r="C2014" i="2"/>
  <c r="A2014" i="2"/>
  <c r="M2013" i="2"/>
  <c r="L2013" i="2"/>
  <c r="K2013" i="2"/>
  <c r="J2013" i="2"/>
  <c r="H2013" i="2"/>
  <c r="G2013" i="2"/>
  <c r="F2013" i="2"/>
  <c r="E2013" i="2"/>
  <c r="D2013" i="2"/>
  <c r="C2013" i="2"/>
  <c r="A2013" i="2"/>
  <c r="M2012" i="2"/>
  <c r="L2012" i="2"/>
  <c r="K2012" i="2"/>
  <c r="J2012" i="2"/>
  <c r="H2012" i="2"/>
  <c r="G2012" i="2"/>
  <c r="F2012" i="2"/>
  <c r="E2012" i="2"/>
  <c r="D2012" i="2"/>
  <c r="C2012" i="2"/>
  <c r="A2012" i="2"/>
  <c r="M2011" i="2"/>
  <c r="L2011" i="2"/>
  <c r="K2011" i="2"/>
  <c r="J2011" i="2"/>
  <c r="H2011" i="2"/>
  <c r="G2011" i="2"/>
  <c r="F2011" i="2"/>
  <c r="E2011" i="2"/>
  <c r="D2011" i="2"/>
  <c r="C2011" i="2"/>
  <c r="A2011" i="2"/>
  <c r="M2010" i="2"/>
  <c r="L2010" i="2"/>
  <c r="K2010" i="2"/>
  <c r="J2010" i="2"/>
  <c r="H2010" i="2"/>
  <c r="G2010" i="2"/>
  <c r="F2010" i="2"/>
  <c r="E2010" i="2"/>
  <c r="D2010" i="2"/>
  <c r="C2010" i="2"/>
  <c r="A2010" i="2"/>
  <c r="M2009" i="2"/>
  <c r="L2009" i="2"/>
  <c r="K2009" i="2"/>
  <c r="J2009" i="2"/>
  <c r="H2009" i="2"/>
  <c r="G2009" i="2"/>
  <c r="F2009" i="2"/>
  <c r="E2009" i="2"/>
  <c r="D2009" i="2"/>
  <c r="C2009" i="2"/>
  <c r="A2009" i="2"/>
  <c r="M2008" i="2"/>
  <c r="L2008" i="2"/>
  <c r="K2008" i="2"/>
  <c r="J2008" i="2"/>
  <c r="H2008" i="2"/>
  <c r="G2008" i="2"/>
  <c r="F2008" i="2"/>
  <c r="E2008" i="2"/>
  <c r="D2008" i="2"/>
  <c r="C2008" i="2"/>
  <c r="A2008" i="2"/>
  <c r="M2007" i="2"/>
  <c r="L2007" i="2"/>
  <c r="K2007" i="2"/>
  <c r="J2007" i="2"/>
  <c r="H2007" i="2"/>
  <c r="G2007" i="2"/>
  <c r="F2007" i="2"/>
  <c r="E2007" i="2"/>
  <c r="D2007" i="2"/>
  <c r="C2007" i="2"/>
  <c r="A2007" i="2"/>
  <c r="M2006" i="2"/>
  <c r="L2006" i="2"/>
  <c r="K2006" i="2"/>
  <c r="J2006" i="2"/>
  <c r="H2006" i="2"/>
  <c r="G2006" i="2"/>
  <c r="F2006" i="2"/>
  <c r="E2006" i="2"/>
  <c r="D2006" i="2"/>
  <c r="C2006" i="2"/>
  <c r="A2006" i="2"/>
  <c r="M2005" i="2"/>
  <c r="L2005" i="2"/>
  <c r="K2005" i="2"/>
  <c r="J2005" i="2"/>
  <c r="H2005" i="2"/>
  <c r="G2005" i="2"/>
  <c r="F2005" i="2"/>
  <c r="E2005" i="2"/>
  <c r="D2005" i="2"/>
  <c r="C2005" i="2"/>
  <c r="A2005" i="2"/>
  <c r="M2004" i="2"/>
  <c r="L2004" i="2"/>
  <c r="K2004" i="2"/>
  <c r="J2004" i="2"/>
  <c r="H2004" i="2"/>
  <c r="G2004" i="2"/>
  <c r="E2004" i="2"/>
  <c r="D2004" i="2"/>
  <c r="C2004" i="2"/>
  <c r="A2004" i="2"/>
  <c r="M2003" i="2"/>
  <c r="L2003" i="2"/>
  <c r="K2003" i="2"/>
  <c r="J2003" i="2"/>
  <c r="H2003" i="2"/>
  <c r="G2003" i="2"/>
  <c r="F2003" i="2"/>
  <c r="E2003" i="2"/>
  <c r="D2003" i="2"/>
  <c r="C2003" i="2"/>
  <c r="A2003" i="2"/>
  <c r="M2002" i="2"/>
  <c r="L2002" i="2"/>
  <c r="K2002" i="2"/>
  <c r="J2002" i="2"/>
  <c r="H2002" i="2"/>
  <c r="G2002" i="2"/>
  <c r="F2002" i="2"/>
  <c r="E2002" i="2"/>
  <c r="D2002" i="2"/>
  <c r="C2002" i="2"/>
  <c r="A2002" i="2"/>
  <c r="M2001" i="2"/>
  <c r="L2001" i="2"/>
  <c r="K2001" i="2"/>
  <c r="J2001" i="2"/>
  <c r="H2001" i="2"/>
  <c r="G2001" i="2"/>
  <c r="F2001" i="2"/>
  <c r="E2001" i="2"/>
  <c r="D2001" i="2"/>
  <c r="C2001" i="2"/>
  <c r="A2001" i="2"/>
  <c r="M2000" i="2"/>
  <c r="L2000" i="2"/>
  <c r="K2000" i="2"/>
  <c r="J2000" i="2"/>
  <c r="H2000" i="2"/>
  <c r="G2000" i="2"/>
  <c r="F2000" i="2"/>
  <c r="E2000" i="2"/>
  <c r="D2000" i="2"/>
  <c r="C2000" i="2"/>
  <c r="A2000" i="2"/>
  <c r="M1999" i="2"/>
  <c r="L1999" i="2"/>
  <c r="K1999" i="2"/>
  <c r="J1999" i="2"/>
  <c r="H1999" i="2"/>
  <c r="G1999" i="2"/>
  <c r="F1999" i="2"/>
  <c r="E1999" i="2"/>
  <c r="D1999" i="2"/>
  <c r="C1999" i="2"/>
  <c r="A1999" i="2"/>
  <c r="M1998" i="2"/>
  <c r="L1998" i="2"/>
  <c r="K1998" i="2"/>
  <c r="J1998" i="2"/>
  <c r="H1998" i="2"/>
  <c r="G1998" i="2"/>
  <c r="F1998" i="2"/>
  <c r="E1998" i="2"/>
  <c r="D1998" i="2"/>
  <c r="C1998" i="2"/>
  <c r="A1998" i="2"/>
  <c r="M1997" i="2"/>
  <c r="L1997" i="2"/>
  <c r="K1997" i="2"/>
  <c r="J1997" i="2"/>
  <c r="H1997" i="2"/>
  <c r="G1997" i="2"/>
  <c r="F1997" i="2"/>
  <c r="E1997" i="2"/>
  <c r="D1997" i="2"/>
  <c r="C1997" i="2"/>
  <c r="A1997" i="2"/>
  <c r="M1996" i="2"/>
  <c r="L1996" i="2"/>
  <c r="K1996" i="2"/>
  <c r="J1996" i="2"/>
  <c r="H1996" i="2"/>
  <c r="G1996" i="2"/>
  <c r="F1996" i="2"/>
  <c r="E1996" i="2"/>
  <c r="D1996" i="2"/>
  <c r="C1996" i="2"/>
  <c r="A1996" i="2"/>
  <c r="M1995" i="2"/>
  <c r="L1995" i="2"/>
  <c r="K1995" i="2"/>
  <c r="J1995" i="2"/>
  <c r="H1995" i="2"/>
  <c r="G1995" i="2"/>
  <c r="F1995" i="2"/>
  <c r="E1995" i="2"/>
  <c r="D1995" i="2"/>
  <c r="C1995" i="2"/>
  <c r="A1995" i="2"/>
  <c r="M1994" i="2"/>
  <c r="L1994" i="2"/>
  <c r="K1994" i="2"/>
  <c r="J1994" i="2"/>
  <c r="H1994" i="2"/>
  <c r="G1994" i="2"/>
  <c r="F1994" i="2"/>
  <c r="E1994" i="2"/>
  <c r="D1994" i="2"/>
  <c r="C1994" i="2"/>
  <c r="A1994" i="2"/>
  <c r="M1993" i="2"/>
  <c r="L1993" i="2"/>
  <c r="K1993" i="2"/>
  <c r="J1993" i="2"/>
  <c r="H1993" i="2"/>
  <c r="G1993" i="2"/>
  <c r="F1993" i="2"/>
  <c r="E1993" i="2"/>
  <c r="D1993" i="2"/>
  <c r="C1993" i="2"/>
  <c r="A1993" i="2"/>
  <c r="M1992" i="2"/>
  <c r="L1992" i="2"/>
  <c r="K1992" i="2"/>
  <c r="J1992" i="2"/>
  <c r="H1992" i="2"/>
  <c r="G1992" i="2"/>
  <c r="F1992" i="2"/>
  <c r="E1992" i="2"/>
  <c r="D1992" i="2"/>
  <c r="C1992" i="2"/>
  <c r="A1992" i="2"/>
  <c r="M1991" i="2"/>
  <c r="L1991" i="2"/>
  <c r="K1991" i="2"/>
  <c r="J1991" i="2"/>
  <c r="H1991" i="2"/>
  <c r="G1991" i="2"/>
  <c r="F1991" i="2"/>
  <c r="E1991" i="2"/>
  <c r="D1991" i="2"/>
  <c r="C1991" i="2"/>
  <c r="A1991" i="2"/>
  <c r="M1990" i="2"/>
  <c r="L1990" i="2"/>
  <c r="K1990" i="2"/>
  <c r="J1990" i="2"/>
  <c r="H1990" i="2"/>
  <c r="G1990" i="2"/>
  <c r="F1990" i="2"/>
  <c r="E1990" i="2"/>
  <c r="D1990" i="2"/>
  <c r="C1990" i="2"/>
  <c r="A1990" i="2"/>
  <c r="M1989" i="2"/>
  <c r="L1989" i="2"/>
  <c r="K1989" i="2"/>
  <c r="J1989" i="2"/>
  <c r="H1989" i="2"/>
  <c r="G1989" i="2"/>
  <c r="F1989" i="2"/>
  <c r="E1989" i="2"/>
  <c r="D1989" i="2"/>
  <c r="C1989" i="2"/>
  <c r="A1989" i="2"/>
  <c r="M1988" i="2"/>
  <c r="L1988" i="2"/>
  <c r="K1988" i="2"/>
  <c r="J1988" i="2"/>
  <c r="H1988" i="2"/>
  <c r="G1988" i="2"/>
  <c r="F1988" i="2"/>
  <c r="E1988" i="2"/>
  <c r="D1988" i="2"/>
  <c r="C1988" i="2"/>
  <c r="A1988" i="2"/>
  <c r="M1987" i="2"/>
  <c r="L1987" i="2"/>
  <c r="K1987" i="2"/>
  <c r="J1987" i="2"/>
  <c r="H1987" i="2"/>
  <c r="G1987" i="2"/>
  <c r="F1987" i="2"/>
  <c r="E1987" i="2"/>
  <c r="D1987" i="2"/>
  <c r="C1987" i="2"/>
  <c r="A1987" i="2"/>
  <c r="M1986" i="2"/>
  <c r="L1986" i="2"/>
  <c r="K1986" i="2"/>
  <c r="J1986" i="2"/>
  <c r="H1986" i="2"/>
  <c r="G1986" i="2"/>
  <c r="F1986" i="2"/>
  <c r="E1986" i="2"/>
  <c r="D1986" i="2"/>
  <c r="C1986" i="2"/>
  <c r="A1986" i="2"/>
  <c r="M1985" i="2"/>
  <c r="L1985" i="2"/>
  <c r="K1985" i="2"/>
  <c r="J1985" i="2"/>
  <c r="H1985" i="2"/>
  <c r="G1985" i="2"/>
  <c r="F1985" i="2"/>
  <c r="E1985" i="2"/>
  <c r="D1985" i="2"/>
  <c r="C1985" i="2"/>
  <c r="A1985" i="2"/>
  <c r="M1984" i="2"/>
  <c r="L1984" i="2"/>
  <c r="K1984" i="2"/>
  <c r="J1984" i="2"/>
  <c r="H1984" i="2"/>
  <c r="G1984" i="2"/>
  <c r="F1984" i="2"/>
  <c r="E1984" i="2"/>
  <c r="D1984" i="2"/>
  <c r="C1984" i="2"/>
  <c r="A1984" i="2"/>
  <c r="M1983" i="2"/>
  <c r="L1983" i="2"/>
  <c r="K1983" i="2"/>
  <c r="J1983" i="2"/>
  <c r="H1983" i="2"/>
  <c r="G1983" i="2"/>
  <c r="F1983" i="2"/>
  <c r="E1983" i="2"/>
  <c r="D1983" i="2"/>
  <c r="C1983" i="2"/>
  <c r="A1983" i="2"/>
  <c r="M1982" i="2"/>
  <c r="L1982" i="2"/>
  <c r="K1982" i="2"/>
  <c r="J1982" i="2"/>
  <c r="H1982" i="2"/>
  <c r="G1982" i="2"/>
  <c r="F1982" i="2"/>
  <c r="E1982" i="2"/>
  <c r="D1982" i="2"/>
  <c r="C1982" i="2"/>
  <c r="A1982" i="2"/>
  <c r="M1981" i="2"/>
  <c r="L1981" i="2"/>
  <c r="K1981" i="2"/>
  <c r="J1981" i="2"/>
  <c r="H1981" i="2"/>
  <c r="G1981" i="2"/>
  <c r="F1981" i="2"/>
  <c r="E1981" i="2"/>
  <c r="D1981" i="2"/>
  <c r="C1981" i="2"/>
  <c r="A1981" i="2"/>
  <c r="M1980" i="2"/>
  <c r="L1980" i="2"/>
  <c r="K1980" i="2"/>
  <c r="J1980" i="2"/>
  <c r="H1980" i="2"/>
  <c r="G1980" i="2"/>
  <c r="F1980" i="2"/>
  <c r="E1980" i="2"/>
  <c r="D1980" i="2"/>
  <c r="C1980" i="2"/>
  <c r="A1980" i="2"/>
  <c r="M1979" i="2"/>
  <c r="L1979" i="2"/>
  <c r="K1979" i="2"/>
  <c r="J1979" i="2"/>
  <c r="H1979" i="2"/>
  <c r="G1979" i="2"/>
  <c r="F1979" i="2"/>
  <c r="E1979" i="2"/>
  <c r="D1979" i="2"/>
  <c r="C1979" i="2"/>
  <c r="A1979" i="2"/>
  <c r="M1978" i="2"/>
  <c r="L1978" i="2"/>
  <c r="K1978" i="2"/>
  <c r="J1978" i="2"/>
  <c r="H1978" i="2"/>
  <c r="G1978" i="2"/>
  <c r="F1978" i="2"/>
  <c r="E1978" i="2"/>
  <c r="D1978" i="2"/>
  <c r="C1978" i="2"/>
  <c r="A1978" i="2"/>
  <c r="M1977" i="2"/>
  <c r="L1977" i="2"/>
  <c r="K1977" i="2"/>
  <c r="J1977" i="2"/>
  <c r="H1977" i="2"/>
  <c r="G1977" i="2"/>
  <c r="F1977" i="2"/>
  <c r="E1977" i="2"/>
  <c r="D1977" i="2"/>
  <c r="C1977" i="2"/>
  <c r="A1977" i="2"/>
  <c r="M1976" i="2"/>
  <c r="L1976" i="2"/>
  <c r="K1976" i="2"/>
  <c r="J1976" i="2"/>
  <c r="H1976" i="2"/>
  <c r="G1976" i="2"/>
  <c r="F1976" i="2"/>
  <c r="E1976" i="2"/>
  <c r="D1976" i="2"/>
  <c r="C1976" i="2"/>
  <c r="A1976" i="2"/>
  <c r="M1975" i="2"/>
  <c r="L1975" i="2"/>
  <c r="K1975" i="2"/>
  <c r="J1975" i="2"/>
  <c r="H1975" i="2"/>
  <c r="G1975" i="2"/>
  <c r="F1975" i="2"/>
  <c r="E1975" i="2"/>
  <c r="D1975" i="2"/>
  <c r="C1975" i="2"/>
  <c r="A1975" i="2"/>
  <c r="M1974" i="2"/>
  <c r="L1974" i="2"/>
  <c r="K1974" i="2"/>
  <c r="J1974" i="2"/>
  <c r="H1974" i="2"/>
  <c r="G1974" i="2"/>
  <c r="F1974" i="2"/>
  <c r="E1974" i="2"/>
  <c r="D1974" i="2"/>
  <c r="C1974" i="2"/>
  <c r="A1974" i="2"/>
  <c r="M1973" i="2"/>
  <c r="L1973" i="2"/>
  <c r="K1973" i="2"/>
  <c r="J1973" i="2"/>
  <c r="H1973" i="2"/>
  <c r="G1973" i="2"/>
  <c r="F1973" i="2"/>
  <c r="E1973" i="2"/>
  <c r="D1973" i="2"/>
  <c r="C1973" i="2"/>
  <c r="A1973" i="2"/>
  <c r="M1972" i="2"/>
  <c r="L1972" i="2"/>
  <c r="K1972" i="2"/>
  <c r="J1972" i="2"/>
  <c r="H1972" i="2"/>
  <c r="G1972" i="2"/>
  <c r="F1972" i="2"/>
  <c r="E1972" i="2"/>
  <c r="D1972" i="2"/>
  <c r="C1972" i="2"/>
  <c r="A1972" i="2"/>
  <c r="M1971" i="2"/>
  <c r="L1971" i="2"/>
  <c r="K1971" i="2"/>
  <c r="J1971" i="2"/>
  <c r="H1971" i="2"/>
  <c r="G1971" i="2"/>
  <c r="F1971" i="2"/>
  <c r="E1971" i="2"/>
  <c r="D1971" i="2"/>
  <c r="C1971" i="2"/>
  <c r="A1971" i="2"/>
  <c r="M1970" i="2"/>
  <c r="L1970" i="2"/>
  <c r="K1970" i="2"/>
  <c r="J1970" i="2"/>
  <c r="H1970" i="2"/>
  <c r="G1970" i="2"/>
  <c r="F1970" i="2"/>
  <c r="E1970" i="2"/>
  <c r="D1970" i="2"/>
  <c r="C1970" i="2"/>
  <c r="A1970" i="2"/>
  <c r="M1969" i="2"/>
  <c r="L1969" i="2"/>
  <c r="K1969" i="2"/>
  <c r="J1969" i="2"/>
  <c r="H1969" i="2"/>
  <c r="G1969" i="2"/>
  <c r="F1969" i="2"/>
  <c r="E1969" i="2"/>
  <c r="D1969" i="2"/>
  <c r="C1969" i="2"/>
  <c r="A1969" i="2"/>
  <c r="M1968" i="2"/>
  <c r="L1968" i="2"/>
  <c r="K1968" i="2"/>
  <c r="J1968" i="2"/>
  <c r="H1968" i="2"/>
  <c r="G1968" i="2"/>
  <c r="F1968" i="2"/>
  <c r="E1968" i="2"/>
  <c r="D1968" i="2"/>
  <c r="C1968" i="2"/>
  <c r="A1968" i="2"/>
  <c r="M1967" i="2"/>
  <c r="L1967" i="2"/>
  <c r="K1967" i="2"/>
  <c r="J1967" i="2"/>
  <c r="H1967" i="2"/>
  <c r="G1967" i="2"/>
  <c r="F1967" i="2"/>
  <c r="E1967" i="2"/>
  <c r="D1967" i="2"/>
  <c r="C1967" i="2"/>
  <c r="A1967" i="2"/>
  <c r="M1966" i="2"/>
  <c r="L1966" i="2"/>
  <c r="K1966" i="2"/>
  <c r="J1966" i="2"/>
  <c r="H1966" i="2"/>
  <c r="G1966" i="2"/>
  <c r="F1966" i="2"/>
  <c r="E1966" i="2"/>
  <c r="D1966" i="2"/>
  <c r="C1966" i="2"/>
  <c r="A1966" i="2"/>
  <c r="M1965" i="2"/>
  <c r="L1965" i="2"/>
  <c r="K1965" i="2"/>
  <c r="J1965" i="2"/>
  <c r="H1965" i="2"/>
  <c r="G1965" i="2"/>
  <c r="F1965" i="2"/>
  <c r="E1965" i="2"/>
  <c r="D1965" i="2"/>
  <c r="C1965" i="2"/>
  <c r="A1965" i="2"/>
  <c r="M1964" i="2"/>
  <c r="L1964" i="2"/>
  <c r="K1964" i="2"/>
  <c r="J1964" i="2"/>
  <c r="H1964" i="2"/>
  <c r="G1964" i="2"/>
  <c r="F1964" i="2"/>
  <c r="E1964" i="2"/>
  <c r="D1964" i="2"/>
  <c r="C1964" i="2"/>
  <c r="A1964" i="2"/>
  <c r="M1963" i="2"/>
  <c r="L1963" i="2"/>
  <c r="K1963" i="2"/>
  <c r="J1963" i="2"/>
  <c r="H1963" i="2"/>
  <c r="G1963" i="2"/>
  <c r="F1963" i="2"/>
  <c r="E1963" i="2"/>
  <c r="D1963" i="2"/>
  <c r="C1963" i="2"/>
  <c r="A1963" i="2"/>
  <c r="M1962" i="2"/>
  <c r="L1962" i="2"/>
  <c r="K1962" i="2"/>
  <c r="J1962" i="2"/>
  <c r="H1962" i="2"/>
  <c r="G1962" i="2"/>
  <c r="F1962" i="2"/>
  <c r="E1962" i="2"/>
  <c r="D1962" i="2"/>
  <c r="C1962" i="2"/>
  <c r="A1962" i="2"/>
  <c r="M1961" i="2"/>
  <c r="L1961" i="2"/>
  <c r="K1961" i="2"/>
  <c r="J1961" i="2"/>
  <c r="H1961" i="2"/>
  <c r="G1961" i="2"/>
  <c r="F1961" i="2"/>
  <c r="E1961" i="2"/>
  <c r="D1961" i="2"/>
  <c r="C1961" i="2"/>
  <c r="A1961" i="2"/>
  <c r="M1960" i="2"/>
  <c r="L1960" i="2"/>
  <c r="K1960" i="2"/>
  <c r="J1960" i="2"/>
  <c r="H1960" i="2"/>
  <c r="G1960" i="2"/>
  <c r="F1960" i="2"/>
  <c r="E1960" i="2"/>
  <c r="D1960" i="2"/>
  <c r="C1960" i="2"/>
  <c r="A1960" i="2"/>
  <c r="M1959" i="2"/>
  <c r="L1959" i="2"/>
  <c r="K1959" i="2"/>
  <c r="J1959" i="2"/>
  <c r="H1959" i="2"/>
  <c r="G1959" i="2"/>
  <c r="F1959" i="2"/>
  <c r="E1959" i="2"/>
  <c r="D1959" i="2"/>
  <c r="C1959" i="2"/>
  <c r="A1959" i="2"/>
  <c r="M1958" i="2"/>
  <c r="L1958" i="2"/>
  <c r="K1958" i="2"/>
  <c r="J1958" i="2"/>
  <c r="H1958" i="2"/>
  <c r="G1958" i="2"/>
  <c r="F1958" i="2"/>
  <c r="E1958" i="2"/>
  <c r="D1958" i="2"/>
  <c r="C1958" i="2"/>
  <c r="A1958" i="2"/>
  <c r="M1957" i="2"/>
  <c r="L1957" i="2"/>
  <c r="K1957" i="2"/>
  <c r="J1957" i="2"/>
  <c r="H1957" i="2"/>
  <c r="G1957" i="2"/>
  <c r="F1957" i="2"/>
  <c r="E1957" i="2"/>
  <c r="D1957" i="2"/>
  <c r="C1957" i="2"/>
  <c r="A1957" i="2"/>
  <c r="M1956" i="2"/>
  <c r="L1956" i="2"/>
  <c r="K1956" i="2"/>
  <c r="J1956" i="2"/>
  <c r="H1956" i="2"/>
  <c r="G1956" i="2"/>
  <c r="F1956" i="2"/>
  <c r="E1956" i="2"/>
  <c r="D1956" i="2"/>
  <c r="C1956" i="2"/>
  <c r="A1956" i="2"/>
  <c r="M1955" i="2"/>
  <c r="L1955" i="2"/>
  <c r="K1955" i="2"/>
  <c r="J1955" i="2"/>
  <c r="H1955" i="2"/>
  <c r="G1955" i="2"/>
  <c r="F1955" i="2"/>
  <c r="E1955" i="2"/>
  <c r="D1955" i="2"/>
  <c r="C1955" i="2"/>
  <c r="A1955" i="2"/>
  <c r="M1954" i="2"/>
  <c r="L1954" i="2"/>
  <c r="K1954" i="2"/>
  <c r="J1954" i="2"/>
  <c r="H1954" i="2"/>
  <c r="G1954" i="2"/>
  <c r="F1954" i="2"/>
  <c r="E1954" i="2"/>
  <c r="D1954" i="2"/>
  <c r="C1954" i="2"/>
  <c r="A1954" i="2"/>
  <c r="M1953" i="2"/>
  <c r="L1953" i="2"/>
  <c r="K1953" i="2"/>
  <c r="J1953" i="2"/>
  <c r="H1953" i="2"/>
  <c r="G1953" i="2"/>
  <c r="F1953" i="2"/>
  <c r="E1953" i="2"/>
  <c r="D1953" i="2"/>
  <c r="C1953" i="2"/>
  <c r="A1953" i="2"/>
  <c r="M1952" i="2"/>
  <c r="L1952" i="2"/>
  <c r="K1952" i="2"/>
  <c r="J1952" i="2"/>
  <c r="H1952" i="2"/>
  <c r="G1952" i="2"/>
  <c r="F1952" i="2"/>
  <c r="E1952" i="2"/>
  <c r="D1952" i="2"/>
  <c r="C1952" i="2"/>
  <c r="A1952" i="2"/>
  <c r="M1951" i="2"/>
  <c r="L1951" i="2"/>
  <c r="K1951" i="2"/>
  <c r="J1951" i="2"/>
  <c r="H1951" i="2"/>
  <c r="G1951" i="2"/>
  <c r="F1951" i="2"/>
  <c r="E1951" i="2"/>
  <c r="D1951" i="2"/>
  <c r="C1951" i="2"/>
  <c r="A1951" i="2"/>
  <c r="M1950" i="2"/>
  <c r="L1950" i="2"/>
  <c r="K1950" i="2"/>
  <c r="J1950" i="2"/>
  <c r="H1950" i="2"/>
  <c r="G1950" i="2"/>
  <c r="F1950" i="2"/>
  <c r="E1950" i="2"/>
  <c r="D1950" i="2"/>
  <c r="C1950" i="2"/>
  <c r="A1950" i="2"/>
  <c r="M1949" i="2"/>
  <c r="L1949" i="2"/>
  <c r="K1949" i="2"/>
  <c r="J1949" i="2"/>
  <c r="H1949" i="2"/>
  <c r="G1949" i="2"/>
  <c r="F1949" i="2"/>
  <c r="E1949" i="2"/>
  <c r="D1949" i="2"/>
  <c r="C1949" i="2"/>
  <c r="A1949" i="2"/>
  <c r="M1948" i="2"/>
  <c r="L1948" i="2"/>
  <c r="K1948" i="2"/>
  <c r="J1948" i="2"/>
  <c r="H1948" i="2"/>
  <c r="G1948" i="2"/>
  <c r="F1948" i="2"/>
  <c r="E1948" i="2"/>
  <c r="D1948" i="2"/>
  <c r="C1948" i="2"/>
  <c r="A1948" i="2"/>
  <c r="M1947" i="2"/>
  <c r="L1947" i="2"/>
  <c r="K1947" i="2"/>
  <c r="J1947" i="2"/>
  <c r="H1947" i="2"/>
  <c r="G1947" i="2"/>
  <c r="F1947" i="2"/>
  <c r="E1947" i="2"/>
  <c r="D1947" i="2"/>
  <c r="C1947" i="2"/>
  <c r="A1947" i="2"/>
  <c r="M1946" i="2"/>
  <c r="L1946" i="2"/>
  <c r="K1946" i="2"/>
  <c r="J1946" i="2"/>
  <c r="H1946" i="2"/>
  <c r="G1946" i="2"/>
  <c r="F1946" i="2"/>
  <c r="E1946" i="2"/>
  <c r="D1946" i="2"/>
  <c r="C1946" i="2"/>
  <c r="A1946" i="2"/>
  <c r="M1945" i="2"/>
  <c r="L1945" i="2"/>
  <c r="K1945" i="2"/>
  <c r="J1945" i="2"/>
  <c r="H1945" i="2"/>
  <c r="G1945" i="2"/>
  <c r="F1945" i="2"/>
  <c r="E1945" i="2"/>
  <c r="D1945" i="2"/>
  <c r="C1945" i="2"/>
  <c r="A1945" i="2"/>
  <c r="M1944" i="2"/>
  <c r="L1944" i="2"/>
  <c r="K1944" i="2"/>
  <c r="J1944" i="2"/>
  <c r="H1944" i="2"/>
  <c r="G1944" i="2"/>
  <c r="F1944" i="2"/>
  <c r="E1944" i="2"/>
  <c r="D1944" i="2"/>
  <c r="C1944" i="2"/>
  <c r="A1944" i="2"/>
  <c r="M1943" i="2"/>
  <c r="L1943" i="2"/>
  <c r="K1943" i="2"/>
  <c r="J1943" i="2"/>
  <c r="H1943" i="2"/>
  <c r="G1943" i="2"/>
  <c r="F1943" i="2"/>
  <c r="E1943" i="2"/>
  <c r="D1943" i="2"/>
  <c r="C1943" i="2"/>
  <c r="A1943" i="2"/>
  <c r="M1942" i="2"/>
  <c r="L1942" i="2"/>
  <c r="K1942" i="2"/>
  <c r="J1942" i="2"/>
  <c r="H1942" i="2"/>
  <c r="G1942" i="2"/>
  <c r="F1942" i="2"/>
  <c r="E1942" i="2"/>
  <c r="D1942" i="2"/>
  <c r="C1942" i="2"/>
  <c r="A1942" i="2"/>
  <c r="M1941" i="2"/>
  <c r="L1941" i="2"/>
  <c r="K1941" i="2"/>
  <c r="J1941" i="2"/>
  <c r="H1941" i="2"/>
  <c r="G1941" i="2"/>
  <c r="F1941" i="2"/>
  <c r="E1941" i="2"/>
  <c r="D1941" i="2"/>
  <c r="C1941" i="2"/>
  <c r="A1941" i="2"/>
  <c r="M1940" i="2"/>
  <c r="L1940" i="2"/>
  <c r="K1940" i="2"/>
  <c r="J1940" i="2"/>
  <c r="H1940" i="2"/>
  <c r="G1940" i="2"/>
  <c r="F1940" i="2"/>
  <c r="E1940" i="2"/>
  <c r="D1940" i="2"/>
  <c r="C1940" i="2"/>
  <c r="A1940" i="2"/>
  <c r="M1939" i="2"/>
  <c r="L1939" i="2"/>
  <c r="K1939" i="2"/>
  <c r="J1939" i="2"/>
  <c r="H1939" i="2"/>
  <c r="G1939" i="2"/>
  <c r="F1939" i="2"/>
  <c r="E1939" i="2"/>
  <c r="D1939" i="2"/>
  <c r="C1939" i="2"/>
  <c r="A1939" i="2"/>
  <c r="M1938" i="2"/>
  <c r="L1938" i="2"/>
  <c r="K1938" i="2"/>
  <c r="J1938" i="2"/>
  <c r="H1938" i="2"/>
  <c r="G1938" i="2"/>
  <c r="F1938" i="2"/>
  <c r="E1938" i="2"/>
  <c r="D1938" i="2"/>
  <c r="C1938" i="2"/>
  <c r="A1938" i="2"/>
  <c r="M1937" i="2"/>
  <c r="L1937" i="2"/>
  <c r="K1937" i="2"/>
  <c r="J1937" i="2"/>
  <c r="H1937" i="2"/>
  <c r="G1937" i="2"/>
  <c r="F1937" i="2"/>
  <c r="E1937" i="2"/>
  <c r="D1937" i="2"/>
  <c r="C1937" i="2"/>
  <c r="A1937" i="2"/>
  <c r="M1936" i="2"/>
  <c r="L1936" i="2"/>
  <c r="K1936" i="2"/>
  <c r="J1936" i="2"/>
  <c r="H1936" i="2"/>
  <c r="G1936" i="2"/>
  <c r="F1936" i="2"/>
  <c r="E1936" i="2"/>
  <c r="D1936" i="2"/>
  <c r="C1936" i="2"/>
  <c r="A1936" i="2"/>
  <c r="M1935" i="2"/>
  <c r="L1935" i="2"/>
  <c r="K1935" i="2"/>
  <c r="J1935" i="2"/>
  <c r="H1935" i="2"/>
  <c r="G1935" i="2"/>
  <c r="F1935" i="2"/>
  <c r="E1935" i="2"/>
  <c r="D1935" i="2"/>
  <c r="C1935" i="2"/>
  <c r="A1935" i="2"/>
  <c r="M1934" i="2"/>
  <c r="L1934" i="2"/>
  <c r="K1934" i="2"/>
  <c r="J1934" i="2"/>
  <c r="H1934" i="2"/>
  <c r="G1934" i="2"/>
  <c r="F1934" i="2"/>
  <c r="E1934" i="2"/>
  <c r="D1934" i="2"/>
  <c r="C1934" i="2"/>
  <c r="A1934" i="2"/>
  <c r="M1933" i="2"/>
  <c r="L1933" i="2"/>
  <c r="K1933" i="2"/>
  <c r="J1933" i="2"/>
  <c r="H1933" i="2"/>
  <c r="G1933" i="2"/>
  <c r="F1933" i="2"/>
  <c r="E1933" i="2"/>
  <c r="D1933" i="2"/>
  <c r="C1933" i="2"/>
  <c r="A1933" i="2"/>
  <c r="M1932" i="2"/>
  <c r="L1932" i="2"/>
  <c r="K1932" i="2"/>
  <c r="J1932" i="2"/>
  <c r="H1932" i="2"/>
  <c r="G1932" i="2"/>
  <c r="F1932" i="2"/>
  <c r="E1932" i="2"/>
  <c r="D1932" i="2"/>
  <c r="C1932" i="2"/>
  <c r="A1932" i="2"/>
  <c r="M1931" i="2"/>
  <c r="L1931" i="2"/>
  <c r="K1931" i="2"/>
  <c r="J1931" i="2"/>
  <c r="H1931" i="2"/>
  <c r="G1931" i="2"/>
  <c r="F1931" i="2"/>
  <c r="E1931" i="2"/>
  <c r="D1931" i="2"/>
  <c r="C1931" i="2"/>
  <c r="A1931" i="2"/>
  <c r="M1930" i="2"/>
  <c r="L1930" i="2"/>
  <c r="K1930" i="2"/>
  <c r="J1930" i="2"/>
  <c r="H1930" i="2"/>
  <c r="G1930" i="2"/>
  <c r="F1930" i="2"/>
  <c r="E1930" i="2"/>
  <c r="D1930" i="2"/>
  <c r="C1930" i="2"/>
  <c r="A1930" i="2"/>
  <c r="M1929" i="2"/>
  <c r="L1929" i="2"/>
  <c r="K1929" i="2"/>
  <c r="J1929" i="2"/>
  <c r="H1929" i="2"/>
  <c r="G1929" i="2"/>
  <c r="F1929" i="2"/>
  <c r="E1929" i="2"/>
  <c r="D1929" i="2"/>
  <c r="C1929" i="2"/>
  <c r="A1929" i="2"/>
  <c r="M1928" i="2"/>
  <c r="L1928" i="2"/>
  <c r="K1928" i="2"/>
  <c r="J1928" i="2"/>
  <c r="H1928" i="2"/>
  <c r="G1928" i="2"/>
  <c r="F1928" i="2"/>
  <c r="E1928" i="2"/>
  <c r="D1928" i="2"/>
  <c r="C1928" i="2"/>
  <c r="A1928" i="2"/>
  <c r="M1927" i="2"/>
  <c r="L1927" i="2"/>
  <c r="K1927" i="2"/>
  <c r="J1927" i="2"/>
  <c r="H1927" i="2"/>
  <c r="G1927" i="2"/>
  <c r="F1927" i="2"/>
  <c r="E1927" i="2"/>
  <c r="D1927" i="2"/>
  <c r="C1927" i="2"/>
  <c r="A1927" i="2"/>
  <c r="M1926" i="2"/>
  <c r="L1926" i="2"/>
  <c r="K1926" i="2"/>
  <c r="J1926" i="2"/>
  <c r="H1926" i="2"/>
  <c r="G1926" i="2"/>
  <c r="F1926" i="2"/>
  <c r="E1926" i="2"/>
  <c r="D1926" i="2"/>
  <c r="C1926" i="2"/>
  <c r="A1926" i="2"/>
  <c r="M1925" i="2"/>
  <c r="L1925" i="2"/>
  <c r="K1925" i="2"/>
  <c r="J1925" i="2"/>
  <c r="H1925" i="2"/>
  <c r="G1925" i="2"/>
  <c r="F1925" i="2"/>
  <c r="E1925" i="2"/>
  <c r="D1925" i="2"/>
  <c r="C1925" i="2"/>
  <c r="A1925" i="2"/>
  <c r="M1924" i="2"/>
  <c r="L1924" i="2"/>
  <c r="K1924" i="2"/>
  <c r="J1924" i="2"/>
  <c r="H1924" i="2"/>
  <c r="G1924" i="2"/>
  <c r="F1924" i="2"/>
  <c r="E1924" i="2"/>
  <c r="D1924" i="2"/>
  <c r="C1924" i="2"/>
  <c r="A1924" i="2"/>
  <c r="M1923" i="2"/>
  <c r="L1923" i="2"/>
  <c r="K1923" i="2"/>
  <c r="J1923" i="2"/>
  <c r="H1923" i="2"/>
  <c r="G1923" i="2"/>
  <c r="F1923" i="2"/>
  <c r="E1923" i="2"/>
  <c r="D1923" i="2"/>
  <c r="C1923" i="2"/>
  <c r="A1923" i="2"/>
  <c r="M1922" i="2"/>
  <c r="L1922" i="2"/>
  <c r="K1922" i="2"/>
  <c r="J1922" i="2"/>
  <c r="H1922" i="2"/>
  <c r="G1922" i="2"/>
  <c r="F1922" i="2"/>
  <c r="E1922" i="2"/>
  <c r="D1922" i="2"/>
  <c r="C1922" i="2"/>
  <c r="A1922" i="2"/>
  <c r="M1921" i="2"/>
  <c r="L1921" i="2"/>
  <c r="K1921" i="2"/>
  <c r="J1921" i="2"/>
  <c r="H1921" i="2"/>
  <c r="G1921" i="2"/>
  <c r="F1921" i="2"/>
  <c r="E1921" i="2"/>
  <c r="D1921" i="2"/>
  <c r="C1921" i="2"/>
  <c r="A1921" i="2"/>
  <c r="M1920" i="2"/>
  <c r="L1920" i="2"/>
  <c r="K1920" i="2"/>
  <c r="J1920" i="2"/>
  <c r="H1920" i="2"/>
  <c r="G1920" i="2"/>
  <c r="F1920" i="2"/>
  <c r="E1920" i="2"/>
  <c r="D1920" i="2"/>
  <c r="C1920" i="2"/>
  <c r="A1920" i="2"/>
  <c r="M1919" i="2"/>
  <c r="L1919" i="2"/>
  <c r="K1919" i="2"/>
  <c r="J1919" i="2"/>
  <c r="H1919" i="2"/>
  <c r="G1919" i="2"/>
  <c r="F1919" i="2"/>
  <c r="E1919" i="2"/>
  <c r="D1919" i="2"/>
  <c r="C1919" i="2"/>
  <c r="A1919" i="2"/>
  <c r="M1918" i="2"/>
  <c r="L1918" i="2"/>
  <c r="K1918" i="2"/>
  <c r="J1918" i="2"/>
  <c r="H1918" i="2"/>
  <c r="G1918" i="2"/>
  <c r="F1918" i="2"/>
  <c r="E1918" i="2"/>
  <c r="D1918" i="2"/>
  <c r="C1918" i="2"/>
  <c r="A1918" i="2"/>
  <c r="M1917" i="2"/>
  <c r="L1917" i="2"/>
  <c r="K1917" i="2"/>
  <c r="J1917" i="2"/>
  <c r="H1917" i="2"/>
  <c r="G1917" i="2"/>
  <c r="F1917" i="2"/>
  <c r="E1917" i="2"/>
  <c r="D1917" i="2"/>
  <c r="C1917" i="2"/>
  <c r="A1917" i="2"/>
  <c r="M1916" i="2"/>
  <c r="L1916" i="2"/>
  <c r="K1916" i="2"/>
  <c r="J1916" i="2"/>
  <c r="H1916" i="2"/>
  <c r="G1916" i="2"/>
  <c r="F1916" i="2"/>
  <c r="E1916" i="2"/>
  <c r="D1916" i="2"/>
  <c r="C1916" i="2"/>
  <c r="A1916" i="2"/>
  <c r="M1915" i="2"/>
  <c r="L1915" i="2"/>
  <c r="K1915" i="2"/>
  <c r="J1915" i="2"/>
  <c r="H1915" i="2"/>
  <c r="G1915" i="2"/>
  <c r="F1915" i="2"/>
  <c r="E1915" i="2"/>
  <c r="D1915" i="2"/>
  <c r="C1915" i="2"/>
  <c r="A1915" i="2"/>
  <c r="M1914" i="2"/>
  <c r="L1914" i="2"/>
  <c r="K1914" i="2"/>
  <c r="J1914" i="2"/>
  <c r="H1914" i="2"/>
  <c r="G1914" i="2"/>
  <c r="F1914" i="2"/>
  <c r="E1914" i="2"/>
  <c r="D1914" i="2"/>
  <c r="C1914" i="2"/>
  <c r="A1914" i="2"/>
  <c r="M1913" i="2"/>
  <c r="L1913" i="2"/>
  <c r="K1913" i="2"/>
  <c r="J1913" i="2"/>
  <c r="H1913" i="2"/>
  <c r="G1913" i="2"/>
  <c r="F1913" i="2"/>
  <c r="E1913" i="2"/>
  <c r="D1913" i="2"/>
  <c r="C1913" i="2"/>
  <c r="A1913" i="2"/>
  <c r="M1912" i="2"/>
  <c r="L1912" i="2"/>
  <c r="K1912" i="2"/>
  <c r="J1912" i="2"/>
  <c r="H1912" i="2"/>
  <c r="G1912" i="2"/>
  <c r="F1912" i="2"/>
  <c r="E1912" i="2"/>
  <c r="D1912" i="2"/>
  <c r="C1912" i="2"/>
  <c r="A1912" i="2"/>
  <c r="M1911" i="2"/>
  <c r="L1911" i="2"/>
  <c r="K1911" i="2"/>
  <c r="J1911" i="2"/>
  <c r="H1911" i="2"/>
  <c r="G1911" i="2"/>
  <c r="F1911" i="2"/>
  <c r="E1911" i="2"/>
  <c r="D1911" i="2"/>
  <c r="C1911" i="2"/>
  <c r="A1911" i="2"/>
  <c r="M1910" i="2"/>
  <c r="L1910" i="2"/>
  <c r="K1910" i="2"/>
  <c r="J1910" i="2"/>
  <c r="H1910" i="2"/>
  <c r="G1910" i="2"/>
  <c r="F1910" i="2"/>
  <c r="E1910" i="2"/>
  <c r="D1910" i="2"/>
  <c r="C1910" i="2"/>
  <c r="A1910" i="2"/>
  <c r="M1909" i="2"/>
  <c r="L1909" i="2"/>
  <c r="K1909" i="2"/>
  <c r="J1909" i="2"/>
  <c r="H1909" i="2"/>
  <c r="G1909" i="2"/>
  <c r="F1909" i="2"/>
  <c r="E1909" i="2"/>
  <c r="D1909" i="2"/>
  <c r="C1909" i="2"/>
  <c r="A1909" i="2"/>
  <c r="M1908" i="2"/>
  <c r="L1908" i="2"/>
  <c r="K1908" i="2"/>
  <c r="J1908" i="2"/>
  <c r="H1908" i="2"/>
  <c r="G1908" i="2"/>
  <c r="F1908" i="2"/>
  <c r="E1908" i="2"/>
  <c r="D1908" i="2"/>
  <c r="C1908" i="2"/>
  <c r="A1908" i="2"/>
  <c r="M1907" i="2"/>
  <c r="L1907" i="2"/>
  <c r="K1907" i="2"/>
  <c r="J1907" i="2"/>
  <c r="H1907" i="2"/>
  <c r="G1907" i="2"/>
  <c r="F1907" i="2"/>
  <c r="E1907" i="2"/>
  <c r="D1907" i="2"/>
  <c r="C1907" i="2"/>
  <c r="A1907" i="2"/>
  <c r="M1906" i="2"/>
  <c r="L1906" i="2"/>
  <c r="K1906" i="2"/>
  <c r="J1906" i="2"/>
  <c r="H1906" i="2"/>
  <c r="G1906" i="2"/>
  <c r="F1906" i="2"/>
  <c r="E1906" i="2"/>
  <c r="D1906" i="2"/>
  <c r="C1906" i="2"/>
  <c r="A1906" i="2"/>
  <c r="M1905" i="2"/>
  <c r="L1905" i="2"/>
  <c r="K1905" i="2"/>
  <c r="J1905" i="2"/>
  <c r="H1905" i="2"/>
  <c r="G1905" i="2"/>
  <c r="F1905" i="2"/>
  <c r="E1905" i="2"/>
  <c r="D1905" i="2"/>
  <c r="C1905" i="2"/>
  <c r="A1905" i="2"/>
  <c r="M1904" i="2"/>
  <c r="L1904" i="2"/>
  <c r="K1904" i="2"/>
  <c r="J1904" i="2"/>
  <c r="H1904" i="2"/>
  <c r="G1904" i="2"/>
  <c r="F1904" i="2"/>
  <c r="E1904" i="2"/>
  <c r="D1904" i="2"/>
  <c r="C1904" i="2"/>
  <c r="A1904" i="2"/>
  <c r="M1903" i="2"/>
  <c r="L1903" i="2"/>
  <c r="K1903" i="2"/>
  <c r="J1903" i="2"/>
  <c r="H1903" i="2"/>
  <c r="G1903" i="2"/>
  <c r="F1903" i="2"/>
  <c r="E1903" i="2"/>
  <c r="D1903" i="2"/>
  <c r="C1903" i="2"/>
  <c r="A1903" i="2"/>
  <c r="M1902" i="2"/>
  <c r="L1902" i="2"/>
  <c r="K1902" i="2"/>
  <c r="J1902" i="2"/>
  <c r="H1902" i="2"/>
  <c r="G1902" i="2"/>
  <c r="F1902" i="2"/>
  <c r="E1902" i="2"/>
  <c r="D1902" i="2"/>
  <c r="C1902" i="2"/>
  <c r="A1902" i="2"/>
  <c r="M1901" i="2"/>
  <c r="L1901" i="2"/>
  <c r="K1901" i="2"/>
  <c r="J1901" i="2"/>
  <c r="H1901" i="2"/>
  <c r="G1901" i="2"/>
  <c r="F1901" i="2"/>
  <c r="E1901" i="2"/>
  <c r="D1901" i="2"/>
  <c r="C1901" i="2"/>
  <c r="A1901" i="2"/>
  <c r="M1900" i="2"/>
  <c r="L1900" i="2"/>
  <c r="K1900" i="2"/>
  <c r="J1900" i="2"/>
  <c r="H1900" i="2"/>
  <c r="G1900" i="2"/>
  <c r="F1900" i="2"/>
  <c r="E1900" i="2"/>
  <c r="D1900" i="2"/>
  <c r="C1900" i="2"/>
  <c r="A1900" i="2"/>
  <c r="M1899" i="2"/>
  <c r="L1899" i="2"/>
  <c r="K1899" i="2"/>
  <c r="J1899" i="2"/>
  <c r="H1899" i="2"/>
  <c r="G1899" i="2"/>
  <c r="F1899" i="2"/>
  <c r="E1899" i="2"/>
  <c r="D1899" i="2"/>
  <c r="C1899" i="2"/>
  <c r="A1899" i="2"/>
  <c r="M1898" i="2"/>
  <c r="L1898" i="2"/>
  <c r="K1898" i="2"/>
  <c r="J1898" i="2"/>
  <c r="H1898" i="2"/>
  <c r="G1898" i="2"/>
  <c r="F1898" i="2"/>
  <c r="E1898" i="2"/>
  <c r="D1898" i="2"/>
  <c r="C1898" i="2"/>
  <c r="A1898" i="2"/>
  <c r="M1897" i="2"/>
  <c r="L1897" i="2"/>
  <c r="K1897" i="2"/>
  <c r="J1897" i="2"/>
  <c r="H1897" i="2"/>
  <c r="G1897" i="2"/>
  <c r="F1897" i="2"/>
  <c r="E1897" i="2"/>
  <c r="D1897" i="2"/>
  <c r="C1897" i="2"/>
  <c r="A1897" i="2"/>
  <c r="M1896" i="2"/>
  <c r="L1896" i="2"/>
  <c r="K1896" i="2"/>
  <c r="J1896" i="2"/>
  <c r="H1896" i="2"/>
  <c r="G1896" i="2"/>
  <c r="E1896" i="2"/>
  <c r="D1896" i="2"/>
  <c r="C1896" i="2"/>
  <c r="A1896" i="2"/>
  <c r="M1895" i="2"/>
  <c r="L1895" i="2"/>
  <c r="K1895" i="2"/>
  <c r="J1895" i="2"/>
  <c r="H1895" i="2"/>
  <c r="G1895" i="2"/>
  <c r="F1895" i="2"/>
  <c r="E1895" i="2"/>
  <c r="D1895" i="2"/>
  <c r="C1895" i="2"/>
  <c r="A1895" i="2"/>
  <c r="M1894" i="2"/>
  <c r="L1894" i="2"/>
  <c r="K1894" i="2"/>
  <c r="J1894" i="2"/>
  <c r="H1894" i="2"/>
  <c r="G1894" i="2"/>
  <c r="F1894" i="2"/>
  <c r="E1894" i="2"/>
  <c r="D1894" i="2"/>
  <c r="C1894" i="2"/>
  <c r="A1894" i="2"/>
  <c r="M1893" i="2"/>
  <c r="L1893" i="2"/>
  <c r="K1893" i="2"/>
  <c r="J1893" i="2"/>
  <c r="H1893" i="2"/>
  <c r="G1893" i="2"/>
  <c r="F1893" i="2"/>
  <c r="E1893" i="2"/>
  <c r="D1893" i="2"/>
  <c r="C1893" i="2"/>
  <c r="A1893" i="2"/>
  <c r="M1892" i="2"/>
  <c r="L1892" i="2"/>
  <c r="K1892" i="2"/>
  <c r="J1892" i="2"/>
  <c r="H1892" i="2"/>
  <c r="G1892" i="2"/>
  <c r="F1892" i="2"/>
  <c r="E1892" i="2"/>
  <c r="D1892" i="2"/>
  <c r="C1892" i="2"/>
  <c r="A1892" i="2"/>
  <c r="M1891" i="2"/>
  <c r="L1891" i="2"/>
  <c r="K1891" i="2"/>
  <c r="J1891" i="2"/>
  <c r="H1891" i="2"/>
  <c r="G1891" i="2"/>
  <c r="F1891" i="2"/>
  <c r="E1891" i="2"/>
  <c r="D1891" i="2"/>
  <c r="C1891" i="2"/>
  <c r="A1891" i="2"/>
  <c r="M1890" i="2"/>
  <c r="L1890" i="2"/>
  <c r="K1890" i="2"/>
  <c r="J1890" i="2"/>
  <c r="H1890" i="2"/>
  <c r="G1890" i="2"/>
  <c r="F1890" i="2"/>
  <c r="E1890" i="2"/>
  <c r="D1890" i="2"/>
  <c r="C1890" i="2"/>
  <c r="A1890" i="2"/>
  <c r="M1889" i="2"/>
  <c r="L1889" i="2"/>
  <c r="K1889" i="2"/>
  <c r="J1889" i="2"/>
  <c r="H1889" i="2"/>
  <c r="G1889" i="2"/>
  <c r="F1889" i="2"/>
  <c r="E1889" i="2"/>
  <c r="D1889" i="2"/>
  <c r="C1889" i="2"/>
  <c r="A1889" i="2"/>
  <c r="M1888" i="2"/>
  <c r="L1888" i="2"/>
  <c r="K1888" i="2"/>
  <c r="J1888" i="2"/>
  <c r="H1888" i="2"/>
  <c r="G1888" i="2"/>
  <c r="F1888" i="2"/>
  <c r="E1888" i="2"/>
  <c r="D1888" i="2"/>
  <c r="C1888" i="2"/>
  <c r="A1888" i="2"/>
  <c r="M1887" i="2"/>
  <c r="L1887" i="2"/>
  <c r="K1887" i="2"/>
  <c r="J1887" i="2"/>
  <c r="H1887" i="2"/>
  <c r="G1887" i="2"/>
  <c r="F1887" i="2"/>
  <c r="E1887" i="2"/>
  <c r="D1887" i="2"/>
  <c r="C1887" i="2"/>
  <c r="A1887" i="2"/>
  <c r="M1886" i="2"/>
  <c r="L1886" i="2"/>
  <c r="K1886" i="2"/>
  <c r="J1886" i="2"/>
  <c r="H1886" i="2"/>
  <c r="G1886" i="2"/>
  <c r="F1886" i="2"/>
  <c r="E1886" i="2"/>
  <c r="D1886" i="2"/>
  <c r="C1886" i="2"/>
  <c r="A1886" i="2"/>
  <c r="M1885" i="2"/>
  <c r="L1885" i="2"/>
  <c r="K1885" i="2"/>
  <c r="J1885" i="2"/>
  <c r="H1885" i="2"/>
  <c r="G1885" i="2"/>
  <c r="F1885" i="2"/>
  <c r="E1885" i="2"/>
  <c r="D1885" i="2"/>
  <c r="C1885" i="2"/>
  <c r="A1885" i="2"/>
  <c r="M1884" i="2"/>
  <c r="L1884" i="2"/>
  <c r="K1884" i="2"/>
  <c r="J1884" i="2"/>
  <c r="H1884" i="2"/>
  <c r="G1884" i="2"/>
  <c r="F1884" i="2"/>
  <c r="E1884" i="2"/>
  <c r="D1884" i="2"/>
  <c r="C1884" i="2"/>
  <c r="A1884" i="2"/>
  <c r="M1883" i="2"/>
  <c r="L1883" i="2"/>
  <c r="K1883" i="2"/>
  <c r="J1883" i="2"/>
  <c r="H1883" i="2"/>
  <c r="G1883" i="2"/>
  <c r="F1883" i="2"/>
  <c r="E1883" i="2"/>
  <c r="D1883" i="2"/>
  <c r="C1883" i="2"/>
  <c r="A1883" i="2"/>
  <c r="M1882" i="2"/>
  <c r="L1882" i="2"/>
  <c r="K1882" i="2"/>
  <c r="J1882" i="2"/>
  <c r="H1882" i="2"/>
  <c r="G1882" i="2"/>
  <c r="F1882" i="2"/>
  <c r="E1882" i="2"/>
  <c r="D1882" i="2"/>
  <c r="C1882" i="2"/>
  <c r="A1882" i="2"/>
  <c r="M1881" i="2"/>
  <c r="L1881" i="2"/>
  <c r="K1881" i="2"/>
  <c r="J1881" i="2"/>
  <c r="H1881" i="2"/>
  <c r="G1881" i="2"/>
  <c r="F1881" i="2"/>
  <c r="E1881" i="2"/>
  <c r="D1881" i="2"/>
  <c r="C1881" i="2"/>
  <c r="A1881" i="2"/>
  <c r="M1880" i="2"/>
  <c r="L1880" i="2"/>
  <c r="K1880" i="2"/>
  <c r="J1880" i="2"/>
  <c r="H1880" i="2"/>
  <c r="G1880" i="2"/>
  <c r="F1880" i="2"/>
  <c r="E1880" i="2"/>
  <c r="D1880" i="2"/>
  <c r="C1880" i="2"/>
  <c r="A1880" i="2"/>
  <c r="M1879" i="2"/>
  <c r="L1879" i="2"/>
  <c r="K1879" i="2"/>
  <c r="J1879" i="2"/>
  <c r="H1879" i="2"/>
  <c r="G1879" i="2"/>
  <c r="F1879" i="2"/>
  <c r="E1879" i="2"/>
  <c r="D1879" i="2"/>
  <c r="C1879" i="2"/>
  <c r="A1879" i="2"/>
  <c r="M1878" i="2"/>
  <c r="L1878" i="2"/>
  <c r="K1878" i="2"/>
  <c r="J1878" i="2"/>
  <c r="H1878" i="2"/>
  <c r="G1878" i="2"/>
  <c r="F1878" i="2"/>
  <c r="E1878" i="2"/>
  <c r="D1878" i="2"/>
  <c r="C1878" i="2"/>
  <c r="A1878" i="2"/>
  <c r="M1877" i="2"/>
  <c r="L1877" i="2"/>
  <c r="K1877" i="2"/>
  <c r="J1877" i="2"/>
  <c r="H1877" i="2"/>
  <c r="G1877" i="2"/>
  <c r="F1877" i="2"/>
  <c r="E1877" i="2"/>
  <c r="D1877" i="2"/>
  <c r="C1877" i="2"/>
  <c r="A1877" i="2"/>
  <c r="M1876" i="2"/>
  <c r="L1876" i="2"/>
  <c r="K1876" i="2"/>
  <c r="J1876" i="2"/>
  <c r="H1876" i="2"/>
  <c r="G1876" i="2"/>
  <c r="F1876" i="2"/>
  <c r="E1876" i="2"/>
  <c r="D1876" i="2"/>
  <c r="C1876" i="2"/>
  <c r="A1876" i="2"/>
  <c r="M1875" i="2"/>
  <c r="L1875" i="2"/>
  <c r="K1875" i="2"/>
  <c r="J1875" i="2"/>
  <c r="H1875" i="2"/>
  <c r="G1875" i="2"/>
  <c r="F1875" i="2"/>
  <c r="E1875" i="2"/>
  <c r="D1875" i="2"/>
  <c r="C1875" i="2"/>
  <c r="A1875" i="2"/>
  <c r="M1874" i="2"/>
  <c r="L1874" i="2"/>
  <c r="K1874" i="2"/>
  <c r="J1874" i="2"/>
  <c r="H1874" i="2"/>
  <c r="G1874" i="2"/>
  <c r="F1874" i="2"/>
  <c r="E1874" i="2"/>
  <c r="D1874" i="2"/>
  <c r="C1874" i="2"/>
  <c r="A1874" i="2"/>
  <c r="M1873" i="2"/>
  <c r="L1873" i="2"/>
  <c r="K1873" i="2"/>
  <c r="J1873" i="2"/>
  <c r="H1873" i="2"/>
  <c r="G1873" i="2"/>
  <c r="F1873" i="2"/>
  <c r="E1873" i="2"/>
  <c r="D1873" i="2"/>
  <c r="C1873" i="2"/>
  <c r="A1873" i="2"/>
  <c r="M1872" i="2"/>
  <c r="L1872" i="2"/>
  <c r="K1872" i="2"/>
  <c r="J1872" i="2"/>
  <c r="H1872" i="2"/>
  <c r="G1872" i="2"/>
  <c r="F1872" i="2"/>
  <c r="E1872" i="2"/>
  <c r="D1872" i="2"/>
  <c r="C1872" i="2"/>
  <c r="A1872" i="2"/>
  <c r="M1871" i="2"/>
  <c r="L1871" i="2"/>
  <c r="K1871" i="2"/>
  <c r="J1871" i="2"/>
  <c r="H1871" i="2"/>
  <c r="G1871" i="2"/>
  <c r="F1871" i="2"/>
  <c r="E1871" i="2"/>
  <c r="D1871" i="2"/>
  <c r="C1871" i="2"/>
  <c r="A1871" i="2"/>
  <c r="M1870" i="2"/>
  <c r="L1870" i="2"/>
  <c r="K1870" i="2"/>
  <c r="J1870" i="2"/>
  <c r="H1870" i="2"/>
  <c r="G1870" i="2"/>
  <c r="F1870" i="2"/>
  <c r="E1870" i="2"/>
  <c r="D1870" i="2"/>
  <c r="C1870" i="2"/>
  <c r="A1870" i="2"/>
  <c r="M1869" i="2"/>
  <c r="L1869" i="2"/>
  <c r="K1869" i="2"/>
  <c r="J1869" i="2"/>
  <c r="H1869" i="2"/>
  <c r="G1869" i="2"/>
  <c r="F1869" i="2"/>
  <c r="E1869" i="2"/>
  <c r="D1869" i="2"/>
  <c r="C1869" i="2"/>
  <c r="A1869" i="2"/>
  <c r="M1868" i="2"/>
  <c r="L1868" i="2"/>
  <c r="K1868" i="2"/>
  <c r="J1868" i="2"/>
  <c r="H1868" i="2"/>
  <c r="G1868" i="2"/>
  <c r="F1868" i="2"/>
  <c r="E1868" i="2"/>
  <c r="D1868" i="2"/>
  <c r="C1868" i="2"/>
  <c r="A1868" i="2"/>
  <c r="M1867" i="2"/>
  <c r="L1867" i="2"/>
  <c r="K1867" i="2"/>
  <c r="J1867" i="2"/>
  <c r="H1867" i="2"/>
  <c r="G1867" i="2"/>
  <c r="F1867" i="2"/>
  <c r="E1867" i="2"/>
  <c r="D1867" i="2"/>
  <c r="C1867" i="2"/>
  <c r="A1867" i="2"/>
  <c r="M1866" i="2"/>
  <c r="L1866" i="2"/>
  <c r="K1866" i="2"/>
  <c r="J1866" i="2"/>
  <c r="H1866" i="2"/>
  <c r="G1866" i="2"/>
  <c r="F1866" i="2"/>
  <c r="E1866" i="2"/>
  <c r="D1866" i="2"/>
  <c r="C1866" i="2"/>
  <c r="A1866" i="2"/>
  <c r="M1865" i="2"/>
  <c r="L1865" i="2"/>
  <c r="K1865" i="2"/>
  <c r="J1865" i="2"/>
  <c r="H1865" i="2"/>
  <c r="G1865" i="2"/>
  <c r="F1865" i="2"/>
  <c r="E1865" i="2"/>
  <c r="D1865" i="2"/>
  <c r="C1865" i="2"/>
  <c r="A1865" i="2"/>
  <c r="M1864" i="2"/>
  <c r="L1864" i="2"/>
  <c r="K1864" i="2"/>
  <c r="J1864" i="2"/>
  <c r="H1864" i="2"/>
  <c r="G1864" i="2"/>
  <c r="F1864" i="2"/>
  <c r="E1864" i="2"/>
  <c r="D1864" i="2"/>
  <c r="C1864" i="2"/>
  <c r="A1864" i="2"/>
  <c r="M1863" i="2"/>
  <c r="L1863" i="2"/>
  <c r="K1863" i="2"/>
  <c r="J1863" i="2"/>
  <c r="H1863" i="2"/>
  <c r="G1863" i="2"/>
  <c r="F1863" i="2"/>
  <c r="E1863" i="2"/>
  <c r="D1863" i="2"/>
  <c r="C1863" i="2"/>
  <c r="A1863" i="2"/>
  <c r="M1862" i="2"/>
  <c r="L1862" i="2"/>
  <c r="K1862" i="2"/>
  <c r="J1862" i="2"/>
  <c r="H1862" i="2"/>
  <c r="G1862" i="2"/>
  <c r="F1862" i="2"/>
  <c r="E1862" i="2"/>
  <c r="D1862" i="2"/>
  <c r="C1862" i="2"/>
  <c r="A1862" i="2"/>
  <c r="M1861" i="2"/>
  <c r="L1861" i="2"/>
  <c r="K1861" i="2"/>
  <c r="J1861" i="2"/>
  <c r="H1861" i="2"/>
  <c r="G1861" i="2"/>
  <c r="F1861" i="2"/>
  <c r="E1861" i="2"/>
  <c r="D1861" i="2"/>
  <c r="C1861" i="2"/>
  <c r="A1861" i="2"/>
  <c r="M1860" i="2"/>
  <c r="L1860" i="2"/>
  <c r="K1860" i="2"/>
  <c r="J1860" i="2"/>
  <c r="H1860" i="2"/>
  <c r="G1860" i="2"/>
  <c r="F1860" i="2"/>
  <c r="E1860" i="2"/>
  <c r="D1860" i="2"/>
  <c r="C1860" i="2"/>
  <c r="A1860" i="2"/>
  <c r="M1859" i="2"/>
  <c r="L1859" i="2"/>
  <c r="K1859" i="2"/>
  <c r="J1859" i="2"/>
  <c r="H1859" i="2"/>
  <c r="G1859" i="2"/>
  <c r="F1859" i="2"/>
  <c r="E1859" i="2"/>
  <c r="D1859" i="2"/>
  <c r="C1859" i="2"/>
  <c r="A1859" i="2"/>
  <c r="M1858" i="2"/>
  <c r="L1858" i="2"/>
  <c r="K1858" i="2"/>
  <c r="J1858" i="2"/>
  <c r="H1858" i="2"/>
  <c r="G1858" i="2"/>
  <c r="F1858" i="2"/>
  <c r="E1858" i="2"/>
  <c r="D1858" i="2"/>
  <c r="C1858" i="2"/>
  <c r="A1858" i="2"/>
  <c r="M1857" i="2"/>
  <c r="L1857" i="2"/>
  <c r="K1857" i="2"/>
  <c r="J1857" i="2"/>
  <c r="H1857" i="2"/>
  <c r="G1857" i="2"/>
  <c r="F1857" i="2"/>
  <c r="E1857" i="2"/>
  <c r="D1857" i="2"/>
  <c r="C1857" i="2"/>
  <c r="A1857" i="2"/>
  <c r="M1856" i="2"/>
  <c r="L1856" i="2"/>
  <c r="K1856" i="2"/>
  <c r="J1856" i="2"/>
  <c r="H1856" i="2"/>
  <c r="G1856" i="2"/>
  <c r="F1856" i="2"/>
  <c r="E1856" i="2"/>
  <c r="D1856" i="2"/>
  <c r="C1856" i="2"/>
  <c r="A1856" i="2"/>
  <c r="M1855" i="2"/>
  <c r="L1855" i="2"/>
  <c r="K1855" i="2"/>
  <c r="J1855" i="2"/>
  <c r="H1855" i="2"/>
  <c r="G1855" i="2"/>
  <c r="F1855" i="2"/>
  <c r="E1855" i="2"/>
  <c r="D1855" i="2"/>
  <c r="C1855" i="2"/>
  <c r="A1855" i="2"/>
  <c r="M1854" i="2"/>
  <c r="L1854" i="2"/>
  <c r="K1854" i="2"/>
  <c r="J1854" i="2"/>
  <c r="H1854" i="2"/>
  <c r="G1854" i="2"/>
  <c r="F1854" i="2"/>
  <c r="E1854" i="2"/>
  <c r="D1854" i="2"/>
  <c r="C1854" i="2"/>
  <c r="A1854" i="2"/>
  <c r="M1853" i="2"/>
  <c r="L1853" i="2"/>
  <c r="K1853" i="2"/>
  <c r="J1853" i="2"/>
  <c r="H1853" i="2"/>
  <c r="G1853" i="2"/>
  <c r="F1853" i="2"/>
  <c r="E1853" i="2"/>
  <c r="D1853" i="2"/>
  <c r="C1853" i="2"/>
  <c r="A1853" i="2"/>
  <c r="M1852" i="2"/>
  <c r="L1852" i="2"/>
  <c r="K1852" i="2"/>
  <c r="J1852" i="2"/>
  <c r="H1852" i="2"/>
  <c r="G1852" i="2"/>
  <c r="F1852" i="2"/>
  <c r="E1852" i="2"/>
  <c r="D1852" i="2"/>
  <c r="C1852" i="2"/>
  <c r="A1852" i="2"/>
  <c r="M1851" i="2"/>
  <c r="L1851" i="2"/>
  <c r="K1851" i="2"/>
  <c r="J1851" i="2"/>
  <c r="H1851" i="2"/>
  <c r="G1851" i="2"/>
  <c r="F1851" i="2"/>
  <c r="E1851" i="2"/>
  <c r="D1851" i="2"/>
  <c r="C1851" i="2"/>
  <c r="A1851" i="2"/>
  <c r="M1850" i="2"/>
  <c r="L1850" i="2"/>
  <c r="K1850" i="2"/>
  <c r="J1850" i="2"/>
  <c r="H1850" i="2"/>
  <c r="G1850" i="2"/>
  <c r="F1850" i="2"/>
  <c r="E1850" i="2"/>
  <c r="D1850" i="2"/>
  <c r="C1850" i="2"/>
  <c r="A1850" i="2"/>
  <c r="M1849" i="2"/>
  <c r="L1849" i="2"/>
  <c r="K1849" i="2"/>
  <c r="J1849" i="2"/>
  <c r="H1849" i="2"/>
  <c r="G1849" i="2"/>
  <c r="F1849" i="2"/>
  <c r="E1849" i="2"/>
  <c r="D1849" i="2"/>
  <c r="C1849" i="2"/>
  <c r="A1849" i="2"/>
  <c r="M1848" i="2"/>
  <c r="L1848" i="2"/>
  <c r="K1848" i="2"/>
  <c r="J1848" i="2"/>
  <c r="H1848" i="2"/>
  <c r="G1848" i="2"/>
  <c r="F1848" i="2"/>
  <c r="E1848" i="2"/>
  <c r="D1848" i="2"/>
  <c r="C1848" i="2"/>
  <c r="A1848" i="2"/>
  <c r="M1847" i="2"/>
  <c r="L1847" i="2"/>
  <c r="K1847" i="2"/>
  <c r="J1847" i="2"/>
  <c r="H1847" i="2"/>
  <c r="G1847" i="2"/>
  <c r="F1847" i="2"/>
  <c r="E1847" i="2"/>
  <c r="D1847" i="2"/>
  <c r="C1847" i="2"/>
  <c r="A1847" i="2"/>
  <c r="M1846" i="2"/>
  <c r="L1846" i="2"/>
  <c r="K1846" i="2"/>
  <c r="J1846" i="2"/>
  <c r="H1846" i="2"/>
  <c r="G1846" i="2"/>
  <c r="F1846" i="2"/>
  <c r="E1846" i="2"/>
  <c r="D1846" i="2"/>
  <c r="C1846" i="2"/>
  <c r="A1846" i="2"/>
  <c r="M1845" i="2"/>
  <c r="L1845" i="2"/>
  <c r="K1845" i="2"/>
  <c r="J1845" i="2"/>
  <c r="H1845" i="2"/>
  <c r="G1845" i="2"/>
  <c r="F1845" i="2"/>
  <c r="E1845" i="2"/>
  <c r="D1845" i="2"/>
  <c r="C1845" i="2"/>
  <c r="A1845" i="2"/>
  <c r="M1844" i="2"/>
  <c r="L1844" i="2"/>
  <c r="K1844" i="2"/>
  <c r="J1844" i="2"/>
  <c r="H1844" i="2"/>
  <c r="G1844" i="2"/>
  <c r="F1844" i="2"/>
  <c r="E1844" i="2"/>
  <c r="D1844" i="2"/>
  <c r="C1844" i="2"/>
  <c r="A1844" i="2"/>
  <c r="M1843" i="2"/>
  <c r="L1843" i="2"/>
  <c r="K1843" i="2"/>
  <c r="J1843" i="2"/>
  <c r="H1843" i="2"/>
  <c r="G1843" i="2"/>
  <c r="F1843" i="2"/>
  <c r="E1843" i="2"/>
  <c r="D1843" i="2"/>
  <c r="C1843" i="2"/>
  <c r="A1843" i="2"/>
  <c r="M1842" i="2"/>
  <c r="L1842" i="2"/>
  <c r="K1842" i="2"/>
  <c r="J1842" i="2"/>
  <c r="H1842" i="2"/>
  <c r="G1842" i="2"/>
  <c r="F1842" i="2"/>
  <c r="E1842" i="2"/>
  <c r="D1842" i="2"/>
  <c r="C1842" i="2"/>
  <c r="A1842" i="2"/>
  <c r="M1841" i="2"/>
  <c r="L1841" i="2"/>
  <c r="K1841" i="2"/>
  <c r="J1841" i="2"/>
  <c r="H1841" i="2"/>
  <c r="G1841" i="2"/>
  <c r="F1841" i="2"/>
  <c r="E1841" i="2"/>
  <c r="D1841" i="2"/>
  <c r="C1841" i="2"/>
  <c r="A1841" i="2"/>
  <c r="M1840" i="2"/>
  <c r="L1840" i="2"/>
  <c r="K1840" i="2"/>
  <c r="J1840" i="2"/>
  <c r="H1840" i="2"/>
  <c r="G1840" i="2"/>
  <c r="F1840" i="2"/>
  <c r="E1840" i="2"/>
  <c r="D1840" i="2"/>
  <c r="C1840" i="2"/>
  <c r="A1840" i="2"/>
  <c r="M1839" i="2"/>
  <c r="L1839" i="2"/>
  <c r="K1839" i="2"/>
  <c r="J1839" i="2"/>
  <c r="H1839" i="2"/>
  <c r="G1839" i="2"/>
  <c r="F1839" i="2"/>
  <c r="E1839" i="2"/>
  <c r="D1839" i="2"/>
  <c r="C1839" i="2"/>
  <c r="A1839" i="2"/>
  <c r="M1838" i="2"/>
  <c r="L1838" i="2"/>
  <c r="K1838" i="2"/>
  <c r="J1838" i="2"/>
  <c r="H1838" i="2"/>
  <c r="G1838" i="2"/>
  <c r="F1838" i="2"/>
  <c r="E1838" i="2"/>
  <c r="D1838" i="2"/>
  <c r="C1838" i="2"/>
  <c r="A1838" i="2"/>
  <c r="M1837" i="2"/>
  <c r="L1837" i="2"/>
  <c r="K1837" i="2"/>
  <c r="J1837" i="2"/>
  <c r="H1837" i="2"/>
  <c r="G1837" i="2"/>
  <c r="F1837" i="2"/>
  <c r="E1837" i="2"/>
  <c r="D1837" i="2"/>
  <c r="C1837" i="2"/>
  <c r="A1837" i="2"/>
  <c r="M1836" i="2"/>
  <c r="L1836" i="2"/>
  <c r="K1836" i="2"/>
  <c r="J1836" i="2"/>
  <c r="H1836" i="2"/>
  <c r="G1836" i="2"/>
  <c r="F1836" i="2"/>
  <c r="E1836" i="2"/>
  <c r="D1836" i="2"/>
  <c r="C1836" i="2"/>
  <c r="A1836" i="2"/>
  <c r="M1835" i="2"/>
  <c r="L1835" i="2"/>
  <c r="K1835" i="2"/>
  <c r="J1835" i="2"/>
  <c r="H1835" i="2"/>
  <c r="G1835" i="2"/>
  <c r="F1835" i="2"/>
  <c r="E1835" i="2"/>
  <c r="D1835" i="2"/>
  <c r="C1835" i="2"/>
  <c r="A1835" i="2"/>
  <c r="M1834" i="2"/>
  <c r="L1834" i="2"/>
  <c r="K1834" i="2"/>
  <c r="J1834" i="2"/>
  <c r="H1834" i="2"/>
  <c r="G1834" i="2"/>
  <c r="F1834" i="2"/>
  <c r="E1834" i="2"/>
  <c r="D1834" i="2"/>
  <c r="C1834" i="2"/>
  <c r="A1834" i="2"/>
  <c r="M1833" i="2"/>
  <c r="L1833" i="2"/>
  <c r="K1833" i="2"/>
  <c r="J1833" i="2"/>
  <c r="H1833" i="2"/>
  <c r="G1833" i="2"/>
  <c r="F1833" i="2"/>
  <c r="E1833" i="2"/>
  <c r="D1833" i="2"/>
  <c r="C1833" i="2"/>
  <c r="A1833" i="2"/>
  <c r="M1832" i="2"/>
  <c r="L1832" i="2"/>
  <c r="K1832" i="2"/>
  <c r="J1832" i="2"/>
  <c r="H1832" i="2"/>
  <c r="G1832" i="2"/>
  <c r="F1832" i="2"/>
  <c r="E1832" i="2"/>
  <c r="D1832" i="2"/>
  <c r="C1832" i="2"/>
  <c r="A1832" i="2"/>
  <c r="M1831" i="2"/>
  <c r="L1831" i="2"/>
  <c r="K1831" i="2"/>
  <c r="J1831" i="2"/>
  <c r="H1831" i="2"/>
  <c r="G1831" i="2"/>
  <c r="F1831" i="2"/>
  <c r="E1831" i="2"/>
  <c r="D1831" i="2"/>
  <c r="C1831" i="2"/>
  <c r="A1831" i="2"/>
  <c r="M1830" i="2"/>
  <c r="L1830" i="2"/>
  <c r="K1830" i="2"/>
  <c r="J1830" i="2"/>
  <c r="H1830" i="2"/>
  <c r="G1830" i="2"/>
  <c r="F1830" i="2"/>
  <c r="E1830" i="2"/>
  <c r="D1830" i="2"/>
  <c r="C1830" i="2"/>
  <c r="A1830" i="2"/>
  <c r="M1829" i="2"/>
  <c r="L1829" i="2"/>
  <c r="K1829" i="2"/>
  <c r="J1829" i="2"/>
  <c r="H1829" i="2"/>
  <c r="G1829" i="2"/>
  <c r="F1829" i="2"/>
  <c r="E1829" i="2"/>
  <c r="D1829" i="2"/>
  <c r="C1829" i="2"/>
  <c r="A1829" i="2"/>
  <c r="M1828" i="2"/>
  <c r="L1828" i="2"/>
  <c r="K1828" i="2"/>
  <c r="J1828" i="2"/>
  <c r="H1828" i="2"/>
  <c r="G1828" i="2"/>
  <c r="F1828" i="2"/>
  <c r="E1828" i="2"/>
  <c r="D1828" i="2"/>
  <c r="C1828" i="2"/>
  <c r="A1828" i="2"/>
  <c r="M1827" i="2"/>
  <c r="L1827" i="2"/>
  <c r="K1827" i="2"/>
  <c r="J1827" i="2"/>
  <c r="H1827" i="2"/>
  <c r="G1827" i="2"/>
  <c r="F1827" i="2"/>
  <c r="E1827" i="2"/>
  <c r="D1827" i="2"/>
  <c r="C1827" i="2"/>
  <c r="A1827" i="2"/>
  <c r="M1826" i="2"/>
  <c r="L1826" i="2"/>
  <c r="K1826" i="2"/>
  <c r="J1826" i="2"/>
  <c r="H1826" i="2"/>
  <c r="G1826" i="2"/>
  <c r="F1826" i="2"/>
  <c r="E1826" i="2"/>
  <c r="D1826" i="2"/>
  <c r="C1826" i="2"/>
  <c r="A1826" i="2"/>
  <c r="M1825" i="2"/>
  <c r="L1825" i="2"/>
  <c r="K1825" i="2"/>
  <c r="J1825" i="2"/>
  <c r="H1825" i="2"/>
  <c r="G1825" i="2"/>
  <c r="F1825" i="2"/>
  <c r="E1825" i="2"/>
  <c r="D1825" i="2"/>
  <c r="C1825" i="2"/>
  <c r="A1825" i="2"/>
  <c r="M1824" i="2"/>
  <c r="L1824" i="2"/>
  <c r="K1824" i="2"/>
  <c r="J1824" i="2"/>
  <c r="H1824" i="2"/>
  <c r="G1824" i="2"/>
  <c r="F1824" i="2"/>
  <c r="E1824" i="2"/>
  <c r="D1824" i="2"/>
  <c r="C1824" i="2"/>
  <c r="A1824" i="2"/>
  <c r="M1823" i="2"/>
  <c r="L1823" i="2"/>
  <c r="K1823" i="2"/>
  <c r="J1823" i="2"/>
  <c r="H1823" i="2"/>
  <c r="G1823" i="2"/>
  <c r="F1823" i="2"/>
  <c r="E1823" i="2"/>
  <c r="D1823" i="2"/>
  <c r="C1823" i="2"/>
  <c r="A1823" i="2"/>
  <c r="M1822" i="2"/>
  <c r="L1822" i="2"/>
  <c r="K1822" i="2"/>
  <c r="J1822" i="2"/>
  <c r="H1822" i="2"/>
  <c r="G1822" i="2"/>
  <c r="F1822" i="2"/>
  <c r="E1822" i="2"/>
  <c r="D1822" i="2"/>
  <c r="C1822" i="2"/>
  <c r="A1822" i="2"/>
  <c r="M1821" i="2"/>
  <c r="L1821" i="2"/>
  <c r="K1821" i="2"/>
  <c r="J1821" i="2"/>
  <c r="H1821" i="2"/>
  <c r="G1821" i="2"/>
  <c r="F1821" i="2"/>
  <c r="E1821" i="2"/>
  <c r="D1821" i="2"/>
  <c r="C1821" i="2"/>
  <c r="A1821" i="2"/>
  <c r="M1820" i="2"/>
  <c r="L1820" i="2"/>
  <c r="K1820" i="2"/>
  <c r="J1820" i="2"/>
  <c r="H1820" i="2"/>
  <c r="G1820" i="2"/>
  <c r="F1820" i="2"/>
  <c r="E1820" i="2"/>
  <c r="D1820" i="2"/>
  <c r="C1820" i="2"/>
  <c r="A1820" i="2"/>
  <c r="M1819" i="2"/>
  <c r="L1819" i="2"/>
  <c r="K1819" i="2"/>
  <c r="J1819" i="2"/>
  <c r="H1819" i="2"/>
  <c r="G1819" i="2"/>
  <c r="F1819" i="2"/>
  <c r="E1819" i="2"/>
  <c r="D1819" i="2"/>
  <c r="C1819" i="2"/>
  <c r="A1819" i="2"/>
  <c r="M1818" i="2"/>
  <c r="L1818" i="2"/>
  <c r="K1818" i="2"/>
  <c r="J1818" i="2"/>
  <c r="H1818" i="2"/>
  <c r="G1818" i="2"/>
  <c r="F1818" i="2"/>
  <c r="E1818" i="2"/>
  <c r="D1818" i="2"/>
  <c r="C1818" i="2"/>
  <c r="A1818" i="2"/>
  <c r="M1817" i="2"/>
  <c r="L1817" i="2"/>
  <c r="K1817" i="2"/>
  <c r="J1817" i="2"/>
  <c r="H1817" i="2"/>
  <c r="G1817" i="2"/>
  <c r="F1817" i="2"/>
  <c r="E1817" i="2"/>
  <c r="D1817" i="2"/>
  <c r="C1817" i="2"/>
  <c r="A1817" i="2"/>
  <c r="M1816" i="2"/>
  <c r="L1816" i="2"/>
  <c r="K1816" i="2"/>
  <c r="J1816" i="2"/>
  <c r="H1816" i="2"/>
  <c r="G1816" i="2"/>
  <c r="F1816" i="2"/>
  <c r="E1816" i="2"/>
  <c r="D1816" i="2"/>
  <c r="C1816" i="2"/>
  <c r="A1816" i="2"/>
  <c r="M1815" i="2"/>
  <c r="L1815" i="2"/>
  <c r="K1815" i="2"/>
  <c r="J1815" i="2"/>
  <c r="H1815" i="2"/>
  <c r="G1815" i="2"/>
  <c r="F1815" i="2"/>
  <c r="E1815" i="2"/>
  <c r="D1815" i="2"/>
  <c r="C1815" i="2"/>
  <c r="A1815" i="2"/>
  <c r="M1814" i="2"/>
  <c r="L1814" i="2"/>
  <c r="K1814" i="2"/>
  <c r="J1814" i="2"/>
  <c r="H1814" i="2"/>
  <c r="G1814" i="2"/>
  <c r="F1814" i="2"/>
  <c r="E1814" i="2"/>
  <c r="D1814" i="2"/>
  <c r="C1814" i="2"/>
  <c r="A1814" i="2"/>
  <c r="M1813" i="2"/>
  <c r="L1813" i="2"/>
  <c r="K1813" i="2"/>
  <c r="J1813" i="2"/>
  <c r="H1813" i="2"/>
  <c r="G1813" i="2"/>
  <c r="F1813" i="2"/>
  <c r="E1813" i="2"/>
  <c r="D1813" i="2"/>
  <c r="C1813" i="2"/>
  <c r="A1813" i="2"/>
  <c r="M1812" i="2"/>
  <c r="L1812" i="2"/>
  <c r="K1812" i="2"/>
  <c r="J1812" i="2"/>
  <c r="H1812" i="2"/>
  <c r="G1812" i="2"/>
  <c r="F1812" i="2"/>
  <c r="E1812" i="2"/>
  <c r="D1812" i="2"/>
  <c r="C1812" i="2"/>
  <c r="A1812" i="2"/>
  <c r="M1811" i="2"/>
  <c r="L1811" i="2"/>
  <c r="K1811" i="2"/>
  <c r="J1811" i="2"/>
  <c r="H1811" i="2"/>
  <c r="G1811" i="2"/>
  <c r="F1811" i="2"/>
  <c r="E1811" i="2"/>
  <c r="D1811" i="2"/>
  <c r="C1811" i="2"/>
  <c r="A1811" i="2"/>
  <c r="M1810" i="2"/>
  <c r="L1810" i="2"/>
  <c r="K1810" i="2"/>
  <c r="J1810" i="2"/>
  <c r="H1810" i="2"/>
  <c r="G1810" i="2"/>
  <c r="F1810" i="2"/>
  <c r="E1810" i="2"/>
  <c r="D1810" i="2"/>
  <c r="C1810" i="2"/>
  <c r="A1810" i="2"/>
  <c r="M1809" i="2"/>
  <c r="L1809" i="2"/>
  <c r="K1809" i="2"/>
  <c r="J1809" i="2"/>
  <c r="H1809" i="2"/>
  <c r="G1809" i="2"/>
  <c r="F1809" i="2"/>
  <c r="E1809" i="2"/>
  <c r="D1809" i="2"/>
  <c r="C1809" i="2"/>
  <c r="A1809" i="2"/>
  <c r="M1808" i="2"/>
  <c r="L1808" i="2"/>
  <c r="K1808" i="2"/>
  <c r="J1808" i="2"/>
  <c r="H1808" i="2"/>
  <c r="G1808" i="2"/>
  <c r="F1808" i="2"/>
  <c r="E1808" i="2"/>
  <c r="D1808" i="2"/>
  <c r="C1808" i="2"/>
  <c r="A1808" i="2"/>
  <c r="M1807" i="2"/>
  <c r="L1807" i="2"/>
  <c r="K1807" i="2"/>
  <c r="J1807" i="2"/>
  <c r="H1807" i="2"/>
  <c r="G1807" i="2"/>
  <c r="F1807" i="2"/>
  <c r="E1807" i="2"/>
  <c r="D1807" i="2"/>
  <c r="C1807" i="2"/>
  <c r="A1807" i="2"/>
  <c r="M1806" i="2"/>
  <c r="L1806" i="2"/>
  <c r="K1806" i="2"/>
  <c r="J1806" i="2"/>
  <c r="H1806" i="2"/>
  <c r="G1806" i="2"/>
  <c r="F1806" i="2"/>
  <c r="E1806" i="2"/>
  <c r="D1806" i="2"/>
  <c r="C1806" i="2"/>
  <c r="A1806" i="2"/>
  <c r="M1805" i="2"/>
  <c r="L1805" i="2"/>
  <c r="K1805" i="2"/>
  <c r="J1805" i="2"/>
  <c r="H1805" i="2"/>
  <c r="G1805" i="2"/>
  <c r="F1805" i="2"/>
  <c r="E1805" i="2"/>
  <c r="D1805" i="2"/>
  <c r="C1805" i="2"/>
  <c r="A1805" i="2"/>
  <c r="M1804" i="2"/>
  <c r="L1804" i="2"/>
  <c r="K1804" i="2"/>
  <c r="J1804" i="2"/>
  <c r="H1804" i="2"/>
  <c r="G1804" i="2"/>
  <c r="F1804" i="2"/>
  <c r="E1804" i="2"/>
  <c r="D1804" i="2"/>
  <c r="C1804" i="2"/>
  <c r="A1804" i="2"/>
  <c r="M1803" i="2"/>
  <c r="L1803" i="2"/>
  <c r="K1803" i="2"/>
  <c r="J1803" i="2"/>
  <c r="H1803" i="2"/>
  <c r="G1803" i="2"/>
  <c r="F1803" i="2"/>
  <c r="E1803" i="2"/>
  <c r="D1803" i="2"/>
  <c r="C1803" i="2"/>
  <c r="A1803" i="2"/>
  <c r="M1802" i="2"/>
  <c r="L1802" i="2"/>
  <c r="K1802" i="2"/>
  <c r="J1802" i="2"/>
  <c r="H1802" i="2"/>
  <c r="G1802" i="2"/>
  <c r="F1802" i="2"/>
  <c r="E1802" i="2"/>
  <c r="D1802" i="2"/>
  <c r="C1802" i="2"/>
  <c r="A1802" i="2"/>
  <c r="M1801" i="2"/>
  <c r="L1801" i="2"/>
  <c r="K1801" i="2"/>
  <c r="J1801" i="2"/>
  <c r="H1801" i="2"/>
  <c r="G1801" i="2"/>
  <c r="F1801" i="2"/>
  <c r="E1801" i="2"/>
  <c r="D1801" i="2"/>
  <c r="C1801" i="2"/>
  <c r="A1801" i="2"/>
  <c r="M1800" i="2"/>
  <c r="L1800" i="2"/>
  <c r="K1800" i="2"/>
  <c r="J1800" i="2"/>
  <c r="H1800" i="2"/>
  <c r="G1800" i="2"/>
  <c r="F1800" i="2"/>
  <c r="E1800" i="2"/>
  <c r="D1800" i="2"/>
  <c r="C1800" i="2"/>
  <c r="A1800" i="2"/>
  <c r="M1799" i="2"/>
  <c r="L1799" i="2"/>
  <c r="K1799" i="2"/>
  <c r="J1799" i="2"/>
  <c r="H1799" i="2"/>
  <c r="G1799" i="2"/>
  <c r="F1799" i="2"/>
  <c r="E1799" i="2"/>
  <c r="D1799" i="2"/>
  <c r="C1799" i="2"/>
  <c r="A1799" i="2"/>
  <c r="M1798" i="2"/>
  <c r="L1798" i="2"/>
  <c r="K1798" i="2"/>
  <c r="J1798" i="2"/>
  <c r="H1798" i="2"/>
  <c r="G1798" i="2"/>
  <c r="F1798" i="2"/>
  <c r="E1798" i="2"/>
  <c r="D1798" i="2"/>
  <c r="C1798" i="2"/>
  <c r="A1798" i="2"/>
  <c r="M1797" i="2"/>
  <c r="L1797" i="2"/>
  <c r="K1797" i="2"/>
  <c r="J1797" i="2"/>
  <c r="H1797" i="2"/>
  <c r="G1797" i="2"/>
  <c r="F1797" i="2"/>
  <c r="E1797" i="2"/>
  <c r="D1797" i="2"/>
  <c r="C1797" i="2"/>
  <c r="A1797" i="2"/>
  <c r="M1796" i="2"/>
  <c r="L1796" i="2"/>
  <c r="K1796" i="2"/>
  <c r="J1796" i="2"/>
  <c r="H1796" i="2"/>
  <c r="G1796" i="2"/>
  <c r="F1796" i="2"/>
  <c r="E1796" i="2"/>
  <c r="D1796" i="2"/>
  <c r="C1796" i="2"/>
  <c r="A1796" i="2"/>
  <c r="M1795" i="2"/>
  <c r="L1795" i="2"/>
  <c r="K1795" i="2"/>
  <c r="J1795" i="2"/>
  <c r="H1795" i="2"/>
  <c r="G1795" i="2"/>
  <c r="F1795" i="2"/>
  <c r="E1795" i="2"/>
  <c r="D1795" i="2"/>
  <c r="C1795" i="2"/>
  <c r="A1795" i="2"/>
  <c r="M1794" i="2"/>
  <c r="L1794" i="2"/>
  <c r="K1794" i="2"/>
  <c r="J1794" i="2"/>
  <c r="H1794" i="2"/>
  <c r="G1794" i="2"/>
  <c r="F1794" i="2"/>
  <c r="E1794" i="2"/>
  <c r="D1794" i="2"/>
  <c r="C1794" i="2"/>
  <c r="A1794" i="2"/>
  <c r="M1793" i="2"/>
  <c r="L1793" i="2"/>
  <c r="K1793" i="2"/>
  <c r="J1793" i="2"/>
  <c r="H1793" i="2"/>
  <c r="G1793" i="2"/>
  <c r="F1793" i="2"/>
  <c r="E1793" i="2"/>
  <c r="D1793" i="2"/>
  <c r="C1793" i="2"/>
  <c r="A1793" i="2"/>
  <c r="M1792" i="2"/>
  <c r="L1792" i="2"/>
  <c r="K1792" i="2"/>
  <c r="J1792" i="2"/>
  <c r="H1792" i="2"/>
  <c r="G1792" i="2"/>
  <c r="F1792" i="2"/>
  <c r="E1792" i="2"/>
  <c r="D1792" i="2"/>
  <c r="C1792" i="2"/>
  <c r="A1792" i="2"/>
  <c r="M1791" i="2"/>
  <c r="L1791" i="2"/>
  <c r="K1791" i="2"/>
  <c r="J1791" i="2"/>
  <c r="H1791" i="2"/>
  <c r="G1791" i="2"/>
  <c r="F1791" i="2"/>
  <c r="E1791" i="2"/>
  <c r="D1791" i="2"/>
  <c r="C1791" i="2"/>
  <c r="A1791" i="2"/>
  <c r="M1790" i="2"/>
  <c r="L1790" i="2"/>
  <c r="K1790" i="2"/>
  <c r="J1790" i="2"/>
  <c r="H1790" i="2"/>
  <c r="G1790" i="2"/>
  <c r="F1790" i="2"/>
  <c r="E1790" i="2"/>
  <c r="D1790" i="2"/>
  <c r="C1790" i="2"/>
  <c r="A1790" i="2"/>
  <c r="M1789" i="2"/>
  <c r="L1789" i="2"/>
  <c r="K1789" i="2"/>
  <c r="J1789" i="2"/>
  <c r="H1789" i="2"/>
  <c r="G1789" i="2"/>
  <c r="F1789" i="2"/>
  <c r="E1789" i="2"/>
  <c r="D1789" i="2"/>
  <c r="C1789" i="2"/>
  <c r="A1789" i="2"/>
  <c r="M1788" i="2"/>
  <c r="L1788" i="2"/>
  <c r="K1788" i="2"/>
  <c r="J1788" i="2"/>
  <c r="H1788" i="2"/>
  <c r="G1788" i="2"/>
  <c r="F1788" i="2"/>
  <c r="E1788" i="2"/>
  <c r="D1788" i="2"/>
  <c r="C1788" i="2"/>
  <c r="A1788" i="2"/>
  <c r="M1787" i="2"/>
  <c r="L1787" i="2"/>
  <c r="K1787" i="2"/>
  <c r="J1787" i="2"/>
  <c r="H1787" i="2"/>
  <c r="G1787" i="2"/>
  <c r="F1787" i="2"/>
  <c r="E1787" i="2"/>
  <c r="D1787" i="2"/>
  <c r="C1787" i="2"/>
  <c r="A1787" i="2"/>
  <c r="M1786" i="2"/>
  <c r="L1786" i="2"/>
  <c r="K1786" i="2"/>
  <c r="J1786" i="2"/>
  <c r="H1786" i="2"/>
  <c r="G1786" i="2"/>
  <c r="F1786" i="2"/>
  <c r="E1786" i="2"/>
  <c r="D1786" i="2"/>
  <c r="C1786" i="2"/>
  <c r="A1786" i="2"/>
  <c r="M1785" i="2"/>
  <c r="L1785" i="2"/>
  <c r="K1785" i="2"/>
  <c r="J1785" i="2"/>
  <c r="H1785" i="2"/>
  <c r="G1785" i="2"/>
  <c r="F1785" i="2"/>
  <c r="E1785" i="2"/>
  <c r="D1785" i="2"/>
  <c r="C1785" i="2"/>
  <c r="A1785" i="2"/>
  <c r="M1784" i="2"/>
  <c r="L1784" i="2"/>
  <c r="K1784" i="2"/>
  <c r="J1784" i="2"/>
  <c r="H1784" i="2"/>
  <c r="G1784" i="2"/>
  <c r="F1784" i="2"/>
  <c r="E1784" i="2"/>
  <c r="D1784" i="2"/>
  <c r="C1784" i="2"/>
  <c r="A1784" i="2"/>
  <c r="M1783" i="2"/>
  <c r="L1783" i="2"/>
  <c r="K1783" i="2"/>
  <c r="J1783" i="2"/>
  <c r="H1783" i="2"/>
  <c r="G1783" i="2"/>
  <c r="F1783" i="2"/>
  <c r="E1783" i="2"/>
  <c r="D1783" i="2"/>
  <c r="C1783" i="2"/>
  <c r="A1783" i="2"/>
  <c r="M1782" i="2"/>
  <c r="L1782" i="2"/>
  <c r="K1782" i="2"/>
  <c r="J1782" i="2"/>
  <c r="H1782" i="2"/>
  <c r="G1782" i="2"/>
  <c r="F1782" i="2"/>
  <c r="E1782" i="2"/>
  <c r="D1782" i="2"/>
  <c r="C1782" i="2"/>
  <c r="A1782" i="2"/>
  <c r="M1781" i="2"/>
  <c r="L1781" i="2"/>
  <c r="K1781" i="2"/>
  <c r="J1781" i="2"/>
  <c r="H1781" i="2"/>
  <c r="G1781" i="2"/>
  <c r="F1781" i="2"/>
  <c r="E1781" i="2"/>
  <c r="D1781" i="2"/>
  <c r="C1781" i="2"/>
  <c r="A1781" i="2"/>
  <c r="M1780" i="2"/>
  <c r="L1780" i="2"/>
  <c r="K1780" i="2"/>
  <c r="J1780" i="2"/>
  <c r="H1780" i="2"/>
  <c r="G1780" i="2"/>
  <c r="F1780" i="2"/>
  <c r="E1780" i="2"/>
  <c r="D1780" i="2"/>
  <c r="C1780" i="2"/>
  <c r="A1780" i="2"/>
  <c r="M1779" i="2"/>
  <c r="L1779" i="2"/>
  <c r="K1779" i="2"/>
  <c r="J1779" i="2"/>
  <c r="H1779" i="2"/>
  <c r="G1779" i="2"/>
  <c r="F1779" i="2"/>
  <c r="E1779" i="2"/>
  <c r="D1779" i="2"/>
  <c r="C1779" i="2"/>
  <c r="A1779" i="2"/>
  <c r="M1778" i="2"/>
  <c r="L1778" i="2"/>
  <c r="K1778" i="2"/>
  <c r="J1778" i="2"/>
  <c r="H1778" i="2"/>
  <c r="G1778" i="2"/>
  <c r="F1778" i="2"/>
  <c r="E1778" i="2"/>
  <c r="D1778" i="2"/>
  <c r="C1778" i="2"/>
  <c r="A1778" i="2"/>
  <c r="M1777" i="2"/>
  <c r="L1777" i="2"/>
  <c r="K1777" i="2"/>
  <c r="J1777" i="2"/>
  <c r="H1777" i="2"/>
  <c r="G1777" i="2"/>
  <c r="F1777" i="2"/>
  <c r="E1777" i="2"/>
  <c r="D1777" i="2"/>
  <c r="C1777" i="2"/>
  <c r="A1777" i="2"/>
  <c r="M1776" i="2"/>
  <c r="L1776" i="2"/>
  <c r="K1776" i="2"/>
  <c r="J1776" i="2"/>
  <c r="H1776" i="2"/>
  <c r="G1776" i="2"/>
  <c r="F1776" i="2"/>
  <c r="E1776" i="2"/>
  <c r="D1776" i="2"/>
  <c r="C1776" i="2"/>
  <c r="A1776" i="2"/>
  <c r="M1775" i="2"/>
  <c r="L1775" i="2"/>
  <c r="K1775" i="2"/>
  <c r="J1775" i="2"/>
  <c r="H1775" i="2"/>
  <c r="G1775" i="2"/>
  <c r="F1775" i="2"/>
  <c r="E1775" i="2"/>
  <c r="D1775" i="2"/>
  <c r="C1775" i="2"/>
  <c r="A1775" i="2"/>
  <c r="M1774" i="2"/>
  <c r="L1774" i="2"/>
  <c r="K1774" i="2"/>
  <c r="J1774" i="2"/>
  <c r="H1774" i="2"/>
  <c r="G1774" i="2"/>
  <c r="F1774" i="2"/>
  <c r="E1774" i="2"/>
  <c r="D1774" i="2"/>
  <c r="C1774" i="2"/>
  <c r="A1774" i="2"/>
  <c r="M1773" i="2"/>
  <c r="L1773" i="2"/>
  <c r="K1773" i="2"/>
  <c r="J1773" i="2"/>
  <c r="H1773" i="2"/>
  <c r="G1773" i="2"/>
  <c r="F1773" i="2"/>
  <c r="E1773" i="2"/>
  <c r="D1773" i="2"/>
  <c r="C1773" i="2"/>
  <c r="A1773" i="2"/>
  <c r="M1772" i="2"/>
  <c r="L1772" i="2"/>
  <c r="K1772" i="2"/>
  <c r="J1772" i="2"/>
  <c r="H1772" i="2"/>
  <c r="G1772" i="2"/>
  <c r="F1772" i="2"/>
  <c r="E1772" i="2"/>
  <c r="D1772" i="2"/>
  <c r="C1772" i="2"/>
  <c r="A1772" i="2"/>
  <c r="M1771" i="2"/>
  <c r="L1771" i="2"/>
  <c r="K1771" i="2"/>
  <c r="J1771" i="2"/>
  <c r="H1771" i="2"/>
  <c r="G1771" i="2"/>
  <c r="F1771" i="2"/>
  <c r="E1771" i="2"/>
  <c r="D1771" i="2"/>
  <c r="C1771" i="2"/>
  <c r="A1771" i="2"/>
  <c r="M1770" i="2"/>
  <c r="L1770" i="2"/>
  <c r="K1770" i="2"/>
  <c r="J1770" i="2"/>
  <c r="H1770" i="2"/>
  <c r="G1770" i="2"/>
  <c r="F1770" i="2"/>
  <c r="E1770" i="2"/>
  <c r="D1770" i="2"/>
  <c r="C1770" i="2"/>
  <c r="A1770" i="2"/>
  <c r="M1769" i="2"/>
  <c r="L1769" i="2"/>
  <c r="K1769" i="2"/>
  <c r="J1769" i="2"/>
  <c r="H1769" i="2"/>
  <c r="G1769" i="2"/>
  <c r="F1769" i="2"/>
  <c r="E1769" i="2"/>
  <c r="D1769" i="2"/>
  <c r="C1769" i="2"/>
  <c r="A1769" i="2"/>
  <c r="M1768" i="2"/>
  <c r="L1768" i="2"/>
  <c r="K1768" i="2"/>
  <c r="J1768" i="2"/>
  <c r="H1768" i="2"/>
  <c r="G1768" i="2"/>
  <c r="F1768" i="2"/>
  <c r="E1768" i="2"/>
  <c r="D1768" i="2"/>
  <c r="C1768" i="2"/>
  <c r="A1768" i="2"/>
  <c r="M1767" i="2"/>
  <c r="L1767" i="2"/>
  <c r="K1767" i="2"/>
  <c r="J1767" i="2"/>
  <c r="H1767" i="2"/>
  <c r="G1767" i="2"/>
  <c r="F1767" i="2"/>
  <c r="E1767" i="2"/>
  <c r="D1767" i="2"/>
  <c r="C1767" i="2"/>
  <c r="A1767" i="2"/>
  <c r="M1766" i="2"/>
  <c r="L1766" i="2"/>
  <c r="K1766" i="2"/>
  <c r="J1766" i="2"/>
  <c r="H1766" i="2"/>
  <c r="G1766" i="2"/>
  <c r="F1766" i="2"/>
  <c r="E1766" i="2"/>
  <c r="D1766" i="2"/>
  <c r="C1766" i="2"/>
  <c r="A1766" i="2"/>
  <c r="M1765" i="2"/>
  <c r="L1765" i="2"/>
  <c r="K1765" i="2"/>
  <c r="J1765" i="2"/>
  <c r="H1765" i="2"/>
  <c r="G1765" i="2"/>
  <c r="F1765" i="2"/>
  <c r="E1765" i="2"/>
  <c r="D1765" i="2"/>
  <c r="C1765" i="2"/>
  <c r="A1765" i="2"/>
  <c r="M1764" i="2"/>
  <c r="L1764" i="2"/>
  <c r="K1764" i="2"/>
  <c r="J1764" i="2"/>
  <c r="H1764" i="2"/>
  <c r="G1764" i="2"/>
  <c r="F1764" i="2"/>
  <c r="E1764" i="2"/>
  <c r="D1764" i="2"/>
  <c r="C1764" i="2"/>
  <c r="A1764" i="2"/>
  <c r="M1763" i="2"/>
  <c r="L1763" i="2"/>
  <c r="K1763" i="2"/>
  <c r="J1763" i="2"/>
  <c r="H1763" i="2"/>
  <c r="G1763" i="2"/>
  <c r="F1763" i="2"/>
  <c r="E1763" i="2"/>
  <c r="D1763" i="2"/>
  <c r="C1763" i="2"/>
  <c r="A1763" i="2"/>
  <c r="M1762" i="2"/>
  <c r="L1762" i="2"/>
  <c r="K1762" i="2"/>
  <c r="J1762" i="2"/>
  <c r="H1762" i="2"/>
  <c r="G1762" i="2"/>
  <c r="F1762" i="2"/>
  <c r="E1762" i="2"/>
  <c r="D1762" i="2"/>
  <c r="C1762" i="2"/>
  <c r="A1762" i="2"/>
  <c r="M1761" i="2"/>
  <c r="L1761" i="2"/>
  <c r="K1761" i="2"/>
  <c r="J1761" i="2"/>
  <c r="H1761" i="2"/>
  <c r="G1761" i="2"/>
  <c r="F1761" i="2"/>
  <c r="E1761" i="2"/>
  <c r="D1761" i="2"/>
  <c r="C1761" i="2"/>
  <c r="A1761" i="2"/>
  <c r="M1760" i="2"/>
  <c r="L1760" i="2"/>
  <c r="K1760" i="2"/>
  <c r="J1760" i="2"/>
  <c r="H1760" i="2"/>
  <c r="G1760" i="2"/>
  <c r="F1760" i="2"/>
  <c r="E1760" i="2"/>
  <c r="D1760" i="2"/>
  <c r="C1760" i="2"/>
  <c r="A1760" i="2"/>
  <c r="M1759" i="2"/>
  <c r="L1759" i="2"/>
  <c r="K1759" i="2"/>
  <c r="J1759" i="2"/>
  <c r="H1759" i="2"/>
  <c r="G1759" i="2"/>
  <c r="F1759" i="2"/>
  <c r="E1759" i="2"/>
  <c r="D1759" i="2"/>
  <c r="C1759" i="2"/>
  <c r="A1759" i="2"/>
  <c r="M1758" i="2"/>
  <c r="L1758" i="2"/>
  <c r="K1758" i="2"/>
  <c r="J1758" i="2"/>
  <c r="H1758" i="2"/>
  <c r="G1758" i="2"/>
  <c r="F1758" i="2"/>
  <c r="E1758" i="2"/>
  <c r="D1758" i="2"/>
  <c r="C1758" i="2"/>
  <c r="A1758" i="2"/>
  <c r="M1757" i="2"/>
  <c r="L1757" i="2"/>
  <c r="K1757" i="2"/>
  <c r="J1757" i="2"/>
  <c r="H1757" i="2"/>
  <c r="G1757" i="2"/>
  <c r="F1757" i="2"/>
  <c r="E1757" i="2"/>
  <c r="D1757" i="2"/>
  <c r="C1757" i="2"/>
  <c r="A1757" i="2"/>
  <c r="M1756" i="2"/>
  <c r="L1756" i="2"/>
  <c r="K1756" i="2"/>
  <c r="J1756" i="2"/>
  <c r="H1756" i="2"/>
  <c r="G1756" i="2"/>
  <c r="F1756" i="2"/>
  <c r="E1756" i="2"/>
  <c r="D1756" i="2"/>
  <c r="C1756" i="2"/>
  <c r="A1756" i="2"/>
  <c r="M1755" i="2"/>
  <c r="L1755" i="2"/>
  <c r="K1755" i="2"/>
  <c r="J1755" i="2"/>
  <c r="H1755" i="2"/>
  <c r="G1755" i="2"/>
  <c r="F1755" i="2"/>
  <c r="E1755" i="2"/>
  <c r="D1755" i="2"/>
  <c r="C1755" i="2"/>
  <c r="A1755" i="2"/>
  <c r="M1754" i="2"/>
  <c r="L1754" i="2"/>
  <c r="K1754" i="2"/>
  <c r="J1754" i="2"/>
  <c r="H1754" i="2"/>
  <c r="G1754" i="2"/>
  <c r="F1754" i="2"/>
  <c r="E1754" i="2"/>
  <c r="D1754" i="2"/>
  <c r="C1754" i="2"/>
  <c r="A1754" i="2"/>
  <c r="M1753" i="2"/>
  <c r="L1753" i="2"/>
  <c r="K1753" i="2"/>
  <c r="J1753" i="2"/>
  <c r="H1753" i="2"/>
  <c r="G1753" i="2"/>
  <c r="F1753" i="2"/>
  <c r="E1753" i="2"/>
  <c r="D1753" i="2"/>
  <c r="C1753" i="2"/>
  <c r="A1753" i="2"/>
  <c r="M1752" i="2"/>
  <c r="L1752" i="2"/>
  <c r="K1752" i="2"/>
  <c r="J1752" i="2"/>
  <c r="H1752" i="2"/>
  <c r="G1752" i="2"/>
  <c r="F1752" i="2"/>
  <c r="E1752" i="2"/>
  <c r="D1752" i="2"/>
  <c r="C1752" i="2"/>
  <c r="A1752" i="2"/>
  <c r="M1751" i="2"/>
  <c r="L1751" i="2"/>
  <c r="K1751" i="2"/>
  <c r="J1751" i="2"/>
  <c r="H1751" i="2"/>
  <c r="G1751" i="2"/>
  <c r="F1751" i="2"/>
  <c r="E1751" i="2"/>
  <c r="D1751" i="2"/>
  <c r="C1751" i="2"/>
  <c r="A1751" i="2"/>
  <c r="M1750" i="2"/>
  <c r="L1750" i="2"/>
  <c r="K1750" i="2"/>
  <c r="J1750" i="2"/>
  <c r="H1750" i="2"/>
  <c r="G1750" i="2"/>
  <c r="F1750" i="2"/>
  <c r="E1750" i="2"/>
  <c r="D1750" i="2"/>
  <c r="C1750" i="2"/>
  <c r="A1750" i="2"/>
  <c r="M1749" i="2"/>
  <c r="L1749" i="2"/>
  <c r="K1749" i="2"/>
  <c r="J1749" i="2"/>
  <c r="H1749" i="2"/>
  <c r="G1749" i="2"/>
  <c r="F1749" i="2"/>
  <c r="E1749" i="2"/>
  <c r="D1749" i="2"/>
  <c r="C1749" i="2"/>
  <c r="A1749" i="2"/>
  <c r="M1748" i="2"/>
  <c r="L1748" i="2"/>
  <c r="K1748" i="2"/>
  <c r="J1748" i="2"/>
  <c r="H1748" i="2"/>
  <c r="G1748" i="2"/>
  <c r="F1748" i="2"/>
  <c r="E1748" i="2"/>
  <c r="D1748" i="2"/>
  <c r="C1748" i="2"/>
  <c r="A1748" i="2"/>
  <c r="M1747" i="2"/>
  <c r="L1747" i="2"/>
  <c r="K1747" i="2"/>
  <c r="J1747" i="2"/>
  <c r="H1747" i="2"/>
  <c r="G1747" i="2"/>
  <c r="F1747" i="2"/>
  <c r="E1747" i="2"/>
  <c r="D1747" i="2"/>
  <c r="C1747" i="2"/>
  <c r="A1747" i="2"/>
  <c r="M1746" i="2"/>
  <c r="L1746" i="2"/>
  <c r="K1746" i="2"/>
  <c r="J1746" i="2"/>
  <c r="H1746" i="2"/>
  <c r="G1746" i="2"/>
  <c r="F1746" i="2"/>
  <c r="E1746" i="2"/>
  <c r="D1746" i="2"/>
  <c r="C1746" i="2"/>
  <c r="A1746" i="2"/>
  <c r="M1745" i="2"/>
  <c r="L1745" i="2"/>
  <c r="K1745" i="2"/>
  <c r="J1745" i="2"/>
  <c r="H1745" i="2"/>
  <c r="G1745" i="2"/>
  <c r="F1745" i="2"/>
  <c r="E1745" i="2"/>
  <c r="D1745" i="2"/>
  <c r="C1745" i="2"/>
  <c r="A1745" i="2"/>
  <c r="M1744" i="2"/>
  <c r="L1744" i="2"/>
  <c r="K1744" i="2"/>
  <c r="J1744" i="2"/>
  <c r="H1744" i="2"/>
  <c r="G1744" i="2"/>
  <c r="F1744" i="2"/>
  <c r="E1744" i="2"/>
  <c r="D1744" i="2"/>
  <c r="C1744" i="2"/>
  <c r="A1744" i="2"/>
  <c r="M1743" i="2"/>
  <c r="L1743" i="2"/>
  <c r="K1743" i="2"/>
  <c r="J1743" i="2"/>
  <c r="H1743" i="2"/>
  <c r="G1743" i="2"/>
  <c r="F1743" i="2"/>
  <c r="E1743" i="2"/>
  <c r="D1743" i="2"/>
  <c r="C1743" i="2"/>
  <c r="A1743" i="2"/>
  <c r="M1742" i="2"/>
  <c r="L1742" i="2"/>
  <c r="K1742" i="2"/>
  <c r="J1742" i="2"/>
  <c r="H1742" i="2"/>
  <c r="G1742" i="2"/>
  <c r="F1742" i="2"/>
  <c r="E1742" i="2"/>
  <c r="D1742" i="2"/>
  <c r="C1742" i="2"/>
  <c r="A1742" i="2"/>
  <c r="M1741" i="2"/>
  <c r="L1741" i="2"/>
  <c r="K1741" i="2"/>
  <c r="J1741" i="2"/>
  <c r="H1741" i="2"/>
  <c r="G1741" i="2"/>
  <c r="F1741" i="2"/>
  <c r="E1741" i="2"/>
  <c r="D1741" i="2"/>
  <c r="C1741" i="2"/>
  <c r="A1741" i="2"/>
  <c r="M1740" i="2"/>
  <c r="L1740" i="2"/>
  <c r="K1740" i="2"/>
  <c r="J1740" i="2"/>
  <c r="H1740" i="2"/>
  <c r="G1740" i="2"/>
  <c r="F1740" i="2"/>
  <c r="E1740" i="2"/>
  <c r="D1740" i="2"/>
  <c r="C1740" i="2"/>
  <c r="A1740" i="2"/>
  <c r="M1739" i="2"/>
  <c r="L1739" i="2"/>
  <c r="K1739" i="2"/>
  <c r="J1739" i="2"/>
  <c r="H1739" i="2"/>
  <c r="G1739" i="2"/>
  <c r="F1739" i="2"/>
  <c r="E1739" i="2"/>
  <c r="D1739" i="2"/>
  <c r="C1739" i="2"/>
  <c r="A1739" i="2"/>
  <c r="M1738" i="2"/>
  <c r="L1738" i="2"/>
  <c r="K1738" i="2"/>
  <c r="J1738" i="2"/>
  <c r="H1738" i="2"/>
  <c r="G1738" i="2"/>
  <c r="F1738" i="2"/>
  <c r="E1738" i="2"/>
  <c r="D1738" i="2"/>
  <c r="C1738" i="2"/>
  <c r="A1738" i="2"/>
  <c r="M1737" i="2"/>
  <c r="L1737" i="2"/>
  <c r="K1737" i="2"/>
  <c r="J1737" i="2"/>
  <c r="H1737" i="2"/>
  <c r="G1737" i="2"/>
  <c r="F1737" i="2"/>
  <c r="E1737" i="2"/>
  <c r="D1737" i="2"/>
  <c r="C1737" i="2"/>
  <c r="A1737" i="2"/>
  <c r="M1736" i="2"/>
  <c r="L1736" i="2"/>
  <c r="K1736" i="2"/>
  <c r="J1736" i="2"/>
  <c r="H1736" i="2"/>
  <c r="G1736" i="2"/>
  <c r="F1736" i="2"/>
  <c r="E1736" i="2"/>
  <c r="D1736" i="2"/>
  <c r="C1736" i="2"/>
  <c r="A1736" i="2"/>
  <c r="M1735" i="2"/>
  <c r="L1735" i="2"/>
  <c r="K1735" i="2"/>
  <c r="J1735" i="2"/>
  <c r="H1735" i="2"/>
  <c r="G1735" i="2"/>
  <c r="F1735" i="2"/>
  <c r="E1735" i="2"/>
  <c r="D1735" i="2"/>
  <c r="C1735" i="2"/>
  <c r="A1735" i="2"/>
  <c r="M1734" i="2"/>
  <c r="L1734" i="2"/>
  <c r="K1734" i="2"/>
  <c r="J1734" i="2"/>
  <c r="H1734" i="2"/>
  <c r="G1734" i="2"/>
  <c r="F1734" i="2"/>
  <c r="E1734" i="2"/>
  <c r="D1734" i="2"/>
  <c r="C1734" i="2"/>
  <c r="A1734" i="2"/>
  <c r="M1733" i="2"/>
  <c r="L1733" i="2"/>
  <c r="K1733" i="2"/>
  <c r="J1733" i="2"/>
  <c r="H1733" i="2"/>
  <c r="G1733" i="2"/>
  <c r="F1733" i="2"/>
  <c r="E1733" i="2"/>
  <c r="D1733" i="2"/>
  <c r="C1733" i="2"/>
  <c r="A1733" i="2"/>
  <c r="M1732" i="2"/>
  <c r="L1732" i="2"/>
  <c r="K1732" i="2"/>
  <c r="J1732" i="2"/>
  <c r="H1732" i="2"/>
  <c r="G1732" i="2"/>
  <c r="F1732" i="2"/>
  <c r="E1732" i="2"/>
  <c r="D1732" i="2"/>
  <c r="C1732" i="2"/>
  <c r="A1732" i="2"/>
  <c r="M1731" i="2"/>
  <c r="L1731" i="2"/>
  <c r="K1731" i="2"/>
  <c r="J1731" i="2"/>
  <c r="H1731" i="2"/>
  <c r="G1731" i="2"/>
  <c r="F1731" i="2"/>
  <c r="E1731" i="2"/>
  <c r="D1731" i="2"/>
  <c r="C1731" i="2"/>
  <c r="A1731" i="2"/>
  <c r="M1730" i="2"/>
  <c r="L1730" i="2"/>
  <c r="K1730" i="2"/>
  <c r="J1730" i="2"/>
  <c r="H1730" i="2"/>
  <c r="G1730" i="2"/>
  <c r="F1730" i="2"/>
  <c r="E1730" i="2"/>
  <c r="D1730" i="2"/>
  <c r="C1730" i="2"/>
  <c r="A1730" i="2"/>
  <c r="M1729" i="2"/>
  <c r="L1729" i="2"/>
  <c r="K1729" i="2"/>
  <c r="J1729" i="2"/>
  <c r="H1729" i="2"/>
  <c r="G1729" i="2"/>
  <c r="F1729" i="2"/>
  <c r="E1729" i="2"/>
  <c r="D1729" i="2"/>
  <c r="C1729" i="2"/>
  <c r="A1729" i="2"/>
  <c r="M1728" i="2"/>
  <c r="L1728" i="2"/>
  <c r="K1728" i="2"/>
  <c r="J1728" i="2"/>
  <c r="H1728" i="2"/>
  <c r="G1728" i="2"/>
  <c r="F1728" i="2"/>
  <c r="E1728" i="2"/>
  <c r="D1728" i="2"/>
  <c r="C1728" i="2"/>
  <c r="A1728" i="2"/>
  <c r="M1727" i="2"/>
  <c r="L1727" i="2"/>
  <c r="K1727" i="2"/>
  <c r="J1727" i="2"/>
  <c r="H1727" i="2"/>
  <c r="G1727" i="2"/>
  <c r="F1727" i="2"/>
  <c r="E1727" i="2"/>
  <c r="D1727" i="2"/>
  <c r="C1727" i="2"/>
  <c r="A1727" i="2"/>
  <c r="M1726" i="2"/>
  <c r="L1726" i="2"/>
  <c r="K1726" i="2"/>
  <c r="J1726" i="2"/>
  <c r="H1726" i="2"/>
  <c r="G1726" i="2"/>
  <c r="F1726" i="2"/>
  <c r="E1726" i="2"/>
  <c r="D1726" i="2"/>
  <c r="C1726" i="2"/>
  <c r="A1726" i="2"/>
  <c r="M1725" i="2"/>
  <c r="L1725" i="2"/>
  <c r="K1725" i="2"/>
  <c r="J1725" i="2"/>
  <c r="H1725" i="2"/>
  <c r="G1725" i="2"/>
  <c r="F1725" i="2"/>
  <c r="E1725" i="2"/>
  <c r="D1725" i="2"/>
  <c r="C1725" i="2"/>
  <c r="A1725" i="2"/>
  <c r="M1724" i="2"/>
  <c r="L1724" i="2"/>
  <c r="K1724" i="2"/>
  <c r="J1724" i="2"/>
  <c r="H1724" i="2"/>
  <c r="G1724" i="2"/>
  <c r="F1724" i="2"/>
  <c r="E1724" i="2"/>
  <c r="D1724" i="2"/>
  <c r="C1724" i="2"/>
  <c r="A1724" i="2"/>
  <c r="M1723" i="2"/>
  <c r="L1723" i="2"/>
  <c r="K1723" i="2"/>
  <c r="J1723" i="2"/>
  <c r="H1723" i="2"/>
  <c r="G1723" i="2"/>
  <c r="F1723" i="2"/>
  <c r="E1723" i="2"/>
  <c r="D1723" i="2"/>
  <c r="C1723" i="2"/>
  <c r="A1723" i="2"/>
  <c r="M1722" i="2"/>
  <c r="L1722" i="2"/>
  <c r="K1722" i="2"/>
  <c r="J1722" i="2"/>
  <c r="H1722" i="2"/>
  <c r="G1722" i="2"/>
  <c r="F1722" i="2"/>
  <c r="E1722" i="2"/>
  <c r="D1722" i="2"/>
  <c r="C1722" i="2"/>
  <c r="A1722" i="2"/>
  <c r="M1721" i="2"/>
  <c r="L1721" i="2"/>
  <c r="K1721" i="2"/>
  <c r="J1721" i="2"/>
  <c r="H1721" i="2"/>
  <c r="G1721" i="2"/>
  <c r="F1721" i="2"/>
  <c r="E1721" i="2"/>
  <c r="D1721" i="2"/>
  <c r="C1721" i="2"/>
  <c r="A1721" i="2"/>
  <c r="M1720" i="2"/>
  <c r="L1720" i="2"/>
  <c r="K1720" i="2"/>
  <c r="J1720" i="2"/>
  <c r="H1720" i="2"/>
  <c r="G1720" i="2"/>
  <c r="F1720" i="2"/>
  <c r="E1720" i="2"/>
  <c r="D1720" i="2"/>
  <c r="C1720" i="2"/>
  <c r="A1720" i="2"/>
  <c r="M1719" i="2"/>
  <c r="L1719" i="2"/>
  <c r="K1719" i="2"/>
  <c r="J1719" i="2"/>
  <c r="H1719" i="2"/>
  <c r="G1719" i="2"/>
  <c r="F1719" i="2"/>
  <c r="E1719" i="2"/>
  <c r="D1719" i="2"/>
  <c r="C1719" i="2"/>
  <c r="A1719" i="2"/>
  <c r="M1718" i="2"/>
  <c r="L1718" i="2"/>
  <c r="K1718" i="2"/>
  <c r="J1718" i="2"/>
  <c r="H1718" i="2"/>
  <c r="G1718" i="2"/>
  <c r="F1718" i="2"/>
  <c r="E1718" i="2"/>
  <c r="D1718" i="2"/>
  <c r="C1718" i="2"/>
  <c r="A1718" i="2"/>
  <c r="M1717" i="2"/>
  <c r="L1717" i="2"/>
  <c r="K1717" i="2"/>
  <c r="J1717" i="2"/>
  <c r="H1717" i="2"/>
  <c r="G1717" i="2"/>
  <c r="F1717" i="2"/>
  <c r="E1717" i="2"/>
  <c r="D1717" i="2"/>
  <c r="C1717" i="2"/>
  <c r="A1717" i="2"/>
  <c r="M1716" i="2"/>
  <c r="L1716" i="2"/>
  <c r="K1716" i="2"/>
  <c r="J1716" i="2"/>
  <c r="H1716" i="2"/>
  <c r="G1716" i="2"/>
  <c r="F1716" i="2"/>
  <c r="E1716" i="2"/>
  <c r="D1716" i="2"/>
  <c r="C1716" i="2"/>
  <c r="A1716" i="2"/>
  <c r="M1715" i="2"/>
  <c r="L1715" i="2"/>
  <c r="K1715" i="2"/>
  <c r="J1715" i="2"/>
  <c r="H1715" i="2"/>
  <c r="G1715" i="2"/>
  <c r="F1715" i="2"/>
  <c r="E1715" i="2"/>
  <c r="D1715" i="2"/>
  <c r="C1715" i="2"/>
  <c r="A1715" i="2"/>
  <c r="M1714" i="2"/>
  <c r="L1714" i="2"/>
  <c r="K1714" i="2"/>
  <c r="J1714" i="2"/>
  <c r="H1714" i="2"/>
  <c r="G1714" i="2"/>
  <c r="F1714" i="2"/>
  <c r="E1714" i="2"/>
  <c r="D1714" i="2"/>
  <c r="C1714" i="2"/>
  <c r="A1714" i="2"/>
  <c r="M1713" i="2"/>
  <c r="L1713" i="2"/>
  <c r="K1713" i="2"/>
  <c r="J1713" i="2"/>
  <c r="H1713" i="2"/>
  <c r="G1713" i="2"/>
  <c r="F1713" i="2"/>
  <c r="E1713" i="2"/>
  <c r="D1713" i="2"/>
  <c r="C1713" i="2"/>
  <c r="A1713" i="2"/>
  <c r="M1712" i="2"/>
  <c r="L1712" i="2"/>
  <c r="K1712" i="2"/>
  <c r="J1712" i="2"/>
  <c r="H1712" i="2"/>
  <c r="G1712" i="2"/>
  <c r="F1712" i="2"/>
  <c r="E1712" i="2"/>
  <c r="D1712" i="2"/>
  <c r="C1712" i="2"/>
  <c r="A1712" i="2"/>
  <c r="M1711" i="2"/>
  <c r="L1711" i="2"/>
  <c r="K1711" i="2"/>
  <c r="J1711" i="2"/>
  <c r="H1711" i="2"/>
  <c r="G1711" i="2"/>
  <c r="F1711" i="2"/>
  <c r="E1711" i="2"/>
  <c r="D1711" i="2"/>
  <c r="C1711" i="2"/>
  <c r="A1711" i="2"/>
  <c r="M1710" i="2"/>
  <c r="L1710" i="2"/>
  <c r="K1710" i="2"/>
  <c r="J1710" i="2"/>
  <c r="H1710" i="2"/>
  <c r="G1710" i="2"/>
  <c r="F1710" i="2"/>
  <c r="E1710" i="2"/>
  <c r="D1710" i="2"/>
  <c r="C1710" i="2"/>
  <c r="A1710" i="2"/>
  <c r="M1709" i="2"/>
  <c r="L1709" i="2"/>
  <c r="K1709" i="2"/>
  <c r="J1709" i="2"/>
  <c r="H1709" i="2"/>
  <c r="G1709" i="2"/>
  <c r="F1709" i="2"/>
  <c r="E1709" i="2"/>
  <c r="D1709" i="2"/>
  <c r="C1709" i="2"/>
  <c r="A1709" i="2"/>
  <c r="M1708" i="2"/>
  <c r="L1708" i="2"/>
  <c r="K1708" i="2"/>
  <c r="J1708" i="2"/>
  <c r="H1708" i="2"/>
  <c r="G1708" i="2"/>
  <c r="F1708" i="2"/>
  <c r="E1708" i="2"/>
  <c r="D1708" i="2"/>
  <c r="C1708" i="2"/>
  <c r="A1708" i="2"/>
  <c r="M1707" i="2"/>
  <c r="L1707" i="2"/>
  <c r="K1707" i="2"/>
  <c r="J1707" i="2"/>
  <c r="H1707" i="2"/>
  <c r="G1707" i="2"/>
  <c r="F1707" i="2"/>
  <c r="E1707" i="2"/>
  <c r="D1707" i="2"/>
  <c r="C1707" i="2"/>
  <c r="A1707" i="2"/>
  <c r="M1706" i="2"/>
  <c r="L1706" i="2"/>
  <c r="K1706" i="2"/>
  <c r="J1706" i="2"/>
  <c r="H1706" i="2"/>
  <c r="G1706" i="2"/>
  <c r="F1706" i="2"/>
  <c r="E1706" i="2"/>
  <c r="D1706" i="2"/>
  <c r="C1706" i="2"/>
  <c r="A1706" i="2"/>
  <c r="M1705" i="2"/>
  <c r="L1705" i="2"/>
  <c r="K1705" i="2"/>
  <c r="J1705" i="2"/>
  <c r="H1705" i="2"/>
  <c r="G1705" i="2"/>
  <c r="F1705" i="2"/>
  <c r="E1705" i="2"/>
  <c r="D1705" i="2"/>
  <c r="C1705" i="2"/>
  <c r="A1705" i="2"/>
  <c r="M1704" i="2"/>
  <c r="L1704" i="2"/>
  <c r="K1704" i="2"/>
  <c r="J1704" i="2"/>
  <c r="H1704" i="2"/>
  <c r="G1704" i="2"/>
  <c r="F1704" i="2"/>
  <c r="E1704" i="2"/>
  <c r="D1704" i="2"/>
  <c r="C1704" i="2"/>
  <c r="A1704" i="2"/>
  <c r="M1703" i="2"/>
  <c r="L1703" i="2"/>
  <c r="K1703" i="2"/>
  <c r="J1703" i="2"/>
  <c r="H1703" i="2"/>
  <c r="G1703" i="2"/>
  <c r="F1703" i="2"/>
  <c r="E1703" i="2"/>
  <c r="D1703" i="2"/>
  <c r="C1703" i="2"/>
  <c r="A1703" i="2"/>
  <c r="M1702" i="2"/>
  <c r="L1702" i="2"/>
  <c r="K1702" i="2"/>
  <c r="J1702" i="2"/>
  <c r="H1702" i="2"/>
  <c r="G1702" i="2"/>
  <c r="F1702" i="2"/>
  <c r="E1702" i="2"/>
  <c r="D1702" i="2"/>
  <c r="C1702" i="2"/>
  <c r="A1702" i="2"/>
  <c r="M1701" i="2"/>
  <c r="L1701" i="2"/>
  <c r="K1701" i="2"/>
  <c r="J1701" i="2"/>
  <c r="H1701" i="2"/>
  <c r="G1701" i="2"/>
  <c r="F1701" i="2"/>
  <c r="E1701" i="2"/>
  <c r="D1701" i="2"/>
  <c r="C1701" i="2"/>
  <c r="A1701" i="2"/>
  <c r="M1700" i="2"/>
  <c r="L1700" i="2"/>
  <c r="K1700" i="2"/>
  <c r="J1700" i="2"/>
  <c r="H1700" i="2"/>
  <c r="G1700" i="2"/>
  <c r="F1700" i="2"/>
  <c r="E1700" i="2"/>
  <c r="D1700" i="2"/>
  <c r="C1700" i="2"/>
  <c r="A1700" i="2"/>
  <c r="M1699" i="2"/>
  <c r="L1699" i="2"/>
  <c r="K1699" i="2"/>
  <c r="J1699" i="2"/>
  <c r="H1699" i="2"/>
  <c r="G1699" i="2"/>
  <c r="F1699" i="2"/>
  <c r="E1699" i="2"/>
  <c r="D1699" i="2"/>
  <c r="C1699" i="2"/>
  <c r="A1699" i="2"/>
  <c r="M1698" i="2"/>
  <c r="L1698" i="2"/>
  <c r="K1698" i="2"/>
  <c r="J1698" i="2"/>
  <c r="H1698" i="2"/>
  <c r="G1698" i="2"/>
  <c r="F1698" i="2"/>
  <c r="E1698" i="2"/>
  <c r="D1698" i="2"/>
  <c r="C1698" i="2"/>
  <c r="A1698" i="2"/>
  <c r="M1697" i="2"/>
  <c r="L1697" i="2"/>
  <c r="K1697" i="2"/>
  <c r="J1697" i="2"/>
  <c r="H1697" i="2"/>
  <c r="G1697" i="2"/>
  <c r="F1697" i="2"/>
  <c r="E1697" i="2"/>
  <c r="D1697" i="2"/>
  <c r="C1697" i="2"/>
  <c r="A1697" i="2"/>
  <c r="M1696" i="2"/>
  <c r="L1696" i="2"/>
  <c r="K1696" i="2"/>
  <c r="J1696" i="2"/>
  <c r="H1696" i="2"/>
  <c r="G1696" i="2"/>
  <c r="F1696" i="2"/>
  <c r="E1696" i="2"/>
  <c r="D1696" i="2"/>
  <c r="C1696" i="2"/>
  <c r="A1696" i="2"/>
  <c r="M1695" i="2"/>
  <c r="L1695" i="2"/>
  <c r="K1695" i="2"/>
  <c r="J1695" i="2"/>
  <c r="H1695" i="2"/>
  <c r="G1695" i="2"/>
  <c r="F1695" i="2"/>
  <c r="E1695" i="2"/>
  <c r="D1695" i="2"/>
  <c r="C1695" i="2"/>
  <c r="A1695" i="2"/>
  <c r="M1694" i="2"/>
  <c r="L1694" i="2"/>
  <c r="K1694" i="2"/>
  <c r="J1694" i="2"/>
  <c r="H1694" i="2"/>
  <c r="G1694" i="2"/>
  <c r="F1694" i="2"/>
  <c r="E1694" i="2"/>
  <c r="D1694" i="2"/>
  <c r="C1694" i="2"/>
  <c r="A1694" i="2"/>
  <c r="M1693" i="2"/>
  <c r="L1693" i="2"/>
  <c r="K1693" i="2"/>
  <c r="J1693" i="2"/>
  <c r="H1693" i="2"/>
  <c r="G1693" i="2"/>
  <c r="F1693" i="2"/>
  <c r="E1693" i="2"/>
  <c r="D1693" i="2"/>
  <c r="C1693" i="2"/>
  <c r="A1693" i="2"/>
  <c r="M1692" i="2"/>
  <c r="L1692" i="2"/>
  <c r="K1692" i="2"/>
  <c r="J1692" i="2"/>
  <c r="H1692" i="2"/>
  <c r="G1692" i="2"/>
  <c r="F1692" i="2"/>
  <c r="E1692" i="2"/>
  <c r="D1692" i="2"/>
  <c r="C1692" i="2"/>
  <c r="A1692" i="2"/>
  <c r="M1691" i="2"/>
  <c r="L1691" i="2"/>
  <c r="K1691" i="2"/>
  <c r="J1691" i="2"/>
  <c r="H1691" i="2"/>
  <c r="G1691" i="2"/>
  <c r="F1691" i="2"/>
  <c r="E1691" i="2"/>
  <c r="D1691" i="2"/>
  <c r="C1691" i="2"/>
  <c r="A1691" i="2"/>
  <c r="M1690" i="2"/>
  <c r="L1690" i="2"/>
  <c r="K1690" i="2"/>
  <c r="J1690" i="2"/>
  <c r="H1690" i="2"/>
  <c r="G1690" i="2"/>
  <c r="F1690" i="2"/>
  <c r="E1690" i="2"/>
  <c r="D1690" i="2"/>
  <c r="C1690" i="2"/>
  <c r="A1690" i="2"/>
  <c r="M1689" i="2"/>
  <c r="L1689" i="2"/>
  <c r="K1689" i="2"/>
  <c r="J1689" i="2"/>
  <c r="H1689" i="2"/>
  <c r="G1689" i="2"/>
  <c r="F1689" i="2"/>
  <c r="E1689" i="2"/>
  <c r="D1689" i="2"/>
  <c r="C1689" i="2"/>
  <c r="A1689" i="2"/>
  <c r="M1688" i="2"/>
  <c r="L1688" i="2"/>
  <c r="K1688" i="2"/>
  <c r="J1688" i="2"/>
  <c r="H1688" i="2"/>
  <c r="G1688" i="2"/>
  <c r="F1688" i="2"/>
  <c r="E1688" i="2"/>
  <c r="D1688" i="2"/>
  <c r="C1688" i="2"/>
  <c r="A1688" i="2"/>
  <c r="M1687" i="2"/>
  <c r="L1687" i="2"/>
  <c r="K1687" i="2"/>
  <c r="J1687" i="2"/>
  <c r="H1687" i="2"/>
  <c r="G1687" i="2"/>
  <c r="F1687" i="2"/>
  <c r="E1687" i="2"/>
  <c r="D1687" i="2"/>
  <c r="C1687" i="2"/>
  <c r="A1687" i="2"/>
  <c r="M1686" i="2"/>
  <c r="L1686" i="2"/>
  <c r="K1686" i="2"/>
  <c r="J1686" i="2"/>
  <c r="H1686" i="2"/>
  <c r="G1686" i="2"/>
  <c r="E1686" i="2"/>
  <c r="D1686" i="2"/>
  <c r="C1686" i="2"/>
  <c r="A1686" i="2"/>
  <c r="M1685" i="2"/>
  <c r="L1685" i="2"/>
  <c r="K1685" i="2"/>
  <c r="J1685" i="2"/>
  <c r="H1685" i="2"/>
  <c r="G1685" i="2"/>
  <c r="F1685" i="2"/>
  <c r="E1685" i="2"/>
  <c r="D1685" i="2"/>
  <c r="C1685" i="2"/>
  <c r="A1685" i="2"/>
  <c r="M1684" i="2"/>
  <c r="L1684" i="2"/>
  <c r="K1684" i="2"/>
  <c r="J1684" i="2"/>
  <c r="H1684" i="2"/>
  <c r="G1684" i="2"/>
  <c r="F1684" i="2"/>
  <c r="E1684" i="2"/>
  <c r="D1684" i="2"/>
  <c r="C1684" i="2"/>
  <c r="A1684" i="2"/>
  <c r="M1683" i="2"/>
  <c r="L1683" i="2"/>
  <c r="K1683" i="2"/>
  <c r="J1683" i="2"/>
  <c r="H1683" i="2"/>
  <c r="G1683" i="2"/>
  <c r="F1683" i="2"/>
  <c r="E1683" i="2"/>
  <c r="D1683" i="2"/>
  <c r="C1683" i="2"/>
  <c r="A1683" i="2"/>
  <c r="M1682" i="2"/>
  <c r="L1682" i="2"/>
  <c r="K1682" i="2"/>
  <c r="J1682" i="2"/>
  <c r="H1682" i="2"/>
  <c r="G1682" i="2"/>
  <c r="F1682" i="2"/>
  <c r="E1682" i="2"/>
  <c r="D1682" i="2"/>
  <c r="C1682" i="2"/>
  <c r="A1682" i="2"/>
  <c r="M1681" i="2"/>
  <c r="L1681" i="2"/>
  <c r="K1681" i="2"/>
  <c r="J1681" i="2"/>
  <c r="H1681" i="2"/>
  <c r="G1681" i="2"/>
  <c r="F1681" i="2"/>
  <c r="E1681" i="2"/>
  <c r="D1681" i="2"/>
  <c r="C1681" i="2"/>
  <c r="A1681" i="2"/>
  <c r="M1680" i="2"/>
  <c r="L1680" i="2"/>
  <c r="K1680" i="2"/>
  <c r="J1680" i="2"/>
  <c r="H1680" i="2"/>
  <c r="G1680" i="2"/>
  <c r="F1680" i="2"/>
  <c r="E1680" i="2"/>
  <c r="D1680" i="2"/>
  <c r="C1680" i="2"/>
  <c r="A1680" i="2"/>
  <c r="M1679" i="2"/>
  <c r="L1679" i="2"/>
  <c r="K1679" i="2"/>
  <c r="J1679" i="2"/>
  <c r="H1679" i="2"/>
  <c r="G1679" i="2"/>
  <c r="F1679" i="2"/>
  <c r="E1679" i="2"/>
  <c r="D1679" i="2"/>
  <c r="C1679" i="2"/>
  <c r="A1679" i="2"/>
  <c r="M1678" i="2"/>
  <c r="L1678" i="2"/>
  <c r="K1678" i="2"/>
  <c r="J1678" i="2"/>
  <c r="H1678" i="2"/>
  <c r="G1678" i="2"/>
  <c r="F1678" i="2"/>
  <c r="E1678" i="2"/>
  <c r="D1678" i="2"/>
  <c r="C1678" i="2"/>
  <c r="A1678" i="2"/>
  <c r="M1677" i="2"/>
  <c r="L1677" i="2"/>
  <c r="K1677" i="2"/>
  <c r="J1677" i="2"/>
  <c r="H1677" i="2"/>
  <c r="G1677" i="2"/>
  <c r="F1677" i="2"/>
  <c r="E1677" i="2"/>
  <c r="D1677" i="2"/>
  <c r="C1677" i="2"/>
  <c r="A1677" i="2"/>
  <c r="M1676" i="2"/>
  <c r="L1676" i="2"/>
  <c r="K1676" i="2"/>
  <c r="J1676" i="2"/>
  <c r="H1676" i="2"/>
  <c r="G1676" i="2"/>
  <c r="F1676" i="2"/>
  <c r="E1676" i="2"/>
  <c r="D1676" i="2"/>
  <c r="C1676" i="2"/>
  <c r="A1676" i="2"/>
  <c r="M1675" i="2"/>
  <c r="L1675" i="2"/>
  <c r="K1675" i="2"/>
  <c r="J1675" i="2"/>
  <c r="H1675" i="2"/>
  <c r="G1675" i="2"/>
  <c r="F1675" i="2"/>
  <c r="E1675" i="2"/>
  <c r="D1675" i="2"/>
  <c r="C1675" i="2"/>
  <c r="A1675" i="2"/>
  <c r="M1674" i="2"/>
  <c r="L1674" i="2"/>
  <c r="K1674" i="2"/>
  <c r="J1674" i="2"/>
  <c r="H1674" i="2"/>
  <c r="G1674" i="2"/>
  <c r="F1674" i="2"/>
  <c r="E1674" i="2"/>
  <c r="D1674" i="2"/>
  <c r="C1674" i="2"/>
  <c r="A1674" i="2"/>
  <c r="M1673" i="2"/>
  <c r="L1673" i="2"/>
  <c r="K1673" i="2"/>
  <c r="J1673" i="2"/>
  <c r="H1673" i="2"/>
  <c r="G1673" i="2"/>
  <c r="F1673" i="2"/>
  <c r="E1673" i="2"/>
  <c r="D1673" i="2"/>
  <c r="C1673" i="2"/>
  <c r="A1673" i="2"/>
  <c r="M1672" i="2"/>
  <c r="L1672" i="2"/>
  <c r="K1672" i="2"/>
  <c r="J1672" i="2"/>
  <c r="H1672" i="2"/>
  <c r="G1672" i="2"/>
  <c r="F1672" i="2"/>
  <c r="E1672" i="2"/>
  <c r="D1672" i="2"/>
  <c r="C1672" i="2"/>
  <c r="A1672" i="2"/>
  <c r="M1671" i="2"/>
  <c r="L1671" i="2"/>
  <c r="K1671" i="2"/>
  <c r="J1671" i="2"/>
  <c r="H1671" i="2"/>
  <c r="G1671" i="2"/>
  <c r="F1671" i="2"/>
  <c r="E1671" i="2"/>
  <c r="D1671" i="2"/>
  <c r="C1671" i="2"/>
  <c r="A1671" i="2"/>
  <c r="M1670" i="2"/>
  <c r="L1670" i="2"/>
  <c r="K1670" i="2"/>
  <c r="J1670" i="2"/>
  <c r="H1670" i="2"/>
  <c r="G1670" i="2"/>
  <c r="F1670" i="2"/>
  <c r="E1670" i="2"/>
  <c r="D1670" i="2"/>
  <c r="C1670" i="2"/>
  <c r="A1670" i="2"/>
  <c r="M1669" i="2"/>
  <c r="L1669" i="2"/>
  <c r="K1669" i="2"/>
  <c r="J1669" i="2"/>
  <c r="H1669" i="2"/>
  <c r="G1669" i="2"/>
  <c r="F1669" i="2"/>
  <c r="E1669" i="2"/>
  <c r="D1669" i="2"/>
  <c r="C1669" i="2"/>
  <c r="A1669" i="2"/>
  <c r="M1668" i="2"/>
  <c r="L1668" i="2"/>
  <c r="K1668" i="2"/>
  <c r="J1668" i="2"/>
  <c r="H1668" i="2"/>
  <c r="G1668" i="2"/>
  <c r="F1668" i="2"/>
  <c r="E1668" i="2"/>
  <c r="D1668" i="2"/>
  <c r="C1668" i="2"/>
  <c r="A1668" i="2"/>
  <c r="M1667" i="2"/>
  <c r="L1667" i="2"/>
  <c r="K1667" i="2"/>
  <c r="J1667" i="2"/>
  <c r="H1667" i="2"/>
  <c r="G1667" i="2"/>
  <c r="F1667" i="2"/>
  <c r="E1667" i="2"/>
  <c r="D1667" i="2"/>
  <c r="C1667" i="2"/>
  <c r="A1667" i="2"/>
  <c r="M1666" i="2"/>
  <c r="L1666" i="2"/>
  <c r="K1666" i="2"/>
  <c r="J1666" i="2"/>
  <c r="H1666" i="2"/>
  <c r="G1666" i="2"/>
  <c r="F1666" i="2"/>
  <c r="E1666" i="2"/>
  <c r="D1666" i="2"/>
  <c r="C1666" i="2"/>
  <c r="A1666" i="2"/>
  <c r="M1665" i="2"/>
  <c r="L1665" i="2"/>
  <c r="K1665" i="2"/>
  <c r="J1665" i="2"/>
  <c r="H1665" i="2"/>
  <c r="G1665" i="2"/>
  <c r="F1665" i="2"/>
  <c r="E1665" i="2"/>
  <c r="D1665" i="2"/>
  <c r="C1665" i="2"/>
  <c r="A1665" i="2"/>
  <c r="M1664" i="2"/>
  <c r="L1664" i="2"/>
  <c r="K1664" i="2"/>
  <c r="J1664" i="2"/>
  <c r="H1664" i="2"/>
  <c r="G1664" i="2"/>
  <c r="F1664" i="2"/>
  <c r="E1664" i="2"/>
  <c r="D1664" i="2"/>
  <c r="C1664" i="2"/>
  <c r="A1664" i="2"/>
  <c r="M1663" i="2"/>
  <c r="L1663" i="2"/>
  <c r="K1663" i="2"/>
  <c r="J1663" i="2"/>
  <c r="H1663" i="2"/>
  <c r="G1663" i="2"/>
  <c r="F1663" i="2"/>
  <c r="E1663" i="2"/>
  <c r="D1663" i="2"/>
  <c r="C1663" i="2"/>
  <c r="A1663" i="2"/>
  <c r="M1662" i="2"/>
  <c r="L1662" i="2"/>
  <c r="K1662" i="2"/>
  <c r="J1662" i="2"/>
  <c r="H1662" i="2"/>
  <c r="G1662" i="2"/>
  <c r="F1662" i="2"/>
  <c r="E1662" i="2"/>
  <c r="D1662" i="2"/>
  <c r="C1662" i="2"/>
  <c r="A1662" i="2"/>
  <c r="M1661" i="2"/>
  <c r="L1661" i="2"/>
  <c r="K1661" i="2"/>
  <c r="J1661" i="2"/>
  <c r="H1661" i="2"/>
  <c r="G1661" i="2"/>
  <c r="F1661" i="2"/>
  <c r="E1661" i="2"/>
  <c r="D1661" i="2"/>
  <c r="C1661" i="2"/>
  <c r="A1661" i="2"/>
  <c r="M1660" i="2"/>
  <c r="L1660" i="2"/>
  <c r="K1660" i="2"/>
  <c r="J1660" i="2"/>
  <c r="H1660" i="2"/>
  <c r="G1660" i="2"/>
  <c r="F1660" i="2"/>
  <c r="E1660" i="2"/>
  <c r="D1660" i="2"/>
  <c r="C1660" i="2"/>
  <c r="A1660" i="2"/>
  <c r="M1659" i="2"/>
  <c r="L1659" i="2"/>
  <c r="K1659" i="2"/>
  <c r="J1659" i="2"/>
  <c r="H1659" i="2"/>
  <c r="G1659" i="2"/>
  <c r="F1659" i="2"/>
  <c r="E1659" i="2"/>
  <c r="D1659" i="2"/>
  <c r="C1659" i="2"/>
  <c r="A1659" i="2"/>
  <c r="M1658" i="2"/>
  <c r="L1658" i="2"/>
  <c r="K1658" i="2"/>
  <c r="J1658" i="2"/>
  <c r="H1658" i="2"/>
  <c r="G1658" i="2"/>
  <c r="F1658" i="2"/>
  <c r="E1658" i="2"/>
  <c r="D1658" i="2"/>
  <c r="C1658" i="2"/>
  <c r="A1658" i="2"/>
  <c r="M1657" i="2"/>
  <c r="L1657" i="2"/>
  <c r="K1657" i="2"/>
  <c r="J1657" i="2"/>
  <c r="H1657" i="2"/>
  <c r="G1657" i="2"/>
  <c r="F1657" i="2"/>
  <c r="E1657" i="2"/>
  <c r="D1657" i="2"/>
  <c r="C1657" i="2"/>
  <c r="A1657" i="2"/>
  <c r="M1656" i="2"/>
  <c r="L1656" i="2"/>
  <c r="K1656" i="2"/>
  <c r="J1656" i="2"/>
  <c r="H1656" i="2"/>
  <c r="G1656" i="2"/>
  <c r="F1656" i="2"/>
  <c r="E1656" i="2"/>
  <c r="D1656" i="2"/>
  <c r="C1656" i="2"/>
  <c r="A1656" i="2"/>
  <c r="M1655" i="2"/>
  <c r="L1655" i="2"/>
  <c r="K1655" i="2"/>
  <c r="J1655" i="2"/>
  <c r="H1655" i="2"/>
  <c r="G1655" i="2"/>
  <c r="F1655" i="2"/>
  <c r="E1655" i="2"/>
  <c r="D1655" i="2"/>
  <c r="C1655" i="2"/>
  <c r="A1655" i="2"/>
  <c r="M1654" i="2"/>
  <c r="L1654" i="2"/>
  <c r="K1654" i="2"/>
  <c r="J1654" i="2"/>
  <c r="H1654" i="2"/>
  <c r="G1654" i="2"/>
  <c r="F1654" i="2"/>
  <c r="E1654" i="2"/>
  <c r="D1654" i="2"/>
  <c r="C1654" i="2"/>
  <c r="A1654" i="2"/>
  <c r="M1653" i="2"/>
  <c r="L1653" i="2"/>
  <c r="K1653" i="2"/>
  <c r="J1653" i="2"/>
  <c r="H1653" i="2"/>
  <c r="G1653" i="2"/>
  <c r="F1653" i="2"/>
  <c r="E1653" i="2"/>
  <c r="D1653" i="2"/>
  <c r="C1653" i="2"/>
  <c r="A1653" i="2"/>
  <c r="M1652" i="2"/>
  <c r="L1652" i="2"/>
  <c r="K1652" i="2"/>
  <c r="J1652" i="2"/>
  <c r="H1652" i="2"/>
  <c r="G1652" i="2"/>
  <c r="E1652" i="2"/>
  <c r="D1652" i="2"/>
  <c r="C1652" i="2"/>
  <c r="A1652" i="2"/>
  <c r="M1651" i="2"/>
  <c r="L1651" i="2"/>
  <c r="K1651" i="2"/>
  <c r="J1651" i="2"/>
  <c r="H1651" i="2"/>
  <c r="G1651" i="2"/>
  <c r="F1651" i="2"/>
  <c r="E1651" i="2"/>
  <c r="D1651" i="2"/>
  <c r="C1651" i="2"/>
  <c r="A1651" i="2"/>
  <c r="M1650" i="2"/>
  <c r="L1650" i="2"/>
  <c r="K1650" i="2"/>
  <c r="J1650" i="2"/>
  <c r="H1650" i="2"/>
  <c r="G1650" i="2"/>
  <c r="F1650" i="2"/>
  <c r="E1650" i="2"/>
  <c r="D1650" i="2"/>
  <c r="C1650" i="2"/>
  <c r="A1650" i="2"/>
  <c r="M1649" i="2"/>
  <c r="L1649" i="2"/>
  <c r="K1649" i="2"/>
  <c r="J1649" i="2"/>
  <c r="H1649" i="2"/>
  <c r="G1649" i="2"/>
  <c r="F1649" i="2"/>
  <c r="E1649" i="2"/>
  <c r="D1649" i="2"/>
  <c r="C1649" i="2"/>
  <c r="A1649" i="2"/>
  <c r="M1648" i="2"/>
  <c r="L1648" i="2"/>
  <c r="K1648" i="2"/>
  <c r="J1648" i="2"/>
  <c r="H1648" i="2"/>
  <c r="G1648" i="2"/>
  <c r="F1648" i="2"/>
  <c r="E1648" i="2"/>
  <c r="D1648" i="2"/>
  <c r="C1648" i="2"/>
  <c r="A1648" i="2"/>
  <c r="M1647" i="2"/>
  <c r="L1647" i="2"/>
  <c r="K1647" i="2"/>
  <c r="J1647" i="2"/>
  <c r="H1647" i="2"/>
  <c r="G1647" i="2"/>
  <c r="F1647" i="2"/>
  <c r="E1647" i="2"/>
  <c r="D1647" i="2"/>
  <c r="C1647" i="2"/>
  <c r="A1647" i="2"/>
  <c r="M1646" i="2"/>
  <c r="L1646" i="2"/>
  <c r="K1646" i="2"/>
  <c r="J1646" i="2"/>
  <c r="H1646" i="2"/>
  <c r="G1646" i="2"/>
  <c r="F1646" i="2"/>
  <c r="E1646" i="2"/>
  <c r="D1646" i="2"/>
  <c r="C1646" i="2"/>
  <c r="A1646" i="2"/>
  <c r="M1645" i="2"/>
  <c r="L1645" i="2"/>
  <c r="K1645" i="2"/>
  <c r="J1645" i="2"/>
  <c r="H1645" i="2"/>
  <c r="G1645" i="2"/>
  <c r="F1645" i="2"/>
  <c r="E1645" i="2"/>
  <c r="D1645" i="2"/>
  <c r="C1645" i="2"/>
  <c r="A1645" i="2"/>
  <c r="M1644" i="2"/>
  <c r="L1644" i="2"/>
  <c r="K1644" i="2"/>
  <c r="J1644" i="2"/>
  <c r="H1644" i="2"/>
  <c r="G1644" i="2"/>
  <c r="F1644" i="2"/>
  <c r="E1644" i="2"/>
  <c r="D1644" i="2"/>
  <c r="C1644" i="2"/>
  <c r="A1644" i="2"/>
  <c r="M1643" i="2"/>
  <c r="L1643" i="2"/>
  <c r="K1643" i="2"/>
  <c r="J1643" i="2"/>
  <c r="H1643" i="2"/>
  <c r="G1643" i="2"/>
  <c r="F1643" i="2"/>
  <c r="E1643" i="2"/>
  <c r="D1643" i="2"/>
  <c r="C1643" i="2"/>
  <c r="A1643" i="2"/>
  <c r="M1642" i="2"/>
  <c r="L1642" i="2"/>
  <c r="K1642" i="2"/>
  <c r="J1642" i="2"/>
  <c r="H1642" i="2"/>
  <c r="G1642" i="2"/>
  <c r="F1642" i="2"/>
  <c r="E1642" i="2"/>
  <c r="D1642" i="2"/>
  <c r="C1642" i="2"/>
  <c r="A1642" i="2"/>
  <c r="M1641" i="2"/>
  <c r="L1641" i="2"/>
  <c r="K1641" i="2"/>
  <c r="J1641" i="2"/>
  <c r="H1641" i="2"/>
  <c r="G1641" i="2"/>
  <c r="F1641" i="2"/>
  <c r="E1641" i="2"/>
  <c r="D1641" i="2"/>
  <c r="C1641" i="2"/>
  <c r="A1641" i="2"/>
  <c r="M1640" i="2"/>
  <c r="L1640" i="2"/>
  <c r="K1640" i="2"/>
  <c r="J1640" i="2"/>
  <c r="H1640" i="2"/>
  <c r="G1640" i="2"/>
  <c r="F1640" i="2"/>
  <c r="E1640" i="2"/>
  <c r="D1640" i="2"/>
  <c r="C1640" i="2"/>
  <c r="A1640" i="2"/>
  <c r="M1639" i="2"/>
  <c r="L1639" i="2"/>
  <c r="K1639" i="2"/>
  <c r="J1639" i="2"/>
  <c r="H1639" i="2"/>
  <c r="G1639" i="2"/>
  <c r="F1639" i="2"/>
  <c r="E1639" i="2"/>
  <c r="D1639" i="2"/>
  <c r="C1639" i="2"/>
  <c r="A1639" i="2"/>
  <c r="M1638" i="2"/>
  <c r="L1638" i="2"/>
  <c r="K1638" i="2"/>
  <c r="J1638" i="2"/>
  <c r="H1638" i="2"/>
  <c r="G1638" i="2"/>
  <c r="F1638" i="2"/>
  <c r="E1638" i="2"/>
  <c r="D1638" i="2"/>
  <c r="C1638" i="2"/>
  <c r="A1638" i="2"/>
  <c r="M1637" i="2"/>
  <c r="L1637" i="2"/>
  <c r="K1637" i="2"/>
  <c r="J1637" i="2"/>
  <c r="H1637" i="2"/>
  <c r="G1637" i="2"/>
  <c r="F1637" i="2"/>
  <c r="E1637" i="2"/>
  <c r="D1637" i="2"/>
  <c r="C1637" i="2"/>
  <c r="A1637" i="2"/>
  <c r="M1636" i="2"/>
  <c r="L1636" i="2"/>
  <c r="K1636" i="2"/>
  <c r="J1636" i="2"/>
  <c r="H1636" i="2"/>
  <c r="G1636" i="2"/>
  <c r="F1636" i="2"/>
  <c r="E1636" i="2"/>
  <c r="D1636" i="2"/>
  <c r="C1636" i="2"/>
  <c r="A1636" i="2"/>
  <c r="M1635" i="2"/>
  <c r="L1635" i="2"/>
  <c r="K1635" i="2"/>
  <c r="J1635" i="2"/>
  <c r="H1635" i="2"/>
  <c r="G1635" i="2"/>
  <c r="F1635" i="2"/>
  <c r="E1635" i="2"/>
  <c r="D1635" i="2"/>
  <c r="C1635" i="2"/>
  <c r="A1635" i="2"/>
  <c r="M1634" i="2"/>
  <c r="L1634" i="2"/>
  <c r="K1634" i="2"/>
  <c r="J1634" i="2"/>
  <c r="H1634" i="2"/>
  <c r="G1634" i="2"/>
  <c r="F1634" i="2"/>
  <c r="E1634" i="2"/>
  <c r="D1634" i="2"/>
  <c r="C1634" i="2"/>
  <c r="A1634" i="2"/>
  <c r="M1633" i="2"/>
  <c r="L1633" i="2"/>
  <c r="K1633" i="2"/>
  <c r="J1633" i="2"/>
  <c r="H1633" i="2"/>
  <c r="G1633" i="2"/>
  <c r="F1633" i="2"/>
  <c r="E1633" i="2"/>
  <c r="D1633" i="2"/>
  <c r="C1633" i="2"/>
  <c r="A1633" i="2"/>
  <c r="M1632" i="2"/>
  <c r="L1632" i="2"/>
  <c r="K1632" i="2"/>
  <c r="J1632" i="2"/>
  <c r="H1632" i="2"/>
  <c r="G1632" i="2"/>
  <c r="F1632" i="2"/>
  <c r="E1632" i="2"/>
  <c r="D1632" i="2"/>
  <c r="C1632" i="2"/>
  <c r="A1632" i="2"/>
  <c r="M1631" i="2"/>
  <c r="L1631" i="2"/>
  <c r="K1631" i="2"/>
  <c r="J1631" i="2"/>
  <c r="H1631" i="2"/>
  <c r="G1631" i="2"/>
  <c r="F1631" i="2"/>
  <c r="E1631" i="2"/>
  <c r="D1631" i="2"/>
  <c r="C1631" i="2"/>
  <c r="A1631" i="2"/>
  <c r="M1630" i="2"/>
  <c r="L1630" i="2"/>
  <c r="K1630" i="2"/>
  <c r="J1630" i="2"/>
  <c r="H1630" i="2"/>
  <c r="G1630" i="2"/>
  <c r="F1630" i="2"/>
  <c r="E1630" i="2"/>
  <c r="D1630" i="2"/>
  <c r="C1630" i="2"/>
  <c r="A1630" i="2"/>
  <c r="M1629" i="2"/>
  <c r="L1629" i="2"/>
  <c r="K1629" i="2"/>
  <c r="J1629" i="2"/>
  <c r="H1629" i="2"/>
  <c r="G1629" i="2"/>
  <c r="F1629" i="2"/>
  <c r="E1629" i="2"/>
  <c r="D1629" i="2"/>
  <c r="C1629" i="2"/>
  <c r="A1629" i="2"/>
  <c r="M1628" i="2"/>
  <c r="L1628" i="2"/>
  <c r="K1628" i="2"/>
  <c r="J1628" i="2"/>
  <c r="H1628" i="2"/>
  <c r="G1628" i="2"/>
  <c r="F1628" i="2"/>
  <c r="E1628" i="2"/>
  <c r="D1628" i="2"/>
  <c r="C1628" i="2"/>
  <c r="A1628" i="2"/>
  <c r="M1627" i="2"/>
  <c r="L1627" i="2"/>
  <c r="K1627" i="2"/>
  <c r="J1627" i="2"/>
  <c r="H1627" i="2"/>
  <c r="G1627" i="2"/>
  <c r="F1627" i="2"/>
  <c r="E1627" i="2"/>
  <c r="D1627" i="2"/>
  <c r="C1627" i="2"/>
  <c r="A1627" i="2"/>
  <c r="M1626" i="2"/>
  <c r="L1626" i="2"/>
  <c r="K1626" i="2"/>
  <c r="J1626" i="2"/>
  <c r="H1626" i="2"/>
  <c r="G1626" i="2"/>
  <c r="F1626" i="2"/>
  <c r="E1626" i="2"/>
  <c r="D1626" i="2"/>
  <c r="C1626" i="2"/>
  <c r="A1626" i="2"/>
  <c r="M1625" i="2"/>
  <c r="L1625" i="2"/>
  <c r="K1625" i="2"/>
  <c r="J1625" i="2"/>
  <c r="H1625" i="2"/>
  <c r="G1625" i="2"/>
  <c r="F1625" i="2"/>
  <c r="E1625" i="2"/>
  <c r="D1625" i="2"/>
  <c r="C1625" i="2"/>
  <c r="A1625" i="2"/>
  <c r="M1624" i="2"/>
  <c r="L1624" i="2"/>
  <c r="K1624" i="2"/>
  <c r="J1624" i="2"/>
  <c r="H1624" i="2"/>
  <c r="G1624" i="2"/>
  <c r="F1624" i="2"/>
  <c r="E1624" i="2"/>
  <c r="D1624" i="2"/>
  <c r="C1624" i="2"/>
  <c r="A1624" i="2"/>
  <c r="M1623" i="2"/>
  <c r="L1623" i="2"/>
  <c r="K1623" i="2"/>
  <c r="J1623" i="2"/>
  <c r="H1623" i="2"/>
  <c r="G1623" i="2"/>
  <c r="F1623" i="2"/>
  <c r="E1623" i="2"/>
  <c r="D1623" i="2"/>
  <c r="C1623" i="2"/>
  <c r="A1623" i="2"/>
  <c r="M1622" i="2"/>
  <c r="L1622" i="2"/>
  <c r="K1622" i="2"/>
  <c r="J1622" i="2"/>
  <c r="H1622" i="2"/>
  <c r="G1622" i="2"/>
  <c r="F1622" i="2"/>
  <c r="E1622" i="2"/>
  <c r="D1622" i="2"/>
  <c r="C1622" i="2"/>
  <c r="A1622" i="2"/>
  <c r="M1621" i="2"/>
  <c r="L1621" i="2"/>
  <c r="K1621" i="2"/>
  <c r="J1621" i="2"/>
  <c r="H1621" i="2"/>
  <c r="G1621" i="2"/>
  <c r="F1621" i="2"/>
  <c r="E1621" i="2"/>
  <c r="D1621" i="2"/>
  <c r="C1621" i="2"/>
  <c r="A1621" i="2"/>
  <c r="M1620" i="2"/>
  <c r="L1620" i="2"/>
  <c r="K1620" i="2"/>
  <c r="J1620" i="2"/>
  <c r="H1620" i="2"/>
  <c r="G1620" i="2"/>
  <c r="F1620" i="2"/>
  <c r="E1620" i="2"/>
  <c r="D1620" i="2"/>
  <c r="C1620" i="2"/>
  <c r="A1620" i="2"/>
  <c r="M1619" i="2"/>
  <c r="L1619" i="2"/>
  <c r="K1619" i="2"/>
  <c r="J1619" i="2"/>
  <c r="H1619" i="2"/>
  <c r="G1619" i="2"/>
  <c r="F1619" i="2"/>
  <c r="E1619" i="2"/>
  <c r="D1619" i="2"/>
  <c r="C1619" i="2"/>
  <c r="A1619" i="2"/>
  <c r="M1618" i="2"/>
  <c r="L1618" i="2"/>
  <c r="K1618" i="2"/>
  <c r="J1618" i="2"/>
  <c r="H1618" i="2"/>
  <c r="G1618" i="2"/>
  <c r="F1618" i="2"/>
  <c r="E1618" i="2"/>
  <c r="D1618" i="2"/>
  <c r="C1618" i="2"/>
  <c r="A1618" i="2"/>
  <c r="M1617" i="2"/>
  <c r="L1617" i="2"/>
  <c r="K1617" i="2"/>
  <c r="J1617" i="2"/>
  <c r="H1617" i="2"/>
  <c r="G1617" i="2"/>
  <c r="F1617" i="2"/>
  <c r="E1617" i="2"/>
  <c r="D1617" i="2"/>
  <c r="C1617" i="2"/>
  <c r="A1617" i="2"/>
  <c r="M1616" i="2"/>
  <c r="L1616" i="2"/>
  <c r="K1616" i="2"/>
  <c r="J1616" i="2"/>
  <c r="H1616" i="2"/>
  <c r="G1616" i="2"/>
  <c r="F1616" i="2"/>
  <c r="E1616" i="2"/>
  <c r="D1616" i="2"/>
  <c r="C1616" i="2"/>
  <c r="A1616" i="2"/>
  <c r="M1615" i="2"/>
  <c r="L1615" i="2"/>
  <c r="K1615" i="2"/>
  <c r="J1615" i="2"/>
  <c r="H1615" i="2"/>
  <c r="G1615" i="2"/>
  <c r="F1615" i="2"/>
  <c r="E1615" i="2"/>
  <c r="D1615" i="2"/>
  <c r="C1615" i="2"/>
  <c r="A1615" i="2"/>
  <c r="M1614" i="2"/>
  <c r="L1614" i="2"/>
  <c r="K1614" i="2"/>
  <c r="J1614" i="2"/>
  <c r="H1614" i="2"/>
  <c r="G1614" i="2"/>
  <c r="F1614" i="2"/>
  <c r="E1614" i="2"/>
  <c r="D1614" i="2"/>
  <c r="C1614" i="2"/>
  <c r="A1614" i="2"/>
  <c r="M1613" i="2"/>
  <c r="L1613" i="2"/>
  <c r="K1613" i="2"/>
  <c r="J1613" i="2"/>
  <c r="H1613" i="2"/>
  <c r="G1613" i="2"/>
  <c r="F1613" i="2"/>
  <c r="E1613" i="2"/>
  <c r="D1613" i="2"/>
  <c r="C1613" i="2"/>
  <c r="A1613" i="2"/>
  <c r="M1612" i="2"/>
  <c r="L1612" i="2"/>
  <c r="K1612" i="2"/>
  <c r="J1612" i="2"/>
  <c r="H1612" i="2"/>
  <c r="G1612" i="2"/>
  <c r="F1612" i="2"/>
  <c r="E1612" i="2"/>
  <c r="D1612" i="2"/>
  <c r="C1612" i="2"/>
  <c r="A1612" i="2"/>
  <c r="M1611" i="2"/>
  <c r="L1611" i="2"/>
  <c r="K1611" i="2"/>
  <c r="J1611" i="2"/>
  <c r="H1611" i="2"/>
  <c r="G1611" i="2"/>
  <c r="F1611" i="2"/>
  <c r="E1611" i="2"/>
  <c r="D1611" i="2"/>
  <c r="C1611" i="2"/>
  <c r="A1611" i="2"/>
  <c r="M1610" i="2"/>
  <c r="L1610" i="2"/>
  <c r="K1610" i="2"/>
  <c r="J1610" i="2"/>
  <c r="H1610" i="2"/>
  <c r="G1610" i="2"/>
  <c r="F1610" i="2"/>
  <c r="E1610" i="2"/>
  <c r="D1610" i="2"/>
  <c r="C1610" i="2"/>
  <c r="A1610" i="2"/>
  <c r="M1609" i="2"/>
  <c r="L1609" i="2"/>
  <c r="K1609" i="2"/>
  <c r="J1609" i="2"/>
  <c r="H1609" i="2"/>
  <c r="G1609" i="2"/>
  <c r="F1609" i="2"/>
  <c r="E1609" i="2"/>
  <c r="D1609" i="2"/>
  <c r="C1609" i="2"/>
  <c r="A1609" i="2"/>
  <c r="M1608" i="2"/>
  <c r="L1608" i="2"/>
  <c r="K1608" i="2"/>
  <c r="J1608" i="2"/>
  <c r="H1608" i="2"/>
  <c r="G1608" i="2"/>
  <c r="F1608" i="2"/>
  <c r="E1608" i="2"/>
  <c r="D1608" i="2"/>
  <c r="C1608" i="2"/>
  <c r="A1608" i="2"/>
  <c r="M1607" i="2"/>
  <c r="L1607" i="2"/>
  <c r="K1607" i="2"/>
  <c r="J1607" i="2"/>
  <c r="H1607" i="2"/>
  <c r="G1607" i="2"/>
  <c r="F1607" i="2"/>
  <c r="E1607" i="2"/>
  <c r="D1607" i="2"/>
  <c r="C1607" i="2"/>
  <c r="A1607" i="2"/>
  <c r="M1606" i="2"/>
  <c r="L1606" i="2"/>
  <c r="K1606" i="2"/>
  <c r="J1606" i="2"/>
  <c r="H1606" i="2"/>
  <c r="G1606" i="2"/>
  <c r="F1606" i="2"/>
  <c r="E1606" i="2"/>
  <c r="D1606" i="2"/>
  <c r="C1606" i="2"/>
  <c r="A1606" i="2"/>
  <c r="M1605" i="2"/>
  <c r="L1605" i="2"/>
  <c r="K1605" i="2"/>
  <c r="J1605" i="2"/>
  <c r="H1605" i="2"/>
  <c r="G1605" i="2"/>
  <c r="F1605" i="2"/>
  <c r="E1605" i="2"/>
  <c r="D1605" i="2"/>
  <c r="C1605" i="2"/>
  <c r="A1605" i="2"/>
  <c r="M1604" i="2"/>
  <c r="L1604" i="2"/>
  <c r="K1604" i="2"/>
  <c r="J1604" i="2"/>
  <c r="H1604" i="2"/>
  <c r="G1604" i="2"/>
  <c r="F1604" i="2"/>
  <c r="E1604" i="2"/>
  <c r="D1604" i="2"/>
  <c r="C1604" i="2"/>
  <c r="A1604" i="2"/>
  <c r="M1603" i="2"/>
  <c r="L1603" i="2"/>
  <c r="K1603" i="2"/>
  <c r="J1603" i="2"/>
  <c r="H1603" i="2"/>
  <c r="G1603" i="2"/>
  <c r="F1603" i="2"/>
  <c r="E1603" i="2"/>
  <c r="D1603" i="2"/>
  <c r="C1603" i="2"/>
  <c r="A1603" i="2"/>
  <c r="M1602" i="2"/>
  <c r="L1602" i="2"/>
  <c r="K1602" i="2"/>
  <c r="J1602" i="2"/>
  <c r="H1602" i="2"/>
  <c r="G1602" i="2"/>
  <c r="F1602" i="2"/>
  <c r="E1602" i="2"/>
  <c r="D1602" i="2"/>
  <c r="C1602" i="2"/>
  <c r="A1602" i="2"/>
  <c r="M1601" i="2"/>
  <c r="L1601" i="2"/>
  <c r="K1601" i="2"/>
  <c r="J1601" i="2"/>
  <c r="H1601" i="2"/>
  <c r="G1601" i="2"/>
  <c r="F1601" i="2"/>
  <c r="E1601" i="2"/>
  <c r="D1601" i="2"/>
  <c r="C1601" i="2"/>
  <c r="A1601" i="2"/>
  <c r="M1600" i="2"/>
  <c r="L1600" i="2"/>
  <c r="K1600" i="2"/>
  <c r="J1600" i="2"/>
  <c r="H1600" i="2"/>
  <c r="G1600" i="2"/>
  <c r="F1600" i="2"/>
  <c r="E1600" i="2"/>
  <c r="D1600" i="2"/>
  <c r="C1600" i="2"/>
  <c r="A1600" i="2"/>
  <c r="M1599" i="2"/>
  <c r="L1599" i="2"/>
  <c r="K1599" i="2"/>
  <c r="J1599" i="2"/>
  <c r="H1599" i="2"/>
  <c r="G1599" i="2"/>
  <c r="F1599" i="2"/>
  <c r="E1599" i="2"/>
  <c r="D1599" i="2"/>
  <c r="C1599" i="2"/>
  <c r="A1599" i="2"/>
  <c r="M1598" i="2"/>
  <c r="L1598" i="2"/>
  <c r="K1598" i="2"/>
  <c r="J1598" i="2"/>
  <c r="H1598" i="2"/>
  <c r="G1598" i="2"/>
  <c r="F1598" i="2"/>
  <c r="E1598" i="2"/>
  <c r="D1598" i="2"/>
  <c r="C1598" i="2"/>
  <c r="A1598" i="2"/>
  <c r="M1597" i="2"/>
  <c r="L1597" i="2"/>
  <c r="K1597" i="2"/>
  <c r="J1597" i="2"/>
  <c r="H1597" i="2"/>
  <c r="G1597" i="2"/>
  <c r="F1597" i="2"/>
  <c r="E1597" i="2"/>
  <c r="D1597" i="2"/>
  <c r="C1597" i="2"/>
  <c r="A1597" i="2"/>
  <c r="M1596" i="2"/>
  <c r="L1596" i="2"/>
  <c r="K1596" i="2"/>
  <c r="J1596" i="2"/>
  <c r="H1596" i="2"/>
  <c r="G1596" i="2"/>
  <c r="E1596" i="2"/>
  <c r="D1596" i="2"/>
  <c r="C1596" i="2"/>
  <c r="A1596" i="2"/>
  <c r="M1595" i="2"/>
  <c r="L1595" i="2"/>
  <c r="K1595" i="2"/>
  <c r="J1595" i="2"/>
  <c r="H1595" i="2"/>
  <c r="G1595" i="2"/>
  <c r="F1595" i="2"/>
  <c r="E1595" i="2"/>
  <c r="D1595" i="2"/>
  <c r="C1595" i="2"/>
  <c r="A1595" i="2"/>
  <c r="M1594" i="2"/>
  <c r="L1594" i="2"/>
  <c r="K1594" i="2"/>
  <c r="J1594" i="2"/>
  <c r="H1594" i="2"/>
  <c r="G1594" i="2"/>
  <c r="F1594" i="2"/>
  <c r="E1594" i="2"/>
  <c r="D1594" i="2"/>
  <c r="C1594" i="2"/>
  <c r="A1594" i="2"/>
  <c r="M1593" i="2"/>
  <c r="L1593" i="2"/>
  <c r="K1593" i="2"/>
  <c r="J1593" i="2"/>
  <c r="H1593" i="2"/>
  <c r="G1593" i="2"/>
  <c r="F1593" i="2"/>
  <c r="E1593" i="2"/>
  <c r="D1593" i="2"/>
  <c r="C1593" i="2"/>
  <c r="A1593" i="2"/>
  <c r="M1592" i="2"/>
  <c r="L1592" i="2"/>
  <c r="K1592" i="2"/>
  <c r="J1592" i="2"/>
  <c r="H1592" i="2"/>
  <c r="G1592" i="2"/>
  <c r="F1592" i="2"/>
  <c r="E1592" i="2"/>
  <c r="D1592" i="2"/>
  <c r="C1592" i="2"/>
  <c r="A1592" i="2"/>
  <c r="M1591" i="2"/>
  <c r="L1591" i="2"/>
  <c r="K1591" i="2"/>
  <c r="J1591" i="2"/>
  <c r="H1591" i="2"/>
  <c r="G1591" i="2"/>
  <c r="F1591" i="2"/>
  <c r="E1591" i="2"/>
  <c r="D1591" i="2"/>
  <c r="C1591" i="2"/>
  <c r="A1591" i="2"/>
  <c r="M1590" i="2"/>
  <c r="L1590" i="2"/>
  <c r="K1590" i="2"/>
  <c r="J1590" i="2"/>
  <c r="H1590" i="2"/>
  <c r="G1590" i="2"/>
  <c r="F1590" i="2"/>
  <c r="E1590" i="2"/>
  <c r="D1590" i="2"/>
  <c r="C1590" i="2"/>
  <c r="A1590" i="2"/>
  <c r="M1589" i="2"/>
  <c r="L1589" i="2"/>
  <c r="K1589" i="2"/>
  <c r="J1589" i="2"/>
  <c r="H1589" i="2"/>
  <c r="G1589" i="2"/>
  <c r="F1589" i="2"/>
  <c r="E1589" i="2"/>
  <c r="D1589" i="2"/>
  <c r="C1589" i="2"/>
  <c r="A1589" i="2"/>
  <c r="M1588" i="2"/>
  <c r="L1588" i="2"/>
  <c r="K1588" i="2"/>
  <c r="J1588" i="2"/>
  <c r="H1588" i="2"/>
  <c r="G1588" i="2"/>
  <c r="F1588" i="2"/>
  <c r="E1588" i="2"/>
  <c r="D1588" i="2"/>
  <c r="C1588" i="2"/>
  <c r="A1588" i="2"/>
  <c r="M1587" i="2"/>
  <c r="L1587" i="2"/>
  <c r="K1587" i="2"/>
  <c r="J1587" i="2"/>
  <c r="H1587" i="2"/>
  <c r="G1587" i="2"/>
  <c r="F1587" i="2"/>
  <c r="E1587" i="2"/>
  <c r="D1587" i="2"/>
  <c r="C1587" i="2"/>
  <c r="A1587" i="2"/>
  <c r="M1586" i="2"/>
  <c r="L1586" i="2"/>
  <c r="K1586" i="2"/>
  <c r="J1586" i="2"/>
  <c r="H1586" i="2"/>
  <c r="G1586" i="2"/>
  <c r="F1586" i="2"/>
  <c r="E1586" i="2"/>
  <c r="D1586" i="2"/>
  <c r="C1586" i="2"/>
  <c r="A1586" i="2"/>
  <c r="M1585" i="2"/>
  <c r="L1585" i="2"/>
  <c r="K1585" i="2"/>
  <c r="J1585" i="2"/>
  <c r="H1585" i="2"/>
  <c r="G1585" i="2"/>
  <c r="F1585" i="2"/>
  <c r="E1585" i="2"/>
  <c r="D1585" i="2"/>
  <c r="C1585" i="2"/>
  <c r="A1585" i="2"/>
  <c r="M1584" i="2"/>
  <c r="L1584" i="2"/>
  <c r="K1584" i="2"/>
  <c r="J1584" i="2"/>
  <c r="H1584" i="2"/>
  <c r="G1584" i="2"/>
  <c r="F1584" i="2"/>
  <c r="E1584" i="2"/>
  <c r="D1584" i="2"/>
  <c r="C1584" i="2"/>
  <c r="A1584" i="2"/>
  <c r="M1583" i="2"/>
  <c r="L1583" i="2"/>
  <c r="K1583" i="2"/>
  <c r="J1583" i="2"/>
  <c r="H1583" i="2"/>
  <c r="G1583" i="2"/>
  <c r="F1583" i="2"/>
  <c r="E1583" i="2"/>
  <c r="D1583" i="2"/>
  <c r="C1583" i="2"/>
  <c r="A1583" i="2"/>
  <c r="M1582" i="2"/>
  <c r="L1582" i="2"/>
  <c r="K1582" i="2"/>
  <c r="J1582" i="2"/>
  <c r="H1582" i="2"/>
  <c r="G1582" i="2"/>
  <c r="F1582" i="2"/>
  <c r="E1582" i="2"/>
  <c r="D1582" i="2"/>
  <c r="C1582" i="2"/>
  <c r="A1582" i="2"/>
  <c r="M1581" i="2"/>
  <c r="L1581" i="2"/>
  <c r="K1581" i="2"/>
  <c r="J1581" i="2"/>
  <c r="H1581" i="2"/>
  <c r="G1581" i="2"/>
  <c r="F1581" i="2"/>
  <c r="E1581" i="2"/>
  <c r="D1581" i="2"/>
  <c r="C1581" i="2"/>
  <c r="A1581" i="2"/>
  <c r="M1580" i="2"/>
  <c r="L1580" i="2"/>
  <c r="K1580" i="2"/>
  <c r="J1580" i="2"/>
  <c r="H1580" i="2"/>
  <c r="G1580" i="2"/>
  <c r="E1580" i="2"/>
  <c r="D1580" i="2"/>
  <c r="C1580" i="2"/>
  <c r="A1580" i="2"/>
  <c r="M1579" i="2"/>
  <c r="L1579" i="2"/>
  <c r="K1579" i="2"/>
  <c r="J1579" i="2"/>
  <c r="H1579" i="2"/>
  <c r="G1579" i="2"/>
  <c r="F1579" i="2"/>
  <c r="E1579" i="2"/>
  <c r="D1579" i="2"/>
  <c r="C1579" i="2"/>
  <c r="A1579" i="2"/>
  <c r="M1578" i="2"/>
  <c r="L1578" i="2"/>
  <c r="K1578" i="2"/>
  <c r="J1578" i="2"/>
  <c r="H1578" i="2"/>
  <c r="G1578" i="2"/>
  <c r="F1578" i="2"/>
  <c r="E1578" i="2"/>
  <c r="D1578" i="2"/>
  <c r="C1578" i="2"/>
  <c r="A1578" i="2"/>
  <c r="M1577" i="2"/>
  <c r="L1577" i="2"/>
  <c r="K1577" i="2"/>
  <c r="J1577" i="2"/>
  <c r="H1577" i="2"/>
  <c r="G1577" i="2"/>
  <c r="F1577" i="2"/>
  <c r="E1577" i="2"/>
  <c r="D1577" i="2"/>
  <c r="C1577" i="2"/>
  <c r="A1577" i="2"/>
  <c r="M1576" i="2"/>
  <c r="L1576" i="2"/>
  <c r="K1576" i="2"/>
  <c r="J1576" i="2"/>
  <c r="H1576" i="2"/>
  <c r="G1576" i="2"/>
  <c r="F1576" i="2"/>
  <c r="E1576" i="2"/>
  <c r="D1576" i="2"/>
  <c r="C1576" i="2"/>
  <c r="A1576" i="2"/>
  <c r="M1575" i="2"/>
  <c r="L1575" i="2"/>
  <c r="K1575" i="2"/>
  <c r="J1575" i="2"/>
  <c r="H1575" i="2"/>
  <c r="G1575" i="2"/>
  <c r="F1575" i="2"/>
  <c r="E1575" i="2"/>
  <c r="D1575" i="2"/>
  <c r="C1575" i="2"/>
  <c r="A1575" i="2"/>
  <c r="M1574" i="2"/>
  <c r="L1574" i="2"/>
  <c r="K1574" i="2"/>
  <c r="J1574" i="2"/>
  <c r="H1574" i="2"/>
  <c r="G1574" i="2"/>
  <c r="F1574" i="2"/>
  <c r="E1574" i="2"/>
  <c r="D1574" i="2"/>
  <c r="C1574" i="2"/>
  <c r="A1574" i="2"/>
  <c r="M1573" i="2"/>
  <c r="L1573" i="2"/>
  <c r="K1573" i="2"/>
  <c r="J1573" i="2"/>
  <c r="H1573" i="2"/>
  <c r="G1573" i="2"/>
  <c r="F1573" i="2"/>
  <c r="E1573" i="2"/>
  <c r="D1573" i="2"/>
  <c r="C1573" i="2"/>
  <c r="A1573" i="2"/>
  <c r="M1572" i="2"/>
  <c r="L1572" i="2"/>
  <c r="K1572" i="2"/>
  <c r="J1572" i="2"/>
  <c r="H1572" i="2"/>
  <c r="G1572" i="2"/>
  <c r="F1572" i="2"/>
  <c r="E1572" i="2"/>
  <c r="D1572" i="2"/>
  <c r="C1572" i="2"/>
  <c r="A1572" i="2"/>
  <c r="M1571" i="2"/>
  <c r="L1571" i="2"/>
  <c r="K1571" i="2"/>
  <c r="J1571" i="2"/>
  <c r="H1571" i="2"/>
  <c r="G1571" i="2"/>
  <c r="F1571" i="2"/>
  <c r="E1571" i="2"/>
  <c r="D1571" i="2"/>
  <c r="C1571" i="2"/>
  <c r="A1571" i="2"/>
  <c r="M1570" i="2"/>
  <c r="L1570" i="2"/>
  <c r="K1570" i="2"/>
  <c r="J1570" i="2"/>
  <c r="H1570" i="2"/>
  <c r="G1570" i="2"/>
  <c r="F1570" i="2"/>
  <c r="E1570" i="2"/>
  <c r="D1570" i="2"/>
  <c r="C1570" i="2"/>
  <c r="A1570" i="2"/>
  <c r="M1569" i="2"/>
  <c r="L1569" i="2"/>
  <c r="K1569" i="2"/>
  <c r="J1569" i="2"/>
  <c r="H1569" i="2"/>
  <c r="G1569" i="2"/>
  <c r="F1569" i="2"/>
  <c r="E1569" i="2"/>
  <c r="D1569" i="2"/>
  <c r="C1569" i="2"/>
  <c r="A1569" i="2"/>
  <c r="M1568" i="2"/>
  <c r="L1568" i="2"/>
  <c r="K1568" i="2"/>
  <c r="J1568" i="2"/>
  <c r="H1568" i="2"/>
  <c r="G1568" i="2"/>
  <c r="F1568" i="2"/>
  <c r="E1568" i="2"/>
  <c r="D1568" i="2"/>
  <c r="C1568" i="2"/>
  <c r="A1568" i="2"/>
  <c r="M1567" i="2"/>
  <c r="L1567" i="2"/>
  <c r="K1567" i="2"/>
  <c r="J1567" i="2"/>
  <c r="H1567" i="2"/>
  <c r="G1567" i="2"/>
  <c r="E1567" i="2"/>
  <c r="D1567" i="2"/>
  <c r="C1567" i="2"/>
  <c r="A1567" i="2"/>
  <c r="M1566" i="2"/>
  <c r="L1566" i="2"/>
  <c r="K1566" i="2"/>
  <c r="J1566" i="2"/>
  <c r="H1566" i="2"/>
  <c r="G1566" i="2"/>
  <c r="F1566" i="2"/>
  <c r="E1566" i="2"/>
  <c r="D1566" i="2"/>
  <c r="C1566" i="2"/>
  <c r="A1566" i="2"/>
  <c r="M1565" i="2"/>
  <c r="L1565" i="2"/>
  <c r="K1565" i="2"/>
  <c r="J1565" i="2"/>
  <c r="H1565" i="2"/>
  <c r="G1565" i="2"/>
  <c r="F1565" i="2"/>
  <c r="E1565" i="2"/>
  <c r="D1565" i="2"/>
  <c r="C1565" i="2"/>
  <c r="A1565" i="2"/>
  <c r="M1564" i="2"/>
  <c r="L1564" i="2"/>
  <c r="K1564" i="2"/>
  <c r="J1564" i="2"/>
  <c r="H1564" i="2"/>
  <c r="G1564" i="2"/>
  <c r="F1564" i="2"/>
  <c r="E1564" i="2"/>
  <c r="D1564" i="2"/>
  <c r="C1564" i="2"/>
  <c r="A1564" i="2"/>
  <c r="M1563" i="2"/>
  <c r="L1563" i="2"/>
  <c r="K1563" i="2"/>
  <c r="J1563" i="2"/>
  <c r="H1563" i="2"/>
  <c r="G1563" i="2"/>
  <c r="F1563" i="2"/>
  <c r="E1563" i="2"/>
  <c r="D1563" i="2"/>
  <c r="C1563" i="2"/>
  <c r="A1563" i="2"/>
  <c r="M1562" i="2"/>
  <c r="L1562" i="2"/>
  <c r="K1562" i="2"/>
  <c r="J1562" i="2"/>
  <c r="H1562" i="2"/>
  <c r="G1562" i="2"/>
  <c r="F1562" i="2"/>
  <c r="E1562" i="2"/>
  <c r="D1562" i="2"/>
  <c r="C1562" i="2"/>
  <c r="A1562" i="2"/>
  <c r="M1561" i="2"/>
  <c r="L1561" i="2"/>
  <c r="K1561" i="2"/>
  <c r="J1561" i="2"/>
  <c r="H1561" i="2"/>
  <c r="G1561" i="2"/>
  <c r="F1561" i="2"/>
  <c r="E1561" i="2"/>
  <c r="D1561" i="2"/>
  <c r="C1561" i="2"/>
  <c r="A1561" i="2"/>
  <c r="M1560" i="2"/>
  <c r="L1560" i="2"/>
  <c r="K1560" i="2"/>
  <c r="J1560" i="2"/>
  <c r="H1560" i="2"/>
  <c r="G1560" i="2"/>
  <c r="F1560" i="2"/>
  <c r="E1560" i="2"/>
  <c r="D1560" i="2"/>
  <c r="C1560" i="2"/>
  <c r="A1560" i="2"/>
  <c r="M1559" i="2"/>
  <c r="L1559" i="2"/>
  <c r="K1559" i="2"/>
  <c r="J1559" i="2"/>
  <c r="H1559" i="2"/>
  <c r="G1559" i="2"/>
  <c r="F1559" i="2"/>
  <c r="E1559" i="2"/>
  <c r="D1559" i="2"/>
  <c r="C1559" i="2"/>
  <c r="A1559" i="2"/>
  <c r="M1558" i="2"/>
  <c r="L1558" i="2"/>
  <c r="K1558" i="2"/>
  <c r="J1558" i="2"/>
  <c r="H1558" i="2"/>
  <c r="G1558" i="2"/>
  <c r="F1558" i="2"/>
  <c r="E1558" i="2"/>
  <c r="D1558" i="2"/>
  <c r="C1558" i="2"/>
  <c r="A1558" i="2"/>
  <c r="M1557" i="2"/>
  <c r="L1557" i="2"/>
  <c r="K1557" i="2"/>
  <c r="J1557" i="2"/>
  <c r="H1557" i="2"/>
  <c r="G1557" i="2"/>
  <c r="F1557" i="2"/>
  <c r="E1557" i="2"/>
  <c r="D1557" i="2"/>
  <c r="C1557" i="2"/>
  <c r="A1557" i="2"/>
  <c r="M1556" i="2"/>
  <c r="L1556" i="2"/>
  <c r="K1556" i="2"/>
  <c r="J1556" i="2"/>
  <c r="H1556" i="2"/>
  <c r="G1556" i="2"/>
  <c r="F1556" i="2"/>
  <c r="E1556" i="2"/>
  <c r="D1556" i="2"/>
  <c r="C1556" i="2"/>
  <c r="A1556" i="2"/>
  <c r="M1555" i="2"/>
  <c r="L1555" i="2"/>
  <c r="K1555" i="2"/>
  <c r="J1555" i="2"/>
  <c r="H1555" i="2"/>
  <c r="G1555" i="2"/>
  <c r="F1555" i="2"/>
  <c r="E1555" i="2"/>
  <c r="D1555" i="2"/>
  <c r="C1555" i="2"/>
  <c r="A1555" i="2"/>
  <c r="M1554" i="2"/>
  <c r="L1554" i="2"/>
  <c r="K1554" i="2"/>
  <c r="J1554" i="2"/>
  <c r="H1554" i="2"/>
  <c r="G1554" i="2"/>
  <c r="F1554" i="2"/>
  <c r="E1554" i="2"/>
  <c r="D1554" i="2"/>
  <c r="C1554" i="2"/>
  <c r="A1554" i="2"/>
  <c r="M1553" i="2"/>
  <c r="L1553" i="2"/>
  <c r="K1553" i="2"/>
  <c r="J1553" i="2"/>
  <c r="H1553" i="2"/>
  <c r="G1553" i="2"/>
  <c r="F1553" i="2"/>
  <c r="E1553" i="2"/>
  <c r="D1553" i="2"/>
  <c r="C1553" i="2"/>
  <c r="A1553" i="2"/>
  <c r="M1552" i="2"/>
  <c r="L1552" i="2"/>
  <c r="K1552" i="2"/>
  <c r="J1552" i="2"/>
  <c r="H1552" i="2"/>
  <c r="G1552" i="2"/>
  <c r="F1552" i="2"/>
  <c r="E1552" i="2"/>
  <c r="D1552" i="2"/>
  <c r="C1552" i="2"/>
  <c r="A1552" i="2"/>
  <c r="M1551" i="2"/>
  <c r="L1551" i="2"/>
  <c r="K1551" i="2"/>
  <c r="J1551" i="2"/>
  <c r="H1551" i="2"/>
  <c r="G1551" i="2"/>
  <c r="F1551" i="2"/>
  <c r="E1551" i="2"/>
  <c r="D1551" i="2"/>
  <c r="C1551" i="2"/>
  <c r="A1551" i="2"/>
  <c r="M1550" i="2"/>
  <c r="L1550" i="2"/>
  <c r="K1550" i="2"/>
  <c r="J1550" i="2"/>
  <c r="H1550" i="2"/>
  <c r="G1550" i="2"/>
  <c r="F1550" i="2"/>
  <c r="E1550" i="2"/>
  <c r="D1550" i="2"/>
  <c r="C1550" i="2"/>
  <c r="A1550" i="2"/>
  <c r="M1549" i="2"/>
  <c r="L1549" i="2"/>
  <c r="K1549" i="2"/>
  <c r="J1549" i="2"/>
  <c r="H1549" i="2"/>
  <c r="G1549" i="2"/>
  <c r="F1549" i="2"/>
  <c r="E1549" i="2"/>
  <c r="D1549" i="2"/>
  <c r="C1549" i="2"/>
  <c r="A1549" i="2"/>
  <c r="M1548" i="2"/>
  <c r="L1548" i="2"/>
  <c r="K1548" i="2"/>
  <c r="J1548" i="2"/>
  <c r="H1548" i="2"/>
  <c r="G1548" i="2"/>
  <c r="F1548" i="2"/>
  <c r="E1548" i="2"/>
  <c r="D1548" i="2"/>
  <c r="C1548" i="2"/>
  <c r="A1548" i="2"/>
  <c r="M1547" i="2"/>
  <c r="L1547" i="2"/>
  <c r="K1547" i="2"/>
  <c r="J1547" i="2"/>
  <c r="H1547" i="2"/>
  <c r="G1547" i="2"/>
  <c r="F1547" i="2"/>
  <c r="E1547" i="2"/>
  <c r="D1547" i="2"/>
  <c r="C1547" i="2"/>
  <c r="A1547" i="2"/>
  <c r="M1546" i="2"/>
  <c r="L1546" i="2"/>
  <c r="K1546" i="2"/>
  <c r="J1546" i="2"/>
  <c r="H1546" i="2"/>
  <c r="G1546" i="2"/>
  <c r="F1546" i="2"/>
  <c r="E1546" i="2"/>
  <c r="D1546" i="2"/>
  <c r="C1546" i="2"/>
  <c r="A1546" i="2"/>
  <c r="M1545" i="2"/>
  <c r="L1545" i="2"/>
  <c r="K1545" i="2"/>
  <c r="J1545" i="2"/>
  <c r="H1545" i="2"/>
  <c r="G1545" i="2"/>
  <c r="F1545" i="2"/>
  <c r="E1545" i="2"/>
  <c r="D1545" i="2"/>
  <c r="C1545" i="2"/>
  <c r="A1545" i="2"/>
  <c r="M1544" i="2"/>
  <c r="L1544" i="2"/>
  <c r="K1544" i="2"/>
  <c r="J1544" i="2"/>
  <c r="H1544" i="2"/>
  <c r="G1544" i="2"/>
  <c r="F1544" i="2"/>
  <c r="E1544" i="2"/>
  <c r="D1544" i="2"/>
  <c r="C1544" i="2"/>
  <c r="A1544" i="2"/>
  <c r="M1543" i="2"/>
  <c r="L1543" i="2"/>
  <c r="K1543" i="2"/>
  <c r="J1543" i="2"/>
  <c r="H1543" i="2"/>
  <c r="G1543" i="2"/>
  <c r="F1543" i="2"/>
  <c r="E1543" i="2"/>
  <c r="D1543" i="2"/>
  <c r="C1543" i="2"/>
  <c r="A1543" i="2"/>
  <c r="M1542" i="2"/>
  <c r="L1542" i="2"/>
  <c r="K1542" i="2"/>
  <c r="J1542" i="2"/>
  <c r="H1542" i="2"/>
  <c r="G1542" i="2"/>
  <c r="F1542" i="2"/>
  <c r="E1542" i="2"/>
  <c r="D1542" i="2"/>
  <c r="C1542" i="2"/>
  <c r="A1542" i="2"/>
  <c r="M1541" i="2"/>
  <c r="L1541" i="2"/>
  <c r="K1541" i="2"/>
  <c r="J1541" i="2"/>
  <c r="H1541" i="2"/>
  <c r="G1541" i="2"/>
  <c r="F1541" i="2"/>
  <c r="E1541" i="2"/>
  <c r="D1541" i="2"/>
  <c r="C1541" i="2"/>
  <c r="A1541" i="2"/>
  <c r="M1540" i="2"/>
  <c r="L1540" i="2"/>
  <c r="K1540" i="2"/>
  <c r="J1540" i="2"/>
  <c r="H1540" i="2"/>
  <c r="G1540" i="2"/>
  <c r="F1540" i="2"/>
  <c r="E1540" i="2"/>
  <c r="D1540" i="2"/>
  <c r="C1540" i="2"/>
  <c r="A1540" i="2"/>
  <c r="M1539" i="2"/>
  <c r="L1539" i="2"/>
  <c r="K1539" i="2"/>
  <c r="J1539" i="2"/>
  <c r="H1539" i="2"/>
  <c r="G1539" i="2"/>
  <c r="F1539" i="2"/>
  <c r="E1539" i="2"/>
  <c r="D1539" i="2"/>
  <c r="C1539" i="2"/>
  <c r="A1539" i="2"/>
  <c r="M1538" i="2"/>
  <c r="L1538" i="2"/>
  <c r="K1538" i="2"/>
  <c r="J1538" i="2"/>
  <c r="H1538" i="2"/>
  <c r="G1538" i="2"/>
  <c r="F1538" i="2"/>
  <c r="E1538" i="2"/>
  <c r="D1538" i="2"/>
  <c r="C1538" i="2"/>
  <c r="A1538" i="2"/>
  <c r="M1537" i="2"/>
  <c r="L1537" i="2"/>
  <c r="K1537" i="2"/>
  <c r="J1537" i="2"/>
  <c r="H1537" i="2"/>
  <c r="G1537" i="2"/>
  <c r="F1537" i="2"/>
  <c r="E1537" i="2"/>
  <c r="D1537" i="2"/>
  <c r="C1537" i="2"/>
  <c r="A1537" i="2"/>
  <c r="M1536" i="2"/>
  <c r="L1536" i="2"/>
  <c r="K1536" i="2"/>
  <c r="J1536" i="2"/>
  <c r="H1536" i="2"/>
  <c r="G1536" i="2"/>
  <c r="F1536" i="2"/>
  <c r="E1536" i="2"/>
  <c r="D1536" i="2"/>
  <c r="C1536" i="2"/>
  <c r="A1536" i="2"/>
  <c r="M1535" i="2"/>
  <c r="L1535" i="2"/>
  <c r="K1535" i="2"/>
  <c r="J1535" i="2"/>
  <c r="H1535" i="2"/>
  <c r="G1535" i="2"/>
  <c r="F1535" i="2"/>
  <c r="E1535" i="2"/>
  <c r="D1535" i="2"/>
  <c r="C1535" i="2"/>
  <c r="A1535" i="2"/>
  <c r="M1534" i="2"/>
  <c r="L1534" i="2"/>
  <c r="K1534" i="2"/>
  <c r="J1534" i="2"/>
  <c r="H1534" i="2"/>
  <c r="G1534" i="2"/>
  <c r="F1534" i="2"/>
  <c r="E1534" i="2"/>
  <c r="D1534" i="2"/>
  <c r="C1534" i="2"/>
  <c r="A1534" i="2"/>
  <c r="M1533" i="2"/>
  <c r="L1533" i="2"/>
  <c r="K1533" i="2"/>
  <c r="J1533" i="2"/>
  <c r="H1533" i="2"/>
  <c r="G1533" i="2"/>
  <c r="F1533" i="2"/>
  <c r="E1533" i="2"/>
  <c r="D1533" i="2"/>
  <c r="C1533" i="2"/>
  <c r="A1533" i="2"/>
  <c r="M1532" i="2"/>
  <c r="L1532" i="2"/>
  <c r="K1532" i="2"/>
  <c r="J1532" i="2"/>
  <c r="H1532" i="2"/>
  <c r="G1532" i="2"/>
  <c r="F1532" i="2"/>
  <c r="E1532" i="2"/>
  <c r="D1532" i="2"/>
  <c r="C1532" i="2"/>
  <c r="A1532" i="2"/>
  <c r="M1531" i="2"/>
  <c r="L1531" i="2"/>
  <c r="K1531" i="2"/>
  <c r="J1531" i="2"/>
  <c r="H1531" i="2"/>
  <c r="G1531" i="2"/>
  <c r="F1531" i="2"/>
  <c r="E1531" i="2"/>
  <c r="D1531" i="2"/>
  <c r="C1531" i="2"/>
  <c r="A1531" i="2"/>
  <c r="M1530" i="2"/>
  <c r="L1530" i="2"/>
  <c r="K1530" i="2"/>
  <c r="J1530" i="2"/>
  <c r="H1530" i="2"/>
  <c r="G1530" i="2"/>
  <c r="F1530" i="2"/>
  <c r="E1530" i="2"/>
  <c r="D1530" i="2"/>
  <c r="C1530" i="2"/>
  <c r="A1530" i="2"/>
  <c r="M1529" i="2"/>
  <c r="L1529" i="2"/>
  <c r="K1529" i="2"/>
  <c r="J1529" i="2"/>
  <c r="H1529" i="2"/>
  <c r="G1529" i="2"/>
  <c r="F1529" i="2"/>
  <c r="E1529" i="2"/>
  <c r="D1529" i="2"/>
  <c r="C1529" i="2"/>
  <c r="A1529" i="2"/>
  <c r="M1528" i="2"/>
  <c r="L1528" i="2"/>
  <c r="K1528" i="2"/>
  <c r="J1528" i="2"/>
  <c r="H1528" i="2"/>
  <c r="G1528" i="2"/>
  <c r="F1528" i="2"/>
  <c r="E1528" i="2"/>
  <c r="D1528" i="2"/>
  <c r="C1528" i="2"/>
  <c r="A1528" i="2"/>
  <c r="M1527" i="2"/>
  <c r="L1527" i="2"/>
  <c r="K1527" i="2"/>
  <c r="J1527" i="2"/>
  <c r="H1527" i="2"/>
  <c r="G1527" i="2"/>
  <c r="F1527" i="2"/>
  <c r="E1527" i="2"/>
  <c r="D1527" i="2"/>
  <c r="C1527" i="2"/>
  <c r="A1527" i="2"/>
  <c r="M1526" i="2"/>
  <c r="L1526" i="2"/>
  <c r="K1526" i="2"/>
  <c r="J1526" i="2"/>
  <c r="H1526" i="2"/>
  <c r="G1526" i="2"/>
  <c r="F1526" i="2"/>
  <c r="E1526" i="2"/>
  <c r="D1526" i="2"/>
  <c r="C1526" i="2"/>
  <c r="A1526" i="2"/>
  <c r="M1525" i="2"/>
  <c r="L1525" i="2"/>
  <c r="K1525" i="2"/>
  <c r="J1525" i="2"/>
  <c r="H1525" i="2"/>
  <c r="G1525" i="2"/>
  <c r="F1525" i="2"/>
  <c r="E1525" i="2"/>
  <c r="D1525" i="2"/>
  <c r="C1525" i="2"/>
  <c r="A1525" i="2"/>
  <c r="M1524" i="2"/>
  <c r="L1524" i="2"/>
  <c r="K1524" i="2"/>
  <c r="J1524" i="2"/>
  <c r="H1524" i="2"/>
  <c r="G1524" i="2"/>
  <c r="F1524" i="2"/>
  <c r="E1524" i="2"/>
  <c r="D1524" i="2"/>
  <c r="C1524" i="2"/>
  <c r="A1524" i="2"/>
  <c r="M1523" i="2"/>
  <c r="L1523" i="2"/>
  <c r="K1523" i="2"/>
  <c r="J1523" i="2"/>
  <c r="H1523" i="2"/>
  <c r="G1523" i="2"/>
  <c r="F1523" i="2"/>
  <c r="E1523" i="2"/>
  <c r="D1523" i="2"/>
  <c r="C1523" i="2"/>
  <c r="A1523" i="2"/>
  <c r="M1522" i="2"/>
  <c r="L1522" i="2"/>
  <c r="K1522" i="2"/>
  <c r="J1522" i="2"/>
  <c r="H1522" i="2"/>
  <c r="G1522" i="2"/>
  <c r="F1522" i="2"/>
  <c r="E1522" i="2"/>
  <c r="D1522" i="2"/>
  <c r="C1522" i="2"/>
  <c r="A1522" i="2"/>
  <c r="M1521" i="2"/>
  <c r="L1521" i="2"/>
  <c r="K1521" i="2"/>
  <c r="J1521" i="2"/>
  <c r="H1521" i="2"/>
  <c r="G1521" i="2"/>
  <c r="F1521" i="2"/>
  <c r="E1521" i="2"/>
  <c r="D1521" i="2"/>
  <c r="C1521" i="2"/>
  <c r="A1521" i="2"/>
  <c r="M1520" i="2"/>
  <c r="L1520" i="2"/>
  <c r="K1520" i="2"/>
  <c r="J1520" i="2"/>
  <c r="H1520" i="2"/>
  <c r="G1520" i="2"/>
  <c r="F1520" i="2"/>
  <c r="E1520" i="2"/>
  <c r="D1520" i="2"/>
  <c r="C1520" i="2"/>
  <c r="A1520" i="2"/>
  <c r="M1519" i="2"/>
  <c r="L1519" i="2"/>
  <c r="K1519" i="2"/>
  <c r="J1519" i="2"/>
  <c r="H1519" i="2"/>
  <c r="G1519" i="2"/>
  <c r="F1519" i="2"/>
  <c r="E1519" i="2"/>
  <c r="D1519" i="2"/>
  <c r="C1519" i="2"/>
  <c r="A1519" i="2"/>
  <c r="M1518" i="2"/>
  <c r="L1518" i="2"/>
  <c r="K1518" i="2"/>
  <c r="J1518" i="2"/>
  <c r="H1518" i="2"/>
  <c r="G1518" i="2"/>
  <c r="F1518" i="2"/>
  <c r="E1518" i="2"/>
  <c r="D1518" i="2"/>
  <c r="C1518" i="2"/>
  <c r="A1518" i="2"/>
  <c r="M1517" i="2"/>
  <c r="L1517" i="2"/>
  <c r="K1517" i="2"/>
  <c r="J1517" i="2"/>
  <c r="H1517" i="2"/>
  <c r="G1517" i="2"/>
  <c r="F1517" i="2"/>
  <c r="E1517" i="2"/>
  <c r="D1517" i="2"/>
  <c r="C1517" i="2"/>
  <c r="A1517" i="2"/>
  <c r="M1516" i="2"/>
  <c r="L1516" i="2"/>
  <c r="K1516" i="2"/>
  <c r="J1516" i="2"/>
  <c r="H1516" i="2"/>
  <c r="G1516" i="2"/>
  <c r="F1516" i="2"/>
  <c r="E1516" i="2"/>
  <c r="D1516" i="2"/>
  <c r="C1516" i="2"/>
  <c r="A1516" i="2"/>
  <c r="M1515" i="2"/>
  <c r="L1515" i="2"/>
  <c r="K1515" i="2"/>
  <c r="J1515" i="2"/>
  <c r="H1515" i="2"/>
  <c r="G1515" i="2"/>
  <c r="F1515" i="2"/>
  <c r="E1515" i="2"/>
  <c r="D1515" i="2"/>
  <c r="C1515" i="2"/>
  <c r="A1515" i="2"/>
  <c r="M1514" i="2"/>
  <c r="L1514" i="2"/>
  <c r="K1514" i="2"/>
  <c r="J1514" i="2"/>
  <c r="H1514" i="2"/>
  <c r="G1514" i="2"/>
  <c r="F1514" i="2"/>
  <c r="E1514" i="2"/>
  <c r="D1514" i="2"/>
  <c r="C1514" i="2"/>
  <c r="A1514" i="2"/>
  <c r="M1513" i="2"/>
  <c r="L1513" i="2"/>
  <c r="K1513" i="2"/>
  <c r="J1513" i="2"/>
  <c r="H1513" i="2"/>
  <c r="G1513" i="2"/>
  <c r="F1513" i="2"/>
  <c r="E1513" i="2"/>
  <c r="D1513" i="2"/>
  <c r="C1513" i="2"/>
  <c r="A1513" i="2"/>
  <c r="M1512" i="2"/>
  <c r="L1512" i="2"/>
  <c r="K1512" i="2"/>
  <c r="J1512" i="2"/>
  <c r="H1512" i="2"/>
  <c r="G1512" i="2"/>
  <c r="F1512" i="2"/>
  <c r="E1512" i="2"/>
  <c r="D1512" i="2"/>
  <c r="C1512" i="2"/>
  <c r="A1512" i="2"/>
  <c r="M1511" i="2"/>
  <c r="L1511" i="2"/>
  <c r="K1511" i="2"/>
  <c r="J1511" i="2"/>
  <c r="H1511" i="2"/>
  <c r="G1511" i="2"/>
  <c r="F1511" i="2"/>
  <c r="E1511" i="2"/>
  <c r="D1511" i="2"/>
  <c r="C1511" i="2"/>
  <c r="A1511" i="2"/>
  <c r="M1510" i="2"/>
  <c r="L1510" i="2"/>
  <c r="K1510" i="2"/>
  <c r="J1510" i="2"/>
  <c r="H1510" i="2"/>
  <c r="G1510" i="2"/>
  <c r="F1510" i="2"/>
  <c r="E1510" i="2"/>
  <c r="D1510" i="2"/>
  <c r="C1510" i="2"/>
  <c r="A1510" i="2"/>
  <c r="M1509" i="2"/>
  <c r="L1509" i="2"/>
  <c r="K1509" i="2"/>
  <c r="J1509" i="2"/>
  <c r="H1509" i="2"/>
  <c r="G1509" i="2"/>
  <c r="F1509" i="2"/>
  <c r="E1509" i="2"/>
  <c r="D1509" i="2"/>
  <c r="C1509" i="2"/>
  <c r="A1509" i="2"/>
  <c r="M1508" i="2"/>
  <c r="L1508" i="2"/>
  <c r="K1508" i="2"/>
  <c r="J1508" i="2"/>
  <c r="H1508" i="2"/>
  <c r="G1508" i="2"/>
  <c r="F1508" i="2"/>
  <c r="E1508" i="2"/>
  <c r="D1508" i="2"/>
  <c r="C1508" i="2"/>
  <c r="A1508" i="2"/>
  <c r="M1507" i="2"/>
  <c r="L1507" i="2"/>
  <c r="K1507" i="2"/>
  <c r="J1507" i="2"/>
  <c r="H1507" i="2"/>
  <c r="G1507" i="2"/>
  <c r="F1507" i="2"/>
  <c r="E1507" i="2"/>
  <c r="D1507" i="2"/>
  <c r="C1507" i="2"/>
  <c r="A1507" i="2"/>
  <c r="M1506" i="2"/>
  <c r="L1506" i="2"/>
  <c r="K1506" i="2"/>
  <c r="J1506" i="2"/>
  <c r="H1506" i="2"/>
  <c r="G1506" i="2"/>
  <c r="F1506" i="2"/>
  <c r="E1506" i="2"/>
  <c r="D1506" i="2"/>
  <c r="C1506" i="2"/>
  <c r="A1506" i="2"/>
  <c r="M1505" i="2"/>
  <c r="L1505" i="2"/>
  <c r="K1505" i="2"/>
  <c r="J1505" i="2"/>
  <c r="H1505" i="2"/>
  <c r="G1505" i="2"/>
  <c r="F1505" i="2"/>
  <c r="E1505" i="2"/>
  <c r="D1505" i="2"/>
  <c r="C1505" i="2"/>
  <c r="A1505" i="2"/>
  <c r="M1504" i="2"/>
  <c r="L1504" i="2"/>
  <c r="K1504" i="2"/>
  <c r="J1504" i="2"/>
  <c r="H1504" i="2"/>
  <c r="G1504" i="2"/>
  <c r="F1504" i="2"/>
  <c r="E1504" i="2"/>
  <c r="D1504" i="2"/>
  <c r="C1504" i="2"/>
  <c r="A1504" i="2"/>
  <c r="M1503" i="2"/>
  <c r="L1503" i="2"/>
  <c r="K1503" i="2"/>
  <c r="J1503" i="2"/>
  <c r="H1503" i="2"/>
  <c r="G1503" i="2"/>
  <c r="F1503" i="2"/>
  <c r="E1503" i="2"/>
  <c r="D1503" i="2"/>
  <c r="C1503" i="2"/>
  <c r="A1503" i="2"/>
  <c r="M1502" i="2"/>
  <c r="L1502" i="2"/>
  <c r="K1502" i="2"/>
  <c r="J1502" i="2"/>
  <c r="H1502" i="2"/>
  <c r="G1502" i="2"/>
  <c r="F1502" i="2"/>
  <c r="E1502" i="2"/>
  <c r="D1502" i="2"/>
  <c r="C1502" i="2"/>
  <c r="A1502" i="2"/>
  <c r="M1501" i="2"/>
  <c r="L1501" i="2"/>
  <c r="K1501" i="2"/>
  <c r="J1501" i="2"/>
  <c r="H1501" i="2"/>
  <c r="G1501" i="2"/>
  <c r="F1501" i="2"/>
  <c r="E1501" i="2"/>
  <c r="D1501" i="2"/>
  <c r="C1501" i="2"/>
  <c r="A1501" i="2"/>
  <c r="M1500" i="2"/>
  <c r="L1500" i="2"/>
  <c r="K1500" i="2"/>
  <c r="J1500" i="2"/>
  <c r="H1500" i="2"/>
  <c r="G1500" i="2"/>
  <c r="F1500" i="2"/>
  <c r="E1500" i="2"/>
  <c r="D1500" i="2"/>
  <c r="C1500" i="2"/>
  <c r="A1500" i="2"/>
  <c r="M1499" i="2"/>
  <c r="L1499" i="2"/>
  <c r="K1499" i="2"/>
  <c r="J1499" i="2"/>
  <c r="H1499" i="2"/>
  <c r="G1499" i="2"/>
  <c r="F1499" i="2"/>
  <c r="E1499" i="2"/>
  <c r="D1499" i="2"/>
  <c r="C1499" i="2"/>
  <c r="A1499" i="2"/>
  <c r="M1498" i="2"/>
  <c r="L1498" i="2"/>
  <c r="K1498" i="2"/>
  <c r="J1498" i="2"/>
  <c r="H1498" i="2"/>
  <c r="G1498" i="2"/>
  <c r="F1498" i="2"/>
  <c r="E1498" i="2"/>
  <c r="D1498" i="2"/>
  <c r="C1498" i="2"/>
  <c r="A1498" i="2"/>
  <c r="M1497" i="2"/>
  <c r="L1497" i="2"/>
  <c r="K1497" i="2"/>
  <c r="J1497" i="2"/>
  <c r="H1497" i="2"/>
  <c r="G1497" i="2"/>
  <c r="F1497" i="2"/>
  <c r="E1497" i="2"/>
  <c r="D1497" i="2"/>
  <c r="C1497" i="2"/>
  <c r="A1497" i="2"/>
  <c r="M1496" i="2"/>
  <c r="L1496" i="2"/>
  <c r="K1496" i="2"/>
  <c r="J1496" i="2"/>
  <c r="H1496" i="2"/>
  <c r="G1496" i="2"/>
  <c r="F1496" i="2"/>
  <c r="E1496" i="2"/>
  <c r="D1496" i="2"/>
  <c r="C1496" i="2"/>
  <c r="A1496" i="2"/>
  <c r="M1495" i="2"/>
  <c r="L1495" i="2"/>
  <c r="K1495" i="2"/>
  <c r="J1495" i="2"/>
  <c r="H1495" i="2"/>
  <c r="G1495" i="2"/>
  <c r="F1495" i="2"/>
  <c r="E1495" i="2"/>
  <c r="D1495" i="2"/>
  <c r="C1495" i="2"/>
  <c r="A1495" i="2"/>
  <c r="M1494" i="2"/>
  <c r="L1494" i="2"/>
  <c r="K1494" i="2"/>
  <c r="J1494" i="2"/>
  <c r="H1494" i="2"/>
  <c r="G1494" i="2"/>
  <c r="F1494" i="2"/>
  <c r="E1494" i="2"/>
  <c r="D1494" i="2"/>
  <c r="C1494" i="2"/>
  <c r="A1494" i="2"/>
  <c r="M1493" i="2"/>
  <c r="L1493" i="2"/>
  <c r="K1493" i="2"/>
  <c r="J1493" i="2"/>
  <c r="H1493" i="2"/>
  <c r="G1493" i="2"/>
  <c r="F1493" i="2"/>
  <c r="E1493" i="2"/>
  <c r="D1493" i="2"/>
  <c r="C1493" i="2"/>
  <c r="A1493" i="2"/>
  <c r="M1492" i="2"/>
  <c r="L1492" i="2"/>
  <c r="K1492" i="2"/>
  <c r="J1492" i="2"/>
  <c r="H1492" i="2"/>
  <c r="G1492" i="2"/>
  <c r="F1492" i="2"/>
  <c r="E1492" i="2"/>
  <c r="D1492" i="2"/>
  <c r="C1492" i="2"/>
  <c r="A1492" i="2"/>
  <c r="M1491" i="2"/>
  <c r="L1491" i="2"/>
  <c r="K1491" i="2"/>
  <c r="J1491" i="2"/>
  <c r="H1491" i="2"/>
  <c r="G1491" i="2"/>
  <c r="F1491" i="2"/>
  <c r="E1491" i="2"/>
  <c r="D1491" i="2"/>
  <c r="C1491" i="2"/>
  <c r="A1491" i="2"/>
  <c r="M1490" i="2"/>
  <c r="L1490" i="2"/>
  <c r="K1490" i="2"/>
  <c r="J1490" i="2"/>
  <c r="H1490" i="2"/>
  <c r="G1490" i="2"/>
  <c r="F1490" i="2"/>
  <c r="E1490" i="2"/>
  <c r="D1490" i="2"/>
  <c r="C1490" i="2"/>
  <c r="A1490" i="2"/>
  <c r="M1489" i="2"/>
  <c r="L1489" i="2"/>
  <c r="K1489" i="2"/>
  <c r="J1489" i="2"/>
  <c r="H1489" i="2"/>
  <c r="G1489" i="2"/>
  <c r="F1489" i="2"/>
  <c r="E1489" i="2"/>
  <c r="D1489" i="2"/>
  <c r="C1489" i="2"/>
  <c r="A1489" i="2"/>
  <c r="M1488" i="2"/>
  <c r="L1488" i="2"/>
  <c r="K1488" i="2"/>
  <c r="J1488" i="2"/>
  <c r="H1488" i="2"/>
  <c r="G1488" i="2"/>
  <c r="F1488" i="2"/>
  <c r="E1488" i="2"/>
  <c r="D1488" i="2"/>
  <c r="C1488" i="2"/>
  <c r="A1488" i="2"/>
  <c r="M1487" i="2"/>
  <c r="L1487" i="2"/>
  <c r="K1487" i="2"/>
  <c r="J1487" i="2"/>
  <c r="H1487" i="2"/>
  <c r="G1487" i="2"/>
  <c r="F1487" i="2"/>
  <c r="E1487" i="2"/>
  <c r="D1487" i="2"/>
  <c r="C1487" i="2"/>
  <c r="A1487" i="2"/>
  <c r="M1486" i="2"/>
  <c r="L1486" i="2"/>
  <c r="K1486" i="2"/>
  <c r="J1486" i="2"/>
  <c r="H1486" i="2"/>
  <c r="G1486" i="2"/>
  <c r="F1486" i="2"/>
  <c r="E1486" i="2"/>
  <c r="D1486" i="2"/>
  <c r="C1486" i="2"/>
  <c r="A1486" i="2"/>
  <c r="M1485" i="2"/>
  <c r="L1485" i="2"/>
  <c r="K1485" i="2"/>
  <c r="J1485" i="2"/>
  <c r="H1485" i="2"/>
  <c r="G1485" i="2"/>
  <c r="F1485" i="2"/>
  <c r="E1485" i="2"/>
  <c r="D1485" i="2"/>
  <c r="C1485" i="2"/>
  <c r="A1485" i="2"/>
  <c r="M1484" i="2"/>
  <c r="L1484" i="2"/>
  <c r="K1484" i="2"/>
  <c r="J1484" i="2"/>
  <c r="H1484" i="2"/>
  <c r="G1484" i="2"/>
  <c r="F1484" i="2"/>
  <c r="E1484" i="2"/>
  <c r="D1484" i="2"/>
  <c r="C1484" i="2"/>
  <c r="A1484" i="2"/>
  <c r="M1483" i="2"/>
  <c r="L1483" i="2"/>
  <c r="K1483" i="2"/>
  <c r="J1483" i="2"/>
  <c r="H1483" i="2"/>
  <c r="G1483" i="2"/>
  <c r="F1483" i="2"/>
  <c r="E1483" i="2"/>
  <c r="D1483" i="2"/>
  <c r="C1483" i="2"/>
  <c r="A1483" i="2"/>
  <c r="M1482" i="2"/>
  <c r="L1482" i="2"/>
  <c r="K1482" i="2"/>
  <c r="J1482" i="2"/>
  <c r="H1482" i="2"/>
  <c r="G1482" i="2"/>
  <c r="F1482" i="2"/>
  <c r="E1482" i="2"/>
  <c r="D1482" i="2"/>
  <c r="C1482" i="2"/>
  <c r="A1482" i="2"/>
  <c r="M1481" i="2"/>
  <c r="L1481" i="2"/>
  <c r="K1481" i="2"/>
  <c r="J1481" i="2"/>
  <c r="H1481" i="2"/>
  <c r="G1481" i="2"/>
  <c r="F1481" i="2"/>
  <c r="E1481" i="2"/>
  <c r="D1481" i="2"/>
  <c r="C1481" i="2"/>
  <c r="A1481" i="2"/>
  <c r="M1480" i="2"/>
  <c r="L1480" i="2"/>
  <c r="K1480" i="2"/>
  <c r="J1480" i="2"/>
  <c r="H1480" i="2"/>
  <c r="G1480" i="2"/>
  <c r="F1480" i="2"/>
  <c r="E1480" i="2"/>
  <c r="D1480" i="2"/>
  <c r="C1480" i="2"/>
  <c r="A1480" i="2"/>
  <c r="M1479" i="2"/>
  <c r="L1479" i="2"/>
  <c r="K1479" i="2"/>
  <c r="J1479" i="2"/>
  <c r="H1479" i="2"/>
  <c r="G1479" i="2"/>
  <c r="F1479" i="2"/>
  <c r="E1479" i="2"/>
  <c r="D1479" i="2"/>
  <c r="C1479" i="2"/>
  <c r="A1479" i="2"/>
  <c r="M1478" i="2"/>
  <c r="L1478" i="2"/>
  <c r="K1478" i="2"/>
  <c r="J1478" i="2"/>
  <c r="H1478" i="2"/>
  <c r="G1478" i="2"/>
  <c r="F1478" i="2"/>
  <c r="E1478" i="2"/>
  <c r="D1478" i="2"/>
  <c r="C1478" i="2"/>
  <c r="A1478" i="2"/>
  <c r="M1477" i="2"/>
  <c r="L1477" i="2"/>
  <c r="K1477" i="2"/>
  <c r="J1477" i="2"/>
  <c r="H1477" i="2"/>
  <c r="G1477" i="2"/>
  <c r="F1477" i="2"/>
  <c r="E1477" i="2"/>
  <c r="D1477" i="2"/>
  <c r="C1477" i="2"/>
  <c r="A1477" i="2"/>
  <c r="M1476" i="2"/>
  <c r="L1476" i="2"/>
  <c r="K1476" i="2"/>
  <c r="J1476" i="2"/>
  <c r="H1476" i="2"/>
  <c r="G1476" i="2"/>
  <c r="F1476" i="2"/>
  <c r="E1476" i="2"/>
  <c r="D1476" i="2"/>
  <c r="C1476" i="2"/>
  <c r="A1476" i="2"/>
  <c r="M1475" i="2"/>
  <c r="L1475" i="2"/>
  <c r="K1475" i="2"/>
  <c r="J1475" i="2"/>
  <c r="H1475" i="2"/>
  <c r="G1475" i="2"/>
  <c r="F1475" i="2"/>
  <c r="E1475" i="2"/>
  <c r="D1475" i="2"/>
  <c r="C1475" i="2"/>
  <c r="A1475" i="2"/>
  <c r="M1474" i="2"/>
  <c r="L1474" i="2"/>
  <c r="K1474" i="2"/>
  <c r="J1474" i="2"/>
  <c r="H1474" i="2"/>
  <c r="G1474" i="2"/>
  <c r="F1474" i="2"/>
  <c r="E1474" i="2"/>
  <c r="D1474" i="2"/>
  <c r="C1474" i="2"/>
  <c r="A1474" i="2"/>
  <c r="M1473" i="2"/>
  <c r="L1473" i="2"/>
  <c r="K1473" i="2"/>
  <c r="J1473" i="2"/>
  <c r="H1473" i="2"/>
  <c r="G1473" i="2"/>
  <c r="F1473" i="2"/>
  <c r="E1473" i="2"/>
  <c r="D1473" i="2"/>
  <c r="C1473" i="2"/>
  <c r="A1473" i="2"/>
  <c r="M1472" i="2"/>
  <c r="L1472" i="2"/>
  <c r="K1472" i="2"/>
  <c r="J1472" i="2"/>
  <c r="H1472" i="2"/>
  <c r="G1472" i="2"/>
  <c r="F1472" i="2"/>
  <c r="E1472" i="2"/>
  <c r="D1472" i="2"/>
  <c r="C1472" i="2"/>
  <c r="A1472" i="2"/>
  <c r="M1471" i="2"/>
  <c r="L1471" i="2"/>
  <c r="K1471" i="2"/>
  <c r="J1471" i="2"/>
  <c r="H1471" i="2"/>
  <c r="G1471" i="2"/>
  <c r="F1471" i="2"/>
  <c r="E1471" i="2"/>
  <c r="D1471" i="2"/>
  <c r="C1471" i="2"/>
  <c r="A1471" i="2"/>
  <c r="M1470" i="2"/>
  <c r="L1470" i="2"/>
  <c r="K1470" i="2"/>
  <c r="J1470" i="2"/>
  <c r="H1470" i="2"/>
  <c r="G1470" i="2"/>
  <c r="F1470" i="2"/>
  <c r="E1470" i="2"/>
  <c r="D1470" i="2"/>
  <c r="C1470" i="2"/>
  <c r="A1470" i="2"/>
  <c r="M1469" i="2"/>
  <c r="L1469" i="2"/>
  <c r="K1469" i="2"/>
  <c r="J1469" i="2"/>
  <c r="H1469" i="2"/>
  <c r="G1469" i="2"/>
  <c r="F1469" i="2"/>
  <c r="E1469" i="2"/>
  <c r="D1469" i="2"/>
  <c r="C1469" i="2"/>
  <c r="A1469" i="2"/>
  <c r="M1468" i="2"/>
  <c r="L1468" i="2"/>
  <c r="K1468" i="2"/>
  <c r="J1468" i="2"/>
  <c r="H1468" i="2"/>
  <c r="G1468" i="2"/>
  <c r="F1468" i="2"/>
  <c r="E1468" i="2"/>
  <c r="D1468" i="2"/>
  <c r="C1468" i="2"/>
  <c r="A1468" i="2"/>
  <c r="M1467" i="2"/>
  <c r="L1467" i="2"/>
  <c r="K1467" i="2"/>
  <c r="J1467" i="2"/>
  <c r="H1467" i="2"/>
  <c r="G1467" i="2"/>
  <c r="F1467" i="2"/>
  <c r="E1467" i="2"/>
  <c r="D1467" i="2"/>
  <c r="C1467" i="2"/>
  <c r="A1467" i="2"/>
  <c r="M1466" i="2"/>
  <c r="L1466" i="2"/>
  <c r="K1466" i="2"/>
  <c r="J1466" i="2"/>
  <c r="H1466" i="2"/>
  <c r="G1466" i="2"/>
  <c r="F1466" i="2"/>
  <c r="E1466" i="2"/>
  <c r="D1466" i="2"/>
  <c r="C1466" i="2"/>
  <c r="A1466" i="2"/>
  <c r="M1465" i="2"/>
  <c r="L1465" i="2"/>
  <c r="K1465" i="2"/>
  <c r="J1465" i="2"/>
  <c r="H1465" i="2"/>
  <c r="G1465" i="2"/>
  <c r="F1465" i="2"/>
  <c r="E1465" i="2"/>
  <c r="D1465" i="2"/>
  <c r="C1465" i="2"/>
  <c r="A1465" i="2"/>
  <c r="M1464" i="2"/>
  <c r="L1464" i="2"/>
  <c r="K1464" i="2"/>
  <c r="J1464" i="2"/>
  <c r="H1464" i="2"/>
  <c r="G1464" i="2"/>
  <c r="F1464" i="2"/>
  <c r="E1464" i="2"/>
  <c r="D1464" i="2"/>
  <c r="C1464" i="2"/>
  <c r="A1464" i="2"/>
  <c r="M1463" i="2"/>
  <c r="L1463" i="2"/>
  <c r="K1463" i="2"/>
  <c r="J1463" i="2"/>
  <c r="H1463" i="2"/>
  <c r="G1463" i="2"/>
  <c r="F1463" i="2"/>
  <c r="E1463" i="2"/>
  <c r="D1463" i="2"/>
  <c r="C1463" i="2"/>
  <c r="A1463" i="2"/>
  <c r="M1462" i="2"/>
  <c r="L1462" i="2"/>
  <c r="K1462" i="2"/>
  <c r="J1462" i="2"/>
  <c r="H1462" i="2"/>
  <c r="G1462" i="2"/>
  <c r="F1462" i="2"/>
  <c r="E1462" i="2"/>
  <c r="D1462" i="2"/>
  <c r="C1462" i="2"/>
  <c r="A1462" i="2"/>
  <c r="M1461" i="2"/>
  <c r="L1461" i="2"/>
  <c r="K1461" i="2"/>
  <c r="J1461" i="2"/>
  <c r="H1461" i="2"/>
  <c r="G1461" i="2"/>
  <c r="F1461" i="2"/>
  <c r="E1461" i="2"/>
  <c r="D1461" i="2"/>
  <c r="C1461" i="2"/>
  <c r="A1461" i="2"/>
  <c r="M1460" i="2"/>
  <c r="L1460" i="2"/>
  <c r="K1460" i="2"/>
  <c r="J1460" i="2"/>
  <c r="H1460" i="2"/>
  <c r="G1460" i="2"/>
  <c r="F1460" i="2"/>
  <c r="E1460" i="2"/>
  <c r="D1460" i="2"/>
  <c r="C1460" i="2"/>
  <c r="A1460" i="2"/>
  <c r="M1459" i="2"/>
  <c r="L1459" i="2"/>
  <c r="K1459" i="2"/>
  <c r="J1459" i="2"/>
  <c r="H1459" i="2"/>
  <c r="G1459" i="2"/>
  <c r="F1459" i="2"/>
  <c r="E1459" i="2"/>
  <c r="D1459" i="2"/>
  <c r="C1459" i="2"/>
  <c r="A1459" i="2"/>
  <c r="M1458" i="2"/>
  <c r="L1458" i="2"/>
  <c r="K1458" i="2"/>
  <c r="J1458" i="2"/>
  <c r="H1458" i="2"/>
  <c r="G1458" i="2"/>
  <c r="F1458" i="2"/>
  <c r="E1458" i="2"/>
  <c r="D1458" i="2"/>
  <c r="C1458" i="2"/>
  <c r="A1458" i="2"/>
  <c r="M1457" i="2"/>
  <c r="L1457" i="2"/>
  <c r="K1457" i="2"/>
  <c r="J1457" i="2"/>
  <c r="H1457" i="2"/>
  <c r="G1457" i="2"/>
  <c r="F1457" i="2"/>
  <c r="E1457" i="2"/>
  <c r="D1457" i="2"/>
  <c r="C1457" i="2"/>
  <c r="A1457" i="2"/>
  <c r="M1456" i="2"/>
  <c r="L1456" i="2"/>
  <c r="K1456" i="2"/>
  <c r="J1456" i="2"/>
  <c r="H1456" i="2"/>
  <c r="G1456" i="2"/>
  <c r="F1456" i="2"/>
  <c r="E1456" i="2"/>
  <c r="D1456" i="2"/>
  <c r="C1456" i="2"/>
  <c r="A1456" i="2"/>
  <c r="M1455" i="2"/>
  <c r="L1455" i="2"/>
  <c r="K1455" i="2"/>
  <c r="J1455" i="2"/>
  <c r="H1455" i="2"/>
  <c r="G1455" i="2"/>
  <c r="F1455" i="2"/>
  <c r="E1455" i="2"/>
  <c r="D1455" i="2"/>
  <c r="C1455" i="2"/>
  <c r="A1455" i="2"/>
  <c r="M1454" i="2"/>
  <c r="L1454" i="2"/>
  <c r="K1454" i="2"/>
  <c r="J1454" i="2"/>
  <c r="H1454" i="2"/>
  <c r="G1454" i="2"/>
  <c r="F1454" i="2"/>
  <c r="E1454" i="2"/>
  <c r="D1454" i="2"/>
  <c r="C1454" i="2"/>
  <c r="A1454" i="2"/>
  <c r="M1453" i="2"/>
  <c r="L1453" i="2"/>
  <c r="K1453" i="2"/>
  <c r="J1453" i="2"/>
  <c r="H1453" i="2"/>
  <c r="G1453" i="2"/>
  <c r="F1453" i="2"/>
  <c r="E1453" i="2"/>
  <c r="D1453" i="2"/>
  <c r="C1453" i="2"/>
  <c r="A1453" i="2"/>
  <c r="M1452" i="2"/>
  <c r="L1452" i="2"/>
  <c r="K1452" i="2"/>
  <c r="J1452" i="2"/>
  <c r="H1452" i="2"/>
  <c r="G1452" i="2"/>
  <c r="F1452" i="2"/>
  <c r="E1452" i="2"/>
  <c r="D1452" i="2"/>
  <c r="C1452" i="2"/>
  <c r="A1452" i="2"/>
  <c r="M1451" i="2"/>
  <c r="L1451" i="2"/>
  <c r="K1451" i="2"/>
  <c r="J1451" i="2"/>
  <c r="H1451" i="2"/>
  <c r="G1451" i="2"/>
  <c r="F1451" i="2"/>
  <c r="E1451" i="2"/>
  <c r="D1451" i="2"/>
  <c r="C1451" i="2"/>
  <c r="A1451" i="2"/>
  <c r="M1450" i="2"/>
  <c r="L1450" i="2"/>
  <c r="K1450" i="2"/>
  <c r="J1450" i="2"/>
  <c r="H1450" i="2"/>
  <c r="G1450" i="2"/>
  <c r="F1450" i="2"/>
  <c r="E1450" i="2"/>
  <c r="D1450" i="2"/>
  <c r="C1450" i="2"/>
  <c r="A1450" i="2"/>
  <c r="M1449" i="2"/>
  <c r="L1449" i="2"/>
  <c r="K1449" i="2"/>
  <c r="J1449" i="2"/>
  <c r="H1449" i="2"/>
  <c r="G1449" i="2"/>
  <c r="F1449" i="2"/>
  <c r="E1449" i="2"/>
  <c r="D1449" i="2"/>
  <c r="C1449" i="2"/>
  <c r="A1449" i="2"/>
  <c r="M1448" i="2"/>
  <c r="L1448" i="2"/>
  <c r="K1448" i="2"/>
  <c r="J1448" i="2"/>
  <c r="H1448" i="2"/>
  <c r="G1448" i="2"/>
  <c r="F1448" i="2"/>
  <c r="E1448" i="2"/>
  <c r="D1448" i="2"/>
  <c r="C1448" i="2"/>
  <c r="A1448" i="2"/>
  <c r="M1447" i="2"/>
  <c r="L1447" i="2"/>
  <c r="K1447" i="2"/>
  <c r="J1447" i="2"/>
  <c r="H1447" i="2"/>
  <c r="G1447" i="2"/>
  <c r="F1447" i="2"/>
  <c r="E1447" i="2"/>
  <c r="D1447" i="2"/>
  <c r="C1447" i="2"/>
  <c r="A1447" i="2"/>
  <c r="M1446" i="2"/>
  <c r="L1446" i="2"/>
  <c r="K1446" i="2"/>
  <c r="J1446" i="2"/>
  <c r="H1446" i="2"/>
  <c r="G1446" i="2"/>
  <c r="F1446" i="2"/>
  <c r="E1446" i="2"/>
  <c r="D1446" i="2"/>
  <c r="C1446" i="2"/>
  <c r="A1446" i="2"/>
  <c r="M1445" i="2"/>
  <c r="L1445" i="2"/>
  <c r="K1445" i="2"/>
  <c r="J1445" i="2"/>
  <c r="H1445" i="2"/>
  <c r="G1445" i="2"/>
  <c r="F1445" i="2"/>
  <c r="E1445" i="2"/>
  <c r="D1445" i="2"/>
  <c r="C1445" i="2"/>
  <c r="A1445" i="2"/>
  <c r="M1444" i="2"/>
  <c r="L1444" i="2"/>
  <c r="K1444" i="2"/>
  <c r="J1444" i="2"/>
  <c r="H1444" i="2"/>
  <c r="G1444" i="2"/>
  <c r="F1444" i="2"/>
  <c r="E1444" i="2"/>
  <c r="D1444" i="2"/>
  <c r="C1444" i="2"/>
  <c r="A1444" i="2"/>
  <c r="M1443" i="2"/>
  <c r="L1443" i="2"/>
  <c r="K1443" i="2"/>
  <c r="J1443" i="2"/>
  <c r="H1443" i="2"/>
  <c r="G1443" i="2"/>
  <c r="F1443" i="2"/>
  <c r="E1443" i="2"/>
  <c r="D1443" i="2"/>
  <c r="C1443" i="2"/>
  <c r="A1443" i="2"/>
  <c r="M1442" i="2"/>
  <c r="L1442" i="2"/>
  <c r="K1442" i="2"/>
  <c r="J1442" i="2"/>
  <c r="H1442" i="2"/>
  <c r="G1442" i="2"/>
  <c r="F1442" i="2"/>
  <c r="E1442" i="2"/>
  <c r="D1442" i="2"/>
  <c r="C1442" i="2"/>
  <c r="A1442" i="2"/>
  <c r="M1441" i="2"/>
  <c r="L1441" i="2"/>
  <c r="K1441" i="2"/>
  <c r="J1441" i="2"/>
  <c r="H1441" i="2"/>
  <c r="G1441" i="2"/>
  <c r="F1441" i="2"/>
  <c r="E1441" i="2"/>
  <c r="D1441" i="2"/>
  <c r="C1441" i="2"/>
  <c r="A1441" i="2"/>
  <c r="M1440" i="2"/>
  <c r="L1440" i="2"/>
  <c r="K1440" i="2"/>
  <c r="J1440" i="2"/>
  <c r="H1440" i="2"/>
  <c r="G1440" i="2"/>
  <c r="F1440" i="2"/>
  <c r="E1440" i="2"/>
  <c r="D1440" i="2"/>
  <c r="C1440" i="2"/>
  <c r="A1440" i="2"/>
  <c r="M1439" i="2"/>
  <c r="L1439" i="2"/>
  <c r="K1439" i="2"/>
  <c r="J1439" i="2"/>
  <c r="H1439" i="2"/>
  <c r="G1439" i="2"/>
  <c r="F1439" i="2"/>
  <c r="E1439" i="2"/>
  <c r="D1439" i="2"/>
  <c r="C1439" i="2"/>
  <c r="A1439" i="2"/>
  <c r="M1438" i="2"/>
  <c r="L1438" i="2"/>
  <c r="K1438" i="2"/>
  <c r="J1438" i="2"/>
  <c r="H1438" i="2"/>
  <c r="G1438" i="2"/>
  <c r="F1438" i="2"/>
  <c r="E1438" i="2"/>
  <c r="D1438" i="2"/>
  <c r="C1438" i="2"/>
  <c r="A1438" i="2"/>
  <c r="M1437" i="2"/>
  <c r="L1437" i="2"/>
  <c r="K1437" i="2"/>
  <c r="J1437" i="2"/>
  <c r="H1437" i="2"/>
  <c r="G1437" i="2"/>
  <c r="F1437" i="2"/>
  <c r="E1437" i="2"/>
  <c r="D1437" i="2"/>
  <c r="C1437" i="2"/>
  <c r="A1437" i="2"/>
  <c r="M1436" i="2"/>
  <c r="L1436" i="2"/>
  <c r="K1436" i="2"/>
  <c r="J1436" i="2"/>
  <c r="H1436" i="2"/>
  <c r="G1436" i="2"/>
  <c r="F1436" i="2"/>
  <c r="E1436" i="2"/>
  <c r="D1436" i="2"/>
  <c r="C1436" i="2"/>
  <c r="A1436" i="2"/>
  <c r="M1435" i="2"/>
  <c r="L1435" i="2"/>
  <c r="K1435" i="2"/>
  <c r="J1435" i="2"/>
  <c r="H1435" i="2"/>
  <c r="G1435" i="2"/>
  <c r="F1435" i="2"/>
  <c r="E1435" i="2"/>
  <c r="D1435" i="2"/>
  <c r="C1435" i="2"/>
  <c r="A1435" i="2"/>
  <c r="M1434" i="2"/>
  <c r="L1434" i="2"/>
  <c r="K1434" i="2"/>
  <c r="J1434" i="2"/>
  <c r="H1434" i="2"/>
  <c r="G1434" i="2"/>
  <c r="F1434" i="2"/>
  <c r="E1434" i="2"/>
  <c r="D1434" i="2"/>
  <c r="C1434" i="2"/>
  <c r="A1434" i="2"/>
  <c r="M1433" i="2"/>
  <c r="L1433" i="2"/>
  <c r="K1433" i="2"/>
  <c r="J1433" i="2"/>
  <c r="H1433" i="2"/>
  <c r="G1433" i="2"/>
  <c r="F1433" i="2"/>
  <c r="E1433" i="2"/>
  <c r="D1433" i="2"/>
  <c r="C1433" i="2"/>
  <c r="A1433" i="2"/>
  <c r="M1432" i="2"/>
  <c r="L1432" i="2"/>
  <c r="K1432" i="2"/>
  <c r="J1432" i="2"/>
  <c r="H1432" i="2"/>
  <c r="G1432" i="2"/>
  <c r="F1432" i="2"/>
  <c r="E1432" i="2"/>
  <c r="D1432" i="2"/>
  <c r="C1432" i="2"/>
  <c r="A1432" i="2"/>
  <c r="M1431" i="2"/>
  <c r="L1431" i="2"/>
  <c r="K1431" i="2"/>
  <c r="J1431" i="2"/>
  <c r="H1431" i="2"/>
  <c r="G1431" i="2"/>
  <c r="F1431" i="2"/>
  <c r="E1431" i="2"/>
  <c r="D1431" i="2"/>
  <c r="C1431" i="2"/>
  <c r="A1431" i="2"/>
  <c r="M1430" i="2"/>
  <c r="L1430" i="2"/>
  <c r="K1430" i="2"/>
  <c r="J1430" i="2"/>
  <c r="H1430" i="2"/>
  <c r="G1430" i="2"/>
  <c r="F1430" i="2"/>
  <c r="E1430" i="2"/>
  <c r="D1430" i="2"/>
  <c r="C1430" i="2"/>
  <c r="A1430" i="2"/>
  <c r="M1429" i="2"/>
  <c r="L1429" i="2"/>
  <c r="K1429" i="2"/>
  <c r="J1429" i="2"/>
  <c r="H1429" i="2"/>
  <c r="G1429" i="2"/>
  <c r="F1429" i="2"/>
  <c r="E1429" i="2"/>
  <c r="D1429" i="2"/>
  <c r="C1429" i="2"/>
  <c r="A1429" i="2"/>
  <c r="M1428" i="2"/>
  <c r="L1428" i="2"/>
  <c r="K1428" i="2"/>
  <c r="J1428" i="2"/>
  <c r="H1428" i="2"/>
  <c r="G1428" i="2"/>
  <c r="F1428" i="2"/>
  <c r="E1428" i="2"/>
  <c r="D1428" i="2"/>
  <c r="C1428" i="2"/>
  <c r="A1428" i="2"/>
  <c r="M1427" i="2"/>
  <c r="L1427" i="2"/>
  <c r="K1427" i="2"/>
  <c r="J1427" i="2"/>
  <c r="H1427" i="2"/>
  <c r="G1427" i="2"/>
  <c r="F1427" i="2"/>
  <c r="E1427" i="2"/>
  <c r="D1427" i="2"/>
  <c r="C1427" i="2"/>
  <c r="A1427" i="2"/>
  <c r="M1426" i="2"/>
  <c r="L1426" i="2"/>
  <c r="K1426" i="2"/>
  <c r="J1426" i="2"/>
  <c r="H1426" i="2"/>
  <c r="G1426" i="2"/>
  <c r="F1426" i="2"/>
  <c r="E1426" i="2"/>
  <c r="D1426" i="2"/>
  <c r="C1426" i="2"/>
  <c r="A1426" i="2"/>
  <c r="M1425" i="2"/>
  <c r="L1425" i="2"/>
  <c r="K1425" i="2"/>
  <c r="J1425" i="2"/>
  <c r="H1425" i="2"/>
  <c r="G1425" i="2"/>
  <c r="F1425" i="2"/>
  <c r="E1425" i="2"/>
  <c r="D1425" i="2"/>
  <c r="C1425" i="2"/>
  <c r="A1425" i="2"/>
  <c r="M1424" i="2"/>
  <c r="L1424" i="2"/>
  <c r="K1424" i="2"/>
  <c r="J1424" i="2"/>
  <c r="H1424" i="2"/>
  <c r="G1424" i="2"/>
  <c r="F1424" i="2"/>
  <c r="E1424" i="2"/>
  <c r="D1424" i="2"/>
  <c r="C1424" i="2"/>
  <c r="A1424" i="2"/>
  <c r="M1423" i="2"/>
  <c r="L1423" i="2"/>
  <c r="K1423" i="2"/>
  <c r="J1423" i="2"/>
  <c r="H1423" i="2"/>
  <c r="G1423" i="2"/>
  <c r="F1423" i="2"/>
  <c r="E1423" i="2"/>
  <c r="D1423" i="2"/>
  <c r="C1423" i="2"/>
  <c r="A1423" i="2"/>
  <c r="M1422" i="2"/>
  <c r="L1422" i="2"/>
  <c r="K1422" i="2"/>
  <c r="J1422" i="2"/>
  <c r="H1422" i="2"/>
  <c r="G1422" i="2"/>
  <c r="F1422" i="2"/>
  <c r="E1422" i="2"/>
  <c r="D1422" i="2"/>
  <c r="C1422" i="2"/>
  <c r="A1422" i="2"/>
  <c r="M1421" i="2"/>
  <c r="L1421" i="2"/>
  <c r="K1421" i="2"/>
  <c r="J1421" i="2"/>
  <c r="H1421" i="2"/>
  <c r="G1421" i="2"/>
  <c r="F1421" i="2"/>
  <c r="E1421" i="2"/>
  <c r="D1421" i="2"/>
  <c r="C1421" i="2"/>
  <c r="A1421" i="2"/>
  <c r="M1420" i="2"/>
  <c r="L1420" i="2"/>
  <c r="K1420" i="2"/>
  <c r="J1420" i="2"/>
  <c r="H1420" i="2"/>
  <c r="G1420" i="2"/>
  <c r="F1420" i="2"/>
  <c r="E1420" i="2"/>
  <c r="D1420" i="2"/>
  <c r="C1420" i="2"/>
  <c r="A1420" i="2"/>
  <c r="M1419" i="2"/>
  <c r="L1419" i="2"/>
  <c r="K1419" i="2"/>
  <c r="J1419" i="2"/>
  <c r="H1419" i="2"/>
  <c r="G1419" i="2"/>
  <c r="F1419" i="2"/>
  <c r="E1419" i="2"/>
  <c r="D1419" i="2"/>
  <c r="C1419" i="2"/>
  <c r="A1419" i="2"/>
  <c r="M1418" i="2"/>
  <c r="L1418" i="2"/>
  <c r="K1418" i="2"/>
  <c r="J1418" i="2"/>
  <c r="H1418" i="2"/>
  <c r="G1418" i="2"/>
  <c r="F1418" i="2"/>
  <c r="E1418" i="2"/>
  <c r="D1418" i="2"/>
  <c r="C1418" i="2"/>
  <c r="A1418" i="2"/>
  <c r="M1417" i="2"/>
  <c r="L1417" i="2"/>
  <c r="K1417" i="2"/>
  <c r="J1417" i="2"/>
  <c r="H1417" i="2"/>
  <c r="G1417" i="2"/>
  <c r="F1417" i="2"/>
  <c r="E1417" i="2"/>
  <c r="D1417" i="2"/>
  <c r="C1417" i="2"/>
  <c r="A1417" i="2"/>
  <c r="M1416" i="2"/>
  <c r="L1416" i="2"/>
  <c r="K1416" i="2"/>
  <c r="J1416" i="2"/>
  <c r="H1416" i="2"/>
  <c r="G1416" i="2"/>
  <c r="F1416" i="2"/>
  <c r="E1416" i="2"/>
  <c r="D1416" i="2"/>
  <c r="C1416" i="2"/>
  <c r="A1416" i="2"/>
  <c r="M1415" i="2"/>
  <c r="L1415" i="2"/>
  <c r="K1415" i="2"/>
  <c r="J1415" i="2"/>
  <c r="H1415" i="2"/>
  <c r="G1415" i="2"/>
  <c r="F1415" i="2"/>
  <c r="E1415" i="2"/>
  <c r="D1415" i="2"/>
  <c r="C1415" i="2"/>
  <c r="A1415" i="2"/>
  <c r="M1414" i="2"/>
  <c r="L1414" i="2"/>
  <c r="K1414" i="2"/>
  <c r="J1414" i="2"/>
  <c r="H1414" i="2"/>
  <c r="G1414" i="2"/>
  <c r="F1414" i="2"/>
  <c r="E1414" i="2"/>
  <c r="D1414" i="2"/>
  <c r="C1414" i="2"/>
  <c r="A1414" i="2"/>
  <c r="M1413" i="2"/>
  <c r="L1413" i="2"/>
  <c r="K1413" i="2"/>
  <c r="J1413" i="2"/>
  <c r="H1413" i="2"/>
  <c r="G1413" i="2"/>
  <c r="F1413" i="2"/>
  <c r="E1413" i="2"/>
  <c r="D1413" i="2"/>
  <c r="C1413" i="2"/>
  <c r="A1413" i="2"/>
  <c r="M1412" i="2"/>
  <c r="L1412" i="2"/>
  <c r="K1412" i="2"/>
  <c r="J1412" i="2"/>
  <c r="H1412" i="2"/>
  <c r="G1412" i="2"/>
  <c r="F1412" i="2"/>
  <c r="E1412" i="2"/>
  <c r="D1412" i="2"/>
  <c r="C1412" i="2"/>
  <c r="A1412" i="2"/>
  <c r="M1411" i="2"/>
  <c r="L1411" i="2"/>
  <c r="K1411" i="2"/>
  <c r="J1411" i="2"/>
  <c r="H1411" i="2"/>
  <c r="G1411" i="2"/>
  <c r="F1411" i="2"/>
  <c r="E1411" i="2"/>
  <c r="D1411" i="2"/>
  <c r="C1411" i="2"/>
  <c r="A1411" i="2"/>
  <c r="M1410" i="2"/>
  <c r="L1410" i="2"/>
  <c r="K1410" i="2"/>
  <c r="J1410" i="2"/>
  <c r="H1410" i="2"/>
  <c r="G1410" i="2"/>
  <c r="F1410" i="2"/>
  <c r="E1410" i="2"/>
  <c r="D1410" i="2"/>
  <c r="C1410" i="2"/>
  <c r="A1410" i="2"/>
  <c r="M1409" i="2"/>
  <c r="L1409" i="2"/>
  <c r="K1409" i="2"/>
  <c r="J1409" i="2"/>
  <c r="H1409" i="2"/>
  <c r="G1409" i="2"/>
  <c r="F1409" i="2"/>
  <c r="E1409" i="2"/>
  <c r="D1409" i="2"/>
  <c r="C1409" i="2"/>
  <c r="A1409" i="2"/>
  <c r="M1408" i="2"/>
  <c r="L1408" i="2"/>
  <c r="K1408" i="2"/>
  <c r="J1408" i="2"/>
  <c r="H1408" i="2"/>
  <c r="G1408" i="2"/>
  <c r="F1408" i="2"/>
  <c r="E1408" i="2"/>
  <c r="D1408" i="2"/>
  <c r="C1408" i="2"/>
  <c r="A1408" i="2"/>
  <c r="M1407" i="2"/>
  <c r="L1407" i="2"/>
  <c r="K1407" i="2"/>
  <c r="J1407" i="2"/>
  <c r="H1407" i="2"/>
  <c r="G1407" i="2"/>
  <c r="F1407" i="2"/>
  <c r="E1407" i="2"/>
  <c r="D1407" i="2"/>
  <c r="C1407" i="2"/>
  <c r="A1407" i="2"/>
  <c r="M1406" i="2"/>
  <c r="L1406" i="2"/>
  <c r="K1406" i="2"/>
  <c r="J1406" i="2"/>
  <c r="H1406" i="2"/>
  <c r="G1406" i="2"/>
  <c r="F1406" i="2"/>
  <c r="E1406" i="2"/>
  <c r="D1406" i="2"/>
  <c r="C1406" i="2"/>
  <c r="A1406" i="2"/>
  <c r="M1405" i="2"/>
  <c r="L1405" i="2"/>
  <c r="K1405" i="2"/>
  <c r="J1405" i="2"/>
  <c r="H1405" i="2"/>
  <c r="G1405" i="2"/>
  <c r="F1405" i="2"/>
  <c r="E1405" i="2"/>
  <c r="D1405" i="2"/>
  <c r="C1405" i="2"/>
  <c r="A1405" i="2"/>
  <c r="M1404" i="2"/>
  <c r="L1404" i="2"/>
  <c r="K1404" i="2"/>
  <c r="J1404" i="2"/>
  <c r="H1404" i="2"/>
  <c r="G1404" i="2"/>
  <c r="F1404" i="2"/>
  <c r="E1404" i="2"/>
  <c r="D1404" i="2"/>
  <c r="C1404" i="2"/>
  <c r="A1404" i="2"/>
  <c r="M1403" i="2"/>
  <c r="L1403" i="2"/>
  <c r="K1403" i="2"/>
  <c r="J1403" i="2"/>
  <c r="H1403" i="2"/>
  <c r="G1403" i="2"/>
  <c r="F1403" i="2"/>
  <c r="E1403" i="2"/>
  <c r="D1403" i="2"/>
  <c r="C1403" i="2"/>
  <c r="A1403" i="2"/>
  <c r="M1402" i="2"/>
  <c r="L1402" i="2"/>
  <c r="K1402" i="2"/>
  <c r="J1402" i="2"/>
  <c r="H1402" i="2"/>
  <c r="G1402" i="2"/>
  <c r="F1402" i="2"/>
  <c r="E1402" i="2"/>
  <c r="D1402" i="2"/>
  <c r="C1402" i="2"/>
  <c r="A1402" i="2"/>
  <c r="M1401" i="2"/>
  <c r="L1401" i="2"/>
  <c r="K1401" i="2"/>
  <c r="J1401" i="2"/>
  <c r="H1401" i="2"/>
  <c r="G1401" i="2"/>
  <c r="F1401" i="2"/>
  <c r="E1401" i="2"/>
  <c r="D1401" i="2"/>
  <c r="C1401" i="2"/>
  <c r="A1401" i="2"/>
  <c r="M1400" i="2"/>
  <c r="L1400" i="2"/>
  <c r="K1400" i="2"/>
  <c r="J1400" i="2"/>
  <c r="H1400" i="2"/>
  <c r="G1400" i="2"/>
  <c r="F1400" i="2"/>
  <c r="E1400" i="2"/>
  <c r="D1400" i="2"/>
  <c r="C1400" i="2"/>
  <c r="A1400" i="2"/>
  <c r="M1399" i="2"/>
  <c r="L1399" i="2"/>
  <c r="K1399" i="2"/>
  <c r="J1399" i="2"/>
  <c r="H1399" i="2"/>
  <c r="G1399" i="2"/>
  <c r="F1399" i="2"/>
  <c r="E1399" i="2"/>
  <c r="D1399" i="2"/>
  <c r="C1399" i="2"/>
  <c r="A1399" i="2"/>
  <c r="M1398" i="2"/>
  <c r="L1398" i="2"/>
  <c r="K1398" i="2"/>
  <c r="J1398" i="2"/>
  <c r="H1398" i="2"/>
  <c r="G1398" i="2"/>
  <c r="F1398" i="2"/>
  <c r="E1398" i="2"/>
  <c r="D1398" i="2"/>
  <c r="C1398" i="2"/>
  <c r="A1398" i="2"/>
  <c r="M1397" i="2"/>
  <c r="L1397" i="2"/>
  <c r="K1397" i="2"/>
  <c r="J1397" i="2"/>
  <c r="H1397" i="2"/>
  <c r="G1397" i="2"/>
  <c r="F1397" i="2"/>
  <c r="E1397" i="2"/>
  <c r="D1397" i="2"/>
  <c r="C1397" i="2"/>
  <c r="A1397" i="2"/>
  <c r="M1396" i="2"/>
  <c r="L1396" i="2"/>
  <c r="K1396" i="2"/>
  <c r="J1396" i="2"/>
  <c r="H1396" i="2"/>
  <c r="G1396" i="2"/>
  <c r="F1396" i="2"/>
  <c r="E1396" i="2"/>
  <c r="D1396" i="2"/>
  <c r="C1396" i="2"/>
  <c r="A1396" i="2"/>
  <c r="M1395" i="2"/>
  <c r="L1395" i="2"/>
  <c r="K1395" i="2"/>
  <c r="J1395" i="2"/>
  <c r="H1395" i="2"/>
  <c r="G1395" i="2"/>
  <c r="F1395" i="2"/>
  <c r="E1395" i="2"/>
  <c r="D1395" i="2"/>
  <c r="C1395" i="2"/>
  <c r="A1395" i="2"/>
  <c r="M1394" i="2"/>
  <c r="L1394" i="2"/>
  <c r="K1394" i="2"/>
  <c r="J1394" i="2"/>
  <c r="H1394" i="2"/>
  <c r="G1394" i="2"/>
  <c r="F1394" i="2"/>
  <c r="E1394" i="2"/>
  <c r="D1394" i="2"/>
  <c r="C1394" i="2"/>
  <c r="A1394" i="2"/>
  <c r="M1393" i="2"/>
  <c r="L1393" i="2"/>
  <c r="K1393" i="2"/>
  <c r="J1393" i="2"/>
  <c r="H1393" i="2"/>
  <c r="G1393" i="2"/>
  <c r="F1393" i="2"/>
  <c r="E1393" i="2"/>
  <c r="D1393" i="2"/>
  <c r="C1393" i="2"/>
  <c r="A1393" i="2"/>
  <c r="M1392" i="2"/>
  <c r="L1392" i="2"/>
  <c r="K1392" i="2"/>
  <c r="J1392" i="2"/>
  <c r="H1392" i="2"/>
  <c r="G1392" i="2"/>
  <c r="F1392" i="2"/>
  <c r="E1392" i="2"/>
  <c r="D1392" i="2"/>
  <c r="C1392" i="2"/>
  <c r="A1392" i="2"/>
  <c r="M1391" i="2"/>
  <c r="L1391" i="2"/>
  <c r="K1391" i="2"/>
  <c r="J1391" i="2"/>
  <c r="H1391" i="2"/>
  <c r="G1391" i="2"/>
  <c r="F1391" i="2"/>
  <c r="E1391" i="2"/>
  <c r="D1391" i="2"/>
  <c r="C1391" i="2"/>
  <c r="A1391" i="2"/>
  <c r="M1390" i="2"/>
  <c r="L1390" i="2"/>
  <c r="K1390" i="2"/>
  <c r="J1390" i="2"/>
  <c r="H1390" i="2"/>
  <c r="G1390" i="2"/>
  <c r="F1390" i="2"/>
  <c r="E1390" i="2"/>
  <c r="D1390" i="2"/>
  <c r="C1390" i="2"/>
  <c r="A1390" i="2"/>
  <c r="M1389" i="2"/>
  <c r="L1389" i="2"/>
  <c r="K1389" i="2"/>
  <c r="J1389" i="2"/>
  <c r="H1389" i="2"/>
  <c r="G1389" i="2"/>
  <c r="F1389" i="2"/>
  <c r="E1389" i="2"/>
  <c r="D1389" i="2"/>
  <c r="C1389" i="2"/>
  <c r="A1389" i="2"/>
  <c r="M1388" i="2"/>
  <c r="L1388" i="2"/>
  <c r="K1388" i="2"/>
  <c r="J1388" i="2"/>
  <c r="H1388" i="2"/>
  <c r="G1388" i="2"/>
  <c r="F1388" i="2"/>
  <c r="E1388" i="2"/>
  <c r="D1388" i="2"/>
  <c r="C1388" i="2"/>
  <c r="A1388" i="2"/>
  <c r="M1387" i="2"/>
  <c r="L1387" i="2"/>
  <c r="K1387" i="2"/>
  <c r="J1387" i="2"/>
  <c r="H1387" i="2"/>
  <c r="G1387" i="2"/>
  <c r="F1387" i="2"/>
  <c r="E1387" i="2"/>
  <c r="D1387" i="2"/>
  <c r="C1387" i="2"/>
  <c r="A1387" i="2"/>
  <c r="M1386" i="2"/>
  <c r="L1386" i="2"/>
  <c r="K1386" i="2"/>
  <c r="J1386" i="2"/>
  <c r="H1386" i="2"/>
  <c r="G1386" i="2"/>
  <c r="F1386" i="2"/>
  <c r="E1386" i="2"/>
  <c r="D1386" i="2"/>
  <c r="C1386" i="2"/>
  <c r="A1386" i="2"/>
  <c r="M1385" i="2"/>
  <c r="L1385" i="2"/>
  <c r="K1385" i="2"/>
  <c r="J1385" i="2"/>
  <c r="H1385" i="2"/>
  <c r="G1385" i="2"/>
  <c r="F1385" i="2"/>
  <c r="E1385" i="2"/>
  <c r="D1385" i="2"/>
  <c r="C1385" i="2"/>
  <c r="A1385" i="2"/>
  <c r="M1384" i="2"/>
  <c r="L1384" i="2"/>
  <c r="K1384" i="2"/>
  <c r="J1384" i="2"/>
  <c r="H1384" i="2"/>
  <c r="G1384" i="2"/>
  <c r="F1384" i="2"/>
  <c r="E1384" i="2"/>
  <c r="D1384" i="2"/>
  <c r="C1384" i="2"/>
  <c r="A1384" i="2"/>
  <c r="M1383" i="2"/>
  <c r="L1383" i="2"/>
  <c r="K1383" i="2"/>
  <c r="J1383" i="2"/>
  <c r="H1383" i="2"/>
  <c r="G1383" i="2"/>
  <c r="F1383" i="2"/>
  <c r="E1383" i="2"/>
  <c r="D1383" i="2"/>
  <c r="C1383" i="2"/>
  <c r="A1383" i="2"/>
  <c r="M1382" i="2"/>
  <c r="L1382" i="2"/>
  <c r="K1382" i="2"/>
  <c r="J1382" i="2"/>
  <c r="H1382" i="2"/>
  <c r="G1382" i="2"/>
  <c r="F1382" i="2"/>
  <c r="E1382" i="2"/>
  <c r="D1382" i="2"/>
  <c r="C1382" i="2"/>
  <c r="A1382" i="2"/>
  <c r="M1381" i="2"/>
  <c r="L1381" i="2"/>
  <c r="K1381" i="2"/>
  <c r="J1381" i="2"/>
  <c r="H1381" i="2"/>
  <c r="G1381" i="2"/>
  <c r="F1381" i="2"/>
  <c r="E1381" i="2"/>
  <c r="D1381" i="2"/>
  <c r="C1381" i="2"/>
  <c r="A1381" i="2"/>
  <c r="M1380" i="2"/>
  <c r="L1380" i="2"/>
  <c r="K1380" i="2"/>
  <c r="J1380" i="2"/>
  <c r="H1380" i="2"/>
  <c r="G1380" i="2"/>
  <c r="F1380" i="2"/>
  <c r="E1380" i="2"/>
  <c r="D1380" i="2"/>
  <c r="C1380" i="2"/>
  <c r="A1380" i="2"/>
  <c r="M1379" i="2"/>
  <c r="L1379" i="2"/>
  <c r="K1379" i="2"/>
  <c r="J1379" i="2"/>
  <c r="H1379" i="2"/>
  <c r="G1379" i="2"/>
  <c r="F1379" i="2"/>
  <c r="E1379" i="2"/>
  <c r="D1379" i="2"/>
  <c r="C1379" i="2"/>
  <c r="A1379" i="2"/>
  <c r="M1378" i="2"/>
  <c r="L1378" i="2"/>
  <c r="K1378" i="2"/>
  <c r="J1378" i="2"/>
  <c r="H1378" i="2"/>
  <c r="G1378" i="2"/>
  <c r="F1378" i="2"/>
  <c r="E1378" i="2"/>
  <c r="D1378" i="2"/>
  <c r="C1378" i="2"/>
  <c r="A1378" i="2"/>
  <c r="M1377" i="2"/>
  <c r="L1377" i="2"/>
  <c r="K1377" i="2"/>
  <c r="J1377" i="2"/>
  <c r="H1377" i="2"/>
  <c r="G1377" i="2"/>
  <c r="F1377" i="2"/>
  <c r="E1377" i="2"/>
  <c r="D1377" i="2"/>
  <c r="C1377" i="2"/>
  <c r="A1377" i="2"/>
  <c r="M1376" i="2"/>
  <c r="L1376" i="2"/>
  <c r="K1376" i="2"/>
  <c r="J1376" i="2"/>
  <c r="H1376" i="2"/>
  <c r="G1376" i="2"/>
  <c r="F1376" i="2"/>
  <c r="E1376" i="2"/>
  <c r="D1376" i="2"/>
  <c r="C1376" i="2"/>
  <c r="A1376" i="2"/>
  <c r="M1375" i="2"/>
  <c r="L1375" i="2"/>
  <c r="K1375" i="2"/>
  <c r="J1375" i="2"/>
  <c r="H1375" i="2"/>
  <c r="G1375" i="2"/>
  <c r="F1375" i="2"/>
  <c r="E1375" i="2"/>
  <c r="D1375" i="2"/>
  <c r="C1375" i="2"/>
  <c r="A1375" i="2"/>
  <c r="M1374" i="2"/>
  <c r="L1374" i="2"/>
  <c r="K1374" i="2"/>
  <c r="J1374" i="2"/>
  <c r="H1374" i="2"/>
  <c r="G1374" i="2"/>
  <c r="F1374" i="2"/>
  <c r="E1374" i="2"/>
  <c r="D1374" i="2"/>
  <c r="C1374" i="2"/>
  <c r="A1374" i="2"/>
  <c r="M1373" i="2"/>
  <c r="L1373" i="2"/>
  <c r="K1373" i="2"/>
  <c r="J1373" i="2"/>
  <c r="H1373" i="2"/>
  <c r="G1373" i="2"/>
  <c r="F1373" i="2"/>
  <c r="E1373" i="2"/>
  <c r="D1373" i="2"/>
  <c r="C1373" i="2"/>
  <c r="A1373" i="2"/>
  <c r="M1372" i="2"/>
  <c r="L1372" i="2"/>
  <c r="K1372" i="2"/>
  <c r="J1372" i="2"/>
  <c r="H1372" i="2"/>
  <c r="G1372" i="2"/>
  <c r="F1372" i="2"/>
  <c r="E1372" i="2"/>
  <c r="D1372" i="2"/>
  <c r="C1372" i="2"/>
  <c r="A1372" i="2"/>
  <c r="M1371" i="2"/>
  <c r="L1371" i="2"/>
  <c r="K1371" i="2"/>
  <c r="J1371" i="2"/>
  <c r="H1371" i="2"/>
  <c r="G1371" i="2"/>
  <c r="F1371" i="2"/>
  <c r="E1371" i="2"/>
  <c r="D1371" i="2"/>
  <c r="C1371" i="2"/>
  <c r="A1371" i="2"/>
  <c r="M1370" i="2"/>
  <c r="L1370" i="2"/>
  <c r="K1370" i="2"/>
  <c r="J1370" i="2"/>
  <c r="H1370" i="2"/>
  <c r="G1370" i="2"/>
  <c r="F1370" i="2"/>
  <c r="E1370" i="2"/>
  <c r="D1370" i="2"/>
  <c r="C1370" i="2"/>
  <c r="A1370" i="2"/>
  <c r="M1369" i="2"/>
  <c r="L1369" i="2"/>
  <c r="K1369" i="2"/>
  <c r="J1369" i="2"/>
  <c r="H1369" i="2"/>
  <c r="G1369" i="2"/>
  <c r="F1369" i="2"/>
  <c r="E1369" i="2"/>
  <c r="D1369" i="2"/>
  <c r="C1369" i="2"/>
  <c r="A1369" i="2"/>
  <c r="M1368" i="2"/>
  <c r="L1368" i="2"/>
  <c r="K1368" i="2"/>
  <c r="J1368" i="2"/>
  <c r="H1368" i="2"/>
  <c r="G1368" i="2"/>
  <c r="F1368" i="2"/>
  <c r="E1368" i="2"/>
  <c r="D1368" i="2"/>
  <c r="C1368" i="2"/>
  <c r="A1368" i="2"/>
  <c r="M1367" i="2"/>
  <c r="L1367" i="2"/>
  <c r="K1367" i="2"/>
  <c r="J1367" i="2"/>
  <c r="H1367" i="2"/>
  <c r="G1367" i="2"/>
  <c r="F1367" i="2"/>
  <c r="E1367" i="2"/>
  <c r="D1367" i="2"/>
  <c r="C1367" i="2"/>
  <c r="A1367" i="2"/>
  <c r="M1366" i="2"/>
  <c r="L1366" i="2"/>
  <c r="K1366" i="2"/>
  <c r="J1366" i="2"/>
  <c r="H1366" i="2"/>
  <c r="G1366" i="2"/>
  <c r="F1366" i="2"/>
  <c r="E1366" i="2"/>
  <c r="D1366" i="2"/>
  <c r="C1366" i="2"/>
  <c r="A1366" i="2"/>
  <c r="M1365" i="2"/>
  <c r="L1365" i="2"/>
  <c r="K1365" i="2"/>
  <c r="J1365" i="2"/>
  <c r="H1365" i="2"/>
  <c r="G1365" i="2"/>
  <c r="F1365" i="2"/>
  <c r="E1365" i="2"/>
  <c r="D1365" i="2"/>
  <c r="C1365" i="2"/>
  <c r="A1365" i="2"/>
  <c r="M1364" i="2"/>
  <c r="L1364" i="2"/>
  <c r="K1364" i="2"/>
  <c r="J1364" i="2"/>
  <c r="H1364" i="2"/>
  <c r="G1364" i="2"/>
  <c r="F1364" i="2"/>
  <c r="E1364" i="2"/>
  <c r="D1364" i="2"/>
  <c r="C1364" i="2"/>
  <c r="A1364" i="2"/>
  <c r="M1363" i="2"/>
  <c r="L1363" i="2"/>
  <c r="K1363" i="2"/>
  <c r="J1363" i="2"/>
  <c r="H1363" i="2"/>
  <c r="G1363" i="2"/>
  <c r="F1363" i="2"/>
  <c r="E1363" i="2"/>
  <c r="D1363" i="2"/>
  <c r="C1363" i="2"/>
  <c r="A1363" i="2"/>
  <c r="M1362" i="2"/>
  <c r="L1362" i="2"/>
  <c r="K1362" i="2"/>
  <c r="J1362" i="2"/>
  <c r="H1362" i="2"/>
  <c r="G1362" i="2"/>
  <c r="F1362" i="2"/>
  <c r="E1362" i="2"/>
  <c r="D1362" i="2"/>
  <c r="C1362" i="2"/>
  <c r="A1362" i="2"/>
  <c r="M1361" i="2"/>
  <c r="L1361" i="2"/>
  <c r="K1361" i="2"/>
  <c r="J1361" i="2"/>
  <c r="H1361" i="2"/>
  <c r="G1361" i="2"/>
  <c r="F1361" i="2"/>
  <c r="E1361" i="2"/>
  <c r="D1361" i="2"/>
  <c r="C1361" i="2"/>
  <c r="A1361" i="2"/>
  <c r="M1360" i="2"/>
  <c r="L1360" i="2"/>
  <c r="K1360" i="2"/>
  <c r="J1360" i="2"/>
  <c r="H1360" i="2"/>
  <c r="G1360" i="2"/>
  <c r="F1360" i="2"/>
  <c r="E1360" i="2"/>
  <c r="D1360" i="2"/>
  <c r="C1360" i="2"/>
  <c r="A1360" i="2"/>
  <c r="M1359" i="2"/>
  <c r="L1359" i="2"/>
  <c r="K1359" i="2"/>
  <c r="J1359" i="2"/>
  <c r="H1359" i="2"/>
  <c r="G1359" i="2"/>
  <c r="F1359" i="2"/>
  <c r="E1359" i="2"/>
  <c r="D1359" i="2"/>
  <c r="C1359" i="2"/>
  <c r="A1359" i="2"/>
  <c r="M1358" i="2"/>
  <c r="L1358" i="2"/>
  <c r="K1358" i="2"/>
  <c r="J1358" i="2"/>
  <c r="H1358" i="2"/>
  <c r="G1358" i="2"/>
  <c r="F1358" i="2"/>
  <c r="E1358" i="2"/>
  <c r="D1358" i="2"/>
  <c r="C1358" i="2"/>
  <c r="A1358" i="2"/>
  <c r="M1357" i="2"/>
  <c r="L1357" i="2"/>
  <c r="K1357" i="2"/>
  <c r="J1357" i="2"/>
  <c r="H1357" i="2"/>
  <c r="G1357" i="2"/>
  <c r="F1357" i="2"/>
  <c r="E1357" i="2"/>
  <c r="D1357" i="2"/>
  <c r="C1357" i="2"/>
  <c r="A1357" i="2"/>
  <c r="M1356" i="2"/>
  <c r="L1356" i="2"/>
  <c r="K1356" i="2"/>
  <c r="J1356" i="2"/>
  <c r="H1356" i="2"/>
  <c r="G1356" i="2"/>
  <c r="F1356" i="2"/>
  <c r="E1356" i="2"/>
  <c r="D1356" i="2"/>
  <c r="C1356" i="2"/>
  <c r="A1356" i="2"/>
  <c r="M1355" i="2"/>
  <c r="L1355" i="2"/>
  <c r="K1355" i="2"/>
  <c r="J1355" i="2"/>
  <c r="H1355" i="2"/>
  <c r="G1355" i="2"/>
  <c r="F1355" i="2"/>
  <c r="E1355" i="2"/>
  <c r="D1355" i="2"/>
  <c r="C1355" i="2"/>
  <c r="A1355" i="2"/>
  <c r="M1354" i="2"/>
  <c r="L1354" i="2"/>
  <c r="K1354" i="2"/>
  <c r="J1354" i="2"/>
  <c r="H1354" i="2"/>
  <c r="G1354" i="2"/>
  <c r="F1354" i="2"/>
  <c r="E1354" i="2"/>
  <c r="D1354" i="2"/>
  <c r="C1354" i="2"/>
  <c r="A1354" i="2"/>
  <c r="M1353" i="2"/>
  <c r="L1353" i="2"/>
  <c r="K1353" i="2"/>
  <c r="J1353" i="2"/>
  <c r="H1353" i="2"/>
  <c r="G1353" i="2"/>
  <c r="F1353" i="2"/>
  <c r="E1353" i="2"/>
  <c r="D1353" i="2"/>
  <c r="C1353" i="2"/>
  <c r="A1353" i="2"/>
  <c r="M1352" i="2"/>
  <c r="L1352" i="2"/>
  <c r="K1352" i="2"/>
  <c r="J1352" i="2"/>
  <c r="H1352" i="2"/>
  <c r="G1352" i="2"/>
  <c r="F1352" i="2"/>
  <c r="E1352" i="2"/>
  <c r="D1352" i="2"/>
  <c r="C1352" i="2"/>
  <c r="A1352" i="2"/>
  <c r="M1351" i="2"/>
  <c r="L1351" i="2"/>
  <c r="K1351" i="2"/>
  <c r="J1351" i="2"/>
  <c r="H1351" i="2"/>
  <c r="G1351" i="2"/>
  <c r="F1351" i="2"/>
  <c r="E1351" i="2"/>
  <c r="D1351" i="2"/>
  <c r="C1351" i="2"/>
  <c r="A1351" i="2"/>
  <c r="M1350" i="2"/>
  <c r="L1350" i="2"/>
  <c r="K1350" i="2"/>
  <c r="J1350" i="2"/>
  <c r="H1350" i="2"/>
  <c r="G1350" i="2"/>
  <c r="F1350" i="2"/>
  <c r="E1350" i="2"/>
  <c r="D1350" i="2"/>
  <c r="C1350" i="2"/>
  <c r="A1350" i="2"/>
  <c r="M1349" i="2"/>
  <c r="L1349" i="2"/>
  <c r="K1349" i="2"/>
  <c r="J1349" i="2"/>
  <c r="H1349" i="2"/>
  <c r="G1349" i="2"/>
  <c r="F1349" i="2"/>
  <c r="E1349" i="2"/>
  <c r="D1349" i="2"/>
  <c r="C1349" i="2"/>
  <c r="A1349" i="2"/>
  <c r="M1348" i="2"/>
  <c r="L1348" i="2"/>
  <c r="K1348" i="2"/>
  <c r="J1348" i="2"/>
  <c r="H1348" i="2"/>
  <c r="G1348" i="2"/>
  <c r="F1348" i="2"/>
  <c r="E1348" i="2"/>
  <c r="D1348" i="2"/>
  <c r="C1348" i="2"/>
  <c r="A1348" i="2"/>
  <c r="M1347" i="2"/>
  <c r="L1347" i="2"/>
  <c r="K1347" i="2"/>
  <c r="J1347" i="2"/>
  <c r="H1347" i="2"/>
  <c r="G1347" i="2"/>
  <c r="F1347" i="2"/>
  <c r="E1347" i="2"/>
  <c r="D1347" i="2"/>
  <c r="C1347" i="2"/>
  <c r="A1347" i="2"/>
  <c r="M1346" i="2"/>
  <c r="L1346" i="2"/>
  <c r="K1346" i="2"/>
  <c r="J1346" i="2"/>
  <c r="H1346" i="2"/>
  <c r="G1346" i="2"/>
  <c r="F1346" i="2"/>
  <c r="E1346" i="2"/>
  <c r="D1346" i="2"/>
  <c r="C1346" i="2"/>
  <c r="A1346" i="2"/>
  <c r="M1345" i="2"/>
  <c r="L1345" i="2"/>
  <c r="K1345" i="2"/>
  <c r="J1345" i="2"/>
  <c r="H1345" i="2"/>
  <c r="G1345" i="2"/>
  <c r="F1345" i="2"/>
  <c r="E1345" i="2"/>
  <c r="D1345" i="2"/>
  <c r="C1345" i="2"/>
  <c r="A1345" i="2"/>
  <c r="M1344" i="2"/>
  <c r="L1344" i="2"/>
  <c r="K1344" i="2"/>
  <c r="J1344" i="2"/>
  <c r="H1344" i="2"/>
  <c r="G1344" i="2"/>
  <c r="F1344" i="2"/>
  <c r="E1344" i="2"/>
  <c r="D1344" i="2"/>
  <c r="C1344" i="2"/>
  <c r="A1344" i="2"/>
  <c r="M1343" i="2"/>
  <c r="L1343" i="2"/>
  <c r="K1343" i="2"/>
  <c r="J1343" i="2"/>
  <c r="H1343" i="2"/>
  <c r="G1343" i="2"/>
  <c r="F1343" i="2"/>
  <c r="E1343" i="2"/>
  <c r="D1343" i="2"/>
  <c r="C1343" i="2"/>
  <c r="A1343" i="2"/>
  <c r="M1342" i="2"/>
  <c r="L1342" i="2"/>
  <c r="K1342" i="2"/>
  <c r="J1342" i="2"/>
  <c r="H1342" i="2"/>
  <c r="G1342" i="2"/>
  <c r="F1342" i="2"/>
  <c r="E1342" i="2"/>
  <c r="D1342" i="2"/>
  <c r="C1342" i="2"/>
  <c r="A1342" i="2"/>
  <c r="M1341" i="2"/>
  <c r="L1341" i="2"/>
  <c r="K1341" i="2"/>
  <c r="J1341" i="2"/>
  <c r="H1341" i="2"/>
  <c r="G1341" i="2"/>
  <c r="F1341" i="2"/>
  <c r="E1341" i="2"/>
  <c r="D1341" i="2"/>
  <c r="C1341" i="2"/>
  <c r="A1341" i="2"/>
  <c r="M1340" i="2"/>
  <c r="L1340" i="2"/>
  <c r="K1340" i="2"/>
  <c r="J1340" i="2"/>
  <c r="H1340" i="2"/>
  <c r="G1340" i="2"/>
  <c r="F1340" i="2"/>
  <c r="E1340" i="2"/>
  <c r="D1340" i="2"/>
  <c r="C1340" i="2"/>
  <c r="A1340" i="2"/>
  <c r="M1339" i="2"/>
  <c r="L1339" i="2"/>
  <c r="K1339" i="2"/>
  <c r="J1339" i="2"/>
  <c r="H1339" i="2"/>
  <c r="G1339" i="2"/>
  <c r="F1339" i="2"/>
  <c r="E1339" i="2"/>
  <c r="D1339" i="2"/>
  <c r="C1339" i="2"/>
  <c r="A1339" i="2"/>
  <c r="M1338" i="2"/>
  <c r="L1338" i="2"/>
  <c r="K1338" i="2"/>
  <c r="J1338" i="2"/>
  <c r="H1338" i="2"/>
  <c r="G1338" i="2"/>
  <c r="F1338" i="2"/>
  <c r="E1338" i="2"/>
  <c r="D1338" i="2"/>
  <c r="C1338" i="2"/>
  <c r="A1338" i="2"/>
  <c r="M1337" i="2"/>
  <c r="L1337" i="2"/>
  <c r="K1337" i="2"/>
  <c r="J1337" i="2"/>
  <c r="H1337" i="2"/>
  <c r="G1337" i="2"/>
  <c r="F1337" i="2"/>
  <c r="E1337" i="2"/>
  <c r="D1337" i="2"/>
  <c r="C1337" i="2"/>
  <c r="A1337" i="2"/>
  <c r="M1336" i="2"/>
  <c r="L1336" i="2"/>
  <c r="K1336" i="2"/>
  <c r="J1336" i="2"/>
  <c r="H1336" i="2"/>
  <c r="G1336" i="2"/>
  <c r="F1336" i="2"/>
  <c r="E1336" i="2"/>
  <c r="D1336" i="2"/>
  <c r="C1336" i="2"/>
  <c r="A1336" i="2"/>
  <c r="M1335" i="2"/>
  <c r="L1335" i="2"/>
  <c r="K1335" i="2"/>
  <c r="J1335" i="2"/>
  <c r="H1335" i="2"/>
  <c r="G1335" i="2"/>
  <c r="F1335" i="2"/>
  <c r="E1335" i="2"/>
  <c r="D1335" i="2"/>
  <c r="C1335" i="2"/>
  <c r="A1335" i="2"/>
  <c r="M1334" i="2"/>
  <c r="L1334" i="2"/>
  <c r="K1334" i="2"/>
  <c r="J1334" i="2"/>
  <c r="H1334" i="2"/>
  <c r="G1334" i="2"/>
  <c r="F1334" i="2"/>
  <c r="E1334" i="2"/>
  <c r="D1334" i="2"/>
  <c r="C1334" i="2"/>
  <c r="A1334" i="2"/>
  <c r="M1333" i="2"/>
  <c r="L1333" i="2"/>
  <c r="K1333" i="2"/>
  <c r="J1333" i="2"/>
  <c r="H1333" i="2"/>
  <c r="G1333" i="2"/>
  <c r="F1333" i="2"/>
  <c r="E1333" i="2"/>
  <c r="D1333" i="2"/>
  <c r="C1333" i="2"/>
  <c r="A1333" i="2"/>
  <c r="M1332" i="2"/>
  <c r="L1332" i="2"/>
  <c r="K1332" i="2"/>
  <c r="J1332" i="2"/>
  <c r="H1332" i="2"/>
  <c r="G1332" i="2"/>
  <c r="E1332" i="2"/>
  <c r="D1332" i="2"/>
  <c r="C1332" i="2"/>
  <c r="A1332" i="2"/>
  <c r="M1331" i="2"/>
  <c r="L1331" i="2"/>
  <c r="K1331" i="2"/>
  <c r="J1331" i="2"/>
  <c r="H1331" i="2"/>
  <c r="G1331" i="2"/>
  <c r="F1331" i="2"/>
  <c r="E1331" i="2"/>
  <c r="D1331" i="2"/>
  <c r="C1331" i="2"/>
  <c r="A1331" i="2"/>
  <c r="M1330" i="2"/>
  <c r="L1330" i="2"/>
  <c r="K1330" i="2"/>
  <c r="J1330" i="2"/>
  <c r="H1330" i="2"/>
  <c r="G1330" i="2"/>
  <c r="F1330" i="2"/>
  <c r="E1330" i="2"/>
  <c r="D1330" i="2"/>
  <c r="C1330" i="2"/>
  <c r="A1330" i="2"/>
  <c r="M1329" i="2"/>
  <c r="L1329" i="2"/>
  <c r="K1329" i="2"/>
  <c r="J1329" i="2"/>
  <c r="H1329" i="2"/>
  <c r="G1329" i="2"/>
  <c r="F1329" i="2"/>
  <c r="E1329" i="2"/>
  <c r="D1329" i="2"/>
  <c r="C1329" i="2"/>
  <c r="A1329" i="2"/>
  <c r="M1328" i="2"/>
  <c r="L1328" i="2"/>
  <c r="K1328" i="2"/>
  <c r="J1328" i="2"/>
  <c r="H1328" i="2"/>
  <c r="G1328" i="2"/>
  <c r="E1328" i="2"/>
  <c r="D1328" i="2"/>
  <c r="C1328" i="2"/>
  <c r="A1328" i="2"/>
  <c r="M1327" i="2"/>
  <c r="L1327" i="2"/>
  <c r="K1327" i="2"/>
  <c r="J1327" i="2"/>
  <c r="H1327" i="2"/>
  <c r="G1327" i="2"/>
  <c r="E1327" i="2"/>
  <c r="D1327" i="2"/>
  <c r="C1327" i="2"/>
  <c r="A1327" i="2"/>
  <c r="M1326" i="2"/>
  <c r="L1326" i="2"/>
  <c r="K1326" i="2"/>
  <c r="J1326" i="2"/>
  <c r="H1326" i="2"/>
  <c r="G1326" i="2"/>
  <c r="F1326" i="2"/>
  <c r="E1326" i="2"/>
  <c r="D1326" i="2"/>
  <c r="C1326" i="2"/>
  <c r="A1326" i="2"/>
  <c r="M1325" i="2"/>
  <c r="L1325" i="2"/>
  <c r="K1325" i="2"/>
  <c r="J1325" i="2"/>
  <c r="H1325" i="2"/>
  <c r="G1325" i="2"/>
  <c r="F1325" i="2"/>
  <c r="E1325" i="2"/>
  <c r="D1325" i="2"/>
  <c r="C1325" i="2"/>
  <c r="A1325" i="2"/>
  <c r="M1324" i="2"/>
  <c r="L1324" i="2"/>
  <c r="K1324" i="2"/>
  <c r="J1324" i="2"/>
  <c r="H1324" i="2"/>
  <c r="G1324" i="2"/>
  <c r="F1324" i="2"/>
  <c r="E1324" i="2"/>
  <c r="D1324" i="2"/>
  <c r="C1324" i="2"/>
  <c r="A1324" i="2"/>
  <c r="M1323" i="2"/>
  <c r="L1323" i="2"/>
  <c r="K1323" i="2"/>
  <c r="J1323" i="2"/>
  <c r="H1323" i="2"/>
  <c r="G1323" i="2"/>
  <c r="F1323" i="2"/>
  <c r="E1323" i="2"/>
  <c r="D1323" i="2"/>
  <c r="C1323" i="2"/>
  <c r="A1323" i="2"/>
  <c r="M1322" i="2"/>
  <c r="L1322" i="2"/>
  <c r="K1322" i="2"/>
  <c r="J1322" i="2"/>
  <c r="H1322" i="2"/>
  <c r="G1322" i="2"/>
  <c r="F1322" i="2"/>
  <c r="E1322" i="2"/>
  <c r="D1322" i="2"/>
  <c r="C1322" i="2"/>
  <c r="A1322" i="2"/>
  <c r="M1321" i="2"/>
  <c r="L1321" i="2"/>
  <c r="K1321" i="2"/>
  <c r="J1321" i="2"/>
  <c r="I1321" i="2"/>
  <c r="H1321" i="2"/>
  <c r="G1321" i="2"/>
  <c r="F1321" i="2"/>
  <c r="E1321" i="2"/>
  <c r="D1321" i="2"/>
  <c r="C1321" i="2"/>
  <c r="B1321" i="2"/>
  <c r="M1320" i="2"/>
  <c r="L1320" i="2"/>
  <c r="K1320" i="2"/>
  <c r="J1320" i="2"/>
  <c r="H1320" i="2"/>
  <c r="G1320" i="2"/>
  <c r="F1320" i="2"/>
  <c r="E1320" i="2"/>
  <c r="D1320" i="2"/>
  <c r="C1320" i="2"/>
  <c r="A1320" i="2"/>
  <c r="M1319" i="2"/>
  <c r="L1319" i="2"/>
  <c r="K1319" i="2"/>
  <c r="J1319" i="2"/>
  <c r="H1319" i="2"/>
  <c r="G1319" i="2"/>
  <c r="F1319" i="2"/>
  <c r="E1319" i="2"/>
  <c r="D1319" i="2"/>
  <c r="C1319" i="2"/>
  <c r="A1319" i="2"/>
  <c r="M1318" i="2"/>
  <c r="L1318" i="2"/>
  <c r="K1318" i="2"/>
  <c r="J1318" i="2"/>
  <c r="H1318" i="2"/>
  <c r="G1318" i="2"/>
  <c r="F1318" i="2"/>
  <c r="E1318" i="2"/>
  <c r="D1318" i="2"/>
  <c r="C1318" i="2"/>
  <c r="A1318" i="2"/>
  <c r="M1317" i="2"/>
  <c r="L1317" i="2"/>
  <c r="K1317" i="2"/>
  <c r="J1317" i="2"/>
  <c r="H1317" i="2"/>
  <c r="G1317" i="2"/>
  <c r="F1317" i="2"/>
  <c r="E1317" i="2"/>
  <c r="D1317" i="2"/>
  <c r="C1317" i="2"/>
  <c r="A1317" i="2"/>
  <c r="M1316" i="2"/>
  <c r="L1316" i="2"/>
  <c r="K1316" i="2"/>
  <c r="J1316" i="2"/>
  <c r="H1316" i="2"/>
  <c r="G1316" i="2"/>
  <c r="F1316" i="2"/>
  <c r="E1316" i="2"/>
  <c r="D1316" i="2"/>
  <c r="C1316" i="2"/>
  <c r="A1316" i="2"/>
  <c r="M1315" i="2"/>
  <c r="L1315" i="2"/>
  <c r="K1315" i="2"/>
  <c r="J1315" i="2"/>
  <c r="H1315" i="2"/>
  <c r="G1315" i="2"/>
  <c r="F1315" i="2"/>
  <c r="E1315" i="2"/>
  <c r="D1315" i="2"/>
  <c r="C1315" i="2"/>
  <c r="A1315" i="2"/>
  <c r="M1314" i="2"/>
  <c r="L1314" i="2"/>
  <c r="K1314" i="2"/>
  <c r="J1314" i="2"/>
  <c r="H1314" i="2"/>
  <c r="G1314" i="2"/>
  <c r="F1314" i="2"/>
  <c r="E1314" i="2"/>
  <c r="D1314" i="2"/>
  <c r="C1314" i="2"/>
  <c r="A1314" i="2"/>
  <c r="M1313" i="2"/>
  <c r="L1313" i="2"/>
  <c r="K1313" i="2"/>
  <c r="J1313" i="2"/>
  <c r="H1313" i="2"/>
  <c r="G1313" i="2"/>
  <c r="F1313" i="2"/>
  <c r="E1313" i="2"/>
  <c r="D1313" i="2"/>
  <c r="C1313" i="2"/>
  <c r="A1313" i="2"/>
  <c r="M1312" i="2"/>
  <c r="L1312" i="2"/>
  <c r="K1312" i="2"/>
  <c r="J1312" i="2"/>
  <c r="H1312" i="2"/>
  <c r="G1312" i="2"/>
  <c r="F1312" i="2"/>
  <c r="E1312" i="2"/>
  <c r="D1312" i="2"/>
  <c r="C1312" i="2"/>
  <c r="A1312" i="2"/>
  <c r="M1311" i="2"/>
  <c r="L1311" i="2"/>
  <c r="K1311" i="2"/>
  <c r="J1311" i="2"/>
  <c r="H1311" i="2"/>
  <c r="G1311" i="2"/>
  <c r="F1311" i="2"/>
  <c r="E1311" i="2"/>
  <c r="D1311" i="2"/>
  <c r="C1311" i="2"/>
  <c r="A1311" i="2"/>
  <c r="M1310" i="2"/>
  <c r="L1310" i="2"/>
  <c r="K1310" i="2"/>
  <c r="J1310" i="2"/>
  <c r="H1310" i="2"/>
  <c r="G1310" i="2"/>
  <c r="F1310" i="2"/>
  <c r="E1310" i="2"/>
  <c r="D1310" i="2"/>
  <c r="C1310" i="2"/>
  <c r="A1310" i="2"/>
  <c r="M1309" i="2"/>
  <c r="L1309" i="2"/>
  <c r="K1309" i="2"/>
  <c r="J1309" i="2"/>
  <c r="H1309" i="2"/>
  <c r="G1309" i="2"/>
  <c r="F1309" i="2"/>
  <c r="E1309" i="2"/>
  <c r="D1309" i="2"/>
  <c r="C1309" i="2"/>
  <c r="A1309" i="2"/>
  <c r="M1308" i="2"/>
  <c r="L1308" i="2"/>
  <c r="K1308" i="2"/>
  <c r="J1308" i="2"/>
  <c r="H1308" i="2"/>
  <c r="G1308" i="2"/>
  <c r="F1308" i="2"/>
  <c r="E1308" i="2"/>
  <c r="D1308" i="2"/>
  <c r="C1308" i="2"/>
  <c r="A1308" i="2"/>
  <c r="M1307" i="2"/>
  <c r="L1307" i="2"/>
  <c r="K1307" i="2"/>
  <c r="J1307" i="2"/>
  <c r="H1307" i="2"/>
  <c r="G1307" i="2"/>
  <c r="F1307" i="2"/>
  <c r="E1307" i="2"/>
  <c r="D1307" i="2"/>
  <c r="C1307" i="2"/>
  <c r="A1307" i="2"/>
  <c r="M1306" i="2"/>
  <c r="L1306" i="2"/>
  <c r="K1306" i="2"/>
  <c r="J1306" i="2"/>
  <c r="H1306" i="2"/>
  <c r="G1306" i="2"/>
  <c r="F1306" i="2"/>
  <c r="E1306" i="2"/>
  <c r="D1306" i="2"/>
  <c r="C1306" i="2"/>
  <c r="A1306" i="2"/>
  <c r="M1305" i="2"/>
  <c r="L1305" i="2"/>
  <c r="K1305" i="2"/>
  <c r="J1305" i="2"/>
  <c r="H1305" i="2"/>
  <c r="G1305" i="2"/>
  <c r="F1305" i="2"/>
  <c r="E1305" i="2"/>
  <c r="D1305" i="2"/>
  <c r="C1305" i="2"/>
  <c r="A1305" i="2"/>
  <c r="M1304" i="2"/>
  <c r="L1304" i="2"/>
  <c r="K1304" i="2"/>
  <c r="J1304" i="2"/>
  <c r="H1304" i="2"/>
  <c r="G1304" i="2"/>
  <c r="F1304" i="2"/>
  <c r="E1304" i="2"/>
  <c r="D1304" i="2"/>
  <c r="C1304" i="2"/>
  <c r="A1304" i="2"/>
  <c r="M1303" i="2"/>
  <c r="L1303" i="2"/>
  <c r="K1303" i="2"/>
  <c r="J1303" i="2"/>
  <c r="H1303" i="2"/>
  <c r="G1303" i="2"/>
  <c r="F1303" i="2"/>
  <c r="E1303" i="2"/>
  <c r="D1303" i="2"/>
  <c r="C1303" i="2"/>
  <c r="A1303" i="2"/>
  <c r="M1302" i="2"/>
  <c r="L1302" i="2"/>
  <c r="K1302" i="2"/>
  <c r="J1302" i="2"/>
  <c r="H1302" i="2"/>
  <c r="G1302" i="2"/>
  <c r="F1302" i="2"/>
  <c r="E1302" i="2"/>
  <c r="D1302" i="2"/>
  <c r="C1302" i="2"/>
  <c r="A1302" i="2"/>
  <c r="M1301" i="2"/>
  <c r="L1301" i="2"/>
  <c r="K1301" i="2"/>
  <c r="J1301" i="2"/>
  <c r="H1301" i="2"/>
  <c r="G1301" i="2"/>
  <c r="F1301" i="2"/>
  <c r="E1301" i="2"/>
  <c r="D1301" i="2"/>
  <c r="C1301" i="2"/>
  <c r="A1301" i="2"/>
  <c r="M1300" i="2"/>
  <c r="L1300" i="2"/>
  <c r="K1300" i="2"/>
  <c r="J1300" i="2"/>
  <c r="H1300" i="2"/>
  <c r="G1300" i="2"/>
  <c r="F1300" i="2"/>
  <c r="E1300" i="2"/>
  <c r="D1300" i="2"/>
  <c r="C1300" i="2"/>
  <c r="A1300" i="2"/>
  <c r="M1299" i="2"/>
  <c r="L1299" i="2"/>
  <c r="K1299" i="2"/>
  <c r="J1299" i="2"/>
  <c r="H1299" i="2"/>
  <c r="G1299" i="2"/>
  <c r="F1299" i="2"/>
  <c r="E1299" i="2"/>
  <c r="D1299" i="2"/>
  <c r="C1299" i="2"/>
  <c r="A1299" i="2"/>
  <c r="M1298" i="2"/>
  <c r="L1298" i="2"/>
  <c r="K1298" i="2"/>
  <c r="J1298" i="2"/>
  <c r="H1298" i="2"/>
  <c r="G1298" i="2"/>
  <c r="F1298" i="2"/>
  <c r="E1298" i="2"/>
  <c r="D1298" i="2"/>
  <c r="C1298" i="2"/>
  <c r="A1298" i="2"/>
  <c r="M1297" i="2"/>
  <c r="L1297" i="2"/>
  <c r="K1297" i="2"/>
  <c r="J1297" i="2"/>
  <c r="H1297" i="2"/>
  <c r="G1297" i="2"/>
  <c r="F1297" i="2"/>
  <c r="E1297" i="2"/>
  <c r="D1297" i="2"/>
  <c r="C1297" i="2"/>
  <c r="A1297" i="2"/>
  <c r="M1296" i="2"/>
  <c r="L1296" i="2"/>
  <c r="K1296" i="2"/>
  <c r="J1296" i="2"/>
  <c r="H1296" i="2"/>
  <c r="G1296" i="2"/>
  <c r="F1296" i="2"/>
  <c r="E1296" i="2"/>
  <c r="D1296" i="2"/>
  <c r="C1296" i="2"/>
  <c r="A1296" i="2"/>
  <c r="M1295" i="2"/>
  <c r="L1295" i="2"/>
  <c r="K1295" i="2"/>
  <c r="J1295" i="2"/>
  <c r="H1295" i="2"/>
  <c r="G1295" i="2"/>
  <c r="F1295" i="2"/>
  <c r="E1295" i="2"/>
  <c r="D1295" i="2"/>
  <c r="C1295" i="2"/>
  <c r="A1295" i="2"/>
  <c r="M1294" i="2"/>
  <c r="L1294" i="2"/>
  <c r="K1294" i="2"/>
  <c r="J1294" i="2"/>
  <c r="H1294" i="2"/>
  <c r="G1294" i="2"/>
  <c r="F1294" i="2"/>
  <c r="E1294" i="2"/>
  <c r="D1294" i="2"/>
  <c r="C1294" i="2"/>
  <c r="A1294" i="2"/>
  <c r="M1293" i="2"/>
  <c r="L1293" i="2"/>
  <c r="K1293" i="2"/>
  <c r="J1293" i="2"/>
  <c r="H1293" i="2"/>
  <c r="G1293" i="2"/>
  <c r="F1293" i="2"/>
  <c r="E1293" i="2"/>
  <c r="D1293" i="2"/>
  <c r="C1293" i="2"/>
  <c r="A1293" i="2"/>
  <c r="M1292" i="2"/>
  <c r="L1292" i="2"/>
  <c r="K1292" i="2"/>
  <c r="J1292" i="2"/>
  <c r="H1292" i="2"/>
  <c r="G1292" i="2"/>
  <c r="F1292" i="2"/>
  <c r="E1292" i="2"/>
  <c r="D1292" i="2"/>
  <c r="C1292" i="2"/>
  <c r="A1292" i="2"/>
  <c r="M1291" i="2"/>
  <c r="L1291" i="2"/>
  <c r="K1291" i="2"/>
  <c r="J1291" i="2"/>
  <c r="H1291" i="2"/>
  <c r="G1291" i="2"/>
  <c r="F1291" i="2"/>
  <c r="E1291" i="2"/>
  <c r="D1291" i="2"/>
  <c r="C1291" i="2"/>
  <c r="A1291" i="2"/>
  <c r="M1290" i="2"/>
  <c r="L1290" i="2"/>
  <c r="K1290" i="2"/>
  <c r="J1290" i="2"/>
  <c r="H1290" i="2"/>
  <c r="G1290" i="2"/>
  <c r="F1290" i="2"/>
  <c r="E1290" i="2"/>
  <c r="D1290" i="2"/>
  <c r="C1290" i="2"/>
  <c r="A1290" i="2"/>
  <c r="M1289" i="2"/>
  <c r="L1289" i="2"/>
  <c r="K1289" i="2"/>
  <c r="J1289" i="2"/>
  <c r="H1289" i="2"/>
  <c r="G1289" i="2"/>
  <c r="F1289" i="2"/>
  <c r="E1289" i="2"/>
  <c r="D1289" i="2"/>
  <c r="C1289" i="2"/>
  <c r="A1289" i="2"/>
  <c r="M1288" i="2"/>
  <c r="L1288" i="2"/>
  <c r="K1288" i="2"/>
  <c r="J1288" i="2"/>
  <c r="H1288" i="2"/>
  <c r="G1288" i="2"/>
  <c r="F1288" i="2"/>
  <c r="E1288" i="2"/>
  <c r="D1288" i="2"/>
  <c r="C1288" i="2"/>
  <c r="A1288" i="2"/>
  <c r="M1287" i="2"/>
  <c r="L1287" i="2"/>
  <c r="K1287" i="2"/>
  <c r="J1287" i="2"/>
  <c r="H1287" i="2"/>
  <c r="G1287" i="2"/>
  <c r="F1287" i="2"/>
  <c r="E1287" i="2"/>
  <c r="D1287" i="2"/>
  <c r="C1287" i="2"/>
  <c r="A1287" i="2"/>
  <c r="M1286" i="2"/>
  <c r="L1286" i="2"/>
  <c r="K1286" i="2"/>
  <c r="J1286" i="2"/>
  <c r="H1286" i="2"/>
  <c r="G1286" i="2"/>
  <c r="F1286" i="2"/>
  <c r="E1286" i="2"/>
  <c r="D1286" i="2"/>
  <c r="C1286" i="2"/>
  <c r="A1286" i="2"/>
  <c r="M1285" i="2"/>
  <c r="L1285" i="2"/>
  <c r="K1285" i="2"/>
  <c r="J1285" i="2"/>
  <c r="H1285" i="2"/>
  <c r="G1285" i="2"/>
  <c r="F1285" i="2"/>
  <c r="E1285" i="2"/>
  <c r="D1285" i="2"/>
  <c r="C1285" i="2"/>
  <c r="A1285" i="2"/>
  <c r="M1284" i="2"/>
  <c r="L1284" i="2"/>
  <c r="K1284" i="2"/>
  <c r="J1284" i="2"/>
  <c r="H1284" i="2"/>
  <c r="G1284" i="2"/>
  <c r="F1284" i="2"/>
  <c r="E1284" i="2"/>
  <c r="D1284" i="2"/>
  <c r="C1284" i="2"/>
  <c r="A1284" i="2"/>
  <c r="M1283" i="2"/>
  <c r="L1283" i="2"/>
  <c r="K1283" i="2"/>
  <c r="J1283" i="2"/>
  <c r="H1283" i="2"/>
  <c r="G1283" i="2"/>
  <c r="F1283" i="2"/>
  <c r="E1283" i="2"/>
  <c r="D1283" i="2"/>
  <c r="C1283" i="2"/>
  <c r="A1283" i="2"/>
  <c r="M1282" i="2"/>
  <c r="L1282" i="2"/>
  <c r="K1282" i="2"/>
  <c r="J1282" i="2"/>
  <c r="H1282" i="2"/>
  <c r="G1282" i="2"/>
  <c r="F1282" i="2"/>
  <c r="E1282" i="2"/>
  <c r="D1282" i="2"/>
  <c r="C1282" i="2"/>
  <c r="A1282" i="2"/>
  <c r="M1281" i="2"/>
  <c r="L1281" i="2"/>
  <c r="K1281" i="2"/>
  <c r="J1281" i="2"/>
  <c r="H1281" i="2"/>
  <c r="G1281" i="2"/>
  <c r="F1281" i="2"/>
  <c r="E1281" i="2"/>
  <c r="D1281" i="2"/>
  <c r="C1281" i="2"/>
  <c r="A1281" i="2"/>
  <c r="M1280" i="2"/>
  <c r="L1280" i="2"/>
  <c r="K1280" i="2"/>
  <c r="J1280" i="2"/>
  <c r="H1280" i="2"/>
  <c r="G1280" i="2"/>
  <c r="F1280" i="2"/>
  <c r="E1280" i="2"/>
  <c r="D1280" i="2"/>
  <c r="C1280" i="2"/>
  <c r="A1280" i="2"/>
  <c r="M1279" i="2"/>
  <c r="L1279" i="2"/>
  <c r="K1279" i="2"/>
  <c r="J1279" i="2"/>
  <c r="H1279" i="2"/>
  <c r="G1279" i="2"/>
  <c r="F1279" i="2"/>
  <c r="E1279" i="2"/>
  <c r="D1279" i="2"/>
  <c r="C1279" i="2"/>
  <c r="A1279" i="2"/>
  <c r="M1278" i="2"/>
  <c r="L1278" i="2"/>
  <c r="K1278" i="2"/>
  <c r="J1278" i="2"/>
  <c r="H1278" i="2"/>
  <c r="G1278" i="2"/>
  <c r="E1278" i="2"/>
  <c r="D1278" i="2"/>
  <c r="C1278" i="2"/>
  <c r="A1278" i="2"/>
  <c r="M1277" i="2"/>
  <c r="L1277" i="2"/>
  <c r="K1277" i="2"/>
  <c r="J1277" i="2"/>
  <c r="H1277" i="2"/>
  <c r="G1277" i="2"/>
  <c r="F1277" i="2"/>
  <c r="E1277" i="2"/>
  <c r="D1277" i="2"/>
  <c r="C1277" i="2"/>
  <c r="A1277" i="2"/>
  <c r="M1276" i="2"/>
  <c r="L1276" i="2"/>
  <c r="K1276" i="2"/>
  <c r="J1276" i="2"/>
  <c r="H1276" i="2"/>
  <c r="G1276" i="2"/>
  <c r="F1276" i="2"/>
  <c r="E1276" i="2"/>
  <c r="D1276" i="2"/>
  <c r="C1276" i="2"/>
  <c r="A1276" i="2"/>
  <c r="M1275" i="2"/>
  <c r="L1275" i="2"/>
  <c r="K1275" i="2"/>
  <c r="J1275" i="2"/>
  <c r="H1275" i="2"/>
  <c r="G1275" i="2"/>
  <c r="F1275" i="2"/>
  <c r="E1275" i="2"/>
  <c r="D1275" i="2"/>
  <c r="C1275" i="2"/>
  <c r="A1275" i="2"/>
  <c r="M1274" i="2"/>
  <c r="L1274" i="2"/>
  <c r="K1274" i="2"/>
  <c r="J1274" i="2"/>
  <c r="H1274" i="2"/>
  <c r="G1274" i="2"/>
  <c r="F1274" i="2"/>
  <c r="E1274" i="2"/>
  <c r="D1274" i="2"/>
  <c r="C1274" i="2"/>
  <c r="A1274" i="2"/>
  <c r="M1273" i="2"/>
  <c r="L1273" i="2"/>
  <c r="K1273" i="2"/>
  <c r="J1273" i="2"/>
  <c r="H1273" i="2"/>
  <c r="G1273" i="2"/>
  <c r="F1273" i="2"/>
  <c r="E1273" i="2"/>
  <c r="D1273" i="2"/>
  <c r="C1273" i="2"/>
  <c r="A1273" i="2"/>
  <c r="M1272" i="2"/>
  <c r="L1272" i="2"/>
  <c r="K1272" i="2"/>
  <c r="J1272" i="2"/>
  <c r="H1272" i="2"/>
  <c r="G1272" i="2"/>
  <c r="F1272" i="2"/>
  <c r="E1272" i="2"/>
  <c r="D1272" i="2"/>
  <c r="C1272" i="2"/>
  <c r="A1272" i="2"/>
  <c r="M1271" i="2"/>
  <c r="L1271" i="2"/>
  <c r="K1271" i="2"/>
  <c r="J1271" i="2"/>
  <c r="H1271" i="2"/>
  <c r="G1271" i="2"/>
  <c r="F1271" i="2"/>
  <c r="E1271" i="2"/>
  <c r="D1271" i="2"/>
  <c r="C1271" i="2"/>
  <c r="A1271" i="2"/>
  <c r="M1270" i="2"/>
  <c r="L1270" i="2"/>
  <c r="K1270" i="2"/>
  <c r="J1270" i="2"/>
  <c r="H1270" i="2"/>
  <c r="G1270" i="2"/>
  <c r="F1270" i="2"/>
  <c r="E1270" i="2"/>
  <c r="D1270" i="2"/>
  <c r="C1270" i="2"/>
  <c r="A1270" i="2"/>
  <c r="M1269" i="2"/>
  <c r="L1269" i="2"/>
  <c r="K1269" i="2"/>
  <c r="J1269" i="2"/>
  <c r="H1269" i="2"/>
  <c r="G1269" i="2"/>
  <c r="F1269" i="2"/>
  <c r="E1269" i="2"/>
  <c r="D1269" i="2"/>
  <c r="C1269" i="2"/>
  <c r="A1269" i="2"/>
  <c r="M1268" i="2"/>
  <c r="L1268" i="2"/>
  <c r="K1268" i="2"/>
  <c r="J1268" i="2"/>
  <c r="H1268" i="2"/>
  <c r="G1268" i="2"/>
  <c r="F1268" i="2"/>
  <c r="E1268" i="2"/>
  <c r="D1268" i="2"/>
  <c r="C1268" i="2"/>
  <c r="A1268" i="2"/>
  <c r="M1267" i="2"/>
  <c r="L1267" i="2"/>
  <c r="K1267" i="2"/>
  <c r="J1267" i="2"/>
  <c r="H1267" i="2"/>
  <c r="G1267" i="2"/>
  <c r="F1267" i="2"/>
  <c r="E1267" i="2"/>
  <c r="D1267" i="2"/>
  <c r="C1267" i="2"/>
  <c r="A1267" i="2"/>
  <c r="M1266" i="2"/>
  <c r="L1266" i="2"/>
  <c r="K1266" i="2"/>
  <c r="J1266" i="2"/>
  <c r="H1266" i="2"/>
  <c r="G1266" i="2"/>
  <c r="F1266" i="2"/>
  <c r="E1266" i="2"/>
  <c r="D1266" i="2"/>
  <c r="C1266" i="2"/>
  <c r="A1266" i="2"/>
  <c r="M1265" i="2"/>
  <c r="L1265" i="2"/>
  <c r="K1265" i="2"/>
  <c r="J1265" i="2"/>
  <c r="H1265" i="2"/>
  <c r="G1265" i="2"/>
  <c r="F1265" i="2"/>
  <c r="E1265" i="2"/>
  <c r="D1265" i="2"/>
  <c r="C1265" i="2"/>
  <c r="A1265" i="2"/>
  <c r="M1264" i="2"/>
  <c r="L1264" i="2"/>
  <c r="K1264" i="2"/>
  <c r="J1264" i="2"/>
  <c r="H1264" i="2"/>
  <c r="G1264" i="2"/>
  <c r="F1264" i="2"/>
  <c r="E1264" i="2"/>
  <c r="D1264" i="2"/>
  <c r="C1264" i="2"/>
  <c r="A1264" i="2"/>
  <c r="M1263" i="2"/>
  <c r="L1263" i="2"/>
  <c r="K1263" i="2"/>
  <c r="J1263" i="2"/>
  <c r="H1263" i="2"/>
  <c r="G1263" i="2"/>
  <c r="F1263" i="2"/>
  <c r="E1263" i="2"/>
  <c r="D1263" i="2"/>
  <c r="C1263" i="2"/>
  <c r="A1263" i="2"/>
  <c r="M1262" i="2"/>
  <c r="L1262" i="2"/>
  <c r="K1262" i="2"/>
  <c r="J1262" i="2"/>
  <c r="H1262" i="2"/>
  <c r="G1262" i="2"/>
  <c r="F1262" i="2"/>
  <c r="E1262" i="2"/>
  <c r="D1262" i="2"/>
  <c r="C1262" i="2"/>
  <c r="A1262" i="2"/>
  <c r="M1261" i="2"/>
  <c r="L1261" i="2"/>
  <c r="K1261" i="2"/>
  <c r="J1261" i="2"/>
  <c r="H1261" i="2"/>
  <c r="G1261" i="2"/>
  <c r="F1261" i="2"/>
  <c r="E1261" i="2"/>
  <c r="D1261" i="2"/>
  <c r="C1261" i="2"/>
  <c r="A1261" i="2"/>
  <c r="M1260" i="2"/>
  <c r="L1260" i="2"/>
  <c r="K1260" i="2"/>
  <c r="J1260" i="2"/>
  <c r="H1260" i="2"/>
  <c r="G1260" i="2"/>
  <c r="F1260" i="2"/>
  <c r="E1260" i="2"/>
  <c r="D1260" i="2"/>
  <c r="C1260" i="2"/>
  <c r="A1260" i="2"/>
  <c r="M1259" i="2"/>
  <c r="L1259" i="2"/>
  <c r="K1259" i="2"/>
  <c r="J1259" i="2"/>
  <c r="H1259" i="2"/>
  <c r="G1259" i="2"/>
  <c r="F1259" i="2"/>
  <c r="E1259" i="2"/>
  <c r="D1259" i="2"/>
  <c r="C1259" i="2"/>
  <c r="A1259" i="2"/>
  <c r="M1258" i="2"/>
  <c r="L1258" i="2"/>
  <c r="K1258" i="2"/>
  <c r="J1258" i="2"/>
  <c r="H1258" i="2"/>
  <c r="G1258" i="2"/>
  <c r="F1258" i="2"/>
  <c r="E1258" i="2"/>
  <c r="D1258" i="2"/>
  <c r="C1258" i="2"/>
  <c r="A1258" i="2"/>
  <c r="M1257" i="2"/>
  <c r="L1257" i="2"/>
  <c r="K1257" i="2"/>
  <c r="J1257" i="2"/>
  <c r="H1257" i="2"/>
  <c r="G1257" i="2"/>
  <c r="F1257" i="2"/>
  <c r="E1257" i="2"/>
  <c r="D1257" i="2"/>
  <c r="C1257" i="2"/>
  <c r="A1257" i="2"/>
  <c r="M1256" i="2"/>
  <c r="L1256" i="2"/>
  <c r="K1256" i="2"/>
  <c r="J1256" i="2"/>
  <c r="H1256" i="2"/>
  <c r="G1256" i="2"/>
  <c r="F1256" i="2"/>
  <c r="E1256" i="2"/>
  <c r="D1256" i="2"/>
  <c r="C1256" i="2"/>
  <c r="A1256" i="2"/>
  <c r="M1255" i="2"/>
  <c r="L1255" i="2"/>
  <c r="K1255" i="2"/>
  <c r="J1255" i="2"/>
  <c r="H1255" i="2"/>
  <c r="G1255" i="2"/>
  <c r="F1255" i="2"/>
  <c r="E1255" i="2"/>
  <c r="D1255" i="2"/>
  <c r="C1255" i="2"/>
  <c r="A1255" i="2"/>
  <c r="M1254" i="2"/>
  <c r="L1254" i="2"/>
  <c r="K1254" i="2"/>
  <c r="J1254" i="2"/>
  <c r="H1254" i="2"/>
  <c r="G1254" i="2"/>
  <c r="F1254" i="2"/>
  <c r="E1254" i="2"/>
  <c r="D1254" i="2"/>
  <c r="C1254" i="2"/>
  <c r="A1254" i="2"/>
  <c r="M1253" i="2"/>
  <c r="L1253" i="2"/>
  <c r="K1253" i="2"/>
  <c r="J1253" i="2"/>
  <c r="H1253" i="2"/>
  <c r="G1253" i="2"/>
  <c r="F1253" i="2"/>
  <c r="E1253" i="2"/>
  <c r="D1253" i="2"/>
  <c r="C1253" i="2"/>
  <c r="A1253" i="2"/>
  <c r="M1252" i="2"/>
  <c r="L1252" i="2"/>
  <c r="K1252" i="2"/>
  <c r="J1252" i="2"/>
  <c r="H1252" i="2"/>
  <c r="G1252" i="2"/>
  <c r="F1252" i="2"/>
  <c r="E1252" i="2"/>
  <c r="D1252" i="2"/>
  <c r="C1252" i="2"/>
  <c r="A1252" i="2"/>
  <c r="M1251" i="2"/>
  <c r="L1251" i="2"/>
  <c r="K1251" i="2"/>
  <c r="J1251" i="2"/>
  <c r="H1251" i="2"/>
  <c r="G1251" i="2"/>
  <c r="F1251" i="2"/>
  <c r="E1251" i="2"/>
  <c r="D1251" i="2"/>
  <c r="C1251" i="2"/>
  <c r="A1251" i="2"/>
  <c r="M1250" i="2"/>
  <c r="L1250" i="2"/>
  <c r="K1250" i="2"/>
  <c r="J1250" i="2"/>
  <c r="H1250" i="2"/>
  <c r="G1250" i="2"/>
  <c r="F1250" i="2"/>
  <c r="E1250" i="2"/>
  <c r="D1250" i="2"/>
  <c r="C1250" i="2"/>
  <c r="A1250" i="2"/>
  <c r="M1249" i="2"/>
  <c r="L1249" i="2"/>
  <c r="K1249" i="2"/>
  <c r="J1249" i="2"/>
  <c r="H1249" i="2"/>
  <c r="G1249" i="2"/>
  <c r="F1249" i="2"/>
  <c r="E1249" i="2"/>
  <c r="D1249" i="2"/>
  <c r="C1249" i="2"/>
  <c r="A1249" i="2"/>
  <c r="M1248" i="2"/>
  <c r="L1248" i="2"/>
  <c r="K1248" i="2"/>
  <c r="J1248" i="2"/>
  <c r="H1248" i="2"/>
  <c r="G1248" i="2"/>
  <c r="F1248" i="2"/>
  <c r="E1248" i="2"/>
  <c r="D1248" i="2"/>
  <c r="C1248" i="2"/>
  <c r="A1248" i="2"/>
  <c r="M1247" i="2"/>
  <c r="L1247" i="2"/>
  <c r="K1247" i="2"/>
  <c r="J1247" i="2"/>
  <c r="H1247" i="2"/>
  <c r="G1247" i="2"/>
  <c r="F1247" i="2"/>
  <c r="E1247" i="2"/>
  <c r="D1247" i="2"/>
  <c r="C1247" i="2"/>
  <c r="A1247" i="2"/>
  <c r="M1246" i="2"/>
  <c r="L1246" i="2"/>
  <c r="K1246" i="2"/>
  <c r="J1246" i="2"/>
  <c r="H1246" i="2"/>
  <c r="G1246" i="2"/>
  <c r="F1246" i="2"/>
  <c r="E1246" i="2"/>
  <c r="D1246" i="2"/>
  <c r="C1246" i="2"/>
  <c r="A1246" i="2"/>
  <c r="M1245" i="2"/>
  <c r="L1245" i="2"/>
  <c r="K1245" i="2"/>
  <c r="J1245" i="2"/>
  <c r="H1245" i="2"/>
  <c r="G1245" i="2"/>
  <c r="E1245" i="2"/>
  <c r="D1245" i="2"/>
  <c r="C1245" i="2"/>
  <c r="A1245" i="2"/>
  <c r="M1244" i="2"/>
  <c r="L1244" i="2"/>
  <c r="K1244" i="2"/>
  <c r="J1244" i="2"/>
  <c r="H1244" i="2"/>
  <c r="G1244" i="2"/>
  <c r="F1244" i="2"/>
  <c r="E1244" i="2"/>
  <c r="D1244" i="2"/>
  <c r="C1244" i="2"/>
  <c r="A1244" i="2"/>
  <c r="M1243" i="2"/>
  <c r="L1243" i="2"/>
  <c r="K1243" i="2"/>
  <c r="J1243" i="2"/>
  <c r="H1243" i="2"/>
  <c r="G1243" i="2"/>
  <c r="F1243" i="2"/>
  <c r="E1243" i="2"/>
  <c r="D1243" i="2"/>
  <c r="C1243" i="2"/>
  <c r="A1243" i="2"/>
  <c r="M1242" i="2"/>
  <c r="L1242" i="2"/>
  <c r="K1242" i="2"/>
  <c r="J1242" i="2"/>
  <c r="H1242" i="2"/>
  <c r="G1242" i="2"/>
  <c r="F1242" i="2"/>
  <c r="E1242" i="2"/>
  <c r="D1242" i="2"/>
  <c r="C1242" i="2"/>
  <c r="A1242" i="2"/>
  <c r="M1241" i="2"/>
  <c r="L1241" i="2"/>
  <c r="K1241" i="2"/>
  <c r="J1241" i="2"/>
  <c r="H1241" i="2"/>
  <c r="G1241" i="2"/>
  <c r="F1241" i="2"/>
  <c r="E1241" i="2"/>
  <c r="D1241" i="2"/>
  <c r="C1241" i="2"/>
  <c r="A1241" i="2"/>
  <c r="M1240" i="2"/>
  <c r="L1240" i="2"/>
  <c r="K1240" i="2"/>
  <c r="J1240" i="2"/>
  <c r="H1240" i="2"/>
  <c r="G1240" i="2"/>
  <c r="F1240" i="2"/>
  <c r="E1240" i="2"/>
  <c r="D1240" i="2"/>
  <c r="C1240" i="2"/>
  <c r="A1240" i="2"/>
  <c r="M1239" i="2"/>
  <c r="L1239" i="2"/>
  <c r="K1239" i="2"/>
  <c r="J1239" i="2"/>
  <c r="H1239" i="2"/>
  <c r="G1239" i="2"/>
  <c r="E1239" i="2"/>
  <c r="D1239" i="2"/>
  <c r="C1239" i="2"/>
  <c r="A1239" i="2"/>
  <c r="M1238" i="2"/>
  <c r="L1238" i="2"/>
  <c r="K1238" i="2"/>
  <c r="J1238" i="2"/>
  <c r="H1238" i="2"/>
  <c r="G1238" i="2"/>
  <c r="F1238" i="2"/>
  <c r="E1238" i="2"/>
  <c r="D1238" i="2"/>
  <c r="C1238" i="2"/>
  <c r="A1238" i="2"/>
  <c r="M1237" i="2"/>
  <c r="L1237" i="2"/>
  <c r="K1237" i="2"/>
  <c r="J1237" i="2"/>
  <c r="H1237" i="2"/>
  <c r="G1237" i="2"/>
  <c r="F1237" i="2"/>
  <c r="E1237" i="2"/>
  <c r="D1237" i="2"/>
  <c r="C1237" i="2"/>
  <c r="A1237" i="2"/>
  <c r="M1236" i="2"/>
  <c r="L1236" i="2"/>
  <c r="K1236" i="2"/>
  <c r="J1236" i="2"/>
  <c r="H1236" i="2"/>
  <c r="G1236" i="2"/>
  <c r="F1236" i="2"/>
  <c r="E1236" i="2"/>
  <c r="D1236" i="2"/>
  <c r="C1236" i="2"/>
  <c r="A1236" i="2"/>
  <c r="M1235" i="2"/>
  <c r="L1235" i="2"/>
  <c r="K1235" i="2"/>
  <c r="J1235" i="2"/>
  <c r="H1235" i="2"/>
  <c r="G1235" i="2"/>
  <c r="F1235" i="2"/>
  <c r="E1235" i="2"/>
  <c r="D1235" i="2"/>
  <c r="C1235" i="2"/>
  <c r="A1235" i="2"/>
  <c r="M1234" i="2"/>
  <c r="L1234" i="2"/>
  <c r="K1234" i="2"/>
  <c r="J1234" i="2"/>
  <c r="H1234" i="2"/>
  <c r="G1234" i="2"/>
  <c r="F1234" i="2"/>
  <c r="E1234" i="2"/>
  <c r="D1234" i="2"/>
  <c r="C1234" i="2"/>
  <c r="A1234" i="2"/>
  <c r="M1233" i="2"/>
  <c r="L1233" i="2"/>
  <c r="K1233" i="2"/>
  <c r="J1233" i="2"/>
  <c r="H1233" i="2"/>
  <c r="G1233" i="2"/>
  <c r="F1233" i="2"/>
  <c r="E1233" i="2"/>
  <c r="D1233" i="2"/>
  <c r="C1233" i="2"/>
  <c r="A1233" i="2"/>
  <c r="M1232" i="2"/>
  <c r="L1232" i="2"/>
  <c r="K1232" i="2"/>
  <c r="J1232" i="2"/>
  <c r="H1232" i="2"/>
  <c r="G1232" i="2"/>
  <c r="F1232" i="2"/>
  <c r="E1232" i="2"/>
  <c r="D1232" i="2"/>
  <c r="C1232" i="2"/>
  <c r="A1232" i="2"/>
  <c r="M1231" i="2"/>
  <c r="L1231" i="2"/>
  <c r="K1231" i="2"/>
  <c r="J1231" i="2"/>
  <c r="H1231" i="2"/>
  <c r="G1231" i="2"/>
  <c r="F1231" i="2"/>
  <c r="E1231" i="2"/>
  <c r="D1231" i="2"/>
  <c r="C1231" i="2"/>
  <c r="A1231" i="2"/>
  <c r="M1230" i="2"/>
  <c r="L1230" i="2"/>
  <c r="K1230" i="2"/>
  <c r="J1230" i="2"/>
  <c r="H1230" i="2"/>
  <c r="G1230" i="2"/>
  <c r="F1230" i="2"/>
  <c r="E1230" i="2"/>
  <c r="D1230" i="2"/>
  <c r="C1230" i="2"/>
  <c r="A1230" i="2"/>
  <c r="M1229" i="2"/>
  <c r="L1229" i="2"/>
  <c r="K1229" i="2"/>
  <c r="J1229" i="2"/>
  <c r="H1229" i="2"/>
  <c r="G1229" i="2"/>
  <c r="F1229" i="2"/>
  <c r="E1229" i="2"/>
  <c r="D1229" i="2"/>
  <c r="C1229" i="2"/>
  <c r="A1229" i="2"/>
  <c r="M1228" i="2"/>
  <c r="L1228" i="2"/>
  <c r="K1228" i="2"/>
  <c r="J1228" i="2"/>
  <c r="H1228" i="2"/>
  <c r="G1228" i="2"/>
  <c r="F1228" i="2"/>
  <c r="E1228" i="2"/>
  <c r="D1228" i="2"/>
  <c r="C1228" i="2"/>
  <c r="A1228" i="2"/>
  <c r="M1227" i="2"/>
  <c r="L1227" i="2"/>
  <c r="K1227" i="2"/>
  <c r="J1227" i="2"/>
  <c r="H1227" i="2"/>
  <c r="G1227" i="2"/>
  <c r="F1227" i="2"/>
  <c r="E1227" i="2"/>
  <c r="D1227" i="2"/>
  <c r="C1227" i="2"/>
  <c r="A1227" i="2"/>
  <c r="M1226" i="2"/>
  <c r="L1226" i="2"/>
  <c r="K1226" i="2"/>
  <c r="J1226" i="2"/>
  <c r="H1226" i="2"/>
  <c r="G1226" i="2"/>
  <c r="F1226" i="2"/>
  <c r="E1226" i="2"/>
  <c r="D1226" i="2"/>
  <c r="C1226" i="2"/>
  <c r="A1226" i="2"/>
  <c r="M1225" i="2"/>
  <c r="L1225" i="2"/>
  <c r="K1225" i="2"/>
  <c r="J1225" i="2"/>
  <c r="H1225" i="2"/>
  <c r="G1225" i="2"/>
  <c r="F1225" i="2"/>
  <c r="E1225" i="2"/>
  <c r="D1225" i="2"/>
  <c r="C1225" i="2"/>
  <c r="A1225" i="2"/>
  <c r="M1224" i="2"/>
  <c r="L1224" i="2"/>
  <c r="K1224" i="2"/>
  <c r="J1224" i="2"/>
  <c r="H1224" i="2"/>
  <c r="G1224" i="2"/>
  <c r="F1224" i="2"/>
  <c r="E1224" i="2"/>
  <c r="D1224" i="2"/>
  <c r="C1224" i="2"/>
  <c r="A1224" i="2"/>
  <c r="M1223" i="2"/>
  <c r="L1223" i="2"/>
  <c r="K1223" i="2"/>
  <c r="J1223" i="2"/>
  <c r="H1223" i="2"/>
  <c r="G1223" i="2"/>
  <c r="F1223" i="2"/>
  <c r="E1223" i="2"/>
  <c r="D1223" i="2"/>
  <c r="C1223" i="2"/>
  <c r="A1223" i="2"/>
  <c r="M1222" i="2"/>
  <c r="L1222" i="2"/>
  <c r="K1222" i="2"/>
  <c r="J1222" i="2"/>
  <c r="H1222" i="2"/>
  <c r="G1222" i="2"/>
  <c r="F1222" i="2"/>
  <c r="E1222" i="2"/>
  <c r="D1222" i="2"/>
  <c r="C1222" i="2"/>
  <c r="A1222" i="2"/>
  <c r="M1221" i="2"/>
  <c r="L1221" i="2"/>
  <c r="K1221" i="2"/>
  <c r="J1221" i="2"/>
  <c r="H1221" i="2"/>
  <c r="G1221" i="2"/>
  <c r="F1221" i="2"/>
  <c r="E1221" i="2"/>
  <c r="D1221" i="2"/>
  <c r="C1221" i="2"/>
  <c r="A1221" i="2"/>
  <c r="M1220" i="2"/>
  <c r="L1220" i="2"/>
  <c r="K1220" i="2"/>
  <c r="J1220" i="2"/>
  <c r="H1220" i="2"/>
  <c r="G1220" i="2"/>
  <c r="F1220" i="2"/>
  <c r="E1220" i="2"/>
  <c r="D1220" i="2"/>
  <c r="C1220" i="2"/>
  <c r="A1220" i="2"/>
  <c r="M1219" i="2"/>
  <c r="L1219" i="2"/>
  <c r="K1219" i="2"/>
  <c r="J1219" i="2"/>
  <c r="H1219" i="2"/>
  <c r="G1219" i="2"/>
  <c r="F1219" i="2"/>
  <c r="E1219" i="2"/>
  <c r="D1219" i="2"/>
  <c r="C1219" i="2"/>
  <c r="A1219" i="2"/>
  <c r="M1218" i="2"/>
  <c r="L1218" i="2"/>
  <c r="K1218" i="2"/>
  <c r="J1218" i="2"/>
  <c r="H1218" i="2"/>
  <c r="G1218" i="2"/>
  <c r="F1218" i="2"/>
  <c r="E1218" i="2"/>
  <c r="D1218" i="2"/>
  <c r="C1218" i="2"/>
  <c r="A1218" i="2"/>
  <c r="M1217" i="2"/>
  <c r="L1217" i="2"/>
  <c r="K1217" i="2"/>
  <c r="J1217" i="2"/>
  <c r="H1217" i="2"/>
  <c r="G1217" i="2"/>
  <c r="F1217" i="2"/>
  <c r="E1217" i="2"/>
  <c r="D1217" i="2"/>
  <c r="C1217" i="2"/>
  <c r="A1217" i="2"/>
  <c r="M1216" i="2"/>
  <c r="L1216" i="2"/>
  <c r="K1216" i="2"/>
  <c r="J1216" i="2"/>
  <c r="H1216" i="2"/>
  <c r="G1216" i="2"/>
  <c r="F1216" i="2"/>
  <c r="E1216" i="2"/>
  <c r="D1216" i="2"/>
  <c r="C1216" i="2"/>
  <c r="A1216" i="2"/>
  <c r="M1215" i="2"/>
  <c r="L1215" i="2"/>
  <c r="K1215" i="2"/>
  <c r="J1215" i="2"/>
  <c r="H1215" i="2"/>
  <c r="G1215" i="2"/>
  <c r="E1215" i="2"/>
  <c r="D1215" i="2"/>
  <c r="C1215" i="2"/>
  <c r="A1215" i="2"/>
  <c r="M1214" i="2"/>
  <c r="L1214" i="2"/>
  <c r="K1214" i="2"/>
  <c r="J1214" i="2"/>
  <c r="H1214" i="2"/>
  <c r="G1214" i="2"/>
  <c r="F1214" i="2"/>
  <c r="E1214" i="2"/>
  <c r="D1214" i="2"/>
  <c r="C1214" i="2"/>
  <c r="A1214" i="2"/>
  <c r="M1213" i="2"/>
  <c r="L1213" i="2"/>
  <c r="K1213" i="2"/>
  <c r="J1213" i="2"/>
  <c r="H1213" i="2"/>
  <c r="G1213" i="2"/>
  <c r="F1213" i="2"/>
  <c r="E1213" i="2"/>
  <c r="D1213" i="2"/>
  <c r="C1213" i="2"/>
  <c r="A1213" i="2"/>
  <c r="M1212" i="2"/>
  <c r="L1212" i="2"/>
  <c r="K1212" i="2"/>
  <c r="J1212" i="2"/>
  <c r="H1212" i="2"/>
  <c r="G1212" i="2"/>
  <c r="F1212" i="2"/>
  <c r="E1212" i="2"/>
  <c r="D1212" i="2"/>
  <c r="C1212" i="2"/>
  <c r="A1212" i="2"/>
  <c r="M1211" i="2"/>
  <c r="L1211" i="2"/>
  <c r="K1211" i="2"/>
  <c r="J1211" i="2"/>
  <c r="H1211" i="2"/>
  <c r="G1211" i="2"/>
  <c r="F1211" i="2"/>
  <c r="E1211" i="2"/>
  <c r="D1211" i="2"/>
  <c r="C1211" i="2"/>
  <c r="A1211" i="2"/>
  <c r="M1210" i="2"/>
  <c r="L1210" i="2"/>
  <c r="K1210" i="2"/>
  <c r="J1210" i="2"/>
  <c r="H1210" i="2"/>
  <c r="G1210" i="2"/>
  <c r="F1210" i="2"/>
  <c r="E1210" i="2"/>
  <c r="D1210" i="2"/>
  <c r="C1210" i="2"/>
  <c r="A1210" i="2"/>
  <c r="M1209" i="2"/>
  <c r="L1209" i="2"/>
  <c r="K1209" i="2"/>
  <c r="J1209" i="2"/>
  <c r="H1209" i="2"/>
  <c r="G1209" i="2"/>
  <c r="F1209" i="2"/>
  <c r="E1209" i="2"/>
  <c r="D1209" i="2"/>
  <c r="C1209" i="2"/>
  <c r="A1209" i="2"/>
  <c r="M1208" i="2"/>
  <c r="L1208" i="2"/>
  <c r="K1208" i="2"/>
  <c r="J1208" i="2"/>
  <c r="H1208" i="2"/>
  <c r="G1208" i="2"/>
  <c r="F1208" i="2"/>
  <c r="E1208" i="2"/>
  <c r="D1208" i="2"/>
  <c r="C1208" i="2"/>
  <c r="A1208" i="2"/>
  <c r="M1207" i="2"/>
  <c r="L1207" i="2"/>
  <c r="K1207" i="2"/>
  <c r="J1207" i="2"/>
  <c r="H1207" i="2"/>
  <c r="G1207" i="2"/>
  <c r="F1207" i="2"/>
  <c r="E1207" i="2"/>
  <c r="D1207" i="2"/>
  <c r="C1207" i="2"/>
  <c r="A1207" i="2"/>
  <c r="M1206" i="2"/>
  <c r="L1206" i="2"/>
  <c r="K1206" i="2"/>
  <c r="J1206" i="2"/>
  <c r="H1206" i="2"/>
  <c r="G1206" i="2"/>
  <c r="F1206" i="2"/>
  <c r="E1206" i="2"/>
  <c r="D1206" i="2"/>
  <c r="C1206" i="2"/>
  <c r="A1206" i="2"/>
  <c r="M1205" i="2"/>
  <c r="L1205" i="2"/>
  <c r="K1205" i="2"/>
  <c r="J1205" i="2"/>
  <c r="H1205" i="2"/>
  <c r="G1205" i="2"/>
  <c r="F1205" i="2"/>
  <c r="E1205" i="2"/>
  <c r="D1205" i="2"/>
  <c r="C1205" i="2"/>
  <c r="A1205" i="2"/>
  <c r="M1204" i="2"/>
  <c r="L1204" i="2"/>
  <c r="K1204" i="2"/>
  <c r="J1204" i="2"/>
  <c r="H1204" i="2"/>
  <c r="G1204" i="2"/>
  <c r="F1204" i="2"/>
  <c r="E1204" i="2"/>
  <c r="D1204" i="2"/>
  <c r="C1204" i="2"/>
  <c r="A1204" i="2"/>
  <c r="M1203" i="2"/>
  <c r="L1203" i="2"/>
  <c r="K1203" i="2"/>
  <c r="J1203" i="2"/>
  <c r="H1203" i="2"/>
  <c r="G1203" i="2"/>
  <c r="F1203" i="2"/>
  <c r="E1203" i="2"/>
  <c r="D1203" i="2"/>
  <c r="C1203" i="2"/>
  <c r="A1203" i="2"/>
  <c r="M1202" i="2"/>
  <c r="L1202" i="2"/>
  <c r="K1202" i="2"/>
  <c r="J1202" i="2"/>
  <c r="H1202" i="2"/>
  <c r="G1202" i="2"/>
  <c r="F1202" i="2"/>
  <c r="E1202" i="2"/>
  <c r="D1202" i="2"/>
  <c r="C1202" i="2"/>
  <c r="A1202" i="2"/>
  <c r="M1201" i="2"/>
  <c r="L1201" i="2"/>
  <c r="K1201" i="2"/>
  <c r="J1201" i="2"/>
  <c r="H1201" i="2"/>
  <c r="G1201" i="2"/>
  <c r="F1201" i="2"/>
  <c r="E1201" i="2"/>
  <c r="D1201" i="2"/>
  <c r="C1201" i="2"/>
  <c r="A1201" i="2"/>
  <c r="M1200" i="2"/>
  <c r="L1200" i="2"/>
  <c r="K1200" i="2"/>
  <c r="J1200" i="2"/>
  <c r="H1200" i="2"/>
  <c r="G1200" i="2"/>
  <c r="F1200" i="2"/>
  <c r="E1200" i="2"/>
  <c r="D1200" i="2"/>
  <c r="C1200" i="2"/>
  <c r="A1200" i="2"/>
  <c r="M1199" i="2"/>
  <c r="L1199" i="2"/>
  <c r="K1199" i="2"/>
  <c r="J1199" i="2"/>
  <c r="H1199" i="2"/>
  <c r="G1199" i="2"/>
  <c r="F1199" i="2"/>
  <c r="E1199" i="2"/>
  <c r="D1199" i="2"/>
  <c r="C1199" i="2"/>
  <c r="A1199" i="2"/>
  <c r="M1198" i="2"/>
  <c r="L1198" i="2"/>
  <c r="K1198" i="2"/>
  <c r="J1198" i="2"/>
  <c r="H1198" i="2"/>
  <c r="G1198" i="2"/>
  <c r="F1198" i="2"/>
  <c r="E1198" i="2"/>
  <c r="D1198" i="2"/>
  <c r="C1198" i="2"/>
  <c r="A1198" i="2"/>
  <c r="M1197" i="2"/>
  <c r="L1197" i="2"/>
  <c r="K1197" i="2"/>
  <c r="J1197" i="2"/>
  <c r="H1197" i="2"/>
  <c r="G1197" i="2"/>
  <c r="F1197" i="2"/>
  <c r="E1197" i="2"/>
  <c r="D1197" i="2"/>
  <c r="C1197" i="2"/>
  <c r="A1197" i="2"/>
  <c r="M1196" i="2"/>
  <c r="L1196" i="2"/>
  <c r="K1196" i="2"/>
  <c r="J1196" i="2"/>
  <c r="H1196" i="2"/>
  <c r="G1196" i="2"/>
  <c r="F1196" i="2"/>
  <c r="E1196" i="2"/>
  <c r="D1196" i="2"/>
  <c r="C1196" i="2"/>
  <c r="A1196" i="2"/>
  <c r="M1195" i="2"/>
  <c r="L1195" i="2"/>
  <c r="K1195" i="2"/>
  <c r="J1195" i="2"/>
  <c r="H1195" i="2"/>
  <c r="G1195" i="2"/>
  <c r="F1195" i="2"/>
  <c r="E1195" i="2"/>
  <c r="D1195" i="2"/>
  <c r="C1195" i="2"/>
  <c r="A1195" i="2"/>
  <c r="M1194" i="2"/>
  <c r="L1194" i="2"/>
  <c r="K1194" i="2"/>
  <c r="J1194" i="2"/>
  <c r="H1194" i="2"/>
  <c r="G1194" i="2"/>
  <c r="F1194" i="2"/>
  <c r="E1194" i="2"/>
  <c r="D1194" i="2"/>
  <c r="C1194" i="2"/>
  <c r="A1194" i="2"/>
  <c r="M1193" i="2"/>
  <c r="L1193" i="2"/>
  <c r="K1193" i="2"/>
  <c r="J1193" i="2"/>
  <c r="H1193" i="2"/>
  <c r="G1193" i="2"/>
  <c r="F1193" i="2"/>
  <c r="E1193" i="2"/>
  <c r="D1193" i="2"/>
  <c r="C1193" i="2"/>
  <c r="A1193" i="2"/>
  <c r="M1192" i="2"/>
  <c r="L1192" i="2"/>
  <c r="K1192" i="2"/>
  <c r="J1192" i="2"/>
  <c r="H1192" i="2"/>
  <c r="G1192" i="2"/>
  <c r="F1192" i="2"/>
  <c r="E1192" i="2"/>
  <c r="D1192" i="2"/>
  <c r="C1192" i="2"/>
  <c r="A1192" i="2"/>
  <c r="M1191" i="2"/>
  <c r="L1191" i="2"/>
  <c r="K1191" i="2"/>
  <c r="J1191" i="2"/>
  <c r="H1191" i="2"/>
  <c r="G1191" i="2"/>
  <c r="F1191" i="2"/>
  <c r="E1191" i="2"/>
  <c r="D1191" i="2"/>
  <c r="C1191" i="2"/>
  <c r="A1191" i="2"/>
  <c r="M1190" i="2"/>
  <c r="L1190" i="2"/>
  <c r="K1190" i="2"/>
  <c r="J1190" i="2"/>
  <c r="H1190" i="2"/>
  <c r="G1190" i="2"/>
  <c r="F1190" i="2"/>
  <c r="E1190" i="2"/>
  <c r="D1190" i="2"/>
  <c r="C1190" i="2"/>
  <c r="A1190" i="2"/>
  <c r="M1189" i="2"/>
  <c r="L1189" i="2"/>
  <c r="K1189" i="2"/>
  <c r="J1189" i="2"/>
  <c r="H1189" i="2"/>
  <c r="G1189" i="2"/>
  <c r="F1189" i="2"/>
  <c r="E1189" i="2"/>
  <c r="D1189" i="2"/>
  <c r="C1189" i="2"/>
  <c r="A1189" i="2"/>
  <c r="M1188" i="2"/>
  <c r="L1188" i="2"/>
  <c r="K1188" i="2"/>
  <c r="J1188" i="2"/>
  <c r="H1188" i="2"/>
  <c r="G1188" i="2"/>
  <c r="F1188" i="2"/>
  <c r="E1188" i="2"/>
  <c r="D1188" i="2"/>
  <c r="C1188" i="2"/>
  <c r="A1188" i="2"/>
  <c r="M1187" i="2"/>
  <c r="L1187" i="2"/>
  <c r="K1187" i="2"/>
  <c r="J1187" i="2"/>
  <c r="H1187" i="2"/>
  <c r="G1187" i="2"/>
  <c r="F1187" i="2"/>
  <c r="E1187" i="2"/>
  <c r="D1187" i="2"/>
  <c r="C1187" i="2"/>
  <c r="A1187" i="2"/>
  <c r="M1186" i="2"/>
  <c r="L1186" i="2"/>
  <c r="K1186" i="2"/>
  <c r="J1186" i="2"/>
  <c r="H1186" i="2"/>
  <c r="G1186" i="2"/>
  <c r="F1186" i="2"/>
  <c r="E1186" i="2"/>
  <c r="D1186" i="2"/>
  <c r="C1186" i="2"/>
  <c r="A1186" i="2"/>
  <c r="M1185" i="2"/>
  <c r="L1185" i="2"/>
  <c r="K1185" i="2"/>
  <c r="J1185" i="2"/>
  <c r="H1185" i="2"/>
  <c r="G1185" i="2"/>
  <c r="F1185" i="2"/>
  <c r="E1185" i="2"/>
  <c r="D1185" i="2"/>
  <c r="C1185" i="2"/>
  <c r="A1185" i="2"/>
  <c r="M1184" i="2"/>
  <c r="L1184" i="2"/>
  <c r="K1184" i="2"/>
  <c r="J1184" i="2"/>
  <c r="H1184" i="2"/>
  <c r="G1184" i="2"/>
  <c r="F1184" i="2"/>
  <c r="E1184" i="2"/>
  <c r="D1184" i="2"/>
  <c r="C1184" i="2"/>
  <c r="A1184" i="2"/>
  <c r="M1183" i="2"/>
  <c r="L1183" i="2"/>
  <c r="K1183" i="2"/>
  <c r="J1183" i="2"/>
  <c r="H1183" i="2"/>
  <c r="G1183" i="2"/>
  <c r="F1183" i="2"/>
  <c r="E1183" i="2"/>
  <c r="D1183" i="2"/>
  <c r="C1183" i="2"/>
  <c r="A1183" i="2"/>
  <c r="M1182" i="2"/>
  <c r="L1182" i="2"/>
  <c r="K1182" i="2"/>
  <c r="J1182" i="2"/>
  <c r="H1182" i="2"/>
  <c r="G1182" i="2"/>
  <c r="F1182" i="2"/>
  <c r="E1182" i="2"/>
  <c r="D1182" i="2"/>
  <c r="C1182" i="2"/>
  <c r="A1182" i="2"/>
  <c r="M1181" i="2"/>
  <c r="L1181" i="2"/>
  <c r="K1181" i="2"/>
  <c r="J1181" i="2"/>
  <c r="H1181" i="2"/>
  <c r="G1181" i="2"/>
  <c r="F1181" i="2"/>
  <c r="E1181" i="2"/>
  <c r="D1181" i="2"/>
  <c r="C1181" i="2"/>
  <c r="A1181" i="2"/>
  <c r="M1180" i="2"/>
  <c r="L1180" i="2"/>
  <c r="K1180" i="2"/>
  <c r="J1180" i="2"/>
  <c r="H1180" i="2"/>
  <c r="G1180" i="2"/>
  <c r="F1180" i="2"/>
  <c r="E1180" i="2"/>
  <c r="D1180" i="2"/>
  <c r="C1180" i="2"/>
  <c r="A1180" i="2"/>
  <c r="M1179" i="2"/>
  <c r="L1179" i="2"/>
  <c r="K1179" i="2"/>
  <c r="J1179" i="2"/>
  <c r="H1179" i="2"/>
  <c r="G1179" i="2"/>
  <c r="F1179" i="2"/>
  <c r="E1179" i="2"/>
  <c r="D1179" i="2"/>
  <c r="C1179" i="2"/>
  <c r="A1179" i="2"/>
  <c r="M1178" i="2"/>
  <c r="L1178" i="2"/>
  <c r="K1178" i="2"/>
  <c r="J1178" i="2"/>
  <c r="H1178" i="2"/>
  <c r="G1178" i="2"/>
  <c r="F1178" i="2"/>
  <c r="E1178" i="2"/>
  <c r="D1178" i="2"/>
  <c r="C1178" i="2"/>
  <c r="A1178" i="2"/>
  <c r="M1177" i="2"/>
  <c r="L1177" i="2"/>
  <c r="K1177" i="2"/>
  <c r="J1177" i="2"/>
  <c r="H1177" i="2"/>
  <c r="G1177" i="2"/>
  <c r="F1177" i="2"/>
  <c r="E1177" i="2"/>
  <c r="D1177" i="2"/>
  <c r="C1177" i="2"/>
  <c r="A1177" i="2"/>
  <c r="M1176" i="2"/>
  <c r="L1176" i="2"/>
  <c r="K1176" i="2"/>
  <c r="J1176" i="2"/>
  <c r="H1176" i="2"/>
  <c r="G1176" i="2"/>
  <c r="F1176" i="2"/>
  <c r="E1176" i="2"/>
  <c r="D1176" i="2"/>
  <c r="C1176" i="2"/>
  <c r="A1176" i="2"/>
  <c r="M1175" i="2"/>
  <c r="L1175" i="2"/>
  <c r="K1175" i="2"/>
  <c r="J1175" i="2"/>
  <c r="H1175" i="2"/>
  <c r="G1175" i="2"/>
  <c r="F1175" i="2"/>
  <c r="E1175" i="2"/>
  <c r="D1175" i="2"/>
  <c r="C1175" i="2"/>
  <c r="A1175" i="2"/>
  <c r="M1174" i="2"/>
  <c r="L1174" i="2"/>
  <c r="K1174" i="2"/>
  <c r="J1174" i="2"/>
  <c r="H1174" i="2"/>
  <c r="G1174" i="2"/>
  <c r="F1174" i="2"/>
  <c r="E1174" i="2"/>
  <c r="D1174" i="2"/>
  <c r="C1174" i="2"/>
  <c r="A1174" i="2"/>
  <c r="M1173" i="2"/>
  <c r="L1173" i="2"/>
  <c r="K1173" i="2"/>
  <c r="J1173" i="2"/>
  <c r="H1173" i="2"/>
  <c r="G1173" i="2"/>
  <c r="F1173" i="2"/>
  <c r="E1173" i="2"/>
  <c r="D1173" i="2"/>
  <c r="C1173" i="2"/>
  <c r="A1173" i="2"/>
  <c r="M1172" i="2"/>
  <c r="L1172" i="2"/>
  <c r="K1172" i="2"/>
  <c r="J1172" i="2"/>
  <c r="H1172" i="2"/>
  <c r="G1172" i="2"/>
  <c r="F1172" i="2"/>
  <c r="E1172" i="2"/>
  <c r="D1172" i="2"/>
  <c r="C1172" i="2"/>
  <c r="A1172" i="2"/>
  <c r="M1171" i="2"/>
  <c r="L1171" i="2"/>
  <c r="K1171" i="2"/>
  <c r="J1171" i="2"/>
  <c r="H1171" i="2"/>
  <c r="G1171" i="2"/>
  <c r="F1171" i="2"/>
  <c r="E1171" i="2"/>
  <c r="D1171" i="2"/>
  <c r="C1171" i="2"/>
  <c r="A1171" i="2"/>
  <c r="M1170" i="2"/>
  <c r="L1170" i="2"/>
  <c r="K1170" i="2"/>
  <c r="J1170" i="2"/>
  <c r="H1170" i="2"/>
  <c r="G1170" i="2"/>
  <c r="F1170" i="2"/>
  <c r="E1170" i="2"/>
  <c r="D1170" i="2"/>
  <c r="C1170" i="2"/>
  <c r="A1170" i="2"/>
  <c r="M1169" i="2"/>
  <c r="L1169" i="2"/>
  <c r="K1169" i="2"/>
  <c r="J1169" i="2"/>
  <c r="H1169" i="2"/>
  <c r="G1169" i="2"/>
  <c r="F1169" i="2"/>
  <c r="E1169" i="2"/>
  <c r="D1169" i="2"/>
  <c r="C1169" i="2"/>
  <c r="A1169" i="2"/>
  <c r="M1168" i="2"/>
  <c r="L1168" i="2"/>
  <c r="K1168" i="2"/>
  <c r="J1168" i="2"/>
  <c r="H1168" i="2"/>
  <c r="G1168" i="2"/>
  <c r="F1168" i="2"/>
  <c r="E1168" i="2"/>
  <c r="D1168" i="2"/>
  <c r="C1168" i="2"/>
  <c r="A1168" i="2"/>
  <c r="M1167" i="2"/>
  <c r="L1167" i="2"/>
  <c r="K1167" i="2"/>
  <c r="J1167" i="2"/>
  <c r="H1167" i="2"/>
  <c r="G1167" i="2"/>
  <c r="F1167" i="2"/>
  <c r="E1167" i="2"/>
  <c r="D1167" i="2"/>
  <c r="C1167" i="2"/>
  <c r="A1167" i="2"/>
  <c r="M1166" i="2"/>
  <c r="L1166" i="2"/>
  <c r="K1166" i="2"/>
  <c r="J1166" i="2"/>
  <c r="H1166" i="2"/>
  <c r="G1166" i="2"/>
  <c r="F1166" i="2"/>
  <c r="E1166" i="2"/>
  <c r="D1166" i="2"/>
  <c r="C1166" i="2"/>
  <c r="A1166" i="2"/>
  <c r="M1165" i="2"/>
  <c r="L1165" i="2"/>
  <c r="K1165" i="2"/>
  <c r="J1165" i="2"/>
  <c r="H1165" i="2"/>
  <c r="G1165" i="2"/>
  <c r="F1165" i="2"/>
  <c r="E1165" i="2"/>
  <c r="D1165" i="2"/>
  <c r="C1165" i="2"/>
  <c r="A1165" i="2"/>
  <c r="M1164" i="2"/>
  <c r="L1164" i="2"/>
  <c r="K1164" i="2"/>
  <c r="J1164" i="2"/>
  <c r="H1164" i="2"/>
  <c r="G1164" i="2"/>
  <c r="F1164" i="2"/>
  <c r="E1164" i="2"/>
  <c r="D1164" i="2"/>
  <c r="C1164" i="2"/>
  <c r="A1164" i="2"/>
  <c r="M1163" i="2"/>
  <c r="L1163" i="2"/>
  <c r="K1163" i="2"/>
  <c r="J1163" i="2"/>
  <c r="H1163" i="2"/>
  <c r="G1163" i="2"/>
  <c r="F1163" i="2"/>
  <c r="E1163" i="2"/>
  <c r="D1163" i="2"/>
  <c r="C1163" i="2"/>
  <c r="A1163" i="2"/>
  <c r="M1162" i="2"/>
  <c r="L1162" i="2"/>
  <c r="K1162" i="2"/>
  <c r="J1162" i="2"/>
  <c r="H1162" i="2"/>
  <c r="G1162" i="2"/>
  <c r="F1162" i="2"/>
  <c r="E1162" i="2"/>
  <c r="D1162" i="2"/>
  <c r="C1162" i="2"/>
  <c r="A1162" i="2"/>
  <c r="M1161" i="2"/>
  <c r="L1161" i="2"/>
  <c r="K1161" i="2"/>
  <c r="J1161" i="2"/>
  <c r="H1161" i="2"/>
  <c r="G1161" i="2"/>
  <c r="F1161" i="2"/>
  <c r="E1161" i="2"/>
  <c r="D1161" i="2"/>
  <c r="C1161" i="2"/>
  <c r="A1161" i="2"/>
  <c r="M1160" i="2"/>
  <c r="L1160" i="2"/>
  <c r="K1160" i="2"/>
  <c r="J1160" i="2"/>
  <c r="H1160" i="2"/>
  <c r="G1160" i="2"/>
  <c r="F1160" i="2"/>
  <c r="E1160" i="2"/>
  <c r="D1160" i="2"/>
  <c r="C1160" i="2"/>
  <c r="A1160" i="2"/>
  <c r="M1159" i="2"/>
  <c r="L1159" i="2"/>
  <c r="K1159" i="2"/>
  <c r="J1159" i="2"/>
  <c r="H1159" i="2"/>
  <c r="G1159" i="2"/>
  <c r="F1159" i="2"/>
  <c r="E1159" i="2"/>
  <c r="D1159" i="2"/>
  <c r="C1159" i="2"/>
  <c r="A1159" i="2"/>
  <c r="M1158" i="2"/>
  <c r="L1158" i="2"/>
  <c r="K1158" i="2"/>
  <c r="J1158" i="2"/>
  <c r="H1158" i="2"/>
  <c r="G1158" i="2"/>
  <c r="F1158" i="2"/>
  <c r="E1158" i="2"/>
  <c r="D1158" i="2"/>
  <c r="C1158" i="2"/>
  <c r="A1158" i="2"/>
  <c r="M1157" i="2"/>
  <c r="L1157" i="2"/>
  <c r="K1157" i="2"/>
  <c r="J1157" i="2"/>
  <c r="H1157" i="2"/>
  <c r="G1157" i="2"/>
  <c r="F1157" i="2"/>
  <c r="E1157" i="2"/>
  <c r="D1157" i="2"/>
  <c r="C1157" i="2"/>
  <c r="A1157" i="2"/>
  <c r="M1156" i="2"/>
  <c r="L1156" i="2"/>
  <c r="K1156" i="2"/>
  <c r="J1156" i="2"/>
  <c r="H1156" i="2"/>
  <c r="G1156" i="2"/>
  <c r="F1156" i="2"/>
  <c r="E1156" i="2"/>
  <c r="D1156" i="2"/>
  <c r="C1156" i="2"/>
  <c r="A1156" i="2"/>
  <c r="M1155" i="2"/>
  <c r="L1155" i="2"/>
  <c r="K1155" i="2"/>
  <c r="J1155" i="2"/>
  <c r="H1155" i="2"/>
  <c r="G1155" i="2"/>
  <c r="F1155" i="2"/>
  <c r="E1155" i="2"/>
  <c r="D1155" i="2"/>
  <c r="C1155" i="2"/>
  <c r="A1155" i="2"/>
  <c r="M1154" i="2"/>
  <c r="L1154" i="2"/>
  <c r="K1154" i="2"/>
  <c r="J1154" i="2"/>
  <c r="H1154" i="2"/>
  <c r="G1154" i="2"/>
  <c r="F1154" i="2"/>
  <c r="E1154" i="2"/>
  <c r="D1154" i="2"/>
  <c r="C1154" i="2"/>
  <c r="A1154" i="2"/>
  <c r="M1153" i="2"/>
  <c r="L1153" i="2"/>
  <c r="K1153" i="2"/>
  <c r="J1153" i="2"/>
  <c r="H1153" i="2"/>
  <c r="G1153" i="2"/>
  <c r="F1153" i="2"/>
  <c r="E1153" i="2"/>
  <c r="D1153" i="2"/>
  <c r="C1153" i="2"/>
  <c r="A1153" i="2"/>
  <c r="M1152" i="2"/>
  <c r="L1152" i="2"/>
  <c r="K1152" i="2"/>
  <c r="J1152" i="2"/>
  <c r="H1152" i="2"/>
  <c r="G1152" i="2"/>
  <c r="F1152" i="2"/>
  <c r="E1152" i="2"/>
  <c r="D1152" i="2"/>
  <c r="C1152" i="2"/>
  <c r="A1152" i="2"/>
  <c r="M1151" i="2"/>
  <c r="L1151" i="2"/>
  <c r="K1151" i="2"/>
  <c r="J1151" i="2"/>
  <c r="H1151" i="2"/>
  <c r="G1151" i="2"/>
  <c r="F1151" i="2"/>
  <c r="E1151" i="2"/>
  <c r="D1151" i="2"/>
  <c r="C1151" i="2"/>
  <c r="A1151" i="2"/>
  <c r="M1150" i="2"/>
  <c r="L1150" i="2"/>
  <c r="K1150" i="2"/>
  <c r="J1150" i="2"/>
  <c r="H1150" i="2"/>
  <c r="G1150" i="2"/>
  <c r="F1150" i="2"/>
  <c r="E1150" i="2"/>
  <c r="D1150" i="2"/>
  <c r="C1150" i="2"/>
  <c r="A1150" i="2"/>
  <c r="M1149" i="2"/>
  <c r="L1149" i="2"/>
  <c r="K1149" i="2"/>
  <c r="J1149" i="2"/>
  <c r="H1149" i="2"/>
  <c r="G1149" i="2"/>
  <c r="F1149" i="2"/>
  <c r="E1149" i="2"/>
  <c r="D1149" i="2"/>
  <c r="C1149" i="2"/>
  <c r="A1149" i="2"/>
  <c r="M1148" i="2"/>
  <c r="L1148" i="2"/>
  <c r="K1148" i="2"/>
  <c r="J1148" i="2"/>
  <c r="H1148" i="2"/>
  <c r="G1148" i="2"/>
  <c r="F1148" i="2"/>
  <c r="E1148" i="2"/>
  <c r="D1148" i="2"/>
  <c r="C1148" i="2"/>
  <c r="A1148" i="2"/>
  <c r="M1147" i="2"/>
  <c r="L1147" i="2"/>
  <c r="K1147" i="2"/>
  <c r="J1147" i="2"/>
  <c r="H1147" i="2"/>
  <c r="G1147" i="2"/>
  <c r="F1147" i="2"/>
  <c r="E1147" i="2"/>
  <c r="D1147" i="2"/>
  <c r="C1147" i="2"/>
  <c r="A1147" i="2"/>
  <c r="M1146" i="2"/>
  <c r="L1146" i="2"/>
  <c r="K1146" i="2"/>
  <c r="J1146" i="2"/>
  <c r="H1146" i="2"/>
  <c r="G1146" i="2"/>
  <c r="F1146" i="2"/>
  <c r="E1146" i="2"/>
  <c r="D1146" i="2"/>
  <c r="C1146" i="2"/>
  <c r="A1146" i="2"/>
  <c r="M1145" i="2"/>
  <c r="L1145" i="2"/>
  <c r="K1145" i="2"/>
  <c r="J1145" i="2"/>
  <c r="H1145" i="2"/>
  <c r="G1145" i="2"/>
  <c r="F1145" i="2"/>
  <c r="E1145" i="2"/>
  <c r="D1145" i="2"/>
  <c r="C1145" i="2"/>
  <c r="A1145" i="2"/>
  <c r="M1144" i="2"/>
  <c r="L1144" i="2"/>
  <c r="K1144" i="2"/>
  <c r="J1144" i="2"/>
  <c r="H1144" i="2"/>
  <c r="G1144" i="2"/>
  <c r="F1144" i="2"/>
  <c r="E1144" i="2"/>
  <c r="D1144" i="2"/>
  <c r="C1144" i="2"/>
  <c r="A1144" i="2"/>
  <c r="M1143" i="2"/>
  <c r="L1143" i="2"/>
  <c r="K1143" i="2"/>
  <c r="J1143" i="2"/>
  <c r="H1143" i="2"/>
  <c r="G1143" i="2"/>
  <c r="F1143" i="2"/>
  <c r="E1143" i="2"/>
  <c r="D1143" i="2"/>
  <c r="C1143" i="2"/>
  <c r="A1143" i="2"/>
  <c r="M1142" i="2"/>
  <c r="L1142" i="2"/>
  <c r="K1142" i="2"/>
  <c r="J1142" i="2"/>
  <c r="H1142" i="2"/>
  <c r="G1142" i="2"/>
  <c r="F1142" i="2"/>
  <c r="E1142" i="2"/>
  <c r="D1142" i="2"/>
  <c r="C1142" i="2"/>
  <c r="A1142" i="2"/>
  <c r="M1141" i="2"/>
  <c r="L1141" i="2"/>
  <c r="K1141" i="2"/>
  <c r="J1141" i="2"/>
  <c r="H1141" i="2"/>
  <c r="G1141" i="2"/>
  <c r="F1141" i="2"/>
  <c r="E1141" i="2"/>
  <c r="D1141" i="2"/>
  <c r="C1141" i="2"/>
  <c r="A1141" i="2"/>
  <c r="M1140" i="2"/>
  <c r="L1140" i="2"/>
  <c r="K1140" i="2"/>
  <c r="J1140" i="2"/>
  <c r="H1140" i="2"/>
  <c r="G1140" i="2"/>
  <c r="F1140" i="2"/>
  <c r="E1140" i="2"/>
  <c r="D1140" i="2"/>
  <c r="C1140" i="2"/>
  <c r="A1140" i="2"/>
  <c r="M1139" i="2"/>
  <c r="L1139" i="2"/>
  <c r="K1139" i="2"/>
  <c r="J1139" i="2"/>
  <c r="H1139" i="2"/>
  <c r="G1139" i="2"/>
  <c r="F1139" i="2"/>
  <c r="E1139" i="2"/>
  <c r="D1139" i="2"/>
  <c r="C1139" i="2"/>
  <c r="A1139" i="2"/>
  <c r="M1138" i="2"/>
  <c r="L1138" i="2"/>
  <c r="K1138" i="2"/>
  <c r="J1138" i="2"/>
  <c r="H1138" i="2"/>
  <c r="G1138" i="2"/>
  <c r="F1138" i="2"/>
  <c r="E1138" i="2"/>
  <c r="D1138" i="2"/>
  <c r="C1138" i="2"/>
  <c r="A1138" i="2"/>
  <c r="M1137" i="2"/>
  <c r="L1137" i="2"/>
  <c r="K1137" i="2"/>
  <c r="J1137" i="2"/>
  <c r="H1137" i="2"/>
  <c r="G1137" i="2"/>
  <c r="F1137" i="2"/>
  <c r="E1137" i="2"/>
  <c r="D1137" i="2"/>
  <c r="C1137" i="2"/>
  <c r="A1137" i="2"/>
  <c r="M1136" i="2"/>
  <c r="L1136" i="2"/>
  <c r="K1136" i="2"/>
  <c r="J1136" i="2"/>
  <c r="H1136" i="2"/>
  <c r="G1136" i="2"/>
  <c r="E1136" i="2"/>
  <c r="D1136" i="2"/>
  <c r="C1136" i="2"/>
  <c r="A1136" i="2"/>
  <c r="M1135" i="2"/>
  <c r="L1135" i="2"/>
  <c r="K1135" i="2"/>
  <c r="J1135" i="2"/>
  <c r="H1135" i="2"/>
  <c r="G1135" i="2"/>
  <c r="F1135" i="2"/>
  <c r="E1135" i="2"/>
  <c r="D1135" i="2"/>
  <c r="C1135" i="2"/>
  <c r="A1135" i="2"/>
  <c r="M1134" i="2"/>
  <c r="L1134" i="2"/>
  <c r="K1134" i="2"/>
  <c r="J1134" i="2"/>
  <c r="H1134" i="2"/>
  <c r="G1134" i="2"/>
  <c r="F1134" i="2"/>
  <c r="E1134" i="2"/>
  <c r="D1134" i="2"/>
  <c r="C1134" i="2"/>
  <c r="A1134" i="2"/>
  <c r="M1133" i="2"/>
  <c r="L1133" i="2"/>
  <c r="K1133" i="2"/>
  <c r="J1133" i="2"/>
  <c r="H1133" i="2"/>
  <c r="G1133" i="2"/>
  <c r="F1133" i="2"/>
  <c r="E1133" i="2"/>
  <c r="D1133" i="2"/>
  <c r="C1133" i="2"/>
  <c r="A1133" i="2"/>
  <c r="M1132" i="2"/>
  <c r="L1132" i="2"/>
  <c r="K1132" i="2"/>
  <c r="J1132" i="2"/>
  <c r="H1132" i="2"/>
  <c r="G1132" i="2"/>
  <c r="F1132" i="2"/>
  <c r="E1132" i="2"/>
  <c r="D1132" i="2"/>
  <c r="C1132" i="2"/>
  <c r="A1132" i="2"/>
  <c r="M1131" i="2"/>
  <c r="L1131" i="2"/>
  <c r="K1131" i="2"/>
  <c r="J1131" i="2"/>
  <c r="H1131" i="2"/>
  <c r="G1131" i="2"/>
  <c r="F1131" i="2"/>
  <c r="E1131" i="2"/>
  <c r="D1131" i="2"/>
  <c r="C1131" i="2"/>
  <c r="A1131" i="2"/>
  <c r="M1130" i="2"/>
  <c r="L1130" i="2"/>
  <c r="K1130" i="2"/>
  <c r="J1130" i="2"/>
  <c r="H1130" i="2"/>
  <c r="G1130" i="2"/>
  <c r="F1130" i="2"/>
  <c r="E1130" i="2"/>
  <c r="D1130" i="2"/>
  <c r="C1130" i="2"/>
  <c r="A1130" i="2"/>
  <c r="M1129" i="2"/>
  <c r="L1129" i="2"/>
  <c r="K1129" i="2"/>
  <c r="J1129" i="2"/>
  <c r="H1129" i="2"/>
  <c r="G1129" i="2"/>
  <c r="F1129" i="2"/>
  <c r="E1129" i="2"/>
  <c r="D1129" i="2"/>
  <c r="C1129" i="2"/>
  <c r="A1129" i="2"/>
  <c r="M1128" i="2"/>
  <c r="L1128" i="2"/>
  <c r="K1128" i="2"/>
  <c r="J1128" i="2"/>
  <c r="H1128" i="2"/>
  <c r="G1128" i="2"/>
  <c r="F1128" i="2"/>
  <c r="E1128" i="2"/>
  <c r="D1128" i="2"/>
  <c r="C1128" i="2"/>
  <c r="A1128" i="2"/>
  <c r="M1127" i="2"/>
  <c r="L1127" i="2"/>
  <c r="K1127" i="2"/>
  <c r="J1127" i="2"/>
  <c r="H1127" i="2"/>
  <c r="G1127" i="2"/>
  <c r="F1127" i="2"/>
  <c r="E1127" i="2"/>
  <c r="D1127" i="2"/>
  <c r="C1127" i="2"/>
  <c r="A1127" i="2"/>
  <c r="M1126" i="2"/>
  <c r="L1126" i="2"/>
  <c r="K1126" i="2"/>
  <c r="J1126" i="2"/>
  <c r="H1126" i="2"/>
  <c r="G1126" i="2"/>
  <c r="F1126" i="2"/>
  <c r="E1126" i="2"/>
  <c r="D1126" i="2"/>
  <c r="C1126" i="2"/>
  <c r="A1126" i="2"/>
  <c r="M1125" i="2"/>
  <c r="L1125" i="2"/>
  <c r="K1125" i="2"/>
  <c r="J1125" i="2"/>
  <c r="H1125" i="2"/>
  <c r="G1125" i="2"/>
  <c r="F1125" i="2"/>
  <c r="E1125" i="2"/>
  <c r="D1125" i="2"/>
  <c r="C1125" i="2"/>
  <c r="A1125" i="2"/>
  <c r="M1124" i="2"/>
  <c r="L1124" i="2"/>
  <c r="K1124" i="2"/>
  <c r="J1124" i="2"/>
  <c r="H1124" i="2"/>
  <c r="G1124" i="2"/>
  <c r="F1124" i="2"/>
  <c r="E1124" i="2"/>
  <c r="D1124" i="2"/>
  <c r="C1124" i="2"/>
  <c r="A1124" i="2"/>
  <c r="M1123" i="2"/>
  <c r="L1123" i="2"/>
  <c r="K1123" i="2"/>
  <c r="J1123" i="2"/>
  <c r="H1123" i="2"/>
  <c r="G1123" i="2"/>
  <c r="F1123" i="2"/>
  <c r="E1123" i="2"/>
  <c r="D1123" i="2"/>
  <c r="C1123" i="2"/>
  <c r="A1123" i="2"/>
  <c r="M1122" i="2"/>
  <c r="L1122" i="2"/>
  <c r="K1122" i="2"/>
  <c r="J1122" i="2"/>
  <c r="H1122" i="2"/>
  <c r="G1122" i="2"/>
  <c r="F1122" i="2"/>
  <c r="E1122" i="2"/>
  <c r="D1122" i="2"/>
  <c r="C1122" i="2"/>
  <c r="A1122" i="2"/>
  <c r="M1121" i="2"/>
  <c r="L1121" i="2"/>
  <c r="K1121" i="2"/>
  <c r="J1121" i="2"/>
  <c r="H1121" i="2"/>
  <c r="G1121" i="2"/>
  <c r="F1121" i="2"/>
  <c r="E1121" i="2"/>
  <c r="D1121" i="2"/>
  <c r="C1121" i="2"/>
  <c r="A1121" i="2"/>
  <c r="M1120" i="2"/>
  <c r="L1120" i="2"/>
  <c r="K1120" i="2"/>
  <c r="J1120" i="2"/>
  <c r="H1120" i="2"/>
  <c r="G1120" i="2"/>
  <c r="F1120" i="2"/>
  <c r="E1120" i="2"/>
  <c r="D1120" i="2"/>
  <c r="C1120" i="2"/>
  <c r="A1120" i="2"/>
  <c r="M1119" i="2"/>
  <c r="L1119" i="2"/>
  <c r="K1119" i="2"/>
  <c r="J1119" i="2"/>
  <c r="H1119" i="2"/>
  <c r="G1119" i="2"/>
  <c r="F1119" i="2"/>
  <c r="E1119" i="2"/>
  <c r="D1119" i="2"/>
  <c r="C1119" i="2"/>
  <c r="A1119" i="2"/>
  <c r="M1118" i="2"/>
  <c r="L1118" i="2"/>
  <c r="K1118" i="2"/>
  <c r="J1118" i="2"/>
  <c r="H1118" i="2"/>
  <c r="G1118" i="2"/>
  <c r="F1118" i="2"/>
  <c r="E1118" i="2"/>
  <c r="D1118" i="2"/>
  <c r="C1118" i="2"/>
  <c r="A1118" i="2"/>
  <c r="M1117" i="2"/>
  <c r="L1117" i="2"/>
  <c r="K1117" i="2"/>
  <c r="J1117" i="2"/>
  <c r="H1117" i="2"/>
  <c r="G1117" i="2"/>
  <c r="F1117" i="2"/>
  <c r="E1117" i="2"/>
  <c r="D1117" i="2"/>
  <c r="C1117" i="2"/>
  <c r="A1117" i="2"/>
  <c r="M1116" i="2"/>
  <c r="L1116" i="2"/>
  <c r="K1116" i="2"/>
  <c r="J1116" i="2"/>
  <c r="H1116" i="2"/>
  <c r="G1116" i="2"/>
  <c r="F1116" i="2"/>
  <c r="E1116" i="2"/>
  <c r="D1116" i="2"/>
  <c r="C1116" i="2"/>
  <c r="A1116" i="2"/>
  <c r="M1115" i="2"/>
  <c r="L1115" i="2"/>
  <c r="K1115" i="2"/>
  <c r="J1115" i="2"/>
  <c r="H1115" i="2"/>
  <c r="G1115" i="2"/>
  <c r="F1115" i="2"/>
  <c r="E1115" i="2"/>
  <c r="D1115" i="2"/>
  <c r="C1115" i="2"/>
  <c r="A1115" i="2"/>
  <c r="M1114" i="2"/>
  <c r="L1114" i="2"/>
  <c r="K1114" i="2"/>
  <c r="J1114" i="2"/>
  <c r="H1114" i="2"/>
  <c r="G1114" i="2"/>
  <c r="F1114" i="2"/>
  <c r="E1114" i="2"/>
  <c r="D1114" i="2"/>
  <c r="C1114" i="2"/>
  <c r="A1114" i="2"/>
  <c r="M1113" i="2"/>
  <c r="L1113" i="2"/>
  <c r="K1113" i="2"/>
  <c r="J1113" i="2"/>
  <c r="H1113" i="2"/>
  <c r="G1113" i="2"/>
  <c r="F1113" i="2"/>
  <c r="E1113" i="2"/>
  <c r="D1113" i="2"/>
  <c r="C1113" i="2"/>
  <c r="A1113" i="2"/>
  <c r="M1112" i="2"/>
  <c r="L1112" i="2"/>
  <c r="K1112" i="2"/>
  <c r="J1112" i="2"/>
  <c r="H1112" i="2"/>
  <c r="G1112" i="2"/>
  <c r="F1112" i="2"/>
  <c r="E1112" i="2"/>
  <c r="D1112" i="2"/>
  <c r="C1112" i="2"/>
  <c r="A1112" i="2"/>
  <c r="M1111" i="2"/>
  <c r="L1111" i="2"/>
  <c r="K1111" i="2"/>
  <c r="J1111" i="2"/>
  <c r="H1111" i="2"/>
  <c r="G1111" i="2"/>
  <c r="F1111" i="2"/>
  <c r="E1111" i="2"/>
  <c r="D1111" i="2"/>
  <c r="C1111" i="2"/>
  <c r="A1111" i="2"/>
  <c r="M1110" i="2"/>
  <c r="L1110" i="2"/>
  <c r="K1110" i="2"/>
  <c r="J1110" i="2"/>
  <c r="H1110" i="2"/>
  <c r="G1110" i="2"/>
  <c r="F1110" i="2"/>
  <c r="E1110" i="2"/>
  <c r="D1110" i="2"/>
  <c r="C1110" i="2"/>
  <c r="A1110" i="2"/>
  <c r="M1109" i="2"/>
  <c r="L1109" i="2"/>
  <c r="K1109" i="2"/>
  <c r="J1109" i="2"/>
  <c r="H1109" i="2"/>
  <c r="G1109" i="2"/>
  <c r="F1109" i="2"/>
  <c r="E1109" i="2"/>
  <c r="D1109" i="2"/>
  <c r="C1109" i="2"/>
  <c r="A1109" i="2"/>
  <c r="M1108" i="2"/>
  <c r="L1108" i="2"/>
  <c r="K1108" i="2"/>
  <c r="J1108" i="2"/>
  <c r="H1108" i="2"/>
  <c r="G1108" i="2"/>
  <c r="F1108" i="2"/>
  <c r="E1108" i="2"/>
  <c r="D1108" i="2"/>
  <c r="C1108" i="2"/>
  <c r="A1108" i="2"/>
  <c r="M1107" i="2"/>
  <c r="L1107" i="2"/>
  <c r="K1107" i="2"/>
  <c r="J1107" i="2"/>
  <c r="H1107" i="2"/>
  <c r="G1107" i="2"/>
  <c r="F1107" i="2"/>
  <c r="E1107" i="2"/>
  <c r="D1107" i="2"/>
  <c r="C1107" i="2"/>
  <c r="A1107" i="2"/>
  <c r="M1106" i="2"/>
  <c r="L1106" i="2"/>
  <c r="K1106" i="2"/>
  <c r="J1106" i="2"/>
  <c r="H1106" i="2"/>
  <c r="G1106" i="2"/>
  <c r="F1106" i="2"/>
  <c r="E1106" i="2"/>
  <c r="D1106" i="2"/>
  <c r="C1106" i="2"/>
  <c r="A1106" i="2"/>
  <c r="M1105" i="2"/>
  <c r="L1105" i="2"/>
  <c r="K1105" i="2"/>
  <c r="J1105" i="2"/>
  <c r="H1105" i="2"/>
  <c r="G1105" i="2"/>
  <c r="F1105" i="2"/>
  <c r="E1105" i="2"/>
  <c r="D1105" i="2"/>
  <c r="C1105" i="2"/>
  <c r="A1105" i="2"/>
  <c r="M1104" i="2"/>
  <c r="L1104" i="2"/>
  <c r="K1104" i="2"/>
  <c r="J1104" i="2"/>
  <c r="H1104" i="2"/>
  <c r="G1104" i="2"/>
  <c r="F1104" i="2"/>
  <c r="E1104" i="2"/>
  <c r="D1104" i="2"/>
  <c r="C1104" i="2"/>
  <c r="A1104" i="2"/>
  <c r="M1103" i="2"/>
  <c r="L1103" i="2"/>
  <c r="K1103" i="2"/>
  <c r="J1103" i="2"/>
  <c r="H1103" i="2"/>
  <c r="G1103" i="2"/>
  <c r="F1103" i="2"/>
  <c r="E1103" i="2"/>
  <c r="D1103" i="2"/>
  <c r="C1103" i="2"/>
  <c r="A1103" i="2"/>
  <c r="M1102" i="2"/>
  <c r="L1102" i="2"/>
  <c r="K1102" i="2"/>
  <c r="J1102" i="2"/>
  <c r="H1102" i="2"/>
  <c r="G1102" i="2"/>
  <c r="F1102" i="2"/>
  <c r="E1102" i="2"/>
  <c r="D1102" i="2"/>
  <c r="C1102" i="2"/>
  <c r="A1102" i="2"/>
  <c r="M1101" i="2"/>
  <c r="L1101" i="2"/>
  <c r="K1101" i="2"/>
  <c r="J1101" i="2"/>
  <c r="H1101" i="2"/>
  <c r="G1101" i="2"/>
  <c r="F1101" i="2"/>
  <c r="E1101" i="2"/>
  <c r="D1101" i="2"/>
  <c r="C1101" i="2"/>
  <c r="A1101" i="2"/>
  <c r="M1100" i="2"/>
  <c r="L1100" i="2"/>
  <c r="K1100" i="2"/>
  <c r="J1100" i="2"/>
  <c r="H1100" i="2"/>
  <c r="G1100" i="2"/>
  <c r="F1100" i="2"/>
  <c r="E1100" i="2"/>
  <c r="D1100" i="2"/>
  <c r="C1100" i="2"/>
  <c r="A1100" i="2"/>
  <c r="M1099" i="2"/>
  <c r="L1099" i="2"/>
  <c r="K1099" i="2"/>
  <c r="J1099" i="2"/>
  <c r="H1099" i="2"/>
  <c r="G1099" i="2"/>
  <c r="F1099" i="2"/>
  <c r="E1099" i="2"/>
  <c r="D1099" i="2"/>
  <c r="C1099" i="2"/>
  <c r="A1099" i="2"/>
  <c r="M1098" i="2"/>
  <c r="L1098" i="2"/>
  <c r="K1098" i="2"/>
  <c r="J1098" i="2"/>
  <c r="H1098" i="2"/>
  <c r="G1098" i="2"/>
  <c r="F1098" i="2"/>
  <c r="E1098" i="2"/>
  <c r="D1098" i="2"/>
  <c r="C1098" i="2"/>
  <c r="A1098" i="2"/>
  <c r="M1097" i="2"/>
  <c r="L1097" i="2"/>
  <c r="K1097" i="2"/>
  <c r="J1097" i="2"/>
  <c r="H1097" i="2"/>
  <c r="G1097" i="2"/>
  <c r="F1097" i="2"/>
  <c r="E1097" i="2"/>
  <c r="D1097" i="2"/>
  <c r="C1097" i="2"/>
  <c r="A1097" i="2"/>
  <c r="M1096" i="2"/>
  <c r="L1096" i="2"/>
  <c r="K1096" i="2"/>
  <c r="J1096" i="2"/>
  <c r="H1096" i="2"/>
  <c r="G1096" i="2"/>
  <c r="F1096" i="2"/>
  <c r="E1096" i="2"/>
  <c r="D1096" i="2"/>
  <c r="C1096" i="2"/>
  <c r="A1096" i="2"/>
  <c r="M1095" i="2"/>
  <c r="L1095" i="2"/>
  <c r="K1095" i="2"/>
  <c r="J1095" i="2"/>
  <c r="H1095" i="2"/>
  <c r="G1095" i="2"/>
  <c r="F1095" i="2"/>
  <c r="E1095" i="2"/>
  <c r="D1095" i="2"/>
  <c r="C1095" i="2"/>
  <c r="A1095" i="2"/>
  <c r="M1094" i="2"/>
  <c r="L1094" i="2"/>
  <c r="K1094" i="2"/>
  <c r="J1094" i="2"/>
  <c r="H1094" i="2"/>
  <c r="G1094" i="2"/>
  <c r="F1094" i="2"/>
  <c r="E1094" i="2"/>
  <c r="D1094" i="2"/>
  <c r="C1094" i="2"/>
  <c r="A1094" i="2"/>
  <c r="M1093" i="2"/>
  <c r="L1093" i="2"/>
  <c r="K1093" i="2"/>
  <c r="J1093" i="2"/>
  <c r="H1093" i="2"/>
  <c r="G1093" i="2"/>
  <c r="F1093" i="2"/>
  <c r="E1093" i="2"/>
  <c r="D1093" i="2"/>
  <c r="C1093" i="2"/>
  <c r="A1093" i="2"/>
  <c r="M1092" i="2"/>
  <c r="L1092" i="2"/>
  <c r="K1092" i="2"/>
  <c r="J1092" i="2"/>
  <c r="H1092" i="2"/>
  <c r="G1092" i="2"/>
  <c r="F1092" i="2"/>
  <c r="E1092" i="2"/>
  <c r="D1092" i="2"/>
  <c r="C1092" i="2"/>
  <c r="A1092" i="2"/>
  <c r="M1091" i="2"/>
  <c r="L1091" i="2"/>
  <c r="K1091" i="2"/>
  <c r="J1091" i="2"/>
  <c r="H1091" i="2"/>
  <c r="G1091" i="2"/>
  <c r="F1091" i="2"/>
  <c r="E1091" i="2"/>
  <c r="D1091" i="2"/>
  <c r="C1091" i="2"/>
  <c r="A1091" i="2"/>
  <c r="M1090" i="2"/>
  <c r="L1090" i="2"/>
  <c r="K1090" i="2"/>
  <c r="J1090" i="2"/>
  <c r="H1090" i="2"/>
  <c r="G1090" i="2"/>
  <c r="F1090" i="2"/>
  <c r="E1090" i="2"/>
  <c r="D1090" i="2"/>
  <c r="C1090" i="2"/>
  <c r="A1090" i="2"/>
  <c r="M1089" i="2"/>
  <c r="L1089" i="2"/>
  <c r="K1089" i="2"/>
  <c r="J1089" i="2"/>
  <c r="H1089" i="2"/>
  <c r="G1089" i="2"/>
  <c r="F1089" i="2"/>
  <c r="E1089" i="2"/>
  <c r="D1089" i="2"/>
  <c r="C1089" i="2"/>
  <c r="A1089" i="2"/>
  <c r="M1088" i="2"/>
  <c r="L1088" i="2"/>
  <c r="K1088" i="2"/>
  <c r="J1088" i="2"/>
  <c r="H1088" i="2"/>
  <c r="G1088" i="2"/>
  <c r="F1088" i="2"/>
  <c r="E1088" i="2"/>
  <c r="D1088" i="2"/>
  <c r="C1088" i="2"/>
  <c r="A1088" i="2"/>
  <c r="M1087" i="2"/>
  <c r="L1087" i="2"/>
  <c r="K1087" i="2"/>
  <c r="J1087" i="2"/>
  <c r="H1087" i="2"/>
  <c r="G1087" i="2"/>
  <c r="F1087" i="2"/>
  <c r="E1087" i="2"/>
  <c r="D1087" i="2"/>
  <c r="C1087" i="2"/>
  <c r="A1087" i="2"/>
  <c r="M1086" i="2"/>
  <c r="L1086" i="2"/>
  <c r="K1086" i="2"/>
  <c r="J1086" i="2"/>
  <c r="H1086" i="2"/>
  <c r="G1086" i="2"/>
  <c r="F1086" i="2"/>
  <c r="E1086" i="2"/>
  <c r="D1086" i="2"/>
  <c r="C1086" i="2"/>
  <c r="A1086" i="2"/>
  <c r="M1085" i="2"/>
  <c r="L1085" i="2"/>
  <c r="K1085" i="2"/>
  <c r="J1085" i="2"/>
  <c r="H1085" i="2"/>
  <c r="G1085" i="2"/>
  <c r="F1085" i="2"/>
  <c r="E1085" i="2"/>
  <c r="D1085" i="2"/>
  <c r="C1085" i="2"/>
  <c r="A1085" i="2"/>
  <c r="M1084" i="2"/>
  <c r="L1084" i="2"/>
  <c r="K1084" i="2"/>
  <c r="J1084" i="2"/>
  <c r="H1084" i="2"/>
  <c r="G1084" i="2"/>
  <c r="F1084" i="2"/>
  <c r="E1084" i="2"/>
  <c r="D1084" i="2"/>
  <c r="C1084" i="2"/>
  <c r="A1084" i="2"/>
  <c r="M1083" i="2"/>
  <c r="L1083" i="2"/>
  <c r="K1083" i="2"/>
  <c r="J1083" i="2"/>
  <c r="H1083" i="2"/>
  <c r="G1083" i="2"/>
  <c r="F1083" i="2"/>
  <c r="E1083" i="2"/>
  <c r="D1083" i="2"/>
  <c r="C1083" i="2"/>
  <c r="A1083" i="2"/>
  <c r="M1082" i="2"/>
  <c r="L1082" i="2"/>
  <c r="K1082" i="2"/>
  <c r="J1082" i="2"/>
  <c r="H1082" i="2"/>
  <c r="G1082" i="2"/>
  <c r="F1082" i="2"/>
  <c r="E1082" i="2"/>
  <c r="D1082" i="2"/>
  <c r="C1082" i="2"/>
  <c r="A1082" i="2"/>
  <c r="M1081" i="2"/>
  <c r="L1081" i="2"/>
  <c r="K1081" i="2"/>
  <c r="J1081" i="2"/>
  <c r="H1081" i="2"/>
  <c r="G1081" i="2"/>
  <c r="F1081" i="2"/>
  <c r="E1081" i="2"/>
  <c r="D1081" i="2"/>
  <c r="C1081" i="2"/>
  <c r="A1081" i="2"/>
  <c r="M1080" i="2"/>
  <c r="L1080" i="2"/>
  <c r="K1080" i="2"/>
  <c r="J1080" i="2"/>
  <c r="H1080" i="2"/>
  <c r="G1080" i="2"/>
  <c r="F1080" i="2"/>
  <c r="E1080" i="2"/>
  <c r="D1080" i="2"/>
  <c r="C1080" i="2"/>
  <c r="A1080" i="2"/>
  <c r="M1079" i="2"/>
  <c r="L1079" i="2"/>
  <c r="K1079" i="2"/>
  <c r="J1079" i="2"/>
  <c r="H1079" i="2"/>
  <c r="G1079" i="2"/>
  <c r="F1079" i="2"/>
  <c r="E1079" i="2"/>
  <c r="D1079" i="2"/>
  <c r="C1079" i="2"/>
  <c r="A1079" i="2"/>
  <c r="M1078" i="2"/>
  <c r="L1078" i="2"/>
  <c r="K1078" i="2"/>
  <c r="J1078" i="2"/>
  <c r="H1078" i="2"/>
  <c r="G1078" i="2"/>
  <c r="F1078" i="2"/>
  <c r="E1078" i="2"/>
  <c r="D1078" i="2"/>
  <c r="C1078" i="2"/>
  <c r="A1078" i="2"/>
  <c r="M1077" i="2"/>
  <c r="L1077" i="2"/>
  <c r="K1077" i="2"/>
  <c r="J1077" i="2"/>
  <c r="H1077" i="2"/>
  <c r="G1077" i="2"/>
  <c r="F1077" i="2"/>
  <c r="E1077" i="2"/>
  <c r="D1077" i="2"/>
  <c r="C1077" i="2"/>
  <c r="A1077" i="2"/>
  <c r="M1076" i="2"/>
  <c r="L1076" i="2"/>
  <c r="K1076" i="2"/>
  <c r="J1076" i="2"/>
  <c r="H1076" i="2"/>
  <c r="G1076" i="2"/>
  <c r="F1076" i="2"/>
  <c r="E1076" i="2"/>
  <c r="D1076" i="2"/>
  <c r="C1076" i="2"/>
  <c r="A1076" i="2"/>
  <c r="M1075" i="2"/>
  <c r="L1075" i="2"/>
  <c r="K1075" i="2"/>
  <c r="J1075" i="2"/>
  <c r="H1075" i="2"/>
  <c r="G1075" i="2"/>
  <c r="F1075" i="2"/>
  <c r="E1075" i="2"/>
  <c r="D1075" i="2"/>
  <c r="C1075" i="2"/>
  <c r="A1075" i="2"/>
  <c r="M1074" i="2"/>
  <c r="L1074" i="2"/>
  <c r="K1074" i="2"/>
  <c r="J1074" i="2"/>
  <c r="H1074" i="2"/>
  <c r="G1074" i="2"/>
  <c r="F1074" i="2"/>
  <c r="E1074" i="2"/>
  <c r="D1074" i="2"/>
  <c r="C1074" i="2"/>
  <c r="A1074" i="2"/>
  <c r="M1073" i="2"/>
  <c r="L1073" i="2"/>
  <c r="K1073" i="2"/>
  <c r="J1073" i="2"/>
  <c r="H1073" i="2"/>
  <c r="G1073" i="2"/>
  <c r="F1073" i="2"/>
  <c r="E1073" i="2"/>
  <c r="D1073" i="2"/>
  <c r="C1073" i="2"/>
  <c r="A1073" i="2"/>
  <c r="M1072" i="2"/>
  <c r="L1072" i="2"/>
  <c r="K1072" i="2"/>
  <c r="J1072" i="2"/>
  <c r="H1072" i="2"/>
  <c r="G1072" i="2"/>
  <c r="F1072" i="2"/>
  <c r="E1072" i="2"/>
  <c r="D1072" i="2"/>
  <c r="C1072" i="2"/>
  <c r="A1072" i="2"/>
  <c r="M1071" i="2"/>
  <c r="L1071" i="2"/>
  <c r="K1071" i="2"/>
  <c r="J1071" i="2"/>
  <c r="H1071" i="2"/>
  <c r="G1071" i="2"/>
  <c r="F1071" i="2"/>
  <c r="E1071" i="2"/>
  <c r="D1071" i="2"/>
  <c r="C1071" i="2"/>
  <c r="A1071" i="2"/>
  <c r="M1070" i="2"/>
  <c r="L1070" i="2"/>
  <c r="K1070" i="2"/>
  <c r="J1070" i="2"/>
  <c r="H1070" i="2"/>
  <c r="G1070" i="2"/>
  <c r="F1070" i="2"/>
  <c r="E1070" i="2"/>
  <c r="D1070" i="2"/>
  <c r="C1070" i="2"/>
  <c r="A1070" i="2"/>
  <c r="M1069" i="2"/>
  <c r="L1069" i="2"/>
  <c r="K1069" i="2"/>
  <c r="J1069" i="2"/>
  <c r="H1069" i="2"/>
  <c r="G1069" i="2"/>
  <c r="F1069" i="2"/>
  <c r="E1069" i="2"/>
  <c r="D1069" i="2"/>
  <c r="C1069" i="2"/>
  <c r="A1069" i="2"/>
  <c r="M1068" i="2"/>
  <c r="L1068" i="2"/>
  <c r="K1068" i="2"/>
  <c r="J1068" i="2"/>
  <c r="H1068" i="2"/>
  <c r="G1068" i="2"/>
  <c r="F1068" i="2"/>
  <c r="E1068" i="2"/>
  <c r="D1068" i="2"/>
  <c r="C1068" i="2"/>
  <c r="A1068" i="2"/>
  <c r="M1067" i="2"/>
  <c r="L1067" i="2"/>
  <c r="K1067" i="2"/>
  <c r="J1067" i="2"/>
  <c r="H1067" i="2"/>
  <c r="G1067" i="2"/>
  <c r="F1067" i="2"/>
  <c r="E1067" i="2"/>
  <c r="D1067" i="2"/>
  <c r="C1067" i="2"/>
  <c r="A1067" i="2"/>
  <c r="M1066" i="2"/>
  <c r="L1066" i="2"/>
  <c r="K1066" i="2"/>
  <c r="J1066" i="2"/>
  <c r="H1066" i="2"/>
  <c r="G1066" i="2"/>
  <c r="E1066" i="2"/>
  <c r="D1066" i="2"/>
  <c r="C1066" i="2"/>
  <c r="A1066" i="2"/>
  <c r="M1065" i="2"/>
  <c r="L1065" i="2"/>
  <c r="K1065" i="2"/>
  <c r="J1065" i="2"/>
  <c r="H1065" i="2"/>
  <c r="G1065" i="2"/>
  <c r="F1065" i="2"/>
  <c r="E1065" i="2"/>
  <c r="D1065" i="2"/>
  <c r="C1065" i="2"/>
  <c r="A1065" i="2"/>
  <c r="M1064" i="2"/>
  <c r="L1064" i="2"/>
  <c r="K1064" i="2"/>
  <c r="J1064" i="2"/>
  <c r="H1064" i="2"/>
  <c r="G1064" i="2"/>
  <c r="F1064" i="2"/>
  <c r="E1064" i="2"/>
  <c r="D1064" i="2"/>
  <c r="C1064" i="2"/>
  <c r="A1064" i="2"/>
  <c r="M1063" i="2"/>
  <c r="L1063" i="2"/>
  <c r="K1063" i="2"/>
  <c r="J1063" i="2"/>
  <c r="H1063" i="2"/>
  <c r="G1063" i="2"/>
  <c r="F1063" i="2"/>
  <c r="E1063" i="2"/>
  <c r="D1063" i="2"/>
  <c r="C1063" i="2"/>
  <c r="A1063" i="2"/>
  <c r="M1062" i="2"/>
  <c r="L1062" i="2"/>
  <c r="K1062" i="2"/>
  <c r="J1062" i="2"/>
  <c r="H1062" i="2"/>
  <c r="G1062" i="2"/>
  <c r="F1062" i="2"/>
  <c r="E1062" i="2"/>
  <c r="D1062" i="2"/>
  <c r="C1062" i="2"/>
  <c r="A1062" i="2"/>
  <c r="M1061" i="2"/>
  <c r="L1061" i="2"/>
  <c r="K1061" i="2"/>
  <c r="J1061" i="2"/>
  <c r="H1061" i="2"/>
  <c r="G1061" i="2"/>
  <c r="F1061" i="2"/>
  <c r="E1061" i="2"/>
  <c r="D1061" i="2"/>
  <c r="C1061" i="2"/>
  <c r="A1061" i="2"/>
  <c r="M1060" i="2"/>
  <c r="L1060" i="2"/>
  <c r="K1060" i="2"/>
  <c r="J1060" i="2"/>
  <c r="H1060" i="2"/>
  <c r="G1060" i="2"/>
  <c r="F1060" i="2"/>
  <c r="E1060" i="2"/>
  <c r="D1060" i="2"/>
  <c r="C1060" i="2"/>
  <c r="A1060" i="2"/>
  <c r="M1059" i="2"/>
  <c r="L1059" i="2"/>
  <c r="K1059" i="2"/>
  <c r="J1059" i="2"/>
  <c r="H1059" i="2"/>
  <c r="G1059" i="2"/>
  <c r="F1059" i="2"/>
  <c r="E1059" i="2"/>
  <c r="D1059" i="2"/>
  <c r="C1059" i="2"/>
  <c r="A1059" i="2"/>
  <c r="M1058" i="2"/>
  <c r="L1058" i="2"/>
  <c r="K1058" i="2"/>
  <c r="J1058" i="2"/>
  <c r="H1058" i="2"/>
  <c r="G1058" i="2"/>
  <c r="F1058" i="2"/>
  <c r="E1058" i="2"/>
  <c r="D1058" i="2"/>
  <c r="C1058" i="2"/>
  <c r="A1058" i="2"/>
  <c r="M1057" i="2"/>
  <c r="L1057" i="2"/>
  <c r="K1057" i="2"/>
  <c r="J1057" i="2"/>
  <c r="H1057" i="2"/>
  <c r="G1057" i="2"/>
  <c r="F1057" i="2"/>
  <c r="E1057" i="2"/>
  <c r="D1057" i="2"/>
  <c r="C1057" i="2"/>
  <c r="A1057" i="2"/>
  <c r="M1056" i="2"/>
  <c r="L1056" i="2"/>
  <c r="K1056" i="2"/>
  <c r="J1056" i="2"/>
  <c r="H1056" i="2"/>
  <c r="G1056" i="2"/>
  <c r="F1056" i="2"/>
  <c r="E1056" i="2"/>
  <c r="D1056" i="2"/>
  <c r="C1056" i="2"/>
  <c r="A1056" i="2"/>
  <c r="M1055" i="2"/>
  <c r="L1055" i="2"/>
  <c r="K1055" i="2"/>
  <c r="J1055" i="2"/>
  <c r="H1055" i="2"/>
  <c r="G1055" i="2"/>
  <c r="F1055" i="2"/>
  <c r="E1055" i="2"/>
  <c r="D1055" i="2"/>
  <c r="C1055" i="2"/>
  <c r="A1055" i="2"/>
  <c r="M1054" i="2"/>
  <c r="L1054" i="2"/>
  <c r="K1054" i="2"/>
  <c r="J1054" i="2"/>
  <c r="H1054" i="2"/>
  <c r="G1054" i="2"/>
  <c r="F1054" i="2"/>
  <c r="E1054" i="2"/>
  <c r="D1054" i="2"/>
  <c r="C1054" i="2"/>
  <c r="A1054" i="2"/>
  <c r="M1053" i="2"/>
  <c r="L1053" i="2"/>
  <c r="K1053" i="2"/>
  <c r="J1053" i="2"/>
  <c r="H1053" i="2"/>
  <c r="G1053" i="2"/>
  <c r="F1053" i="2"/>
  <c r="E1053" i="2"/>
  <c r="D1053" i="2"/>
  <c r="C1053" i="2"/>
  <c r="A1053" i="2"/>
  <c r="M1052" i="2"/>
  <c r="L1052" i="2"/>
  <c r="K1052" i="2"/>
  <c r="J1052" i="2"/>
  <c r="H1052" i="2"/>
  <c r="G1052" i="2"/>
  <c r="F1052" i="2"/>
  <c r="E1052" i="2"/>
  <c r="D1052" i="2"/>
  <c r="C1052" i="2"/>
  <c r="A1052" i="2"/>
  <c r="M1051" i="2"/>
  <c r="L1051" i="2"/>
  <c r="K1051" i="2"/>
  <c r="J1051" i="2"/>
  <c r="H1051" i="2"/>
  <c r="G1051" i="2"/>
  <c r="F1051" i="2"/>
  <c r="E1051" i="2"/>
  <c r="D1051" i="2"/>
  <c r="C1051" i="2"/>
  <c r="A1051" i="2"/>
  <c r="M1050" i="2"/>
  <c r="L1050" i="2"/>
  <c r="K1050" i="2"/>
  <c r="J1050" i="2"/>
  <c r="H1050" i="2"/>
  <c r="G1050" i="2"/>
  <c r="F1050" i="2"/>
  <c r="E1050" i="2"/>
  <c r="D1050" i="2"/>
  <c r="C1050" i="2"/>
  <c r="A1050" i="2"/>
  <c r="M1049" i="2"/>
  <c r="L1049" i="2"/>
  <c r="K1049" i="2"/>
  <c r="J1049" i="2"/>
  <c r="H1049" i="2"/>
  <c r="G1049" i="2"/>
  <c r="F1049" i="2"/>
  <c r="E1049" i="2"/>
  <c r="D1049" i="2"/>
  <c r="C1049" i="2"/>
  <c r="A1049" i="2"/>
  <c r="M1048" i="2"/>
  <c r="L1048" i="2"/>
  <c r="K1048" i="2"/>
  <c r="J1048" i="2"/>
  <c r="H1048" i="2"/>
  <c r="G1048" i="2"/>
  <c r="F1048" i="2"/>
  <c r="E1048" i="2"/>
  <c r="D1048" i="2"/>
  <c r="C1048" i="2"/>
  <c r="A1048" i="2"/>
  <c r="M1047" i="2"/>
  <c r="L1047" i="2"/>
  <c r="K1047" i="2"/>
  <c r="J1047" i="2"/>
  <c r="H1047" i="2"/>
  <c r="G1047" i="2"/>
  <c r="F1047" i="2"/>
  <c r="E1047" i="2"/>
  <c r="D1047" i="2"/>
  <c r="C1047" i="2"/>
  <c r="A1047" i="2"/>
  <c r="M1046" i="2"/>
  <c r="L1046" i="2"/>
  <c r="K1046" i="2"/>
  <c r="J1046" i="2"/>
  <c r="H1046" i="2"/>
  <c r="G1046" i="2"/>
  <c r="F1046" i="2"/>
  <c r="E1046" i="2"/>
  <c r="D1046" i="2"/>
  <c r="C1046" i="2"/>
  <c r="A1046" i="2"/>
  <c r="M1045" i="2"/>
  <c r="L1045" i="2"/>
  <c r="K1045" i="2"/>
  <c r="J1045" i="2"/>
  <c r="H1045" i="2"/>
  <c r="G1045" i="2"/>
  <c r="F1045" i="2"/>
  <c r="E1045" i="2"/>
  <c r="D1045" i="2"/>
  <c r="C1045" i="2"/>
  <c r="A1045" i="2"/>
  <c r="M1044" i="2"/>
  <c r="L1044" i="2"/>
  <c r="K1044" i="2"/>
  <c r="J1044" i="2"/>
  <c r="H1044" i="2"/>
  <c r="G1044" i="2"/>
  <c r="F1044" i="2"/>
  <c r="E1044" i="2"/>
  <c r="D1044" i="2"/>
  <c r="C1044" i="2"/>
  <c r="A1044" i="2"/>
  <c r="M1043" i="2"/>
  <c r="L1043" i="2"/>
  <c r="K1043" i="2"/>
  <c r="J1043" i="2"/>
  <c r="H1043" i="2"/>
  <c r="G1043" i="2"/>
  <c r="F1043" i="2"/>
  <c r="E1043" i="2"/>
  <c r="D1043" i="2"/>
  <c r="C1043" i="2"/>
  <c r="A1043" i="2"/>
  <c r="M1042" i="2"/>
  <c r="L1042" i="2"/>
  <c r="K1042" i="2"/>
  <c r="J1042" i="2"/>
  <c r="H1042" i="2"/>
  <c r="G1042" i="2"/>
  <c r="F1042" i="2"/>
  <c r="E1042" i="2"/>
  <c r="D1042" i="2"/>
  <c r="C1042" i="2"/>
  <c r="A1042" i="2"/>
  <c r="M1041" i="2"/>
  <c r="L1041" i="2"/>
  <c r="K1041" i="2"/>
  <c r="J1041" i="2"/>
  <c r="H1041" i="2"/>
  <c r="G1041" i="2"/>
  <c r="F1041" i="2"/>
  <c r="E1041" i="2"/>
  <c r="D1041" i="2"/>
  <c r="C1041" i="2"/>
  <c r="A1041" i="2"/>
  <c r="M1040" i="2"/>
  <c r="L1040" i="2"/>
  <c r="K1040" i="2"/>
  <c r="J1040" i="2"/>
  <c r="H1040" i="2"/>
  <c r="G1040" i="2"/>
  <c r="F1040" i="2"/>
  <c r="E1040" i="2"/>
  <c r="D1040" i="2"/>
  <c r="C1040" i="2"/>
  <c r="A1040" i="2"/>
  <c r="M1039" i="2"/>
  <c r="L1039" i="2"/>
  <c r="K1039" i="2"/>
  <c r="J1039" i="2"/>
  <c r="H1039" i="2"/>
  <c r="G1039" i="2"/>
  <c r="F1039" i="2"/>
  <c r="E1039" i="2"/>
  <c r="D1039" i="2"/>
  <c r="C1039" i="2"/>
  <c r="A1039" i="2"/>
  <c r="M1038" i="2"/>
  <c r="L1038" i="2"/>
  <c r="K1038" i="2"/>
  <c r="J1038" i="2"/>
  <c r="H1038" i="2"/>
  <c r="G1038" i="2"/>
  <c r="F1038" i="2"/>
  <c r="E1038" i="2"/>
  <c r="D1038" i="2"/>
  <c r="C1038" i="2"/>
  <c r="A1038" i="2"/>
  <c r="M1037" i="2"/>
  <c r="L1037" i="2"/>
  <c r="K1037" i="2"/>
  <c r="J1037" i="2"/>
  <c r="H1037" i="2"/>
  <c r="G1037" i="2"/>
  <c r="F1037" i="2"/>
  <c r="E1037" i="2"/>
  <c r="D1037" i="2"/>
  <c r="C1037" i="2"/>
  <c r="A1037" i="2"/>
  <c r="M1036" i="2"/>
  <c r="L1036" i="2"/>
  <c r="K1036" i="2"/>
  <c r="J1036" i="2"/>
  <c r="H1036" i="2"/>
  <c r="G1036" i="2"/>
  <c r="F1036" i="2"/>
  <c r="E1036" i="2"/>
  <c r="D1036" i="2"/>
  <c r="C1036" i="2"/>
  <c r="A1036" i="2"/>
  <c r="M1035" i="2"/>
  <c r="L1035" i="2"/>
  <c r="K1035" i="2"/>
  <c r="J1035" i="2"/>
  <c r="H1035" i="2"/>
  <c r="G1035" i="2"/>
  <c r="F1035" i="2"/>
  <c r="E1035" i="2"/>
  <c r="D1035" i="2"/>
  <c r="C1035" i="2"/>
  <c r="A1035" i="2"/>
  <c r="M1034" i="2"/>
  <c r="L1034" i="2"/>
  <c r="K1034" i="2"/>
  <c r="J1034" i="2"/>
  <c r="H1034" i="2"/>
  <c r="G1034" i="2"/>
  <c r="F1034" i="2"/>
  <c r="E1034" i="2"/>
  <c r="D1034" i="2"/>
  <c r="C1034" i="2"/>
  <c r="A1034" i="2"/>
  <c r="M1033" i="2"/>
  <c r="L1033" i="2"/>
  <c r="K1033" i="2"/>
  <c r="J1033" i="2"/>
  <c r="H1033" i="2"/>
  <c r="G1033" i="2"/>
  <c r="F1033" i="2"/>
  <c r="E1033" i="2"/>
  <c r="D1033" i="2"/>
  <c r="C1033" i="2"/>
  <c r="A1033" i="2"/>
  <c r="M1032" i="2"/>
  <c r="L1032" i="2"/>
  <c r="K1032" i="2"/>
  <c r="J1032" i="2"/>
  <c r="H1032" i="2"/>
  <c r="G1032" i="2"/>
  <c r="F1032" i="2"/>
  <c r="E1032" i="2"/>
  <c r="D1032" i="2"/>
  <c r="C1032" i="2"/>
  <c r="A1032" i="2"/>
  <c r="M1031" i="2"/>
  <c r="L1031" i="2"/>
  <c r="K1031" i="2"/>
  <c r="J1031" i="2"/>
  <c r="H1031" i="2"/>
  <c r="G1031" i="2"/>
  <c r="F1031" i="2"/>
  <c r="E1031" i="2"/>
  <c r="D1031" i="2"/>
  <c r="C1031" i="2"/>
  <c r="A1031" i="2"/>
  <c r="M1030" i="2"/>
  <c r="L1030" i="2"/>
  <c r="K1030" i="2"/>
  <c r="J1030" i="2"/>
  <c r="H1030" i="2"/>
  <c r="G1030" i="2"/>
  <c r="F1030" i="2"/>
  <c r="E1030" i="2"/>
  <c r="D1030" i="2"/>
  <c r="C1030" i="2"/>
  <c r="A1030" i="2"/>
  <c r="M1029" i="2"/>
  <c r="L1029" i="2"/>
  <c r="K1029" i="2"/>
  <c r="J1029" i="2"/>
  <c r="H1029" i="2"/>
  <c r="G1029" i="2"/>
  <c r="F1029" i="2"/>
  <c r="E1029" i="2"/>
  <c r="D1029" i="2"/>
  <c r="C1029" i="2"/>
  <c r="A1029" i="2"/>
  <c r="M1028" i="2"/>
  <c r="L1028" i="2"/>
  <c r="K1028" i="2"/>
  <c r="J1028" i="2"/>
  <c r="H1028" i="2"/>
  <c r="G1028" i="2"/>
  <c r="F1028" i="2"/>
  <c r="E1028" i="2"/>
  <c r="D1028" i="2"/>
  <c r="C1028" i="2"/>
  <c r="A1028" i="2"/>
  <c r="M1027" i="2"/>
  <c r="L1027" i="2"/>
  <c r="K1027" i="2"/>
  <c r="J1027" i="2"/>
  <c r="H1027" i="2"/>
  <c r="G1027" i="2"/>
  <c r="F1027" i="2"/>
  <c r="E1027" i="2"/>
  <c r="D1027" i="2"/>
  <c r="C1027" i="2"/>
  <c r="A1027" i="2"/>
  <c r="M1026" i="2"/>
  <c r="L1026" i="2"/>
  <c r="K1026" i="2"/>
  <c r="J1026" i="2"/>
  <c r="H1026" i="2"/>
  <c r="G1026" i="2"/>
  <c r="F1026" i="2"/>
  <c r="E1026" i="2"/>
  <c r="D1026" i="2"/>
  <c r="C1026" i="2"/>
  <c r="A1026" i="2"/>
  <c r="M1025" i="2"/>
  <c r="L1025" i="2"/>
  <c r="K1025" i="2"/>
  <c r="J1025" i="2"/>
  <c r="H1025" i="2"/>
  <c r="G1025" i="2"/>
  <c r="F1025" i="2"/>
  <c r="E1025" i="2"/>
  <c r="D1025" i="2"/>
  <c r="C1025" i="2"/>
  <c r="A1025" i="2"/>
  <c r="M1024" i="2"/>
  <c r="L1024" i="2"/>
  <c r="K1024" i="2"/>
  <c r="J1024" i="2"/>
  <c r="H1024" i="2"/>
  <c r="G1024" i="2"/>
  <c r="F1024" i="2"/>
  <c r="E1024" i="2"/>
  <c r="D1024" i="2"/>
  <c r="C1024" i="2"/>
  <c r="A1024" i="2"/>
  <c r="M1023" i="2"/>
  <c r="L1023" i="2"/>
  <c r="K1023" i="2"/>
  <c r="J1023" i="2"/>
  <c r="H1023" i="2"/>
  <c r="G1023" i="2"/>
  <c r="F1023" i="2"/>
  <c r="E1023" i="2"/>
  <c r="D1023" i="2"/>
  <c r="C1023" i="2"/>
  <c r="A1023" i="2"/>
  <c r="M1022" i="2"/>
  <c r="L1022" i="2"/>
  <c r="K1022" i="2"/>
  <c r="J1022" i="2"/>
  <c r="H1022" i="2"/>
  <c r="G1022" i="2"/>
  <c r="F1022" i="2"/>
  <c r="E1022" i="2"/>
  <c r="D1022" i="2"/>
  <c r="C1022" i="2"/>
  <c r="A1022" i="2"/>
  <c r="M1021" i="2"/>
  <c r="L1021" i="2"/>
  <c r="K1021" i="2"/>
  <c r="J1021" i="2"/>
  <c r="H1021" i="2"/>
  <c r="G1021" i="2"/>
  <c r="F1021" i="2"/>
  <c r="E1021" i="2"/>
  <c r="D1021" i="2"/>
  <c r="C1021" i="2"/>
  <c r="A1021" i="2"/>
  <c r="M1020" i="2"/>
  <c r="L1020" i="2"/>
  <c r="K1020" i="2"/>
  <c r="J1020" i="2"/>
  <c r="H1020" i="2"/>
  <c r="G1020" i="2"/>
  <c r="F1020" i="2"/>
  <c r="E1020" i="2"/>
  <c r="D1020" i="2"/>
  <c r="C1020" i="2"/>
  <c r="A1020" i="2"/>
  <c r="M1019" i="2"/>
  <c r="L1019" i="2"/>
  <c r="K1019" i="2"/>
  <c r="J1019" i="2"/>
  <c r="H1019" i="2"/>
  <c r="G1019" i="2"/>
  <c r="F1019" i="2"/>
  <c r="E1019" i="2"/>
  <c r="D1019" i="2"/>
  <c r="C1019" i="2"/>
  <c r="A1019" i="2"/>
  <c r="M1018" i="2"/>
  <c r="L1018" i="2"/>
  <c r="K1018" i="2"/>
  <c r="J1018" i="2"/>
  <c r="H1018" i="2"/>
  <c r="G1018" i="2"/>
  <c r="F1018" i="2"/>
  <c r="E1018" i="2"/>
  <c r="D1018" i="2"/>
  <c r="C1018" i="2"/>
  <c r="A1018" i="2"/>
  <c r="M1017" i="2"/>
  <c r="L1017" i="2"/>
  <c r="K1017" i="2"/>
  <c r="J1017" i="2"/>
  <c r="H1017" i="2"/>
  <c r="G1017" i="2"/>
  <c r="F1017" i="2"/>
  <c r="E1017" i="2"/>
  <c r="D1017" i="2"/>
  <c r="C1017" i="2"/>
  <c r="A1017" i="2"/>
  <c r="M1016" i="2"/>
  <c r="L1016" i="2"/>
  <c r="K1016" i="2"/>
  <c r="J1016" i="2"/>
  <c r="H1016" i="2"/>
  <c r="G1016" i="2"/>
  <c r="F1016" i="2"/>
  <c r="E1016" i="2"/>
  <c r="D1016" i="2"/>
  <c r="C1016" i="2"/>
  <c r="A1016" i="2"/>
  <c r="M1015" i="2"/>
  <c r="L1015" i="2"/>
  <c r="K1015" i="2"/>
  <c r="J1015" i="2"/>
  <c r="H1015" i="2"/>
  <c r="G1015" i="2"/>
  <c r="F1015" i="2"/>
  <c r="E1015" i="2"/>
  <c r="D1015" i="2"/>
  <c r="C1015" i="2"/>
  <c r="A1015" i="2"/>
  <c r="M1014" i="2"/>
  <c r="L1014" i="2"/>
  <c r="K1014" i="2"/>
  <c r="J1014" i="2"/>
  <c r="H1014" i="2"/>
  <c r="G1014" i="2"/>
  <c r="F1014" i="2"/>
  <c r="E1014" i="2"/>
  <c r="D1014" i="2"/>
  <c r="C1014" i="2"/>
  <c r="A1014" i="2"/>
  <c r="M1013" i="2"/>
  <c r="L1013" i="2"/>
  <c r="K1013" i="2"/>
  <c r="J1013" i="2"/>
  <c r="H1013" i="2"/>
  <c r="G1013" i="2"/>
  <c r="F1013" i="2"/>
  <c r="E1013" i="2"/>
  <c r="D1013" i="2"/>
  <c r="C1013" i="2"/>
  <c r="A1013" i="2"/>
  <c r="M1012" i="2"/>
  <c r="L1012" i="2"/>
  <c r="K1012" i="2"/>
  <c r="J1012" i="2"/>
  <c r="H1012" i="2"/>
  <c r="G1012" i="2"/>
  <c r="F1012" i="2"/>
  <c r="E1012" i="2"/>
  <c r="D1012" i="2"/>
  <c r="C1012" i="2"/>
  <c r="A1012" i="2"/>
  <c r="M1011" i="2"/>
  <c r="L1011" i="2"/>
  <c r="K1011" i="2"/>
  <c r="J1011" i="2"/>
  <c r="H1011" i="2"/>
  <c r="G1011" i="2"/>
  <c r="F1011" i="2"/>
  <c r="E1011" i="2"/>
  <c r="D1011" i="2"/>
  <c r="C1011" i="2"/>
  <c r="A1011" i="2"/>
  <c r="M1010" i="2"/>
  <c r="L1010" i="2"/>
  <c r="K1010" i="2"/>
  <c r="J1010" i="2"/>
  <c r="H1010" i="2"/>
  <c r="G1010" i="2"/>
  <c r="F1010" i="2"/>
  <c r="E1010" i="2"/>
  <c r="D1010" i="2"/>
  <c r="C1010" i="2"/>
  <c r="A1010" i="2"/>
  <c r="M1009" i="2"/>
  <c r="L1009" i="2"/>
  <c r="K1009" i="2"/>
  <c r="J1009" i="2"/>
  <c r="H1009" i="2"/>
  <c r="G1009" i="2"/>
  <c r="F1009" i="2"/>
  <c r="E1009" i="2"/>
  <c r="D1009" i="2"/>
  <c r="C1009" i="2"/>
  <c r="A1009" i="2"/>
  <c r="M1008" i="2"/>
  <c r="L1008" i="2"/>
  <c r="K1008" i="2"/>
  <c r="J1008" i="2"/>
  <c r="H1008" i="2"/>
  <c r="G1008" i="2"/>
  <c r="F1008" i="2"/>
  <c r="E1008" i="2"/>
  <c r="D1008" i="2"/>
  <c r="C1008" i="2"/>
  <c r="A1008" i="2"/>
  <c r="M1007" i="2"/>
  <c r="L1007" i="2"/>
  <c r="K1007" i="2"/>
  <c r="J1007" i="2"/>
  <c r="H1007" i="2"/>
  <c r="G1007" i="2"/>
  <c r="F1007" i="2"/>
  <c r="E1007" i="2"/>
  <c r="D1007" i="2"/>
  <c r="C1007" i="2"/>
  <c r="A1007" i="2"/>
  <c r="M1006" i="2"/>
  <c r="L1006" i="2"/>
  <c r="K1006" i="2"/>
  <c r="J1006" i="2"/>
  <c r="H1006" i="2"/>
  <c r="G1006" i="2"/>
  <c r="F1006" i="2"/>
  <c r="E1006" i="2"/>
  <c r="D1006" i="2"/>
  <c r="C1006" i="2"/>
  <c r="A1006" i="2"/>
  <c r="M1005" i="2"/>
  <c r="L1005" i="2"/>
  <c r="K1005" i="2"/>
  <c r="J1005" i="2"/>
  <c r="H1005" i="2"/>
  <c r="G1005" i="2"/>
  <c r="F1005" i="2"/>
  <c r="E1005" i="2"/>
  <c r="D1005" i="2"/>
  <c r="C1005" i="2"/>
  <c r="A1005" i="2"/>
  <c r="M1004" i="2"/>
  <c r="L1004" i="2"/>
  <c r="K1004" i="2"/>
  <c r="J1004" i="2"/>
  <c r="H1004" i="2"/>
  <c r="G1004" i="2"/>
  <c r="F1004" i="2"/>
  <c r="E1004" i="2"/>
  <c r="D1004" i="2"/>
  <c r="C1004" i="2"/>
  <c r="A1004" i="2"/>
  <c r="M1003" i="2"/>
  <c r="L1003" i="2"/>
  <c r="K1003" i="2"/>
  <c r="J1003" i="2"/>
  <c r="H1003" i="2"/>
  <c r="G1003" i="2"/>
  <c r="F1003" i="2"/>
  <c r="E1003" i="2"/>
  <c r="D1003" i="2"/>
  <c r="C1003" i="2"/>
  <c r="A1003" i="2"/>
  <c r="M1002" i="2"/>
  <c r="L1002" i="2"/>
  <c r="K1002" i="2"/>
  <c r="J1002" i="2"/>
  <c r="H1002" i="2"/>
  <c r="G1002" i="2"/>
  <c r="F1002" i="2"/>
  <c r="E1002" i="2"/>
  <c r="D1002" i="2"/>
  <c r="C1002" i="2"/>
  <c r="A1002" i="2"/>
  <c r="M1001" i="2"/>
  <c r="L1001" i="2"/>
  <c r="K1001" i="2"/>
  <c r="J1001" i="2"/>
  <c r="H1001" i="2"/>
  <c r="G1001" i="2"/>
  <c r="F1001" i="2"/>
  <c r="E1001" i="2"/>
  <c r="D1001" i="2"/>
  <c r="C1001" i="2"/>
  <c r="A1001" i="2"/>
  <c r="M1000" i="2"/>
  <c r="L1000" i="2"/>
  <c r="K1000" i="2"/>
  <c r="J1000" i="2"/>
  <c r="H1000" i="2"/>
  <c r="G1000" i="2"/>
  <c r="F1000" i="2"/>
  <c r="E1000" i="2"/>
  <c r="D1000" i="2"/>
  <c r="C1000" i="2"/>
  <c r="A1000" i="2"/>
  <c r="M999" i="2"/>
  <c r="L999" i="2"/>
  <c r="K999" i="2"/>
  <c r="J999" i="2"/>
  <c r="H999" i="2"/>
  <c r="G999" i="2"/>
  <c r="F999" i="2"/>
  <c r="E999" i="2"/>
  <c r="D999" i="2"/>
  <c r="C999" i="2"/>
  <c r="A999" i="2"/>
  <c r="M998" i="2"/>
  <c r="L998" i="2"/>
  <c r="K998" i="2"/>
  <c r="J998" i="2"/>
  <c r="H998" i="2"/>
  <c r="G998" i="2"/>
  <c r="F998" i="2"/>
  <c r="E998" i="2"/>
  <c r="D998" i="2"/>
  <c r="C998" i="2"/>
  <c r="A998" i="2"/>
  <c r="M997" i="2"/>
  <c r="L997" i="2"/>
  <c r="K997" i="2"/>
  <c r="J997" i="2"/>
  <c r="H997" i="2"/>
  <c r="G997" i="2"/>
  <c r="F997" i="2"/>
  <c r="E997" i="2"/>
  <c r="D997" i="2"/>
  <c r="C997" i="2"/>
  <c r="A997" i="2"/>
  <c r="M996" i="2"/>
  <c r="L996" i="2"/>
  <c r="K996" i="2"/>
  <c r="J996" i="2"/>
  <c r="H996" i="2"/>
  <c r="G996" i="2"/>
  <c r="F996" i="2"/>
  <c r="E996" i="2"/>
  <c r="D996" i="2"/>
  <c r="C996" i="2"/>
  <c r="A996" i="2"/>
  <c r="M995" i="2"/>
  <c r="L995" i="2"/>
  <c r="K995" i="2"/>
  <c r="J995" i="2"/>
  <c r="H995" i="2"/>
  <c r="G995" i="2"/>
  <c r="F995" i="2"/>
  <c r="E995" i="2"/>
  <c r="D995" i="2"/>
  <c r="C995" i="2"/>
  <c r="A995" i="2"/>
  <c r="M994" i="2"/>
  <c r="L994" i="2"/>
  <c r="K994" i="2"/>
  <c r="J994" i="2"/>
  <c r="H994" i="2"/>
  <c r="G994" i="2"/>
  <c r="F994" i="2"/>
  <c r="E994" i="2"/>
  <c r="D994" i="2"/>
  <c r="C994" i="2"/>
  <c r="A994" i="2"/>
  <c r="M993" i="2"/>
  <c r="L993" i="2"/>
  <c r="K993" i="2"/>
  <c r="J993" i="2"/>
  <c r="H993" i="2"/>
  <c r="G993" i="2"/>
  <c r="F993" i="2"/>
  <c r="E993" i="2"/>
  <c r="D993" i="2"/>
  <c r="C993" i="2"/>
  <c r="A993" i="2"/>
  <c r="M992" i="2"/>
  <c r="L992" i="2"/>
  <c r="K992" i="2"/>
  <c r="J992" i="2"/>
  <c r="H992" i="2"/>
  <c r="G992" i="2"/>
  <c r="F992" i="2"/>
  <c r="E992" i="2"/>
  <c r="D992" i="2"/>
  <c r="C992" i="2"/>
  <c r="A992" i="2"/>
  <c r="M991" i="2"/>
  <c r="L991" i="2"/>
  <c r="K991" i="2"/>
  <c r="J991" i="2"/>
  <c r="H991" i="2"/>
  <c r="G991" i="2"/>
  <c r="F991" i="2"/>
  <c r="E991" i="2"/>
  <c r="D991" i="2"/>
  <c r="C991" i="2"/>
  <c r="A991" i="2"/>
  <c r="M990" i="2"/>
  <c r="L990" i="2"/>
  <c r="K990" i="2"/>
  <c r="J990" i="2"/>
  <c r="H990" i="2"/>
  <c r="G990" i="2"/>
  <c r="F990" i="2"/>
  <c r="E990" i="2"/>
  <c r="D990" i="2"/>
  <c r="C990" i="2"/>
  <c r="A990" i="2"/>
  <c r="M989" i="2"/>
  <c r="L989" i="2"/>
  <c r="K989" i="2"/>
  <c r="J989" i="2"/>
  <c r="H989" i="2"/>
  <c r="G989" i="2"/>
  <c r="F989" i="2"/>
  <c r="E989" i="2"/>
  <c r="D989" i="2"/>
  <c r="C989" i="2"/>
  <c r="A989" i="2"/>
  <c r="M988" i="2"/>
  <c r="L988" i="2"/>
  <c r="K988" i="2"/>
  <c r="J988" i="2"/>
  <c r="H988" i="2"/>
  <c r="G988" i="2"/>
  <c r="F988" i="2"/>
  <c r="E988" i="2"/>
  <c r="D988" i="2"/>
  <c r="C988" i="2"/>
  <c r="A988" i="2"/>
  <c r="M987" i="2"/>
  <c r="L987" i="2"/>
  <c r="K987" i="2"/>
  <c r="J987" i="2"/>
  <c r="H987" i="2"/>
  <c r="G987" i="2"/>
  <c r="F987" i="2"/>
  <c r="E987" i="2"/>
  <c r="D987" i="2"/>
  <c r="C987" i="2"/>
  <c r="A987" i="2"/>
  <c r="M986" i="2"/>
  <c r="L986" i="2"/>
  <c r="K986" i="2"/>
  <c r="J986" i="2"/>
  <c r="H986" i="2"/>
  <c r="G986" i="2"/>
  <c r="F986" i="2"/>
  <c r="E986" i="2"/>
  <c r="D986" i="2"/>
  <c r="C986" i="2"/>
  <c r="A986" i="2"/>
  <c r="M985" i="2"/>
  <c r="L985" i="2"/>
  <c r="K985" i="2"/>
  <c r="J985" i="2"/>
  <c r="H985" i="2"/>
  <c r="G985" i="2"/>
  <c r="F985" i="2"/>
  <c r="E985" i="2"/>
  <c r="D985" i="2"/>
  <c r="C985" i="2"/>
  <c r="A985" i="2"/>
  <c r="M984" i="2"/>
  <c r="L984" i="2"/>
  <c r="K984" i="2"/>
  <c r="J984" i="2"/>
  <c r="H984" i="2"/>
  <c r="G984" i="2"/>
  <c r="F984" i="2"/>
  <c r="E984" i="2"/>
  <c r="D984" i="2"/>
  <c r="C984" i="2"/>
  <c r="A984" i="2"/>
  <c r="M983" i="2"/>
  <c r="L983" i="2"/>
  <c r="K983" i="2"/>
  <c r="J983" i="2"/>
  <c r="H983" i="2"/>
  <c r="G983" i="2"/>
  <c r="F983" i="2"/>
  <c r="E983" i="2"/>
  <c r="D983" i="2"/>
  <c r="C983" i="2"/>
  <c r="A983" i="2"/>
  <c r="M982" i="2"/>
  <c r="L982" i="2"/>
  <c r="K982" i="2"/>
  <c r="J982" i="2"/>
  <c r="H982" i="2"/>
  <c r="G982" i="2"/>
  <c r="F982" i="2"/>
  <c r="E982" i="2"/>
  <c r="D982" i="2"/>
  <c r="C982" i="2"/>
  <c r="A982" i="2"/>
  <c r="M981" i="2"/>
  <c r="L981" i="2"/>
  <c r="K981" i="2"/>
  <c r="J981" i="2"/>
  <c r="H981" i="2"/>
  <c r="G981" i="2"/>
  <c r="F981" i="2"/>
  <c r="E981" i="2"/>
  <c r="D981" i="2"/>
  <c r="C981" i="2"/>
  <c r="A981" i="2"/>
  <c r="M980" i="2"/>
  <c r="L980" i="2"/>
  <c r="K980" i="2"/>
  <c r="J980" i="2"/>
  <c r="H980" i="2"/>
  <c r="G980" i="2"/>
  <c r="F980" i="2"/>
  <c r="E980" i="2"/>
  <c r="D980" i="2"/>
  <c r="C980" i="2"/>
  <c r="A980" i="2"/>
  <c r="M979" i="2"/>
  <c r="L979" i="2"/>
  <c r="K979" i="2"/>
  <c r="J979" i="2"/>
  <c r="H979" i="2"/>
  <c r="G979" i="2"/>
  <c r="F979" i="2"/>
  <c r="E979" i="2"/>
  <c r="D979" i="2"/>
  <c r="C979" i="2"/>
  <c r="A979" i="2"/>
  <c r="M978" i="2"/>
  <c r="L978" i="2"/>
  <c r="K978" i="2"/>
  <c r="J978" i="2"/>
  <c r="H978" i="2"/>
  <c r="G978" i="2"/>
  <c r="F978" i="2"/>
  <c r="E978" i="2"/>
  <c r="D978" i="2"/>
  <c r="C978" i="2"/>
  <c r="A978" i="2"/>
  <c r="M977" i="2"/>
  <c r="L977" i="2"/>
  <c r="K977" i="2"/>
  <c r="J977" i="2"/>
  <c r="H977" i="2"/>
  <c r="G977" i="2"/>
  <c r="F977" i="2"/>
  <c r="E977" i="2"/>
  <c r="D977" i="2"/>
  <c r="C977" i="2"/>
  <c r="A977" i="2"/>
  <c r="M976" i="2"/>
  <c r="L976" i="2"/>
  <c r="K976" i="2"/>
  <c r="J976" i="2"/>
  <c r="H976" i="2"/>
  <c r="G976" i="2"/>
  <c r="F976" i="2"/>
  <c r="E976" i="2"/>
  <c r="D976" i="2"/>
  <c r="C976" i="2"/>
  <c r="A976" i="2"/>
  <c r="M975" i="2"/>
  <c r="L975" i="2"/>
  <c r="K975" i="2"/>
  <c r="J975" i="2"/>
  <c r="H975" i="2"/>
  <c r="G975" i="2"/>
  <c r="F975" i="2"/>
  <c r="E975" i="2"/>
  <c r="D975" i="2"/>
  <c r="C975" i="2"/>
  <c r="A975" i="2"/>
  <c r="M974" i="2"/>
  <c r="L974" i="2"/>
  <c r="K974" i="2"/>
  <c r="J974" i="2"/>
  <c r="H974" i="2"/>
  <c r="G974" i="2"/>
  <c r="F974" i="2"/>
  <c r="E974" i="2"/>
  <c r="D974" i="2"/>
  <c r="C974" i="2"/>
  <c r="A974" i="2"/>
  <c r="M973" i="2"/>
  <c r="L973" i="2"/>
  <c r="K973" i="2"/>
  <c r="J973" i="2"/>
  <c r="H973" i="2"/>
  <c r="G973" i="2"/>
  <c r="F973" i="2"/>
  <c r="E973" i="2"/>
  <c r="D973" i="2"/>
  <c r="C973" i="2"/>
  <c r="A973" i="2"/>
  <c r="M972" i="2"/>
  <c r="L972" i="2"/>
  <c r="K972" i="2"/>
  <c r="J972" i="2"/>
  <c r="H972" i="2"/>
  <c r="G972" i="2"/>
  <c r="F972" i="2"/>
  <c r="E972" i="2"/>
  <c r="D972" i="2"/>
  <c r="C972" i="2"/>
  <c r="A972" i="2"/>
  <c r="M971" i="2"/>
  <c r="L971" i="2"/>
  <c r="K971" i="2"/>
  <c r="J971" i="2"/>
  <c r="H971" i="2"/>
  <c r="G971" i="2"/>
  <c r="F971" i="2"/>
  <c r="E971" i="2"/>
  <c r="D971" i="2"/>
  <c r="C971" i="2"/>
  <c r="A971" i="2"/>
  <c r="M970" i="2"/>
  <c r="L970" i="2"/>
  <c r="K970" i="2"/>
  <c r="J970" i="2"/>
  <c r="H970" i="2"/>
  <c r="G970" i="2"/>
  <c r="F970" i="2"/>
  <c r="E970" i="2"/>
  <c r="D970" i="2"/>
  <c r="C970" i="2"/>
  <c r="A970" i="2"/>
  <c r="M969" i="2"/>
  <c r="L969" i="2"/>
  <c r="K969" i="2"/>
  <c r="J969" i="2"/>
  <c r="H969" i="2"/>
  <c r="G969" i="2"/>
  <c r="F969" i="2"/>
  <c r="E969" i="2"/>
  <c r="D969" i="2"/>
  <c r="C969" i="2"/>
  <c r="A969" i="2"/>
  <c r="M968" i="2"/>
  <c r="L968" i="2"/>
  <c r="K968" i="2"/>
  <c r="J968" i="2"/>
  <c r="H968" i="2"/>
  <c r="G968" i="2"/>
  <c r="F968" i="2"/>
  <c r="E968" i="2"/>
  <c r="D968" i="2"/>
  <c r="C968" i="2"/>
  <c r="A968" i="2"/>
  <c r="M967" i="2"/>
  <c r="L967" i="2"/>
  <c r="K967" i="2"/>
  <c r="J967" i="2"/>
  <c r="H967" i="2"/>
  <c r="G967" i="2"/>
  <c r="F967" i="2"/>
  <c r="E967" i="2"/>
  <c r="D967" i="2"/>
  <c r="C967" i="2"/>
  <c r="A967" i="2"/>
  <c r="M966" i="2"/>
  <c r="L966" i="2"/>
  <c r="K966" i="2"/>
  <c r="J966" i="2"/>
  <c r="H966" i="2"/>
  <c r="G966" i="2"/>
  <c r="F966" i="2"/>
  <c r="E966" i="2"/>
  <c r="D966" i="2"/>
  <c r="C966" i="2"/>
  <c r="A966" i="2"/>
  <c r="M965" i="2"/>
  <c r="L965" i="2"/>
  <c r="K965" i="2"/>
  <c r="J965" i="2"/>
  <c r="H965" i="2"/>
  <c r="G965" i="2"/>
  <c r="F965" i="2"/>
  <c r="E965" i="2"/>
  <c r="D965" i="2"/>
  <c r="C965" i="2"/>
  <c r="A965" i="2"/>
  <c r="M964" i="2"/>
  <c r="L964" i="2"/>
  <c r="K964" i="2"/>
  <c r="J964" i="2"/>
  <c r="H964" i="2"/>
  <c r="G964" i="2"/>
  <c r="F964" i="2"/>
  <c r="E964" i="2"/>
  <c r="D964" i="2"/>
  <c r="C964" i="2"/>
  <c r="A964" i="2"/>
  <c r="M963" i="2"/>
  <c r="L963" i="2"/>
  <c r="K963" i="2"/>
  <c r="J963" i="2"/>
  <c r="H963" i="2"/>
  <c r="G963" i="2"/>
  <c r="F963" i="2"/>
  <c r="E963" i="2"/>
  <c r="D963" i="2"/>
  <c r="C963" i="2"/>
  <c r="A963" i="2"/>
  <c r="M962" i="2"/>
  <c r="L962" i="2"/>
  <c r="K962" i="2"/>
  <c r="J962" i="2"/>
  <c r="H962" i="2"/>
  <c r="G962" i="2"/>
  <c r="F962" i="2"/>
  <c r="E962" i="2"/>
  <c r="D962" i="2"/>
  <c r="C962" i="2"/>
  <c r="A962" i="2"/>
  <c r="M961" i="2"/>
  <c r="L961" i="2"/>
  <c r="K961" i="2"/>
  <c r="J961" i="2"/>
  <c r="H961" i="2"/>
  <c r="G961" i="2"/>
  <c r="F961" i="2"/>
  <c r="E961" i="2"/>
  <c r="D961" i="2"/>
  <c r="C961" i="2"/>
  <c r="A961" i="2"/>
  <c r="M960" i="2"/>
  <c r="L960" i="2"/>
  <c r="K960" i="2"/>
  <c r="J960" i="2"/>
  <c r="H960" i="2"/>
  <c r="G960" i="2"/>
  <c r="F960" i="2"/>
  <c r="E960" i="2"/>
  <c r="D960" i="2"/>
  <c r="C960" i="2"/>
  <c r="A960" i="2"/>
  <c r="M959" i="2"/>
  <c r="L959" i="2"/>
  <c r="K959" i="2"/>
  <c r="J959" i="2"/>
  <c r="H959" i="2"/>
  <c r="G959" i="2"/>
  <c r="F959" i="2"/>
  <c r="E959" i="2"/>
  <c r="D959" i="2"/>
  <c r="C959" i="2"/>
  <c r="A959" i="2"/>
  <c r="M958" i="2"/>
  <c r="L958" i="2"/>
  <c r="K958" i="2"/>
  <c r="J958" i="2"/>
  <c r="H958" i="2"/>
  <c r="G958" i="2"/>
  <c r="F958" i="2"/>
  <c r="E958" i="2"/>
  <c r="D958" i="2"/>
  <c r="C958" i="2"/>
  <c r="A958" i="2"/>
  <c r="M957" i="2"/>
  <c r="L957" i="2"/>
  <c r="K957" i="2"/>
  <c r="J957" i="2"/>
  <c r="H957" i="2"/>
  <c r="G957" i="2"/>
  <c r="F957" i="2"/>
  <c r="E957" i="2"/>
  <c r="D957" i="2"/>
  <c r="C957" i="2"/>
  <c r="A957" i="2"/>
  <c r="M956" i="2"/>
  <c r="L956" i="2"/>
  <c r="K956" i="2"/>
  <c r="J956" i="2"/>
  <c r="H956" i="2"/>
  <c r="G956" i="2"/>
  <c r="F956" i="2"/>
  <c r="E956" i="2"/>
  <c r="D956" i="2"/>
  <c r="C956" i="2"/>
  <c r="A956" i="2"/>
  <c r="M955" i="2"/>
  <c r="L955" i="2"/>
  <c r="K955" i="2"/>
  <c r="J955" i="2"/>
  <c r="H955" i="2"/>
  <c r="G955" i="2"/>
  <c r="F955" i="2"/>
  <c r="E955" i="2"/>
  <c r="D955" i="2"/>
  <c r="C955" i="2"/>
  <c r="A955" i="2"/>
  <c r="M954" i="2"/>
  <c r="L954" i="2"/>
  <c r="K954" i="2"/>
  <c r="J954" i="2"/>
  <c r="H954" i="2"/>
  <c r="G954" i="2"/>
  <c r="F954" i="2"/>
  <c r="E954" i="2"/>
  <c r="D954" i="2"/>
  <c r="C954" i="2"/>
  <c r="A954" i="2"/>
  <c r="M953" i="2"/>
  <c r="L953" i="2"/>
  <c r="K953" i="2"/>
  <c r="J953" i="2"/>
  <c r="H953" i="2"/>
  <c r="G953" i="2"/>
  <c r="F953" i="2"/>
  <c r="E953" i="2"/>
  <c r="D953" i="2"/>
  <c r="C953" i="2"/>
  <c r="A953" i="2"/>
  <c r="M952" i="2"/>
  <c r="L952" i="2"/>
  <c r="K952" i="2"/>
  <c r="J952" i="2"/>
  <c r="H952" i="2"/>
  <c r="G952" i="2"/>
  <c r="F952" i="2"/>
  <c r="E952" i="2"/>
  <c r="D952" i="2"/>
  <c r="C952" i="2"/>
  <c r="A952" i="2"/>
  <c r="M951" i="2"/>
  <c r="L951" i="2"/>
  <c r="K951" i="2"/>
  <c r="J951" i="2"/>
  <c r="H951" i="2"/>
  <c r="G951" i="2"/>
  <c r="F951" i="2"/>
  <c r="E951" i="2"/>
  <c r="D951" i="2"/>
  <c r="C951" i="2"/>
  <c r="A951" i="2"/>
  <c r="M950" i="2"/>
  <c r="L950" i="2"/>
  <c r="K950" i="2"/>
  <c r="J950" i="2"/>
  <c r="H950" i="2"/>
  <c r="G950" i="2"/>
  <c r="F950" i="2"/>
  <c r="E950" i="2"/>
  <c r="D950" i="2"/>
  <c r="C950" i="2"/>
  <c r="A950" i="2"/>
  <c r="M949" i="2"/>
  <c r="L949" i="2"/>
  <c r="K949" i="2"/>
  <c r="J949" i="2"/>
  <c r="H949" i="2"/>
  <c r="G949" i="2"/>
  <c r="F949" i="2"/>
  <c r="E949" i="2"/>
  <c r="D949" i="2"/>
  <c r="C949" i="2"/>
  <c r="A949" i="2"/>
  <c r="M948" i="2"/>
  <c r="L948" i="2"/>
  <c r="K948" i="2"/>
  <c r="J948" i="2"/>
  <c r="H948" i="2"/>
  <c r="G948" i="2"/>
  <c r="F948" i="2"/>
  <c r="E948" i="2"/>
  <c r="D948" i="2"/>
  <c r="C948" i="2"/>
  <c r="A948" i="2"/>
  <c r="M947" i="2"/>
  <c r="L947" i="2"/>
  <c r="K947" i="2"/>
  <c r="J947" i="2"/>
  <c r="H947" i="2"/>
  <c r="G947" i="2"/>
  <c r="F947" i="2"/>
  <c r="E947" i="2"/>
  <c r="D947" i="2"/>
  <c r="C947" i="2"/>
  <c r="A947" i="2"/>
  <c r="M946" i="2"/>
  <c r="L946" i="2"/>
  <c r="K946" i="2"/>
  <c r="J946" i="2"/>
  <c r="H946" i="2"/>
  <c r="G946" i="2"/>
  <c r="F946" i="2"/>
  <c r="E946" i="2"/>
  <c r="D946" i="2"/>
  <c r="C946" i="2"/>
  <c r="A946" i="2"/>
  <c r="M945" i="2"/>
  <c r="L945" i="2"/>
  <c r="K945" i="2"/>
  <c r="J945" i="2"/>
  <c r="H945" i="2"/>
  <c r="G945" i="2"/>
  <c r="F945" i="2"/>
  <c r="E945" i="2"/>
  <c r="D945" i="2"/>
  <c r="C945" i="2"/>
  <c r="A945" i="2"/>
  <c r="M944" i="2"/>
  <c r="L944" i="2"/>
  <c r="K944" i="2"/>
  <c r="J944" i="2"/>
  <c r="H944" i="2"/>
  <c r="G944" i="2"/>
  <c r="F944" i="2"/>
  <c r="E944" i="2"/>
  <c r="D944" i="2"/>
  <c r="C944" i="2"/>
  <c r="A944" i="2"/>
  <c r="M943" i="2"/>
  <c r="L943" i="2"/>
  <c r="K943" i="2"/>
  <c r="J943" i="2"/>
  <c r="H943" i="2"/>
  <c r="G943" i="2"/>
  <c r="F943" i="2"/>
  <c r="E943" i="2"/>
  <c r="D943" i="2"/>
  <c r="C943" i="2"/>
  <c r="A943" i="2"/>
  <c r="M942" i="2"/>
  <c r="L942" i="2"/>
  <c r="K942" i="2"/>
  <c r="J942" i="2"/>
  <c r="H942" i="2"/>
  <c r="G942" i="2"/>
  <c r="F942" i="2"/>
  <c r="E942" i="2"/>
  <c r="D942" i="2"/>
  <c r="C942" i="2"/>
  <c r="A942" i="2"/>
  <c r="M941" i="2"/>
  <c r="L941" i="2"/>
  <c r="K941" i="2"/>
  <c r="J941" i="2"/>
  <c r="H941" i="2"/>
  <c r="G941" i="2"/>
  <c r="F941" i="2"/>
  <c r="E941" i="2"/>
  <c r="D941" i="2"/>
  <c r="C941" i="2"/>
  <c r="A941" i="2"/>
  <c r="M940" i="2"/>
  <c r="L940" i="2"/>
  <c r="K940" i="2"/>
  <c r="J940" i="2"/>
  <c r="H940" i="2"/>
  <c r="G940" i="2"/>
  <c r="F940" i="2"/>
  <c r="E940" i="2"/>
  <c r="D940" i="2"/>
  <c r="C940" i="2"/>
  <c r="A940" i="2"/>
  <c r="M939" i="2"/>
  <c r="L939" i="2"/>
  <c r="K939" i="2"/>
  <c r="J939" i="2"/>
  <c r="H939" i="2"/>
  <c r="G939" i="2"/>
  <c r="F939" i="2"/>
  <c r="E939" i="2"/>
  <c r="D939" i="2"/>
  <c r="C939" i="2"/>
  <c r="A939" i="2"/>
  <c r="M938" i="2"/>
  <c r="L938" i="2"/>
  <c r="K938" i="2"/>
  <c r="J938" i="2"/>
  <c r="H938" i="2"/>
  <c r="G938" i="2"/>
  <c r="F938" i="2"/>
  <c r="E938" i="2"/>
  <c r="D938" i="2"/>
  <c r="C938" i="2"/>
  <c r="A938" i="2"/>
  <c r="M937" i="2"/>
  <c r="L937" i="2"/>
  <c r="K937" i="2"/>
  <c r="J937" i="2"/>
  <c r="H937" i="2"/>
  <c r="G937" i="2"/>
  <c r="F937" i="2"/>
  <c r="E937" i="2"/>
  <c r="D937" i="2"/>
  <c r="C937" i="2"/>
  <c r="A937" i="2"/>
  <c r="M936" i="2"/>
  <c r="L936" i="2"/>
  <c r="K936" i="2"/>
  <c r="J936" i="2"/>
  <c r="H936" i="2"/>
  <c r="G936" i="2"/>
  <c r="F936" i="2"/>
  <c r="E936" i="2"/>
  <c r="D936" i="2"/>
  <c r="C936" i="2"/>
  <c r="A936" i="2"/>
  <c r="M935" i="2"/>
  <c r="L935" i="2"/>
  <c r="K935" i="2"/>
  <c r="J935" i="2"/>
  <c r="H935" i="2"/>
  <c r="G935" i="2"/>
  <c r="F935" i="2"/>
  <c r="E935" i="2"/>
  <c r="D935" i="2"/>
  <c r="C935" i="2"/>
  <c r="A935" i="2"/>
  <c r="M934" i="2"/>
  <c r="L934" i="2"/>
  <c r="K934" i="2"/>
  <c r="J934" i="2"/>
  <c r="H934" i="2"/>
  <c r="G934" i="2"/>
  <c r="F934" i="2"/>
  <c r="E934" i="2"/>
  <c r="D934" i="2"/>
  <c r="C934" i="2"/>
  <c r="A934" i="2"/>
  <c r="M933" i="2"/>
  <c r="L933" i="2"/>
  <c r="K933" i="2"/>
  <c r="J933" i="2"/>
  <c r="H933" i="2"/>
  <c r="G933" i="2"/>
  <c r="F933" i="2"/>
  <c r="E933" i="2"/>
  <c r="D933" i="2"/>
  <c r="C933" i="2"/>
  <c r="A933" i="2"/>
  <c r="M932" i="2"/>
  <c r="L932" i="2"/>
  <c r="K932" i="2"/>
  <c r="J932" i="2"/>
  <c r="H932" i="2"/>
  <c r="G932" i="2"/>
  <c r="F932" i="2"/>
  <c r="E932" i="2"/>
  <c r="D932" i="2"/>
  <c r="C932" i="2"/>
  <c r="A932" i="2"/>
  <c r="M931" i="2"/>
  <c r="L931" i="2"/>
  <c r="K931" i="2"/>
  <c r="J931" i="2"/>
  <c r="H931" i="2"/>
  <c r="G931" i="2"/>
  <c r="F931" i="2"/>
  <c r="E931" i="2"/>
  <c r="D931" i="2"/>
  <c r="C931" i="2"/>
  <c r="A931" i="2"/>
  <c r="M930" i="2"/>
  <c r="L930" i="2"/>
  <c r="K930" i="2"/>
  <c r="J930" i="2"/>
  <c r="H930" i="2"/>
  <c r="G930" i="2"/>
  <c r="F930" i="2"/>
  <c r="E930" i="2"/>
  <c r="D930" i="2"/>
  <c r="C930" i="2"/>
  <c r="A930" i="2"/>
  <c r="M929" i="2"/>
  <c r="L929" i="2"/>
  <c r="K929" i="2"/>
  <c r="J929" i="2"/>
  <c r="H929" i="2"/>
  <c r="G929" i="2"/>
  <c r="F929" i="2"/>
  <c r="E929" i="2"/>
  <c r="D929" i="2"/>
  <c r="C929" i="2"/>
  <c r="A929" i="2"/>
  <c r="M928" i="2"/>
  <c r="L928" i="2"/>
  <c r="K928" i="2"/>
  <c r="J928" i="2"/>
  <c r="H928" i="2"/>
  <c r="G928" i="2"/>
  <c r="F928" i="2"/>
  <c r="E928" i="2"/>
  <c r="D928" i="2"/>
  <c r="C928" i="2"/>
  <c r="A928" i="2"/>
  <c r="M927" i="2"/>
  <c r="L927" i="2"/>
  <c r="K927" i="2"/>
  <c r="J927" i="2"/>
  <c r="H927" i="2"/>
  <c r="G927" i="2"/>
  <c r="F927" i="2"/>
  <c r="E927" i="2"/>
  <c r="D927" i="2"/>
  <c r="C927" i="2"/>
  <c r="A927" i="2"/>
  <c r="M926" i="2"/>
  <c r="L926" i="2"/>
  <c r="K926" i="2"/>
  <c r="J926" i="2"/>
  <c r="H926" i="2"/>
  <c r="G926" i="2"/>
  <c r="F926" i="2"/>
  <c r="E926" i="2"/>
  <c r="D926" i="2"/>
  <c r="C926" i="2"/>
  <c r="A926" i="2"/>
  <c r="M925" i="2"/>
  <c r="L925" i="2"/>
  <c r="K925" i="2"/>
  <c r="J925" i="2"/>
  <c r="H925" i="2"/>
  <c r="G925" i="2"/>
  <c r="F925" i="2"/>
  <c r="E925" i="2"/>
  <c r="D925" i="2"/>
  <c r="C925" i="2"/>
  <c r="A925" i="2"/>
  <c r="M924" i="2"/>
  <c r="L924" i="2"/>
  <c r="K924" i="2"/>
  <c r="J924" i="2"/>
  <c r="H924" i="2"/>
  <c r="G924" i="2"/>
  <c r="F924" i="2"/>
  <c r="E924" i="2"/>
  <c r="D924" i="2"/>
  <c r="C924" i="2"/>
  <c r="A924" i="2"/>
  <c r="M923" i="2"/>
  <c r="L923" i="2"/>
  <c r="K923" i="2"/>
  <c r="J923" i="2"/>
  <c r="H923" i="2"/>
  <c r="G923" i="2"/>
  <c r="F923" i="2"/>
  <c r="E923" i="2"/>
  <c r="D923" i="2"/>
  <c r="C923" i="2"/>
  <c r="A923" i="2"/>
  <c r="M922" i="2"/>
  <c r="L922" i="2"/>
  <c r="K922" i="2"/>
  <c r="J922" i="2"/>
  <c r="H922" i="2"/>
  <c r="G922" i="2"/>
  <c r="F922" i="2"/>
  <c r="E922" i="2"/>
  <c r="D922" i="2"/>
  <c r="C922" i="2"/>
  <c r="A922" i="2"/>
  <c r="M921" i="2"/>
  <c r="L921" i="2"/>
  <c r="K921" i="2"/>
  <c r="J921" i="2"/>
  <c r="H921" i="2"/>
  <c r="G921" i="2"/>
  <c r="F921" i="2"/>
  <c r="E921" i="2"/>
  <c r="D921" i="2"/>
  <c r="C921" i="2"/>
  <c r="A921" i="2"/>
  <c r="M920" i="2"/>
  <c r="L920" i="2"/>
  <c r="K920" i="2"/>
  <c r="J920" i="2"/>
  <c r="H920" i="2"/>
  <c r="G920" i="2"/>
  <c r="F920" i="2"/>
  <c r="E920" i="2"/>
  <c r="D920" i="2"/>
  <c r="C920" i="2"/>
  <c r="A920" i="2"/>
  <c r="M919" i="2"/>
  <c r="L919" i="2"/>
  <c r="K919" i="2"/>
  <c r="J919" i="2"/>
  <c r="H919" i="2"/>
  <c r="G919" i="2"/>
  <c r="F919" i="2"/>
  <c r="E919" i="2"/>
  <c r="D919" i="2"/>
  <c r="C919" i="2"/>
  <c r="A919" i="2"/>
  <c r="M918" i="2"/>
  <c r="L918" i="2"/>
  <c r="K918" i="2"/>
  <c r="J918" i="2"/>
  <c r="H918" i="2"/>
  <c r="G918" i="2"/>
  <c r="F918" i="2"/>
  <c r="E918" i="2"/>
  <c r="D918" i="2"/>
  <c r="C918" i="2"/>
  <c r="A918" i="2"/>
  <c r="M917" i="2"/>
  <c r="L917" i="2"/>
  <c r="K917" i="2"/>
  <c r="J917" i="2"/>
  <c r="H917" i="2"/>
  <c r="G917" i="2"/>
  <c r="F917" i="2"/>
  <c r="E917" i="2"/>
  <c r="D917" i="2"/>
  <c r="C917" i="2"/>
  <c r="A917" i="2"/>
  <c r="M916" i="2"/>
  <c r="L916" i="2"/>
  <c r="K916" i="2"/>
  <c r="J916" i="2"/>
  <c r="H916" i="2"/>
  <c r="G916" i="2"/>
  <c r="F916" i="2"/>
  <c r="E916" i="2"/>
  <c r="D916" i="2"/>
  <c r="C916" i="2"/>
  <c r="A916" i="2"/>
  <c r="M915" i="2"/>
  <c r="L915" i="2"/>
  <c r="K915" i="2"/>
  <c r="J915" i="2"/>
  <c r="H915" i="2"/>
  <c r="G915" i="2"/>
  <c r="F915" i="2"/>
  <c r="E915" i="2"/>
  <c r="D915" i="2"/>
  <c r="C915" i="2"/>
  <c r="A915" i="2"/>
  <c r="M914" i="2"/>
  <c r="L914" i="2"/>
  <c r="K914" i="2"/>
  <c r="J914" i="2"/>
  <c r="H914" i="2"/>
  <c r="G914" i="2"/>
  <c r="F914" i="2"/>
  <c r="E914" i="2"/>
  <c r="D914" i="2"/>
  <c r="C914" i="2"/>
  <c r="A914" i="2"/>
  <c r="M913" i="2"/>
  <c r="L913" i="2"/>
  <c r="K913" i="2"/>
  <c r="J913" i="2"/>
  <c r="H913" i="2"/>
  <c r="G913" i="2"/>
  <c r="F913" i="2"/>
  <c r="E913" i="2"/>
  <c r="D913" i="2"/>
  <c r="C913" i="2"/>
  <c r="A913" i="2"/>
  <c r="M912" i="2"/>
  <c r="L912" i="2"/>
  <c r="K912" i="2"/>
  <c r="J912" i="2"/>
  <c r="H912" i="2"/>
  <c r="G912" i="2"/>
  <c r="F912" i="2"/>
  <c r="E912" i="2"/>
  <c r="D912" i="2"/>
  <c r="C912" i="2"/>
  <c r="A912" i="2"/>
  <c r="M911" i="2"/>
  <c r="L911" i="2"/>
  <c r="K911" i="2"/>
  <c r="J911" i="2"/>
  <c r="H911" i="2"/>
  <c r="G911" i="2"/>
  <c r="F911" i="2"/>
  <c r="E911" i="2"/>
  <c r="D911" i="2"/>
  <c r="C911" i="2"/>
  <c r="A911" i="2"/>
  <c r="M910" i="2"/>
  <c r="L910" i="2"/>
  <c r="K910" i="2"/>
  <c r="J910" i="2"/>
  <c r="H910" i="2"/>
  <c r="G910" i="2"/>
  <c r="F910" i="2"/>
  <c r="E910" i="2"/>
  <c r="D910" i="2"/>
  <c r="C910" i="2"/>
  <c r="A910" i="2"/>
  <c r="M909" i="2"/>
  <c r="L909" i="2"/>
  <c r="K909" i="2"/>
  <c r="J909" i="2"/>
  <c r="H909" i="2"/>
  <c r="G909" i="2"/>
  <c r="F909" i="2"/>
  <c r="E909" i="2"/>
  <c r="D909" i="2"/>
  <c r="C909" i="2"/>
  <c r="A909" i="2"/>
  <c r="M908" i="2"/>
  <c r="L908" i="2"/>
  <c r="K908" i="2"/>
  <c r="J908" i="2"/>
  <c r="H908" i="2"/>
  <c r="G908" i="2"/>
  <c r="F908" i="2"/>
  <c r="E908" i="2"/>
  <c r="D908" i="2"/>
  <c r="C908" i="2"/>
  <c r="A908" i="2"/>
  <c r="M907" i="2"/>
  <c r="L907" i="2"/>
  <c r="K907" i="2"/>
  <c r="J907" i="2"/>
  <c r="H907" i="2"/>
  <c r="G907" i="2"/>
  <c r="F907" i="2"/>
  <c r="E907" i="2"/>
  <c r="D907" i="2"/>
  <c r="C907" i="2"/>
  <c r="A907" i="2"/>
  <c r="M906" i="2"/>
  <c r="L906" i="2"/>
  <c r="K906" i="2"/>
  <c r="J906" i="2"/>
  <c r="H906" i="2"/>
  <c r="G906" i="2"/>
  <c r="F906" i="2"/>
  <c r="E906" i="2"/>
  <c r="D906" i="2"/>
  <c r="C906" i="2"/>
  <c r="A906" i="2"/>
  <c r="M905" i="2"/>
  <c r="L905" i="2"/>
  <c r="K905" i="2"/>
  <c r="J905" i="2"/>
  <c r="H905" i="2"/>
  <c r="G905" i="2"/>
  <c r="F905" i="2"/>
  <c r="E905" i="2"/>
  <c r="D905" i="2"/>
  <c r="C905" i="2"/>
  <c r="A905" i="2"/>
  <c r="M904" i="2"/>
  <c r="L904" i="2"/>
  <c r="K904" i="2"/>
  <c r="J904" i="2"/>
  <c r="H904" i="2"/>
  <c r="G904" i="2"/>
  <c r="F904" i="2"/>
  <c r="E904" i="2"/>
  <c r="D904" i="2"/>
  <c r="C904" i="2"/>
  <c r="A904" i="2"/>
  <c r="M903" i="2"/>
  <c r="L903" i="2"/>
  <c r="K903" i="2"/>
  <c r="J903" i="2"/>
  <c r="H903" i="2"/>
  <c r="G903" i="2"/>
  <c r="F903" i="2"/>
  <c r="E903" i="2"/>
  <c r="D903" i="2"/>
  <c r="C903" i="2"/>
  <c r="A903" i="2"/>
  <c r="M902" i="2"/>
  <c r="L902" i="2"/>
  <c r="K902" i="2"/>
  <c r="J902" i="2"/>
  <c r="H902" i="2"/>
  <c r="G902" i="2"/>
  <c r="F902" i="2"/>
  <c r="E902" i="2"/>
  <c r="D902" i="2"/>
  <c r="C902" i="2"/>
  <c r="A902" i="2"/>
  <c r="M901" i="2"/>
  <c r="L901" i="2"/>
  <c r="K901" i="2"/>
  <c r="J901" i="2"/>
  <c r="H901" i="2"/>
  <c r="G901" i="2"/>
  <c r="F901" i="2"/>
  <c r="E901" i="2"/>
  <c r="D901" i="2"/>
  <c r="C901" i="2"/>
  <c r="A901" i="2"/>
  <c r="M900" i="2"/>
  <c r="L900" i="2"/>
  <c r="K900" i="2"/>
  <c r="J900" i="2"/>
  <c r="H900" i="2"/>
  <c r="G900" i="2"/>
  <c r="F900" i="2"/>
  <c r="E900" i="2"/>
  <c r="D900" i="2"/>
  <c r="C900" i="2"/>
  <c r="A900" i="2"/>
  <c r="M899" i="2"/>
  <c r="L899" i="2"/>
  <c r="K899" i="2"/>
  <c r="J899" i="2"/>
  <c r="H899" i="2"/>
  <c r="G899" i="2"/>
  <c r="F899" i="2"/>
  <c r="E899" i="2"/>
  <c r="D899" i="2"/>
  <c r="C899" i="2"/>
  <c r="A899" i="2"/>
  <c r="M898" i="2"/>
  <c r="L898" i="2"/>
  <c r="K898" i="2"/>
  <c r="J898" i="2"/>
  <c r="H898" i="2"/>
  <c r="G898" i="2"/>
  <c r="F898" i="2"/>
  <c r="E898" i="2"/>
  <c r="D898" i="2"/>
  <c r="C898" i="2"/>
  <c r="A898" i="2"/>
  <c r="M897" i="2"/>
  <c r="L897" i="2"/>
  <c r="K897" i="2"/>
  <c r="J897" i="2"/>
  <c r="H897" i="2"/>
  <c r="G897" i="2"/>
  <c r="F897" i="2"/>
  <c r="E897" i="2"/>
  <c r="D897" i="2"/>
  <c r="C897" i="2"/>
  <c r="A897" i="2"/>
  <c r="M896" i="2"/>
  <c r="L896" i="2"/>
  <c r="K896" i="2"/>
  <c r="J896" i="2"/>
  <c r="H896" i="2"/>
  <c r="G896" i="2"/>
  <c r="F896" i="2"/>
  <c r="E896" i="2"/>
  <c r="D896" i="2"/>
  <c r="C896" i="2"/>
  <c r="A896" i="2"/>
  <c r="M895" i="2"/>
  <c r="L895" i="2"/>
  <c r="K895" i="2"/>
  <c r="J895" i="2"/>
  <c r="H895" i="2"/>
  <c r="G895" i="2"/>
  <c r="F895" i="2"/>
  <c r="E895" i="2"/>
  <c r="D895" i="2"/>
  <c r="C895" i="2"/>
  <c r="A895" i="2"/>
  <c r="M894" i="2"/>
  <c r="L894" i="2"/>
  <c r="K894" i="2"/>
  <c r="J894" i="2"/>
  <c r="H894" i="2"/>
  <c r="G894" i="2"/>
  <c r="F894" i="2"/>
  <c r="E894" i="2"/>
  <c r="D894" i="2"/>
  <c r="C894" i="2"/>
  <c r="A894" i="2"/>
  <c r="M893" i="2"/>
  <c r="L893" i="2"/>
  <c r="K893" i="2"/>
  <c r="J893" i="2"/>
  <c r="H893" i="2"/>
  <c r="G893" i="2"/>
  <c r="F893" i="2"/>
  <c r="E893" i="2"/>
  <c r="D893" i="2"/>
  <c r="C893" i="2"/>
  <c r="A893" i="2"/>
  <c r="M892" i="2"/>
  <c r="L892" i="2"/>
  <c r="K892" i="2"/>
  <c r="J892" i="2"/>
  <c r="H892" i="2"/>
  <c r="G892" i="2"/>
  <c r="F892" i="2"/>
  <c r="E892" i="2"/>
  <c r="D892" i="2"/>
  <c r="C892" i="2"/>
  <c r="A892" i="2"/>
  <c r="M891" i="2"/>
  <c r="L891" i="2"/>
  <c r="K891" i="2"/>
  <c r="J891" i="2"/>
  <c r="H891" i="2"/>
  <c r="G891" i="2"/>
  <c r="F891" i="2"/>
  <c r="E891" i="2"/>
  <c r="D891" i="2"/>
  <c r="C891" i="2"/>
  <c r="A891" i="2"/>
  <c r="M890" i="2"/>
  <c r="L890" i="2"/>
  <c r="K890" i="2"/>
  <c r="J890" i="2"/>
  <c r="H890" i="2"/>
  <c r="G890" i="2"/>
  <c r="F890" i="2"/>
  <c r="E890" i="2"/>
  <c r="D890" i="2"/>
  <c r="C890" i="2"/>
  <c r="A890" i="2"/>
  <c r="M889" i="2"/>
  <c r="L889" i="2"/>
  <c r="K889" i="2"/>
  <c r="J889" i="2"/>
  <c r="H889" i="2"/>
  <c r="G889" i="2"/>
  <c r="F889" i="2"/>
  <c r="E889" i="2"/>
  <c r="D889" i="2"/>
  <c r="C889" i="2"/>
  <c r="A889" i="2"/>
  <c r="M888" i="2"/>
  <c r="L888" i="2"/>
  <c r="K888" i="2"/>
  <c r="J888" i="2"/>
  <c r="H888" i="2"/>
  <c r="G888" i="2"/>
  <c r="F888" i="2"/>
  <c r="E888" i="2"/>
  <c r="D888" i="2"/>
  <c r="C888" i="2"/>
  <c r="A888" i="2"/>
  <c r="M887" i="2"/>
  <c r="L887" i="2"/>
  <c r="K887" i="2"/>
  <c r="J887" i="2"/>
  <c r="H887" i="2"/>
  <c r="G887" i="2"/>
  <c r="F887" i="2"/>
  <c r="E887" i="2"/>
  <c r="D887" i="2"/>
  <c r="C887" i="2"/>
  <c r="A887" i="2"/>
  <c r="M886" i="2"/>
  <c r="L886" i="2"/>
  <c r="K886" i="2"/>
  <c r="J886" i="2"/>
  <c r="H886" i="2"/>
  <c r="G886" i="2"/>
  <c r="F886" i="2"/>
  <c r="E886" i="2"/>
  <c r="D886" i="2"/>
  <c r="C886" i="2"/>
  <c r="A886" i="2"/>
  <c r="M885" i="2"/>
  <c r="L885" i="2"/>
  <c r="K885" i="2"/>
  <c r="J885" i="2"/>
  <c r="H885" i="2"/>
  <c r="G885" i="2"/>
  <c r="F885" i="2"/>
  <c r="E885" i="2"/>
  <c r="D885" i="2"/>
  <c r="C885" i="2"/>
  <c r="A885" i="2"/>
  <c r="M884" i="2"/>
  <c r="L884" i="2"/>
  <c r="K884" i="2"/>
  <c r="J884" i="2"/>
  <c r="H884" i="2"/>
  <c r="G884" i="2"/>
  <c r="F884" i="2"/>
  <c r="E884" i="2"/>
  <c r="D884" i="2"/>
  <c r="C884" i="2"/>
  <c r="A884" i="2"/>
  <c r="M883" i="2"/>
  <c r="L883" i="2"/>
  <c r="K883" i="2"/>
  <c r="J883" i="2"/>
  <c r="H883" i="2"/>
  <c r="G883" i="2"/>
  <c r="F883" i="2"/>
  <c r="E883" i="2"/>
  <c r="D883" i="2"/>
  <c r="C883" i="2"/>
  <c r="A883" i="2"/>
  <c r="M882" i="2"/>
  <c r="L882" i="2"/>
  <c r="K882" i="2"/>
  <c r="J882" i="2"/>
  <c r="H882" i="2"/>
  <c r="G882" i="2"/>
  <c r="F882" i="2"/>
  <c r="E882" i="2"/>
  <c r="D882" i="2"/>
  <c r="C882" i="2"/>
  <c r="A882" i="2"/>
  <c r="M881" i="2"/>
  <c r="L881" i="2"/>
  <c r="K881" i="2"/>
  <c r="J881" i="2"/>
  <c r="H881" i="2"/>
  <c r="G881" i="2"/>
  <c r="F881" i="2"/>
  <c r="E881" i="2"/>
  <c r="D881" i="2"/>
  <c r="C881" i="2"/>
  <c r="A881" i="2"/>
  <c r="M880" i="2"/>
  <c r="L880" i="2"/>
  <c r="K880" i="2"/>
  <c r="J880" i="2"/>
  <c r="H880" i="2"/>
  <c r="G880" i="2"/>
  <c r="F880" i="2"/>
  <c r="E880" i="2"/>
  <c r="D880" i="2"/>
  <c r="C880" i="2"/>
  <c r="A880" i="2"/>
  <c r="M879" i="2"/>
  <c r="L879" i="2"/>
  <c r="K879" i="2"/>
  <c r="J879" i="2"/>
  <c r="H879" i="2"/>
  <c r="G879" i="2"/>
  <c r="F879" i="2"/>
  <c r="E879" i="2"/>
  <c r="D879" i="2"/>
  <c r="C879" i="2"/>
  <c r="A879" i="2"/>
  <c r="M878" i="2"/>
  <c r="L878" i="2"/>
  <c r="K878" i="2"/>
  <c r="J878" i="2"/>
  <c r="H878" i="2"/>
  <c r="G878" i="2"/>
  <c r="F878" i="2"/>
  <c r="E878" i="2"/>
  <c r="D878" i="2"/>
  <c r="C878" i="2"/>
  <c r="A878" i="2"/>
  <c r="M877" i="2"/>
  <c r="L877" i="2"/>
  <c r="K877" i="2"/>
  <c r="J877" i="2"/>
  <c r="H877" i="2"/>
  <c r="G877" i="2"/>
  <c r="F877" i="2"/>
  <c r="E877" i="2"/>
  <c r="D877" i="2"/>
  <c r="C877" i="2"/>
  <c r="A877" i="2"/>
  <c r="M876" i="2"/>
  <c r="L876" i="2"/>
  <c r="K876" i="2"/>
  <c r="J876" i="2"/>
  <c r="H876" i="2"/>
  <c r="G876" i="2"/>
  <c r="F876" i="2"/>
  <c r="E876" i="2"/>
  <c r="D876" i="2"/>
  <c r="C876" i="2"/>
  <c r="A876" i="2"/>
  <c r="M875" i="2"/>
  <c r="L875" i="2"/>
  <c r="K875" i="2"/>
  <c r="J875" i="2"/>
  <c r="H875" i="2"/>
  <c r="G875" i="2"/>
  <c r="F875" i="2"/>
  <c r="E875" i="2"/>
  <c r="D875" i="2"/>
  <c r="C875" i="2"/>
  <c r="A875" i="2"/>
  <c r="M874" i="2"/>
  <c r="L874" i="2"/>
  <c r="K874" i="2"/>
  <c r="J874" i="2"/>
  <c r="H874" i="2"/>
  <c r="G874" i="2"/>
  <c r="E874" i="2"/>
  <c r="D874" i="2"/>
  <c r="C874" i="2"/>
  <c r="A874" i="2"/>
  <c r="M873" i="2"/>
  <c r="L873" i="2"/>
  <c r="K873" i="2"/>
  <c r="J873" i="2"/>
  <c r="H873" i="2"/>
  <c r="G873" i="2"/>
  <c r="F873" i="2"/>
  <c r="E873" i="2"/>
  <c r="D873" i="2"/>
  <c r="C873" i="2"/>
  <c r="A873" i="2"/>
  <c r="M872" i="2"/>
  <c r="L872" i="2"/>
  <c r="K872" i="2"/>
  <c r="J872" i="2"/>
  <c r="H872" i="2"/>
  <c r="G872" i="2"/>
  <c r="F872" i="2"/>
  <c r="E872" i="2"/>
  <c r="D872" i="2"/>
  <c r="C872" i="2"/>
  <c r="A872" i="2"/>
  <c r="M871" i="2"/>
  <c r="L871" i="2"/>
  <c r="K871" i="2"/>
  <c r="J871" i="2"/>
  <c r="H871" i="2"/>
  <c r="G871" i="2"/>
  <c r="F871" i="2"/>
  <c r="E871" i="2"/>
  <c r="D871" i="2"/>
  <c r="C871" i="2"/>
  <c r="A871" i="2"/>
  <c r="M870" i="2"/>
  <c r="L870" i="2"/>
  <c r="K870" i="2"/>
  <c r="J870" i="2"/>
  <c r="H870" i="2"/>
  <c r="G870" i="2"/>
  <c r="F870" i="2"/>
  <c r="E870" i="2"/>
  <c r="D870" i="2"/>
  <c r="C870" i="2"/>
  <c r="A870" i="2"/>
  <c r="M869" i="2"/>
  <c r="L869" i="2"/>
  <c r="K869" i="2"/>
  <c r="J869" i="2"/>
  <c r="H869" i="2"/>
  <c r="G869" i="2"/>
  <c r="F869" i="2"/>
  <c r="E869" i="2"/>
  <c r="D869" i="2"/>
  <c r="C869" i="2"/>
  <c r="A869" i="2"/>
  <c r="M868" i="2"/>
  <c r="L868" i="2"/>
  <c r="K868" i="2"/>
  <c r="J868" i="2"/>
  <c r="H868" i="2"/>
  <c r="G868" i="2"/>
  <c r="F868" i="2"/>
  <c r="E868" i="2"/>
  <c r="D868" i="2"/>
  <c r="C868" i="2"/>
  <c r="A868" i="2"/>
  <c r="M867" i="2"/>
  <c r="L867" i="2"/>
  <c r="K867" i="2"/>
  <c r="J867" i="2"/>
  <c r="H867" i="2"/>
  <c r="G867" i="2"/>
  <c r="F867" i="2"/>
  <c r="E867" i="2"/>
  <c r="D867" i="2"/>
  <c r="C867" i="2"/>
  <c r="A867" i="2"/>
  <c r="M866" i="2"/>
  <c r="L866" i="2"/>
  <c r="K866" i="2"/>
  <c r="J866" i="2"/>
  <c r="H866" i="2"/>
  <c r="G866" i="2"/>
  <c r="F866" i="2"/>
  <c r="E866" i="2"/>
  <c r="D866" i="2"/>
  <c r="C866" i="2"/>
  <c r="A866" i="2"/>
  <c r="M865" i="2"/>
  <c r="L865" i="2"/>
  <c r="K865" i="2"/>
  <c r="J865" i="2"/>
  <c r="H865" i="2"/>
  <c r="G865" i="2"/>
  <c r="F865" i="2"/>
  <c r="E865" i="2"/>
  <c r="D865" i="2"/>
  <c r="C865" i="2"/>
  <c r="A865" i="2"/>
  <c r="M864" i="2"/>
  <c r="L864" i="2"/>
  <c r="K864" i="2"/>
  <c r="J864" i="2"/>
  <c r="H864" i="2"/>
  <c r="G864" i="2"/>
  <c r="F864" i="2"/>
  <c r="E864" i="2"/>
  <c r="D864" i="2"/>
  <c r="C864" i="2"/>
  <c r="A864" i="2"/>
  <c r="M863" i="2"/>
  <c r="L863" i="2"/>
  <c r="K863" i="2"/>
  <c r="J863" i="2"/>
  <c r="H863" i="2"/>
  <c r="G863" i="2"/>
  <c r="F863" i="2"/>
  <c r="E863" i="2"/>
  <c r="D863" i="2"/>
  <c r="C863" i="2"/>
  <c r="A863" i="2"/>
  <c r="M862" i="2"/>
  <c r="L862" i="2"/>
  <c r="K862" i="2"/>
  <c r="J862" i="2"/>
  <c r="H862" i="2"/>
  <c r="G862" i="2"/>
  <c r="F862" i="2"/>
  <c r="E862" i="2"/>
  <c r="D862" i="2"/>
  <c r="C862" i="2"/>
  <c r="A862" i="2"/>
  <c r="M861" i="2"/>
  <c r="L861" i="2"/>
  <c r="K861" i="2"/>
  <c r="J861" i="2"/>
  <c r="H861" i="2"/>
  <c r="G861" i="2"/>
  <c r="F861" i="2"/>
  <c r="E861" i="2"/>
  <c r="D861" i="2"/>
  <c r="C861" i="2"/>
  <c r="A861" i="2"/>
  <c r="M860" i="2"/>
  <c r="L860" i="2"/>
  <c r="K860" i="2"/>
  <c r="J860" i="2"/>
  <c r="H860" i="2"/>
  <c r="G860" i="2"/>
  <c r="F860" i="2"/>
  <c r="E860" i="2"/>
  <c r="D860" i="2"/>
  <c r="C860" i="2"/>
  <c r="A860" i="2"/>
  <c r="M859" i="2"/>
  <c r="L859" i="2"/>
  <c r="K859" i="2"/>
  <c r="J859" i="2"/>
  <c r="H859" i="2"/>
  <c r="G859" i="2"/>
  <c r="F859" i="2"/>
  <c r="E859" i="2"/>
  <c r="D859" i="2"/>
  <c r="C859" i="2"/>
  <c r="A859" i="2"/>
  <c r="M858" i="2"/>
  <c r="L858" i="2"/>
  <c r="K858" i="2"/>
  <c r="J858" i="2"/>
  <c r="H858" i="2"/>
  <c r="G858" i="2"/>
  <c r="F858" i="2"/>
  <c r="E858" i="2"/>
  <c r="D858" i="2"/>
  <c r="C858" i="2"/>
  <c r="A858" i="2"/>
  <c r="M857" i="2"/>
  <c r="L857" i="2"/>
  <c r="K857" i="2"/>
  <c r="J857" i="2"/>
  <c r="H857" i="2"/>
  <c r="G857" i="2"/>
  <c r="F857" i="2"/>
  <c r="E857" i="2"/>
  <c r="D857" i="2"/>
  <c r="C857" i="2"/>
  <c r="A857" i="2"/>
  <c r="M856" i="2"/>
  <c r="L856" i="2"/>
  <c r="K856" i="2"/>
  <c r="J856" i="2"/>
  <c r="H856" i="2"/>
  <c r="G856" i="2"/>
  <c r="F856" i="2"/>
  <c r="E856" i="2"/>
  <c r="D856" i="2"/>
  <c r="C856" i="2"/>
  <c r="A856" i="2"/>
  <c r="M855" i="2"/>
  <c r="L855" i="2"/>
  <c r="K855" i="2"/>
  <c r="J855" i="2"/>
  <c r="H855" i="2"/>
  <c r="G855" i="2"/>
  <c r="F855" i="2"/>
  <c r="E855" i="2"/>
  <c r="D855" i="2"/>
  <c r="C855" i="2"/>
  <c r="A855" i="2"/>
  <c r="M854" i="2"/>
  <c r="L854" i="2"/>
  <c r="K854" i="2"/>
  <c r="J854" i="2"/>
  <c r="H854" i="2"/>
  <c r="G854" i="2"/>
  <c r="F854" i="2"/>
  <c r="E854" i="2"/>
  <c r="D854" i="2"/>
  <c r="C854" i="2"/>
  <c r="A854" i="2"/>
  <c r="M853" i="2"/>
  <c r="L853" i="2"/>
  <c r="K853" i="2"/>
  <c r="J853" i="2"/>
  <c r="H853" i="2"/>
  <c r="G853" i="2"/>
  <c r="F853" i="2"/>
  <c r="E853" i="2"/>
  <c r="D853" i="2"/>
  <c r="C853" i="2"/>
  <c r="A853" i="2"/>
  <c r="M852" i="2"/>
  <c r="L852" i="2"/>
  <c r="K852" i="2"/>
  <c r="J852" i="2"/>
  <c r="H852" i="2"/>
  <c r="G852" i="2"/>
  <c r="F852" i="2"/>
  <c r="E852" i="2"/>
  <c r="D852" i="2"/>
  <c r="C852" i="2"/>
  <c r="A852" i="2"/>
  <c r="M851" i="2"/>
  <c r="L851" i="2"/>
  <c r="K851" i="2"/>
  <c r="J851" i="2"/>
  <c r="H851" i="2"/>
  <c r="G851" i="2"/>
  <c r="F851" i="2"/>
  <c r="E851" i="2"/>
  <c r="D851" i="2"/>
  <c r="C851" i="2"/>
  <c r="A851" i="2"/>
  <c r="M850" i="2"/>
  <c r="L850" i="2"/>
  <c r="K850" i="2"/>
  <c r="J850" i="2"/>
  <c r="H850" i="2"/>
  <c r="G850" i="2"/>
  <c r="F850" i="2"/>
  <c r="E850" i="2"/>
  <c r="D850" i="2"/>
  <c r="C850" i="2"/>
  <c r="A850" i="2"/>
  <c r="M849" i="2"/>
  <c r="L849" i="2"/>
  <c r="K849" i="2"/>
  <c r="J849" i="2"/>
  <c r="H849" i="2"/>
  <c r="G849" i="2"/>
  <c r="F849" i="2"/>
  <c r="E849" i="2"/>
  <c r="D849" i="2"/>
  <c r="C849" i="2"/>
  <c r="A849" i="2"/>
  <c r="M848" i="2"/>
  <c r="L848" i="2"/>
  <c r="K848" i="2"/>
  <c r="J848" i="2"/>
  <c r="H848" i="2"/>
  <c r="G848" i="2"/>
  <c r="F848" i="2"/>
  <c r="E848" i="2"/>
  <c r="D848" i="2"/>
  <c r="C848" i="2"/>
  <c r="A848" i="2"/>
  <c r="M847" i="2"/>
  <c r="L847" i="2"/>
  <c r="K847" i="2"/>
  <c r="J847" i="2"/>
  <c r="H847" i="2"/>
  <c r="G847" i="2"/>
  <c r="F847" i="2"/>
  <c r="E847" i="2"/>
  <c r="D847" i="2"/>
  <c r="C847" i="2"/>
  <c r="A847" i="2"/>
  <c r="M846" i="2"/>
  <c r="L846" i="2"/>
  <c r="K846" i="2"/>
  <c r="J846" i="2"/>
  <c r="H846" i="2"/>
  <c r="G846" i="2"/>
  <c r="F846" i="2"/>
  <c r="E846" i="2"/>
  <c r="D846" i="2"/>
  <c r="C846" i="2"/>
  <c r="A846" i="2"/>
  <c r="M845" i="2"/>
  <c r="L845" i="2"/>
  <c r="K845" i="2"/>
  <c r="J845" i="2"/>
  <c r="H845" i="2"/>
  <c r="G845" i="2"/>
  <c r="F845" i="2"/>
  <c r="E845" i="2"/>
  <c r="D845" i="2"/>
  <c r="C845" i="2"/>
  <c r="A845" i="2"/>
  <c r="M844" i="2"/>
  <c r="L844" i="2"/>
  <c r="K844" i="2"/>
  <c r="J844" i="2"/>
  <c r="H844" i="2"/>
  <c r="G844" i="2"/>
  <c r="F844" i="2"/>
  <c r="E844" i="2"/>
  <c r="D844" i="2"/>
  <c r="C844" i="2"/>
  <c r="A844" i="2"/>
  <c r="M843" i="2"/>
  <c r="L843" i="2"/>
  <c r="K843" i="2"/>
  <c r="J843" i="2"/>
  <c r="H843" i="2"/>
  <c r="G843" i="2"/>
  <c r="F843" i="2"/>
  <c r="E843" i="2"/>
  <c r="D843" i="2"/>
  <c r="C843" i="2"/>
  <c r="A843" i="2"/>
  <c r="M842" i="2"/>
  <c r="L842" i="2"/>
  <c r="K842" i="2"/>
  <c r="J842" i="2"/>
  <c r="H842" i="2"/>
  <c r="G842" i="2"/>
  <c r="F842" i="2"/>
  <c r="E842" i="2"/>
  <c r="D842" i="2"/>
  <c r="C842" i="2"/>
  <c r="A842" i="2"/>
  <c r="M841" i="2"/>
  <c r="L841" i="2"/>
  <c r="K841" i="2"/>
  <c r="J841" i="2"/>
  <c r="H841" i="2"/>
  <c r="G841" i="2"/>
  <c r="F841" i="2"/>
  <c r="E841" i="2"/>
  <c r="D841" i="2"/>
  <c r="C841" i="2"/>
  <c r="A841" i="2"/>
  <c r="M840" i="2"/>
  <c r="L840" i="2"/>
  <c r="K840" i="2"/>
  <c r="J840" i="2"/>
  <c r="H840" i="2"/>
  <c r="G840" i="2"/>
  <c r="F840" i="2"/>
  <c r="E840" i="2"/>
  <c r="D840" i="2"/>
  <c r="C840" i="2"/>
  <c r="A840" i="2"/>
  <c r="M839" i="2"/>
  <c r="L839" i="2"/>
  <c r="K839" i="2"/>
  <c r="J839" i="2"/>
  <c r="H839" i="2"/>
  <c r="G839" i="2"/>
  <c r="F839" i="2"/>
  <c r="E839" i="2"/>
  <c r="D839" i="2"/>
  <c r="C839" i="2"/>
  <c r="A839" i="2"/>
  <c r="M838" i="2"/>
  <c r="L838" i="2"/>
  <c r="K838" i="2"/>
  <c r="J838" i="2"/>
  <c r="H838" i="2"/>
  <c r="G838" i="2"/>
  <c r="F838" i="2"/>
  <c r="E838" i="2"/>
  <c r="D838" i="2"/>
  <c r="C838" i="2"/>
  <c r="A838" i="2"/>
  <c r="M837" i="2"/>
  <c r="L837" i="2"/>
  <c r="K837" i="2"/>
  <c r="J837" i="2"/>
  <c r="H837" i="2"/>
  <c r="G837" i="2"/>
  <c r="F837" i="2"/>
  <c r="E837" i="2"/>
  <c r="D837" i="2"/>
  <c r="C837" i="2"/>
  <c r="A837" i="2"/>
  <c r="M836" i="2"/>
  <c r="L836" i="2"/>
  <c r="K836" i="2"/>
  <c r="J836" i="2"/>
  <c r="H836" i="2"/>
  <c r="G836" i="2"/>
  <c r="F836" i="2"/>
  <c r="E836" i="2"/>
  <c r="D836" i="2"/>
  <c r="C836" i="2"/>
  <c r="A836" i="2"/>
  <c r="M835" i="2"/>
  <c r="L835" i="2"/>
  <c r="K835" i="2"/>
  <c r="J835" i="2"/>
  <c r="H835" i="2"/>
  <c r="G835" i="2"/>
  <c r="E835" i="2"/>
  <c r="D835" i="2"/>
  <c r="C835" i="2"/>
  <c r="A835" i="2"/>
  <c r="M834" i="2"/>
  <c r="L834" i="2"/>
  <c r="K834" i="2"/>
  <c r="J834" i="2"/>
  <c r="H834" i="2"/>
  <c r="G834" i="2"/>
  <c r="F834" i="2"/>
  <c r="E834" i="2"/>
  <c r="D834" i="2"/>
  <c r="C834" i="2"/>
  <c r="A834" i="2"/>
  <c r="M833" i="2"/>
  <c r="L833" i="2"/>
  <c r="K833" i="2"/>
  <c r="J833" i="2"/>
  <c r="H833" i="2"/>
  <c r="G833" i="2"/>
  <c r="F833" i="2"/>
  <c r="E833" i="2"/>
  <c r="D833" i="2"/>
  <c r="C833" i="2"/>
  <c r="A833" i="2"/>
  <c r="M832" i="2"/>
  <c r="L832" i="2"/>
  <c r="K832" i="2"/>
  <c r="J832" i="2"/>
  <c r="H832" i="2"/>
  <c r="G832" i="2"/>
  <c r="F832" i="2"/>
  <c r="E832" i="2"/>
  <c r="D832" i="2"/>
  <c r="C832" i="2"/>
  <c r="A832" i="2"/>
  <c r="M831" i="2"/>
  <c r="L831" i="2"/>
  <c r="K831" i="2"/>
  <c r="J831" i="2"/>
  <c r="H831" i="2"/>
  <c r="G831" i="2"/>
  <c r="F831" i="2"/>
  <c r="E831" i="2"/>
  <c r="D831" i="2"/>
  <c r="C831" i="2"/>
  <c r="A831" i="2"/>
  <c r="M830" i="2"/>
  <c r="L830" i="2"/>
  <c r="K830" i="2"/>
  <c r="J830" i="2"/>
  <c r="H830" i="2"/>
  <c r="G830" i="2"/>
  <c r="F830" i="2"/>
  <c r="E830" i="2"/>
  <c r="D830" i="2"/>
  <c r="C830" i="2"/>
  <c r="A830" i="2"/>
  <c r="M829" i="2"/>
  <c r="L829" i="2"/>
  <c r="K829" i="2"/>
  <c r="J829" i="2"/>
  <c r="H829" i="2"/>
  <c r="G829" i="2"/>
  <c r="F829" i="2"/>
  <c r="E829" i="2"/>
  <c r="D829" i="2"/>
  <c r="C829" i="2"/>
  <c r="A829" i="2"/>
  <c r="M828" i="2"/>
  <c r="L828" i="2"/>
  <c r="K828" i="2"/>
  <c r="J828" i="2"/>
  <c r="H828" i="2"/>
  <c r="G828" i="2"/>
  <c r="F828" i="2"/>
  <c r="E828" i="2"/>
  <c r="D828" i="2"/>
  <c r="C828" i="2"/>
  <c r="A828" i="2"/>
  <c r="M827" i="2"/>
  <c r="L827" i="2"/>
  <c r="K827" i="2"/>
  <c r="J827" i="2"/>
  <c r="H827" i="2"/>
  <c r="G827" i="2"/>
  <c r="F827" i="2"/>
  <c r="E827" i="2"/>
  <c r="D827" i="2"/>
  <c r="C827" i="2"/>
  <c r="A827" i="2"/>
  <c r="M826" i="2"/>
  <c r="L826" i="2"/>
  <c r="K826" i="2"/>
  <c r="J826" i="2"/>
  <c r="H826" i="2"/>
  <c r="G826" i="2"/>
  <c r="F826" i="2"/>
  <c r="E826" i="2"/>
  <c r="D826" i="2"/>
  <c r="C826" i="2"/>
  <c r="A826" i="2"/>
  <c r="M825" i="2"/>
  <c r="L825" i="2"/>
  <c r="K825" i="2"/>
  <c r="J825" i="2"/>
  <c r="H825" i="2"/>
  <c r="G825" i="2"/>
  <c r="F825" i="2"/>
  <c r="E825" i="2"/>
  <c r="D825" i="2"/>
  <c r="C825" i="2"/>
  <c r="A825" i="2"/>
  <c r="M824" i="2"/>
  <c r="L824" i="2"/>
  <c r="K824" i="2"/>
  <c r="J824" i="2"/>
  <c r="H824" i="2"/>
  <c r="G824" i="2"/>
  <c r="F824" i="2"/>
  <c r="E824" i="2"/>
  <c r="D824" i="2"/>
  <c r="C824" i="2"/>
  <c r="A824" i="2"/>
  <c r="M823" i="2"/>
  <c r="L823" i="2"/>
  <c r="K823" i="2"/>
  <c r="J823" i="2"/>
  <c r="H823" i="2"/>
  <c r="G823" i="2"/>
  <c r="F823" i="2"/>
  <c r="E823" i="2"/>
  <c r="D823" i="2"/>
  <c r="C823" i="2"/>
  <c r="A823" i="2"/>
  <c r="M822" i="2"/>
  <c r="L822" i="2"/>
  <c r="K822" i="2"/>
  <c r="J822" i="2"/>
  <c r="H822" i="2"/>
  <c r="G822" i="2"/>
  <c r="F822" i="2"/>
  <c r="E822" i="2"/>
  <c r="D822" i="2"/>
  <c r="C822" i="2"/>
  <c r="A822" i="2"/>
  <c r="M821" i="2"/>
  <c r="L821" i="2"/>
  <c r="K821" i="2"/>
  <c r="J821" i="2"/>
  <c r="H821" i="2"/>
  <c r="G821" i="2"/>
  <c r="F821" i="2"/>
  <c r="E821" i="2"/>
  <c r="D821" i="2"/>
  <c r="C821" i="2"/>
  <c r="A821" i="2"/>
  <c r="M820" i="2"/>
  <c r="L820" i="2"/>
  <c r="K820" i="2"/>
  <c r="J820" i="2"/>
  <c r="H820" i="2"/>
  <c r="G820" i="2"/>
  <c r="F820" i="2"/>
  <c r="E820" i="2"/>
  <c r="D820" i="2"/>
  <c r="C820" i="2"/>
  <c r="A820" i="2"/>
  <c r="M819" i="2"/>
  <c r="L819" i="2"/>
  <c r="K819" i="2"/>
  <c r="J819" i="2"/>
  <c r="H819" i="2"/>
  <c r="G819" i="2"/>
  <c r="F819" i="2"/>
  <c r="E819" i="2"/>
  <c r="D819" i="2"/>
  <c r="C819" i="2"/>
  <c r="A819" i="2"/>
  <c r="M818" i="2"/>
  <c r="L818" i="2"/>
  <c r="K818" i="2"/>
  <c r="J818" i="2"/>
  <c r="H818" i="2"/>
  <c r="G818" i="2"/>
  <c r="F818" i="2"/>
  <c r="E818" i="2"/>
  <c r="D818" i="2"/>
  <c r="C818" i="2"/>
  <c r="A818" i="2"/>
  <c r="M817" i="2"/>
  <c r="L817" i="2"/>
  <c r="K817" i="2"/>
  <c r="J817" i="2"/>
  <c r="H817" i="2"/>
  <c r="G817" i="2"/>
  <c r="F817" i="2"/>
  <c r="E817" i="2"/>
  <c r="D817" i="2"/>
  <c r="C817" i="2"/>
  <c r="A817" i="2"/>
  <c r="M816" i="2"/>
  <c r="L816" i="2"/>
  <c r="K816" i="2"/>
  <c r="J816" i="2"/>
  <c r="H816" i="2"/>
  <c r="G816" i="2"/>
  <c r="F816" i="2"/>
  <c r="E816" i="2"/>
  <c r="D816" i="2"/>
  <c r="C816" i="2"/>
  <c r="A816" i="2"/>
  <c r="M815" i="2"/>
  <c r="L815" i="2"/>
  <c r="K815" i="2"/>
  <c r="J815" i="2"/>
  <c r="H815" i="2"/>
  <c r="G815" i="2"/>
  <c r="F815" i="2"/>
  <c r="E815" i="2"/>
  <c r="D815" i="2"/>
  <c r="C815" i="2"/>
  <c r="A815" i="2"/>
  <c r="M814" i="2"/>
  <c r="L814" i="2"/>
  <c r="K814" i="2"/>
  <c r="J814" i="2"/>
  <c r="H814" i="2"/>
  <c r="G814" i="2"/>
  <c r="F814" i="2"/>
  <c r="E814" i="2"/>
  <c r="D814" i="2"/>
  <c r="C814" i="2"/>
  <c r="A814" i="2"/>
  <c r="M813" i="2"/>
  <c r="L813" i="2"/>
  <c r="K813" i="2"/>
  <c r="J813" i="2"/>
  <c r="H813" i="2"/>
  <c r="G813" i="2"/>
  <c r="F813" i="2"/>
  <c r="E813" i="2"/>
  <c r="D813" i="2"/>
  <c r="C813" i="2"/>
  <c r="A813" i="2"/>
  <c r="M812" i="2"/>
  <c r="L812" i="2"/>
  <c r="K812" i="2"/>
  <c r="J812" i="2"/>
  <c r="H812" i="2"/>
  <c r="G812" i="2"/>
  <c r="F812" i="2"/>
  <c r="E812" i="2"/>
  <c r="D812" i="2"/>
  <c r="C812" i="2"/>
  <c r="A812" i="2"/>
  <c r="M811" i="2"/>
  <c r="L811" i="2"/>
  <c r="K811" i="2"/>
  <c r="J811" i="2"/>
  <c r="H811" i="2"/>
  <c r="G811" i="2"/>
  <c r="F811" i="2"/>
  <c r="E811" i="2"/>
  <c r="D811" i="2"/>
  <c r="C811" i="2"/>
  <c r="A811" i="2"/>
  <c r="M810" i="2"/>
  <c r="L810" i="2"/>
  <c r="K810" i="2"/>
  <c r="J810" i="2"/>
  <c r="H810" i="2"/>
  <c r="G810" i="2"/>
  <c r="F810" i="2"/>
  <c r="E810" i="2"/>
  <c r="D810" i="2"/>
  <c r="C810" i="2"/>
  <c r="A810" i="2"/>
  <c r="M809" i="2"/>
  <c r="L809" i="2"/>
  <c r="K809" i="2"/>
  <c r="J809" i="2"/>
  <c r="H809" i="2"/>
  <c r="G809" i="2"/>
  <c r="F809" i="2"/>
  <c r="E809" i="2"/>
  <c r="D809" i="2"/>
  <c r="C809" i="2"/>
  <c r="A809" i="2"/>
  <c r="M808" i="2"/>
  <c r="L808" i="2"/>
  <c r="K808" i="2"/>
  <c r="J808" i="2"/>
  <c r="H808" i="2"/>
  <c r="G808" i="2"/>
  <c r="F808" i="2"/>
  <c r="E808" i="2"/>
  <c r="D808" i="2"/>
  <c r="C808" i="2"/>
  <c r="A808" i="2"/>
  <c r="M807" i="2"/>
  <c r="L807" i="2"/>
  <c r="K807" i="2"/>
  <c r="J807" i="2"/>
  <c r="H807" i="2"/>
  <c r="G807" i="2"/>
  <c r="F807" i="2"/>
  <c r="E807" i="2"/>
  <c r="D807" i="2"/>
  <c r="C807" i="2"/>
  <c r="A807" i="2"/>
  <c r="M806" i="2"/>
  <c r="L806" i="2"/>
  <c r="K806" i="2"/>
  <c r="J806" i="2"/>
  <c r="H806" i="2"/>
  <c r="G806" i="2"/>
  <c r="F806" i="2"/>
  <c r="E806" i="2"/>
  <c r="D806" i="2"/>
  <c r="C806" i="2"/>
  <c r="A806" i="2"/>
  <c r="M805" i="2"/>
  <c r="L805" i="2"/>
  <c r="K805" i="2"/>
  <c r="J805" i="2"/>
  <c r="H805" i="2"/>
  <c r="G805" i="2"/>
  <c r="F805" i="2"/>
  <c r="E805" i="2"/>
  <c r="D805" i="2"/>
  <c r="C805" i="2"/>
  <c r="A805" i="2"/>
  <c r="M804" i="2"/>
  <c r="L804" i="2"/>
  <c r="K804" i="2"/>
  <c r="J804" i="2"/>
  <c r="H804" i="2"/>
  <c r="G804" i="2"/>
  <c r="F804" i="2"/>
  <c r="E804" i="2"/>
  <c r="D804" i="2"/>
  <c r="C804" i="2"/>
  <c r="A804" i="2"/>
  <c r="M803" i="2"/>
  <c r="L803" i="2"/>
  <c r="K803" i="2"/>
  <c r="J803" i="2"/>
  <c r="H803" i="2"/>
  <c r="G803" i="2"/>
  <c r="F803" i="2"/>
  <c r="E803" i="2"/>
  <c r="D803" i="2"/>
  <c r="C803" i="2"/>
  <c r="A803" i="2"/>
  <c r="M802" i="2"/>
  <c r="L802" i="2"/>
  <c r="K802" i="2"/>
  <c r="J802" i="2"/>
  <c r="H802" i="2"/>
  <c r="G802" i="2"/>
  <c r="E802" i="2"/>
  <c r="D802" i="2"/>
  <c r="C802" i="2"/>
  <c r="A802" i="2"/>
  <c r="M801" i="2"/>
  <c r="L801" i="2"/>
  <c r="K801" i="2"/>
  <c r="J801" i="2"/>
  <c r="H801" i="2"/>
  <c r="G801" i="2"/>
  <c r="F801" i="2"/>
  <c r="E801" i="2"/>
  <c r="D801" i="2"/>
  <c r="C801" i="2"/>
  <c r="A801" i="2"/>
  <c r="M800" i="2"/>
  <c r="L800" i="2"/>
  <c r="K800" i="2"/>
  <c r="J800" i="2"/>
  <c r="H800" i="2"/>
  <c r="G800" i="2"/>
  <c r="F800" i="2"/>
  <c r="E800" i="2"/>
  <c r="D800" i="2"/>
  <c r="C800" i="2"/>
  <c r="A800" i="2"/>
  <c r="M799" i="2"/>
  <c r="L799" i="2"/>
  <c r="K799" i="2"/>
  <c r="J799" i="2"/>
  <c r="H799" i="2"/>
  <c r="G799" i="2"/>
  <c r="F799" i="2"/>
  <c r="E799" i="2"/>
  <c r="D799" i="2"/>
  <c r="C799" i="2"/>
  <c r="A799" i="2"/>
  <c r="M798" i="2"/>
  <c r="L798" i="2"/>
  <c r="K798" i="2"/>
  <c r="J798" i="2"/>
  <c r="H798" i="2"/>
  <c r="G798" i="2"/>
  <c r="F798" i="2"/>
  <c r="E798" i="2"/>
  <c r="D798" i="2"/>
  <c r="C798" i="2"/>
  <c r="A798" i="2"/>
  <c r="M797" i="2"/>
  <c r="L797" i="2"/>
  <c r="K797" i="2"/>
  <c r="J797" i="2"/>
  <c r="H797" i="2"/>
  <c r="G797" i="2"/>
  <c r="F797" i="2"/>
  <c r="E797" i="2"/>
  <c r="D797" i="2"/>
  <c r="C797" i="2"/>
  <c r="A797" i="2"/>
  <c r="M796" i="2"/>
  <c r="L796" i="2"/>
  <c r="K796" i="2"/>
  <c r="J796" i="2"/>
  <c r="H796" i="2"/>
  <c r="G796" i="2"/>
  <c r="F796" i="2"/>
  <c r="E796" i="2"/>
  <c r="D796" i="2"/>
  <c r="C796" i="2"/>
  <c r="A796" i="2"/>
  <c r="M795" i="2"/>
  <c r="L795" i="2"/>
  <c r="K795" i="2"/>
  <c r="J795" i="2"/>
  <c r="H795" i="2"/>
  <c r="G795" i="2"/>
  <c r="F795" i="2"/>
  <c r="E795" i="2"/>
  <c r="D795" i="2"/>
  <c r="C795" i="2"/>
  <c r="A795" i="2"/>
  <c r="M794" i="2"/>
  <c r="L794" i="2"/>
  <c r="K794" i="2"/>
  <c r="J794" i="2"/>
  <c r="H794" i="2"/>
  <c r="G794" i="2"/>
  <c r="F794" i="2"/>
  <c r="E794" i="2"/>
  <c r="D794" i="2"/>
  <c r="C794" i="2"/>
  <c r="A794" i="2"/>
  <c r="M793" i="2"/>
  <c r="L793" i="2"/>
  <c r="K793" i="2"/>
  <c r="J793" i="2"/>
  <c r="H793" i="2"/>
  <c r="G793" i="2"/>
  <c r="F793" i="2"/>
  <c r="E793" i="2"/>
  <c r="D793" i="2"/>
  <c r="C793" i="2"/>
  <c r="A793" i="2"/>
  <c r="M792" i="2"/>
  <c r="L792" i="2"/>
  <c r="K792" i="2"/>
  <c r="J792" i="2"/>
  <c r="H792" i="2"/>
  <c r="G792" i="2"/>
  <c r="F792" i="2"/>
  <c r="E792" i="2"/>
  <c r="D792" i="2"/>
  <c r="C792" i="2"/>
  <c r="A792" i="2"/>
  <c r="M791" i="2"/>
  <c r="L791" i="2"/>
  <c r="K791" i="2"/>
  <c r="J791" i="2"/>
  <c r="H791" i="2"/>
  <c r="G791" i="2"/>
  <c r="F791" i="2"/>
  <c r="E791" i="2"/>
  <c r="D791" i="2"/>
  <c r="C791" i="2"/>
  <c r="A791" i="2"/>
  <c r="M790" i="2"/>
  <c r="L790" i="2"/>
  <c r="K790" i="2"/>
  <c r="J790" i="2"/>
  <c r="H790" i="2"/>
  <c r="G790" i="2"/>
  <c r="F790" i="2"/>
  <c r="E790" i="2"/>
  <c r="D790" i="2"/>
  <c r="C790" i="2"/>
  <c r="A790" i="2"/>
  <c r="M789" i="2"/>
  <c r="L789" i="2"/>
  <c r="K789" i="2"/>
  <c r="J789" i="2"/>
  <c r="H789" i="2"/>
  <c r="G789" i="2"/>
  <c r="F789" i="2"/>
  <c r="E789" i="2"/>
  <c r="D789" i="2"/>
  <c r="C789" i="2"/>
  <c r="A789" i="2"/>
  <c r="M788" i="2"/>
  <c r="L788" i="2"/>
  <c r="K788" i="2"/>
  <c r="J788" i="2"/>
  <c r="H788" i="2"/>
  <c r="G788" i="2"/>
  <c r="F788" i="2"/>
  <c r="E788" i="2"/>
  <c r="D788" i="2"/>
  <c r="C788" i="2"/>
  <c r="A788" i="2"/>
  <c r="M787" i="2"/>
  <c r="L787" i="2"/>
  <c r="K787" i="2"/>
  <c r="J787" i="2"/>
  <c r="H787" i="2"/>
  <c r="G787" i="2"/>
  <c r="F787" i="2"/>
  <c r="E787" i="2"/>
  <c r="D787" i="2"/>
  <c r="C787" i="2"/>
  <c r="A787" i="2"/>
  <c r="M786" i="2"/>
  <c r="L786" i="2"/>
  <c r="K786" i="2"/>
  <c r="J786" i="2"/>
  <c r="H786" i="2"/>
  <c r="G786" i="2"/>
  <c r="F786" i="2"/>
  <c r="E786" i="2"/>
  <c r="D786" i="2"/>
  <c r="C786" i="2"/>
  <c r="A786" i="2"/>
  <c r="M785" i="2"/>
  <c r="L785" i="2"/>
  <c r="K785" i="2"/>
  <c r="J785" i="2"/>
  <c r="H785" i="2"/>
  <c r="G785" i="2"/>
  <c r="F785" i="2"/>
  <c r="E785" i="2"/>
  <c r="D785" i="2"/>
  <c r="C785" i="2"/>
  <c r="A785" i="2"/>
  <c r="M784" i="2"/>
  <c r="L784" i="2"/>
  <c r="K784" i="2"/>
  <c r="J784" i="2"/>
  <c r="H784" i="2"/>
  <c r="G784" i="2"/>
  <c r="F784" i="2"/>
  <c r="E784" i="2"/>
  <c r="D784" i="2"/>
  <c r="C784" i="2"/>
  <c r="A784" i="2"/>
  <c r="M783" i="2"/>
  <c r="L783" i="2"/>
  <c r="K783" i="2"/>
  <c r="J783" i="2"/>
  <c r="H783" i="2"/>
  <c r="G783" i="2"/>
  <c r="F783" i="2"/>
  <c r="E783" i="2"/>
  <c r="D783" i="2"/>
  <c r="C783" i="2"/>
  <c r="A783" i="2"/>
  <c r="M782" i="2"/>
  <c r="L782" i="2"/>
  <c r="K782" i="2"/>
  <c r="J782" i="2"/>
  <c r="H782" i="2"/>
  <c r="G782" i="2"/>
  <c r="F782" i="2"/>
  <c r="E782" i="2"/>
  <c r="D782" i="2"/>
  <c r="C782" i="2"/>
  <c r="A782" i="2"/>
  <c r="M781" i="2"/>
  <c r="L781" i="2"/>
  <c r="K781" i="2"/>
  <c r="J781" i="2"/>
  <c r="H781" i="2"/>
  <c r="G781" i="2"/>
  <c r="F781" i="2"/>
  <c r="E781" i="2"/>
  <c r="D781" i="2"/>
  <c r="C781" i="2"/>
  <c r="A781" i="2"/>
  <c r="M780" i="2"/>
  <c r="L780" i="2"/>
  <c r="K780" i="2"/>
  <c r="J780" i="2"/>
  <c r="H780" i="2"/>
  <c r="G780" i="2"/>
  <c r="F780" i="2"/>
  <c r="E780" i="2"/>
  <c r="D780" i="2"/>
  <c r="C780" i="2"/>
  <c r="A780" i="2"/>
  <c r="M779" i="2"/>
  <c r="L779" i="2"/>
  <c r="K779" i="2"/>
  <c r="J779" i="2"/>
  <c r="H779" i="2"/>
  <c r="G779" i="2"/>
  <c r="F779" i="2"/>
  <c r="E779" i="2"/>
  <c r="D779" i="2"/>
  <c r="C779" i="2"/>
  <c r="A779" i="2"/>
  <c r="M778" i="2"/>
  <c r="L778" i="2"/>
  <c r="K778" i="2"/>
  <c r="J778" i="2"/>
  <c r="H778" i="2"/>
  <c r="G778" i="2"/>
  <c r="F778" i="2"/>
  <c r="E778" i="2"/>
  <c r="D778" i="2"/>
  <c r="C778" i="2"/>
  <c r="A778" i="2"/>
  <c r="M777" i="2"/>
  <c r="L777" i="2"/>
  <c r="K777" i="2"/>
  <c r="J777" i="2"/>
  <c r="H777" i="2"/>
  <c r="G777" i="2"/>
  <c r="F777" i="2"/>
  <c r="E777" i="2"/>
  <c r="D777" i="2"/>
  <c r="C777" i="2"/>
  <c r="A777" i="2"/>
  <c r="M776" i="2"/>
  <c r="L776" i="2"/>
  <c r="K776" i="2"/>
  <c r="J776" i="2"/>
  <c r="H776" i="2"/>
  <c r="G776" i="2"/>
  <c r="F776" i="2"/>
  <c r="E776" i="2"/>
  <c r="D776" i="2"/>
  <c r="C776" i="2"/>
  <c r="A776" i="2"/>
  <c r="M775" i="2"/>
  <c r="L775" i="2"/>
  <c r="K775" i="2"/>
  <c r="J775" i="2"/>
  <c r="H775" i="2"/>
  <c r="G775" i="2"/>
  <c r="F775" i="2"/>
  <c r="E775" i="2"/>
  <c r="D775" i="2"/>
  <c r="C775" i="2"/>
  <c r="A775" i="2"/>
  <c r="M774" i="2"/>
  <c r="L774" i="2"/>
  <c r="K774" i="2"/>
  <c r="J774" i="2"/>
  <c r="H774" i="2"/>
  <c r="G774" i="2"/>
  <c r="F774" i="2"/>
  <c r="E774" i="2"/>
  <c r="D774" i="2"/>
  <c r="C774" i="2"/>
  <c r="A774" i="2"/>
  <c r="M773" i="2"/>
  <c r="L773" i="2"/>
  <c r="K773" i="2"/>
  <c r="J773" i="2"/>
  <c r="H773" i="2"/>
  <c r="G773" i="2"/>
  <c r="F773" i="2"/>
  <c r="E773" i="2"/>
  <c r="D773" i="2"/>
  <c r="C773" i="2"/>
  <c r="A773" i="2"/>
  <c r="M772" i="2"/>
  <c r="L772" i="2"/>
  <c r="K772" i="2"/>
  <c r="J772" i="2"/>
  <c r="H772" i="2"/>
  <c r="G772" i="2"/>
  <c r="F772" i="2"/>
  <c r="E772" i="2"/>
  <c r="D772" i="2"/>
  <c r="C772" i="2"/>
  <c r="A772" i="2"/>
  <c r="M771" i="2"/>
  <c r="L771" i="2"/>
  <c r="K771" i="2"/>
  <c r="J771" i="2"/>
  <c r="H771" i="2"/>
  <c r="G771" i="2"/>
  <c r="F771" i="2"/>
  <c r="E771" i="2"/>
  <c r="D771" i="2"/>
  <c r="C771" i="2"/>
  <c r="A771" i="2"/>
  <c r="M770" i="2"/>
  <c r="L770" i="2"/>
  <c r="K770" i="2"/>
  <c r="J770" i="2"/>
  <c r="H770" i="2"/>
  <c r="G770" i="2"/>
  <c r="E770" i="2"/>
  <c r="D770" i="2"/>
  <c r="C770" i="2"/>
  <c r="A770" i="2"/>
  <c r="M769" i="2"/>
  <c r="L769" i="2"/>
  <c r="K769" i="2"/>
  <c r="J769" i="2"/>
  <c r="H769" i="2"/>
  <c r="G769" i="2"/>
  <c r="F769" i="2"/>
  <c r="E769" i="2"/>
  <c r="D769" i="2"/>
  <c r="C769" i="2"/>
  <c r="A769" i="2"/>
  <c r="M768" i="2"/>
  <c r="L768" i="2"/>
  <c r="K768" i="2"/>
  <c r="J768" i="2"/>
  <c r="H768" i="2"/>
  <c r="G768" i="2"/>
  <c r="F768" i="2"/>
  <c r="E768" i="2"/>
  <c r="D768" i="2"/>
  <c r="C768" i="2"/>
  <c r="A768" i="2"/>
  <c r="M767" i="2"/>
  <c r="L767" i="2"/>
  <c r="K767" i="2"/>
  <c r="J767" i="2"/>
  <c r="H767" i="2"/>
  <c r="G767" i="2"/>
  <c r="F767" i="2"/>
  <c r="E767" i="2"/>
  <c r="D767" i="2"/>
  <c r="C767" i="2"/>
  <c r="A767" i="2"/>
  <c r="M766" i="2"/>
  <c r="L766" i="2"/>
  <c r="K766" i="2"/>
  <c r="J766" i="2"/>
  <c r="H766" i="2"/>
  <c r="G766" i="2"/>
  <c r="F766" i="2"/>
  <c r="E766" i="2"/>
  <c r="D766" i="2"/>
  <c r="C766" i="2"/>
  <c r="A766" i="2"/>
  <c r="M765" i="2"/>
  <c r="L765" i="2"/>
  <c r="K765" i="2"/>
  <c r="J765" i="2"/>
  <c r="H765" i="2"/>
  <c r="G765" i="2"/>
  <c r="F765" i="2"/>
  <c r="E765" i="2"/>
  <c r="D765" i="2"/>
  <c r="C765" i="2"/>
  <c r="A765" i="2"/>
  <c r="M764" i="2"/>
  <c r="L764" i="2"/>
  <c r="K764" i="2"/>
  <c r="J764" i="2"/>
  <c r="H764" i="2"/>
  <c r="G764" i="2"/>
  <c r="F764" i="2"/>
  <c r="E764" i="2"/>
  <c r="D764" i="2"/>
  <c r="C764" i="2"/>
  <c r="A764" i="2"/>
  <c r="M763" i="2"/>
  <c r="L763" i="2"/>
  <c r="K763" i="2"/>
  <c r="J763" i="2"/>
  <c r="H763" i="2"/>
  <c r="G763" i="2"/>
  <c r="F763" i="2"/>
  <c r="E763" i="2"/>
  <c r="D763" i="2"/>
  <c r="C763" i="2"/>
  <c r="A763" i="2"/>
  <c r="M762" i="2"/>
  <c r="L762" i="2"/>
  <c r="K762" i="2"/>
  <c r="J762" i="2"/>
  <c r="H762" i="2"/>
  <c r="G762" i="2"/>
  <c r="F762" i="2"/>
  <c r="E762" i="2"/>
  <c r="D762" i="2"/>
  <c r="C762" i="2"/>
  <c r="A762" i="2"/>
  <c r="M761" i="2"/>
  <c r="L761" i="2"/>
  <c r="K761" i="2"/>
  <c r="J761" i="2"/>
  <c r="H761" i="2"/>
  <c r="G761" i="2"/>
  <c r="F761" i="2"/>
  <c r="E761" i="2"/>
  <c r="D761" i="2"/>
  <c r="C761" i="2"/>
  <c r="A761" i="2"/>
  <c r="M760" i="2"/>
  <c r="L760" i="2"/>
  <c r="K760" i="2"/>
  <c r="J760" i="2"/>
  <c r="H760" i="2"/>
  <c r="G760" i="2"/>
  <c r="F760" i="2"/>
  <c r="E760" i="2"/>
  <c r="D760" i="2"/>
  <c r="C760" i="2"/>
  <c r="A760" i="2"/>
  <c r="M759" i="2"/>
  <c r="L759" i="2"/>
  <c r="K759" i="2"/>
  <c r="J759" i="2"/>
  <c r="H759" i="2"/>
  <c r="G759" i="2"/>
  <c r="F759" i="2"/>
  <c r="E759" i="2"/>
  <c r="D759" i="2"/>
  <c r="C759" i="2"/>
  <c r="A759" i="2"/>
  <c r="M758" i="2"/>
  <c r="L758" i="2"/>
  <c r="K758" i="2"/>
  <c r="J758" i="2"/>
  <c r="H758" i="2"/>
  <c r="G758" i="2"/>
  <c r="F758" i="2"/>
  <c r="E758" i="2"/>
  <c r="D758" i="2"/>
  <c r="C758" i="2"/>
  <c r="A758" i="2"/>
  <c r="M757" i="2"/>
  <c r="L757" i="2"/>
  <c r="K757" i="2"/>
  <c r="J757" i="2"/>
  <c r="H757" i="2"/>
  <c r="G757" i="2"/>
  <c r="F757" i="2"/>
  <c r="E757" i="2"/>
  <c r="D757" i="2"/>
  <c r="C757" i="2"/>
  <c r="A757" i="2"/>
  <c r="M756" i="2"/>
  <c r="L756" i="2"/>
  <c r="K756" i="2"/>
  <c r="J756" i="2"/>
  <c r="H756" i="2"/>
  <c r="G756" i="2"/>
  <c r="F756" i="2"/>
  <c r="E756" i="2"/>
  <c r="D756" i="2"/>
  <c r="C756" i="2"/>
  <c r="A756" i="2"/>
  <c r="M755" i="2"/>
  <c r="L755" i="2"/>
  <c r="K755" i="2"/>
  <c r="J755" i="2"/>
  <c r="H755" i="2"/>
  <c r="G755" i="2"/>
  <c r="F755" i="2"/>
  <c r="E755" i="2"/>
  <c r="D755" i="2"/>
  <c r="C755" i="2"/>
  <c r="A755" i="2"/>
  <c r="M754" i="2"/>
  <c r="L754" i="2"/>
  <c r="K754" i="2"/>
  <c r="J754" i="2"/>
  <c r="H754" i="2"/>
  <c r="G754" i="2"/>
  <c r="F754" i="2"/>
  <c r="E754" i="2"/>
  <c r="D754" i="2"/>
  <c r="C754" i="2"/>
  <c r="A754" i="2"/>
  <c r="M753" i="2"/>
  <c r="L753" i="2"/>
  <c r="K753" i="2"/>
  <c r="J753" i="2"/>
  <c r="H753" i="2"/>
  <c r="G753" i="2"/>
  <c r="F753" i="2"/>
  <c r="E753" i="2"/>
  <c r="D753" i="2"/>
  <c r="C753" i="2"/>
  <c r="A753" i="2"/>
  <c r="M752" i="2"/>
  <c r="L752" i="2"/>
  <c r="K752" i="2"/>
  <c r="J752" i="2"/>
  <c r="H752" i="2"/>
  <c r="G752" i="2"/>
  <c r="F752" i="2"/>
  <c r="E752" i="2"/>
  <c r="D752" i="2"/>
  <c r="C752" i="2"/>
  <c r="A752" i="2"/>
  <c r="M751" i="2"/>
  <c r="L751" i="2"/>
  <c r="K751" i="2"/>
  <c r="J751" i="2"/>
  <c r="H751" i="2"/>
  <c r="G751" i="2"/>
  <c r="F751" i="2"/>
  <c r="E751" i="2"/>
  <c r="D751" i="2"/>
  <c r="C751" i="2"/>
  <c r="A751" i="2"/>
  <c r="M750" i="2"/>
  <c r="L750" i="2"/>
  <c r="K750" i="2"/>
  <c r="J750" i="2"/>
  <c r="H750" i="2"/>
  <c r="G750" i="2"/>
  <c r="F750" i="2"/>
  <c r="E750" i="2"/>
  <c r="D750" i="2"/>
  <c r="C750" i="2"/>
  <c r="A750" i="2"/>
  <c r="M749" i="2"/>
  <c r="L749" i="2"/>
  <c r="K749" i="2"/>
  <c r="J749" i="2"/>
  <c r="H749" i="2"/>
  <c r="G749" i="2"/>
  <c r="F749" i="2"/>
  <c r="E749" i="2"/>
  <c r="D749" i="2"/>
  <c r="C749" i="2"/>
  <c r="A749" i="2"/>
  <c r="M748" i="2"/>
  <c r="L748" i="2"/>
  <c r="K748" i="2"/>
  <c r="J748" i="2"/>
  <c r="H748" i="2"/>
  <c r="G748" i="2"/>
  <c r="F748" i="2"/>
  <c r="E748" i="2"/>
  <c r="D748" i="2"/>
  <c r="C748" i="2"/>
  <c r="A748" i="2"/>
  <c r="M747" i="2"/>
  <c r="L747" i="2"/>
  <c r="K747" i="2"/>
  <c r="J747" i="2"/>
  <c r="H747" i="2"/>
  <c r="G747" i="2"/>
  <c r="F747" i="2"/>
  <c r="E747" i="2"/>
  <c r="D747" i="2"/>
  <c r="C747" i="2"/>
  <c r="A747" i="2"/>
  <c r="M746" i="2"/>
  <c r="L746" i="2"/>
  <c r="K746" i="2"/>
  <c r="J746" i="2"/>
  <c r="H746" i="2"/>
  <c r="G746" i="2"/>
  <c r="F746" i="2"/>
  <c r="E746" i="2"/>
  <c r="D746" i="2"/>
  <c r="C746" i="2"/>
  <c r="A746" i="2"/>
  <c r="M745" i="2"/>
  <c r="L745" i="2"/>
  <c r="K745" i="2"/>
  <c r="J745" i="2"/>
  <c r="H745" i="2"/>
  <c r="G745" i="2"/>
  <c r="F745" i="2"/>
  <c r="E745" i="2"/>
  <c r="D745" i="2"/>
  <c r="C745" i="2"/>
  <c r="A745" i="2"/>
  <c r="M744" i="2"/>
  <c r="L744" i="2"/>
  <c r="K744" i="2"/>
  <c r="J744" i="2"/>
  <c r="H744" i="2"/>
  <c r="G744" i="2"/>
  <c r="F744" i="2"/>
  <c r="E744" i="2"/>
  <c r="D744" i="2"/>
  <c r="C744" i="2"/>
  <c r="A744" i="2"/>
  <c r="M743" i="2"/>
  <c r="L743" i="2"/>
  <c r="K743" i="2"/>
  <c r="J743" i="2"/>
  <c r="H743" i="2"/>
  <c r="G743" i="2"/>
  <c r="F743" i="2"/>
  <c r="E743" i="2"/>
  <c r="D743" i="2"/>
  <c r="C743" i="2"/>
  <c r="A743" i="2"/>
  <c r="M742" i="2"/>
  <c r="L742" i="2"/>
  <c r="K742" i="2"/>
  <c r="J742" i="2"/>
  <c r="H742" i="2"/>
  <c r="G742" i="2"/>
  <c r="F742" i="2"/>
  <c r="E742" i="2"/>
  <c r="D742" i="2"/>
  <c r="C742" i="2"/>
  <c r="A742" i="2"/>
  <c r="M741" i="2"/>
  <c r="L741" i="2"/>
  <c r="K741" i="2"/>
  <c r="J741" i="2"/>
  <c r="H741" i="2"/>
  <c r="G741" i="2"/>
  <c r="F741" i="2"/>
  <c r="E741" i="2"/>
  <c r="D741" i="2"/>
  <c r="C741" i="2"/>
  <c r="A741" i="2"/>
  <c r="M740" i="2"/>
  <c r="L740" i="2"/>
  <c r="K740" i="2"/>
  <c r="J740" i="2"/>
  <c r="H740" i="2"/>
  <c r="G740" i="2"/>
  <c r="F740" i="2"/>
  <c r="E740" i="2"/>
  <c r="D740" i="2"/>
  <c r="C740" i="2"/>
  <c r="A740" i="2"/>
  <c r="M739" i="2"/>
  <c r="L739" i="2"/>
  <c r="K739" i="2"/>
  <c r="J739" i="2"/>
  <c r="H739" i="2"/>
  <c r="G739" i="2"/>
  <c r="F739" i="2"/>
  <c r="E739" i="2"/>
  <c r="D739" i="2"/>
  <c r="C739" i="2"/>
  <c r="A739" i="2"/>
  <c r="M738" i="2"/>
  <c r="L738" i="2"/>
  <c r="K738" i="2"/>
  <c r="J738" i="2"/>
  <c r="H738" i="2"/>
  <c r="G738" i="2"/>
  <c r="F738" i="2"/>
  <c r="E738" i="2"/>
  <c r="D738" i="2"/>
  <c r="C738" i="2"/>
  <c r="A738" i="2"/>
  <c r="M737" i="2"/>
  <c r="L737" i="2"/>
  <c r="K737" i="2"/>
  <c r="J737" i="2"/>
  <c r="H737" i="2"/>
  <c r="G737" i="2"/>
  <c r="F737" i="2"/>
  <c r="E737" i="2"/>
  <c r="D737" i="2"/>
  <c r="C737" i="2"/>
  <c r="A737" i="2"/>
  <c r="M736" i="2"/>
  <c r="L736" i="2"/>
  <c r="K736" i="2"/>
  <c r="J736" i="2"/>
  <c r="H736" i="2"/>
  <c r="G736" i="2"/>
  <c r="F736" i="2"/>
  <c r="E736" i="2"/>
  <c r="D736" i="2"/>
  <c r="C736" i="2"/>
  <c r="A736" i="2"/>
  <c r="M735" i="2"/>
  <c r="L735" i="2"/>
  <c r="K735" i="2"/>
  <c r="J735" i="2"/>
  <c r="H735" i="2"/>
  <c r="G735" i="2"/>
  <c r="F735" i="2"/>
  <c r="E735" i="2"/>
  <c r="D735" i="2"/>
  <c r="C735" i="2"/>
  <c r="A735" i="2"/>
  <c r="M734" i="2"/>
  <c r="L734" i="2"/>
  <c r="K734" i="2"/>
  <c r="J734" i="2"/>
  <c r="H734" i="2"/>
  <c r="G734" i="2"/>
  <c r="F734" i="2"/>
  <c r="E734" i="2"/>
  <c r="D734" i="2"/>
  <c r="C734" i="2"/>
  <c r="A734" i="2"/>
  <c r="M733" i="2"/>
  <c r="L733" i="2"/>
  <c r="K733" i="2"/>
  <c r="J733" i="2"/>
  <c r="H733" i="2"/>
  <c r="G733" i="2"/>
  <c r="F733" i="2"/>
  <c r="E733" i="2"/>
  <c r="D733" i="2"/>
  <c r="C733" i="2"/>
  <c r="A733" i="2"/>
  <c r="M732" i="2"/>
  <c r="L732" i="2"/>
  <c r="K732" i="2"/>
  <c r="J732" i="2"/>
  <c r="H732" i="2"/>
  <c r="G732" i="2"/>
  <c r="F732" i="2"/>
  <c r="E732" i="2"/>
  <c r="D732" i="2"/>
  <c r="C732" i="2"/>
  <c r="A732" i="2"/>
  <c r="M731" i="2"/>
  <c r="L731" i="2"/>
  <c r="K731" i="2"/>
  <c r="J731" i="2"/>
  <c r="H731" i="2"/>
  <c r="G731" i="2"/>
  <c r="F731" i="2"/>
  <c r="E731" i="2"/>
  <c r="D731" i="2"/>
  <c r="C731" i="2"/>
  <c r="A731" i="2"/>
  <c r="M730" i="2"/>
  <c r="L730" i="2"/>
  <c r="K730" i="2"/>
  <c r="J730" i="2"/>
  <c r="H730" i="2"/>
  <c r="G730" i="2"/>
  <c r="F730" i="2"/>
  <c r="E730" i="2"/>
  <c r="D730" i="2"/>
  <c r="C730" i="2"/>
  <c r="A730" i="2"/>
  <c r="M729" i="2"/>
  <c r="L729" i="2"/>
  <c r="K729" i="2"/>
  <c r="J729" i="2"/>
  <c r="H729" i="2"/>
  <c r="G729" i="2"/>
  <c r="F729" i="2"/>
  <c r="E729" i="2"/>
  <c r="D729" i="2"/>
  <c r="C729" i="2"/>
  <c r="A729" i="2"/>
  <c r="M728" i="2"/>
  <c r="L728" i="2"/>
  <c r="K728" i="2"/>
  <c r="J728" i="2"/>
  <c r="H728" i="2"/>
  <c r="G728" i="2"/>
  <c r="F728" i="2"/>
  <c r="E728" i="2"/>
  <c r="D728" i="2"/>
  <c r="C728" i="2"/>
  <c r="A728" i="2"/>
  <c r="M727" i="2"/>
  <c r="L727" i="2"/>
  <c r="K727" i="2"/>
  <c r="J727" i="2"/>
  <c r="H727" i="2"/>
  <c r="G727" i="2"/>
  <c r="F727" i="2"/>
  <c r="E727" i="2"/>
  <c r="D727" i="2"/>
  <c r="C727" i="2"/>
  <c r="A727" i="2"/>
  <c r="M726" i="2"/>
  <c r="L726" i="2"/>
  <c r="K726" i="2"/>
  <c r="J726" i="2"/>
  <c r="H726" i="2"/>
  <c r="G726" i="2"/>
  <c r="F726" i="2"/>
  <c r="E726" i="2"/>
  <c r="D726" i="2"/>
  <c r="C726" i="2"/>
  <c r="A726" i="2"/>
  <c r="M725" i="2"/>
  <c r="L725" i="2"/>
  <c r="K725" i="2"/>
  <c r="J725" i="2"/>
  <c r="H725" i="2"/>
  <c r="G725" i="2"/>
  <c r="F725" i="2"/>
  <c r="E725" i="2"/>
  <c r="D725" i="2"/>
  <c r="C725" i="2"/>
  <c r="A725" i="2"/>
  <c r="M724" i="2"/>
  <c r="L724" i="2"/>
  <c r="K724" i="2"/>
  <c r="J724" i="2"/>
  <c r="H724" i="2"/>
  <c r="G724" i="2"/>
  <c r="F724" i="2"/>
  <c r="E724" i="2"/>
  <c r="D724" i="2"/>
  <c r="C724" i="2"/>
  <c r="A724" i="2"/>
  <c r="M723" i="2"/>
  <c r="L723" i="2"/>
  <c r="K723" i="2"/>
  <c r="J723" i="2"/>
  <c r="H723" i="2"/>
  <c r="G723" i="2"/>
  <c r="F723" i="2"/>
  <c r="E723" i="2"/>
  <c r="D723" i="2"/>
  <c r="C723" i="2"/>
  <c r="A723" i="2"/>
  <c r="M722" i="2"/>
  <c r="L722" i="2"/>
  <c r="K722" i="2"/>
  <c r="J722" i="2"/>
  <c r="H722" i="2"/>
  <c r="G722" i="2"/>
  <c r="F722" i="2"/>
  <c r="E722" i="2"/>
  <c r="D722" i="2"/>
  <c r="C722" i="2"/>
  <c r="A722" i="2"/>
  <c r="M721" i="2"/>
  <c r="L721" i="2"/>
  <c r="K721" i="2"/>
  <c r="J721" i="2"/>
  <c r="H721" i="2"/>
  <c r="G721" i="2"/>
  <c r="F721" i="2"/>
  <c r="E721" i="2"/>
  <c r="D721" i="2"/>
  <c r="C721" i="2"/>
  <c r="A721" i="2"/>
  <c r="M720" i="2"/>
  <c r="L720" i="2"/>
  <c r="K720" i="2"/>
  <c r="J720" i="2"/>
  <c r="H720" i="2"/>
  <c r="G720" i="2"/>
  <c r="F720" i="2"/>
  <c r="E720" i="2"/>
  <c r="D720" i="2"/>
  <c r="C720" i="2"/>
  <c r="A720" i="2"/>
  <c r="M719" i="2"/>
  <c r="L719" i="2"/>
  <c r="K719" i="2"/>
  <c r="J719" i="2"/>
  <c r="H719" i="2"/>
  <c r="G719" i="2"/>
  <c r="F719" i="2"/>
  <c r="E719" i="2"/>
  <c r="D719" i="2"/>
  <c r="C719" i="2"/>
  <c r="A719" i="2"/>
  <c r="M718" i="2"/>
  <c r="L718" i="2"/>
  <c r="K718" i="2"/>
  <c r="J718" i="2"/>
  <c r="H718" i="2"/>
  <c r="G718" i="2"/>
  <c r="F718" i="2"/>
  <c r="E718" i="2"/>
  <c r="D718" i="2"/>
  <c r="C718" i="2"/>
  <c r="A718" i="2"/>
  <c r="M717" i="2"/>
  <c r="L717" i="2"/>
  <c r="K717" i="2"/>
  <c r="J717" i="2"/>
  <c r="H717" i="2"/>
  <c r="G717" i="2"/>
  <c r="F717" i="2"/>
  <c r="E717" i="2"/>
  <c r="D717" i="2"/>
  <c r="C717" i="2"/>
  <c r="A717" i="2"/>
  <c r="M716" i="2"/>
  <c r="L716" i="2"/>
  <c r="K716" i="2"/>
  <c r="J716" i="2"/>
  <c r="H716" i="2"/>
  <c r="G716" i="2"/>
  <c r="F716" i="2"/>
  <c r="E716" i="2"/>
  <c r="D716" i="2"/>
  <c r="C716" i="2"/>
  <c r="A716" i="2"/>
  <c r="M715" i="2"/>
  <c r="L715" i="2"/>
  <c r="K715" i="2"/>
  <c r="J715" i="2"/>
  <c r="H715" i="2"/>
  <c r="G715" i="2"/>
  <c r="F715" i="2"/>
  <c r="E715" i="2"/>
  <c r="D715" i="2"/>
  <c r="C715" i="2"/>
  <c r="A715" i="2"/>
  <c r="M714" i="2"/>
  <c r="L714" i="2"/>
  <c r="K714" i="2"/>
  <c r="J714" i="2"/>
  <c r="H714" i="2"/>
  <c r="G714" i="2"/>
  <c r="F714" i="2"/>
  <c r="E714" i="2"/>
  <c r="D714" i="2"/>
  <c r="C714" i="2"/>
  <c r="A714" i="2"/>
  <c r="M713" i="2"/>
  <c r="L713" i="2"/>
  <c r="K713" i="2"/>
  <c r="J713" i="2"/>
  <c r="H713" i="2"/>
  <c r="G713" i="2"/>
  <c r="F713" i="2"/>
  <c r="E713" i="2"/>
  <c r="D713" i="2"/>
  <c r="C713" i="2"/>
  <c r="A713" i="2"/>
  <c r="M712" i="2"/>
  <c r="L712" i="2"/>
  <c r="K712" i="2"/>
  <c r="J712" i="2"/>
  <c r="H712" i="2"/>
  <c r="G712" i="2"/>
  <c r="F712" i="2"/>
  <c r="E712" i="2"/>
  <c r="D712" i="2"/>
  <c r="C712" i="2"/>
  <c r="A712" i="2"/>
  <c r="M711" i="2"/>
  <c r="L711" i="2"/>
  <c r="K711" i="2"/>
  <c r="J711" i="2"/>
  <c r="H711" i="2"/>
  <c r="G711" i="2"/>
  <c r="F711" i="2"/>
  <c r="E711" i="2"/>
  <c r="D711" i="2"/>
  <c r="C711" i="2"/>
  <c r="A711" i="2"/>
  <c r="M710" i="2"/>
  <c r="L710" i="2"/>
  <c r="K710" i="2"/>
  <c r="J710" i="2"/>
  <c r="H710" i="2"/>
  <c r="G710" i="2"/>
  <c r="F710" i="2"/>
  <c r="E710" i="2"/>
  <c r="D710" i="2"/>
  <c r="C710" i="2"/>
  <c r="A710" i="2"/>
  <c r="M709" i="2"/>
  <c r="L709" i="2"/>
  <c r="K709" i="2"/>
  <c r="J709" i="2"/>
  <c r="H709" i="2"/>
  <c r="G709" i="2"/>
  <c r="F709" i="2"/>
  <c r="E709" i="2"/>
  <c r="D709" i="2"/>
  <c r="C709" i="2"/>
  <c r="A709" i="2"/>
  <c r="M708" i="2"/>
  <c r="L708" i="2"/>
  <c r="K708" i="2"/>
  <c r="J708" i="2"/>
  <c r="H708" i="2"/>
  <c r="G708" i="2"/>
  <c r="F708" i="2"/>
  <c r="E708" i="2"/>
  <c r="D708" i="2"/>
  <c r="C708" i="2"/>
  <c r="A708" i="2"/>
  <c r="M707" i="2"/>
  <c r="L707" i="2"/>
  <c r="K707" i="2"/>
  <c r="J707" i="2"/>
  <c r="H707" i="2"/>
  <c r="G707" i="2"/>
  <c r="F707" i="2"/>
  <c r="E707" i="2"/>
  <c r="D707" i="2"/>
  <c r="C707" i="2"/>
  <c r="A707" i="2"/>
  <c r="M706" i="2"/>
  <c r="L706" i="2"/>
  <c r="K706" i="2"/>
  <c r="J706" i="2"/>
  <c r="H706" i="2"/>
  <c r="G706" i="2"/>
  <c r="F706" i="2"/>
  <c r="E706" i="2"/>
  <c r="D706" i="2"/>
  <c r="C706" i="2"/>
  <c r="A706" i="2"/>
  <c r="M705" i="2"/>
  <c r="L705" i="2"/>
  <c r="K705" i="2"/>
  <c r="J705" i="2"/>
  <c r="H705" i="2"/>
  <c r="G705" i="2"/>
  <c r="F705" i="2"/>
  <c r="E705" i="2"/>
  <c r="D705" i="2"/>
  <c r="C705" i="2"/>
  <c r="A705" i="2"/>
  <c r="M704" i="2"/>
  <c r="L704" i="2"/>
  <c r="K704" i="2"/>
  <c r="J704" i="2"/>
  <c r="H704" i="2"/>
  <c r="G704" i="2"/>
  <c r="E704" i="2"/>
  <c r="D704" i="2"/>
  <c r="C704" i="2"/>
  <c r="A704" i="2"/>
  <c r="M703" i="2"/>
  <c r="L703" i="2"/>
  <c r="K703" i="2"/>
  <c r="J703" i="2"/>
  <c r="H703" i="2"/>
  <c r="G703" i="2"/>
  <c r="F703" i="2"/>
  <c r="E703" i="2"/>
  <c r="D703" i="2"/>
  <c r="C703" i="2"/>
  <c r="A703" i="2"/>
  <c r="M702" i="2"/>
  <c r="L702" i="2"/>
  <c r="K702" i="2"/>
  <c r="J702" i="2"/>
  <c r="H702" i="2"/>
  <c r="G702" i="2"/>
  <c r="F702" i="2"/>
  <c r="E702" i="2"/>
  <c r="D702" i="2"/>
  <c r="C702" i="2"/>
  <c r="A702" i="2"/>
  <c r="M701" i="2"/>
  <c r="L701" i="2"/>
  <c r="K701" i="2"/>
  <c r="J701" i="2"/>
  <c r="H701" i="2"/>
  <c r="G701" i="2"/>
  <c r="F701" i="2"/>
  <c r="E701" i="2"/>
  <c r="D701" i="2"/>
  <c r="C701" i="2"/>
  <c r="A701" i="2"/>
  <c r="M700" i="2"/>
  <c r="L700" i="2"/>
  <c r="K700" i="2"/>
  <c r="J700" i="2"/>
  <c r="H700" i="2"/>
  <c r="G700" i="2"/>
  <c r="F700" i="2"/>
  <c r="E700" i="2"/>
  <c r="D700" i="2"/>
  <c r="C700" i="2"/>
  <c r="A700" i="2"/>
  <c r="M699" i="2"/>
  <c r="L699" i="2"/>
  <c r="K699" i="2"/>
  <c r="J699" i="2"/>
  <c r="H699" i="2"/>
  <c r="G699" i="2"/>
  <c r="F699" i="2"/>
  <c r="E699" i="2"/>
  <c r="D699" i="2"/>
  <c r="C699" i="2"/>
  <c r="A699" i="2"/>
  <c r="M698" i="2"/>
  <c r="L698" i="2"/>
  <c r="K698" i="2"/>
  <c r="J698" i="2"/>
  <c r="H698" i="2"/>
  <c r="G698" i="2"/>
  <c r="F698" i="2"/>
  <c r="E698" i="2"/>
  <c r="D698" i="2"/>
  <c r="C698" i="2"/>
  <c r="A698" i="2"/>
  <c r="M697" i="2"/>
  <c r="L697" i="2"/>
  <c r="K697" i="2"/>
  <c r="J697" i="2"/>
  <c r="H697" i="2"/>
  <c r="G697" i="2"/>
  <c r="F697" i="2"/>
  <c r="E697" i="2"/>
  <c r="D697" i="2"/>
  <c r="C697" i="2"/>
  <c r="A697" i="2"/>
  <c r="M696" i="2"/>
  <c r="L696" i="2"/>
  <c r="K696" i="2"/>
  <c r="J696" i="2"/>
  <c r="H696" i="2"/>
  <c r="G696" i="2"/>
  <c r="F696" i="2"/>
  <c r="E696" i="2"/>
  <c r="D696" i="2"/>
  <c r="C696" i="2"/>
  <c r="A696" i="2"/>
  <c r="M695" i="2"/>
  <c r="L695" i="2"/>
  <c r="K695" i="2"/>
  <c r="J695" i="2"/>
  <c r="H695" i="2"/>
  <c r="G695" i="2"/>
  <c r="F695" i="2"/>
  <c r="E695" i="2"/>
  <c r="D695" i="2"/>
  <c r="C695" i="2"/>
  <c r="A695" i="2"/>
  <c r="M694" i="2"/>
  <c r="L694" i="2"/>
  <c r="K694" i="2"/>
  <c r="J694" i="2"/>
  <c r="H694" i="2"/>
  <c r="G694" i="2"/>
  <c r="F694" i="2"/>
  <c r="E694" i="2"/>
  <c r="D694" i="2"/>
  <c r="C694" i="2"/>
  <c r="A694" i="2"/>
  <c r="M693" i="2"/>
  <c r="L693" i="2"/>
  <c r="K693" i="2"/>
  <c r="J693" i="2"/>
  <c r="H693" i="2"/>
  <c r="G693" i="2"/>
  <c r="F693" i="2"/>
  <c r="E693" i="2"/>
  <c r="D693" i="2"/>
  <c r="C693" i="2"/>
  <c r="A693" i="2"/>
  <c r="M692" i="2"/>
  <c r="L692" i="2"/>
  <c r="K692" i="2"/>
  <c r="J692" i="2"/>
  <c r="H692" i="2"/>
  <c r="G692" i="2"/>
  <c r="F692" i="2"/>
  <c r="E692" i="2"/>
  <c r="D692" i="2"/>
  <c r="C692" i="2"/>
  <c r="A692" i="2"/>
  <c r="M691" i="2"/>
  <c r="L691" i="2"/>
  <c r="K691" i="2"/>
  <c r="J691" i="2"/>
  <c r="H691" i="2"/>
  <c r="G691" i="2"/>
  <c r="F691" i="2"/>
  <c r="E691" i="2"/>
  <c r="D691" i="2"/>
  <c r="C691" i="2"/>
  <c r="A691" i="2"/>
  <c r="M690" i="2"/>
  <c r="L690" i="2"/>
  <c r="K690" i="2"/>
  <c r="J690" i="2"/>
  <c r="H690" i="2"/>
  <c r="G690" i="2"/>
  <c r="F690" i="2"/>
  <c r="E690" i="2"/>
  <c r="D690" i="2"/>
  <c r="C690" i="2"/>
  <c r="A690" i="2"/>
  <c r="M689" i="2"/>
  <c r="L689" i="2"/>
  <c r="K689" i="2"/>
  <c r="J689" i="2"/>
  <c r="H689" i="2"/>
  <c r="G689" i="2"/>
  <c r="F689" i="2"/>
  <c r="E689" i="2"/>
  <c r="D689" i="2"/>
  <c r="C689" i="2"/>
  <c r="A689" i="2"/>
  <c r="M688" i="2"/>
  <c r="L688" i="2"/>
  <c r="K688" i="2"/>
  <c r="J688" i="2"/>
  <c r="H688" i="2"/>
  <c r="G688" i="2"/>
  <c r="F688" i="2"/>
  <c r="E688" i="2"/>
  <c r="D688" i="2"/>
  <c r="C688" i="2"/>
  <c r="A688" i="2"/>
  <c r="M687" i="2"/>
  <c r="L687" i="2"/>
  <c r="K687" i="2"/>
  <c r="J687" i="2"/>
  <c r="H687" i="2"/>
  <c r="G687" i="2"/>
  <c r="F687" i="2"/>
  <c r="E687" i="2"/>
  <c r="D687" i="2"/>
  <c r="C687" i="2"/>
  <c r="A687" i="2"/>
  <c r="M686" i="2"/>
  <c r="L686" i="2"/>
  <c r="K686" i="2"/>
  <c r="J686" i="2"/>
  <c r="H686" i="2"/>
  <c r="G686" i="2"/>
  <c r="F686" i="2"/>
  <c r="E686" i="2"/>
  <c r="D686" i="2"/>
  <c r="C686" i="2"/>
  <c r="A686" i="2"/>
  <c r="M685" i="2"/>
  <c r="L685" i="2"/>
  <c r="K685" i="2"/>
  <c r="J685" i="2"/>
  <c r="H685" i="2"/>
  <c r="G685" i="2"/>
  <c r="F685" i="2"/>
  <c r="E685" i="2"/>
  <c r="D685" i="2"/>
  <c r="C685" i="2"/>
  <c r="A685" i="2"/>
  <c r="M684" i="2"/>
  <c r="L684" i="2"/>
  <c r="K684" i="2"/>
  <c r="J684" i="2"/>
  <c r="H684" i="2"/>
  <c r="G684" i="2"/>
  <c r="F684" i="2"/>
  <c r="E684" i="2"/>
  <c r="D684" i="2"/>
  <c r="C684" i="2"/>
  <c r="A684" i="2"/>
  <c r="M683" i="2"/>
  <c r="L683" i="2"/>
  <c r="K683" i="2"/>
  <c r="J683" i="2"/>
  <c r="H683" i="2"/>
  <c r="G683" i="2"/>
  <c r="F683" i="2"/>
  <c r="E683" i="2"/>
  <c r="D683" i="2"/>
  <c r="C683" i="2"/>
  <c r="A683" i="2"/>
  <c r="M682" i="2"/>
  <c r="L682" i="2"/>
  <c r="K682" i="2"/>
  <c r="J682" i="2"/>
  <c r="H682" i="2"/>
  <c r="G682" i="2"/>
  <c r="F682" i="2"/>
  <c r="E682" i="2"/>
  <c r="D682" i="2"/>
  <c r="C682" i="2"/>
  <c r="A682" i="2"/>
  <c r="M681" i="2"/>
  <c r="L681" i="2"/>
  <c r="K681" i="2"/>
  <c r="J681" i="2"/>
  <c r="H681" i="2"/>
  <c r="G681" i="2"/>
  <c r="F681" i="2"/>
  <c r="E681" i="2"/>
  <c r="D681" i="2"/>
  <c r="C681" i="2"/>
  <c r="A681" i="2"/>
  <c r="M680" i="2"/>
  <c r="L680" i="2"/>
  <c r="K680" i="2"/>
  <c r="J680" i="2"/>
  <c r="H680" i="2"/>
  <c r="G680" i="2"/>
  <c r="F680" i="2"/>
  <c r="E680" i="2"/>
  <c r="D680" i="2"/>
  <c r="C680" i="2"/>
  <c r="A680" i="2"/>
  <c r="M679" i="2"/>
  <c r="L679" i="2"/>
  <c r="K679" i="2"/>
  <c r="J679" i="2"/>
  <c r="H679" i="2"/>
  <c r="G679" i="2"/>
  <c r="F679" i="2"/>
  <c r="E679" i="2"/>
  <c r="D679" i="2"/>
  <c r="C679" i="2"/>
  <c r="A679" i="2"/>
  <c r="M678" i="2"/>
  <c r="L678" i="2"/>
  <c r="K678" i="2"/>
  <c r="J678" i="2"/>
  <c r="H678" i="2"/>
  <c r="G678" i="2"/>
  <c r="F678" i="2"/>
  <c r="E678" i="2"/>
  <c r="D678" i="2"/>
  <c r="C678" i="2"/>
  <c r="A678" i="2"/>
  <c r="M677" i="2"/>
  <c r="L677" i="2"/>
  <c r="K677" i="2"/>
  <c r="J677" i="2"/>
  <c r="H677" i="2"/>
  <c r="G677" i="2"/>
  <c r="F677" i="2"/>
  <c r="E677" i="2"/>
  <c r="D677" i="2"/>
  <c r="C677" i="2"/>
  <c r="A677" i="2"/>
  <c r="M676" i="2"/>
  <c r="L676" i="2"/>
  <c r="K676" i="2"/>
  <c r="J676" i="2"/>
  <c r="H676" i="2"/>
  <c r="G676" i="2"/>
  <c r="F676" i="2"/>
  <c r="E676" i="2"/>
  <c r="D676" i="2"/>
  <c r="C676" i="2"/>
  <c r="A676" i="2"/>
  <c r="M675" i="2"/>
  <c r="L675" i="2"/>
  <c r="K675" i="2"/>
  <c r="J675" i="2"/>
  <c r="H675" i="2"/>
  <c r="G675" i="2"/>
  <c r="F675" i="2"/>
  <c r="E675" i="2"/>
  <c r="D675" i="2"/>
  <c r="C675" i="2"/>
  <c r="A675" i="2"/>
  <c r="M674" i="2"/>
  <c r="L674" i="2"/>
  <c r="K674" i="2"/>
  <c r="J674" i="2"/>
  <c r="H674" i="2"/>
  <c r="G674" i="2"/>
  <c r="F674" i="2"/>
  <c r="E674" i="2"/>
  <c r="D674" i="2"/>
  <c r="C674" i="2"/>
  <c r="A674" i="2"/>
  <c r="M673" i="2"/>
  <c r="L673" i="2"/>
  <c r="K673" i="2"/>
  <c r="J673" i="2"/>
  <c r="H673" i="2"/>
  <c r="G673" i="2"/>
  <c r="F673" i="2"/>
  <c r="E673" i="2"/>
  <c r="D673" i="2"/>
  <c r="C673" i="2"/>
  <c r="A673" i="2"/>
  <c r="M672" i="2"/>
  <c r="L672" i="2"/>
  <c r="K672" i="2"/>
  <c r="J672" i="2"/>
  <c r="H672" i="2"/>
  <c r="G672" i="2"/>
  <c r="F672" i="2"/>
  <c r="E672" i="2"/>
  <c r="D672" i="2"/>
  <c r="C672" i="2"/>
  <c r="A672" i="2"/>
  <c r="M671" i="2"/>
  <c r="L671" i="2"/>
  <c r="K671" i="2"/>
  <c r="J671" i="2"/>
  <c r="H671" i="2"/>
  <c r="G671" i="2"/>
  <c r="F671" i="2"/>
  <c r="E671" i="2"/>
  <c r="D671" i="2"/>
  <c r="C671" i="2"/>
  <c r="A671" i="2"/>
  <c r="M670" i="2"/>
  <c r="L670" i="2"/>
  <c r="K670" i="2"/>
  <c r="J670" i="2"/>
  <c r="H670" i="2"/>
  <c r="G670" i="2"/>
  <c r="F670" i="2"/>
  <c r="E670" i="2"/>
  <c r="D670" i="2"/>
  <c r="C670" i="2"/>
  <c r="A670" i="2"/>
  <c r="M669" i="2"/>
  <c r="L669" i="2"/>
  <c r="K669" i="2"/>
  <c r="J669" i="2"/>
  <c r="H669" i="2"/>
  <c r="G669" i="2"/>
  <c r="F669" i="2"/>
  <c r="E669" i="2"/>
  <c r="D669" i="2"/>
  <c r="C669" i="2"/>
  <c r="A669" i="2"/>
  <c r="M668" i="2"/>
  <c r="L668" i="2"/>
  <c r="K668" i="2"/>
  <c r="J668" i="2"/>
  <c r="H668" i="2"/>
  <c r="G668" i="2"/>
  <c r="F668" i="2"/>
  <c r="E668" i="2"/>
  <c r="D668" i="2"/>
  <c r="C668" i="2"/>
  <c r="A668" i="2"/>
  <c r="M667" i="2"/>
  <c r="L667" i="2"/>
  <c r="K667" i="2"/>
  <c r="J667" i="2"/>
  <c r="H667" i="2"/>
  <c r="G667" i="2"/>
  <c r="F667" i="2"/>
  <c r="E667" i="2"/>
  <c r="D667" i="2"/>
  <c r="C667" i="2"/>
  <c r="A667" i="2"/>
  <c r="M666" i="2"/>
  <c r="L666" i="2"/>
  <c r="K666" i="2"/>
  <c r="J666" i="2"/>
  <c r="H666" i="2"/>
  <c r="G666" i="2"/>
  <c r="E666" i="2"/>
  <c r="D666" i="2"/>
  <c r="C666" i="2"/>
  <c r="A666" i="2"/>
  <c r="M665" i="2"/>
  <c r="L665" i="2"/>
  <c r="K665" i="2"/>
  <c r="J665" i="2"/>
  <c r="H665" i="2"/>
  <c r="G665" i="2"/>
  <c r="F665" i="2"/>
  <c r="E665" i="2"/>
  <c r="D665" i="2"/>
  <c r="C665" i="2"/>
  <c r="A665" i="2"/>
  <c r="M664" i="2"/>
  <c r="L664" i="2"/>
  <c r="K664" i="2"/>
  <c r="J664" i="2"/>
  <c r="H664" i="2"/>
  <c r="G664" i="2"/>
  <c r="F664" i="2"/>
  <c r="E664" i="2"/>
  <c r="D664" i="2"/>
  <c r="C664" i="2"/>
  <c r="A664" i="2"/>
  <c r="M663" i="2"/>
  <c r="L663" i="2"/>
  <c r="K663" i="2"/>
  <c r="J663" i="2"/>
  <c r="H663" i="2"/>
  <c r="G663" i="2"/>
  <c r="F663" i="2"/>
  <c r="E663" i="2"/>
  <c r="D663" i="2"/>
  <c r="C663" i="2"/>
  <c r="A663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M661" i="2"/>
  <c r="L661" i="2"/>
  <c r="K661" i="2"/>
  <c r="J661" i="2"/>
  <c r="I661" i="2"/>
  <c r="H661" i="2"/>
  <c r="G661" i="2"/>
  <c r="F661" i="2"/>
  <c r="E661" i="2"/>
  <c r="D661" i="2"/>
  <c r="C661" i="2"/>
  <c r="A661" i="2"/>
  <c r="M660" i="2"/>
  <c r="L660" i="2"/>
  <c r="K660" i="2"/>
  <c r="J660" i="2"/>
  <c r="I660" i="2"/>
  <c r="H660" i="2"/>
  <c r="G660" i="2"/>
  <c r="F660" i="2"/>
  <c r="E660" i="2"/>
  <c r="D660" i="2"/>
  <c r="C660" i="2"/>
  <c r="A660" i="2"/>
  <c r="M659" i="2"/>
  <c r="L659" i="2"/>
  <c r="K659" i="2"/>
  <c r="J659" i="2"/>
  <c r="I659" i="2"/>
  <c r="H659" i="2"/>
  <c r="G659" i="2"/>
  <c r="F659" i="2"/>
  <c r="E659" i="2"/>
  <c r="D659" i="2"/>
  <c r="C659" i="2"/>
  <c r="A659" i="2"/>
  <c r="M658" i="2"/>
  <c r="L658" i="2"/>
  <c r="K658" i="2"/>
  <c r="J658" i="2"/>
  <c r="I658" i="2"/>
  <c r="H658" i="2"/>
  <c r="G658" i="2"/>
  <c r="F658" i="2"/>
  <c r="E658" i="2"/>
  <c r="D658" i="2"/>
  <c r="C658" i="2"/>
  <c r="A658" i="2"/>
  <c r="M657" i="2"/>
  <c r="L657" i="2"/>
  <c r="K657" i="2"/>
  <c r="J657" i="2"/>
  <c r="I657" i="2"/>
  <c r="H657" i="2"/>
  <c r="G657" i="2"/>
  <c r="F657" i="2"/>
  <c r="E657" i="2"/>
  <c r="D657" i="2"/>
  <c r="C657" i="2"/>
  <c r="A657" i="2"/>
  <c r="M656" i="2"/>
  <c r="L656" i="2"/>
  <c r="K656" i="2"/>
  <c r="J656" i="2"/>
  <c r="I656" i="2"/>
  <c r="H656" i="2"/>
  <c r="G656" i="2"/>
  <c r="F656" i="2"/>
  <c r="E656" i="2"/>
  <c r="D656" i="2"/>
  <c r="C656" i="2"/>
  <c r="A656" i="2"/>
  <c r="M655" i="2"/>
  <c r="L655" i="2"/>
  <c r="K655" i="2"/>
  <c r="J655" i="2"/>
  <c r="I655" i="2"/>
  <c r="H655" i="2"/>
  <c r="G655" i="2"/>
  <c r="F655" i="2"/>
  <c r="E655" i="2"/>
  <c r="D655" i="2"/>
  <c r="C655" i="2"/>
  <c r="A655" i="2"/>
  <c r="M654" i="2"/>
  <c r="L654" i="2"/>
  <c r="K654" i="2"/>
  <c r="J654" i="2"/>
  <c r="I654" i="2"/>
  <c r="H654" i="2"/>
  <c r="G654" i="2"/>
  <c r="F654" i="2"/>
  <c r="E654" i="2"/>
  <c r="D654" i="2"/>
  <c r="C654" i="2"/>
  <c r="A654" i="2"/>
  <c r="M653" i="2"/>
  <c r="L653" i="2"/>
  <c r="K653" i="2"/>
  <c r="J653" i="2"/>
  <c r="I653" i="2"/>
  <c r="H653" i="2"/>
  <c r="G653" i="2"/>
  <c r="F653" i="2"/>
  <c r="E653" i="2"/>
  <c r="D653" i="2"/>
  <c r="C653" i="2"/>
  <c r="A653" i="2"/>
  <c r="M652" i="2"/>
  <c r="L652" i="2"/>
  <c r="K652" i="2"/>
  <c r="J652" i="2"/>
  <c r="I652" i="2"/>
  <c r="H652" i="2"/>
  <c r="G652" i="2"/>
  <c r="F652" i="2"/>
  <c r="E652" i="2"/>
  <c r="D652" i="2"/>
  <c r="C652" i="2"/>
  <c r="A652" i="2"/>
  <c r="M651" i="2"/>
  <c r="L651" i="2"/>
  <c r="K651" i="2"/>
  <c r="J651" i="2"/>
  <c r="I651" i="2"/>
  <c r="H651" i="2"/>
  <c r="G651" i="2"/>
  <c r="F651" i="2"/>
  <c r="E651" i="2"/>
  <c r="D651" i="2"/>
  <c r="C651" i="2"/>
  <c r="A651" i="2"/>
  <c r="M650" i="2"/>
  <c r="L650" i="2"/>
  <c r="K650" i="2"/>
  <c r="J650" i="2"/>
  <c r="I650" i="2"/>
  <c r="H650" i="2"/>
  <c r="G650" i="2"/>
  <c r="F650" i="2"/>
  <c r="E650" i="2"/>
  <c r="D650" i="2"/>
  <c r="C650" i="2"/>
  <c r="A650" i="2"/>
  <c r="M649" i="2"/>
  <c r="L649" i="2"/>
  <c r="K649" i="2"/>
  <c r="J649" i="2"/>
  <c r="I649" i="2"/>
  <c r="H649" i="2"/>
  <c r="G649" i="2"/>
  <c r="F649" i="2"/>
  <c r="E649" i="2"/>
  <c r="D649" i="2"/>
  <c r="C649" i="2"/>
  <c r="A649" i="2"/>
  <c r="M648" i="2"/>
  <c r="L648" i="2"/>
  <c r="K648" i="2"/>
  <c r="J648" i="2"/>
  <c r="I648" i="2"/>
  <c r="H648" i="2"/>
  <c r="G648" i="2"/>
  <c r="F648" i="2"/>
  <c r="E648" i="2"/>
  <c r="D648" i="2"/>
  <c r="C648" i="2"/>
  <c r="A648" i="2"/>
  <c r="M647" i="2"/>
  <c r="L647" i="2"/>
  <c r="K647" i="2"/>
  <c r="J647" i="2"/>
  <c r="I647" i="2"/>
  <c r="H647" i="2"/>
  <c r="G647" i="2"/>
  <c r="F647" i="2"/>
  <c r="E647" i="2"/>
  <c r="D647" i="2"/>
  <c r="C647" i="2"/>
  <c r="A647" i="2"/>
  <c r="M646" i="2"/>
  <c r="L646" i="2"/>
  <c r="K646" i="2"/>
  <c r="J646" i="2"/>
  <c r="I646" i="2"/>
  <c r="H646" i="2"/>
  <c r="G646" i="2"/>
  <c r="F646" i="2"/>
  <c r="E646" i="2"/>
  <c r="D646" i="2"/>
  <c r="C646" i="2"/>
  <c r="A646" i="2"/>
  <c r="M645" i="2"/>
  <c r="L645" i="2"/>
  <c r="K645" i="2"/>
  <c r="J645" i="2"/>
  <c r="I645" i="2"/>
  <c r="H645" i="2"/>
  <c r="G645" i="2"/>
  <c r="F645" i="2"/>
  <c r="E645" i="2"/>
  <c r="D645" i="2"/>
  <c r="C645" i="2"/>
  <c r="A645" i="2"/>
  <c r="M644" i="2"/>
  <c r="L644" i="2"/>
  <c r="K644" i="2"/>
  <c r="J644" i="2"/>
  <c r="I644" i="2"/>
  <c r="H644" i="2"/>
  <c r="G644" i="2"/>
  <c r="F644" i="2"/>
  <c r="E644" i="2"/>
  <c r="D644" i="2"/>
  <c r="C644" i="2"/>
  <c r="A644" i="2"/>
  <c r="M643" i="2"/>
  <c r="L643" i="2"/>
  <c r="K643" i="2"/>
  <c r="J643" i="2"/>
  <c r="I643" i="2"/>
  <c r="H643" i="2"/>
  <c r="G643" i="2"/>
  <c r="F643" i="2"/>
  <c r="E643" i="2"/>
  <c r="D643" i="2"/>
  <c r="C643" i="2"/>
  <c r="A643" i="2"/>
  <c r="M642" i="2"/>
  <c r="L642" i="2"/>
  <c r="K642" i="2"/>
  <c r="J642" i="2"/>
  <c r="I642" i="2"/>
  <c r="H642" i="2"/>
  <c r="G642" i="2"/>
  <c r="F642" i="2"/>
  <c r="E642" i="2"/>
  <c r="D642" i="2"/>
  <c r="C642" i="2"/>
  <c r="A642" i="2"/>
  <c r="M641" i="2"/>
  <c r="L641" i="2"/>
  <c r="K641" i="2"/>
  <c r="J641" i="2"/>
  <c r="I641" i="2"/>
  <c r="H641" i="2"/>
  <c r="G641" i="2"/>
  <c r="F641" i="2"/>
  <c r="E641" i="2"/>
  <c r="D641" i="2"/>
  <c r="C641" i="2"/>
  <c r="A641" i="2"/>
  <c r="M640" i="2"/>
  <c r="L640" i="2"/>
  <c r="K640" i="2"/>
  <c r="J640" i="2"/>
  <c r="I640" i="2"/>
  <c r="H640" i="2"/>
  <c r="G640" i="2"/>
  <c r="F640" i="2"/>
  <c r="E640" i="2"/>
  <c r="D640" i="2"/>
  <c r="C640" i="2"/>
  <c r="A640" i="2"/>
  <c r="M639" i="2"/>
  <c r="L639" i="2"/>
  <c r="K639" i="2"/>
  <c r="J639" i="2"/>
  <c r="I639" i="2"/>
  <c r="H639" i="2"/>
  <c r="G639" i="2"/>
  <c r="F639" i="2"/>
  <c r="E639" i="2"/>
  <c r="D639" i="2"/>
  <c r="C639" i="2"/>
  <c r="A639" i="2"/>
  <c r="M638" i="2"/>
  <c r="L638" i="2"/>
  <c r="K638" i="2"/>
  <c r="J638" i="2"/>
  <c r="I638" i="2"/>
  <c r="H638" i="2"/>
  <c r="G638" i="2"/>
  <c r="F638" i="2"/>
  <c r="E638" i="2"/>
  <c r="D638" i="2"/>
  <c r="C638" i="2"/>
  <c r="A638" i="2"/>
  <c r="M637" i="2"/>
  <c r="L637" i="2"/>
  <c r="K637" i="2"/>
  <c r="J637" i="2"/>
  <c r="I637" i="2"/>
  <c r="H637" i="2"/>
  <c r="G637" i="2"/>
  <c r="F637" i="2"/>
  <c r="E637" i="2"/>
  <c r="D637" i="2"/>
  <c r="C637" i="2"/>
  <c r="A637" i="2"/>
  <c r="M636" i="2"/>
  <c r="L636" i="2"/>
  <c r="K636" i="2"/>
  <c r="J636" i="2"/>
  <c r="I636" i="2"/>
  <c r="H636" i="2"/>
  <c r="G636" i="2"/>
  <c r="F636" i="2"/>
  <c r="E636" i="2"/>
  <c r="D636" i="2"/>
  <c r="C636" i="2"/>
  <c r="A636" i="2"/>
  <c r="M635" i="2"/>
  <c r="L635" i="2"/>
  <c r="K635" i="2"/>
  <c r="J635" i="2"/>
  <c r="I635" i="2"/>
  <c r="H635" i="2"/>
  <c r="G635" i="2"/>
  <c r="F635" i="2"/>
  <c r="E635" i="2"/>
  <c r="D635" i="2"/>
  <c r="C635" i="2"/>
  <c r="A635" i="2"/>
  <c r="M634" i="2"/>
  <c r="L634" i="2"/>
  <c r="K634" i="2"/>
  <c r="J634" i="2"/>
  <c r="I634" i="2"/>
  <c r="H634" i="2"/>
  <c r="G634" i="2"/>
  <c r="F634" i="2"/>
  <c r="E634" i="2"/>
  <c r="D634" i="2"/>
  <c r="C634" i="2"/>
  <c r="A634" i="2"/>
  <c r="M633" i="2"/>
  <c r="L633" i="2"/>
  <c r="K633" i="2"/>
  <c r="J633" i="2"/>
  <c r="I633" i="2"/>
  <c r="H633" i="2"/>
  <c r="G633" i="2"/>
  <c r="F633" i="2"/>
  <c r="E633" i="2"/>
  <c r="D633" i="2"/>
  <c r="C633" i="2"/>
  <c r="A633" i="2"/>
  <c r="M632" i="2"/>
  <c r="L632" i="2"/>
  <c r="K632" i="2"/>
  <c r="J632" i="2"/>
  <c r="I632" i="2"/>
  <c r="H632" i="2"/>
  <c r="G632" i="2"/>
  <c r="F632" i="2"/>
  <c r="E632" i="2"/>
  <c r="D632" i="2"/>
  <c r="C632" i="2"/>
  <c r="A632" i="2"/>
  <c r="M631" i="2"/>
  <c r="L631" i="2"/>
  <c r="K631" i="2"/>
  <c r="J631" i="2"/>
  <c r="I631" i="2"/>
  <c r="H631" i="2"/>
  <c r="G631" i="2"/>
  <c r="F631" i="2"/>
  <c r="E631" i="2"/>
  <c r="D631" i="2"/>
  <c r="C631" i="2"/>
  <c r="A631" i="2"/>
  <c r="M630" i="2"/>
  <c r="L630" i="2"/>
  <c r="K630" i="2"/>
  <c r="J630" i="2"/>
  <c r="I630" i="2"/>
  <c r="H630" i="2"/>
  <c r="G630" i="2"/>
  <c r="F630" i="2"/>
  <c r="E630" i="2"/>
  <c r="D630" i="2"/>
  <c r="C630" i="2"/>
  <c r="A630" i="2"/>
  <c r="M629" i="2"/>
  <c r="L629" i="2"/>
  <c r="K629" i="2"/>
  <c r="J629" i="2"/>
  <c r="I629" i="2"/>
  <c r="H629" i="2"/>
  <c r="G629" i="2"/>
  <c r="F629" i="2"/>
  <c r="E629" i="2"/>
  <c r="D629" i="2"/>
  <c r="C629" i="2"/>
  <c r="A629" i="2"/>
  <c r="M628" i="2"/>
  <c r="L628" i="2"/>
  <c r="K628" i="2"/>
  <c r="J628" i="2"/>
  <c r="I628" i="2"/>
  <c r="H628" i="2"/>
  <c r="G628" i="2"/>
  <c r="F628" i="2"/>
  <c r="E628" i="2"/>
  <c r="D628" i="2"/>
  <c r="C628" i="2"/>
  <c r="A628" i="2"/>
  <c r="M627" i="2"/>
  <c r="L627" i="2"/>
  <c r="K627" i="2"/>
  <c r="J627" i="2"/>
  <c r="I627" i="2"/>
  <c r="H627" i="2"/>
  <c r="G627" i="2"/>
  <c r="F627" i="2"/>
  <c r="E627" i="2"/>
  <c r="D627" i="2"/>
  <c r="C627" i="2"/>
  <c r="A627" i="2"/>
  <c r="M626" i="2"/>
  <c r="L626" i="2"/>
  <c r="K626" i="2"/>
  <c r="J626" i="2"/>
  <c r="I626" i="2"/>
  <c r="H626" i="2"/>
  <c r="G626" i="2"/>
  <c r="F626" i="2"/>
  <c r="E626" i="2"/>
  <c r="D626" i="2"/>
  <c r="C626" i="2"/>
  <c r="A626" i="2"/>
  <c r="M625" i="2"/>
  <c r="L625" i="2"/>
  <c r="K625" i="2"/>
  <c r="J625" i="2"/>
  <c r="I625" i="2"/>
  <c r="H625" i="2"/>
  <c r="G625" i="2"/>
  <c r="F625" i="2"/>
  <c r="E625" i="2"/>
  <c r="D625" i="2"/>
  <c r="C625" i="2"/>
  <c r="A625" i="2"/>
  <c r="M624" i="2"/>
  <c r="L624" i="2"/>
  <c r="K624" i="2"/>
  <c r="J624" i="2"/>
  <c r="I624" i="2"/>
  <c r="H624" i="2"/>
  <c r="G624" i="2"/>
  <c r="F624" i="2"/>
  <c r="E624" i="2"/>
  <c r="D624" i="2"/>
  <c r="C624" i="2"/>
  <c r="A624" i="2"/>
  <c r="M623" i="2"/>
  <c r="L623" i="2"/>
  <c r="K623" i="2"/>
  <c r="J623" i="2"/>
  <c r="I623" i="2"/>
  <c r="H623" i="2"/>
  <c r="G623" i="2"/>
  <c r="F623" i="2"/>
  <c r="E623" i="2"/>
  <c r="D623" i="2"/>
  <c r="C623" i="2"/>
  <c r="A623" i="2"/>
  <c r="M622" i="2"/>
  <c r="L622" i="2"/>
  <c r="K622" i="2"/>
  <c r="J622" i="2"/>
  <c r="I622" i="2"/>
  <c r="H622" i="2"/>
  <c r="G622" i="2"/>
  <c r="F622" i="2"/>
  <c r="E622" i="2"/>
  <c r="D622" i="2"/>
  <c r="C622" i="2"/>
  <c r="A622" i="2"/>
  <c r="M621" i="2"/>
  <c r="L621" i="2"/>
  <c r="K621" i="2"/>
  <c r="J621" i="2"/>
  <c r="I621" i="2"/>
  <c r="H621" i="2"/>
  <c r="G621" i="2"/>
  <c r="F621" i="2"/>
  <c r="E621" i="2"/>
  <c r="D621" i="2"/>
  <c r="C621" i="2"/>
  <c r="A621" i="2"/>
  <c r="M620" i="2"/>
  <c r="L620" i="2"/>
  <c r="K620" i="2"/>
  <c r="J620" i="2"/>
  <c r="I620" i="2"/>
  <c r="H620" i="2"/>
  <c r="G620" i="2"/>
  <c r="F620" i="2"/>
  <c r="E620" i="2"/>
  <c r="D620" i="2"/>
  <c r="C620" i="2"/>
  <c r="A620" i="2"/>
  <c r="M619" i="2"/>
  <c r="L619" i="2"/>
  <c r="K619" i="2"/>
  <c r="J619" i="2"/>
  <c r="I619" i="2"/>
  <c r="H619" i="2"/>
  <c r="G619" i="2"/>
  <c r="F619" i="2"/>
  <c r="E619" i="2"/>
  <c r="D619" i="2"/>
  <c r="C619" i="2"/>
  <c r="A619" i="2"/>
  <c r="M618" i="2"/>
  <c r="L618" i="2"/>
  <c r="K618" i="2"/>
  <c r="J618" i="2"/>
  <c r="I618" i="2"/>
  <c r="H618" i="2"/>
  <c r="G618" i="2"/>
  <c r="F618" i="2"/>
  <c r="E618" i="2"/>
  <c r="D618" i="2"/>
  <c r="C618" i="2"/>
  <c r="A618" i="2"/>
  <c r="M617" i="2"/>
  <c r="L617" i="2"/>
  <c r="K617" i="2"/>
  <c r="J617" i="2"/>
  <c r="I617" i="2"/>
  <c r="H617" i="2"/>
  <c r="G617" i="2"/>
  <c r="F617" i="2"/>
  <c r="E617" i="2"/>
  <c r="D617" i="2"/>
  <c r="C617" i="2"/>
  <c r="A617" i="2"/>
  <c r="M616" i="2"/>
  <c r="L616" i="2"/>
  <c r="K616" i="2"/>
  <c r="J616" i="2"/>
  <c r="I616" i="2"/>
  <c r="H616" i="2"/>
  <c r="G616" i="2"/>
  <c r="F616" i="2"/>
  <c r="E616" i="2"/>
  <c r="D616" i="2"/>
  <c r="C616" i="2"/>
  <c r="A616" i="2"/>
  <c r="M615" i="2"/>
  <c r="L615" i="2"/>
  <c r="K615" i="2"/>
  <c r="J615" i="2"/>
  <c r="I615" i="2"/>
  <c r="H615" i="2"/>
  <c r="G615" i="2"/>
  <c r="F615" i="2"/>
  <c r="E615" i="2"/>
  <c r="D615" i="2"/>
  <c r="C615" i="2"/>
  <c r="A615" i="2"/>
  <c r="M614" i="2"/>
  <c r="L614" i="2"/>
  <c r="K614" i="2"/>
  <c r="J614" i="2"/>
  <c r="I614" i="2"/>
  <c r="H614" i="2"/>
  <c r="G614" i="2"/>
  <c r="F614" i="2"/>
  <c r="E614" i="2"/>
  <c r="D614" i="2"/>
  <c r="C614" i="2"/>
  <c r="A614" i="2"/>
  <c r="M613" i="2"/>
  <c r="L613" i="2"/>
  <c r="K613" i="2"/>
  <c r="J613" i="2"/>
  <c r="I613" i="2"/>
  <c r="H613" i="2"/>
  <c r="G613" i="2"/>
  <c r="F613" i="2"/>
  <c r="E613" i="2"/>
  <c r="D613" i="2"/>
  <c r="C613" i="2"/>
  <c r="A613" i="2"/>
  <c r="M612" i="2"/>
  <c r="L612" i="2"/>
  <c r="K612" i="2"/>
  <c r="J612" i="2"/>
  <c r="I612" i="2"/>
  <c r="H612" i="2"/>
  <c r="G612" i="2"/>
  <c r="F612" i="2"/>
  <c r="E612" i="2"/>
  <c r="D612" i="2"/>
  <c r="C612" i="2"/>
  <c r="A612" i="2"/>
  <c r="M611" i="2"/>
  <c r="L611" i="2"/>
  <c r="K611" i="2"/>
  <c r="J611" i="2"/>
  <c r="I611" i="2"/>
  <c r="H611" i="2"/>
  <c r="G611" i="2"/>
  <c r="F611" i="2"/>
  <c r="E611" i="2"/>
  <c r="D611" i="2"/>
  <c r="C611" i="2"/>
  <c r="A611" i="2"/>
  <c r="M610" i="2"/>
  <c r="L610" i="2"/>
  <c r="K610" i="2"/>
  <c r="J610" i="2"/>
  <c r="I610" i="2"/>
  <c r="H610" i="2"/>
  <c r="G610" i="2"/>
  <c r="F610" i="2"/>
  <c r="E610" i="2"/>
  <c r="D610" i="2"/>
  <c r="C610" i="2"/>
  <c r="A610" i="2"/>
  <c r="M609" i="2"/>
  <c r="L609" i="2"/>
  <c r="K609" i="2"/>
  <c r="J609" i="2"/>
  <c r="I609" i="2"/>
  <c r="H609" i="2"/>
  <c r="G609" i="2"/>
  <c r="F609" i="2"/>
  <c r="E609" i="2"/>
  <c r="D609" i="2"/>
  <c r="C609" i="2"/>
  <c r="A609" i="2"/>
  <c r="M608" i="2"/>
  <c r="L608" i="2"/>
  <c r="K608" i="2"/>
  <c r="J608" i="2"/>
  <c r="I608" i="2"/>
  <c r="H608" i="2"/>
  <c r="G608" i="2"/>
  <c r="F608" i="2"/>
  <c r="E608" i="2"/>
  <c r="D608" i="2"/>
  <c r="C608" i="2"/>
  <c r="A608" i="2"/>
  <c r="M607" i="2"/>
  <c r="L607" i="2"/>
  <c r="K607" i="2"/>
  <c r="J607" i="2"/>
  <c r="I607" i="2"/>
  <c r="H607" i="2"/>
  <c r="G607" i="2"/>
  <c r="F607" i="2"/>
  <c r="E607" i="2"/>
  <c r="D607" i="2"/>
  <c r="C607" i="2"/>
  <c r="A607" i="2"/>
  <c r="M606" i="2"/>
  <c r="L606" i="2"/>
  <c r="K606" i="2"/>
  <c r="J606" i="2"/>
  <c r="I606" i="2"/>
  <c r="H606" i="2"/>
  <c r="G606" i="2"/>
  <c r="F606" i="2"/>
  <c r="E606" i="2"/>
  <c r="D606" i="2"/>
  <c r="C606" i="2"/>
  <c r="A606" i="2"/>
  <c r="M605" i="2"/>
  <c r="L605" i="2"/>
  <c r="K605" i="2"/>
  <c r="J605" i="2"/>
  <c r="I605" i="2"/>
  <c r="H605" i="2"/>
  <c r="G605" i="2"/>
  <c r="F605" i="2"/>
  <c r="E605" i="2"/>
  <c r="D605" i="2"/>
  <c r="C605" i="2"/>
  <c r="A605" i="2"/>
  <c r="M604" i="2"/>
  <c r="L604" i="2"/>
  <c r="K604" i="2"/>
  <c r="J604" i="2"/>
  <c r="I604" i="2"/>
  <c r="H604" i="2"/>
  <c r="G604" i="2"/>
  <c r="F604" i="2"/>
  <c r="E604" i="2"/>
  <c r="D604" i="2"/>
  <c r="C604" i="2"/>
  <c r="A604" i="2"/>
  <c r="M603" i="2"/>
  <c r="L603" i="2"/>
  <c r="K603" i="2"/>
  <c r="J603" i="2"/>
  <c r="I603" i="2"/>
  <c r="H603" i="2"/>
  <c r="G603" i="2"/>
  <c r="F603" i="2"/>
  <c r="E603" i="2"/>
  <c r="D603" i="2"/>
  <c r="C603" i="2"/>
  <c r="A603" i="2"/>
  <c r="M602" i="2"/>
  <c r="L602" i="2"/>
  <c r="K602" i="2"/>
  <c r="J602" i="2"/>
  <c r="I602" i="2"/>
  <c r="H602" i="2"/>
  <c r="G602" i="2"/>
  <c r="F602" i="2"/>
  <c r="E602" i="2"/>
  <c r="D602" i="2"/>
  <c r="C602" i="2"/>
  <c r="A602" i="2"/>
  <c r="M601" i="2"/>
  <c r="L601" i="2"/>
  <c r="K601" i="2"/>
  <c r="J601" i="2"/>
  <c r="I601" i="2"/>
  <c r="H601" i="2"/>
  <c r="G601" i="2"/>
  <c r="F601" i="2"/>
  <c r="E601" i="2"/>
  <c r="D601" i="2"/>
  <c r="C601" i="2"/>
  <c r="A601" i="2"/>
  <c r="M600" i="2"/>
  <c r="L600" i="2"/>
  <c r="K600" i="2"/>
  <c r="J600" i="2"/>
  <c r="I600" i="2"/>
  <c r="H600" i="2"/>
  <c r="G600" i="2"/>
  <c r="F600" i="2"/>
  <c r="E600" i="2"/>
  <c r="D600" i="2"/>
  <c r="C600" i="2"/>
  <c r="A600" i="2"/>
  <c r="M599" i="2"/>
  <c r="L599" i="2"/>
  <c r="K599" i="2"/>
  <c r="J599" i="2"/>
  <c r="I599" i="2"/>
  <c r="H599" i="2"/>
  <c r="G599" i="2"/>
  <c r="F599" i="2"/>
  <c r="E599" i="2"/>
  <c r="D599" i="2"/>
  <c r="C599" i="2"/>
  <c r="A599" i="2"/>
  <c r="M598" i="2"/>
  <c r="L598" i="2"/>
  <c r="K598" i="2"/>
  <c r="J598" i="2"/>
  <c r="I598" i="2"/>
  <c r="H598" i="2"/>
  <c r="G598" i="2"/>
  <c r="F598" i="2"/>
  <c r="E598" i="2"/>
  <c r="D598" i="2"/>
  <c r="C598" i="2"/>
  <c r="A598" i="2"/>
  <c r="M597" i="2"/>
  <c r="L597" i="2"/>
  <c r="K597" i="2"/>
  <c r="J597" i="2"/>
  <c r="I597" i="2"/>
  <c r="H597" i="2"/>
  <c r="G597" i="2"/>
  <c r="F597" i="2"/>
  <c r="E597" i="2"/>
  <c r="D597" i="2"/>
  <c r="C597" i="2"/>
  <c r="A597" i="2"/>
  <c r="M596" i="2"/>
  <c r="L596" i="2"/>
  <c r="K596" i="2"/>
  <c r="J596" i="2"/>
  <c r="I596" i="2"/>
  <c r="H596" i="2"/>
  <c r="G596" i="2"/>
  <c r="F596" i="2"/>
  <c r="E596" i="2"/>
  <c r="D596" i="2"/>
  <c r="C596" i="2"/>
  <c r="A596" i="2"/>
  <c r="M595" i="2"/>
  <c r="L595" i="2"/>
  <c r="K595" i="2"/>
  <c r="J595" i="2"/>
  <c r="I595" i="2"/>
  <c r="H595" i="2"/>
  <c r="G595" i="2"/>
  <c r="F595" i="2"/>
  <c r="E595" i="2"/>
  <c r="D595" i="2"/>
  <c r="C595" i="2"/>
  <c r="A595" i="2"/>
  <c r="M594" i="2"/>
  <c r="L594" i="2"/>
  <c r="K594" i="2"/>
  <c r="J594" i="2"/>
  <c r="I594" i="2"/>
  <c r="H594" i="2"/>
  <c r="G594" i="2"/>
  <c r="F594" i="2"/>
  <c r="E594" i="2"/>
  <c r="D594" i="2"/>
  <c r="C594" i="2"/>
  <c r="A594" i="2"/>
  <c r="M593" i="2"/>
  <c r="L593" i="2"/>
  <c r="K593" i="2"/>
  <c r="J593" i="2"/>
  <c r="I593" i="2"/>
  <c r="H593" i="2"/>
  <c r="G593" i="2"/>
  <c r="F593" i="2"/>
  <c r="E593" i="2"/>
  <c r="D593" i="2"/>
  <c r="C593" i="2"/>
  <c r="A593" i="2"/>
  <c r="M592" i="2"/>
  <c r="L592" i="2"/>
  <c r="K592" i="2"/>
  <c r="J592" i="2"/>
  <c r="I592" i="2"/>
  <c r="H592" i="2"/>
  <c r="G592" i="2"/>
  <c r="F592" i="2"/>
  <c r="E592" i="2"/>
  <c r="D592" i="2"/>
  <c r="C592" i="2"/>
  <c r="A592" i="2"/>
  <c r="M591" i="2"/>
  <c r="L591" i="2"/>
  <c r="K591" i="2"/>
  <c r="J591" i="2"/>
  <c r="I591" i="2"/>
  <c r="H591" i="2"/>
  <c r="G591" i="2"/>
  <c r="F591" i="2"/>
  <c r="E591" i="2"/>
  <c r="D591" i="2"/>
  <c r="C591" i="2"/>
  <c r="A591" i="2"/>
  <c r="M590" i="2"/>
  <c r="L590" i="2"/>
  <c r="K590" i="2"/>
  <c r="J590" i="2"/>
  <c r="I590" i="2"/>
  <c r="H590" i="2"/>
  <c r="G590" i="2"/>
  <c r="F590" i="2"/>
  <c r="E590" i="2"/>
  <c r="D590" i="2"/>
  <c r="C590" i="2"/>
  <c r="A590" i="2"/>
  <c r="M589" i="2"/>
  <c r="L589" i="2"/>
  <c r="K589" i="2"/>
  <c r="J589" i="2"/>
  <c r="I589" i="2"/>
  <c r="H589" i="2"/>
  <c r="G589" i="2"/>
  <c r="F589" i="2"/>
  <c r="E589" i="2"/>
  <c r="D589" i="2"/>
  <c r="C589" i="2"/>
  <c r="A589" i="2"/>
  <c r="M588" i="2"/>
  <c r="L588" i="2"/>
  <c r="K588" i="2"/>
  <c r="J588" i="2"/>
  <c r="I588" i="2"/>
  <c r="H588" i="2"/>
  <c r="G588" i="2"/>
  <c r="F588" i="2"/>
  <c r="E588" i="2"/>
  <c r="D588" i="2"/>
  <c r="C588" i="2"/>
  <c r="A588" i="2"/>
  <c r="M587" i="2"/>
  <c r="L587" i="2"/>
  <c r="K587" i="2"/>
  <c r="J587" i="2"/>
  <c r="I587" i="2"/>
  <c r="H587" i="2"/>
  <c r="G587" i="2"/>
  <c r="F587" i="2"/>
  <c r="E587" i="2"/>
  <c r="D587" i="2"/>
  <c r="C587" i="2"/>
  <c r="A587" i="2"/>
  <c r="M586" i="2"/>
  <c r="L586" i="2"/>
  <c r="K586" i="2"/>
  <c r="J586" i="2"/>
  <c r="I586" i="2"/>
  <c r="H586" i="2"/>
  <c r="G586" i="2"/>
  <c r="F586" i="2"/>
  <c r="E586" i="2"/>
  <c r="D586" i="2"/>
  <c r="C586" i="2"/>
  <c r="A586" i="2"/>
  <c r="M585" i="2"/>
  <c r="L585" i="2"/>
  <c r="K585" i="2"/>
  <c r="J585" i="2"/>
  <c r="I585" i="2"/>
  <c r="H585" i="2"/>
  <c r="G585" i="2"/>
  <c r="F585" i="2"/>
  <c r="E585" i="2"/>
  <c r="D585" i="2"/>
  <c r="C585" i="2"/>
  <c r="A585" i="2"/>
  <c r="M584" i="2"/>
  <c r="L584" i="2"/>
  <c r="K584" i="2"/>
  <c r="J584" i="2"/>
  <c r="I584" i="2"/>
  <c r="H584" i="2"/>
  <c r="G584" i="2"/>
  <c r="F584" i="2"/>
  <c r="E584" i="2"/>
  <c r="D584" i="2"/>
  <c r="C584" i="2"/>
  <c r="A584" i="2"/>
  <c r="M583" i="2"/>
  <c r="L583" i="2"/>
  <c r="K583" i="2"/>
  <c r="J583" i="2"/>
  <c r="I583" i="2"/>
  <c r="H583" i="2"/>
  <c r="G583" i="2"/>
  <c r="F583" i="2"/>
  <c r="E583" i="2"/>
  <c r="D583" i="2"/>
  <c r="C583" i="2"/>
  <c r="A583" i="2"/>
  <c r="M582" i="2"/>
  <c r="L582" i="2"/>
  <c r="K582" i="2"/>
  <c r="J582" i="2"/>
  <c r="I582" i="2"/>
  <c r="H582" i="2"/>
  <c r="G582" i="2"/>
  <c r="F582" i="2"/>
  <c r="E582" i="2"/>
  <c r="D582" i="2"/>
  <c r="C582" i="2"/>
  <c r="A582" i="2"/>
  <c r="M581" i="2"/>
  <c r="L581" i="2"/>
  <c r="K581" i="2"/>
  <c r="J581" i="2"/>
  <c r="I581" i="2"/>
  <c r="H581" i="2"/>
  <c r="G581" i="2"/>
  <c r="F581" i="2"/>
  <c r="E581" i="2"/>
  <c r="D581" i="2"/>
  <c r="C581" i="2"/>
  <c r="A581" i="2"/>
  <c r="M580" i="2"/>
  <c r="L580" i="2"/>
  <c r="K580" i="2"/>
  <c r="J580" i="2"/>
  <c r="I580" i="2"/>
  <c r="H580" i="2"/>
  <c r="G580" i="2"/>
  <c r="F580" i="2"/>
  <c r="E580" i="2"/>
  <c r="D580" i="2"/>
  <c r="C580" i="2"/>
  <c r="A580" i="2"/>
  <c r="M579" i="2"/>
  <c r="L579" i="2"/>
  <c r="K579" i="2"/>
  <c r="J579" i="2"/>
  <c r="I579" i="2"/>
  <c r="H579" i="2"/>
  <c r="G579" i="2"/>
  <c r="F579" i="2"/>
  <c r="E579" i="2"/>
  <c r="D579" i="2"/>
  <c r="C579" i="2"/>
  <c r="A579" i="2"/>
  <c r="M578" i="2"/>
  <c r="L578" i="2"/>
  <c r="K578" i="2"/>
  <c r="J578" i="2"/>
  <c r="I578" i="2"/>
  <c r="H578" i="2"/>
  <c r="G578" i="2"/>
  <c r="F578" i="2"/>
  <c r="E578" i="2"/>
  <c r="D578" i="2"/>
  <c r="C578" i="2"/>
  <c r="A578" i="2"/>
  <c r="M577" i="2"/>
  <c r="L577" i="2"/>
  <c r="K577" i="2"/>
  <c r="J577" i="2"/>
  <c r="I577" i="2"/>
  <c r="H577" i="2"/>
  <c r="G577" i="2"/>
  <c r="F577" i="2"/>
  <c r="E577" i="2"/>
  <c r="D577" i="2"/>
  <c r="C577" i="2"/>
  <c r="A577" i="2"/>
  <c r="M576" i="2"/>
  <c r="L576" i="2"/>
  <c r="K576" i="2"/>
  <c r="J576" i="2"/>
  <c r="I576" i="2"/>
  <c r="H576" i="2"/>
  <c r="G576" i="2"/>
  <c r="F576" i="2"/>
  <c r="E576" i="2"/>
  <c r="D576" i="2"/>
  <c r="C576" i="2"/>
  <c r="A576" i="2"/>
  <c r="M575" i="2"/>
  <c r="L575" i="2"/>
  <c r="K575" i="2"/>
  <c r="J575" i="2"/>
  <c r="I575" i="2"/>
  <c r="H575" i="2"/>
  <c r="G575" i="2"/>
  <c r="F575" i="2"/>
  <c r="E575" i="2"/>
  <c r="D575" i="2"/>
  <c r="C575" i="2"/>
  <c r="A575" i="2"/>
  <c r="M574" i="2"/>
  <c r="L574" i="2"/>
  <c r="K574" i="2"/>
  <c r="J574" i="2"/>
  <c r="I574" i="2"/>
  <c r="H574" i="2"/>
  <c r="G574" i="2"/>
  <c r="F574" i="2"/>
  <c r="E574" i="2"/>
  <c r="D574" i="2"/>
  <c r="C574" i="2"/>
  <c r="A574" i="2"/>
  <c r="M573" i="2"/>
  <c r="L573" i="2"/>
  <c r="K573" i="2"/>
  <c r="J573" i="2"/>
  <c r="I573" i="2"/>
  <c r="H573" i="2"/>
  <c r="G573" i="2"/>
  <c r="F573" i="2"/>
  <c r="E573" i="2"/>
  <c r="D573" i="2"/>
  <c r="C573" i="2"/>
  <c r="A573" i="2"/>
  <c r="M572" i="2"/>
  <c r="L572" i="2"/>
  <c r="K572" i="2"/>
  <c r="J572" i="2"/>
  <c r="I572" i="2"/>
  <c r="H572" i="2"/>
  <c r="G572" i="2"/>
  <c r="F572" i="2"/>
  <c r="E572" i="2"/>
  <c r="D572" i="2"/>
  <c r="C572" i="2"/>
  <c r="A572" i="2"/>
  <c r="M571" i="2"/>
  <c r="L571" i="2"/>
  <c r="K571" i="2"/>
  <c r="J571" i="2"/>
  <c r="I571" i="2"/>
  <c r="H571" i="2"/>
  <c r="G571" i="2"/>
  <c r="F571" i="2"/>
  <c r="E571" i="2"/>
  <c r="D571" i="2"/>
  <c r="C571" i="2"/>
  <c r="A571" i="2"/>
  <c r="M570" i="2"/>
  <c r="L570" i="2"/>
  <c r="K570" i="2"/>
  <c r="J570" i="2"/>
  <c r="I570" i="2"/>
  <c r="H570" i="2"/>
  <c r="G570" i="2"/>
  <c r="F570" i="2"/>
  <c r="E570" i="2"/>
  <c r="D570" i="2"/>
  <c r="C570" i="2"/>
  <c r="A570" i="2"/>
  <c r="M569" i="2"/>
  <c r="L569" i="2"/>
  <c r="K569" i="2"/>
  <c r="J569" i="2"/>
  <c r="I569" i="2"/>
  <c r="H569" i="2"/>
  <c r="G569" i="2"/>
  <c r="F569" i="2"/>
  <c r="E569" i="2"/>
  <c r="D569" i="2"/>
  <c r="C569" i="2"/>
  <c r="A569" i="2"/>
  <c r="M568" i="2"/>
  <c r="L568" i="2"/>
  <c r="K568" i="2"/>
  <c r="J568" i="2"/>
  <c r="I568" i="2"/>
  <c r="H568" i="2"/>
  <c r="G568" i="2"/>
  <c r="F568" i="2"/>
  <c r="E568" i="2"/>
  <c r="D568" i="2"/>
  <c r="C568" i="2"/>
  <c r="A568" i="2"/>
  <c r="M567" i="2"/>
  <c r="L567" i="2"/>
  <c r="K567" i="2"/>
  <c r="J567" i="2"/>
  <c r="I567" i="2"/>
  <c r="H567" i="2"/>
  <c r="G567" i="2"/>
  <c r="F567" i="2"/>
  <c r="E567" i="2"/>
  <c r="D567" i="2"/>
  <c r="C567" i="2"/>
  <c r="A567" i="2"/>
  <c r="M566" i="2"/>
  <c r="L566" i="2"/>
  <c r="K566" i="2"/>
  <c r="J566" i="2"/>
  <c r="I566" i="2"/>
  <c r="H566" i="2"/>
  <c r="G566" i="2"/>
  <c r="F566" i="2"/>
  <c r="E566" i="2"/>
  <c r="D566" i="2"/>
  <c r="C566" i="2"/>
  <c r="A566" i="2"/>
  <c r="M565" i="2"/>
  <c r="L565" i="2"/>
  <c r="K565" i="2"/>
  <c r="J565" i="2"/>
  <c r="I565" i="2"/>
  <c r="H565" i="2"/>
  <c r="G565" i="2"/>
  <c r="F565" i="2"/>
  <c r="E565" i="2"/>
  <c r="D565" i="2"/>
  <c r="C565" i="2"/>
  <c r="A565" i="2"/>
  <c r="M564" i="2"/>
  <c r="L564" i="2"/>
  <c r="K564" i="2"/>
  <c r="J564" i="2"/>
  <c r="I564" i="2"/>
  <c r="H564" i="2"/>
  <c r="G564" i="2"/>
  <c r="F564" i="2"/>
  <c r="E564" i="2"/>
  <c r="D564" i="2"/>
  <c r="C564" i="2"/>
  <c r="A564" i="2"/>
  <c r="M563" i="2"/>
  <c r="L563" i="2"/>
  <c r="K563" i="2"/>
  <c r="J563" i="2"/>
  <c r="I563" i="2"/>
  <c r="H563" i="2"/>
  <c r="G563" i="2"/>
  <c r="F563" i="2"/>
  <c r="E563" i="2"/>
  <c r="D563" i="2"/>
  <c r="C563" i="2"/>
  <c r="A563" i="2"/>
  <c r="M562" i="2"/>
  <c r="L562" i="2"/>
  <c r="K562" i="2"/>
  <c r="J562" i="2"/>
  <c r="I562" i="2"/>
  <c r="H562" i="2"/>
  <c r="G562" i="2"/>
  <c r="F562" i="2"/>
  <c r="E562" i="2"/>
  <c r="D562" i="2"/>
  <c r="C562" i="2"/>
  <c r="A562" i="2"/>
  <c r="M561" i="2"/>
  <c r="L561" i="2"/>
  <c r="K561" i="2"/>
  <c r="J561" i="2"/>
  <c r="I561" i="2"/>
  <c r="H561" i="2"/>
  <c r="G561" i="2"/>
  <c r="F561" i="2"/>
  <c r="E561" i="2"/>
  <c r="D561" i="2"/>
  <c r="C561" i="2"/>
  <c r="A561" i="2"/>
  <c r="M560" i="2"/>
  <c r="L560" i="2"/>
  <c r="K560" i="2"/>
  <c r="J560" i="2"/>
  <c r="I560" i="2"/>
  <c r="H560" i="2"/>
  <c r="G560" i="2"/>
  <c r="F560" i="2"/>
  <c r="E560" i="2"/>
  <c r="D560" i="2"/>
  <c r="C560" i="2"/>
  <c r="A560" i="2"/>
  <c r="M559" i="2"/>
  <c r="L559" i="2"/>
  <c r="K559" i="2"/>
  <c r="J559" i="2"/>
  <c r="I559" i="2"/>
  <c r="H559" i="2"/>
  <c r="G559" i="2"/>
  <c r="F559" i="2"/>
  <c r="E559" i="2"/>
  <c r="D559" i="2"/>
  <c r="C559" i="2"/>
  <c r="A559" i="2"/>
  <c r="M558" i="2"/>
  <c r="L558" i="2"/>
  <c r="K558" i="2"/>
  <c r="J558" i="2"/>
  <c r="I558" i="2"/>
  <c r="H558" i="2"/>
  <c r="G558" i="2"/>
  <c r="F558" i="2"/>
  <c r="E558" i="2"/>
  <c r="D558" i="2"/>
  <c r="C558" i="2"/>
  <c r="A558" i="2"/>
  <c r="M557" i="2"/>
  <c r="L557" i="2"/>
  <c r="K557" i="2"/>
  <c r="J557" i="2"/>
  <c r="I557" i="2"/>
  <c r="H557" i="2"/>
  <c r="G557" i="2"/>
  <c r="F557" i="2"/>
  <c r="E557" i="2"/>
  <c r="D557" i="2"/>
  <c r="C557" i="2"/>
  <c r="A557" i="2"/>
  <c r="M556" i="2"/>
  <c r="L556" i="2"/>
  <c r="K556" i="2"/>
  <c r="J556" i="2"/>
  <c r="I556" i="2"/>
  <c r="H556" i="2"/>
  <c r="G556" i="2"/>
  <c r="F556" i="2"/>
  <c r="E556" i="2"/>
  <c r="D556" i="2"/>
  <c r="C556" i="2"/>
  <c r="A556" i="2"/>
  <c r="M555" i="2"/>
  <c r="L555" i="2"/>
  <c r="K555" i="2"/>
  <c r="J555" i="2"/>
  <c r="I555" i="2"/>
  <c r="H555" i="2"/>
  <c r="G555" i="2"/>
  <c r="F555" i="2"/>
  <c r="E555" i="2"/>
  <c r="D555" i="2"/>
  <c r="C555" i="2"/>
  <c r="A555" i="2"/>
  <c r="M554" i="2"/>
  <c r="L554" i="2"/>
  <c r="K554" i="2"/>
  <c r="J554" i="2"/>
  <c r="I554" i="2"/>
  <c r="H554" i="2"/>
  <c r="G554" i="2"/>
  <c r="F554" i="2"/>
  <c r="E554" i="2"/>
  <c r="D554" i="2"/>
  <c r="C554" i="2"/>
  <c r="A554" i="2"/>
  <c r="M553" i="2"/>
  <c r="L553" i="2"/>
  <c r="K553" i="2"/>
  <c r="J553" i="2"/>
  <c r="I553" i="2"/>
  <c r="H553" i="2"/>
  <c r="G553" i="2"/>
  <c r="F553" i="2"/>
  <c r="E553" i="2"/>
  <c r="D553" i="2"/>
  <c r="C553" i="2"/>
  <c r="A553" i="2"/>
  <c r="M552" i="2"/>
  <c r="L552" i="2"/>
  <c r="K552" i="2"/>
  <c r="J552" i="2"/>
  <c r="I552" i="2"/>
  <c r="H552" i="2"/>
  <c r="G552" i="2"/>
  <c r="F552" i="2"/>
  <c r="E552" i="2"/>
  <c r="D552" i="2"/>
  <c r="C552" i="2"/>
  <c r="A552" i="2"/>
  <c r="M551" i="2"/>
  <c r="L551" i="2"/>
  <c r="K551" i="2"/>
  <c r="J551" i="2"/>
  <c r="I551" i="2"/>
  <c r="H551" i="2"/>
  <c r="G551" i="2"/>
  <c r="F551" i="2"/>
  <c r="E551" i="2"/>
  <c r="D551" i="2"/>
  <c r="C551" i="2"/>
  <c r="A551" i="2"/>
  <c r="M550" i="2"/>
  <c r="L550" i="2"/>
  <c r="K550" i="2"/>
  <c r="J550" i="2"/>
  <c r="I550" i="2"/>
  <c r="H550" i="2"/>
  <c r="G550" i="2"/>
  <c r="F550" i="2"/>
  <c r="E550" i="2"/>
  <c r="D550" i="2"/>
  <c r="C550" i="2"/>
  <c r="A550" i="2"/>
  <c r="M549" i="2"/>
  <c r="L549" i="2"/>
  <c r="K549" i="2"/>
  <c r="J549" i="2"/>
  <c r="I549" i="2"/>
  <c r="H549" i="2"/>
  <c r="G549" i="2"/>
  <c r="F549" i="2"/>
  <c r="E549" i="2"/>
  <c r="D549" i="2"/>
  <c r="C549" i="2"/>
  <c r="A549" i="2"/>
  <c r="M548" i="2"/>
  <c r="L548" i="2"/>
  <c r="K548" i="2"/>
  <c r="J548" i="2"/>
  <c r="I548" i="2"/>
  <c r="H548" i="2"/>
  <c r="G548" i="2"/>
  <c r="F548" i="2"/>
  <c r="E548" i="2"/>
  <c r="D548" i="2"/>
  <c r="C548" i="2"/>
  <c r="A548" i="2"/>
  <c r="M547" i="2"/>
  <c r="L547" i="2"/>
  <c r="K547" i="2"/>
  <c r="J547" i="2"/>
  <c r="I547" i="2"/>
  <c r="H547" i="2"/>
  <c r="G547" i="2"/>
  <c r="F547" i="2"/>
  <c r="E547" i="2"/>
  <c r="D547" i="2"/>
  <c r="C547" i="2"/>
  <c r="A547" i="2"/>
  <c r="M546" i="2"/>
  <c r="L546" i="2"/>
  <c r="K546" i="2"/>
  <c r="J546" i="2"/>
  <c r="I546" i="2"/>
  <c r="H546" i="2"/>
  <c r="G546" i="2"/>
  <c r="F546" i="2"/>
  <c r="E546" i="2"/>
  <c r="D546" i="2"/>
  <c r="C546" i="2"/>
  <c r="A546" i="2"/>
  <c r="M545" i="2"/>
  <c r="L545" i="2"/>
  <c r="K545" i="2"/>
  <c r="J545" i="2"/>
  <c r="I545" i="2"/>
  <c r="H545" i="2"/>
  <c r="G545" i="2"/>
  <c r="F545" i="2"/>
  <c r="E545" i="2"/>
  <c r="D545" i="2"/>
  <c r="C545" i="2"/>
  <c r="A545" i="2"/>
  <c r="M544" i="2"/>
  <c r="L544" i="2"/>
  <c r="K544" i="2"/>
  <c r="J544" i="2"/>
  <c r="I544" i="2"/>
  <c r="H544" i="2"/>
  <c r="G544" i="2"/>
  <c r="F544" i="2"/>
  <c r="E544" i="2"/>
  <c r="D544" i="2"/>
  <c r="C544" i="2"/>
  <c r="A544" i="2"/>
  <c r="M543" i="2"/>
  <c r="L543" i="2"/>
  <c r="K543" i="2"/>
  <c r="J543" i="2"/>
  <c r="I543" i="2"/>
  <c r="H543" i="2"/>
  <c r="G543" i="2"/>
  <c r="F543" i="2"/>
  <c r="E543" i="2"/>
  <c r="D543" i="2"/>
  <c r="C543" i="2"/>
  <c r="A543" i="2"/>
  <c r="M542" i="2"/>
  <c r="L542" i="2"/>
  <c r="K542" i="2"/>
  <c r="J542" i="2"/>
  <c r="I542" i="2"/>
  <c r="H542" i="2"/>
  <c r="G542" i="2"/>
  <c r="F542" i="2"/>
  <c r="E542" i="2"/>
  <c r="D542" i="2"/>
  <c r="C542" i="2"/>
  <c r="A542" i="2"/>
  <c r="M541" i="2"/>
  <c r="L541" i="2"/>
  <c r="K541" i="2"/>
  <c r="J541" i="2"/>
  <c r="I541" i="2"/>
  <c r="H541" i="2"/>
  <c r="G541" i="2"/>
  <c r="F541" i="2"/>
  <c r="E541" i="2"/>
  <c r="D541" i="2"/>
  <c r="C541" i="2"/>
  <c r="A541" i="2"/>
  <c r="M540" i="2"/>
  <c r="L540" i="2"/>
  <c r="K540" i="2"/>
  <c r="J540" i="2"/>
  <c r="I540" i="2"/>
  <c r="H540" i="2"/>
  <c r="G540" i="2"/>
  <c r="F540" i="2"/>
  <c r="E540" i="2"/>
  <c r="D540" i="2"/>
  <c r="C540" i="2"/>
  <c r="A540" i="2"/>
  <c r="M539" i="2"/>
  <c r="L539" i="2"/>
  <c r="K539" i="2"/>
  <c r="J539" i="2"/>
  <c r="I539" i="2"/>
  <c r="H539" i="2"/>
  <c r="G539" i="2"/>
  <c r="F539" i="2"/>
  <c r="E539" i="2"/>
  <c r="D539" i="2"/>
  <c r="C539" i="2"/>
  <c r="A539" i="2"/>
  <c r="M538" i="2"/>
  <c r="L538" i="2"/>
  <c r="K538" i="2"/>
  <c r="J538" i="2"/>
  <c r="I538" i="2"/>
  <c r="H538" i="2"/>
  <c r="G538" i="2"/>
  <c r="F538" i="2"/>
  <c r="E538" i="2"/>
  <c r="D538" i="2"/>
  <c r="C538" i="2"/>
  <c r="A538" i="2"/>
  <c r="M537" i="2"/>
  <c r="L537" i="2"/>
  <c r="K537" i="2"/>
  <c r="J537" i="2"/>
  <c r="I537" i="2"/>
  <c r="H537" i="2"/>
  <c r="G537" i="2"/>
  <c r="F537" i="2"/>
  <c r="E537" i="2"/>
  <c r="D537" i="2"/>
  <c r="C537" i="2"/>
  <c r="A537" i="2"/>
  <c r="M536" i="2"/>
  <c r="L536" i="2"/>
  <c r="K536" i="2"/>
  <c r="J536" i="2"/>
  <c r="I536" i="2"/>
  <c r="H536" i="2"/>
  <c r="G536" i="2"/>
  <c r="F536" i="2"/>
  <c r="E536" i="2"/>
  <c r="D536" i="2"/>
  <c r="C536" i="2"/>
  <c r="A536" i="2"/>
  <c r="M535" i="2"/>
  <c r="L535" i="2"/>
  <c r="K535" i="2"/>
  <c r="J535" i="2"/>
  <c r="I535" i="2"/>
  <c r="H535" i="2"/>
  <c r="G535" i="2"/>
  <c r="F535" i="2"/>
  <c r="E535" i="2"/>
  <c r="D535" i="2"/>
  <c r="C535" i="2"/>
  <c r="A535" i="2"/>
  <c r="M534" i="2"/>
  <c r="L534" i="2"/>
  <c r="K534" i="2"/>
  <c r="J534" i="2"/>
  <c r="I534" i="2"/>
  <c r="H534" i="2"/>
  <c r="G534" i="2"/>
  <c r="F534" i="2"/>
  <c r="E534" i="2"/>
  <c r="D534" i="2"/>
  <c r="C534" i="2"/>
  <c r="A534" i="2"/>
  <c r="M533" i="2"/>
  <c r="L533" i="2"/>
  <c r="K533" i="2"/>
  <c r="J533" i="2"/>
  <c r="I533" i="2"/>
  <c r="H533" i="2"/>
  <c r="G533" i="2"/>
  <c r="F533" i="2"/>
  <c r="E533" i="2"/>
  <c r="D533" i="2"/>
  <c r="C533" i="2"/>
  <c r="A533" i="2"/>
  <c r="M532" i="2"/>
  <c r="L532" i="2"/>
  <c r="K532" i="2"/>
  <c r="J532" i="2"/>
  <c r="I532" i="2"/>
  <c r="H532" i="2"/>
  <c r="G532" i="2"/>
  <c r="F532" i="2"/>
  <c r="E532" i="2"/>
  <c r="D532" i="2"/>
  <c r="C532" i="2"/>
  <c r="A532" i="2"/>
  <c r="M531" i="2"/>
  <c r="L531" i="2"/>
  <c r="K531" i="2"/>
  <c r="J531" i="2"/>
  <c r="I531" i="2"/>
  <c r="H531" i="2"/>
  <c r="G531" i="2"/>
  <c r="F531" i="2"/>
  <c r="E531" i="2"/>
  <c r="D531" i="2"/>
  <c r="C531" i="2"/>
  <c r="A531" i="2"/>
  <c r="M530" i="2"/>
  <c r="L530" i="2"/>
  <c r="K530" i="2"/>
  <c r="J530" i="2"/>
  <c r="I530" i="2"/>
  <c r="H530" i="2"/>
  <c r="G530" i="2"/>
  <c r="F530" i="2"/>
  <c r="E530" i="2"/>
  <c r="D530" i="2"/>
  <c r="C530" i="2"/>
  <c r="A530" i="2"/>
  <c r="M529" i="2"/>
  <c r="L529" i="2"/>
  <c r="K529" i="2"/>
  <c r="J529" i="2"/>
  <c r="I529" i="2"/>
  <c r="H529" i="2"/>
  <c r="G529" i="2"/>
  <c r="F529" i="2"/>
  <c r="E529" i="2"/>
  <c r="D529" i="2"/>
  <c r="C529" i="2"/>
  <c r="A529" i="2"/>
  <c r="M528" i="2"/>
  <c r="L528" i="2"/>
  <c r="K528" i="2"/>
  <c r="J528" i="2"/>
  <c r="I528" i="2"/>
  <c r="H528" i="2"/>
  <c r="G528" i="2"/>
  <c r="F528" i="2"/>
  <c r="E528" i="2"/>
  <c r="D528" i="2"/>
  <c r="C528" i="2"/>
  <c r="A528" i="2"/>
  <c r="M527" i="2"/>
  <c r="L527" i="2"/>
  <c r="K527" i="2"/>
  <c r="J527" i="2"/>
  <c r="I527" i="2"/>
  <c r="H527" i="2"/>
  <c r="G527" i="2"/>
  <c r="F527" i="2"/>
  <c r="E527" i="2"/>
  <c r="D527" i="2"/>
  <c r="C527" i="2"/>
  <c r="A527" i="2"/>
  <c r="M526" i="2"/>
  <c r="L526" i="2"/>
  <c r="K526" i="2"/>
  <c r="J526" i="2"/>
  <c r="I526" i="2"/>
  <c r="H526" i="2"/>
  <c r="G526" i="2"/>
  <c r="F526" i="2"/>
  <c r="E526" i="2"/>
  <c r="D526" i="2"/>
  <c r="C526" i="2"/>
  <c r="A526" i="2"/>
  <c r="M525" i="2"/>
  <c r="L525" i="2"/>
  <c r="K525" i="2"/>
  <c r="J525" i="2"/>
  <c r="I525" i="2"/>
  <c r="H525" i="2"/>
  <c r="G525" i="2"/>
  <c r="F525" i="2"/>
  <c r="E525" i="2"/>
  <c r="D525" i="2"/>
  <c r="C525" i="2"/>
  <c r="A525" i="2"/>
  <c r="M524" i="2"/>
  <c r="L524" i="2"/>
  <c r="K524" i="2"/>
  <c r="J524" i="2"/>
  <c r="I524" i="2"/>
  <c r="H524" i="2"/>
  <c r="G524" i="2"/>
  <c r="F524" i="2"/>
  <c r="E524" i="2"/>
  <c r="D524" i="2"/>
  <c r="C524" i="2"/>
  <c r="A524" i="2"/>
  <c r="M523" i="2"/>
  <c r="L523" i="2"/>
  <c r="K523" i="2"/>
  <c r="J523" i="2"/>
  <c r="I523" i="2"/>
  <c r="H523" i="2"/>
  <c r="G523" i="2"/>
  <c r="F523" i="2"/>
  <c r="E523" i="2"/>
  <c r="D523" i="2"/>
  <c r="C523" i="2"/>
  <c r="A523" i="2"/>
  <c r="M522" i="2"/>
  <c r="L522" i="2"/>
  <c r="K522" i="2"/>
  <c r="J522" i="2"/>
  <c r="I522" i="2"/>
  <c r="H522" i="2"/>
  <c r="G522" i="2"/>
  <c r="F522" i="2"/>
  <c r="E522" i="2"/>
  <c r="D522" i="2"/>
  <c r="C522" i="2"/>
  <c r="A522" i="2"/>
  <c r="M521" i="2"/>
  <c r="L521" i="2"/>
  <c r="K521" i="2"/>
  <c r="J521" i="2"/>
  <c r="I521" i="2"/>
  <c r="H521" i="2"/>
  <c r="G521" i="2"/>
  <c r="F521" i="2"/>
  <c r="E521" i="2"/>
  <c r="D521" i="2"/>
  <c r="C521" i="2"/>
  <c r="A521" i="2"/>
  <c r="M520" i="2"/>
  <c r="L520" i="2"/>
  <c r="K520" i="2"/>
  <c r="J520" i="2"/>
  <c r="I520" i="2"/>
  <c r="H520" i="2"/>
  <c r="G520" i="2"/>
  <c r="F520" i="2"/>
  <c r="E520" i="2"/>
  <c r="D520" i="2"/>
  <c r="C520" i="2"/>
  <c r="A520" i="2"/>
  <c r="M519" i="2"/>
  <c r="L519" i="2"/>
  <c r="K519" i="2"/>
  <c r="J519" i="2"/>
  <c r="I519" i="2"/>
  <c r="H519" i="2"/>
  <c r="G519" i="2"/>
  <c r="F519" i="2"/>
  <c r="E519" i="2"/>
  <c r="D519" i="2"/>
  <c r="C519" i="2"/>
  <c r="A519" i="2"/>
  <c r="M518" i="2"/>
  <c r="L518" i="2"/>
  <c r="K518" i="2"/>
  <c r="J518" i="2"/>
  <c r="I518" i="2"/>
  <c r="H518" i="2"/>
  <c r="G518" i="2"/>
  <c r="F518" i="2"/>
  <c r="E518" i="2"/>
  <c r="D518" i="2"/>
  <c r="C518" i="2"/>
  <c r="A518" i="2"/>
  <c r="M517" i="2"/>
  <c r="L517" i="2"/>
  <c r="K517" i="2"/>
  <c r="J517" i="2"/>
  <c r="I517" i="2"/>
  <c r="H517" i="2"/>
  <c r="G517" i="2"/>
  <c r="F517" i="2"/>
  <c r="E517" i="2"/>
  <c r="D517" i="2"/>
  <c r="C517" i="2"/>
  <c r="A517" i="2"/>
  <c r="M516" i="2"/>
  <c r="L516" i="2"/>
  <c r="K516" i="2"/>
  <c r="J516" i="2"/>
  <c r="I516" i="2"/>
  <c r="H516" i="2"/>
  <c r="G516" i="2"/>
  <c r="F516" i="2"/>
  <c r="E516" i="2"/>
  <c r="D516" i="2"/>
  <c r="C516" i="2"/>
  <c r="A516" i="2"/>
  <c r="M515" i="2"/>
  <c r="L515" i="2"/>
  <c r="K515" i="2"/>
  <c r="J515" i="2"/>
  <c r="I515" i="2"/>
  <c r="H515" i="2"/>
  <c r="G515" i="2"/>
  <c r="F515" i="2"/>
  <c r="E515" i="2"/>
  <c r="D515" i="2"/>
  <c r="C515" i="2"/>
  <c r="A515" i="2"/>
  <c r="M514" i="2"/>
  <c r="L514" i="2"/>
  <c r="K514" i="2"/>
  <c r="J514" i="2"/>
  <c r="I514" i="2"/>
  <c r="H514" i="2"/>
  <c r="G514" i="2"/>
  <c r="F514" i="2"/>
  <c r="E514" i="2"/>
  <c r="D514" i="2"/>
  <c r="C514" i="2"/>
  <c r="A514" i="2"/>
  <c r="M513" i="2"/>
  <c r="L513" i="2"/>
  <c r="K513" i="2"/>
  <c r="J513" i="2"/>
  <c r="I513" i="2"/>
  <c r="H513" i="2"/>
  <c r="G513" i="2"/>
  <c r="F513" i="2"/>
  <c r="E513" i="2"/>
  <c r="D513" i="2"/>
  <c r="C513" i="2"/>
  <c r="A513" i="2"/>
  <c r="M512" i="2"/>
  <c r="L512" i="2"/>
  <c r="K512" i="2"/>
  <c r="J512" i="2"/>
  <c r="I512" i="2"/>
  <c r="H512" i="2"/>
  <c r="G512" i="2"/>
  <c r="F512" i="2"/>
  <c r="E512" i="2"/>
  <c r="D512" i="2"/>
  <c r="C512" i="2"/>
  <c r="A512" i="2"/>
  <c r="M511" i="2"/>
  <c r="L511" i="2"/>
  <c r="K511" i="2"/>
  <c r="J511" i="2"/>
  <c r="I511" i="2"/>
  <c r="H511" i="2"/>
  <c r="G511" i="2"/>
  <c r="F511" i="2"/>
  <c r="E511" i="2"/>
  <c r="D511" i="2"/>
  <c r="C511" i="2"/>
  <c r="A511" i="2"/>
  <c r="M510" i="2"/>
  <c r="L510" i="2"/>
  <c r="K510" i="2"/>
  <c r="J510" i="2"/>
  <c r="I510" i="2"/>
  <c r="H510" i="2"/>
  <c r="G510" i="2"/>
  <c r="F510" i="2"/>
  <c r="E510" i="2"/>
  <c r="D510" i="2"/>
  <c r="C510" i="2"/>
  <c r="A510" i="2"/>
  <c r="M509" i="2"/>
  <c r="L509" i="2"/>
  <c r="K509" i="2"/>
  <c r="J509" i="2"/>
  <c r="I509" i="2"/>
  <c r="H509" i="2"/>
  <c r="G509" i="2"/>
  <c r="F509" i="2"/>
  <c r="E509" i="2"/>
  <c r="D509" i="2"/>
  <c r="C509" i="2"/>
  <c r="A509" i="2"/>
  <c r="M508" i="2"/>
  <c r="L508" i="2"/>
  <c r="K508" i="2"/>
  <c r="J508" i="2"/>
  <c r="I508" i="2"/>
  <c r="H508" i="2"/>
  <c r="G508" i="2"/>
  <c r="F508" i="2"/>
  <c r="E508" i="2"/>
  <c r="D508" i="2"/>
  <c r="C508" i="2"/>
  <c r="A508" i="2"/>
  <c r="M507" i="2"/>
  <c r="L507" i="2"/>
  <c r="K507" i="2"/>
  <c r="J507" i="2"/>
  <c r="I507" i="2"/>
  <c r="H507" i="2"/>
  <c r="G507" i="2"/>
  <c r="F507" i="2"/>
  <c r="E507" i="2"/>
  <c r="D507" i="2"/>
  <c r="C507" i="2"/>
  <c r="A507" i="2"/>
  <c r="M506" i="2"/>
  <c r="L506" i="2"/>
  <c r="K506" i="2"/>
  <c r="J506" i="2"/>
  <c r="I506" i="2"/>
  <c r="H506" i="2"/>
  <c r="G506" i="2"/>
  <c r="E506" i="2"/>
  <c r="D506" i="2"/>
  <c r="C506" i="2"/>
  <c r="A506" i="2"/>
  <c r="M505" i="2"/>
  <c r="L505" i="2"/>
  <c r="K505" i="2"/>
  <c r="J505" i="2"/>
  <c r="I505" i="2"/>
  <c r="H505" i="2"/>
  <c r="G505" i="2"/>
  <c r="F505" i="2"/>
  <c r="E505" i="2"/>
  <c r="D505" i="2"/>
  <c r="C505" i="2"/>
  <c r="A505" i="2"/>
  <c r="M504" i="2"/>
  <c r="L504" i="2"/>
  <c r="K504" i="2"/>
  <c r="J504" i="2"/>
  <c r="I504" i="2"/>
  <c r="H504" i="2"/>
  <c r="G504" i="2"/>
  <c r="F504" i="2"/>
  <c r="E504" i="2"/>
  <c r="D504" i="2"/>
  <c r="C504" i="2"/>
  <c r="A504" i="2"/>
  <c r="M503" i="2"/>
  <c r="L503" i="2"/>
  <c r="K503" i="2"/>
  <c r="J503" i="2"/>
  <c r="I503" i="2"/>
  <c r="H503" i="2"/>
  <c r="G503" i="2"/>
  <c r="F503" i="2"/>
  <c r="E503" i="2"/>
  <c r="D503" i="2"/>
  <c r="C503" i="2"/>
  <c r="A503" i="2"/>
  <c r="M502" i="2"/>
  <c r="L502" i="2"/>
  <c r="K502" i="2"/>
  <c r="J502" i="2"/>
  <c r="I502" i="2"/>
  <c r="H502" i="2"/>
  <c r="G502" i="2"/>
  <c r="F502" i="2"/>
  <c r="E502" i="2"/>
  <c r="D502" i="2"/>
  <c r="C502" i="2"/>
  <c r="A502" i="2"/>
  <c r="M501" i="2"/>
  <c r="L501" i="2"/>
  <c r="K501" i="2"/>
  <c r="J501" i="2"/>
  <c r="I501" i="2"/>
  <c r="H501" i="2"/>
  <c r="G501" i="2"/>
  <c r="F501" i="2"/>
  <c r="E501" i="2"/>
  <c r="D501" i="2"/>
  <c r="C501" i="2"/>
  <c r="A501" i="2"/>
  <c r="M500" i="2"/>
  <c r="L500" i="2"/>
  <c r="K500" i="2"/>
  <c r="J500" i="2"/>
  <c r="I500" i="2"/>
  <c r="H500" i="2"/>
  <c r="G500" i="2"/>
  <c r="F500" i="2"/>
  <c r="E500" i="2"/>
  <c r="D500" i="2"/>
  <c r="C500" i="2"/>
  <c r="A500" i="2"/>
  <c r="M499" i="2"/>
  <c r="L499" i="2"/>
  <c r="K499" i="2"/>
  <c r="J499" i="2"/>
  <c r="I499" i="2"/>
  <c r="H499" i="2"/>
  <c r="G499" i="2"/>
  <c r="F499" i="2"/>
  <c r="E499" i="2"/>
  <c r="D499" i="2"/>
  <c r="C499" i="2"/>
  <c r="A499" i="2"/>
  <c r="M498" i="2"/>
  <c r="L498" i="2"/>
  <c r="K498" i="2"/>
  <c r="J498" i="2"/>
  <c r="I498" i="2"/>
  <c r="H498" i="2"/>
  <c r="G498" i="2"/>
  <c r="F498" i="2"/>
  <c r="E498" i="2"/>
  <c r="D498" i="2"/>
  <c r="C498" i="2"/>
  <c r="A498" i="2"/>
  <c r="M497" i="2"/>
  <c r="L497" i="2"/>
  <c r="K497" i="2"/>
  <c r="J497" i="2"/>
  <c r="I497" i="2"/>
  <c r="H497" i="2"/>
  <c r="G497" i="2"/>
  <c r="F497" i="2"/>
  <c r="E497" i="2"/>
  <c r="D497" i="2"/>
  <c r="C497" i="2"/>
  <c r="A497" i="2"/>
  <c r="M496" i="2"/>
  <c r="L496" i="2"/>
  <c r="K496" i="2"/>
  <c r="J496" i="2"/>
  <c r="I496" i="2"/>
  <c r="H496" i="2"/>
  <c r="G496" i="2"/>
  <c r="F496" i="2"/>
  <c r="E496" i="2"/>
  <c r="D496" i="2"/>
  <c r="C496" i="2"/>
  <c r="A496" i="2"/>
  <c r="M495" i="2"/>
  <c r="L495" i="2"/>
  <c r="K495" i="2"/>
  <c r="J495" i="2"/>
  <c r="I495" i="2"/>
  <c r="H495" i="2"/>
  <c r="G495" i="2"/>
  <c r="F495" i="2"/>
  <c r="E495" i="2"/>
  <c r="D495" i="2"/>
  <c r="C495" i="2"/>
  <c r="A495" i="2"/>
  <c r="M494" i="2"/>
  <c r="L494" i="2"/>
  <c r="K494" i="2"/>
  <c r="J494" i="2"/>
  <c r="I494" i="2"/>
  <c r="H494" i="2"/>
  <c r="G494" i="2"/>
  <c r="F494" i="2"/>
  <c r="E494" i="2"/>
  <c r="D494" i="2"/>
  <c r="C494" i="2"/>
  <c r="A494" i="2"/>
  <c r="M493" i="2"/>
  <c r="L493" i="2"/>
  <c r="K493" i="2"/>
  <c r="J493" i="2"/>
  <c r="I493" i="2"/>
  <c r="H493" i="2"/>
  <c r="G493" i="2"/>
  <c r="F493" i="2"/>
  <c r="E493" i="2"/>
  <c r="D493" i="2"/>
  <c r="C493" i="2"/>
  <c r="A493" i="2"/>
  <c r="M492" i="2"/>
  <c r="L492" i="2"/>
  <c r="K492" i="2"/>
  <c r="J492" i="2"/>
  <c r="I492" i="2"/>
  <c r="H492" i="2"/>
  <c r="G492" i="2"/>
  <c r="F492" i="2"/>
  <c r="E492" i="2"/>
  <c r="D492" i="2"/>
  <c r="C492" i="2"/>
  <c r="A492" i="2"/>
  <c r="M491" i="2"/>
  <c r="L491" i="2"/>
  <c r="K491" i="2"/>
  <c r="J491" i="2"/>
  <c r="I491" i="2"/>
  <c r="H491" i="2"/>
  <c r="G491" i="2"/>
  <c r="F491" i="2"/>
  <c r="E491" i="2"/>
  <c r="D491" i="2"/>
  <c r="C491" i="2"/>
  <c r="A491" i="2"/>
  <c r="M490" i="2"/>
  <c r="L490" i="2"/>
  <c r="K490" i="2"/>
  <c r="J490" i="2"/>
  <c r="I490" i="2"/>
  <c r="H490" i="2"/>
  <c r="G490" i="2"/>
  <c r="F490" i="2"/>
  <c r="E490" i="2"/>
  <c r="D490" i="2"/>
  <c r="C490" i="2"/>
  <c r="A490" i="2"/>
  <c r="M489" i="2"/>
  <c r="L489" i="2"/>
  <c r="K489" i="2"/>
  <c r="J489" i="2"/>
  <c r="I489" i="2"/>
  <c r="H489" i="2"/>
  <c r="G489" i="2"/>
  <c r="F489" i="2"/>
  <c r="E489" i="2"/>
  <c r="D489" i="2"/>
  <c r="C489" i="2"/>
  <c r="A489" i="2"/>
  <c r="M488" i="2"/>
  <c r="L488" i="2"/>
  <c r="K488" i="2"/>
  <c r="J488" i="2"/>
  <c r="I488" i="2"/>
  <c r="H488" i="2"/>
  <c r="G488" i="2"/>
  <c r="F488" i="2"/>
  <c r="E488" i="2"/>
  <c r="D488" i="2"/>
  <c r="C488" i="2"/>
  <c r="A488" i="2"/>
  <c r="M487" i="2"/>
  <c r="L487" i="2"/>
  <c r="K487" i="2"/>
  <c r="J487" i="2"/>
  <c r="I487" i="2"/>
  <c r="H487" i="2"/>
  <c r="G487" i="2"/>
  <c r="F487" i="2"/>
  <c r="E487" i="2"/>
  <c r="D487" i="2"/>
  <c r="C487" i="2"/>
  <c r="A487" i="2"/>
  <c r="M486" i="2"/>
  <c r="L486" i="2"/>
  <c r="K486" i="2"/>
  <c r="J486" i="2"/>
  <c r="I486" i="2"/>
  <c r="H486" i="2"/>
  <c r="G486" i="2"/>
  <c r="F486" i="2"/>
  <c r="E486" i="2"/>
  <c r="D486" i="2"/>
  <c r="C486" i="2"/>
  <c r="A486" i="2"/>
  <c r="M485" i="2"/>
  <c r="L485" i="2"/>
  <c r="K485" i="2"/>
  <c r="J485" i="2"/>
  <c r="I485" i="2"/>
  <c r="H485" i="2"/>
  <c r="G485" i="2"/>
  <c r="F485" i="2"/>
  <c r="E485" i="2"/>
  <c r="D485" i="2"/>
  <c r="C485" i="2"/>
  <c r="A485" i="2"/>
  <c r="M484" i="2"/>
  <c r="L484" i="2"/>
  <c r="K484" i="2"/>
  <c r="J484" i="2"/>
  <c r="I484" i="2"/>
  <c r="H484" i="2"/>
  <c r="G484" i="2"/>
  <c r="F484" i="2"/>
  <c r="E484" i="2"/>
  <c r="D484" i="2"/>
  <c r="C484" i="2"/>
  <c r="A484" i="2"/>
  <c r="M483" i="2"/>
  <c r="L483" i="2"/>
  <c r="K483" i="2"/>
  <c r="J483" i="2"/>
  <c r="I483" i="2"/>
  <c r="H483" i="2"/>
  <c r="G483" i="2"/>
  <c r="F483" i="2"/>
  <c r="E483" i="2"/>
  <c r="D483" i="2"/>
  <c r="C483" i="2"/>
  <c r="A483" i="2"/>
  <c r="M482" i="2"/>
  <c r="L482" i="2"/>
  <c r="K482" i="2"/>
  <c r="J482" i="2"/>
  <c r="I482" i="2"/>
  <c r="H482" i="2"/>
  <c r="G482" i="2"/>
  <c r="F482" i="2"/>
  <c r="E482" i="2"/>
  <c r="D482" i="2"/>
  <c r="C482" i="2"/>
  <c r="A482" i="2"/>
  <c r="M481" i="2"/>
  <c r="L481" i="2"/>
  <c r="K481" i="2"/>
  <c r="J481" i="2"/>
  <c r="I481" i="2"/>
  <c r="H481" i="2"/>
  <c r="G481" i="2"/>
  <c r="F481" i="2"/>
  <c r="E481" i="2"/>
  <c r="D481" i="2"/>
  <c r="C481" i="2"/>
  <c r="A481" i="2"/>
  <c r="M480" i="2"/>
  <c r="L480" i="2"/>
  <c r="K480" i="2"/>
  <c r="J480" i="2"/>
  <c r="I480" i="2"/>
  <c r="H480" i="2"/>
  <c r="G480" i="2"/>
  <c r="F480" i="2"/>
  <c r="E480" i="2"/>
  <c r="D480" i="2"/>
  <c r="C480" i="2"/>
  <c r="A480" i="2"/>
  <c r="M479" i="2"/>
  <c r="L479" i="2"/>
  <c r="K479" i="2"/>
  <c r="J479" i="2"/>
  <c r="I479" i="2"/>
  <c r="H479" i="2"/>
  <c r="G479" i="2"/>
  <c r="F479" i="2"/>
  <c r="E479" i="2"/>
  <c r="D479" i="2"/>
  <c r="C479" i="2"/>
  <c r="A479" i="2"/>
  <c r="M478" i="2"/>
  <c r="L478" i="2"/>
  <c r="K478" i="2"/>
  <c r="J478" i="2"/>
  <c r="I478" i="2"/>
  <c r="H478" i="2"/>
  <c r="G478" i="2"/>
  <c r="F478" i="2"/>
  <c r="E478" i="2"/>
  <c r="D478" i="2"/>
  <c r="C478" i="2"/>
  <c r="A478" i="2"/>
  <c r="M477" i="2"/>
  <c r="L477" i="2"/>
  <c r="K477" i="2"/>
  <c r="J477" i="2"/>
  <c r="I477" i="2"/>
  <c r="H477" i="2"/>
  <c r="G477" i="2"/>
  <c r="F477" i="2"/>
  <c r="E477" i="2"/>
  <c r="D477" i="2"/>
  <c r="C477" i="2"/>
  <c r="A477" i="2"/>
  <c r="M476" i="2"/>
  <c r="L476" i="2"/>
  <c r="K476" i="2"/>
  <c r="J476" i="2"/>
  <c r="I476" i="2"/>
  <c r="H476" i="2"/>
  <c r="G476" i="2"/>
  <c r="F476" i="2"/>
  <c r="E476" i="2"/>
  <c r="D476" i="2"/>
  <c r="C476" i="2"/>
  <c r="A476" i="2"/>
  <c r="M475" i="2"/>
  <c r="L475" i="2"/>
  <c r="K475" i="2"/>
  <c r="J475" i="2"/>
  <c r="I475" i="2"/>
  <c r="H475" i="2"/>
  <c r="G475" i="2"/>
  <c r="F475" i="2"/>
  <c r="E475" i="2"/>
  <c r="D475" i="2"/>
  <c r="C475" i="2"/>
  <c r="A475" i="2"/>
  <c r="M474" i="2"/>
  <c r="L474" i="2"/>
  <c r="K474" i="2"/>
  <c r="J474" i="2"/>
  <c r="I474" i="2"/>
  <c r="H474" i="2"/>
  <c r="G474" i="2"/>
  <c r="F474" i="2"/>
  <c r="E474" i="2"/>
  <c r="D474" i="2"/>
  <c r="C474" i="2"/>
  <c r="A474" i="2"/>
  <c r="M473" i="2"/>
  <c r="L473" i="2"/>
  <c r="K473" i="2"/>
  <c r="J473" i="2"/>
  <c r="I473" i="2"/>
  <c r="H473" i="2"/>
  <c r="G473" i="2"/>
  <c r="F473" i="2"/>
  <c r="E473" i="2"/>
  <c r="D473" i="2"/>
  <c r="C473" i="2"/>
  <c r="A473" i="2"/>
  <c r="M472" i="2"/>
  <c r="L472" i="2"/>
  <c r="K472" i="2"/>
  <c r="J472" i="2"/>
  <c r="I472" i="2"/>
  <c r="H472" i="2"/>
  <c r="G472" i="2"/>
  <c r="F472" i="2"/>
  <c r="E472" i="2"/>
  <c r="D472" i="2"/>
  <c r="C472" i="2"/>
  <c r="A472" i="2"/>
  <c r="M471" i="2"/>
  <c r="L471" i="2"/>
  <c r="K471" i="2"/>
  <c r="J471" i="2"/>
  <c r="I471" i="2"/>
  <c r="H471" i="2"/>
  <c r="G471" i="2"/>
  <c r="F471" i="2"/>
  <c r="E471" i="2"/>
  <c r="D471" i="2"/>
  <c r="C471" i="2"/>
  <c r="A471" i="2"/>
  <c r="M470" i="2"/>
  <c r="L470" i="2"/>
  <c r="K470" i="2"/>
  <c r="J470" i="2"/>
  <c r="I470" i="2"/>
  <c r="H470" i="2"/>
  <c r="G470" i="2"/>
  <c r="F470" i="2"/>
  <c r="E470" i="2"/>
  <c r="D470" i="2"/>
  <c r="C470" i="2"/>
  <c r="A470" i="2"/>
  <c r="M469" i="2"/>
  <c r="L469" i="2"/>
  <c r="K469" i="2"/>
  <c r="J469" i="2"/>
  <c r="I469" i="2"/>
  <c r="H469" i="2"/>
  <c r="G469" i="2"/>
  <c r="F469" i="2"/>
  <c r="E469" i="2"/>
  <c r="D469" i="2"/>
  <c r="C469" i="2"/>
  <c r="A469" i="2"/>
  <c r="M468" i="2"/>
  <c r="L468" i="2"/>
  <c r="K468" i="2"/>
  <c r="J468" i="2"/>
  <c r="I468" i="2"/>
  <c r="H468" i="2"/>
  <c r="G468" i="2"/>
  <c r="F468" i="2"/>
  <c r="E468" i="2"/>
  <c r="D468" i="2"/>
  <c r="C468" i="2"/>
  <c r="A468" i="2"/>
  <c r="M467" i="2"/>
  <c r="L467" i="2"/>
  <c r="K467" i="2"/>
  <c r="J467" i="2"/>
  <c r="I467" i="2"/>
  <c r="H467" i="2"/>
  <c r="G467" i="2"/>
  <c r="F467" i="2"/>
  <c r="E467" i="2"/>
  <c r="D467" i="2"/>
  <c r="C467" i="2"/>
  <c r="A467" i="2"/>
  <c r="M466" i="2"/>
  <c r="L466" i="2"/>
  <c r="K466" i="2"/>
  <c r="J466" i="2"/>
  <c r="I466" i="2"/>
  <c r="H466" i="2"/>
  <c r="G466" i="2"/>
  <c r="F466" i="2"/>
  <c r="E466" i="2"/>
  <c r="D466" i="2"/>
  <c r="C466" i="2"/>
  <c r="A466" i="2"/>
  <c r="M465" i="2"/>
  <c r="L465" i="2"/>
  <c r="K465" i="2"/>
  <c r="J465" i="2"/>
  <c r="I465" i="2"/>
  <c r="H465" i="2"/>
  <c r="G465" i="2"/>
  <c r="F465" i="2"/>
  <c r="E465" i="2"/>
  <c r="D465" i="2"/>
  <c r="C465" i="2"/>
  <c r="A465" i="2"/>
  <c r="M464" i="2"/>
  <c r="L464" i="2"/>
  <c r="K464" i="2"/>
  <c r="J464" i="2"/>
  <c r="I464" i="2"/>
  <c r="H464" i="2"/>
  <c r="G464" i="2"/>
  <c r="F464" i="2"/>
  <c r="E464" i="2"/>
  <c r="D464" i="2"/>
  <c r="C464" i="2"/>
  <c r="A464" i="2"/>
  <c r="M463" i="2"/>
  <c r="L463" i="2"/>
  <c r="K463" i="2"/>
  <c r="J463" i="2"/>
  <c r="I463" i="2"/>
  <c r="H463" i="2"/>
  <c r="G463" i="2"/>
  <c r="F463" i="2"/>
  <c r="E463" i="2"/>
  <c r="D463" i="2"/>
  <c r="C463" i="2"/>
  <c r="A463" i="2"/>
  <c r="M462" i="2"/>
  <c r="L462" i="2"/>
  <c r="K462" i="2"/>
  <c r="J462" i="2"/>
  <c r="I462" i="2"/>
  <c r="H462" i="2"/>
  <c r="G462" i="2"/>
  <c r="F462" i="2"/>
  <c r="E462" i="2"/>
  <c r="D462" i="2"/>
  <c r="C462" i="2"/>
  <c r="A462" i="2"/>
  <c r="M461" i="2"/>
  <c r="L461" i="2"/>
  <c r="K461" i="2"/>
  <c r="J461" i="2"/>
  <c r="I461" i="2"/>
  <c r="H461" i="2"/>
  <c r="G461" i="2"/>
  <c r="F461" i="2"/>
  <c r="E461" i="2"/>
  <c r="D461" i="2"/>
  <c r="C461" i="2"/>
  <c r="A461" i="2"/>
  <c r="M460" i="2"/>
  <c r="L460" i="2"/>
  <c r="K460" i="2"/>
  <c r="J460" i="2"/>
  <c r="I460" i="2"/>
  <c r="H460" i="2"/>
  <c r="G460" i="2"/>
  <c r="F460" i="2"/>
  <c r="E460" i="2"/>
  <c r="D460" i="2"/>
  <c r="C460" i="2"/>
  <c r="A460" i="2"/>
  <c r="M459" i="2"/>
  <c r="L459" i="2"/>
  <c r="K459" i="2"/>
  <c r="J459" i="2"/>
  <c r="I459" i="2"/>
  <c r="H459" i="2"/>
  <c r="G459" i="2"/>
  <c r="F459" i="2"/>
  <c r="E459" i="2"/>
  <c r="D459" i="2"/>
  <c r="C459" i="2"/>
  <c r="A459" i="2"/>
  <c r="M458" i="2"/>
  <c r="L458" i="2"/>
  <c r="K458" i="2"/>
  <c r="J458" i="2"/>
  <c r="I458" i="2"/>
  <c r="H458" i="2"/>
  <c r="G458" i="2"/>
  <c r="F458" i="2"/>
  <c r="E458" i="2"/>
  <c r="D458" i="2"/>
  <c r="C458" i="2"/>
  <c r="A458" i="2"/>
  <c r="M457" i="2"/>
  <c r="L457" i="2"/>
  <c r="K457" i="2"/>
  <c r="J457" i="2"/>
  <c r="I457" i="2"/>
  <c r="H457" i="2"/>
  <c r="G457" i="2"/>
  <c r="F457" i="2"/>
  <c r="E457" i="2"/>
  <c r="D457" i="2"/>
  <c r="C457" i="2"/>
  <c r="A457" i="2"/>
  <c r="M456" i="2"/>
  <c r="L456" i="2"/>
  <c r="K456" i="2"/>
  <c r="J456" i="2"/>
  <c r="I456" i="2"/>
  <c r="H456" i="2"/>
  <c r="G456" i="2"/>
  <c r="F456" i="2"/>
  <c r="E456" i="2"/>
  <c r="D456" i="2"/>
  <c r="C456" i="2"/>
  <c r="A456" i="2"/>
  <c r="M455" i="2"/>
  <c r="L455" i="2"/>
  <c r="K455" i="2"/>
  <c r="J455" i="2"/>
  <c r="I455" i="2"/>
  <c r="H455" i="2"/>
  <c r="G455" i="2"/>
  <c r="F455" i="2"/>
  <c r="E455" i="2"/>
  <c r="D455" i="2"/>
  <c r="C455" i="2"/>
  <c r="A455" i="2"/>
  <c r="M454" i="2"/>
  <c r="L454" i="2"/>
  <c r="K454" i="2"/>
  <c r="J454" i="2"/>
  <c r="I454" i="2"/>
  <c r="H454" i="2"/>
  <c r="G454" i="2"/>
  <c r="F454" i="2"/>
  <c r="E454" i="2"/>
  <c r="D454" i="2"/>
  <c r="C454" i="2"/>
  <c r="A454" i="2"/>
  <c r="M453" i="2"/>
  <c r="L453" i="2"/>
  <c r="K453" i="2"/>
  <c r="J453" i="2"/>
  <c r="I453" i="2"/>
  <c r="H453" i="2"/>
  <c r="G453" i="2"/>
  <c r="F453" i="2"/>
  <c r="E453" i="2"/>
  <c r="D453" i="2"/>
  <c r="C453" i="2"/>
  <c r="A453" i="2"/>
  <c r="M452" i="2"/>
  <c r="L452" i="2"/>
  <c r="K452" i="2"/>
  <c r="J452" i="2"/>
  <c r="I452" i="2"/>
  <c r="H452" i="2"/>
  <c r="G452" i="2"/>
  <c r="F452" i="2"/>
  <c r="E452" i="2"/>
  <c r="D452" i="2"/>
  <c r="C452" i="2"/>
  <c r="A452" i="2"/>
  <c r="M451" i="2"/>
  <c r="L451" i="2"/>
  <c r="K451" i="2"/>
  <c r="J451" i="2"/>
  <c r="I451" i="2"/>
  <c r="H451" i="2"/>
  <c r="G451" i="2"/>
  <c r="F451" i="2"/>
  <c r="E451" i="2"/>
  <c r="D451" i="2"/>
  <c r="C451" i="2"/>
  <c r="A451" i="2"/>
  <c r="M450" i="2"/>
  <c r="L450" i="2"/>
  <c r="K450" i="2"/>
  <c r="J450" i="2"/>
  <c r="I450" i="2"/>
  <c r="H450" i="2"/>
  <c r="G450" i="2"/>
  <c r="F450" i="2"/>
  <c r="E450" i="2"/>
  <c r="D450" i="2"/>
  <c r="C450" i="2"/>
  <c r="A450" i="2"/>
  <c r="M449" i="2"/>
  <c r="L449" i="2"/>
  <c r="K449" i="2"/>
  <c r="J449" i="2"/>
  <c r="I449" i="2"/>
  <c r="H449" i="2"/>
  <c r="G449" i="2"/>
  <c r="F449" i="2"/>
  <c r="E449" i="2"/>
  <c r="D449" i="2"/>
  <c r="C449" i="2"/>
  <c r="A449" i="2"/>
  <c r="M448" i="2"/>
  <c r="L448" i="2"/>
  <c r="K448" i="2"/>
  <c r="J448" i="2"/>
  <c r="I448" i="2"/>
  <c r="H448" i="2"/>
  <c r="G448" i="2"/>
  <c r="F448" i="2"/>
  <c r="E448" i="2"/>
  <c r="D448" i="2"/>
  <c r="C448" i="2"/>
  <c r="A448" i="2"/>
  <c r="M447" i="2"/>
  <c r="L447" i="2"/>
  <c r="K447" i="2"/>
  <c r="J447" i="2"/>
  <c r="I447" i="2"/>
  <c r="H447" i="2"/>
  <c r="G447" i="2"/>
  <c r="F447" i="2"/>
  <c r="E447" i="2"/>
  <c r="D447" i="2"/>
  <c r="C447" i="2"/>
  <c r="A447" i="2"/>
  <c r="M446" i="2"/>
  <c r="L446" i="2"/>
  <c r="K446" i="2"/>
  <c r="J446" i="2"/>
  <c r="I446" i="2"/>
  <c r="H446" i="2"/>
  <c r="G446" i="2"/>
  <c r="F446" i="2"/>
  <c r="E446" i="2"/>
  <c r="D446" i="2"/>
  <c r="C446" i="2"/>
  <c r="A446" i="2"/>
  <c r="M445" i="2"/>
  <c r="L445" i="2"/>
  <c r="K445" i="2"/>
  <c r="J445" i="2"/>
  <c r="I445" i="2"/>
  <c r="H445" i="2"/>
  <c r="G445" i="2"/>
  <c r="F445" i="2"/>
  <c r="E445" i="2"/>
  <c r="D445" i="2"/>
  <c r="C445" i="2"/>
  <c r="A445" i="2"/>
  <c r="M444" i="2"/>
  <c r="L444" i="2"/>
  <c r="K444" i="2"/>
  <c r="J444" i="2"/>
  <c r="I444" i="2"/>
  <c r="H444" i="2"/>
  <c r="G444" i="2"/>
  <c r="E444" i="2"/>
  <c r="D444" i="2"/>
  <c r="C444" i="2"/>
  <c r="A444" i="2"/>
  <c r="M443" i="2"/>
  <c r="L443" i="2"/>
  <c r="K443" i="2"/>
  <c r="J443" i="2"/>
  <c r="I443" i="2"/>
  <c r="H443" i="2"/>
  <c r="G443" i="2"/>
  <c r="F443" i="2"/>
  <c r="E443" i="2"/>
  <c r="D443" i="2"/>
  <c r="C443" i="2"/>
  <c r="A443" i="2"/>
  <c r="M442" i="2"/>
  <c r="L442" i="2"/>
  <c r="K442" i="2"/>
  <c r="J442" i="2"/>
  <c r="I442" i="2"/>
  <c r="H442" i="2"/>
  <c r="G442" i="2"/>
  <c r="F442" i="2"/>
  <c r="E442" i="2"/>
  <c r="D442" i="2"/>
  <c r="C442" i="2"/>
  <c r="A442" i="2"/>
  <c r="M441" i="2"/>
  <c r="L441" i="2"/>
  <c r="K441" i="2"/>
  <c r="J441" i="2"/>
  <c r="I441" i="2"/>
  <c r="H441" i="2"/>
  <c r="G441" i="2"/>
  <c r="F441" i="2"/>
  <c r="E441" i="2"/>
  <c r="D441" i="2"/>
  <c r="C441" i="2"/>
  <c r="A441" i="2"/>
  <c r="M440" i="2"/>
  <c r="L440" i="2"/>
  <c r="K440" i="2"/>
  <c r="J440" i="2"/>
  <c r="I440" i="2"/>
  <c r="H440" i="2"/>
  <c r="G440" i="2"/>
  <c r="F440" i="2"/>
  <c r="E440" i="2"/>
  <c r="D440" i="2"/>
  <c r="C440" i="2"/>
  <c r="A440" i="2"/>
  <c r="M439" i="2"/>
  <c r="L439" i="2"/>
  <c r="K439" i="2"/>
  <c r="J439" i="2"/>
  <c r="I439" i="2"/>
  <c r="H439" i="2"/>
  <c r="G439" i="2"/>
  <c r="F439" i="2"/>
  <c r="E439" i="2"/>
  <c r="D439" i="2"/>
  <c r="C439" i="2"/>
  <c r="A439" i="2"/>
  <c r="M438" i="2"/>
  <c r="L438" i="2"/>
  <c r="K438" i="2"/>
  <c r="J438" i="2"/>
  <c r="I438" i="2"/>
  <c r="H438" i="2"/>
  <c r="G438" i="2"/>
  <c r="F438" i="2"/>
  <c r="E438" i="2"/>
  <c r="D438" i="2"/>
  <c r="C438" i="2"/>
  <c r="A438" i="2"/>
  <c r="M437" i="2"/>
  <c r="L437" i="2"/>
  <c r="K437" i="2"/>
  <c r="J437" i="2"/>
  <c r="I437" i="2"/>
  <c r="H437" i="2"/>
  <c r="G437" i="2"/>
  <c r="F437" i="2"/>
  <c r="E437" i="2"/>
  <c r="D437" i="2"/>
  <c r="C437" i="2"/>
  <c r="A437" i="2"/>
  <c r="M436" i="2"/>
  <c r="L436" i="2"/>
  <c r="K436" i="2"/>
  <c r="J436" i="2"/>
  <c r="I436" i="2"/>
  <c r="H436" i="2"/>
  <c r="G436" i="2"/>
  <c r="F436" i="2"/>
  <c r="E436" i="2"/>
  <c r="D436" i="2"/>
  <c r="C436" i="2"/>
  <c r="A436" i="2"/>
  <c r="M435" i="2"/>
  <c r="L435" i="2"/>
  <c r="K435" i="2"/>
  <c r="J435" i="2"/>
  <c r="I435" i="2"/>
  <c r="H435" i="2"/>
  <c r="G435" i="2"/>
  <c r="F435" i="2"/>
  <c r="E435" i="2"/>
  <c r="D435" i="2"/>
  <c r="C435" i="2"/>
  <c r="A435" i="2"/>
  <c r="M434" i="2"/>
  <c r="L434" i="2"/>
  <c r="K434" i="2"/>
  <c r="J434" i="2"/>
  <c r="I434" i="2"/>
  <c r="H434" i="2"/>
  <c r="G434" i="2"/>
  <c r="F434" i="2"/>
  <c r="E434" i="2"/>
  <c r="D434" i="2"/>
  <c r="C434" i="2"/>
  <c r="A434" i="2"/>
  <c r="M433" i="2"/>
  <c r="L433" i="2"/>
  <c r="K433" i="2"/>
  <c r="J433" i="2"/>
  <c r="I433" i="2"/>
  <c r="H433" i="2"/>
  <c r="G433" i="2"/>
  <c r="F433" i="2"/>
  <c r="E433" i="2"/>
  <c r="D433" i="2"/>
  <c r="C433" i="2"/>
  <c r="A433" i="2"/>
  <c r="M432" i="2"/>
  <c r="L432" i="2"/>
  <c r="K432" i="2"/>
  <c r="J432" i="2"/>
  <c r="I432" i="2"/>
  <c r="H432" i="2"/>
  <c r="G432" i="2"/>
  <c r="F432" i="2"/>
  <c r="E432" i="2"/>
  <c r="D432" i="2"/>
  <c r="C432" i="2"/>
  <c r="A432" i="2"/>
  <c r="M431" i="2"/>
  <c r="L431" i="2"/>
  <c r="K431" i="2"/>
  <c r="J431" i="2"/>
  <c r="I431" i="2"/>
  <c r="H431" i="2"/>
  <c r="G431" i="2"/>
  <c r="F431" i="2"/>
  <c r="E431" i="2"/>
  <c r="D431" i="2"/>
  <c r="C431" i="2"/>
  <c r="A431" i="2"/>
  <c r="M430" i="2"/>
  <c r="L430" i="2"/>
  <c r="K430" i="2"/>
  <c r="J430" i="2"/>
  <c r="I430" i="2"/>
  <c r="H430" i="2"/>
  <c r="G430" i="2"/>
  <c r="F430" i="2"/>
  <c r="E430" i="2"/>
  <c r="D430" i="2"/>
  <c r="C430" i="2"/>
  <c r="A430" i="2"/>
  <c r="M429" i="2"/>
  <c r="L429" i="2"/>
  <c r="K429" i="2"/>
  <c r="J429" i="2"/>
  <c r="I429" i="2"/>
  <c r="H429" i="2"/>
  <c r="G429" i="2"/>
  <c r="F429" i="2"/>
  <c r="E429" i="2"/>
  <c r="D429" i="2"/>
  <c r="C429" i="2"/>
  <c r="A429" i="2"/>
  <c r="M428" i="2"/>
  <c r="L428" i="2"/>
  <c r="K428" i="2"/>
  <c r="J428" i="2"/>
  <c r="I428" i="2"/>
  <c r="H428" i="2"/>
  <c r="G428" i="2"/>
  <c r="F428" i="2"/>
  <c r="E428" i="2"/>
  <c r="D428" i="2"/>
  <c r="C428" i="2"/>
  <c r="A428" i="2"/>
  <c r="M427" i="2"/>
  <c r="L427" i="2"/>
  <c r="K427" i="2"/>
  <c r="J427" i="2"/>
  <c r="I427" i="2"/>
  <c r="H427" i="2"/>
  <c r="G427" i="2"/>
  <c r="F427" i="2"/>
  <c r="E427" i="2"/>
  <c r="D427" i="2"/>
  <c r="C427" i="2"/>
  <c r="A427" i="2"/>
  <c r="M426" i="2"/>
  <c r="L426" i="2"/>
  <c r="K426" i="2"/>
  <c r="J426" i="2"/>
  <c r="I426" i="2"/>
  <c r="H426" i="2"/>
  <c r="G426" i="2"/>
  <c r="F426" i="2"/>
  <c r="E426" i="2"/>
  <c r="D426" i="2"/>
  <c r="C426" i="2"/>
  <c r="A426" i="2"/>
  <c r="M425" i="2"/>
  <c r="L425" i="2"/>
  <c r="K425" i="2"/>
  <c r="J425" i="2"/>
  <c r="I425" i="2"/>
  <c r="H425" i="2"/>
  <c r="G425" i="2"/>
  <c r="F425" i="2"/>
  <c r="E425" i="2"/>
  <c r="D425" i="2"/>
  <c r="C425" i="2"/>
  <c r="A425" i="2"/>
  <c r="M424" i="2"/>
  <c r="L424" i="2"/>
  <c r="K424" i="2"/>
  <c r="J424" i="2"/>
  <c r="I424" i="2"/>
  <c r="H424" i="2"/>
  <c r="G424" i="2"/>
  <c r="F424" i="2"/>
  <c r="E424" i="2"/>
  <c r="D424" i="2"/>
  <c r="C424" i="2"/>
  <c r="A424" i="2"/>
  <c r="M423" i="2"/>
  <c r="L423" i="2"/>
  <c r="K423" i="2"/>
  <c r="J423" i="2"/>
  <c r="I423" i="2"/>
  <c r="H423" i="2"/>
  <c r="G423" i="2"/>
  <c r="F423" i="2"/>
  <c r="E423" i="2"/>
  <c r="D423" i="2"/>
  <c r="C423" i="2"/>
  <c r="A423" i="2"/>
  <c r="M422" i="2"/>
  <c r="L422" i="2"/>
  <c r="K422" i="2"/>
  <c r="J422" i="2"/>
  <c r="I422" i="2"/>
  <c r="H422" i="2"/>
  <c r="G422" i="2"/>
  <c r="F422" i="2"/>
  <c r="E422" i="2"/>
  <c r="D422" i="2"/>
  <c r="C422" i="2"/>
  <c r="A422" i="2"/>
  <c r="M421" i="2"/>
  <c r="L421" i="2"/>
  <c r="K421" i="2"/>
  <c r="J421" i="2"/>
  <c r="I421" i="2"/>
  <c r="H421" i="2"/>
  <c r="G421" i="2"/>
  <c r="F421" i="2"/>
  <c r="E421" i="2"/>
  <c r="D421" i="2"/>
  <c r="C421" i="2"/>
  <c r="A421" i="2"/>
  <c r="M420" i="2"/>
  <c r="L420" i="2"/>
  <c r="K420" i="2"/>
  <c r="J420" i="2"/>
  <c r="I420" i="2"/>
  <c r="H420" i="2"/>
  <c r="G420" i="2"/>
  <c r="F420" i="2"/>
  <c r="E420" i="2"/>
  <c r="D420" i="2"/>
  <c r="C420" i="2"/>
  <c r="A420" i="2"/>
  <c r="M419" i="2"/>
  <c r="L419" i="2"/>
  <c r="K419" i="2"/>
  <c r="J419" i="2"/>
  <c r="I419" i="2"/>
  <c r="H419" i="2"/>
  <c r="G419" i="2"/>
  <c r="F419" i="2"/>
  <c r="E419" i="2"/>
  <c r="D419" i="2"/>
  <c r="C419" i="2"/>
  <c r="A419" i="2"/>
  <c r="M418" i="2"/>
  <c r="L418" i="2"/>
  <c r="K418" i="2"/>
  <c r="J418" i="2"/>
  <c r="I418" i="2"/>
  <c r="H418" i="2"/>
  <c r="G418" i="2"/>
  <c r="F418" i="2"/>
  <c r="E418" i="2"/>
  <c r="D418" i="2"/>
  <c r="C418" i="2"/>
  <c r="A418" i="2"/>
  <c r="M417" i="2"/>
  <c r="L417" i="2"/>
  <c r="K417" i="2"/>
  <c r="J417" i="2"/>
  <c r="I417" i="2"/>
  <c r="H417" i="2"/>
  <c r="G417" i="2"/>
  <c r="F417" i="2"/>
  <c r="E417" i="2"/>
  <c r="D417" i="2"/>
  <c r="C417" i="2"/>
  <c r="A417" i="2"/>
  <c r="M416" i="2"/>
  <c r="L416" i="2"/>
  <c r="K416" i="2"/>
  <c r="J416" i="2"/>
  <c r="I416" i="2"/>
  <c r="H416" i="2"/>
  <c r="G416" i="2"/>
  <c r="F416" i="2"/>
  <c r="E416" i="2"/>
  <c r="D416" i="2"/>
  <c r="C416" i="2"/>
  <c r="A416" i="2"/>
  <c r="M415" i="2"/>
  <c r="L415" i="2"/>
  <c r="K415" i="2"/>
  <c r="J415" i="2"/>
  <c r="I415" i="2"/>
  <c r="H415" i="2"/>
  <c r="G415" i="2"/>
  <c r="F415" i="2"/>
  <c r="E415" i="2"/>
  <c r="D415" i="2"/>
  <c r="C415" i="2"/>
  <c r="A415" i="2"/>
  <c r="M414" i="2"/>
  <c r="L414" i="2"/>
  <c r="K414" i="2"/>
  <c r="J414" i="2"/>
  <c r="I414" i="2"/>
  <c r="H414" i="2"/>
  <c r="G414" i="2"/>
  <c r="F414" i="2"/>
  <c r="E414" i="2"/>
  <c r="D414" i="2"/>
  <c r="C414" i="2"/>
  <c r="A414" i="2"/>
  <c r="M413" i="2"/>
  <c r="L413" i="2"/>
  <c r="K413" i="2"/>
  <c r="J413" i="2"/>
  <c r="I413" i="2"/>
  <c r="H413" i="2"/>
  <c r="G413" i="2"/>
  <c r="F413" i="2"/>
  <c r="E413" i="2"/>
  <c r="D413" i="2"/>
  <c r="C413" i="2"/>
  <c r="A413" i="2"/>
  <c r="M412" i="2"/>
  <c r="L412" i="2"/>
  <c r="K412" i="2"/>
  <c r="J412" i="2"/>
  <c r="I412" i="2"/>
  <c r="H412" i="2"/>
  <c r="G412" i="2"/>
  <c r="F412" i="2"/>
  <c r="E412" i="2"/>
  <c r="D412" i="2"/>
  <c r="C412" i="2"/>
  <c r="A412" i="2"/>
  <c r="M411" i="2"/>
  <c r="L411" i="2"/>
  <c r="K411" i="2"/>
  <c r="J411" i="2"/>
  <c r="I411" i="2"/>
  <c r="H411" i="2"/>
  <c r="G411" i="2"/>
  <c r="F411" i="2"/>
  <c r="E411" i="2"/>
  <c r="D411" i="2"/>
  <c r="C411" i="2"/>
  <c r="A411" i="2"/>
  <c r="M410" i="2"/>
  <c r="L410" i="2"/>
  <c r="K410" i="2"/>
  <c r="J410" i="2"/>
  <c r="I410" i="2"/>
  <c r="H410" i="2"/>
  <c r="G410" i="2"/>
  <c r="F410" i="2"/>
  <c r="E410" i="2"/>
  <c r="D410" i="2"/>
  <c r="C410" i="2"/>
  <c r="A410" i="2"/>
  <c r="M409" i="2"/>
  <c r="L409" i="2"/>
  <c r="K409" i="2"/>
  <c r="J409" i="2"/>
  <c r="I409" i="2"/>
  <c r="H409" i="2"/>
  <c r="G409" i="2"/>
  <c r="F409" i="2"/>
  <c r="E409" i="2"/>
  <c r="D409" i="2"/>
  <c r="C409" i="2"/>
  <c r="A409" i="2"/>
  <c r="M408" i="2"/>
  <c r="L408" i="2"/>
  <c r="K408" i="2"/>
  <c r="J408" i="2"/>
  <c r="I408" i="2"/>
  <c r="H408" i="2"/>
  <c r="G408" i="2"/>
  <c r="F408" i="2"/>
  <c r="E408" i="2"/>
  <c r="D408" i="2"/>
  <c r="C408" i="2"/>
  <c r="A408" i="2"/>
  <c r="M407" i="2"/>
  <c r="L407" i="2"/>
  <c r="K407" i="2"/>
  <c r="J407" i="2"/>
  <c r="I407" i="2"/>
  <c r="H407" i="2"/>
  <c r="G407" i="2"/>
  <c r="F407" i="2"/>
  <c r="E407" i="2"/>
  <c r="D407" i="2"/>
  <c r="C407" i="2"/>
  <c r="A407" i="2"/>
  <c r="M406" i="2"/>
  <c r="L406" i="2"/>
  <c r="K406" i="2"/>
  <c r="J406" i="2"/>
  <c r="I406" i="2"/>
  <c r="H406" i="2"/>
  <c r="G406" i="2"/>
  <c r="F406" i="2"/>
  <c r="E406" i="2"/>
  <c r="D406" i="2"/>
  <c r="C406" i="2"/>
  <c r="A406" i="2"/>
  <c r="M405" i="2"/>
  <c r="L405" i="2"/>
  <c r="K405" i="2"/>
  <c r="J405" i="2"/>
  <c r="I405" i="2"/>
  <c r="H405" i="2"/>
  <c r="G405" i="2"/>
  <c r="F405" i="2"/>
  <c r="E405" i="2"/>
  <c r="D405" i="2"/>
  <c r="C405" i="2"/>
  <c r="A405" i="2"/>
  <c r="M404" i="2"/>
  <c r="L404" i="2"/>
  <c r="K404" i="2"/>
  <c r="J404" i="2"/>
  <c r="I404" i="2"/>
  <c r="H404" i="2"/>
  <c r="G404" i="2"/>
  <c r="F404" i="2"/>
  <c r="E404" i="2"/>
  <c r="D404" i="2"/>
  <c r="C404" i="2"/>
  <c r="A404" i="2"/>
  <c r="M403" i="2"/>
  <c r="L403" i="2"/>
  <c r="K403" i="2"/>
  <c r="J403" i="2"/>
  <c r="I403" i="2"/>
  <c r="H403" i="2"/>
  <c r="G403" i="2"/>
  <c r="F403" i="2"/>
  <c r="E403" i="2"/>
  <c r="D403" i="2"/>
  <c r="C403" i="2"/>
  <c r="A403" i="2"/>
  <c r="M402" i="2"/>
  <c r="L402" i="2"/>
  <c r="K402" i="2"/>
  <c r="J402" i="2"/>
  <c r="I402" i="2"/>
  <c r="H402" i="2"/>
  <c r="G402" i="2"/>
  <c r="F402" i="2"/>
  <c r="E402" i="2"/>
  <c r="D402" i="2"/>
  <c r="C402" i="2"/>
  <c r="A402" i="2"/>
  <c r="M401" i="2"/>
  <c r="L401" i="2"/>
  <c r="K401" i="2"/>
  <c r="J401" i="2"/>
  <c r="I401" i="2"/>
  <c r="H401" i="2"/>
  <c r="G401" i="2"/>
  <c r="F401" i="2"/>
  <c r="E401" i="2"/>
  <c r="D401" i="2"/>
  <c r="C401" i="2"/>
  <c r="A401" i="2"/>
  <c r="M400" i="2"/>
  <c r="L400" i="2"/>
  <c r="K400" i="2"/>
  <c r="J400" i="2"/>
  <c r="I400" i="2"/>
  <c r="H400" i="2"/>
  <c r="G400" i="2"/>
  <c r="F400" i="2"/>
  <c r="E400" i="2"/>
  <c r="D400" i="2"/>
  <c r="C400" i="2"/>
  <c r="A400" i="2"/>
  <c r="M399" i="2"/>
  <c r="L399" i="2"/>
  <c r="K399" i="2"/>
  <c r="J399" i="2"/>
  <c r="I399" i="2"/>
  <c r="H399" i="2"/>
  <c r="G399" i="2"/>
  <c r="F399" i="2"/>
  <c r="E399" i="2"/>
  <c r="D399" i="2"/>
  <c r="C399" i="2"/>
  <c r="A399" i="2"/>
  <c r="M398" i="2"/>
  <c r="L398" i="2"/>
  <c r="K398" i="2"/>
  <c r="J398" i="2"/>
  <c r="I398" i="2"/>
  <c r="H398" i="2"/>
  <c r="G398" i="2"/>
  <c r="F398" i="2"/>
  <c r="E398" i="2"/>
  <c r="D398" i="2"/>
  <c r="C398" i="2"/>
  <c r="A398" i="2"/>
  <c r="M397" i="2"/>
  <c r="L397" i="2"/>
  <c r="K397" i="2"/>
  <c r="J397" i="2"/>
  <c r="I397" i="2"/>
  <c r="H397" i="2"/>
  <c r="G397" i="2"/>
  <c r="F397" i="2"/>
  <c r="E397" i="2"/>
  <c r="D397" i="2"/>
  <c r="C397" i="2"/>
  <c r="A397" i="2"/>
  <c r="M396" i="2"/>
  <c r="L396" i="2"/>
  <c r="K396" i="2"/>
  <c r="J396" i="2"/>
  <c r="I396" i="2"/>
  <c r="H396" i="2"/>
  <c r="G396" i="2"/>
  <c r="F396" i="2"/>
  <c r="E396" i="2"/>
  <c r="D396" i="2"/>
  <c r="C396" i="2"/>
  <c r="A396" i="2"/>
  <c r="M395" i="2"/>
  <c r="L395" i="2"/>
  <c r="K395" i="2"/>
  <c r="J395" i="2"/>
  <c r="I395" i="2"/>
  <c r="H395" i="2"/>
  <c r="G395" i="2"/>
  <c r="F395" i="2"/>
  <c r="E395" i="2"/>
  <c r="D395" i="2"/>
  <c r="C395" i="2"/>
  <c r="A395" i="2"/>
  <c r="M394" i="2"/>
  <c r="L394" i="2"/>
  <c r="K394" i="2"/>
  <c r="J394" i="2"/>
  <c r="I394" i="2"/>
  <c r="H394" i="2"/>
  <c r="G394" i="2"/>
  <c r="F394" i="2"/>
  <c r="E394" i="2"/>
  <c r="D394" i="2"/>
  <c r="C394" i="2"/>
  <c r="A394" i="2"/>
  <c r="M393" i="2"/>
  <c r="L393" i="2"/>
  <c r="K393" i="2"/>
  <c r="J393" i="2"/>
  <c r="I393" i="2"/>
  <c r="H393" i="2"/>
  <c r="G393" i="2"/>
  <c r="F393" i="2"/>
  <c r="E393" i="2"/>
  <c r="D393" i="2"/>
  <c r="C393" i="2"/>
  <c r="A393" i="2"/>
  <c r="M392" i="2"/>
  <c r="L392" i="2"/>
  <c r="K392" i="2"/>
  <c r="J392" i="2"/>
  <c r="I392" i="2"/>
  <c r="H392" i="2"/>
  <c r="G392" i="2"/>
  <c r="F392" i="2"/>
  <c r="E392" i="2"/>
  <c r="D392" i="2"/>
  <c r="C392" i="2"/>
  <c r="A392" i="2"/>
  <c r="M391" i="2"/>
  <c r="L391" i="2"/>
  <c r="K391" i="2"/>
  <c r="J391" i="2"/>
  <c r="I391" i="2"/>
  <c r="H391" i="2"/>
  <c r="G391" i="2"/>
  <c r="F391" i="2"/>
  <c r="E391" i="2"/>
  <c r="D391" i="2"/>
  <c r="C391" i="2"/>
  <c r="A391" i="2"/>
  <c r="M390" i="2"/>
  <c r="L390" i="2"/>
  <c r="K390" i="2"/>
  <c r="J390" i="2"/>
  <c r="I390" i="2"/>
  <c r="H390" i="2"/>
  <c r="G390" i="2"/>
  <c r="F390" i="2"/>
  <c r="E390" i="2"/>
  <c r="D390" i="2"/>
  <c r="C390" i="2"/>
  <c r="A390" i="2"/>
  <c r="M389" i="2"/>
  <c r="L389" i="2"/>
  <c r="K389" i="2"/>
  <c r="J389" i="2"/>
  <c r="I389" i="2"/>
  <c r="H389" i="2"/>
  <c r="G389" i="2"/>
  <c r="F389" i="2"/>
  <c r="E389" i="2"/>
  <c r="D389" i="2"/>
  <c r="C389" i="2"/>
  <c r="A389" i="2"/>
  <c r="M388" i="2"/>
  <c r="L388" i="2"/>
  <c r="K388" i="2"/>
  <c r="J388" i="2"/>
  <c r="I388" i="2"/>
  <c r="H388" i="2"/>
  <c r="G388" i="2"/>
  <c r="F388" i="2"/>
  <c r="E388" i="2"/>
  <c r="D388" i="2"/>
  <c r="C388" i="2"/>
  <c r="A388" i="2"/>
  <c r="M387" i="2"/>
  <c r="L387" i="2"/>
  <c r="K387" i="2"/>
  <c r="J387" i="2"/>
  <c r="I387" i="2"/>
  <c r="H387" i="2"/>
  <c r="G387" i="2"/>
  <c r="F387" i="2"/>
  <c r="E387" i="2"/>
  <c r="D387" i="2"/>
  <c r="C387" i="2"/>
  <c r="A387" i="2"/>
  <c r="M386" i="2"/>
  <c r="L386" i="2"/>
  <c r="K386" i="2"/>
  <c r="J386" i="2"/>
  <c r="I386" i="2"/>
  <c r="H386" i="2"/>
  <c r="G386" i="2"/>
  <c r="F386" i="2"/>
  <c r="E386" i="2"/>
  <c r="D386" i="2"/>
  <c r="C386" i="2"/>
  <c r="A386" i="2"/>
  <c r="M385" i="2"/>
  <c r="L385" i="2"/>
  <c r="K385" i="2"/>
  <c r="J385" i="2"/>
  <c r="I385" i="2"/>
  <c r="H385" i="2"/>
  <c r="G385" i="2"/>
  <c r="F385" i="2"/>
  <c r="E385" i="2"/>
  <c r="D385" i="2"/>
  <c r="C385" i="2"/>
  <c r="A385" i="2"/>
  <c r="M384" i="2"/>
  <c r="L384" i="2"/>
  <c r="K384" i="2"/>
  <c r="J384" i="2"/>
  <c r="I384" i="2"/>
  <c r="H384" i="2"/>
  <c r="G384" i="2"/>
  <c r="F384" i="2"/>
  <c r="E384" i="2"/>
  <c r="D384" i="2"/>
  <c r="C384" i="2"/>
  <c r="A384" i="2"/>
  <c r="M383" i="2"/>
  <c r="L383" i="2"/>
  <c r="K383" i="2"/>
  <c r="J383" i="2"/>
  <c r="I383" i="2"/>
  <c r="H383" i="2"/>
  <c r="G383" i="2"/>
  <c r="F383" i="2"/>
  <c r="E383" i="2"/>
  <c r="D383" i="2"/>
  <c r="C383" i="2"/>
  <c r="A383" i="2"/>
  <c r="M382" i="2"/>
  <c r="L382" i="2"/>
  <c r="K382" i="2"/>
  <c r="J382" i="2"/>
  <c r="I382" i="2"/>
  <c r="H382" i="2"/>
  <c r="G382" i="2"/>
  <c r="F382" i="2"/>
  <c r="E382" i="2"/>
  <c r="D382" i="2"/>
  <c r="C382" i="2"/>
  <c r="A382" i="2"/>
  <c r="M381" i="2"/>
  <c r="L381" i="2"/>
  <c r="K381" i="2"/>
  <c r="J381" i="2"/>
  <c r="I381" i="2"/>
  <c r="H381" i="2"/>
  <c r="G381" i="2"/>
  <c r="F381" i="2"/>
  <c r="E381" i="2"/>
  <c r="D381" i="2"/>
  <c r="C381" i="2"/>
  <c r="A381" i="2"/>
  <c r="M380" i="2"/>
  <c r="L380" i="2"/>
  <c r="K380" i="2"/>
  <c r="J380" i="2"/>
  <c r="I380" i="2"/>
  <c r="H380" i="2"/>
  <c r="G380" i="2"/>
  <c r="F380" i="2"/>
  <c r="E380" i="2"/>
  <c r="D380" i="2"/>
  <c r="C380" i="2"/>
  <c r="A380" i="2"/>
  <c r="M379" i="2"/>
  <c r="L379" i="2"/>
  <c r="K379" i="2"/>
  <c r="J379" i="2"/>
  <c r="I379" i="2"/>
  <c r="H379" i="2"/>
  <c r="G379" i="2"/>
  <c r="F379" i="2"/>
  <c r="E379" i="2"/>
  <c r="D379" i="2"/>
  <c r="C379" i="2"/>
  <c r="A379" i="2"/>
  <c r="M378" i="2"/>
  <c r="L378" i="2"/>
  <c r="K378" i="2"/>
  <c r="J378" i="2"/>
  <c r="I378" i="2"/>
  <c r="H378" i="2"/>
  <c r="G378" i="2"/>
  <c r="F378" i="2"/>
  <c r="E378" i="2"/>
  <c r="D378" i="2"/>
  <c r="C378" i="2"/>
  <c r="A378" i="2"/>
  <c r="M377" i="2"/>
  <c r="L377" i="2"/>
  <c r="K377" i="2"/>
  <c r="J377" i="2"/>
  <c r="I377" i="2"/>
  <c r="H377" i="2"/>
  <c r="G377" i="2"/>
  <c r="F377" i="2"/>
  <c r="E377" i="2"/>
  <c r="D377" i="2"/>
  <c r="C377" i="2"/>
  <c r="A377" i="2"/>
  <c r="M376" i="2"/>
  <c r="L376" i="2"/>
  <c r="K376" i="2"/>
  <c r="J376" i="2"/>
  <c r="I376" i="2"/>
  <c r="H376" i="2"/>
  <c r="G376" i="2"/>
  <c r="F376" i="2"/>
  <c r="E376" i="2"/>
  <c r="D376" i="2"/>
  <c r="C376" i="2"/>
  <c r="A376" i="2"/>
  <c r="M375" i="2"/>
  <c r="L375" i="2"/>
  <c r="K375" i="2"/>
  <c r="J375" i="2"/>
  <c r="I375" i="2"/>
  <c r="H375" i="2"/>
  <c r="G375" i="2"/>
  <c r="F375" i="2"/>
  <c r="E375" i="2"/>
  <c r="D375" i="2"/>
  <c r="C375" i="2"/>
  <c r="A375" i="2"/>
  <c r="M374" i="2"/>
  <c r="L374" i="2"/>
  <c r="K374" i="2"/>
  <c r="J374" i="2"/>
  <c r="I374" i="2"/>
  <c r="H374" i="2"/>
  <c r="G374" i="2"/>
  <c r="F374" i="2"/>
  <c r="E374" i="2"/>
  <c r="D374" i="2"/>
  <c r="C374" i="2"/>
  <c r="A374" i="2"/>
  <c r="M373" i="2"/>
  <c r="L373" i="2"/>
  <c r="K373" i="2"/>
  <c r="J373" i="2"/>
  <c r="I373" i="2"/>
  <c r="H373" i="2"/>
  <c r="G373" i="2"/>
  <c r="F373" i="2"/>
  <c r="E373" i="2"/>
  <c r="D373" i="2"/>
  <c r="C373" i="2"/>
  <c r="A373" i="2"/>
  <c r="M372" i="2"/>
  <c r="L372" i="2"/>
  <c r="K372" i="2"/>
  <c r="J372" i="2"/>
  <c r="I372" i="2"/>
  <c r="H372" i="2"/>
  <c r="G372" i="2"/>
  <c r="F372" i="2"/>
  <c r="E372" i="2"/>
  <c r="D372" i="2"/>
  <c r="C372" i="2"/>
  <c r="A372" i="2"/>
  <c r="M371" i="2"/>
  <c r="L371" i="2"/>
  <c r="K371" i="2"/>
  <c r="J371" i="2"/>
  <c r="I371" i="2"/>
  <c r="H371" i="2"/>
  <c r="G371" i="2"/>
  <c r="F371" i="2"/>
  <c r="E371" i="2"/>
  <c r="D371" i="2"/>
  <c r="C371" i="2"/>
  <c r="A371" i="2"/>
  <c r="M370" i="2"/>
  <c r="L370" i="2"/>
  <c r="K370" i="2"/>
  <c r="J370" i="2"/>
  <c r="I370" i="2"/>
  <c r="H370" i="2"/>
  <c r="G370" i="2"/>
  <c r="F370" i="2"/>
  <c r="E370" i="2"/>
  <c r="D370" i="2"/>
  <c r="C370" i="2"/>
  <c r="A370" i="2"/>
  <c r="M369" i="2"/>
  <c r="L369" i="2"/>
  <c r="K369" i="2"/>
  <c r="J369" i="2"/>
  <c r="I369" i="2"/>
  <c r="H369" i="2"/>
  <c r="G369" i="2"/>
  <c r="F369" i="2"/>
  <c r="E369" i="2"/>
  <c r="D369" i="2"/>
  <c r="C369" i="2"/>
  <c r="A369" i="2"/>
  <c r="M368" i="2"/>
  <c r="L368" i="2"/>
  <c r="K368" i="2"/>
  <c r="J368" i="2"/>
  <c r="I368" i="2"/>
  <c r="H368" i="2"/>
  <c r="G368" i="2"/>
  <c r="F368" i="2"/>
  <c r="E368" i="2"/>
  <c r="D368" i="2"/>
  <c r="C368" i="2"/>
  <c r="A368" i="2"/>
  <c r="M367" i="2"/>
  <c r="L367" i="2"/>
  <c r="K367" i="2"/>
  <c r="J367" i="2"/>
  <c r="I367" i="2"/>
  <c r="H367" i="2"/>
  <c r="G367" i="2"/>
  <c r="F367" i="2"/>
  <c r="E367" i="2"/>
  <c r="D367" i="2"/>
  <c r="C367" i="2"/>
  <c r="A367" i="2"/>
  <c r="M366" i="2"/>
  <c r="L366" i="2"/>
  <c r="K366" i="2"/>
  <c r="J366" i="2"/>
  <c r="I366" i="2"/>
  <c r="H366" i="2"/>
  <c r="G366" i="2"/>
  <c r="F366" i="2"/>
  <c r="E366" i="2"/>
  <c r="D366" i="2"/>
  <c r="C366" i="2"/>
  <c r="A366" i="2"/>
  <c r="M365" i="2"/>
  <c r="L365" i="2"/>
  <c r="K365" i="2"/>
  <c r="J365" i="2"/>
  <c r="I365" i="2"/>
  <c r="H365" i="2"/>
  <c r="G365" i="2"/>
  <c r="F365" i="2"/>
  <c r="E365" i="2"/>
  <c r="D365" i="2"/>
  <c r="C365" i="2"/>
  <c r="A365" i="2"/>
  <c r="M364" i="2"/>
  <c r="L364" i="2"/>
  <c r="K364" i="2"/>
  <c r="J364" i="2"/>
  <c r="I364" i="2"/>
  <c r="H364" i="2"/>
  <c r="G364" i="2"/>
  <c r="F364" i="2"/>
  <c r="E364" i="2"/>
  <c r="D364" i="2"/>
  <c r="C364" i="2"/>
  <c r="A364" i="2"/>
  <c r="M363" i="2"/>
  <c r="L363" i="2"/>
  <c r="K363" i="2"/>
  <c r="J363" i="2"/>
  <c r="I363" i="2"/>
  <c r="H363" i="2"/>
  <c r="G363" i="2"/>
  <c r="F363" i="2"/>
  <c r="E363" i="2"/>
  <c r="D363" i="2"/>
  <c r="C363" i="2"/>
  <c r="A363" i="2"/>
  <c r="M362" i="2"/>
  <c r="L362" i="2"/>
  <c r="K362" i="2"/>
  <c r="J362" i="2"/>
  <c r="I362" i="2"/>
  <c r="H362" i="2"/>
  <c r="G362" i="2"/>
  <c r="F362" i="2"/>
  <c r="E362" i="2"/>
  <c r="D362" i="2"/>
  <c r="C362" i="2"/>
  <c r="A362" i="2"/>
  <c r="M361" i="2"/>
  <c r="L361" i="2"/>
  <c r="K361" i="2"/>
  <c r="J361" i="2"/>
  <c r="I361" i="2"/>
  <c r="H361" i="2"/>
  <c r="G361" i="2"/>
  <c r="F361" i="2"/>
  <c r="E361" i="2"/>
  <c r="D361" i="2"/>
  <c r="C361" i="2"/>
  <c r="A361" i="2"/>
  <c r="M360" i="2"/>
  <c r="L360" i="2"/>
  <c r="K360" i="2"/>
  <c r="J360" i="2"/>
  <c r="I360" i="2"/>
  <c r="H360" i="2"/>
  <c r="G360" i="2"/>
  <c r="F360" i="2"/>
  <c r="E360" i="2"/>
  <c r="D360" i="2"/>
  <c r="C360" i="2"/>
  <c r="A360" i="2"/>
  <c r="M359" i="2"/>
  <c r="L359" i="2"/>
  <c r="K359" i="2"/>
  <c r="J359" i="2"/>
  <c r="I359" i="2"/>
  <c r="H359" i="2"/>
  <c r="G359" i="2"/>
  <c r="F359" i="2"/>
  <c r="E359" i="2"/>
  <c r="D359" i="2"/>
  <c r="C359" i="2"/>
  <c r="A359" i="2"/>
  <c r="M358" i="2"/>
  <c r="L358" i="2"/>
  <c r="K358" i="2"/>
  <c r="J358" i="2"/>
  <c r="I358" i="2"/>
  <c r="H358" i="2"/>
  <c r="G358" i="2"/>
  <c r="F358" i="2"/>
  <c r="E358" i="2"/>
  <c r="D358" i="2"/>
  <c r="C358" i="2"/>
  <c r="A358" i="2"/>
  <c r="M357" i="2"/>
  <c r="L357" i="2"/>
  <c r="K357" i="2"/>
  <c r="J357" i="2"/>
  <c r="I357" i="2"/>
  <c r="H357" i="2"/>
  <c r="G357" i="2"/>
  <c r="F357" i="2"/>
  <c r="E357" i="2"/>
  <c r="D357" i="2"/>
  <c r="C357" i="2"/>
  <c r="A357" i="2"/>
  <c r="M356" i="2"/>
  <c r="L356" i="2"/>
  <c r="K356" i="2"/>
  <c r="J356" i="2"/>
  <c r="I356" i="2"/>
  <c r="H356" i="2"/>
  <c r="G356" i="2"/>
  <c r="F356" i="2"/>
  <c r="E356" i="2"/>
  <c r="D356" i="2"/>
  <c r="C356" i="2"/>
  <c r="A356" i="2"/>
  <c r="M355" i="2"/>
  <c r="L355" i="2"/>
  <c r="K355" i="2"/>
  <c r="J355" i="2"/>
  <c r="I355" i="2"/>
  <c r="H355" i="2"/>
  <c r="G355" i="2"/>
  <c r="F355" i="2"/>
  <c r="E355" i="2"/>
  <c r="D355" i="2"/>
  <c r="C355" i="2"/>
  <c r="A355" i="2"/>
  <c r="M354" i="2"/>
  <c r="L354" i="2"/>
  <c r="K354" i="2"/>
  <c r="J354" i="2"/>
  <c r="I354" i="2"/>
  <c r="H354" i="2"/>
  <c r="G354" i="2"/>
  <c r="F354" i="2"/>
  <c r="E354" i="2"/>
  <c r="D354" i="2"/>
  <c r="C354" i="2"/>
  <c r="A354" i="2"/>
  <c r="M353" i="2"/>
  <c r="L353" i="2"/>
  <c r="K353" i="2"/>
  <c r="J353" i="2"/>
  <c r="I353" i="2"/>
  <c r="H353" i="2"/>
  <c r="G353" i="2"/>
  <c r="F353" i="2"/>
  <c r="E353" i="2"/>
  <c r="D353" i="2"/>
  <c r="C353" i="2"/>
  <c r="A353" i="2"/>
  <c r="M352" i="2"/>
  <c r="L352" i="2"/>
  <c r="K352" i="2"/>
  <c r="J352" i="2"/>
  <c r="I352" i="2"/>
  <c r="H352" i="2"/>
  <c r="G352" i="2"/>
  <c r="F352" i="2"/>
  <c r="E352" i="2"/>
  <c r="D352" i="2"/>
  <c r="C352" i="2"/>
  <c r="A352" i="2"/>
  <c r="M351" i="2"/>
  <c r="L351" i="2"/>
  <c r="K351" i="2"/>
  <c r="J351" i="2"/>
  <c r="I351" i="2"/>
  <c r="H351" i="2"/>
  <c r="G351" i="2"/>
  <c r="F351" i="2"/>
  <c r="E351" i="2"/>
  <c r="D351" i="2"/>
  <c r="C351" i="2"/>
  <c r="A351" i="2"/>
  <c r="M350" i="2"/>
  <c r="L350" i="2"/>
  <c r="K350" i="2"/>
  <c r="J350" i="2"/>
  <c r="I350" i="2"/>
  <c r="H350" i="2"/>
  <c r="G350" i="2"/>
  <c r="F350" i="2"/>
  <c r="E350" i="2"/>
  <c r="D350" i="2"/>
  <c r="C350" i="2"/>
  <c r="A350" i="2"/>
  <c r="M349" i="2"/>
  <c r="L349" i="2"/>
  <c r="K349" i="2"/>
  <c r="J349" i="2"/>
  <c r="I349" i="2"/>
  <c r="H349" i="2"/>
  <c r="G349" i="2"/>
  <c r="F349" i="2"/>
  <c r="E349" i="2"/>
  <c r="D349" i="2"/>
  <c r="C349" i="2"/>
  <c r="A349" i="2"/>
  <c r="M348" i="2"/>
  <c r="L348" i="2"/>
  <c r="K348" i="2"/>
  <c r="J348" i="2"/>
  <c r="I348" i="2"/>
  <c r="H348" i="2"/>
  <c r="G348" i="2"/>
  <c r="F348" i="2"/>
  <c r="E348" i="2"/>
  <c r="D348" i="2"/>
  <c r="C348" i="2"/>
  <c r="A348" i="2"/>
  <c r="M347" i="2"/>
  <c r="L347" i="2"/>
  <c r="K347" i="2"/>
  <c r="J347" i="2"/>
  <c r="I347" i="2"/>
  <c r="H347" i="2"/>
  <c r="G347" i="2"/>
  <c r="F347" i="2"/>
  <c r="E347" i="2"/>
  <c r="D347" i="2"/>
  <c r="C347" i="2"/>
  <c r="A347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M345" i="2"/>
  <c r="L345" i="2"/>
  <c r="K345" i="2"/>
  <c r="J345" i="2"/>
  <c r="I345" i="2"/>
  <c r="H345" i="2"/>
  <c r="G345" i="2"/>
  <c r="F345" i="2"/>
  <c r="E345" i="2"/>
  <c r="D345" i="2"/>
  <c r="C345" i="2"/>
  <c r="A345" i="2"/>
  <c r="M344" i="2"/>
  <c r="L344" i="2"/>
  <c r="K344" i="2"/>
  <c r="J344" i="2"/>
  <c r="I344" i="2"/>
  <c r="H344" i="2"/>
  <c r="G344" i="2"/>
  <c r="F344" i="2"/>
  <c r="E344" i="2"/>
  <c r="D344" i="2"/>
  <c r="C344" i="2"/>
  <c r="A344" i="2"/>
  <c r="M343" i="2"/>
  <c r="L343" i="2"/>
  <c r="K343" i="2"/>
  <c r="J343" i="2"/>
  <c r="I343" i="2"/>
  <c r="H343" i="2"/>
  <c r="G343" i="2"/>
  <c r="F343" i="2"/>
  <c r="E343" i="2"/>
  <c r="D343" i="2"/>
  <c r="C343" i="2"/>
  <c r="A343" i="2"/>
  <c r="M342" i="2"/>
  <c r="L342" i="2"/>
  <c r="K342" i="2"/>
  <c r="J342" i="2"/>
  <c r="I342" i="2"/>
  <c r="H342" i="2"/>
  <c r="G342" i="2"/>
  <c r="F342" i="2"/>
  <c r="E342" i="2"/>
  <c r="D342" i="2"/>
  <c r="C342" i="2"/>
  <c r="A342" i="2"/>
  <c r="M341" i="2"/>
  <c r="L341" i="2"/>
  <c r="K341" i="2"/>
  <c r="J341" i="2"/>
  <c r="I341" i="2"/>
  <c r="H341" i="2"/>
  <c r="G341" i="2"/>
  <c r="F341" i="2"/>
  <c r="E341" i="2"/>
  <c r="D341" i="2"/>
  <c r="C341" i="2"/>
  <c r="A341" i="2"/>
  <c r="M340" i="2"/>
  <c r="L340" i="2"/>
  <c r="K340" i="2"/>
  <c r="J340" i="2"/>
  <c r="I340" i="2"/>
  <c r="H340" i="2"/>
  <c r="G340" i="2"/>
  <c r="F340" i="2"/>
  <c r="E340" i="2"/>
  <c r="D340" i="2"/>
  <c r="C340" i="2"/>
  <c r="A340" i="2"/>
  <c r="M339" i="2"/>
  <c r="L339" i="2"/>
  <c r="K339" i="2"/>
  <c r="J339" i="2"/>
  <c r="I339" i="2"/>
  <c r="H339" i="2"/>
  <c r="G339" i="2"/>
  <c r="F339" i="2"/>
  <c r="E339" i="2"/>
  <c r="D339" i="2"/>
  <c r="C339" i="2"/>
  <c r="A339" i="2"/>
  <c r="M338" i="2"/>
  <c r="L338" i="2"/>
  <c r="K338" i="2"/>
  <c r="J338" i="2"/>
  <c r="I338" i="2"/>
  <c r="H338" i="2"/>
  <c r="G338" i="2"/>
  <c r="F338" i="2"/>
  <c r="E338" i="2"/>
  <c r="D338" i="2"/>
  <c r="C338" i="2"/>
  <c r="A338" i="2"/>
  <c r="M337" i="2"/>
  <c r="L337" i="2"/>
  <c r="K337" i="2"/>
  <c r="J337" i="2"/>
  <c r="I337" i="2"/>
  <c r="H337" i="2"/>
  <c r="G337" i="2"/>
  <c r="F337" i="2"/>
  <c r="E337" i="2"/>
  <c r="D337" i="2"/>
  <c r="C337" i="2"/>
  <c r="A337" i="2"/>
  <c r="M336" i="2"/>
  <c r="L336" i="2"/>
  <c r="K336" i="2"/>
  <c r="J336" i="2"/>
  <c r="I336" i="2"/>
  <c r="H336" i="2"/>
  <c r="G336" i="2"/>
  <c r="F336" i="2"/>
  <c r="E336" i="2"/>
  <c r="D336" i="2"/>
  <c r="C336" i="2"/>
  <c r="A336" i="2"/>
  <c r="M335" i="2"/>
  <c r="L335" i="2"/>
  <c r="K335" i="2"/>
  <c r="J335" i="2"/>
  <c r="I335" i="2"/>
  <c r="H335" i="2"/>
  <c r="G335" i="2"/>
  <c r="F335" i="2"/>
  <c r="E335" i="2"/>
  <c r="D335" i="2"/>
  <c r="C335" i="2"/>
  <c r="A335" i="2"/>
  <c r="M334" i="2"/>
  <c r="L334" i="2"/>
  <c r="K334" i="2"/>
  <c r="J334" i="2"/>
  <c r="I334" i="2"/>
  <c r="H334" i="2"/>
  <c r="G334" i="2"/>
  <c r="F334" i="2"/>
  <c r="E334" i="2"/>
  <c r="D334" i="2"/>
  <c r="C334" i="2"/>
  <c r="A334" i="2"/>
  <c r="M333" i="2"/>
  <c r="L333" i="2"/>
  <c r="K333" i="2"/>
  <c r="J333" i="2"/>
  <c r="I333" i="2"/>
  <c r="H333" i="2"/>
  <c r="G333" i="2"/>
  <c r="F333" i="2"/>
  <c r="E333" i="2"/>
  <c r="D333" i="2"/>
  <c r="C333" i="2"/>
  <c r="A333" i="2"/>
  <c r="M332" i="2"/>
  <c r="L332" i="2"/>
  <c r="K332" i="2"/>
  <c r="J332" i="2"/>
  <c r="I332" i="2"/>
  <c r="H332" i="2"/>
  <c r="G332" i="2"/>
  <c r="F332" i="2"/>
  <c r="E332" i="2"/>
  <c r="D332" i="2"/>
  <c r="C332" i="2"/>
  <c r="A332" i="2"/>
  <c r="M331" i="2"/>
  <c r="L331" i="2"/>
  <c r="K331" i="2"/>
  <c r="J331" i="2"/>
  <c r="I331" i="2"/>
  <c r="H331" i="2"/>
  <c r="G331" i="2"/>
  <c r="E331" i="2"/>
  <c r="D331" i="2"/>
  <c r="C331" i="2"/>
  <c r="A331" i="2"/>
  <c r="M330" i="2"/>
  <c r="L330" i="2"/>
  <c r="K330" i="2"/>
  <c r="J330" i="2"/>
  <c r="I330" i="2"/>
  <c r="H330" i="2"/>
  <c r="G330" i="2"/>
  <c r="F330" i="2"/>
  <c r="E330" i="2"/>
  <c r="D330" i="2"/>
  <c r="C330" i="2"/>
  <c r="A330" i="2"/>
  <c r="M329" i="2"/>
  <c r="L329" i="2"/>
  <c r="K329" i="2"/>
  <c r="J329" i="2"/>
  <c r="I329" i="2"/>
  <c r="H329" i="2"/>
  <c r="G329" i="2"/>
  <c r="F329" i="2"/>
  <c r="E329" i="2"/>
  <c r="D329" i="2"/>
  <c r="C329" i="2"/>
  <c r="A329" i="2"/>
  <c r="M328" i="2"/>
  <c r="L328" i="2"/>
  <c r="K328" i="2"/>
  <c r="J328" i="2"/>
  <c r="I328" i="2"/>
  <c r="H328" i="2"/>
  <c r="G328" i="2"/>
  <c r="F328" i="2"/>
  <c r="E328" i="2"/>
  <c r="D328" i="2"/>
  <c r="C328" i="2"/>
  <c r="A328" i="2"/>
  <c r="M327" i="2"/>
  <c r="L327" i="2"/>
  <c r="K327" i="2"/>
  <c r="J327" i="2"/>
  <c r="I327" i="2"/>
  <c r="H327" i="2"/>
  <c r="G327" i="2"/>
  <c r="F327" i="2"/>
  <c r="E327" i="2"/>
  <c r="D327" i="2"/>
  <c r="C327" i="2"/>
  <c r="A327" i="2"/>
  <c r="M326" i="2"/>
  <c r="L326" i="2"/>
  <c r="K326" i="2"/>
  <c r="J326" i="2"/>
  <c r="I326" i="2"/>
  <c r="H326" i="2"/>
  <c r="G326" i="2"/>
  <c r="F326" i="2"/>
  <c r="E326" i="2"/>
  <c r="D326" i="2"/>
  <c r="C326" i="2"/>
  <c r="A326" i="2"/>
  <c r="M325" i="2"/>
  <c r="L325" i="2"/>
  <c r="K325" i="2"/>
  <c r="J325" i="2"/>
  <c r="I325" i="2"/>
  <c r="H325" i="2"/>
  <c r="G325" i="2"/>
  <c r="F325" i="2"/>
  <c r="E325" i="2"/>
  <c r="D325" i="2"/>
  <c r="C325" i="2"/>
  <c r="A325" i="2"/>
  <c r="M324" i="2"/>
  <c r="L324" i="2"/>
  <c r="K324" i="2"/>
  <c r="J324" i="2"/>
  <c r="I324" i="2"/>
  <c r="H324" i="2"/>
  <c r="G324" i="2"/>
  <c r="F324" i="2"/>
  <c r="E324" i="2"/>
  <c r="D324" i="2"/>
  <c r="C324" i="2"/>
  <c r="A324" i="2"/>
  <c r="M323" i="2"/>
  <c r="L323" i="2"/>
  <c r="K323" i="2"/>
  <c r="J323" i="2"/>
  <c r="I323" i="2"/>
  <c r="H323" i="2"/>
  <c r="G323" i="2"/>
  <c r="F323" i="2"/>
  <c r="E323" i="2"/>
  <c r="D323" i="2"/>
  <c r="C323" i="2"/>
  <c r="A323" i="2"/>
  <c r="M322" i="2"/>
  <c r="L322" i="2"/>
  <c r="K322" i="2"/>
  <c r="J322" i="2"/>
  <c r="I322" i="2"/>
  <c r="H322" i="2"/>
  <c r="G322" i="2"/>
  <c r="F322" i="2"/>
  <c r="E322" i="2"/>
  <c r="D322" i="2"/>
  <c r="C322" i="2"/>
  <c r="A322" i="2"/>
  <c r="M321" i="2"/>
  <c r="L321" i="2"/>
  <c r="K321" i="2"/>
  <c r="J321" i="2"/>
  <c r="I321" i="2"/>
  <c r="H321" i="2"/>
  <c r="G321" i="2"/>
  <c r="F321" i="2"/>
  <c r="E321" i="2"/>
  <c r="D321" i="2"/>
  <c r="C321" i="2"/>
  <c r="A321" i="2"/>
  <c r="M320" i="2"/>
  <c r="L320" i="2"/>
  <c r="K320" i="2"/>
  <c r="J320" i="2"/>
  <c r="I320" i="2"/>
  <c r="H320" i="2"/>
  <c r="G320" i="2"/>
  <c r="F320" i="2"/>
  <c r="E320" i="2"/>
  <c r="D320" i="2"/>
  <c r="C320" i="2"/>
  <c r="A320" i="2"/>
  <c r="M319" i="2"/>
  <c r="L319" i="2"/>
  <c r="K319" i="2"/>
  <c r="J319" i="2"/>
  <c r="I319" i="2"/>
  <c r="H319" i="2"/>
  <c r="G319" i="2"/>
  <c r="F319" i="2"/>
  <c r="E319" i="2"/>
  <c r="D319" i="2"/>
  <c r="C319" i="2"/>
  <c r="A319" i="2"/>
  <c r="M318" i="2"/>
  <c r="L318" i="2"/>
  <c r="K318" i="2"/>
  <c r="J318" i="2"/>
  <c r="I318" i="2"/>
  <c r="H318" i="2"/>
  <c r="G318" i="2"/>
  <c r="F318" i="2"/>
  <c r="E318" i="2"/>
  <c r="D318" i="2"/>
  <c r="C318" i="2"/>
  <c r="A318" i="2"/>
  <c r="M317" i="2"/>
  <c r="L317" i="2"/>
  <c r="K317" i="2"/>
  <c r="J317" i="2"/>
  <c r="I317" i="2"/>
  <c r="H317" i="2"/>
  <c r="G317" i="2"/>
  <c r="F317" i="2"/>
  <c r="E317" i="2"/>
  <c r="D317" i="2"/>
  <c r="C317" i="2"/>
  <c r="A317" i="2"/>
  <c r="M316" i="2"/>
  <c r="L316" i="2"/>
  <c r="K316" i="2"/>
  <c r="J316" i="2"/>
  <c r="I316" i="2"/>
  <c r="H316" i="2"/>
  <c r="G316" i="2"/>
  <c r="F316" i="2"/>
  <c r="E316" i="2"/>
  <c r="D316" i="2"/>
  <c r="C316" i="2"/>
  <c r="A316" i="2"/>
  <c r="M315" i="2"/>
  <c r="L315" i="2"/>
  <c r="K315" i="2"/>
  <c r="J315" i="2"/>
  <c r="I315" i="2"/>
  <c r="H315" i="2"/>
  <c r="G315" i="2"/>
  <c r="F315" i="2"/>
  <c r="E315" i="2"/>
  <c r="D315" i="2"/>
  <c r="C315" i="2"/>
  <c r="A315" i="2"/>
  <c r="M314" i="2"/>
  <c r="L314" i="2"/>
  <c r="K314" i="2"/>
  <c r="J314" i="2"/>
  <c r="I314" i="2"/>
  <c r="H314" i="2"/>
  <c r="G314" i="2"/>
  <c r="F314" i="2"/>
  <c r="E314" i="2"/>
  <c r="D314" i="2"/>
  <c r="C314" i="2"/>
  <c r="A314" i="2"/>
  <c r="M313" i="2"/>
  <c r="L313" i="2"/>
  <c r="K313" i="2"/>
  <c r="J313" i="2"/>
  <c r="I313" i="2"/>
  <c r="H313" i="2"/>
  <c r="G313" i="2"/>
  <c r="F313" i="2"/>
  <c r="E313" i="2"/>
  <c r="D313" i="2"/>
  <c r="C313" i="2"/>
  <c r="A313" i="2"/>
  <c r="M312" i="2"/>
  <c r="L312" i="2"/>
  <c r="K312" i="2"/>
  <c r="J312" i="2"/>
  <c r="I312" i="2"/>
  <c r="H312" i="2"/>
  <c r="G312" i="2"/>
  <c r="F312" i="2"/>
  <c r="E312" i="2"/>
  <c r="D312" i="2"/>
  <c r="C312" i="2"/>
  <c r="A312" i="2"/>
  <c r="M311" i="2"/>
  <c r="L311" i="2"/>
  <c r="K311" i="2"/>
  <c r="J311" i="2"/>
  <c r="I311" i="2"/>
  <c r="H311" i="2"/>
  <c r="G311" i="2"/>
  <c r="F311" i="2"/>
  <c r="E311" i="2"/>
  <c r="D311" i="2"/>
  <c r="C311" i="2"/>
  <c r="A311" i="2"/>
  <c r="M310" i="2"/>
  <c r="L310" i="2"/>
  <c r="K310" i="2"/>
  <c r="J310" i="2"/>
  <c r="I310" i="2"/>
  <c r="H310" i="2"/>
  <c r="G310" i="2"/>
  <c r="F310" i="2"/>
  <c r="E310" i="2"/>
  <c r="D310" i="2"/>
  <c r="C310" i="2"/>
  <c r="A310" i="2"/>
  <c r="M309" i="2"/>
  <c r="L309" i="2"/>
  <c r="K309" i="2"/>
  <c r="J309" i="2"/>
  <c r="I309" i="2"/>
  <c r="H309" i="2"/>
  <c r="G309" i="2"/>
  <c r="F309" i="2"/>
  <c r="E309" i="2"/>
  <c r="D309" i="2"/>
  <c r="C309" i="2"/>
  <c r="A309" i="2"/>
  <c r="M308" i="2"/>
  <c r="L308" i="2"/>
  <c r="K308" i="2"/>
  <c r="J308" i="2"/>
  <c r="I308" i="2"/>
  <c r="H308" i="2"/>
  <c r="G308" i="2"/>
  <c r="F308" i="2"/>
  <c r="E308" i="2"/>
  <c r="D308" i="2"/>
  <c r="C308" i="2"/>
  <c r="A308" i="2"/>
  <c r="M307" i="2"/>
  <c r="L307" i="2"/>
  <c r="K307" i="2"/>
  <c r="J307" i="2"/>
  <c r="I307" i="2"/>
  <c r="H307" i="2"/>
  <c r="G307" i="2"/>
  <c r="F307" i="2"/>
  <c r="E307" i="2"/>
  <c r="D307" i="2"/>
  <c r="C307" i="2"/>
  <c r="A307" i="2"/>
  <c r="M306" i="2"/>
  <c r="L306" i="2"/>
  <c r="K306" i="2"/>
  <c r="J306" i="2"/>
  <c r="I306" i="2"/>
  <c r="H306" i="2"/>
  <c r="G306" i="2"/>
  <c r="F306" i="2"/>
  <c r="E306" i="2"/>
  <c r="D306" i="2"/>
  <c r="C306" i="2"/>
  <c r="A306" i="2"/>
  <c r="M305" i="2"/>
  <c r="L305" i="2"/>
  <c r="K305" i="2"/>
  <c r="J305" i="2"/>
  <c r="I305" i="2"/>
  <c r="H305" i="2"/>
  <c r="G305" i="2"/>
  <c r="F305" i="2"/>
  <c r="E305" i="2"/>
  <c r="D305" i="2"/>
  <c r="C305" i="2"/>
  <c r="A305" i="2"/>
  <c r="M304" i="2"/>
  <c r="L304" i="2"/>
  <c r="K304" i="2"/>
  <c r="J304" i="2"/>
  <c r="I304" i="2"/>
  <c r="H304" i="2"/>
  <c r="G304" i="2"/>
  <c r="F304" i="2"/>
  <c r="E304" i="2"/>
  <c r="D304" i="2"/>
  <c r="C304" i="2"/>
  <c r="A304" i="2"/>
  <c r="M303" i="2"/>
  <c r="L303" i="2"/>
  <c r="K303" i="2"/>
  <c r="J303" i="2"/>
  <c r="I303" i="2"/>
  <c r="H303" i="2"/>
  <c r="G303" i="2"/>
  <c r="F303" i="2"/>
  <c r="E303" i="2"/>
  <c r="D303" i="2"/>
  <c r="C303" i="2"/>
  <c r="A303" i="2"/>
  <c r="M302" i="2"/>
  <c r="L302" i="2"/>
  <c r="K302" i="2"/>
  <c r="J302" i="2"/>
  <c r="I302" i="2"/>
  <c r="H302" i="2"/>
  <c r="G302" i="2"/>
  <c r="F302" i="2"/>
  <c r="E302" i="2"/>
  <c r="D302" i="2"/>
  <c r="C302" i="2"/>
  <c r="A302" i="2"/>
  <c r="M301" i="2"/>
  <c r="L301" i="2"/>
  <c r="K301" i="2"/>
  <c r="J301" i="2"/>
  <c r="I301" i="2"/>
  <c r="H301" i="2"/>
  <c r="G301" i="2"/>
  <c r="F301" i="2"/>
  <c r="E301" i="2"/>
  <c r="D301" i="2"/>
  <c r="C301" i="2"/>
  <c r="A301" i="2"/>
  <c r="M300" i="2"/>
  <c r="L300" i="2"/>
  <c r="K300" i="2"/>
  <c r="J300" i="2"/>
  <c r="I300" i="2"/>
  <c r="H300" i="2"/>
  <c r="G300" i="2"/>
  <c r="F300" i="2"/>
  <c r="E300" i="2"/>
  <c r="D300" i="2"/>
  <c r="C300" i="2"/>
  <c r="A300" i="2"/>
  <c r="M299" i="2"/>
  <c r="L299" i="2"/>
  <c r="K299" i="2"/>
  <c r="J299" i="2"/>
  <c r="I299" i="2"/>
  <c r="H299" i="2"/>
  <c r="G299" i="2"/>
  <c r="F299" i="2"/>
  <c r="E299" i="2"/>
  <c r="D299" i="2"/>
  <c r="C299" i="2"/>
  <c r="A299" i="2"/>
  <c r="M298" i="2"/>
  <c r="L298" i="2"/>
  <c r="K298" i="2"/>
  <c r="J298" i="2"/>
  <c r="I298" i="2"/>
  <c r="H298" i="2"/>
  <c r="G298" i="2"/>
  <c r="F298" i="2"/>
  <c r="E298" i="2"/>
  <c r="D298" i="2"/>
  <c r="C298" i="2"/>
  <c r="A298" i="2"/>
  <c r="M297" i="2"/>
  <c r="L297" i="2"/>
  <c r="K297" i="2"/>
  <c r="J297" i="2"/>
  <c r="I297" i="2"/>
  <c r="H297" i="2"/>
  <c r="G297" i="2"/>
  <c r="F297" i="2"/>
  <c r="E297" i="2"/>
  <c r="D297" i="2"/>
  <c r="C297" i="2"/>
  <c r="A297" i="2"/>
  <c r="M296" i="2"/>
  <c r="L296" i="2"/>
  <c r="K296" i="2"/>
  <c r="J296" i="2"/>
  <c r="I296" i="2"/>
  <c r="H296" i="2"/>
  <c r="G296" i="2"/>
  <c r="F296" i="2"/>
  <c r="E296" i="2"/>
  <c r="D296" i="2"/>
  <c r="C296" i="2"/>
  <c r="A296" i="2"/>
  <c r="M295" i="2"/>
  <c r="L295" i="2"/>
  <c r="K295" i="2"/>
  <c r="J295" i="2"/>
  <c r="I295" i="2"/>
  <c r="H295" i="2"/>
  <c r="G295" i="2"/>
  <c r="F295" i="2"/>
  <c r="E295" i="2"/>
  <c r="D295" i="2"/>
  <c r="C295" i="2"/>
  <c r="A295" i="2"/>
  <c r="M294" i="2"/>
  <c r="L294" i="2"/>
  <c r="K294" i="2"/>
  <c r="J294" i="2"/>
  <c r="I294" i="2"/>
  <c r="H294" i="2"/>
  <c r="G294" i="2"/>
  <c r="F294" i="2"/>
  <c r="E294" i="2"/>
  <c r="D294" i="2"/>
  <c r="C294" i="2"/>
  <c r="A294" i="2"/>
  <c r="M293" i="2"/>
  <c r="L293" i="2"/>
  <c r="K293" i="2"/>
  <c r="J293" i="2"/>
  <c r="I293" i="2"/>
  <c r="H293" i="2"/>
  <c r="G293" i="2"/>
  <c r="F293" i="2"/>
  <c r="E293" i="2"/>
  <c r="D293" i="2"/>
  <c r="C293" i="2"/>
  <c r="A293" i="2"/>
  <c r="M292" i="2"/>
  <c r="L292" i="2"/>
  <c r="K292" i="2"/>
  <c r="J292" i="2"/>
  <c r="I292" i="2"/>
  <c r="H292" i="2"/>
  <c r="G292" i="2"/>
  <c r="F292" i="2"/>
  <c r="E292" i="2"/>
  <c r="D292" i="2"/>
  <c r="C292" i="2"/>
  <c r="A292" i="2"/>
  <c r="M291" i="2"/>
  <c r="L291" i="2"/>
  <c r="K291" i="2"/>
  <c r="J291" i="2"/>
  <c r="I291" i="2"/>
  <c r="H291" i="2"/>
  <c r="G291" i="2"/>
  <c r="F291" i="2"/>
  <c r="E291" i="2"/>
  <c r="D291" i="2"/>
  <c r="C291" i="2"/>
  <c r="A291" i="2"/>
  <c r="M290" i="2"/>
  <c r="L290" i="2"/>
  <c r="K290" i="2"/>
  <c r="J290" i="2"/>
  <c r="I290" i="2"/>
  <c r="H290" i="2"/>
  <c r="G290" i="2"/>
  <c r="F290" i="2"/>
  <c r="E290" i="2"/>
  <c r="D290" i="2"/>
  <c r="C290" i="2"/>
  <c r="A290" i="2"/>
  <c r="M289" i="2"/>
  <c r="L289" i="2"/>
  <c r="K289" i="2"/>
  <c r="J289" i="2"/>
  <c r="I289" i="2"/>
  <c r="H289" i="2"/>
  <c r="G289" i="2"/>
  <c r="F289" i="2"/>
  <c r="E289" i="2"/>
  <c r="D289" i="2"/>
  <c r="C289" i="2"/>
  <c r="A289" i="2"/>
  <c r="M288" i="2"/>
  <c r="L288" i="2"/>
  <c r="K288" i="2"/>
  <c r="J288" i="2"/>
  <c r="I288" i="2"/>
  <c r="H288" i="2"/>
  <c r="G288" i="2"/>
  <c r="F288" i="2"/>
  <c r="E288" i="2"/>
  <c r="D288" i="2"/>
  <c r="C288" i="2"/>
  <c r="A288" i="2"/>
  <c r="M287" i="2"/>
  <c r="L287" i="2"/>
  <c r="K287" i="2"/>
  <c r="J287" i="2"/>
  <c r="I287" i="2"/>
  <c r="H287" i="2"/>
  <c r="G287" i="2"/>
  <c r="F287" i="2"/>
  <c r="E287" i="2"/>
  <c r="D287" i="2"/>
  <c r="C287" i="2"/>
  <c r="A287" i="2"/>
  <c r="M286" i="2"/>
  <c r="L286" i="2"/>
  <c r="K286" i="2"/>
  <c r="J286" i="2"/>
  <c r="I286" i="2"/>
  <c r="H286" i="2"/>
  <c r="G286" i="2"/>
  <c r="F286" i="2"/>
  <c r="E286" i="2"/>
  <c r="D286" i="2"/>
  <c r="C286" i="2"/>
  <c r="A286" i="2"/>
  <c r="M285" i="2"/>
  <c r="L285" i="2"/>
  <c r="K285" i="2"/>
  <c r="J285" i="2"/>
  <c r="I285" i="2"/>
  <c r="H285" i="2"/>
  <c r="G285" i="2"/>
  <c r="F285" i="2"/>
  <c r="E285" i="2"/>
  <c r="D285" i="2"/>
  <c r="C285" i="2"/>
  <c r="A285" i="2"/>
  <c r="M284" i="2"/>
  <c r="L284" i="2"/>
  <c r="K284" i="2"/>
  <c r="J284" i="2"/>
  <c r="I284" i="2"/>
  <c r="H284" i="2"/>
  <c r="G284" i="2"/>
  <c r="F284" i="2"/>
  <c r="E284" i="2"/>
  <c r="D284" i="2"/>
  <c r="C284" i="2"/>
  <c r="A284" i="2"/>
  <c r="M283" i="2"/>
  <c r="L283" i="2"/>
  <c r="K283" i="2"/>
  <c r="J283" i="2"/>
  <c r="I283" i="2"/>
  <c r="H283" i="2"/>
  <c r="G283" i="2"/>
  <c r="F283" i="2"/>
  <c r="E283" i="2"/>
  <c r="D283" i="2"/>
  <c r="C283" i="2"/>
  <c r="A283" i="2"/>
  <c r="M282" i="2"/>
  <c r="L282" i="2"/>
  <c r="K282" i="2"/>
  <c r="J282" i="2"/>
  <c r="I282" i="2"/>
  <c r="H282" i="2"/>
  <c r="G282" i="2"/>
  <c r="F282" i="2"/>
  <c r="E282" i="2"/>
  <c r="D282" i="2"/>
  <c r="C282" i="2"/>
  <c r="A282" i="2"/>
  <c r="M281" i="2"/>
  <c r="L281" i="2"/>
  <c r="K281" i="2"/>
  <c r="J281" i="2"/>
  <c r="I281" i="2"/>
  <c r="H281" i="2"/>
  <c r="G281" i="2"/>
  <c r="F281" i="2"/>
  <c r="E281" i="2"/>
  <c r="D281" i="2"/>
  <c r="C281" i="2"/>
  <c r="A281" i="2"/>
  <c r="M280" i="2"/>
  <c r="L280" i="2"/>
  <c r="K280" i="2"/>
  <c r="J280" i="2"/>
  <c r="I280" i="2"/>
  <c r="H280" i="2"/>
  <c r="G280" i="2"/>
  <c r="F280" i="2"/>
  <c r="E280" i="2"/>
  <c r="D280" i="2"/>
  <c r="C280" i="2"/>
  <c r="A280" i="2"/>
  <c r="M279" i="2"/>
  <c r="L279" i="2"/>
  <c r="K279" i="2"/>
  <c r="J279" i="2"/>
  <c r="I279" i="2"/>
  <c r="H279" i="2"/>
  <c r="G279" i="2"/>
  <c r="F279" i="2"/>
  <c r="E279" i="2"/>
  <c r="D279" i="2"/>
  <c r="C279" i="2"/>
  <c r="A279" i="2"/>
  <c r="M278" i="2"/>
  <c r="L278" i="2"/>
  <c r="K278" i="2"/>
  <c r="J278" i="2"/>
  <c r="I278" i="2"/>
  <c r="H278" i="2"/>
  <c r="G278" i="2"/>
  <c r="F278" i="2"/>
  <c r="E278" i="2"/>
  <c r="D278" i="2"/>
  <c r="C278" i="2"/>
  <c r="A278" i="2"/>
  <c r="M277" i="2"/>
  <c r="L277" i="2"/>
  <c r="K277" i="2"/>
  <c r="J277" i="2"/>
  <c r="I277" i="2"/>
  <c r="H277" i="2"/>
  <c r="G277" i="2"/>
  <c r="F277" i="2"/>
  <c r="E277" i="2"/>
  <c r="D277" i="2"/>
  <c r="C277" i="2"/>
  <c r="A277" i="2"/>
  <c r="M276" i="2"/>
  <c r="L276" i="2"/>
  <c r="K276" i="2"/>
  <c r="J276" i="2"/>
  <c r="I276" i="2"/>
  <c r="H276" i="2"/>
  <c r="G276" i="2"/>
  <c r="F276" i="2"/>
  <c r="E276" i="2"/>
  <c r="D276" i="2"/>
  <c r="C276" i="2"/>
  <c r="A276" i="2"/>
  <c r="M275" i="2"/>
  <c r="L275" i="2"/>
  <c r="K275" i="2"/>
  <c r="J275" i="2"/>
  <c r="I275" i="2"/>
  <c r="H275" i="2"/>
  <c r="G275" i="2"/>
  <c r="F275" i="2"/>
  <c r="E275" i="2"/>
  <c r="D275" i="2"/>
  <c r="C275" i="2"/>
  <c r="A275" i="2"/>
  <c r="M274" i="2"/>
  <c r="L274" i="2"/>
  <c r="K274" i="2"/>
  <c r="J274" i="2"/>
  <c r="I274" i="2"/>
  <c r="H274" i="2"/>
  <c r="G274" i="2"/>
  <c r="F274" i="2"/>
  <c r="E274" i="2"/>
  <c r="D274" i="2"/>
  <c r="C274" i="2"/>
  <c r="A274" i="2"/>
  <c r="M273" i="2"/>
  <c r="L273" i="2"/>
  <c r="K273" i="2"/>
  <c r="J273" i="2"/>
  <c r="I273" i="2"/>
  <c r="H273" i="2"/>
  <c r="G273" i="2"/>
  <c r="F273" i="2"/>
  <c r="E273" i="2"/>
  <c r="D273" i="2"/>
  <c r="C273" i="2"/>
  <c r="A273" i="2"/>
  <c r="M272" i="2"/>
  <c r="L272" i="2"/>
  <c r="K272" i="2"/>
  <c r="J272" i="2"/>
  <c r="I272" i="2"/>
  <c r="H272" i="2"/>
  <c r="G272" i="2"/>
  <c r="F272" i="2"/>
  <c r="E272" i="2"/>
  <c r="D272" i="2"/>
  <c r="C272" i="2"/>
  <c r="A272" i="2"/>
  <c r="M271" i="2"/>
  <c r="L271" i="2"/>
  <c r="K271" i="2"/>
  <c r="J271" i="2"/>
  <c r="I271" i="2"/>
  <c r="H271" i="2"/>
  <c r="G271" i="2"/>
  <c r="F271" i="2"/>
  <c r="E271" i="2"/>
  <c r="D271" i="2"/>
  <c r="C271" i="2"/>
  <c r="A271" i="2"/>
  <c r="M270" i="2"/>
  <c r="L270" i="2"/>
  <c r="K270" i="2"/>
  <c r="J270" i="2"/>
  <c r="I270" i="2"/>
  <c r="H270" i="2"/>
  <c r="G270" i="2"/>
  <c r="F270" i="2"/>
  <c r="E270" i="2"/>
  <c r="D270" i="2"/>
  <c r="C270" i="2"/>
  <c r="A270" i="2"/>
  <c r="M269" i="2"/>
  <c r="L269" i="2"/>
  <c r="K269" i="2"/>
  <c r="J269" i="2"/>
  <c r="I269" i="2"/>
  <c r="H269" i="2"/>
  <c r="G269" i="2"/>
  <c r="F269" i="2"/>
  <c r="E269" i="2"/>
  <c r="D269" i="2"/>
  <c r="C269" i="2"/>
  <c r="A269" i="2"/>
  <c r="M268" i="2"/>
  <c r="L268" i="2"/>
  <c r="K268" i="2"/>
  <c r="J268" i="2"/>
  <c r="I268" i="2"/>
  <c r="H268" i="2"/>
  <c r="G268" i="2"/>
  <c r="F268" i="2"/>
  <c r="E268" i="2"/>
  <c r="D268" i="2"/>
  <c r="C268" i="2"/>
  <c r="A268" i="2"/>
  <c r="M267" i="2"/>
  <c r="L267" i="2"/>
  <c r="K267" i="2"/>
  <c r="J267" i="2"/>
  <c r="I267" i="2"/>
  <c r="H267" i="2"/>
  <c r="G267" i="2"/>
  <c r="F267" i="2"/>
  <c r="E267" i="2"/>
  <c r="D267" i="2"/>
  <c r="C267" i="2"/>
  <c r="A267" i="2"/>
  <c r="M266" i="2"/>
  <c r="L266" i="2"/>
  <c r="K266" i="2"/>
  <c r="J266" i="2"/>
  <c r="I266" i="2"/>
  <c r="H266" i="2"/>
  <c r="G266" i="2"/>
  <c r="F266" i="2"/>
  <c r="E266" i="2"/>
  <c r="D266" i="2"/>
  <c r="C266" i="2"/>
  <c r="A266" i="2"/>
  <c r="M265" i="2"/>
  <c r="L265" i="2"/>
  <c r="K265" i="2"/>
  <c r="J265" i="2"/>
  <c r="I265" i="2"/>
  <c r="H265" i="2"/>
  <c r="G265" i="2"/>
  <c r="F265" i="2"/>
  <c r="E265" i="2"/>
  <c r="D265" i="2"/>
  <c r="C265" i="2"/>
  <c r="A265" i="2"/>
  <c r="M264" i="2"/>
  <c r="L264" i="2"/>
  <c r="K264" i="2"/>
  <c r="J264" i="2"/>
  <c r="I264" i="2"/>
  <c r="H264" i="2"/>
  <c r="G264" i="2"/>
  <c r="F264" i="2"/>
  <c r="E264" i="2"/>
  <c r="D264" i="2"/>
  <c r="C264" i="2"/>
  <c r="A264" i="2"/>
  <c r="M263" i="2"/>
  <c r="L263" i="2"/>
  <c r="K263" i="2"/>
  <c r="J263" i="2"/>
  <c r="I263" i="2"/>
  <c r="H263" i="2"/>
  <c r="G263" i="2"/>
  <c r="F263" i="2"/>
  <c r="E263" i="2"/>
  <c r="D263" i="2"/>
  <c r="C263" i="2"/>
  <c r="A263" i="2"/>
  <c r="M262" i="2"/>
  <c r="L262" i="2"/>
  <c r="K262" i="2"/>
  <c r="J262" i="2"/>
  <c r="I262" i="2"/>
  <c r="H262" i="2"/>
  <c r="G262" i="2"/>
  <c r="F262" i="2"/>
  <c r="E262" i="2"/>
  <c r="D262" i="2"/>
  <c r="C262" i="2"/>
  <c r="A262" i="2"/>
  <c r="M261" i="2"/>
  <c r="L261" i="2"/>
  <c r="K261" i="2"/>
  <c r="J261" i="2"/>
  <c r="I261" i="2"/>
  <c r="H261" i="2"/>
  <c r="G261" i="2"/>
  <c r="E261" i="2"/>
  <c r="D261" i="2"/>
  <c r="C261" i="2"/>
  <c r="A261" i="2"/>
  <c r="M260" i="2"/>
  <c r="L260" i="2"/>
  <c r="K260" i="2"/>
  <c r="J260" i="2"/>
  <c r="I260" i="2"/>
  <c r="H260" i="2"/>
  <c r="G260" i="2"/>
  <c r="F260" i="2"/>
  <c r="E260" i="2"/>
  <c r="D260" i="2"/>
  <c r="C260" i="2"/>
  <c r="A260" i="2"/>
  <c r="M259" i="2"/>
  <c r="L259" i="2"/>
  <c r="K259" i="2"/>
  <c r="J259" i="2"/>
  <c r="I259" i="2"/>
  <c r="H259" i="2"/>
  <c r="G259" i="2"/>
  <c r="F259" i="2"/>
  <c r="E259" i="2"/>
  <c r="D259" i="2"/>
  <c r="C259" i="2"/>
  <c r="A259" i="2"/>
  <c r="M258" i="2"/>
  <c r="L258" i="2"/>
  <c r="K258" i="2"/>
  <c r="J258" i="2"/>
  <c r="I258" i="2"/>
  <c r="H258" i="2"/>
  <c r="G258" i="2"/>
  <c r="F258" i="2"/>
  <c r="E258" i="2"/>
  <c r="D258" i="2"/>
  <c r="C258" i="2"/>
  <c r="A258" i="2"/>
  <c r="M257" i="2"/>
  <c r="L257" i="2"/>
  <c r="K257" i="2"/>
  <c r="J257" i="2"/>
  <c r="I257" i="2"/>
  <c r="H257" i="2"/>
  <c r="G257" i="2"/>
  <c r="F257" i="2"/>
  <c r="E257" i="2"/>
  <c r="D257" i="2"/>
  <c r="C257" i="2"/>
  <c r="A257" i="2"/>
  <c r="M256" i="2"/>
  <c r="L256" i="2"/>
  <c r="K256" i="2"/>
  <c r="J256" i="2"/>
  <c r="I256" i="2"/>
  <c r="H256" i="2"/>
  <c r="G256" i="2"/>
  <c r="F256" i="2"/>
  <c r="E256" i="2"/>
  <c r="D256" i="2"/>
  <c r="C256" i="2"/>
  <c r="A256" i="2"/>
  <c r="M255" i="2"/>
  <c r="L255" i="2"/>
  <c r="K255" i="2"/>
  <c r="J255" i="2"/>
  <c r="I255" i="2"/>
  <c r="H255" i="2"/>
  <c r="G255" i="2"/>
  <c r="F255" i="2"/>
  <c r="E255" i="2"/>
  <c r="D255" i="2"/>
  <c r="C255" i="2"/>
  <c r="A255" i="2"/>
  <c r="M254" i="2"/>
  <c r="L254" i="2"/>
  <c r="K254" i="2"/>
  <c r="J254" i="2"/>
  <c r="I254" i="2"/>
  <c r="H254" i="2"/>
  <c r="G254" i="2"/>
  <c r="F254" i="2"/>
  <c r="E254" i="2"/>
  <c r="D254" i="2"/>
  <c r="C254" i="2"/>
  <c r="A254" i="2"/>
  <c r="M253" i="2"/>
  <c r="L253" i="2"/>
  <c r="K253" i="2"/>
  <c r="J253" i="2"/>
  <c r="I253" i="2"/>
  <c r="H253" i="2"/>
  <c r="G253" i="2"/>
  <c r="F253" i="2"/>
  <c r="E253" i="2"/>
  <c r="D253" i="2"/>
  <c r="C253" i="2"/>
  <c r="A253" i="2"/>
  <c r="M252" i="2"/>
  <c r="L252" i="2"/>
  <c r="K252" i="2"/>
  <c r="J252" i="2"/>
  <c r="I252" i="2"/>
  <c r="H252" i="2"/>
  <c r="G252" i="2"/>
  <c r="E252" i="2"/>
  <c r="D252" i="2"/>
  <c r="C252" i="2"/>
  <c r="A252" i="2"/>
  <c r="M251" i="2"/>
  <c r="L251" i="2"/>
  <c r="K251" i="2"/>
  <c r="J251" i="2"/>
  <c r="I251" i="2"/>
  <c r="H251" i="2"/>
  <c r="G251" i="2"/>
  <c r="F251" i="2"/>
  <c r="E251" i="2"/>
  <c r="D251" i="2"/>
  <c r="C251" i="2"/>
  <c r="A251" i="2"/>
  <c r="M250" i="2"/>
  <c r="L250" i="2"/>
  <c r="K250" i="2"/>
  <c r="J250" i="2"/>
  <c r="I250" i="2"/>
  <c r="H250" i="2"/>
  <c r="G250" i="2"/>
  <c r="F250" i="2"/>
  <c r="E250" i="2"/>
  <c r="D250" i="2"/>
  <c r="C250" i="2"/>
  <c r="A250" i="2"/>
  <c r="M249" i="2"/>
  <c r="L249" i="2"/>
  <c r="K249" i="2"/>
  <c r="J249" i="2"/>
  <c r="I249" i="2"/>
  <c r="H249" i="2"/>
  <c r="G249" i="2"/>
  <c r="F249" i="2"/>
  <c r="E249" i="2"/>
  <c r="D249" i="2"/>
  <c r="C249" i="2"/>
  <c r="A249" i="2"/>
  <c r="M248" i="2"/>
  <c r="L248" i="2"/>
  <c r="K248" i="2"/>
  <c r="J248" i="2"/>
  <c r="I248" i="2"/>
  <c r="H248" i="2"/>
  <c r="G248" i="2"/>
  <c r="F248" i="2"/>
  <c r="E248" i="2"/>
  <c r="D248" i="2"/>
  <c r="C248" i="2"/>
  <c r="A248" i="2"/>
  <c r="M247" i="2"/>
  <c r="L247" i="2"/>
  <c r="K247" i="2"/>
  <c r="J247" i="2"/>
  <c r="I247" i="2"/>
  <c r="H247" i="2"/>
  <c r="G247" i="2"/>
  <c r="F247" i="2"/>
  <c r="E247" i="2"/>
  <c r="D247" i="2"/>
  <c r="C247" i="2"/>
  <c r="A247" i="2"/>
  <c r="M246" i="2"/>
  <c r="L246" i="2"/>
  <c r="K246" i="2"/>
  <c r="J246" i="2"/>
  <c r="I246" i="2"/>
  <c r="H246" i="2"/>
  <c r="G246" i="2"/>
  <c r="F246" i="2"/>
  <c r="E246" i="2"/>
  <c r="D246" i="2"/>
  <c r="C246" i="2"/>
  <c r="A246" i="2"/>
  <c r="M245" i="2"/>
  <c r="L245" i="2"/>
  <c r="K245" i="2"/>
  <c r="J245" i="2"/>
  <c r="I245" i="2"/>
  <c r="H245" i="2"/>
  <c r="G245" i="2"/>
  <c r="F245" i="2"/>
  <c r="E245" i="2"/>
  <c r="D245" i="2"/>
  <c r="C245" i="2"/>
  <c r="A245" i="2"/>
  <c r="M244" i="2"/>
  <c r="L244" i="2"/>
  <c r="K244" i="2"/>
  <c r="J244" i="2"/>
  <c r="I244" i="2"/>
  <c r="H244" i="2"/>
  <c r="G244" i="2"/>
  <c r="F244" i="2"/>
  <c r="E244" i="2"/>
  <c r="D244" i="2"/>
  <c r="C244" i="2"/>
  <c r="A244" i="2"/>
  <c r="M243" i="2"/>
  <c r="L243" i="2"/>
  <c r="K243" i="2"/>
  <c r="J243" i="2"/>
  <c r="I243" i="2"/>
  <c r="H243" i="2"/>
  <c r="G243" i="2"/>
  <c r="F243" i="2"/>
  <c r="E243" i="2"/>
  <c r="D243" i="2"/>
  <c r="C243" i="2"/>
  <c r="A243" i="2"/>
  <c r="M242" i="2"/>
  <c r="L242" i="2"/>
  <c r="K242" i="2"/>
  <c r="J242" i="2"/>
  <c r="I242" i="2"/>
  <c r="H242" i="2"/>
  <c r="G242" i="2"/>
  <c r="F242" i="2"/>
  <c r="E242" i="2"/>
  <c r="D242" i="2"/>
  <c r="C242" i="2"/>
  <c r="A242" i="2"/>
  <c r="M241" i="2"/>
  <c r="L241" i="2"/>
  <c r="K241" i="2"/>
  <c r="J241" i="2"/>
  <c r="I241" i="2"/>
  <c r="H241" i="2"/>
  <c r="G241" i="2"/>
  <c r="F241" i="2"/>
  <c r="E241" i="2"/>
  <c r="D241" i="2"/>
  <c r="C241" i="2"/>
  <c r="A241" i="2"/>
  <c r="M240" i="2"/>
  <c r="L240" i="2"/>
  <c r="K240" i="2"/>
  <c r="J240" i="2"/>
  <c r="I240" i="2"/>
  <c r="H240" i="2"/>
  <c r="G240" i="2"/>
  <c r="F240" i="2"/>
  <c r="E240" i="2"/>
  <c r="D240" i="2"/>
  <c r="C240" i="2"/>
  <c r="A240" i="2"/>
  <c r="M239" i="2"/>
  <c r="L239" i="2"/>
  <c r="K239" i="2"/>
  <c r="J239" i="2"/>
  <c r="I239" i="2"/>
  <c r="H239" i="2"/>
  <c r="G239" i="2"/>
  <c r="F239" i="2"/>
  <c r="E239" i="2"/>
  <c r="D239" i="2"/>
  <c r="C239" i="2"/>
  <c r="A239" i="2"/>
  <c r="M238" i="2"/>
  <c r="L238" i="2"/>
  <c r="K238" i="2"/>
  <c r="J238" i="2"/>
  <c r="I238" i="2"/>
  <c r="H238" i="2"/>
  <c r="G238" i="2"/>
  <c r="F238" i="2"/>
  <c r="E238" i="2"/>
  <c r="D238" i="2"/>
  <c r="C238" i="2"/>
  <c r="A238" i="2"/>
  <c r="M237" i="2"/>
  <c r="L237" i="2"/>
  <c r="K237" i="2"/>
  <c r="J237" i="2"/>
  <c r="I237" i="2"/>
  <c r="H237" i="2"/>
  <c r="G237" i="2"/>
  <c r="F237" i="2"/>
  <c r="E237" i="2"/>
  <c r="D237" i="2"/>
  <c r="C237" i="2"/>
  <c r="A237" i="2"/>
  <c r="M236" i="2"/>
  <c r="L236" i="2"/>
  <c r="K236" i="2"/>
  <c r="J236" i="2"/>
  <c r="I236" i="2"/>
  <c r="H236" i="2"/>
  <c r="G236" i="2"/>
  <c r="F236" i="2"/>
  <c r="E236" i="2"/>
  <c r="D236" i="2"/>
  <c r="C236" i="2"/>
  <c r="A236" i="2"/>
  <c r="M235" i="2"/>
  <c r="L235" i="2"/>
  <c r="K235" i="2"/>
  <c r="J235" i="2"/>
  <c r="I235" i="2"/>
  <c r="H235" i="2"/>
  <c r="G235" i="2"/>
  <c r="F235" i="2"/>
  <c r="E235" i="2"/>
  <c r="D235" i="2"/>
  <c r="C235" i="2"/>
  <c r="A235" i="2"/>
  <c r="M234" i="2"/>
  <c r="L234" i="2"/>
  <c r="K234" i="2"/>
  <c r="J234" i="2"/>
  <c r="I234" i="2"/>
  <c r="H234" i="2"/>
  <c r="G234" i="2"/>
  <c r="F234" i="2"/>
  <c r="E234" i="2"/>
  <c r="D234" i="2"/>
  <c r="C234" i="2"/>
  <c r="A234" i="2"/>
  <c r="M233" i="2"/>
  <c r="L233" i="2"/>
  <c r="K233" i="2"/>
  <c r="J233" i="2"/>
  <c r="I233" i="2"/>
  <c r="H233" i="2"/>
  <c r="G233" i="2"/>
  <c r="F233" i="2"/>
  <c r="E233" i="2"/>
  <c r="D233" i="2"/>
  <c r="C233" i="2"/>
  <c r="A233" i="2"/>
  <c r="M232" i="2"/>
  <c r="L232" i="2"/>
  <c r="K232" i="2"/>
  <c r="J232" i="2"/>
  <c r="I232" i="2"/>
  <c r="H232" i="2"/>
  <c r="G232" i="2"/>
  <c r="F232" i="2"/>
  <c r="E232" i="2"/>
  <c r="D232" i="2"/>
  <c r="C232" i="2"/>
  <c r="A232" i="2"/>
  <c r="M231" i="2"/>
  <c r="L231" i="2"/>
  <c r="K231" i="2"/>
  <c r="J231" i="2"/>
  <c r="I231" i="2"/>
  <c r="H231" i="2"/>
  <c r="G231" i="2"/>
  <c r="F231" i="2"/>
  <c r="E231" i="2"/>
  <c r="D231" i="2"/>
  <c r="C231" i="2"/>
  <c r="A231" i="2"/>
  <c r="M230" i="2"/>
  <c r="L230" i="2"/>
  <c r="K230" i="2"/>
  <c r="J230" i="2"/>
  <c r="I230" i="2"/>
  <c r="H230" i="2"/>
  <c r="G230" i="2"/>
  <c r="F230" i="2"/>
  <c r="E230" i="2"/>
  <c r="D230" i="2"/>
  <c r="C230" i="2"/>
  <c r="A230" i="2"/>
  <c r="M229" i="2"/>
  <c r="L229" i="2"/>
  <c r="K229" i="2"/>
  <c r="J229" i="2"/>
  <c r="I229" i="2"/>
  <c r="H229" i="2"/>
  <c r="G229" i="2"/>
  <c r="F229" i="2"/>
  <c r="E229" i="2"/>
  <c r="D229" i="2"/>
  <c r="C229" i="2"/>
  <c r="A229" i="2"/>
  <c r="M228" i="2"/>
  <c r="L228" i="2"/>
  <c r="K228" i="2"/>
  <c r="J228" i="2"/>
  <c r="I228" i="2"/>
  <c r="H228" i="2"/>
  <c r="G228" i="2"/>
  <c r="F228" i="2"/>
  <c r="E228" i="2"/>
  <c r="D228" i="2"/>
  <c r="C228" i="2"/>
  <c r="A228" i="2"/>
  <c r="M227" i="2"/>
  <c r="L227" i="2"/>
  <c r="K227" i="2"/>
  <c r="J227" i="2"/>
  <c r="I227" i="2"/>
  <c r="H227" i="2"/>
  <c r="G227" i="2"/>
  <c r="F227" i="2"/>
  <c r="E227" i="2"/>
  <c r="D227" i="2"/>
  <c r="C227" i="2"/>
  <c r="A227" i="2"/>
  <c r="M226" i="2"/>
  <c r="L226" i="2"/>
  <c r="K226" i="2"/>
  <c r="J226" i="2"/>
  <c r="I226" i="2"/>
  <c r="H226" i="2"/>
  <c r="G226" i="2"/>
  <c r="F226" i="2"/>
  <c r="E226" i="2"/>
  <c r="D226" i="2"/>
  <c r="C226" i="2"/>
  <c r="A226" i="2"/>
  <c r="M225" i="2"/>
  <c r="L225" i="2"/>
  <c r="K225" i="2"/>
  <c r="J225" i="2"/>
  <c r="I225" i="2"/>
  <c r="H225" i="2"/>
  <c r="G225" i="2"/>
  <c r="F225" i="2"/>
  <c r="E225" i="2"/>
  <c r="D225" i="2"/>
  <c r="C225" i="2"/>
  <c r="A225" i="2"/>
  <c r="M224" i="2"/>
  <c r="L224" i="2"/>
  <c r="K224" i="2"/>
  <c r="J224" i="2"/>
  <c r="I224" i="2"/>
  <c r="H224" i="2"/>
  <c r="G224" i="2"/>
  <c r="F224" i="2"/>
  <c r="E224" i="2"/>
  <c r="D224" i="2"/>
  <c r="C224" i="2"/>
  <c r="A224" i="2"/>
  <c r="M223" i="2"/>
  <c r="L223" i="2"/>
  <c r="K223" i="2"/>
  <c r="J223" i="2"/>
  <c r="I223" i="2"/>
  <c r="H223" i="2"/>
  <c r="G223" i="2"/>
  <c r="F223" i="2"/>
  <c r="E223" i="2"/>
  <c r="D223" i="2"/>
  <c r="C223" i="2"/>
  <c r="A223" i="2"/>
  <c r="M222" i="2"/>
  <c r="L222" i="2"/>
  <c r="K222" i="2"/>
  <c r="J222" i="2"/>
  <c r="I222" i="2"/>
  <c r="H222" i="2"/>
  <c r="G222" i="2"/>
  <c r="F222" i="2"/>
  <c r="E222" i="2"/>
  <c r="D222" i="2"/>
  <c r="C222" i="2"/>
  <c r="A222" i="2"/>
  <c r="M221" i="2"/>
  <c r="L221" i="2"/>
  <c r="K221" i="2"/>
  <c r="J221" i="2"/>
  <c r="I221" i="2"/>
  <c r="H221" i="2"/>
  <c r="G221" i="2"/>
  <c r="F221" i="2"/>
  <c r="E221" i="2"/>
  <c r="D221" i="2"/>
  <c r="C221" i="2"/>
  <c r="A221" i="2"/>
  <c r="M220" i="2"/>
  <c r="L220" i="2"/>
  <c r="K220" i="2"/>
  <c r="J220" i="2"/>
  <c r="I220" i="2"/>
  <c r="H220" i="2"/>
  <c r="G220" i="2"/>
  <c r="F220" i="2"/>
  <c r="E220" i="2"/>
  <c r="D220" i="2"/>
  <c r="C220" i="2"/>
  <c r="A220" i="2"/>
  <c r="M219" i="2"/>
  <c r="L219" i="2"/>
  <c r="K219" i="2"/>
  <c r="J219" i="2"/>
  <c r="I219" i="2"/>
  <c r="H219" i="2"/>
  <c r="G219" i="2"/>
  <c r="F219" i="2"/>
  <c r="E219" i="2"/>
  <c r="D219" i="2"/>
  <c r="C219" i="2"/>
  <c r="A219" i="2"/>
  <c r="M218" i="2"/>
  <c r="L218" i="2"/>
  <c r="K218" i="2"/>
  <c r="J218" i="2"/>
  <c r="I218" i="2"/>
  <c r="H218" i="2"/>
  <c r="G218" i="2"/>
  <c r="F218" i="2"/>
  <c r="E218" i="2"/>
  <c r="D218" i="2"/>
  <c r="C218" i="2"/>
  <c r="A218" i="2"/>
  <c r="M217" i="2"/>
  <c r="L217" i="2"/>
  <c r="K217" i="2"/>
  <c r="J217" i="2"/>
  <c r="I217" i="2"/>
  <c r="H217" i="2"/>
  <c r="G217" i="2"/>
  <c r="F217" i="2"/>
  <c r="E217" i="2"/>
  <c r="D217" i="2"/>
  <c r="C217" i="2"/>
  <c r="A217" i="2"/>
  <c r="M216" i="2"/>
  <c r="L216" i="2"/>
  <c r="K216" i="2"/>
  <c r="J216" i="2"/>
  <c r="I216" i="2"/>
  <c r="H216" i="2"/>
  <c r="G216" i="2"/>
  <c r="F216" i="2"/>
  <c r="E216" i="2"/>
  <c r="D216" i="2"/>
  <c r="C216" i="2"/>
  <c r="A216" i="2"/>
  <c r="M215" i="2"/>
  <c r="L215" i="2"/>
  <c r="K215" i="2"/>
  <c r="J215" i="2"/>
  <c r="I215" i="2"/>
  <c r="H215" i="2"/>
  <c r="G215" i="2"/>
  <c r="F215" i="2"/>
  <c r="E215" i="2"/>
  <c r="D215" i="2"/>
  <c r="C215" i="2"/>
  <c r="A215" i="2"/>
  <c r="M214" i="2"/>
  <c r="L214" i="2"/>
  <c r="K214" i="2"/>
  <c r="J214" i="2"/>
  <c r="I214" i="2"/>
  <c r="H214" i="2"/>
  <c r="G214" i="2"/>
  <c r="F214" i="2"/>
  <c r="E214" i="2"/>
  <c r="D214" i="2"/>
  <c r="C214" i="2"/>
  <c r="A214" i="2"/>
  <c r="M213" i="2"/>
  <c r="L213" i="2"/>
  <c r="K213" i="2"/>
  <c r="J213" i="2"/>
  <c r="I213" i="2"/>
  <c r="H213" i="2"/>
  <c r="G213" i="2"/>
  <c r="F213" i="2"/>
  <c r="E213" i="2"/>
  <c r="D213" i="2"/>
  <c r="C213" i="2"/>
  <c r="A213" i="2"/>
  <c r="M212" i="2"/>
  <c r="L212" i="2"/>
  <c r="K212" i="2"/>
  <c r="J212" i="2"/>
  <c r="I212" i="2"/>
  <c r="H212" i="2"/>
  <c r="G212" i="2"/>
  <c r="F212" i="2"/>
  <c r="E212" i="2"/>
  <c r="D212" i="2"/>
  <c r="C212" i="2"/>
  <c r="A212" i="2"/>
  <c r="M211" i="2"/>
  <c r="L211" i="2"/>
  <c r="K211" i="2"/>
  <c r="J211" i="2"/>
  <c r="I211" i="2"/>
  <c r="H211" i="2"/>
  <c r="G211" i="2"/>
  <c r="F211" i="2"/>
  <c r="E211" i="2"/>
  <c r="D211" i="2"/>
  <c r="C211" i="2"/>
  <c r="A211" i="2"/>
  <c r="M210" i="2"/>
  <c r="L210" i="2"/>
  <c r="K210" i="2"/>
  <c r="J210" i="2"/>
  <c r="I210" i="2"/>
  <c r="H210" i="2"/>
  <c r="G210" i="2"/>
  <c r="F210" i="2"/>
  <c r="E210" i="2"/>
  <c r="D210" i="2"/>
  <c r="C210" i="2"/>
  <c r="A210" i="2"/>
  <c r="M209" i="2"/>
  <c r="L209" i="2"/>
  <c r="K209" i="2"/>
  <c r="J209" i="2"/>
  <c r="I209" i="2"/>
  <c r="H209" i="2"/>
  <c r="G209" i="2"/>
  <c r="F209" i="2"/>
  <c r="E209" i="2"/>
  <c r="D209" i="2"/>
  <c r="C209" i="2"/>
  <c r="A209" i="2"/>
  <c r="M208" i="2"/>
  <c r="L208" i="2"/>
  <c r="K208" i="2"/>
  <c r="J208" i="2"/>
  <c r="I208" i="2"/>
  <c r="H208" i="2"/>
  <c r="G208" i="2"/>
  <c r="F208" i="2"/>
  <c r="E208" i="2"/>
  <c r="D208" i="2"/>
  <c r="C208" i="2"/>
  <c r="A208" i="2"/>
  <c r="M207" i="2"/>
  <c r="L207" i="2"/>
  <c r="K207" i="2"/>
  <c r="J207" i="2"/>
  <c r="I207" i="2"/>
  <c r="H207" i="2"/>
  <c r="G207" i="2"/>
  <c r="F207" i="2"/>
  <c r="E207" i="2"/>
  <c r="D207" i="2"/>
  <c r="C207" i="2"/>
  <c r="A207" i="2"/>
  <c r="M206" i="2"/>
  <c r="L206" i="2"/>
  <c r="K206" i="2"/>
  <c r="J206" i="2"/>
  <c r="I206" i="2"/>
  <c r="H206" i="2"/>
  <c r="G206" i="2"/>
  <c r="F206" i="2"/>
  <c r="E206" i="2"/>
  <c r="D206" i="2"/>
  <c r="C206" i="2"/>
  <c r="A206" i="2"/>
  <c r="M205" i="2"/>
  <c r="L205" i="2"/>
  <c r="K205" i="2"/>
  <c r="J205" i="2"/>
  <c r="I205" i="2"/>
  <c r="H205" i="2"/>
  <c r="G205" i="2"/>
  <c r="F205" i="2"/>
  <c r="E205" i="2"/>
  <c r="D205" i="2"/>
  <c r="C205" i="2"/>
  <c r="A205" i="2"/>
  <c r="M204" i="2"/>
  <c r="L204" i="2"/>
  <c r="K204" i="2"/>
  <c r="J204" i="2"/>
  <c r="I204" i="2"/>
  <c r="H204" i="2"/>
  <c r="G204" i="2"/>
  <c r="F204" i="2"/>
  <c r="E204" i="2"/>
  <c r="D204" i="2"/>
  <c r="C204" i="2"/>
  <c r="A204" i="2"/>
  <c r="M203" i="2"/>
  <c r="L203" i="2"/>
  <c r="K203" i="2"/>
  <c r="J203" i="2"/>
  <c r="I203" i="2"/>
  <c r="H203" i="2"/>
  <c r="G203" i="2"/>
  <c r="F203" i="2"/>
  <c r="E203" i="2"/>
  <c r="D203" i="2"/>
  <c r="C203" i="2"/>
  <c r="A203" i="2"/>
  <c r="M202" i="2"/>
  <c r="L202" i="2"/>
  <c r="K202" i="2"/>
  <c r="J202" i="2"/>
  <c r="I202" i="2"/>
  <c r="H202" i="2"/>
  <c r="G202" i="2"/>
  <c r="F202" i="2"/>
  <c r="E202" i="2"/>
  <c r="D202" i="2"/>
  <c r="C202" i="2"/>
  <c r="A202" i="2"/>
  <c r="M201" i="2"/>
  <c r="L201" i="2"/>
  <c r="K201" i="2"/>
  <c r="J201" i="2"/>
  <c r="I201" i="2"/>
  <c r="H201" i="2"/>
  <c r="G201" i="2"/>
  <c r="F201" i="2"/>
  <c r="E201" i="2"/>
  <c r="D201" i="2"/>
  <c r="C201" i="2"/>
  <c r="A201" i="2"/>
  <c r="M200" i="2"/>
  <c r="L200" i="2"/>
  <c r="K200" i="2"/>
  <c r="J200" i="2"/>
  <c r="I200" i="2"/>
  <c r="H200" i="2"/>
  <c r="G200" i="2"/>
  <c r="F200" i="2"/>
  <c r="E200" i="2"/>
  <c r="D200" i="2"/>
  <c r="C200" i="2"/>
  <c r="A200" i="2"/>
  <c r="M199" i="2"/>
  <c r="L199" i="2"/>
  <c r="K199" i="2"/>
  <c r="J199" i="2"/>
  <c r="I199" i="2"/>
  <c r="H199" i="2"/>
  <c r="G199" i="2"/>
  <c r="F199" i="2"/>
  <c r="E199" i="2"/>
  <c r="D199" i="2"/>
  <c r="C199" i="2"/>
  <c r="A199" i="2"/>
  <c r="M198" i="2"/>
  <c r="L198" i="2"/>
  <c r="K198" i="2"/>
  <c r="J198" i="2"/>
  <c r="I198" i="2"/>
  <c r="H198" i="2"/>
  <c r="G198" i="2"/>
  <c r="F198" i="2"/>
  <c r="E198" i="2"/>
  <c r="D198" i="2"/>
  <c r="C198" i="2"/>
  <c r="A198" i="2"/>
  <c r="M197" i="2"/>
  <c r="L197" i="2"/>
  <c r="K197" i="2"/>
  <c r="J197" i="2"/>
  <c r="I197" i="2"/>
  <c r="H197" i="2"/>
  <c r="G197" i="2"/>
  <c r="F197" i="2"/>
  <c r="E197" i="2"/>
  <c r="D197" i="2"/>
  <c r="C197" i="2"/>
  <c r="A197" i="2"/>
  <c r="M196" i="2"/>
  <c r="L196" i="2"/>
  <c r="K196" i="2"/>
  <c r="J196" i="2"/>
  <c r="I196" i="2"/>
  <c r="H196" i="2"/>
  <c r="G196" i="2"/>
  <c r="F196" i="2"/>
  <c r="E196" i="2"/>
  <c r="D196" i="2"/>
  <c r="C196" i="2"/>
  <c r="A196" i="2"/>
  <c r="M195" i="2"/>
  <c r="L195" i="2"/>
  <c r="K195" i="2"/>
  <c r="J195" i="2"/>
  <c r="I195" i="2"/>
  <c r="H195" i="2"/>
  <c r="G195" i="2"/>
  <c r="F195" i="2"/>
  <c r="E195" i="2"/>
  <c r="D195" i="2"/>
  <c r="C195" i="2"/>
  <c r="A195" i="2"/>
  <c r="M194" i="2"/>
  <c r="L194" i="2"/>
  <c r="K194" i="2"/>
  <c r="J194" i="2"/>
  <c r="I194" i="2"/>
  <c r="H194" i="2"/>
  <c r="G194" i="2"/>
  <c r="F194" i="2"/>
  <c r="E194" i="2"/>
  <c r="D194" i="2"/>
  <c r="C194" i="2"/>
  <c r="A194" i="2"/>
  <c r="M193" i="2"/>
  <c r="L193" i="2"/>
  <c r="K193" i="2"/>
  <c r="J193" i="2"/>
  <c r="I193" i="2"/>
  <c r="H193" i="2"/>
  <c r="G193" i="2"/>
  <c r="F193" i="2"/>
  <c r="E193" i="2"/>
  <c r="D193" i="2"/>
  <c r="C193" i="2"/>
  <c r="A193" i="2"/>
  <c r="M192" i="2"/>
  <c r="L192" i="2"/>
  <c r="K192" i="2"/>
  <c r="J192" i="2"/>
  <c r="I192" i="2"/>
  <c r="H192" i="2"/>
  <c r="G192" i="2"/>
  <c r="F192" i="2"/>
  <c r="E192" i="2"/>
  <c r="D192" i="2"/>
  <c r="C192" i="2"/>
  <c r="A192" i="2"/>
  <c r="M191" i="2"/>
  <c r="L191" i="2"/>
  <c r="K191" i="2"/>
  <c r="J191" i="2"/>
  <c r="I191" i="2"/>
  <c r="H191" i="2"/>
  <c r="G191" i="2"/>
  <c r="F191" i="2"/>
  <c r="E191" i="2"/>
  <c r="D191" i="2"/>
  <c r="C191" i="2"/>
  <c r="A191" i="2"/>
  <c r="M190" i="2"/>
  <c r="L190" i="2"/>
  <c r="K190" i="2"/>
  <c r="J190" i="2"/>
  <c r="I190" i="2"/>
  <c r="H190" i="2"/>
  <c r="G190" i="2"/>
  <c r="F190" i="2"/>
  <c r="E190" i="2"/>
  <c r="D190" i="2"/>
  <c r="C190" i="2"/>
  <c r="A190" i="2"/>
  <c r="M189" i="2"/>
  <c r="L189" i="2"/>
  <c r="K189" i="2"/>
  <c r="J189" i="2"/>
  <c r="I189" i="2"/>
  <c r="H189" i="2"/>
  <c r="G189" i="2"/>
  <c r="E189" i="2"/>
  <c r="D189" i="2"/>
  <c r="C189" i="2"/>
  <c r="A189" i="2"/>
  <c r="M188" i="2"/>
  <c r="L188" i="2"/>
  <c r="K188" i="2"/>
  <c r="J188" i="2"/>
  <c r="I188" i="2"/>
  <c r="H188" i="2"/>
  <c r="G188" i="2"/>
  <c r="F188" i="2"/>
  <c r="E188" i="2"/>
  <c r="D188" i="2"/>
  <c r="C188" i="2"/>
  <c r="A188" i="2"/>
  <c r="M187" i="2"/>
  <c r="L187" i="2"/>
  <c r="K187" i="2"/>
  <c r="J187" i="2"/>
  <c r="I187" i="2"/>
  <c r="H187" i="2"/>
  <c r="G187" i="2"/>
  <c r="F187" i="2"/>
  <c r="E187" i="2"/>
  <c r="D187" i="2"/>
  <c r="C187" i="2"/>
  <c r="A187" i="2"/>
  <c r="M186" i="2"/>
  <c r="L186" i="2"/>
  <c r="K186" i="2"/>
  <c r="J186" i="2"/>
  <c r="I186" i="2"/>
  <c r="H186" i="2"/>
  <c r="G186" i="2"/>
  <c r="F186" i="2"/>
  <c r="E186" i="2"/>
  <c r="D186" i="2"/>
  <c r="C186" i="2"/>
  <c r="A186" i="2"/>
  <c r="M185" i="2"/>
  <c r="L185" i="2"/>
  <c r="K185" i="2"/>
  <c r="J185" i="2"/>
  <c r="I185" i="2"/>
  <c r="H185" i="2"/>
  <c r="G185" i="2"/>
  <c r="F185" i="2"/>
  <c r="E185" i="2"/>
  <c r="D185" i="2"/>
  <c r="C185" i="2"/>
  <c r="A185" i="2"/>
  <c r="M184" i="2"/>
  <c r="L184" i="2"/>
  <c r="K184" i="2"/>
  <c r="J184" i="2"/>
  <c r="I184" i="2"/>
  <c r="H184" i="2"/>
  <c r="G184" i="2"/>
  <c r="F184" i="2"/>
  <c r="E184" i="2"/>
  <c r="D184" i="2"/>
  <c r="C184" i="2"/>
  <c r="A184" i="2"/>
  <c r="M183" i="2"/>
  <c r="L183" i="2"/>
  <c r="K183" i="2"/>
  <c r="J183" i="2"/>
  <c r="I183" i="2"/>
  <c r="H183" i="2"/>
  <c r="G183" i="2"/>
  <c r="F183" i="2"/>
  <c r="E183" i="2"/>
  <c r="D183" i="2"/>
  <c r="C183" i="2"/>
  <c r="A183" i="2"/>
  <c r="M182" i="2"/>
  <c r="L182" i="2"/>
  <c r="K182" i="2"/>
  <c r="J182" i="2"/>
  <c r="I182" i="2"/>
  <c r="H182" i="2"/>
  <c r="G182" i="2"/>
  <c r="F182" i="2"/>
  <c r="E182" i="2"/>
  <c r="D182" i="2"/>
  <c r="C182" i="2"/>
  <c r="A182" i="2"/>
  <c r="M181" i="2"/>
  <c r="L181" i="2"/>
  <c r="K181" i="2"/>
  <c r="J181" i="2"/>
  <c r="I181" i="2"/>
  <c r="H181" i="2"/>
  <c r="G181" i="2"/>
  <c r="F181" i="2"/>
  <c r="E181" i="2"/>
  <c r="D181" i="2"/>
  <c r="C181" i="2"/>
  <c r="A181" i="2"/>
  <c r="M180" i="2"/>
  <c r="L180" i="2"/>
  <c r="K180" i="2"/>
  <c r="J180" i="2"/>
  <c r="I180" i="2"/>
  <c r="H180" i="2"/>
  <c r="G180" i="2"/>
  <c r="E180" i="2"/>
  <c r="D180" i="2"/>
  <c r="C180" i="2"/>
  <c r="A180" i="2"/>
  <c r="M179" i="2"/>
  <c r="L179" i="2"/>
  <c r="K179" i="2"/>
  <c r="J179" i="2"/>
  <c r="I179" i="2"/>
  <c r="H179" i="2"/>
  <c r="G179" i="2"/>
  <c r="F179" i="2"/>
  <c r="E179" i="2"/>
  <c r="D179" i="2"/>
  <c r="C179" i="2"/>
  <c r="A179" i="2"/>
  <c r="M178" i="2"/>
  <c r="L178" i="2"/>
  <c r="K178" i="2"/>
  <c r="J178" i="2"/>
  <c r="I178" i="2"/>
  <c r="H178" i="2"/>
  <c r="G178" i="2"/>
  <c r="F178" i="2"/>
  <c r="E178" i="2"/>
  <c r="D178" i="2"/>
  <c r="C178" i="2"/>
  <c r="A178" i="2"/>
  <c r="M177" i="2"/>
  <c r="L177" i="2"/>
  <c r="K177" i="2"/>
  <c r="J177" i="2"/>
  <c r="I177" i="2"/>
  <c r="H177" i="2"/>
  <c r="G177" i="2"/>
  <c r="E177" i="2"/>
  <c r="D177" i="2"/>
  <c r="C177" i="2"/>
  <c r="A177" i="2"/>
  <c r="M176" i="2"/>
  <c r="L176" i="2"/>
  <c r="K176" i="2"/>
  <c r="J176" i="2"/>
  <c r="I176" i="2"/>
  <c r="H176" i="2"/>
  <c r="G176" i="2"/>
  <c r="F176" i="2"/>
  <c r="E176" i="2"/>
  <c r="D176" i="2"/>
  <c r="C176" i="2"/>
  <c r="A176" i="2"/>
  <c r="M175" i="2"/>
  <c r="L175" i="2"/>
  <c r="K175" i="2"/>
  <c r="J175" i="2"/>
  <c r="I175" i="2"/>
  <c r="H175" i="2"/>
  <c r="G175" i="2"/>
  <c r="F175" i="2"/>
  <c r="E175" i="2"/>
  <c r="D175" i="2"/>
  <c r="C175" i="2"/>
  <c r="A175" i="2"/>
  <c r="M174" i="2"/>
  <c r="L174" i="2"/>
  <c r="K174" i="2"/>
  <c r="J174" i="2"/>
  <c r="I174" i="2"/>
  <c r="H174" i="2"/>
  <c r="G174" i="2"/>
  <c r="F174" i="2"/>
  <c r="E174" i="2"/>
  <c r="D174" i="2"/>
  <c r="C174" i="2"/>
  <c r="A174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M172" i="2"/>
  <c r="L172" i="2"/>
  <c r="K172" i="2"/>
  <c r="J172" i="2"/>
  <c r="I172" i="2"/>
  <c r="H172" i="2"/>
  <c r="G172" i="2"/>
  <c r="F172" i="2"/>
  <c r="E172" i="2"/>
  <c r="D172" i="2"/>
  <c r="C172" i="2"/>
  <c r="A172" i="2"/>
  <c r="M171" i="2"/>
  <c r="L171" i="2"/>
  <c r="K171" i="2"/>
  <c r="J171" i="2"/>
  <c r="I171" i="2"/>
  <c r="H171" i="2"/>
  <c r="G171" i="2"/>
  <c r="F171" i="2"/>
  <c r="E171" i="2"/>
  <c r="D171" i="2"/>
  <c r="C171" i="2"/>
  <c r="A171" i="2"/>
  <c r="M170" i="2"/>
  <c r="L170" i="2"/>
  <c r="K170" i="2"/>
  <c r="J170" i="2"/>
  <c r="I170" i="2"/>
  <c r="H170" i="2"/>
  <c r="G170" i="2"/>
  <c r="F170" i="2"/>
  <c r="E170" i="2"/>
  <c r="D170" i="2"/>
  <c r="C170" i="2"/>
  <c r="A170" i="2"/>
  <c r="M169" i="2"/>
  <c r="L169" i="2"/>
  <c r="K169" i="2"/>
  <c r="J169" i="2"/>
  <c r="I169" i="2"/>
  <c r="H169" i="2"/>
  <c r="G169" i="2"/>
  <c r="F169" i="2"/>
  <c r="E169" i="2"/>
  <c r="D169" i="2"/>
  <c r="C169" i="2"/>
  <c r="A169" i="2"/>
  <c r="M168" i="2"/>
  <c r="L168" i="2"/>
  <c r="K168" i="2"/>
  <c r="J168" i="2"/>
  <c r="I168" i="2"/>
  <c r="H168" i="2"/>
  <c r="G168" i="2"/>
  <c r="F168" i="2"/>
  <c r="E168" i="2"/>
  <c r="D168" i="2"/>
  <c r="C168" i="2"/>
  <c r="A168" i="2"/>
  <c r="M167" i="2"/>
  <c r="L167" i="2"/>
  <c r="K167" i="2"/>
  <c r="J167" i="2"/>
  <c r="I167" i="2"/>
  <c r="H167" i="2"/>
  <c r="G167" i="2"/>
  <c r="F167" i="2"/>
  <c r="E167" i="2"/>
  <c r="D167" i="2"/>
  <c r="C167" i="2"/>
  <c r="A167" i="2"/>
  <c r="M166" i="2"/>
  <c r="L166" i="2"/>
  <c r="K166" i="2"/>
  <c r="J166" i="2"/>
  <c r="I166" i="2"/>
  <c r="H166" i="2"/>
  <c r="G166" i="2"/>
  <c r="F166" i="2"/>
  <c r="E166" i="2"/>
  <c r="D166" i="2"/>
  <c r="C166" i="2"/>
  <c r="A166" i="2"/>
  <c r="M165" i="2"/>
  <c r="L165" i="2"/>
  <c r="K165" i="2"/>
  <c r="J165" i="2"/>
  <c r="I165" i="2"/>
  <c r="H165" i="2"/>
  <c r="G165" i="2"/>
  <c r="F165" i="2"/>
  <c r="E165" i="2"/>
  <c r="D165" i="2"/>
  <c r="C165" i="2"/>
  <c r="A165" i="2"/>
  <c r="M164" i="2"/>
  <c r="L164" i="2"/>
  <c r="K164" i="2"/>
  <c r="J164" i="2"/>
  <c r="I164" i="2"/>
  <c r="H164" i="2"/>
  <c r="G164" i="2"/>
  <c r="F164" i="2"/>
  <c r="E164" i="2"/>
  <c r="D164" i="2"/>
  <c r="C164" i="2"/>
  <c r="A164" i="2"/>
  <c r="M163" i="2"/>
  <c r="L163" i="2"/>
  <c r="K163" i="2"/>
  <c r="J163" i="2"/>
  <c r="I163" i="2"/>
  <c r="H163" i="2"/>
  <c r="G163" i="2"/>
  <c r="F163" i="2"/>
  <c r="E163" i="2"/>
  <c r="D163" i="2"/>
  <c r="C163" i="2"/>
  <c r="A163" i="2"/>
  <c r="M162" i="2"/>
  <c r="L162" i="2"/>
  <c r="K162" i="2"/>
  <c r="J162" i="2"/>
  <c r="I162" i="2"/>
  <c r="H162" i="2"/>
  <c r="G162" i="2"/>
  <c r="F162" i="2"/>
  <c r="E162" i="2"/>
  <c r="D162" i="2"/>
  <c r="C162" i="2"/>
  <c r="A162" i="2"/>
  <c r="M161" i="2"/>
  <c r="L161" i="2"/>
  <c r="K161" i="2"/>
  <c r="J161" i="2"/>
  <c r="I161" i="2"/>
  <c r="H161" i="2"/>
  <c r="G161" i="2"/>
  <c r="F161" i="2"/>
  <c r="E161" i="2"/>
  <c r="D161" i="2"/>
  <c r="C161" i="2"/>
  <c r="A161" i="2"/>
  <c r="M160" i="2"/>
  <c r="L160" i="2"/>
  <c r="K160" i="2"/>
  <c r="J160" i="2"/>
  <c r="I160" i="2"/>
  <c r="H160" i="2"/>
  <c r="G160" i="2"/>
  <c r="F160" i="2"/>
  <c r="E160" i="2"/>
  <c r="D160" i="2"/>
  <c r="C160" i="2"/>
  <c r="A160" i="2"/>
  <c r="M159" i="2"/>
  <c r="L159" i="2"/>
  <c r="K159" i="2"/>
  <c r="J159" i="2"/>
  <c r="I159" i="2"/>
  <c r="H159" i="2"/>
  <c r="G159" i="2"/>
  <c r="F159" i="2"/>
  <c r="E159" i="2"/>
  <c r="D159" i="2"/>
  <c r="C159" i="2"/>
  <c r="M158" i="2"/>
  <c r="L158" i="2"/>
  <c r="K158" i="2"/>
  <c r="J158" i="2"/>
  <c r="I158" i="2"/>
  <c r="H158" i="2"/>
  <c r="G158" i="2"/>
  <c r="F158" i="2"/>
  <c r="E158" i="2"/>
  <c r="D158" i="2"/>
  <c r="C158" i="2"/>
  <c r="A158" i="2"/>
  <c r="M157" i="2"/>
  <c r="L157" i="2"/>
  <c r="K157" i="2"/>
  <c r="J157" i="2"/>
  <c r="I157" i="2"/>
  <c r="H157" i="2"/>
  <c r="G157" i="2"/>
  <c r="F157" i="2"/>
  <c r="E157" i="2"/>
  <c r="D157" i="2"/>
  <c r="C157" i="2"/>
  <c r="A157" i="2"/>
  <c r="M156" i="2"/>
  <c r="L156" i="2"/>
  <c r="K156" i="2"/>
  <c r="J156" i="2"/>
  <c r="I156" i="2"/>
  <c r="H156" i="2"/>
  <c r="G156" i="2"/>
  <c r="F156" i="2"/>
  <c r="E156" i="2"/>
  <c r="D156" i="2"/>
  <c r="C156" i="2"/>
  <c r="A156" i="2"/>
  <c r="M155" i="2"/>
  <c r="L155" i="2"/>
  <c r="K155" i="2"/>
  <c r="J155" i="2"/>
  <c r="I155" i="2"/>
  <c r="H155" i="2"/>
  <c r="G155" i="2"/>
  <c r="F155" i="2"/>
  <c r="E155" i="2"/>
  <c r="D155" i="2"/>
  <c r="C155" i="2"/>
  <c r="A155" i="2"/>
  <c r="M154" i="2"/>
  <c r="L154" i="2"/>
  <c r="K154" i="2"/>
  <c r="J154" i="2"/>
  <c r="I154" i="2"/>
  <c r="H154" i="2"/>
  <c r="G154" i="2"/>
  <c r="F154" i="2"/>
  <c r="E154" i="2"/>
  <c r="D154" i="2"/>
  <c r="C154" i="2"/>
  <c r="A154" i="2"/>
  <c r="M153" i="2"/>
  <c r="L153" i="2"/>
  <c r="K153" i="2"/>
  <c r="J153" i="2"/>
  <c r="I153" i="2"/>
  <c r="H153" i="2"/>
  <c r="G153" i="2"/>
  <c r="F153" i="2"/>
  <c r="E153" i="2"/>
  <c r="D153" i="2"/>
  <c r="C153" i="2"/>
  <c r="A153" i="2"/>
  <c r="M152" i="2"/>
  <c r="L152" i="2"/>
  <c r="K152" i="2"/>
  <c r="J152" i="2"/>
  <c r="I152" i="2"/>
  <c r="H152" i="2"/>
  <c r="G152" i="2"/>
  <c r="F152" i="2"/>
  <c r="E152" i="2"/>
  <c r="D152" i="2"/>
  <c r="C152" i="2"/>
  <c r="A152" i="2"/>
  <c r="M151" i="2"/>
  <c r="L151" i="2"/>
  <c r="K151" i="2"/>
  <c r="J151" i="2"/>
  <c r="I151" i="2"/>
  <c r="H151" i="2"/>
  <c r="G151" i="2"/>
  <c r="F151" i="2"/>
  <c r="E151" i="2"/>
  <c r="D151" i="2"/>
  <c r="C151" i="2"/>
  <c r="A151" i="2"/>
  <c r="M150" i="2"/>
  <c r="L150" i="2"/>
  <c r="K150" i="2"/>
  <c r="J150" i="2"/>
  <c r="I150" i="2"/>
  <c r="H150" i="2"/>
  <c r="G150" i="2"/>
  <c r="F150" i="2"/>
  <c r="E150" i="2"/>
  <c r="D150" i="2"/>
  <c r="C150" i="2"/>
  <c r="A150" i="2"/>
  <c r="M149" i="2"/>
  <c r="L149" i="2"/>
  <c r="K149" i="2"/>
  <c r="J149" i="2"/>
  <c r="I149" i="2"/>
  <c r="H149" i="2"/>
  <c r="G149" i="2"/>
  <c r="F149" i="2"/>
  <c r="E149" i="2"/>
  <c r="D149" i="2"/>
  <c r="C149" i="2"/>
  <c r="A149" i="2"/>
  <c r="M148" i="2"/>
  <c r="L148" i="2"/>
  <c r="K148" i="2"/>
  <c r="J148" i="2"/>
  <c r="I148" i="2"/>
  <c r="H148" i="2"/>
  <c r="G148" i="2"/>
  <c r="F148" i="2"/>
  <c r="E148" i="2"/>
  <c r="D148" i="2"/>
  <c r="C148" i="2"/>
  <c r="A148" i="2"/>
  <c r="M147" i="2"/>
  <c r="L147" i="2"/>
  <c r="K147" i="2"/>
  <c r="J147" i="2"/>
  <c r="I147" i="2"/>
  <c r="H147" i="2"/>
  <c r="G147" i="2"/>
  <c r="F147" i="2"/>
  <c r="E147" i="2"/>
  <c r="D147" i="2"/>
  <c r="C147" i="2"/>
  <c r="A147" i="2"/>
  <c r="M146" i="2"/>
  <c r="L146" i="2"/>
  <c r="K146" i="2"/>
  <c r="J146" i="2"/>
  <c r="I146" i="2"/>
  <c r="H146" i="2"/>
  <c r="G146" i="2"/>
  <c r="F146" i="2"/>
  <c r="E146" i="2"/>
  <c r="D146" i="2"/>
  <c r="C146" i="2"/>
  <c r="A146" i="2"/>
  <c r="M145" i="2"/>
  <c r="L145" i="2"/>
  <c r="K145" i="2"/>
  <c r="J145" i="2"/>
  <c r="I145" i="2"/>
  <c r="H145" i="2"/>
  <c r="G145" i="2"/>
  <c r="F145" i="2"/>
  <c r="E145" i="2"/>
  <c r="D145" i="2"/>
  <c r="C145" i="2"/>
  <c r="A145" i="2"/>
  <c r="M144" i="2"/>
  <c r="L144" i="2"/>
  <c r="K144" i="2"/>
  <c r="J144" i="2"/>
  <c r="I144" i="2"/>
  <c r="H144" i="2"/>
  <c r="G144" i="2"/>
  <c r="F144" i="2"/>
  <c r="E144" i="2"/>
  <c r="D144" i="2"/>
  <c r="C144" i="2"/>
  <c r="A144" i="2"/>
  <c r="M143" i="2"/>
  <c r="L143" i="2"/>
  <c r="K143" i="2"/>
  <c r="J143" i="2"/>
  <c r="I143" i="2"/>
  <c r="H143" i="2"/>
  <c r="G143" i="2"/>
  <c r="F143" i="2"/>
  <c r="E143" i="2"/>
  <c r="D143" i="2"/>
  <c r="C143" i="2"/>
  <c r="A143" i="2"/>
  <c r="M142" i="2"/>
  <c r="L142" i="2"/>
  <c r="K142" i="2"/>
  <c r="J142" i="2"/>
  <c r="I142" i="2"/>
  <c r="H142" i="2"/>
  <c r="G142" i="2"/>
  <c r="F142" i="2"/>
  <c r="E142" i="2"/>
  <c r="D142" i="2"/>
  <c r="C142" i="2"/>
  <c r="A142" i="2"/>
  <c r="M141" i="2"/>
  <c r="L141" i="2"/>
  <c r="K141" i="2"/>
  <c r="J141" i="2"/>
  <c r="I141" i="2"/>
  <c r="H141" i="2"/>
  <c r="G141" i="2"/>
  <c r="F141" i="2"/>
  <c r="E141" i="2"/>
  <c r="D141" i="2"/>
  <c r="C141" i="2"/>
  <c r="A141" i="2"/>
  <c r="M140" i="2"/>
  <c r="L140" i="2"/>
  <c r="K140" i="2"/>
  <c r="J140" i="2"/>
  <c r="I140" i="2"/>
  <c r="H140" i="2"/>
  <c r="G140" i="2"/>
  <c r="F140" i="2"/>
  <c r="E140" i="2"/>
  <c r="D140" i="2"/>
  <c r="C140" i="2"/>
  <c r="A140" i="2"/>
  <c r="M139" i="2"/>
  <c r="L139" i="2"/>
  <c r="K139" i="2"/>
  <c r="J139" i="2"/>
  <c r="I139" i="2"/>
  <c r="H139" i="2"/>
  <c r="G139" i="2"/>
  <c r="F139" i="2"/>
  <c r="E139" i="2"/>
  <c r="D139" i="2"/>
  <c r="C139" i="2"/>
  <c r="A139" i="2"/>
  <c r="M138" i="2"/>
  <c r="L138" i="2"/>
  <c r="K138" i="2"/>
  <c r="J138" i="2"/>
  <c r="I138" i="2"/>
  <c r="H138" i="2"/>
  <c r="G138" i="2"/>
  <c r="F138" i="2"/>
  <c r="E138" i="2"/>
  <c r="D138" i="2"/>
  <c r="C138" i="2"/>
  <c r="A138" i="2"/>
  <c r="M137" i="2"/>
  <c r="L137" i="2"/>
  <c r="K137" i="2"/>
  <c r="J137" i="2"/>
  <c r="I137" i="2"/>
  <c r="H137" i="2"/>
  <c r="G137" i="2"/>
  <c r="F137" i="2"/>
  <c r="E137" i="2"/>
  <c r="D137" i="2"/>
  <c r="C137" i="2"/>
  <c r="A137" i="2"/>
  <c r="M136" i="2"/>
  <c r="L136" i="2"/>
  <c r="K136" i="2"/>
  <c r="J136" i="2"/>
  <c r="I136" i="2"/>
  <c r="H136" i="2"/>
  <c r="G136" i="2"/>
  <c r="F136" i="2"/>
  <c r="E136" i="2"/>
  <c r="D136" i="2"/>
  <c r="C136" i="2"/>
  <c r="A136" i="2"/>
  <c r="M135" i="2"/>
  <c r="L135" i="2"/>
  <c r="K135" i="2"/>
  <c r="J135" i="2"/>
  <c r="I135" i="2"/>
  <c r="H135" i="2"/>
  <c r="G135" i="2"/>
  <c r="F135" i="2"/>
  <c r="E135" i="2"/>
  <c r="D135" i="2"/>
  <c r="C135" i="2"/>
  <c r="A135" i="2"/>
  <c r="M134" i="2"/>
  <c r="L134" i="2"/>
  <c r="K134" i="2"/>
  <c r="J134" i="2"/>
  <c r="I134" i="2"/>
  <c r="H134" i="2"/>
  <c r="G134" i="2"/>
  <c r="F134" i="2"/>
  <c r="E134" i="2"/>
  <c r="D134" i="2"/>
  <c r="C134" i="2"/>
  <c r="A134" i="2"/>
  <c r="M133" i="2"/>
  <c r="L133" i="2"/>
  <c r="K133" i="2"/>
  <c r="J133" i="2"/>
  <c r="I133" i="2"/>
  <c r="H133" i="2"/>
  <c r="G133" i="2"/>
  <c r="F133" i="2"/>
  <c r="E133" i="2"/>
  <c r="D133" i="2"/>
  <c r="C133" i="2"/>
  <c r="A133" i="2"/>
  <c r="M132" i="2"/>
  <c r="L132" i="2"/>
  <c r="K132" i="2"/>
  <c r="J132" i="2"/>
  <c r="I132" i="2"/>
  <c r="H132" i="2"/>
  <c r="G132" i="2"/>
  <c r="F132" i="2"/>
  <c r="E132" i="2"/>
  <c r="D132" i="2"/>
  <c r="C132" i="2"/>
  <c r="A132" i="2"/>
  <c r="M131" i="2"/>
  <c r="L131" i="2"/>
  <c r="K131" i="2"/>
  <c r="J131" i="2"/>
  <c r="I131" i="2"/>
  <c r="H131" i="2"/>
  <c r="G131" i="2"/>
  <c r="F131" i="2"/>
  <c r="E131" i="2"/>
  <c r="D131" i="2"/>
  <c r="C131" i="2"/>
  <c r="A131" i="2"/>
  <c r="M130" i="2"/>
  <c r="L130" i="2"/>
  <c r="K130" i="2"/>
  <c r="J130" i="2"/>
  <c r="I130" i="2"/>
  <c r="H130" i="2"/>
  <c r="G130" i="2"/>
  <c r="F130" i="2"/>
  <c r="E130" i="2"/>
  <c r="D130" i="2"/>
  <c r="C130" i="2"/>
  <c r="A130" i="2"/>
  <c r="M129" i="2"/>
  <c r="L129" i="2"/>
  <c r="K129" i="2"/>
  <c r="J129" i="2"/>
  <c r="I129" i="2"/>
  <c r="H129" i="2"/>
  <c r="G129" i="2"/>
  <c r="F129" i="2"/>
  <c r="E129" i="2"/>
  <c r="D129" i="2"/>
  <c r="C129" i="2"/>
  <c r="A129" i="2"/>
  <c r="M128" i="2"/>
  <c r="L128" i="2"/>
  <c r="K128" i="2"/>
  <c r="J128" i="2"/>
  <c r="I128" i="2"/>
  <c r="H128" i="2"/>
  <c r="G128" i="2"/>
  <c r="F128" i="2"/>
  <c r="E128" i="2"/>
  <c r="D128" i="2"/>
  <c r="C128" i="2"/>
  <c r="A128" i="2"/>
  <c r="M127" i="2"/>
  <c r="L127" i="2"/>
  <c r="K127" i="2"/>
  <c r="J127" i="2"/>
  <c r="I127" i="2"/>
  <c r="H127" i="2"/>
  <c r="G127" i="2"/>
  <c r="F127" i="2"/>
  <c r="E127" i="2"/>
  <c r="D127" i="2"/>
  <c r="C127" i="2"/>
  <c r="A127" i="2"/>
  <c r="M126" i="2"/>
  <c r="L126" i="2"/>
  <c r="K126" i="2"/>
  <c r="J126" i="2"/>
  <c r="I126" i="2"/>
  <c r="H126" i="2"/>
  <c r="G126" i="2"/>
  <c r="F126" i="2"/>
  <c r="E126" i="2"/>
  <c r="D126" i="2"/>
  <c r="C126" i="2"/>
  <c r="A126" i="2"/>
  <c r="M125" i="2"/>
  <c r="L125" i="2"/>
  <c r="K125" i="2"/>
  <c r="J125" i="2"/>
  <c r="I125" i="2"/>
  <c r="H125" i="2"/>
  <c r="G125" i="2"/>
  <c r="F125" i="2"/>
  <c r="E125" i="2"/>
  <c r="D125" i="2"/>
  <c r="C125" i="2"/>
  <c r="A125" i="2"/>
  <c r="M124" i="2"/>
  <c r="L124" i="2"/>
  <c r="K124" i="2"/>
  <c r="J124" i="2"/>
  <c r="I124" i="2"/>
  <c r="H124" i="2"/>
  <c r="G124" i="2"/>
  <c r="F124" i="2"/>
  <c r="E124" i="2"/>
  <c r="D124" i="2"/>
  <c r="C124" i="2"/>
  <c r="A124" i="2"/>
  <c r="M123" i="2"/>
  <c r="L123" i="2"/>
  <c r="K123" i="2"/>
  <c r="J123" i="2"/>
  <c r="I123" i="2"/>
  <c r="H123" i="2"/>
  <c r="G123" i="2"/>
  <c r="F123" i="2"/>
  <c r="E123" i="2"/>
  <c r="D123" i="2"/>
  <c r="C123" i="2"/>
  <c r="A123" i="2"/>
  <c r="M122" i="2"/>
  <c r="L122" i="2"/>
  <c r="K122" i="2"/>
  <c r="J122" i="2"/>
  <c r="I122" i="2"/>
  <c r="H122" i="2"/>
  <c r="G122" i="2"/>
  <c r="F122" i="2"/>
  <c r="E122" i="2"/>
  <c r="D122" i="2"/>
  <c r="C122" i="2"/>
  <c r="A122" i="2"/>
  <c r="M121" i="2"/>
  <c r="L121" i="2"/>
  <c r="K121" i="2"/>
  <c r="J121" i="2"/>
  <c r="I121" i="2"/>
  <c r="H121" i="2"/>
  <c r="G121" i="2"/>
  <c r="F121" i="2"/>
  <c r="E121" i="2"/>
  <c r="D121" i="2"/>
  <c r="C121" i="2"/>
  <c r="A121" i="2"/>
  <c r="M120" i="2"/>
  <c r="L120" i="2"/>
  <c r="K120" i="2"/>
  <c r="J120" i="2"/>
  <c r="I120" i="2"/>
  <c r="H120" i="2"/>
  <c r="G120" i="2"/>
  <c r="F120" i="2"/>
  <c r="E120" i="2"/>
  <c r="D120" i="2"/>
  <c r="C120" i="2"/>
  <c r="A120" i="2"/>
  <c r="M119" i="2"/>
  <c r="L119" i="2"/>
  <c r="K119" i="2"/>
  <c r="J119" i="2"/>
  <c r="I119" i="2"/>
  <c r="H119" i="2"/>
  <c r="G119" i="2"/>
  <c r="F119" i="2"/>
  <c r="E119" i="2"/>
  <c r="D119" i="2"/>
  <c r="C119" i="2"/>
  <c r="A119" i="2"/>
  <c r="M118" i="2"/>
  <c r="L118" i="2"/>
  <c r="K118" i="2"/>
  <c r="J118" i="2"/>
  <c r="I118" i="2"/>
  <c r="H118" i="2"/>
  <c r="G118" i="2"/>
  <c r="F118" i="2"/>
  <c r="E118" i="2"/>
  <c r="D118" i="2"/>
  <c r="C118" i="2"/>
  <c r="A118" i="2"/>
  <c r="M117" i="2"/>
  <c r="L117" i="2"/>
  <c r="K117" i="2"/>
  <c r="J117" i="2"/>
  <c r="I117" i="2"/>
  <c r="H117" i="2"/>
  <c r="G117" i="2"/>
  <c r="F117" i="2"/>
  <c r="E117" i="2"/>
  <c r="D117" i="2"/>
  <c r="C117" i="2"/>
  <c r="A117" i="2"/>
  <c r="M116" i="2"/>
  <c r="L116" i="2"/>
  <c r="K116" i="2"/>
  <c r="J116" i="2"/>
  <c r="I116" i="2"/>
  <c r="H116" i="2"/>
  <c r="G116" i="2"/>
  <c r="F116" i="2"/>
  <c r="E116" i="2"/>
  <c r="D116" i="2"/>
  <c r="C116" i="2"/>
  <c r="A116" i="2"/>
  <c r="M115" i="2"/>
  <c r="L115" i="2"/>
  <c r="K115" i="2"/>
  <c r="J115" i="2"/>
  <c r="I115" i="2"/>
  <c r="H115" i="2"/>
  <c r="G115" i="2"/>
  <c r="F115" i="2"/>
  <c r="E115" i="2"/>
  <c r="D115" i="2"/>
  <c r="C115" i="2"/>
  <c r="A115" i="2"/>
  <c r="M114" i="2"/>
  <c r="L114" i="2"/>
  <c r="K114" i="2"/>
  <c r="J114" i="2"/>
  <c r="I114" i="2"/>
  <c r="H114" i="2"/>
  <c r="G114" i="2"/>
  <c r="F114" i="2"/>
  <c r="E114" i="2"/>
  <c r="D114" i="2"/>
  <c r="C114" i="2"/>
  <c r="A114" i="2"/>
  <c r="M113" i="2"/>
  <c r="L113" i="2"/>
  <c r="K113" i="2"/>
  <c r="J113" i="2"/>
  <c r="I113" i="2"/>
  <c r="H113" i="2"/>
  <c r="G113" i="2"/>
  <c r="F113" i="2"/>
  <c r="E113" i="2"/>
  <c r="D113" i="2"/>
  <c r="C113" i="2"/>
  <c r="A113" i="2"/>
  <c r="M112" i="2"/>
  <c r="L112" i="2"/>
  <c r="K112" i="2"/>
  <c r="J112" i="2"/>
  <c r="I112" i="2"/>
  <c r="H112" i="2"/>
  <c r="G112" i="2"/>
  <c r="F112" i="2"/>
  <c r="E112" i="2"/>
  <c r="D112" i="2"/>
  <c r="C112" i="2"/>
  <c r="A112" i="2"/>
  <c r="M111" i="2"/>
  <c r="L111" i="2"/>
  <c r="K111" i="2"/>
  <c r="J111" i="2"/>
  <c r="I111" i="2"/>
  <c r="H111" i="2"/>
  <c r="G111" i="2"/>
  <c r="F111" i="2"/>
  <c r="E111" i="2"/>
  <c r="D111" i="2"/>
  <c r="C111" i="2"/>
  <c r="A111" i="2"/>
  <c r="M110" i="2"/>
  <c r="L110" i="2"/>
  <c r="K110" i="2"/>
  <c r="J110" i="2"/>
  <c r="I110" i="2"/>
  <c r="H110" i="2"/>
  <c r="G110" i="2"/>
  <c r="F110" i="2"/>
  <c r="E110" i="2"/>
  <c r="D110" i="2"/>
  <c r="C110" i="2"/>
  <c r="A110" i="2"/>
  <c r="M109" i="2"/>
  <c r="L109" i="2"/>
  <c r="K109" i="2"/>
  <c r="J109" i="2"/>
  <c r="I109" i="2"/>
  <c r="H109" i="2"/>
  <c r="G109" i="2"/>
  <c r="F109" i="2"/>
  <c r="E109" i="2"/>
  <c r="D109" i="2"/>
  <c r="C109" i="2"/>
  <c r="A109" i="2"/>
  <c r="M108" i="2"/>
  <c r="L108" i="2"/>
  <c r="K108" i="2"/>
  <c r="J108" i="2"/>
  <c r="I108" i="2"/>
  <c r="H108" i="2"/>
  <c r="G108" i="2"/>
  <c r="F108" i="2"/>
  <c r="E108" i="2"/>
  <c r="D108" i="2"/>
  <c r="C108" i="2"/>
  <c r="A108" i="2"/>
  <c r="M107" i="2"/>
  <c r="L107" i="2"/>
  <c r="K107" i="2"/>
  <c r="J107" i="2"/>
  <c r="I107" i="2"/>
  <c r="H107" i="2"/>
  <c r="G107" i="2"/>
  <c r="F107" i="2"/>
  <c r="E107" i="2"/>
  <c r="D107" i="2"/>
  <c r="C107" i="2"/>
  <c r="A107" i="2"/>
  <c r="M106" i="2"/>
  <c r="L106" i="2"/>
  <c r="K106" i="2"/>
  <c r="J106" i="2"/>
  <c r="I106" i="2"/>
  <c r="H106" i="2"/>
  <c r="G106" i="2"/>
  <c r="F106" i="2"/>
  <c r="E106" i="2"/>
  <c r="D106" i="2"/>
  <c r="C106" i="2"/>
  <c r="A106" i="2"/>
  <c r="M105" i="2"/>
  <c r="L105" i="2"/>
  <c r="K105" i="2"/>
  <c r="J105" i="2"/>
  <c r="I105" i="2"/>
  <c r="H105" i="2"/>
  <c r="G105" i="2"/>
  <c r="F105" i="2"/>
  <c r="E105" i="2"/>
  <c r="D105" i="2"/>
  <c r="C105" i="2"/>
  <c r="A105" i="2"/>
  <c r="M104" i="2"/>
  <c r="L104" i="2"/>
  <c r="K104" i="2"/>
  <c r="J104" i="2"/>
  <c r="I104" i="2"/>
  <c r="H104" i="2"/>
  <c r="G104" i="2"/>
  <c r="F104" i="2"/>
  <c r="E104" i="2"/>
  <c r="D104" i="2"/>
  <c r="C104" i="2"/>
  <c r="A104" i="2"/>
  <c r="M103" i="2"/>
  <c r="L103" i="2"/>
  <c r="K103" i="2"/>
  <c r="J103" i="2"/>
  <c r="I103" i="2"/>
  <c r="H103" i="2"/>
  <c r="G103" i="2"/>
  <c r="F103" i="2"/>
  <c r="E103" i="2"/>
  <c r="D103" i="2"/>
  <c r="C103" i="2"/>
  <c r="A103" i="2"/>
  <c r="M102" i="2"/>
  <c r="L102" i="2"/>
  <c r="K102" i="2"/>
  <c r="J102" i="2"/>
  <c r="I102" i="2"/>
  <c r="H102" i="2"/>
  <c r="G102" i="2"/>
  <c r="F102" i="2"/>
  <c r="E102" i="2"/>
  <c r="D102" i="2"/>
  <c r="C102" i="2"/>
  <c r="A102" i="2"/>
  <c r="M101" i="2"/>
  <c r="L101" i="2"/>
  <c r="K101" i="2"/>
  <c r="J101" i="2"/>
  <c r="I101" i="2"/>
  <c r="H101" i="2"/>
  <c r="G101" i="2"/>
  <c r="F101" i="2"/>
  <c r="E101" i="2"/>
  <c r="D101" i="2"/>
  <c r="C101" i="2"/>
  <c r="A101" i="2"/>
  <c r="M100" i="2"/>
  <c r="L100" i="2"/>
  <c r="K100" i="2"/>
  <c r="J100" i="2"/>
  <c r="I100" i="2"/>
  <c r="H100" i="2"/>
  <c r="G100" i="2"/>
  <c r="F100" i="2"/>
  <c r="E100" i="2"/>
  <c r="D100" i="2"/>
  <c r="C100" i="2"/>
  <c r="A100" i="2"/>
  <c r="M99" i="2"/>
  <c r="L99" i="2"/>
  <c r="K99" i="2"/>
  <c r="J99" i="2"/>
  <c r="I99" i="2"/>
  <c r="H99" i="2"/>
  <c r="G99" i="2"/>
  <c r="F99" i="2"/>
  <c r="E99" i="2"/>
  <c r="D99" i="2"/>
  <c r="C99" i="2"/>
  <c r="A99" i="2"/>
  <c r="M98" i="2"/>
  <c r="L98" i="2"/>
  <c r="K98" i="2"/>
  <c r="J98" i="2"/>
  <c r="I98" i="2"/>
  <c r="H98" i="2"/>
  <c r="G98" i="2"/>
  <c r="F98" i="2"/>
  <c r="E98" i="2"/>
  <c r="D98" i="2"/>
  <c r="C98" i="2"/>
  <c r="A98" i="2"/>
  <c r="M97" i="2"/>
  <c r="L97" i="2"/>
  <c r="K97" i="2"/>
  <c r="J97" i="2"/>
  <c r="I97" i="2"/>
  <c r="H97" i="2"/>
  <c r="G97" i="2"/>
  <c r="F97" i="2"/>
  <c r="E97" i="2"/>
  <c r="D97" i="2"/>
  <c r="C97" i="2"/>
  <c r="A97" i="2"/>
  <c r="M96" i="2"/>
  <c r="L96" i="2"/>
  <c r="K96" i="2"/>
  <c r="J96" i="2"/>
  <c r="I96" i="2"/>
  <c r="H96" i="2"/>
  <c r="G96" i="2"/>
  <c r="F96" i="2"/>
  <c r="E96" i="2"/>
  <c r="D96" i="2"/>
  <c r="C96" i="2"/>
  <c r="A96" i="2"/>
  <c r="M95" i="2"/>
  <c r="L95" i="2"/>
  <c r="K95" i="2"/>
  <c r="J95" i="2"/>
  <c r="I95" i="2"/>
  <c r="H95" i="2"/>
  <c r="G95" i="2"/>
  <c r="F95" i="2"/>
  <c r="E95" i="2"/>
  <c r="D95" i="2"/>
  <c r="C95" i="2"/>
  <c r="A95" i="2"/>
  <c r="M94" i="2"/>
  <c r="L94" i="2"/>
  <c r="K94" i="2"/>
  <c r="J94" i="2"/>
  <c r="I94" i="2"/>
  <c r="H94" i="2"/>
  <c r="G94" i="2"/>
  <c r="F94" i="2"/>
  <c r="E94" i="2"/>
  <c r="D94" i="2"/>
  <c r="C94" i="2"/>
  <c r="A94" i="2"/>
  <c r="M93" i="2"/>
  <c r="L93" i="2"/>
  <c r="K93" i="2"/>
  <c r="J93" i="2"/>
  <c r="I93" i="2"/>
  <c r="H93" i="2"/>
  <c r="G93" i="2"/>
  <c r="F93" i="2"/>
  <c r="E93" i="2"/>
  <c r="D93" i="2"/>
  <c r="C93" i="2"/>
  <c r="A93" i="2"/>
  <c r="M92" i="2"/>
  <c r="L92" i="2"/>
  <c r="K92" i="2"/>
  <c r="J92" i="2"/>
  <c r="I92" i="2"/>
  <c r="H92" i="2"/>
  <c r="G92" i="2"/>
  <c r="F92" i="2"/>
  <c r="E92" i="2"/>
  <c r="D92" i="2"/>
  <c r="C92" i="2"/>
  <c r="A92" i="2"/>
  <c r="M91" i="2"/>
  <c r="L91" i="2"/>
  <c r="K91" i="2"/>
  <c r="J91" i="2"/>
  <c r="I91" i="2"/>
  <c r="H91" i="2"/>
  <c r="G91" i="2"/>
  <c r="F91" i="2"/>
  <c r="E91" i="2"/>
  <c r="D91" i="2"/>
  <c r="C91" i="2"/>
  <c r="A91" i="2"/>
  <c r="M90" i="2"/>
  <c r="L90" i="2"/>
  <c r="K90" i="2"/>
  <c r="J90" i="2"/>
  <c r="I90" i="2"/>
  <c r="H90" i="2"/>
  <c r="G90" i="2"/>
  <c r="F90" i="2"/>
  <c r="E90" i="2"/>
  <c r="D90" i="2"/>
  <c r="C90" i="2"/>
  <c r="A90" i="2"/>
  <c r="M89" i="2"/>
  <c r="L89" i="2"/>
  <c r="K89" i="2"/>
  <c r="J89" i="2"/>
  <c r="I89" i="2"/>
  <c r="H89" i="2"/>
  <c r="G89" i="2"/>
  <c r="F89" i="2"/>
  <c r="E89" i="2"/>
  <c r="D89" i="2"/>
  <c r="C89" i="2"/>
  <c r="A89" i="2"/>
  <c r="M88" i="2"/>
  <c r="L88" i="2"/>
  <c r="K88" i="2"/>
  <c r="J88" i="2"/>
  <c r="I88" i="2"/>
  <c r="H88" i="2"/>
  <c r="G88" i="2"/>
  <c r="F88" i="2"/>
  <c r="E88" i="2"/>
  <c r="D88" i="2"/>
  <c r="C88" i="2"/>
  <c r="A88" i="2"/>
  <c r="M87" i="2"/>
  <c r="L87" i="2"/>
  <c r="K87" i="2"/>
  <c r="J87" i="2"/>
  <c r="I87" i="2"/>
  <c r="H87" i="2"/>
  <c r="G87" i="2"/>
  <c r="F87" i="2"/>
  <c r="E87" i="2"/>
  <c r="D87" i="2"/>
  <c r="C87" i="2"/>
  <c r="A87" i="2"/>
  <c r="M86" i="2"/>
  <c r="L86" i="2"/>
  <c r="K86" i="2"/>
  <c r="J86" i="2"/>
  <c r="I86" i="2"/>
  <c r="H86" i="2"/>
  <c r="G86" i="2"/>
  <c r="F86" i="2"/>
  <c r="E86" i="2"/>
  <c r="D86" i="2"/>
  <c r="C86" i="2"/>
  <c r="A86" i="2"/>
  <c r="M85" i="2"/>
  <c r="L85" i="2"/>
  <c r="K85" i="2"/>
  <c r="J85" i="2"/>
  <c r="I85" i="2"/>
  <c r="H85" i="2"/>
  <c r="G85" i="2"/>
  <c r="F85" i="2"/>
  <c r="E85" i="2"/>
  <c r="D85" i="2"/>
  <c r="C85" i="2"/>
  <c r="A85" i="2"/>
  <c r="M84" i="2"/>
  <c r="L84" i="2"/>
  <c r="K84" i="2"/>
  <c r="J84" i="2"/>
  <c r="I84" i="2"/>
  <c r="H84" i="2"/>
  <c r="G84" i="2"/>
  <c r="F84" i="2"/>
  <c r="E84" i="2"/>
  <c r="D84" i="2"/>
  <c r="C84" i="2"/>
  <c r="A84" i="2"/>
  <c r="M83" i="2"/>
  <c r="L83" i="2"/>
  <c r="K83" i="2"/>
  <c r="J83" i="2"/>
  <c r="I83" i="2"/>
  <c r="H83" i="2"/>
  <c r="G83" i="2"/>
  <c r="F83" i="2"/>
  <c r="E83" i="2"/>
  <c r="D83" i="2"/>
  <c r="C83" i="2"/>
  <c r="A83" i="2"/>
  <c r="M82" i="2"/>
  <c r="L82" i="2"/>
  <c r="K82" i="2"/>
  <c r="J82" i="2"/>
  <c r="I82" i="2"/>
  <c r="H82" i="2"/>
  <c r="G82" i="2"/>
  <c r="F82" i="2"/>
  <c r="E82" i="2"/>
  <c r="D82" i="2"/>
  <c r="C82" i="2"/>
  <c r="A82" i="2"/>
  <c r="M81" i="2"/>
  <c r="L81" i="2"/>
  <c r="K81" i="2"/>
  <c r="J81" i="2"/>
  <c r="I81" i="2"/>
  <c r="H81" i="2"/>
  <c r="G81" i="2"/>
  <c r="F81" i="2"/>
  <c r="E81" i="2"/>
  <c r="D81" i="2"/>
  <c r="C81" i="2"/>
  <c r="A81" i="2"/>
  <c r="M80" i="2"/>
  <c r="L80" i="2"/>
  <c r="K80" i="2"/>
  <c r="J80" i="2"/>
  <c r="I80" i="2"/>
  <c r="H80" i="2"/>
  <c r="G80" i="2"/>
  <c r="F80" i="2"/>
  <c r="E80" i="2"/>
  <c r="D80" i="2"/>
  <c r="C80" i="2"/>
  <c r="A80" i="2"/>
  <c r="M79" i="2"/>
  <c r="L79" i="2"/>
  <c r="K79" i="2"/>
  <c r="J79" i="2"/>
  <c r="I79" i="2"/>
  <c r="H79" i="2"/>
  <c r="G79" i="2"/>
  <c r="F79" i="2"/>
  <c r="E79" i="2"/>
  <c r="D79" i="2"/>
  <c r="C79" i="2"/>
  <c r="A79" i="2"/>
  <c r="M78" i="2"/>
  <c r="L78" i="2"/>
  <c r="K78" i="2"/>
  <c r="J78" i="2"/>
  <c r="I78" i="2"/>
  <c r="H78" i="2"/>
  <c r="G78" i="2"/>
  <c r="F78" i="2"/>
  <c r="E78" i="2"/>
  <c r="D78" i="2"/>
  <c r="C78" i="2"/>
  <c r="A78" i="2"/>
  <c r="M77" i="2"/>
  <c r="L77" i="2"/>
  <c r="K77" i="2"/>
  <c r="J77" i="2"/>
  <c r="I77" i="2"/>
  <c r="H77" i="2"/>
  <c r="G77" i="2"/>
  <c r="F77" i="2"/>
  <c r="E77" i="2"/>
  <c r="D77" i="2"/>
  <c r="C77" i="2"/>
  <c r="A77" i="2"/>
  <c r="M76" i="2"/>
  <c r="L76" i="2"/>
  <c r="K76" i="2"/>
  <c r="J76" i="2"/>
  <c r="I76" i="2"/>
  <c r="H76" i="2"/>
  <c r="G76" i="2"/>
  <c r="F76" i="2"/>
  <c r="E76" i="2"/>
  <c r="D76" i="2"/>
  <c r="C76" i="2"/>
  <c r="A76" i="2"/>
  <c r="M75" i="2"/>
  <c r="L75" i="2"/>
  <c r="K75" i="2"/>
  <c r="J75" i="2"/>
  <c r="I75" i="2"/>
  <c r="H75" i="2"/>
  <c r="G75" i="2"/>
  <c r="F75" i="2"/>
  <c r="E75" i="2"/>
  <c r="D75" i="2"/>
  <c r="C75" i="2"/>
  <c r="A75" i="2"/>
  <c r="M74" i="2"/>
  <c r="L74" i="2"/>
  <c r="K74" i="2"/>
  <c r="J74" i="2"/>
  <c r="I74" i="2"/>
  <c r="H74" i="2"/>
  <c r="G74" i="2"/>
  <c r="F74" i="2"/>
  <c r="E74" i="2"/>
  <c r="D74" i="2"/>
  <c r="C74" i="2"/>
  <c r="A74" i="2"/>
  <c r="M73" i="2"/>
  <c r="L73" i="2"/>
  <c r="K73" i="2"/>
  <c r="J73" i="2"/>
  <c r="I73" i="2"/>
  <c r="H73" i="2"/>
  <c r="G73" i="2"/>
  <c r="F73" i="2"/>
  <c r="E73" i="2"/>
  <c r="D73" i="2"/>
  <c r="C73" i="2"/>
  <c r="A73" i="2"/>
  <c r="M72" i="2"/>
  <c r="L72" i="2"/>
  <c r="K72" i="2"/>
  <c r="J72" i="2"/>
  <c r="I72" i="2"/>
  <c r="H72" i="2"/>
  <c r="G72" i="2"/>
  <c r="F72" i="2"/>
  <c r="E72" i="2"/>
  <c r="D72" i="2"/>
  <c r="C72" i="2"/>
  <c r="A72" i="2"/>
  <c r="M71" i="2"/>
  <c r="L71" i="2"/>
  <c r="K71" i="2"/>
  <c r="J71" i="2"/>
  <c r="I71" i="2"/>
  <c r="H71" i="2"/>
  <c r="G71" i="2"/>
  <c r="F71" i="2"/>
  <c r="E71" i="2"/>
  <c r="D71" i="2"/>
  <c r="C71" i="2"/>
  <c r="A71" i="2"/>
  <c r="M70" i="2"/>
  <c r="L70" i="2"/>
  <c r="K70" i="2"/>
  <c r="J70" i="2"/>
  <c r="I70" i="2"/>
  <c r="H70" i="2"/>
  <c r="G70" i="2"/>
  <c r="F70" i="2"/>
  <c r="E70" i="2"/>
  <c r="D70" i="2"/>
  <c r="C70" i="2"/>
  <c r="A70" i="2"/>
  <c r="M69" i="2"/>
  <c r="L69" i="2"/>
  <c r="K69" i="2"/>
  <c r="J69" i="2"/>
  <c r="I69" i="2"/>
  <c r="H69" i="2"/>
  <c r="G69" i="2"/>
  <c r="F69" i="2"/>
  <c r="E69" i="2"/>
  <c r="D69" i="2"/>
  <c r="C69" i="2"/>
  <c r="A69" i="2"/>
  <c r="M68" i="2"/>
  <c r="L68" i="2"/>
  <c r="K68" i="2"/>
  <c r="J68" i="2"/>
  <c r="I68" i="2"/>
  <c r="H68" i="2"/>
  <c r="G68" i="2"/>
  <c r="F68" i="2"/>
  <c r="E68" i="2"/>
  <c r="D68" i="2"/>
  <c r="C68" i="2"/>
  <c r="A68" i="2"/>
  <c r="M67" i="2"/>
  <c r="L67" i="2"/>
  <c r="K67" i="2"/>
  <c r="J67" i="2"/>
  <c r="I67" i="2"/>
  <c r="H67" i="2"/>
  <c r="G67" i="2"/>
  <c r="F67" i="2"/>
  <c r="E67" i="2"/>
  <c r="D67" i="2"/>
  <c r="C67" i="2"/>
  <c r="A67" i="2"/>
  <c r="M66" i="2"/>
  <c r="L66" i="2"/>
  <c r="K66" i="2"/>
  <c r="J66" i="2"/>
  <c r="I66" i="2"/>
  <c r="H66" i="2"/>
  <c r="G66" i="2"/>
  <c r="F66" i="2"/>
  <c r="E66" i="2"/>
  <c r="D66" i="2"/>
  <c r="C66" i="2"/>
  <c r="A66" i="2"/>
  <c r="M65" i="2"/>
  <c r="L65" i="2"/>
  <c r="K65" i="2"/>
  <c r="J65" i="2"/>
  <c r="I65" i="2"/>
  <c r="H65" i="2"/>
  <c r="G65" i="2"/>
  <c r="F65" i="2"/>
  <c r="E65" i="2"/>
  <c r="D65" i="2"/>
  <c r="C65" i="2"/>
  <c r="A65" i="2"/>
  <c r="M64" i="2"/>
  <c r="L64" i="2"/>
  <c r="K64" i="2"/>
  <c r="J64" i="2"/>
  <c r="I64" i="2"/>
  <c r="H64" i="2"/>
  <c r="G64" i="2"/>
  <c r="F64" i="2"/>
  <c r="E64" i="2"/>
  <c r="D64" i="2"/>
  <c r="C64" i="2"/>
  <c r="A64" i="2"/>
  <c r="M63" i="2"/>
  <c r="L63" i="2"/>
  <c r="K63" i="2"/>
  <c r="J63" i="2"/>
  <c r="I63" i="2"/>
  <c r="H63" i="2"/>
  <c r="G63" i="2"/>
  <c r="F63" i="2"/>
  <c r="E63" i="2"/>
  <c r="D63" i="2"/>
  <c r="C63" i="2"/>
  <c r="A63" i="2"/>
  <c r="M62" i="2"/>
  <c r="L62" i="2"/>
  <c r="K62" i="2"/>
  <c r="J62" i="2"/>
  <c r="I62" i="2"/>
  <c r="H62" i="2"/>
  <c r="G62" i="2"/>
  <c r="F62" i="2"/>
  <c r="E62" i="2"/>
  <c r="D62" i="2"/>
  <c r="C62" i="2"/>
  <c r="A62" i="2"/>
  <c r="M61" i="2"/>
  <c r="L61" i="2"/>
  <c r="K61" i="2"/>
  <c r="J61" i="2"/>
  <c r="I61" i="2"/>
  <c r="H61" i="2"/>
  <c r="G61" i="2"/>
  <c r="F61" i="2"/>
  <c r="E61" i="2"/>
  <c r="D61" i="2"/>
  <c r="C61" i="2"/>
  <c r="A61" i="2"/>
  <c r="M60" i="2"/>
  <c r="L60" i="2"/>
  <c r="K60" i="2"/>
  <c r="J60" i="2"/>
  <c r="I60" i="2"/>
  <c r="H60" i="2"/>
  <c r="G60" i="2"/>
  <c r="F60" i="2"/>
  <c r="E60" i="2"/>
  <c r="D60" i="2"/>
  <c r="C60" i="2"/>
  <c r="A60" i="2"/>
  <c r="M59" i="2"/>
  <c r="L59" i="2"/>
  <c r="K59" i="2"/>
  <c r="J59" i="2"/>
  <c r="I59" i="2"/>
  <c r="H59" i="2"/>
  <c r="G59" i="2"/>
  <c r="F59" i="2"/>
  <c r="E59" i="2"/>
  <c r="D59" i="2"/>
  <c r="C59" i="2"/>
  <c r="A59" i="2"/>
  <c r="M58" i="2"/>
  <c r="L58" i="2"/>
  <c r="K58" i="2"/>
  <c r="J58" i="2"/>
  <c r="I58" i="2"/>
  <c r="H58" i="2"/>
  <c r="G58" i="2"/>
  <c r="F58" i="2"/>
  <c r="E58" i="2"/>
  <c r="D58" i="2"/>
  <c r="C58" i="2"/>
  <c r="A58" i="2"/>
  <c r="M57" i="2"/>
  <c r="L57" i="2"/>
  <c r="K57" i="2"/>
  <c r="J57" i="2"/>
  <c r="I57" i="2"/>
  <c r="H57" i="2"/>
  <c r="G57" i="2"/>
  <c r="F57" i="2"/>
  <c r="E57" i="2"/>
  <c r="D57" i="2"/>
  <c r="C57" i="2"/>
  <c r="A57" i="2"/>
  <c r="M56" i="2"/>
  <c r="L56" i="2"/>
  <c r="K56" i="2"/>
  <c r="J56" i="2"/>
  <c r="I56" i="2"/>
  <c r="H56" i="2"/>
  <c r="G56" i="2"/>
  <c r="F56" i="2"/>
  <c r="E56" i="2"/>
  <c r="D56" i="2"/>
  <c r="C56" i="2"/>
  <c r="A56" i="2"/>
  <c r="M55" i="2"/>
  <c r="L55" i="2"/>
  <c r="K55" i="2"/>
  <c r="J55" i="2"/>
  <c r="I55" i="2"/>
  <c r="H55" i="2"/>
  <c r="G55" i="2"/>
  <c r="F55" i="2"/>
  <c r="E55" i="2"/>
  <c r="D55" i="2"/>
  <c r="C55" i="2"/>
  <c r="A55" i="2"/>
  <c r="M54" i="2"/>
  <c r="L54" i="2"/>
  <c r="K54" i="2"/>
  <c r="J54" i="2"/>
  <c r="I54" i="2"/>
  <c r="H54" i="2"/>
  <c r="G54" i="2"/>
  <c r="F54" i="2"/>
  <c r="E54" i="2"/>
  <c r="D54" i="2"/>
  <c r="C54" i="2"/>
  <c r="A54" i="2"/>
  <c r="M53" i="2"/>
  <c r="L53" i="2"/>
  <c r="K53" i="2"/>
  <c r="J53" i="2"/>
  <c r="I53" i="2"/>
  <c r="H53" i="2"/>
  <c r="G53" i="2"/>
  <c r="F53" i="2"/>
  <c r="E53" i="2"/>
  <c r="D53" i="2"/>
  <c r="C53" i="2"/>
  <c r="A53" i="2"/>
  <c r="M52" i="2"/>
  <c r="L52" i="2"/>
  <c r="K52" i="2"/>
  <c r="J52" i="2"/>
  <c r="I52" i="2"/>
  <c r="H52" i="2"/>
  <c r="G52" i="2"/>
  <c r="F52" i="2"/>
  <c r="E52" i="2"/>
  <c r="D52" i="2"/>
  <c r="C52" i="2"/>
  <c r="A52" i="2"/>
  <c r="M51" i="2"/>
  <c r="L51" i="2"/>
  <c r="K51" i="2"/>
  <c r="J51" i="2"/>
  <c r="I51" i="2"/>
  <c r="H51" i="2"/>
  <c r="G51" i="2"/>
  <c r="F51" i="2"/>
  <c r="E51" i="2"/>
  <c r="D51" i="2"/>
  <c r="C51" i="2"/>
  <c r="A51" i="2"/>
  <c r="M50" i="2"/>
  <c r="L50" i="2"/>
  <c r="K50" i="2"/>
  <c r="J50" i="2"/>
  <c r="I50" i="2"/>
  <c r="H50" i="2"/>
  <c r="G50" i="2"/>
  <c r="F50" i="2"/>
  <c r="E50" i="2"/>
  <c r="D50" i="2"/>
  <c r="C50" i="2"/>
  <c r="A50" i="2"/>
  <c r="M49" i="2"/>
  <c r="L49" i="2"/>
  <c r="K49" i="2"/>
  <c r="J49" i="2"/>
  <c r="I49" i="2"/>
  <c r="H49" i="2"/>
  <c r="G49" i="2"/>
  <c r="F49" i="2"/>
  <c r="E49" i="2"/>
  <c r="D49" i="2"/>
  <c r="C49" i="2"/>
  <c r="A49" i="2"/>
  <c r="M48" i="2"/>
  <c r="L48" i="2"/>
  <c r="K48" i="2"/>
  <c r="J48" i="2"/>
  <c r="I48" i="2"/>
  <c r="H48" i="2"/>
  <c r="G48" i="2"/>
  <c r="F48" i="2"/>
  <c r="E48" i="2"/>
  <c r="D48" i="2"/>
  <c r="C48" i="2"/>
  <c r="A48" i="2"/>
  <c r="M47" i="2"/>
  <c r="L47" i="2"/>
  <c r="K47" i="2"/>
  <c r="J47" i="2"/>
  <c r="I47" i="2"/>
  <c r="H47" i="2"/>
  <c r="G47" i="2"/>
  <c r="F47" i="2"/>
  <c r="E47" i="2"/>
  <c r="D47" i="2"/>
  <c r="C47" i="2"/>
  <c r="A47" i="2"/>
  <c r="M46" i="2"/>
  <c r="L46" i="2"/>
  <c r="K46" i="2"/>
  <c r="J46" i="2"/>
  <c r="I46" i="2"/>
  <c r="H46" i="2"/>
  <c r="G46" i="2"/>
  <c r="F46" i="2"/>
  <c r="E46" i="2"/>
  <c r="D46" i="2"/>
  <c r="C46" i="2"/>
  <c r="A46" i="2"/>
  <c r="M45" i="2"/>
  <c r="L45" i="2"/>
  <c r="K45" i="2"/>
  <c r="J45" i="2"/>
  <c r="I45" i="2"/>
  <c r="H45" i="2"/>
  <c r="G45" i="2"/>
  <c r="F45" i="2"/>
  <c r="E45" i="2"/>
  <c r="D45" i="2"/>
  <c r="C45" i="2"/>
  <c r="A45" i="2"/>
  <c r="M44" i="2"/>
  <c r="L44" i="2"/>
  <c r="K44" i="2"/>
  <c r="J44" i="2"/>
  <c r="I44" i="2"/>
  <c r="H44" i="2"/>
  <c r="G44" i="2"/>
  <c r="F44" i="2"/>
  <c r="E44" i="2"/>
  <c r="D44" i="2"/>
  <c r="C44" i="2"/>
  <c r="A44" i="2"/>
  <c r="M43" i="2"/>
  <c r="L43" i="2"/>
  <c r="K43" i="2"/>
  <c r="J43" i="2"/>
  <c r="I43" i="2"/>
  <c r="H43" i="2"/>
  <c r="G43" i="2"/>
  <c r="F43" i="2"/>
  <c r="E43" i="2"/>
  <c r="D43" i="2"/>
  <c r="C43" i="2"/>
  <c r="A43" i="2"/>
  <c r="M42" i="2"/>
  <c r="L42" i="2"/>
  <c r="K42" i="2"/>
  <c r="J42" i="2"/>
  <c r="I42" i="2"/>
  <c r="H42" i="2"/>
  <c r="G42" i="2"/>
  <c r="F42" i="2"/>
  <c r="E42" i="2"/>
  <c r="D42" i="2"/>
  <c r="C42" i="2"/>
  <c r="A42" i="2"/>
  <c r="M41" i="2"/>
  <c r="L41" i="2"/>
  <c r="K41" i="2"/>
  <c r="J41" i="2"/>
  <c r="I41" i="2"/>
  <c r="H41" i="2"/>
  <c r="G41" i="2"/>
  <c r="F41" i="2"/>
  <c r="E41" i="2"/>
  <c r="D41" i="2"/>
  <c r="C41" i="2"/>
  <c r="A41" i="2"/>
  <c r="M40" i="2"/>
  <c r="L40" i="2"/>
  <c r="K40" i="2"/>
  <c r="J40" i="2"/>
  <c r="I40" i="2"/>
  <c r="H40" i="2"/>
  <c r="G40" i="2"/>
  <c r="F40" i="2"/>
  <c r="E40" i="2"/>
  <c r="D40" i="2"/>
  <c r="C40" i="2"/>
  <c r="A40" i="2"/>
  <c r="M39" i="2"/>
  <c r="L39" i="2"/>
  <c r="K39" i="2"/>
  <c r="J39" i="2"/>
  <c r="I39" i="2"/>
  <c r="H39" i="2"/>
  <c r="G39" i="2"/>
  <c r="F39" i="2"/>
  <c r="E39" i="2"/>
  <c r="D39" i="2"/>
  <c r="C39" i="2"/>
  <c r="A39" i="2"/>
  <c r="M38" i="2"/>
  <c r="L38" i="2"/>
  <c r="K38" i="2"/>
  <c r="J38" i="2"/>
  <c r="I38" i="2"/>
  <c r="H38" i="2"/>
  <c r="G38" i="2"/>
  <c r="F38" i="2"/>
  <c r="E38" i="2"/>
  <c r="D38" i="2"/>
  <c r="C38" i="2"/>
  <c r="A38" i="2"/>
  <c r="M37" i="2"/>
  <c r="L37" i="2"/>
  <c r="K37" i="2"/>
  <c r="J37" i="2"/>
  <c r="I37" i="2"/>
  <c r="H37" i="2"/>
  <c r="G37" i="2"/>
  <c r="F37" i="2"/>
  <c r="E37" i="2"/>
  <c r="D37" i="2"/>
  <c r="C37" i="2"/>
  <c r="A37" i="2"/>
  <c r="M36" i="2"/>
  <c r="L36" i="2"/>
  <c r="K36" i="2"/>
  <c r="J36" i="2"/>
  <c r="I36" i="2"/>
  <c r="H36" i="2"/>
  <c r="G36" i="2"/>
  <c r="F36" i="2"/>
  <c r="E36" i="2"/>
  <c r="D36" i="2"/>
  <c r="C36" i="2"/>
  <c r="A36" i="2"/>
  <c r="M35" i="2"/>
  <c r="L35" i="2"/>
  <c r="K35" i="2"/>
  <c r="J35" i="2"/>
  <c r="I35" i="2"/>
  <c r="H35" i="2"/>
  <c r="G35" i="2"/>
  <c r="F35" i="2"/>
  <c r="E35" i="2"/>
  <c r="D35" i="2"/>
  <c r="C35" i="2"/>
  <c r="A35" i="2"/>
  <c r="M34" i="2"/>
  <c r="L34" i="2"/>
  <c r="K34" i="2"/>
  <c r="J34" i="2"/>
  <c r="I34" i="2"/>
  <c r="H34" i="2"/>
  <c r="G34" i="2"/>
  <c r="F34" i="2"/>
  <c r="E34" i="2"/>
  <c r="D34" i="2"/>
  <c r="C34" i="2"/>
  <c r="A34" i="2"/>
  <c r="M33" i="2"/>
  <c r="L33" i="2"/>
  <c r="K33" i="2"/>
  <c r="J33" i="2"/>
  <c r="I33" i="2"/>
  <c r="H33" i="2"/>
  <c r="G33" i="2"/>
  <c r="F33" i="2"/>
  <c r="E33" i="2"/>
  <c r="D33" i="2"/>
  <c r="C33" i="2"/>
  <c r="A33" i="2"/>
  <c r="M32" i="2"/>
  <c r="L32" i="2"/>
  <c r="K32" i="2"/>
  <c r="J32" i="2"/>
  <c r="I32" i="2"/>
  <c r="H32" i="2"/>
  <c r="G32" i="2"/>
  <c r="F32" i="2"/>
  <c r="E32" i="2"/>
  <c r="D32" i="2"/>
  <c r="C32" i="2"/>
  <c r="A32" i="2"/>
  <c r="M31" i="2"/>
  <c r="L31" i="2"/>
  <c r="K31" i="2"/>
  <c r="J31" i="2"/>
  <c r="I31" i="2"/>
  <c r="H31" i="2"/>
  <c r="G31" i="2"/>
  <c r="F31" i="2"/>
  <c r="E31" i="2"/>
  <c r="D31" i="2"/>
  <c r="C31" i="2"/>
  <c r="A31" i="2"/>
  <c r="M30" i="2"/>
  <c r="L30" i="2"/>
  <c r="K30" i="2"/>
  <c r="J30" i="2"/>
  <c r="I30" i="2"/>
  <c r="H30" i="2"/>
  <c r="G30" i="2"/>
  <c r="F30" i="2"/>
  <c r="E30" i="2"/>
  <c r="D30" i="2"/>
  <c r="C30" i="2"/>
  <c r="A30" i="2"/>
  <c r="M29" i="2"/>
  <c r="L29" i="2"/>
  <c r="K29" i="2"/>
  <c r="J29" i="2"/>
  <c r="I29" i="2"/>
  <c r="H29" i="2"/>
  <c r="G29" i="2"/>
  <c r="F29" i="2"/>
  <c r="E29" i="2"/>
  <c r="D29" i="2"/>
  <c r="C29" i="2"/>
  <c r="A29" i="2"/>
  <c r="M28" i="2"/>
  <c r="L28" i="2"/>
  <c r="K28" i="2"/>
  <c r="J28" i="2"/>
  <c r="I28" i="2"/>
  <c r="H28" i="2"/>
  <c r="G28" i="2"/>
  <c r="F28" i="2"/>
  <c r="E28" i="2"/>
  <c r="D28" i="2"/>
  <c r="C28" i="2"/>
  <c r="A28" i="2"/>
  <c r="M27" i="2"/>
  <c r="L27" i="2"/>
  <c r="K27" i="2"/>
  <c r="J27" i="2"/>
  <c r="I27" i="2"/>
  <c r="H27" i="2"/>
  <c r="G27" i="2"/>
  <c r="F27" i="2"/>
  <c r="E27" i="2"/>
  <c r="D27" i="2"/>
  <c r="C27" i="2"/>
  <c r="A27" i="2"/>
  <c r="M26" i="2"/>
  <c r="L26" i="2"/>
  <c r="K26" i="2"/>
  <c r="J26" i="2"/>
  <c r="I26" i="2"/>
  <c r="H26" i="2"/>
  <c r="G26" i="2"/>
  <c r="F26" i="2"/>
  <c r="E26" i="2"/>
  <c r="D26" i="2"/>
  <c r="C26" i="2"/>
  <c r="A26" i="2"/>
  <c r="M25" i="2"/>
  <c r="L25" i="2"/>
  <c r="K25" i="2"/>
  <c r="J25" i="2"/>
  <c r="I25" i="2"/>
  <c r="H25" i="2"/>
  <c r="G25" i="2"/>
  <c r="F25" i="2"/>
  <c r="E25" i="2"/>
  <c r="D25" i="2"/>
  <c r="C25" i="2"/>
  <c r="A25" i="2"/>
  <c r="M24" i="2"/>
  <c r="L24" i="2"/>
  <c r="K24" i="2"/>
  <c r="J24" i="2"/>
  <c r="I24" i="2"/>
  <c r="H24" i="2"/>
  <c r="G24" i="2"/>
  <c r="F24" i="2"/>
  <c r="E24" i="2"/>
  <c r="D24" i="2"/>
  <c r="C24" i="2"/>
  <c r="A24" i="2"/>
  <c r="M23" i="2"/>
  <c r="L23" i="2"/>
  <c r="K23" i="2"/>
  <c r="J23" i="2"/>
  <c r="I23" i="2"/>
  <c r="H23" i="2"/>
  <c r="G23" i="2"/>
  <c r="F23" i="2"/>
  <c r="E23" i="2"/>
  <c r="D23" i="2"/>
  <c r="C23" i="2"/>
  <c r="A23" i="2"/>
  <c r="M22" i="2"/>
  <c r="L22" i="2"/>
  <c r="K22" i="2"/>
  <c r="J22" i="2"/>
  <c r="I22" i="2"/>
  <c r="H22" i="2"/>
  <c r="G22" i="2"/>
  <c r="F22" i="2"/>
  <c r="E22" i="2"/>
  <c r="D22" i="2"/>
  <c r="C22" i="2"/>
  <c r="A22" i="2"/>
  <c r="M21" i="2"/>
  <c r="L21" i="2"/>
  <c r="K21" i="2"/>
  <c r="J21" i="2"/>
  <c r="I21" i="2"/>
  <c r="H21" i="2"/>
  <c r="G21" i="2"/>
  <c r="F21" i="2"/>
  <c r="E21" i="2"/>
  <c r="D21" i="2"/>
  <c r="C21" i="2"/>
  <c r="A21" i="2"/>
  <c r="M20" i="2"/>
  <c r="L20" i="2"/>
  <c r="K20" i="2"/>
  <c r="J20" i="2"/>
  <c r="I20" i="2"/>
  <c r="H20" i="2"/>
  <c r="G20" i="2"/>
  <c r="F20" i="2"/>
  <c r="E20" i="2"/>
  <c r="D20" i="2"/>
  <c r="C20" i="2"/>
  <c r="A20" i="2"/>
  <c r="M19" i="2"/>
  <c r="L19" i="2"/>
  <c r="K19" i="2"/>
  <c r="J19" i="2"/>
  <c r="I19" i="2"/>
  <c r="H19" i="2"/>
  <c r="G19" i="2"/>
  <c r="F19" i="2"/>
  <c r="E19" i="2"/>
  <c r="D19" i="2"/>
  <c r="C19" i="2"/>
  <c r="A19" i="2"/>
  <c r="M18" i="2"/>
  <c r="L18" i="2"/>
  <c r="K18" i="2"/>
  <c r="J18" i="2"/>
  <c r="I18" i="2"/>
  <c r="H18" i="2"/>
  <c r="G18" i="2"/>
  <c r="F18" i="2"/>
  <c r="E18" i="2"/>
  <c r="D18" i="2"/>
  <c r="C18" i="2"/>
  <c r="A18" i="2"/>
  <c r="M17" i="2"/>
  <c r="L17" i="2"/>
  <c r="K17" i="2"/>
  <c r="J17" i="2"/>
  <c r="I17" i="2"/>
  <c r="H17" i="2"/>
  <c r="G17" i="2"/>
  <c r="F17" i="2"/>
  <c r="E17" i="2"/>
  <c r="D17" i="2"/>
  <c r="C17" i="2"/>
  <c r="A17" i="2"/>
  <c r="M16" i="2"/>
  <c r="L16" i="2"/>
  <c r="K16" i="2"/>
  <c r="J16" i="2"/>
  <c r="I16" i="2"/>
  <c r="H16" i="2"/>
  <c r="G16" i="2"/>
  <c r="F16" i="2"/>
  <c r="E16" i="2"/>
  <c r="D16" i="2"/>
  <c r="C16" i="2"/>
  <c r="A16" i="2"/>
  <c r="M15" i="2"/>
  <c r="L15" i="2"/>
  <c r="K15" i="2"/>
  <c r="J15" i="2"/>
  <c r="I15" i="2"/>
  <c r="H15" i="2"/>
  <c r="G15" i="2"/>
  <c r="F15" i="2"/>
  <c r="E15" i="2"/>
  <c r="D15" i="2"/>
  <c r="C15" i="2"/>
  <c r="A15" i="2"/>
  <c r="M14" i="2"/>
  <c r="L14" i="2"/>
  <c r="K14" i="2"/>
  <c r="J14" i="2"/>
  <c r="I14" i="2"/>
  <c r="H14" i="2"/>
  <c r="G14" i="2"/>
  <c r="F14" i="2"/>
  <c r="E14" i="2"/>
  <c r="D14" i="2"/>
  <c r="C14" i="2"/>
  <c r="A14" i="2"/>
  <c r="M13" i="2"/>
  <c r="L13" i="2"/>
  <c r="K13" i="2"/>
  <c r="J13" i="2"/>
  <c r="I13" i="2"/>
  <c r="H13" i="2"/>
  <c r="G13" i="2"/>
  <c r="F13" i="2"/>
  <c r="E13" i="2"/>
  <c r="D13" i="2"/>
  <c r="C13" i="2"/>
  <c r="A13" i="2"/>
  <c r="M12" i="2"/>
  <c r="L12" i="2"/>
  <c r="K12" i="2"/>
  <c r="J12" i="2"/>
  <c r="I12" i="2"/>
  <c r="H12" i="2"/>
  <c r="G12" i="2"/>
  <c r="F12" i="2"/>
  <c r="E12" i="2"/>
  <c r="D12" i="2"/>
  <c r="C12" i="2"/>
  <c r="A12" i="2"/>
  <c r="M11" i="2"/>
  <c r="L11" i="2"/>
  <c r="K11" i="2"/>
  <c r="J11" i="2"/>
  <c r="I11" i="2"/>
  <c r="H11" i="2"/>
  <c r="G11" i="2"/>
  <c r="F11" i="2"/>
  <c r="E11" i="2"/>
  <c r="D11" i="2"/>
  <c r="C11" i="2"/>
  <c r="A11" i="2"/>
  <c r="M10" i="2"/>
  <c r="L10" i="2"/>
  <c r="K10" i="2"/>
  <c r="J10" i="2"/>
  <c r="I10" i="2"/>
  <c r="H10" i="2"/>
  <c r="G10" i="2"/>
  <c r="F10" i="2"/>
  <c r="E10" i="2"/>
  <c r="D10" i="2"/>
  <c r="C10" i="2"/>
  <c r="A10" i="2"/>
  <c r="M9" i="2"/>
  <c r="L9" i="2"/>
  <c r="K9" i="2"/>
  <c r="J9" i="2"/>
  <c r="I9" i="2"/>
  <c r="H9" i="2"/>
  <c r="G9" i="2"/>
  <c r="F9" i="2"/>
  <c r="E9" i="2"/>
  <c r="D9" i="2"/>
  <c r="C9" i="2"/>
  <c r="A9" i="2"/>
  <c r="M8" i="2"/>
  <c r="L8" i="2"/>
  <c r="K8" i="2"/>
  <c r="J8" i="2"/>
  <c r="I8" i="2"/>
  <c r="H8" i="2"/>
  <c r="G8" i="2"/>
  <c r="F8" i="2"/>
  <c r="E8" i="2"/>
  <c r="D8" i="2"/>
  <c r="C8" i="2"/>
  <c r="A8" i="2"/>
  <c r="M7" i="2"/>
  <c r="L7" i="2"/>
  <c r="K7" i="2"/>
  <c r="J7" i="2"/>
  <c r="I7" i="2"/>
  <c r="H7" i="2"/>
  <c r="G7" i="2"/>
  <c r="F7" i="2"/>
  <c r="E7" i="2"/>
  <c r="D7" i="2"/>
  <c r="C7" i="2"/>
  <c r="A7" i="2"/>
  <c r="M6" i="2"/>
  <c r="L6" i="2"/>
  <c r="K6" i="2"/>
  <c r="J6" i="2"/>
  <c r="I6" i="2"/>
  <c r="H6" i="2"/>
  <c r="G6" i="2"/>
  <c r="F6" i="2"/>
  <c r="E6" i="2"/>
  <c r="D6" i="2"/>
  <c r="C6" i="2"/>
  <c r="A6" i="2"/>
  <c r="M5" i="2"/>
  <c r="L5" i="2"/>
  <c r="K5" i="2"/>
  <c r="J5" i="2"/>
  <c r="I5" i="2"/>
  <c r="H5" i="2"/>
  <c r="G5" i="2"/>
  <c r="F5" i="2"/>
  <c r="E5" i="2"/>
  <c r="D5" i="2"/>
  <c r="C5" i="2"/>
  <c r="A5" i="2"/>
  <c r="M4" i="2"/>
  <c r="L4" i="2"/>
  <c r="K4" i="2"/>
  <c r="J4" i="2"/>
  <c r="I4" i="2"/>
  <c r="H4" i="2"/>
  <c r="G4" i="2"/>
  <c r="F4" i="2"/>
  <c r="E4" i="2"/>
  <c r="D4" i="2"/>
  <c r="C4" i="2"/>
  <c r="A4" i="2"/>
  <c r="M3" i="2"/>
  <c r="L3" i="2"/>
  <c r="K3" i="2"/>
  <c r="J3" i="2"/>
  <c r="I3" i="2"/>
  <c r="H3" i="2"/>
  <c r="G3" i="2"/>
  <c r="F3" i="2"/>
  <c r="E3" i="2"/>
  <c r="D3" i="2"/>
  <c r="C3" i="2"/>
  <c r="A3" i="2"/>
  <c r="M2" i="2"/>
  <c r="L2" i="2"/>
  <c r="K2" i="2"/>
  <c r="J2" i="2"/>
  <c r="I2" i="2"/>
  <c r="H2" i="2"/>
  <c r="G2" i="2"/>
  <c r="F2" i="2"/>
  <c r="E2" i="2"/>
  <c r="D2" i="2"/>
  <c r="C2" i="2"/>
  <c r="A2" i="2"/>
  <c r="M1" i="2"/>
  <c r="L1" i="2"/>
  <c r="K1" i="2"/>
  <c r="J1" i="2"/>
  <c r="I1" i="2"/>
  <c r="H1" i="2"/>
  <c r="G1" i="2"/>
  <c r="F1" i="2"/>
  <c r="E1" i="2"/>
  <c r="D1" i="2"/>
  <c r="C1" i="2"/>
  <c r="B1" i="2"/>
  <c r="A1" i="2"/>
  <c r="L215" i="5" l="1"/>
  <c r="J214" i="5"/>
  <c r="H213" i="5"/>
  <c r="F212" i="5"/>
  <c r="D211" i="5"/>
  <c r="L209" i="5"/>
  <c r="J208" i="5"/>
  <c r="H207" i="5"/>
  <c r="F206" i="5"/>
  <c r="D205" i="5"/>
  <c r="L203" i="5"/>
  <c r="J202" i="5"/>
  <c r="H201" i="5"/>
  <c r="F200" i="5"/>
  <c r="D199" i="5"/>
  <c r="L197" i="5"/>
  <c r="J196" i="5"/>
  <c r="H195" i="5"/>
  <c r="F194" i="5"/>
  <c r="D193" i="5"/>
  <c r="L191" i="5"/>
  <c r="J190" i="5"/>
  <c r="H189" i="5"/>
  <c r="F188" i="5"/>
  <c r="D187" i="5"/>
  <c r="L185" i="5"/>
  <c r="J184" i="5"/>
  <c r="H183" i="5"/>
  <c r="F182" i="5"/>
  <c r="D181" i="5"/>
  <c r="L179" i="5"/>
  <c r="J178" i="5"/>
  <c r="H177" i="5"/>
  <c r="F176" i="5"/>
  <c r="D175" i="5"/>
  <c r="L173" i="5"/>
  <c r="J172" i="5"/>
  <c r="H171" i="5"/>
  <c r="F170" i="5"/>
  <c r="D169" i="5"/>
  <c r="L167" i="5"/>
  <c r="J166" i="5"/>
  <c r="H165" i="5"/>
  <c r="F164" i="5"/>
  <c r="D163" i="5"/>
  <c r="L161" i="5"/>
  <c r="J160" i="5"/>
  <c r="H159" i="5"/>
  <c r="F158" i="5"/>
  <c r="D157" i="5"/>
  <c r="L155" i="5"/>
  <c r="J154" i="5"/>
  <c r="H153" i="5"/>
  <c r="F152" i="5"/>
  <c r="D151" i="5"/>
  <c r="L149" i="5"/>
  <c r="J148" i="5"/>
  <c r="H147" i="5"/>
  <c r="F146" i="5"/>
  <c r="D145" i="5"/>
  <c r="L143" i="5"/>
  <c r="J142" i="5"/>
  <c r="H141" i="5"/>
  <c r="F140" i="5"/>
  <c r="D139" i="5"/>
  <c r="L137" i="5"/>
  <c r="J136" i="5"/>
  <c r="H135" i="5"/>
  <c r="F134" i="5"/>
  <c r="D133" i="5"/>
  <c r="L131" i="5"/>
  <c r="J130" i="5"/>
  <c r="H129" i="5"/>
  <c r="F128" i="5"/>
  <c r="D127" i="5"/>
  <c r="L125" i="5"/>
  <c r="K215" i="5"/>
  <c r="I214" i="5"/>
  <c r="G213" i="5"/>
  <c r="E212" i="5"/>
  <c r="M210" i="5"/>
  <c r="K209" i="5"/>
  <c r="I208" i="5"/>
  <c r="G207" i="5"/>
  <c r="E206" i="5"/>
  <c r="M204" i="5"/>
  <c r="K203" i="5"/>
  <c r="I202" i="5"/>
  <c r="G201" i="5"/>
  <c r="E200" i="5"/>
  <c r="M198" i="5"/>
  <c r="K197" i="5"/>
  <c r="I196" i="5"/>
  <c r="G195" i="5"/>
  <c r="E194" i="5"/>
  <c r="M192" i="5"/>
  <c r="K191" i="5"/>
  <c r="I190" i="5"/>
  <c r="G189" i="5"/>
  <c r="E188" i="5"/>
  <c r="M186" i="5"/>
  <c r="K185" i="5"/>
  <c r="I184" i="5"/>
  <c r="J215" i="5"/>
  <c r="H214" i="5"/>
  <c r="F213" i="5"/>
  <c r="D212" i="5"/>
  <c r="L210" i="5"/>
  <c r="J209" i="5"/>
  <c r="H208" i="5"/>
  <c r="F207" i="5"/>
  <c r="D206" i="5"/>
  <c r="L204" i="5"/>
  <c r="J203" i="5"/>
  <c r="H202" i="5"/>
  <c r="F201" i="5"/>
  <c r="D200" i="5"/>
  <c r="L198" i="5"/>
  <c r="J197" i="5"/>
  <c r="H196" i="5"/>
  <c r="F195" i="5"/>
  <c r="D194" i="5"/>
  <c r="L192" i="5"/>
  <c r="J191" i="5"/>
  <c r="H190" i="5"/>
  <c r="F189" i="5"/>
  <c r="D188" i="5"/>
  <c r="L186" i="5"/>
  <c r="I215" i="5"/>
  <c r="G214" i="5"/>
  <c r="E213" i="5"/>
  <c r="M211" i="5"/>
  <c r="K210" i="5"/>
  <c r="I209" i="5"/>
  <c r="G208" i="5"/>
  <c r="E207" i="5"/>
  <c r="M205" i="5"/>
  <c r="K204" i="5"/>
  <c r="I203" i="5"/>
  <c r="G202" i="5"/>
  <c r="E201" i="5"/>
  <c r="M199" i="5"/>
  <c r="K198" i="5"/>
  <c r="I197" i="5"/>
  <c r="G196" i="5"/>
  <c r="E195" i="5"/>
  <c r="M193" i="5"/>
  <c r="K192" i="5"/>
  <c r="I191" i="5"/>
  <c r="G190" i="5"/>
  <c r="E189" i="5"/>
  <c r="M187" i="5"/>
  <c r="K186" i="5"/>
  <c r="I185" i="5"/>
  <c r="G184" i="5"/>
  <c r="K214" i="5"/>
  <c r="K212" i="5"/>
  <c r="E211" i="5"/>
  <c r="E209" i="5"/>
  <c r="I207" i="5"/>
  <c r="I205" i="5"/>
  <c r="M203" i="5"/>
  <c r="M201" i="5"/>
  <c r="G200" i="5"/>
  <c r="G198" i="5"/>
  <c r="K196" i="5"/>
  <c r="K194" i="5"/>
  <c r="E193" i="5"/>
  <c r="E191" i="5"/>
  <c r="I189" i="5"/>
  <c r="I187" i="5"/>
  <c r="M185" i="5"/>
  <c r="E184" i="5"/>
  <c r="L182" i="5"/>
  <c r="I181" i="5"/>
  <c r="F180" i="5"/>
  <c r="M178" i="5"/>
  <c r="J177" i="5"/>
  <c r="G176" i="5"/>
  <c r="M174" i="5"/>
  <c r="J173" i="5"/>
  <c r="G172" i="5"/>
  <c r="D171" i="5"/>
  <c r="K169" i="5"/>
  <c r="H168" i="5"/>
  <c r="E167" i="5"/>
  <c r="L165" i="5"/>
  <c r="I164" i="5"/>
  <c r="F163" i="5"/>
  <c r="M161" i="5"/>
  <c r="I160" i="5"/>
  <c r="F159" i="5"/>
  <c r="M157" i="5"/>
  <c r="J156" i="5"/>
  <c r="G155" i="5"/>
  <c r="D154" i="5"/>
  <c r="K152" i="5"/>
  <c r="H151" i="5"/>
  <c r="E150" i="5"/>
  <c r="L148" i="5"/>
  <c r="I147" i="5"/>
  <c r="E146" i="5"/>
  <c r="L144" i="5"/>
  <c r="I143" i="5"/>
  <c r="F142" i="5"/>
  <c r="M140" i="5"/>
  <c r="J139" i="5"/>
  <c r="G138" i="5"/>
  <c r="D137" i="5"/>
  <c r="K135" i="5"/>
  <c r="H134" i="5"/>
  <c r="E133" i="5"/>
  <c r="K131" i="5"/>
  <c r="H130" i="5"/>
  <c r="E129" i="5"/>
  <c r="L127" i="5"/>
  <c r="I126" i="5"/>
  <c r="F125" i="5"/>
  <c r="D124" i="5"/>
  <c r="L122" i="5"/>
  <c r="J121" i="5"/>
  <c r="H120" i="5"/>
  <c r="F119" i="5"/>
  <c r="D118" i="5"/>
  <c r="L116" i="5"/>
  <c r="J115" i="5"/>
  <c r="H114" i="5"/>
  <c r="F113" i="5"/>
  <c r="D112" i="5"/>
  <c r="L110" i="5"/>
  <c r="J109" i="5"/>
  <c r="H108" i="5"/>
  <c r="F107" i="5"/>
  <c r="D106" i="5"/>
  <c r="L104" i="5"/>
  <c r="J103" i="5"/>
  <c r="H102" i="5"/>
  <c r="F101" i="5"/>
  <c r="D100" i="5"/>
  <c r="L98" i="5"/>
  <c r="J97" i="5"/>
  <c r="H96" i="5"/>
  <c r="F95" i="5"/>
  <c r="D94" i="5"/>
  <c r="L92" i="5"/>
  <c r="J91" i="5"/>
  <c r="H90" i="5"/>
  <c r="F89" i="5"/>
  <c r="D88" i="5"/>
  <c r="L86" i="5"/>
  <c r="J85" i="5"/>
  <c r="H84" i="5"/>
  <c r="F83" i="5"/>
  <c r="D82" i="5"/>
  <c r="L80" i="5"/>
  <c r="J79" i="5"/>
  <c r="H78" i="5"/>
  <c r="F77" i="5"/>
  <c r="D76" i="5"/>
  <c r="L74" i="5"/>
  <c r="J73" i="5"/>
  <c r="H72" i="5"/>
  <c r="F71" i="5"/>
  <c r="D70" i="5"/>
  <c r="L68" i="5"/>
  <c r="J67" i="5"/>
  <c r="H66" i="5"/>
  <c r="F65" i="5"/>
  <c r="D64" i="5"/>
  <c r="L62" i="5"/>
  <c r="J61" i="5"/>
  <c r="H60" i="5"/>
  <c r="F59" i="5"/>
  <c r="D58" i="5"/>
  <c r="L56" i="5"/>
  <c r="J55" i="5"/>
  <c r="H54" i="5"/>
  <c r="F53" i="5"/>
  <c r="D52" i="5"/>
  <c r="L50" i="5"/>
  <c r="J49" i="5"/>
  <c r="H48" i="5"/>
  <c r="F47" i="5"/>
  <c r="D46" i="5"/>
  <c r="L44" i="5"/>
  <c r="J43" i="5"/>
  <c r="H42" i="5"/>
  <c r="F41" i="5"/>
  <c r="D40" i="5"/>
  <c r="L38" i="5"/>
  <c r="J37" i="5"/>
  <c r="H36" i="5"/>
  <c r="F35" i="5"/>
  <c r="D34" i="5"/>
  <c r="L32" i="5"/>
  <c r="J31" i="5"/>
  <c r="H30" i="5"/>
  <c r="F29" i="5"/>
  <c r="D28" i="5"/>
  <c r="L26" i="5"/>
  <c r="J25" i="5"/>
  <c r="H24" i="5"/>
  <c r="F23" i="5"/>
  <c r="D22" i="5"/>
  <c r="L20" i="5"/>
  <c r="J19" i="5"/>
  <c r="H18" i="5"/>
  <c r="F214" i="5"/>
  <c r="J212" i="5"/>
  <c r="J210" i="5"/>
  <c r="D209" i="5"/>
  <c r="D207" i="5"/>
  <c r="H205" i="5"/>
  <c r="H203" i="5"/>
  <c r="L201" i="5"/>
  <c r="L199" i="5"/>
  <c r="F198" i="5"/>
  <c r="F196" i="5"/>
  <c r="J194" i="5"/>
  <c r="J192" i="5"/>
  <c r="D191" i="5"/>
  <c r="D189" i="5"/>
  <c r="H187" i="5"/>
  <c r="J185" i="5"/>
  <c r="D184" i="5"/>
  <c r="K182" i="5"/>
  <c r="H181" i="5"/>
  <c r="E180" i="5"/>
  <c r="L178" i="5"/>
  <c r="I177" i="5"/>
  <c r="E176" i="5"/>
  <c r="L174" i="5"/>
  <c r="I173" i="5"/>
  <c r="F172" i="5"/>
  <c r="M170" i="5"/>
  <c r="J169" i="5"/>
  <c r="G168" i="5"/>
  <c r="D167" i="5"/>
  <c r="K165" i="5"/>
  <c r="H164" i="5"/>
  <c r="E163" i="5"/>
  <c r="K161" i="5"/>
  <c r="H160" i="5"/>
  <c r="E159" i="5"/>
  <c r="L157" i="5"/>
  <c r="I156" i="5"/>
  <c r="F155" i="5"/>
  <c r="M153" i="5"/>
  <c r="J152" i="5"/>
  <c r="G151" i="5"/>
  <c r="D150" i="5"/>
  <c r="K148" i="5"/>
  <c r="G147" i="5"/>
  <c r="D146" i="5"/>
  <c r="K144" i="5"/>
  <c r="H143" i="5"/>
  <c r="E142" i="5"/>
  <c r="L140" i="5"/>
  <c r="I139" i="5"/>
  <c r="F138" i="5"/>
  <c r="M136" i="5"/>
  <c r="J135" i="5"/>
  <c r="G134" i="5"/>
  <c r="M132" i="5"/>
  <c r="J131" i="5"/>
  <c r="G130" i="5"/>
  <c r="D129" i="5"/>
  <c r="K127" i="5"/>
  <c r="H126" i="5"/>
  <c r="E125" i="5"/>
  <c r="M123" i="5"/>
  <c r="K122" i="5"/>
  <c r="I121" i="5"/>
  <c r="G120" i="5"/>
  <c r="E119" i="5"/>
  <c r="M117" i="5"/>
  <c r="K116" i="5"/>
  <c r="I115" i="5"/>
  <c r="G114" i="5"/>
  <c r="E113" i="5"/>
  <c r="M111" i="5"/>
  <c r="K110" i="5"/>
  <c r="I109" i="5"/>
  <c r="G108" i="5"/>
  <c r="E107" i="5"/>
  <c r="M105" i="5"/>
  <c r="K104" i="5"/>
  <c r="I103" i="5"/>
  <c r="G102" i="5"/>
  <c r="E101" i="5"/>
  <c r="M99" i="5"/>
  <c r="K98" i="5"/>
  <c r="I97" i="5"/>
  <c r="G96" i="5"/>
  <c r="E95" i="5"/>
  <c r="M93" i="5"/>
  <c r="K92" i="5"/>
  <c r="I91" i="5"/>
  <c r="G90" i="5"/>
  <c r="E89" i="5"/>
  <c r="M87" i="5"/>
  <c r="K86" i="5"/>
  <c r="I85" i="5"/>
  <c r="G84" i="5"/>
  <c r="E83" i="5"/>
  <c r="M81" i="5"/>
  <c r="K80" i="5"/>
  <c r="I79" i="5"/>
  <c r="G78" i="5"/>
  <c r="E77" i="5"/>
  <c r="M75" i="5"/>
  <c r="D214" i="5"/>
  <c r="H212" i="5"/>
  <c r="H210" i="5"/>
  <c r="L208" i="5"/>
  <c r="L206" i="5"/>
  <c r="F205" i="5"/>
  <c r="F203" i="5"/>
  <c r="J201" i="5"/>
  <c r="J199" i="5"/>
  <c r="D198" i="5"/>
  <c r="D196" i="5"/>
  <c r="H194" i="5"/>
  <c r="H192" i="5"/>
  <c r="L190" i="5"/>
  <c r="L188" i="5"/>
  <c r="F187" i="5"/>
  <c r="G185" i="5"/>
  <c r="L183" i="5"/>
  <c r="I182" i="5"/>
  <c r="F181" i="5"/>
  <c r="M179" i="5"/>
  <c r="I178" i="5"/>
  <c r="F177" i="5"/>
  <c r="M175" i="5"/>
  <c r="J174" i="5"/>
  <c r="G173" i="5"/>
  <c r="D172" i="5"/>
  <c r="K170" i="5"/>
  <c r="H169" i="5"/>
  <c r="E168" i="5"/>
  <c r="L166" i="5"/>
  <c r="I165" i="5"/>
  <c r="E164" i="5"/>
  <c r="L162" i="5"/>
  <c r="I161" i="5"/>
  <c r="F160" i="5"/>
  <c r="M158" i="5"/>
  <c r="J157" i="5"/>
  <c r="G156" i="5"/>
  <c r="D155" i="5"/>
  <c r="K153" i="5"/>
  <c r="H152" i="5"/>
  <c r="E151" i="5"/>
  <c r="K149" i="5"/>
  <c r="H148" i="5"/>
  <c r="E147" i="5"/>
  <c r="L145" i="5"/>
  <c r="I144" i="5"/>
  <c r="F143" i="5"/>
  <c r="M141" i="5"/>
  <c r="J140" i="5"/>
  <c r="G139" i="5"/>
  <c r="D138" i="5"/>
  <c r="K136" i="5"/>
  <c r="G135" i="5"/>
  <c r="D134" i="5"/>
  <c r="K132" i="5"/>
  <c r="H131" i="5"/>
  <c r="E130" i="5"/>
  <c r="L128" i="5"/>
  <c r="I127" i="5"/>
  <c r="F126" i="5"/>
  <c r="M124" i="5"/>
  <c r="K123" i="5"/>
  <c r="I122" i="5"/>
  <c r="G121" i="5"/>
  <c r="E120" i="5"/>
  <c r="M118" i="5"/>
  <c r="K117" i="5"/>
  <c r="I116" i="5"/>
  <c r="G115" i="5"/>
  <c r="E114" i="5"/>
  <c r="M112" i="5"/>
  <c r="K111" i="5"/>
  <c r="I110" i="5"/>
  <c r="G109" i="5"/>
  <c r="E108" i="5"/>
  <c r="M106" i="5"/>
  <c r="K105" i="5"/>
  <c r="I104" i="5"/>
  <c r="G103" i="5"/>
  <c r="E102" i="5"/>
  <c r="M100" i="5"/>
  <c r="K99" i="5"/>
  <c r="I98" i="5"/>
  <c r="G97" i="5"/>
  <c r="E96" i="5"/>
  <c r="M94" i="5"/>
  <c r="K93" i="5"/>
  <c r="I92" i="5"/>
  <c r="G91" i="5"/>
  <c r="E90" i="5"/>
  <c r="M88" i="5"/>
  <c r="K87" i="5"/>
  <c r="I86" i="5"/>
  <c r="G85" i="5"/>
  <c r="E84" i="5"/>
  <c r="M82" i="5"/>
  <c r="K81" i="5"/>
  <c r="I80" i="5"/>
  <c r="G79" i="5"/>
  <c r="E78" i="5"/>
  <c r="M76" i="5"/>
  <c r="K75" i="5"/>
  <c r="I74" i="5"/>
  <c r="G73" i="5"/>
  <c r="E72" i="5"/>
  <c r="M70" i="5"/>
  <c r="K69" i="5"/>
  <c r="I68" i="5"/>
  <c r="G67" i="5"/>
  <c r="E66" i="5"/>
  <c r="M215" i="5"/>
  <c r="H215" i="5"/>
  <c r="G215" i="5"/>
  <c r="F215" i="5"/>
  <c r="M212" i="5"/>
  <c r="G210" i="5"/>
  <c r="D208" i="5"/>
  <c r="K205" i="5"/>
  <c r="E203" i="5"/>
  <c r="L200" i="5"/>
  <c r="I198" i="5"/>
  <c r="M195" i="5"/>
  <c r="J193" i="5"/>
  <c r="G191" i="5"/>
  <c r="K188" i="5"/>
  <c r="H186" i="5"/>
  <c r="H184" i="5"/>
  <c r="H182" i="5"/>
  <c r="K180" i="5"/>
  <c r="E179" i="5"/>
  <c r="E177" i="5"/>
  <c r="I175" i="5"/>
  <c r="M173" i="5"/>
  <c r="M171" i="5"/>
  <c r="G170" i="5"/>
  <c r="J168" i="5"/>
  <c r="K166" i="5"/>
  <c r="D165" i="5"/>
  <c r="H163" i="5"/>
  <c r="H161" i="5"/>
  <c r="L159" i="5"/>
  <c r="E158" i="5"/>
  <c r="F156" i="5"/>
  <c r="I154" i="5"/>
  <c r="M152" i="5"/>
  <c r="M150" i="5"/>
  <c r="G149" i="5"/>
  <c r="K147" i="5"/>
  <c r="K145" i="5"/>
  <c r="E144" i="5"/>
  <c r="H142" i="5"/>
  <c r="I140" i="5"/>
  <c r="L138" i="5"/>
  <c r="F137" i="5"/>
  <c r="F135" i="5"/>
  <c r="J133" i="5"/>
  <c r="D132" i="5"/>
  <c r="D130" i="5"/>
  <c r="H128" i="5"/>
  <c r="K126" i="5"/>
  <c r="L124" i="5"/>
  <c r="G123" i="5"/>
  <c r="L121" i="5"/>
  <c r="D120" i="5"/>
  <c r="I118" i="5"/>
  <c r="D117" i="5"/>
  <c r="F115" i="5"/>
  <c r="K113" i="5"/>
  <c r="F112" i="5"/>
  <c r="H110" i="5"/>
  <c r="M108" i="5"/>
  <c r="H107" i="5"/>
  <c r="J105" i="5"/>
  <c r="E104" i="5"/>
  <c r="J102" i="5"/>
  <c r="L100" i="5"/>
  <c r="G99" i="5"/>
  <c r="L97" i="5"/>
  <c r="D96" i="5"/>
  <c r="I94" i="5"/>
  <c r="D93" i="5"/>
  <c r="F91" i="5"/>
  <c r="K89" i="5"/>
  <c r="F88" i="5"/>
  <c r="H86" i="5"/>
  <c r="M84" i="5"/>
  <c r="H83" i="5"/>
  <c r="J81" i="5"/>
  <c r="E80" i="5"/>
  <c r="J78" i="5"/>
  <c r="L76" i="5"/>
  <c r="G75" i="5"/>
  <c r="M73" i="5"/>
  <c r="I72" i="5"/>
  <c r="D71" i="5"/>
  <c r="I69" i="5"/>
  <c r="E68" i="5"/>
  <c r="K66" i="5"/>
  <c r="G65" i="5"/>
  <c r="M63" i="5"/>
  <c r="J62" i="5"/>
  <c r="G61" i="5"/>
  <c r="D60" i="5"/>
  <c r="K58" i="5"/>
  <c r="H57" i="5"/>
  <c r="E56" i="5"/>
  <c r="L54" i="5"/>
  <c r="I53" i="5"/>
  <c r="F52" i="5"/>
  <c r="M50" i="5"/>
  <c r="I49" i="5"/>
  <c r="F48" i="5"/>
  <c r="M46" i="5"/>
  <c r="J45" i="5"/>
  <c r="G44" i="5"/>
  <c r="D43" i="5"/>
  <c r="K41" i="5"/>
  <c r="H40" i="5"/>
  <c r="E39" i="5"/>
  <c r="L37" i="5"/>
  <c r="I36" i="5"/>
  <c r="E35" i="5"/>
  <c r="L33" i="5"/>
  <c r="I32" i="5"/>
  <c r="F31" i="5"/>
  <c r="M29" i="5"/>
  <c r="J28" i="5"/>
  <c r="G27" i="5"/>
  <c r="D26" i="5"/>
  <c r="K24" i="5"/>
  <c r="H23" i="5"/>
  <c r="E22" i="5"/>
  <c r="K20" i="5"/>
  <c r="H19" i="5"/>
  <c r="E18" i="5"/>
  <c r="M16" i="5"/>
  <c r="K15" i="5"/>
  <c r="I14" i="5"/>
  <c r="G13" i="5"/>
  <c r="E12" i="5"/>
  <c r="M10" i="5"/>
  <c r="K9" i="5"/>
  <c r="I8" i="5"/>
  <c r="G7" i="5"/>
  <c r="E6" i="5"/>
  <c r="M4" i="5"/>
  <c r="K3" i="5"/>
  <c r="I2" i="5"/>
  <c r="E215" i="5"/>
  <c r="L212" i="5"/>
  <c r="F210" i="5"/>
  <c r="M207" i="5"/>
  <c r="J205" i="5"/>
  <c r="D203" i="5"/>
  <c r="K200" i="5"/>
  <c r="H198" i="5"/>
  <c r="L195" i="5"/>
  <c r="I193" i="5"/>
  <c r="F191" i="5"/>
  <c r="J188" i="5"/>
  <c r="G186" i="5"/>
  <c r="F184" i="5"/>
  <c r="G182" i="5"/>
  <c r="J180" i="5"/>
  <c r="D179" i="5"/>
  <c r="D177" i="5"/>
  <c r="H175" i="5"/>
  <c r="K173" i="5"/>
  <c r="L171" i="5"/>
  <c r="E170" i="5"/>
  <c r="I168" i="5"/>
  <c r="I166" i="5"/>
  <c r="M164" i="5"/>
  <c r="G163" i="5"/>
  <c r="G161" i="5"/>
  <c r="K159" i="5"/>
  <c r="D158" i="5"/>
  <c r="E156" i="5"/>
  <c r="H154" i="5"/>
  <c r="L152" i="5"/>
  <c r="L150" i="5"/>
  <c r="F149" i="5"/>
  <c r="J147" i="5"/>
  <c r="J145" i="5"/>
  <c r="D144" i="5"/>
  <c r="G142" i="5"/>
  <c r="H140" i="5"/>
  <c r="K138" i="5"/>
  <c r="E137" i="5"/>
  <c r="E135" i="5"/>
  <c r="I133" i="5"/>
  <c r="M131" i="5"/>
  <c r="M129" i="5"/>
  <c r="G128" i="5"/>
  <c r="J126" i="5"/>
  <c r="K124" i="5"/>
  <c r="F123" i="5"/>
  <c r="K121" i="5"/>
  <c r="M119" i="5"/>
  <c r="H118" i="5"/>
  <c r="M116" i="5"/>
  <c r="E115" i="5"/>
  <c r="J113" i="5"/>
  <c r="E112" i="5"/>
  <c r="G110" i="5"/>
  <c r="L108" i="5"/>
  <c r="G107" i="5"/>
  <c r="I105" i="5"/>
  <c r="D104" i="5"/>
  <c r="I102" i="5"/>
  <c r="K100" i="5"/>
  <c r="F99" i="5"/>
  <c r="K97" i="5"/>
  <c r="M95" i="5"/>
  <c r="H94" i="5"/>
  <c r="M92" i="5"/>
  <c r="E91" i="5"/>
  <c r="J89" i="5"/>
  <c r="E88" i="5"/>
  <c r="G86" i="5"/>
  <c r="L84" i="5"/>
  <c r="G83" i="5"/>
  <c r="I81" i="5"/>
  <c r="D80" i="5"/>
  <c r="I78" i="5"/>
  <c r="K76" i="5"/>
  <c r="F75" i="5"/>
  <c r="L73" i="5"/>
  <c r="G72" i="5"/>
  <c r="L70" i="5"/>
  <c r="H69" i="5"/>
  <c r="D68" i="5"/>
  <c r="J66" i="5"/>
  <c r="E65" i="5"/>
  <c r="L63" i="5"/>
  <c r="I62" i="5"/>
  <c r="F61" i="5"/>
  <c r="M59" i="5"/>
  <c r="J58" i="5"/>
  <c r="G57" i="5"/>
  <c r="D56" i="5"/>
  <c r="K54" i="5"/>
  <c r="H53" i="5"/>
  <c r="E52" i="5"/>
  <c r="K50" i="5"/>
  <c r="H49" i="5"/>
  <c r="E48" i="5"/>
  <c r="L46" i="5"/>
  <c r="I45" i="5"/>
  <c r="F44" i="5"/>
  <c r="M42" i="5"/>
  <c r="J41" i="5"/>
  <c r="G40" i="5"/>
  <c r="D39" i="5"/>
  <c r="K37" i="5"/>
  <c r="G36" i="5"/>
  <c r="D35" i="5"/>
  <c r="K33" i="5"/>
  <c r="H32" i="5"/>
  <c r="E31" i="5"/>
  <c r="L29" i="5"/>
  <c r="I28" i="5"/>
  <c r="F27" i="5"/>
  <c r="M25" i="5"/>
  <c r="J24" i="5"/>
  <c r="G23" i="5"/>
  <c r="M21" i="5"/>
  <c r="J20" i="5"/>
  <c r="G19" i="5"/>
  <c r="D18" i="5"/>
  <c r="L16" i="5"/>
  <c r="J15" i="5"/>
  <c r="H14" i="5"/>
  <c r="F13" i="5"/>
  <c r="D12" i="5"/>
  <c r="L10" i="5"/>
  <c r="J9" i="5"/>
  <c r="H8" i="5"/>
  <c r="F7" i="5"/>
  <c r="D6" i="5"/>
  <c r="L4" i="5"/>
  <c r="J3" i="5"/>
  <c r="H2" i="5"/>
  <c r="D215" i="5"/>
  <c r="I212" i="5"/>
  <c r="E210" i="5"/>
  <c r="L207" i="5"/>
  <c r="G205" i="5"/>
  <c r="M202" i="5"/>
  <c r="J200" i="5"/>
  <c r="E198" i="5"/>
  <c r="K195" i="5"/>
  <c r="H193" i="5"/>
  <c r="M190" i="5"/>
  <c r="I188" i="5"/>
  <c r="F186" i="5"/>
  <c r="M183" i="5"/>
  <c r="E182" i="5"/>
  <c r="I180" i="5"/>
  <c r="K178" i="5"/>
  <c r="M176" i="5"/>
  <c r="G175" i="5"/>
  <c r="H173" i="5"/>
  <c r="K171" i="5"/>
  <c r="D170" i="5"/>
  <c r="F168" i="5"/>
  <c r="H166" i="5"/>
  <c r="L164" i="5"/>
  <c r="M162" i="5"/>
  <c r="F161" i="5"/>
  <c r="J159" i="5"/>
  <c r="K157" i="5"/>
  <c r="D156" i="5"/>
  <c r="G154" i="5"/>
  <c r="I152" i="5"/>
  <c r="K150" i="5"/>
  <c r="E149" i="5"/>
  <c r="F147" i="5"/>
  <c r="I145" i="5"/>
  <c r="M143" i="5"/>
  <c r="D142" i="5"/>
  <c r="G140" i="5"/>
  <c r="J138" i="5"/>
  <c r="L136" i="5"/>
  <c r="D135" i="5"/>
  <c r="H133" i="5"/>
  <c r="I131" i="5"/>
  <c r="L129" i="5"/>
  <c r="E128" i="5"/>
  <c r="G126" i="5"/>
  <c r="J124" i="5"/>
  <c r="E123" i="5"/>
  <c r="H121" i="5"/>
  <c r="L119" i="5"/>
  <c r="G118" i="5"/>
  <c r="J116" i="5"/>
  <c r="D115" i="5"/>
  <c r="I113" i="5"/>
  <c r="L111" i="5"/>
  <c r="F110" i="5"/>
  <c r="K108" i="5"/>
  <c r="D107" i="5"/>
  <c r="H105" i="5"/>
  <c r="M103" i="5"/>
  <c r="F102" i="5"/>
  <c r="J100" i="5"/>
  <c r="E99" i="5"/>
  <c r="H97" i="5"/>
  <c r="L95" i="5"/>
  <c r="G94" i="5"/>
  <c r="J92" i="5"/>
  <c r="D91" i="5"/>
  <c r="I89" i="5"/>
  <c r="L87" i="5"/>
  <c r="F86" i="5"/>
  <c r="K84" i="5"/>
  <c r="D83" i="5"/>
  <c r="H81" i="5"/>
  <c r="M79" i="5"/>
  <c r="F78" i="5"/>
  <c r="J76" i="5"/>
  <c r="E75" i="5"/>
  <c r="K73" i="5"/>
  <c r="F72" i="5"/>
  <c r="K70" i="5"/>
  <c r="G69" i="5"/>
  <c r="M67" i="5"/>
  <c r="I66" i="5"/>
  <c r="D65" i="5"/>
  <c r="K63" i="5"/>
  <c r="H62" i="5"/>
  <c r="E61" i="5"/>
  <c r="L59" i="5"/>
  <c r="I58" i="5"/>
  <c r="F57" i="5"/>
  <c r="M55" i="5"/>
  <c r="J54" i="5"/>
  <c r="G53" i="5"/>
  <c r="M51" i="5"/>
  <c r="J50" i="5"/>
  <c r="G49" i="5"/>
  <c r="D48" i="5"/>
  <c r="K46" i="5"/>
  <c r="H45" i="5"/>
  <c r="E44" i="5"/>
  <c r="L42" i="5"/>
  <c r="I41" i="5"/>
  <c r="F40" i="5"/>
  <c r="M38" i="5"/>
  <c r="I37" i="5"/>
  <c r="F36" i="5"/>
  <c r="M34" i="5"/>
  <c r="J33" i="5"/>
  <c r="G32" i="5"/>
  <c r="D31" i="5"/>
  <c r="K29" i="5"/>
  <c r="H28" i="5"/>
  <c r="E27" i="5"/>
  <c r="L25" i="5"/>
  <c r="I24" i="5"/>
  <c r="E23" i="5"/>
  <c r="L21" i="5"/>
  <c r="I20" i="5"/>
  <c r="F19" i="5"/>
  <c r="M17" i="5"/>
  <c r="K16" i="5"/>
  <c r="I15" i="5"/>
  <c r="G14" i="5"/>
  <c r="E13" i="5"/>
  <c r="M11" i="5"/>
  <c r="K10" i="5"/>
  <c r="I9" i="5"/>
  <c r="G8" i="5"/>
  <c r="E7" i="5"/>
  <c r="M5" i="5"/>
  <c r="K4" i="5"/>
  <c r="I3" i="5"/>
  <c r="G2" i="5"/>
  <c r="M214" i="5"/>
  <c r="G212" i="5"/>
  <c r="D210" i="5"/>
  <c r="K207" i="5"/>
  <c r="E205" i="5"/>
  <c r="L202" i="5"/>
  <c r="I200" i="5"/>
  <c r="M197" i="5"/>
  <c r="J195" i="5"/>
  <c r="G193" i="5"/>
  <c r="K190" i="5"/>
  <c r="H188" i="5"/>
  <c r="E186" i="5"/>
  <c r="K183" i="5"/>
  <c r="D182" i="5"/>
  <c r="H180" i="5"/>
  <c r="H178" i="5"/>
  <c r="L176" i="5"/>
  <c r="F175" i="5"/>
  <c r="F173" i="5"/>
  <c r="J171" i="5"/>
  <c r="M169" i="5"/>
  <c r="D168" i="5"/>
  <c r="G166" i="5"/>
  <c r="K164" i="5"/>
  <c r="K162" i="5"/>
  <c r="E161" i="5"/>
  <c r="I159" i="5"/>
  <c r="I157" i="5"/>
  <c r="M155" i="5"/>
  <c r="F154" i="5"/>
  <c r="G152" i="5"/>
  <c r="J150" i="5"/>
  <c r="D149" i="5"/>
  <c r="D147" i="5"/>
  <c r="H145" i="5"/>
  <c r="K143" i="5"/>
  <c r="L141" i="5"/>
  <c r="E140" i="5"/>
  <c r="I138" i="5"/>
  <c r="I136" i="5"/>
  <c r="M134" i="5"/>
  <c r="G133" i="5"/>
  <c r="G131" i="5"/>
  <c r="K129" i="5"/>
  <c r="D128" i="5"/>
  <c r="E126" i="5"/>
  <c r="I124" i="5"/>
  <c r="D123" i="5"/>
  <c r="F121" i="5"/>
  <c r="K119" i="5"/>
  <c r="F118" i="5"/>
  <c r="H116" i="5"/>
  <c r="M114" i="5"/>
  <c r="H113" i="5"/>
  <c r="J111" i="5"/>
  <c r="E110" i="5"/>
  <c r="J108" i="5"/>
  <c r="L106" i="5"/>
  <c r="G105" i="5"/>
  <c r="L103" i="5"/>
  <c r="D102" i="5"/>
  <c r="I100" i="5"/>
  <c r="D99" i="5"/>
  <c r="F97" i="5"/>
  <c r="K95" i="5"/>
  <c r="F94" i="5"/>
  <c r="H92" i="5"/>
  <c r="M90" i="5"/>
  <c r="H89" i="5"/>
  <c r="J87" i="5"/>
  <c r="E86" i="5"/>
  <c r="J84" i="5"/>
  <c r="L82" i="5"/>
  <c r="G81" i="5"/>
  <c r="L79" i="5"/>
  <c r="D78" i="5"/>
  <c r="I76" i="5"/>
  <c r="D75" i="5"/>
  <c r="I73" i="5"/>
  <c r="D72" i="5"/>
  <c r="J70" i="5"/>
  <c r="F69" i="5"/>
  <c r="L67" i="5"/>
  <c r="G66" i="5"/>
  <c r="M64" i="5"/>
  <c r="J63" i="5"/>
  <c r="G62" i="5"/>
  <c r="D61" i="5"/>
  <c r="K59" i="5"/>
  <c r="H58" i="5"/>
  <c r="E57" i="5"/>
  <c r="L55" i="5"/>
  <c r="I54" i="5"/>
  <c r="E53" i="5"/>
  <c r="L51" i="5"/>
  <c r="I50" i="5"/>
  <c r="F49" i="5"/>
  <c r="M47" i="5"/>
  <c r="J46" i="5"/>
  <c r="G45" i="5"/>
  <c r="D44" i="5"/>
  <c r="K42" i="5"/>
  <c r="H41" i="5"/>
  <c r="E40" i="5"/>
  <c r="K38" i="5"/>
  <c r="H37" i="5"/>
  <c r="E36" i="5"/>
  <c r="L34" i="5"/>
  <c r="I33" i="5"/>
  <c r="F32" i="5"/>
  <c r="M30" i="5"/>
  <c r="J29" i="5"/>
  <c r="G28" i="5"/>
  <c r="D27" i="5"/>
  <c r="K25" i="5"/>
  <c r="G24" i="5"/>
  <c r="D23" i="5"/>
  <c r="K21" i="5"/>
  <c r="H20" i="5"/>
  <c r="E19" i="5"/>
  <c r="L17" i="5"/>
  <c r="J16" i="5"/>
  <c r="H15" i="5"/>
  <c r="F14" i="5"/>
  <c r="D13" i="5"/>
  <c r="L11" i="5"/>
  <c r="J10" i="5"/>
  <c r="H9" i="5"/>
  <c r="F8" i="5"/>
  <c r="D7" i="5"/>
  <c r="L5" i="5"/>
  <c r="J4" i="5"/>
  <c r="H3" i="5"/>
  <c r="F2" i="5"/>
  <c r="L214" i="5"/>
  <c r="L211" i="5"/>
  <c r="M209" i="5"/>
  <c r="J207" i="5"/>
  <c r="J204" i="5"/>
  <c r="K202" i="5"/>
  <c r="H200" i="5"/>
  <c r="H197" i="5"/>
  <c r="I195" i="5"/>
  <c r="F193" i="5"/>
  <c r="F190" i="5"/>
  <c r="G188" i="5"/>
  <c r="D186" i="5"/>
  <c r="J183" i="5"/>
  <c r="M181" i="5"/>
  <c r="G180" i="5"/>
  <c r="G178" i="5"/>
  <c r="K176" i="5"/>
  <c r="E175" i="5"/>
  <c r="E173" i="5"/>
  <c r="I171" i="5"/>
  <c r="L169" i="5"/>
  <c r="M167" i="5"/>
  <c r="F166" i="5"/>
  <c r="J164" i="5"/>
  <c r="J162" i="5"/>
  <c r="D161" i="5"/>
  <c r="G159" i="5"/>
  <c r="H157" i="5"/>
  <c r="K155" i="5"/>
  <c r="E154" i="5"/>
  <c r="E152" i="5"/>
  <c r="I150" i="5"/>
  <c r="M148" i="5"/>
  <c r="M146" i="5"/>
  <c r="G145" i="5"/>
  <c r="J143" i="5"/>
  <c r="K141" i="5"/>
  <c r="D140" i="5"/>
  <c r="H138" i="5"/>
  <c r="H136" i="5"/>
  <c r="L134" i="5"/>
  <c r="F133" i="5"/>
  <c r="F131" i="5"/>
  <c r="J129" i="5"/>
  <c r="M127" i="5"/>
  <c r="D126" i="5"/>
  <c r="H124" i="5"/>
  <c r="M122" i="5"/>
  <c r="E121" i="5"/>
  <c r="J119" i="5"/>
  <c r="E118" i="5"/>
  <c r="G116" i="5"/>
  <c r="L114" i="5"/>
  <c r="G113" i="5"/>
  <c r="I111" i="5"/>
  <c r="D110" i="5"/>
  <c r="I108" i="5"/>
  <c r="K106" i="5"/>
  <c r="F105" i="5"/>
  <c r="K103" i="5"/>
  <c r="M101" i="5"/>
  <c r="H100" i="5"/>
  <c r="M98" i="5"/>
  <c r="E97" i="5"/>
  <c r="J95" i="5"/>
  <c r="E94" i="5"/>
  <c r="G92" i="5"/>
  <c r="L90" i="5"/>
  <c r="G89" i="5"/>
  <c r="I87" i="5"/>
  <c r="D86" i="5"/>
  <c r="I84" i="5"/>
  <c r="K82" i="5"/>
  <c r="F81" i="5"/>
  <c r="K79" i="5"/>
  <c r="M77" i="5"/>
  <c r="H76" i="5"/>
  <c r="M74" i="5"/>
  <c r="H73" i="5"/>
  <c r="M71" i="5"/>
  <c r="I70" i="5"/>
  <c r="E69" i="5"/>
  <c r="K67" i="5"/>
  <c r="F66" i="5"/>
  <c r="L64" i="5"/>
  <c r="I63" i="5"/>
  <c r="F62" i="5"/>
  <c r="M60" i="5"/>
  <c r="J59" i="5"/>
  <c r="G58" i="5"/>
  <c r="D57" i="5"/>
  <c r="K55" i="5"/>
  <c r="G54" i="5"/>
  <c r="D53" i="5"/>
  <c r="K51" i="5"/>
  <c r="H50" i="5"/>
  <c r="E49" i="5"/>
  <c r="L47" i="5"/>
  <c r="I46" i="5"/>
  <c r="F45" i="5"/>
  <c r="M43" i="5"/>
  <c r="J42" i="5"/>
  <c r="G41" i="5"/>
  <c r="M39" i="5"/>
  <c r="J38" i="5"/>
  <c r="G37" i="5"/>
  <c r="D36" i="5"/>
  <c r="E214" i="5"/>
  <c r="K211" i="5"/>
  <c r="H209" i="5"/>
  <c r="M206" i="5"/>
  <c r="I204" i="5"/>
  <c r="F202" i="5"/>
  <c r="K199" i="5"/>
  <c r="G197" i="5"/>
  <c r="D195" i="5"/>
  <c r="I192" i="5"/>
  <c r="E190" i="5"/>
  <c r="L187" i="5"/>
  <c r="H185" i="5"/>
  <c r="I183" i="5"/>
  <c r="L181" i="5"/>
  <c r="D180" i="5"/>
  <c r="F178" i="5"/>
  <c r="J176" i="5"/>
  <c r="K174" i="5"/>
  <c r="D173" i="5"/>
  <c r="G171" i="5"/>
  <c r="I169" i="5"/>
  <c r="K167" i="5"/>
  <c r="E166" i="5"/>
  <c r="G164" i="5"/>
  <c r="I162" i="5"/>
  <c r="M160" i="5"/>
  <c r="D159" i="5"/>
  <c r="G157" i="5"/>
  <c r="J155" i="5"/>
  <c r="L153" i="5"/>
  <c r="D152" i="5"/>
  <c r="H150" i="5"/>
  <c r="I148" i="5"/>
  <c r="L146" i="5"/>
  <c r="F145" i="5"/>
  <c r="G143" i="5"/>
  <c r="J141" i="5"/>
  <c r="M139" i="5"/>
  <c r="E138" i="5"/>
  <c r="G136" i="5"/>
  <c r="K134" i="5"/>
  <c r="L132" i="5"/>
  <c r="E131" i="5"/>
  <c r="I129" i="5"/>
  <c r="J127" i="5"/>
  <c r="M125" i="5"/>
  <c r="G124" i="5"/>
  <c r="J122" i="5"/>
  <c r="D121" i="5"/>
  <c r="I119" i="5"/>
  <c r="L117" i="5"/>
  <c r="F116" i="5"/>
  <c r="K114" i="5"/>
  <c r="D113" i="5"/>
  <c r="H111" i="5"/>
  <c r="M109" i="5"/>
  <c r="F108" i="5"/>
  <c r="J106" i="5"/>
  <c r="E105" i="5"/>
  <c r="H103" i="5"/>
  <c r="L101" i="5"/>
  <c r="G100" i="5"/>
  <c r="J98" i="5"/>
  <c r="D97" i="5"/>
  <c r="I95" i="5"/>
  <c r="L93" i="5"/>
  <c r="F92" i="5"/>
  <c r="K90" i="5"/>
  <c r="D89" i="5"/>
  <c r="H87" i="5"/>
  <c r="M85" i="5"/>
  <c r="F84" i="5"/>
  <c r="J82" i="5"/>
  <c r="E81" i="5"/>
  <c r="H79" i="5"/>
  <c r="L77" i="5"/>
  <c r="G76" i="5"/>
  <c r="K74" i="5"/>
  <c r="F73" i="5"/>
  <c r="L71" i="5"/>
  <c r="H70" i="5"/>
  <c r="D69" i="5"/>
  <c r="I67" i="5"/>
  <c r="D66" i="5"/>
  <c r="K64" i="5"/>
  <c r="H63" i="5"/>
  <c r="E62" i="5"/>
  <c r="L60" i="5"/>
  <c r="I59" i="5"/>
  <c r="F58" i="5"/>
  <c r="M56" i="5"/>
  <c r="I55" i="5"/>
  <c r="F54" i="5"/>
  <c r="M52" i="5"/>
  <c r="J51" i="5"/>
  <c r="G50" i="5"/>
  <c r="D49" i="5"/>
  <c r="K47" i="5"/>
  <c r="H46" i="5"/>
  <c r="E45" i="5"/>
  <c r="L43" i="5"/>
  <c r="I42" i="5"/>
  <c r="E41" i="5"/>
  <c r="L39" i="5"/>
  <c r="I38" i="5"/>
  <c r="F37" i="5"/>
  <c r="M35" i="5"/>
  <c r="J34" i="5"/>
  <c r="G33" i="5"/>
  <c r="D32" i="5"/>
  <c r="K30" i="5"/>
  <c r="M213" i="5"/>
  <c r="J211" i="5"/>
  <c r="G209" i="5"/>
  <c r="K206" i="5"/>
  <c r="H204" i="5"/>
  <c r="E202" i="5"/>
  <c r="I199" i="5"/>
  <c r="F197" i="5"/>
  <c r="M194" i="5"/>
  <c r="G192" i="5"/>
  <c r="D190" i="5"/>
  <c r="K187" i="5"/>
  <c r="F185" i="5"/>
  <c r="G183" i="5"/>
  <c r="K181" i="5"/>
  <c r="K179" i="5"/>
  <c r="E178" i="5"/>
  <c r="I176" i="5"/>
  <c r="I174" i="5"/>
  <c r="M172" i="5"/>
  <c r="F171" i="5"/>
  <c r="G169" i="5"/>
  <c r="J167" i="5"/>
  <c r="D166" i="5"/>
  <c r="D164" i="5"/>
  <c r="H162" i="5"/>
  <c r="L160" i="5"/>
  <c r="L158" i="5"/>
  <c r="F157" i="5"/>
  <c r="I155" i="5"/>
  <c r="J153" i="5"/>
  <c r="M151" i="5"/>
  <c r="G150" i="5"/>
  <c r="G148" i="5"/>
  <c r="K146" i="5"/>
  <c r="E145" i="5"/>
  <c r="E143" i="5"/>
  <c r="I141" i="5"/>
  <c r="L139" i="5"/>
  <c r="M137" i="5"/>
  <c r="F136" i="5"/>
  <c r="J134" i="5"/>
  <c r="J132" i="5"/>
  <c r="D131" i="5"/>
  <c r="G129" i="5"/>
  <c r="H127" i="5"/>
  <c r="K125" i="5"/>
  <c r="F124" i="5"/>
  <c r="H122" i="5"/>
  <c r="M120" i="5"/>
  <c r="H119" i="5"/>
  <c r="J117" i="5"/>
  <c r="E116" i="5"/>
  <c r="J114" i="5"/>
  <c r="L112" i="5"/>
  <c r="G111" i="5"/>
  <c r="L109" i="5"/>
  <c r="D108" i="5"/>
  <c r="I106" i="5"/>
  <c r="D105" i="5"/>
  <c r="F103" i="5"/>
  <c r="K101" i="5"/>
  <c r="F100" i="5"/>
  <c r="H98" i="5"/>
  <c r="M96" i="5"/>
  <c r="H95" i="5"/>
  <c r="J93" i="5"/>
  <c r="E92" i="5"/>
  <c r="J90" i="5"/>
  <c r="L88" i="5"/>
  <c r="G87" i="5"/>
  <c r="L85" i="5"/>
  <c r="D84" i="5"/>
  <c r="I82" i="5"/>
  <c r="D81" i="5"/>
  <c r="F79" i="5"/>
  <c r="K77" i="5"/>
  <c r="F76" i="5"/>
  <c r="J74" i="5"/>
  <c r="E73" i="5"/>
  <c r="K71" i="5"/>
  <c r="G70" i="5"/>
  <c r="M68" i="5"/>
  <c r="H67" i="5"/>
  <c r="M65" i="5"/>
  <c r="J64" i="5"/>
  <c r="G63" i="5"/>
  <c r="D62" i="5"/>
  <c r="K60" i="5"/>
  <c r="H59" i="5"/>
  <c r="E58" i="5"/>
  <c r="K56" i="5"/>
  <c r="H55" i="5"/>
  <c r="E54" i="5"/>
  <c r="L52" i="5"/>
  <c r="I51" i="5"/>
  <c r="L213" i="5"/>
  <c r="I211" i="5"/>
  <c r="F209" i="5"/>
  <c r="J206" i="5"/>
  <c r="G204" i="5"/>
  <c r="D202" i="5"/>
  <c r="H199" i="5"/>
  <c r="E197" i="5"/>
  <c r="L194" i="5"/>
  <c r="F192" i="5"/>
  <c r="M189" i="5"/>
  <c r="J187" i="5"/>
  <c r="E185" i="5"/>
  <c r="F183" i="5"/>
  <c r="J181" i="5"/>
  <c r="J179" i="5"/>
  <c r="D178" i="5"/>
  <c r="H176" i="5"/>
  <c r="H174" i="5"/>
  <c r="L172" i="5"/>
  <c r="E171" i="5"/>
  <c r="F169" i="5"/>
  <c r="I167" i="5"/>
  <c r="M165" i="5"/>
  <c r="M163" i="5"/>
  <c r="G162" i="5"/>
  <c r="K160" i="5"/>
  <c r="K158" i="5"/>
  <c r="E157" i="5"/>
  <c r="H155" i="5"/>
  <c r="I153" i="5"/>
  <c r="L151" i="5"/>
  <c r="F150" i="5"/>
  <c r="F148" i="5"/>
  <c r="J146" i="5"/>
  <c r="M144" i="5"/>
  <c r="D143" i="5"/>
  <c r="G141" i="5"/>
  <c r="K139" i="5"/>
  <c r="K137" i="5"/>
  <c r="E136" i="5"/>
  <c r="I134" i="5"/>
  <c r="I132" i="5"/>
  <c r="M130" i="5"/>
  <c r="F129" i="5"/>
  <c r="G127" i="5"/>
  <c r="J125" i="5"/>
  <c r="E124" i="5"/>
  <c r="G122" i="5"/>
  <c r="L120" i="5"/>
  <c r="G119" i="5"/>
  <c r="I117" i="5"/>
  <c r="D116" i="5"/>
  <c r="I114" i="5"/>
  <c r="K112" i="5"/>
  <c r="F111" i="5"/>
  <c r="K109" i="5"/>
  <c r="M107" i="5"/>
  <c r="H106" i="5"/>
  <c r="M104" i="5"/>
  <c r="E103" i="5"/>
  <c r="J101" i="5"/>
  <c r="E100" i="5"/>
  <c r="G98" i="5"/>
  <c r="L96" i="5"/>
  <c r="G95" i="5"/>
  <c r="I93" i="5"/>
  <c r="D92" i="5"/>
  <c r="I90" i="5"/>
  <c r="K88" i="5"/>
  <c r="F87" i="5"/>
  <c r="K85" i="5"/>
  <c r="M83" i="5"/>
  <c r="H82" i="5"/>
  <c r="M80" i="5"/>
  <c r="E79" i="5"/>
  <c r="J77" i="5"/>
  <c r="E76" i="5"/>
  <c r="H74" i="5"/>
  <c r="D73" i="5"/>
  <c r="J71" i="5"/>
  <c r="F70" i="5"/>
  <c r="K68" i="5"/>
  <c r="F67" i="5"/>
  <c r="L65" i="5"/>
  <c r="K213" i="5"/>
  <c r="H211" i="5"/>
  <c r="M208" i="5"/>
  <c r="I206" i="5"/>
  <c r="F204" i="5"/>
  <c r="K201" i="5"/>
  <c r="G199" i="5"/>
  <c r="D197" i="5"/>
  <c r="I194" i="5"/>
  <c r="E192" i="5"/>
  <c r="L189" i="5"/>
  <c r="G187" i="5"/>
  <c r="D185" i="5"/>
  <c r="E183" i="5"/>
  <c r="G181" i="5"/>
  <c r="I179" i="5"/>
  <c r="M177" i="5"/>
  <c r="D176" i="5"/>
  <c r="G174" i="5"/>
  <c r="K172" i="5"/>
  <c r="L170" i="5"/>
  <c r="E169" i="5"/>
  <c r="H167" i="5"/>
  <c r="J165" i="5"/>
  <c r="L163" i="5"/>
  <c r="F162" i="5"/>
  <c r="G160" i="5"/>
  <c r="J158" i="5"/>
  <c r="M156" i="5"/>
  <c r="E155" i="5"/>
  <c r="G153" i="5"/>
  <c r="K151" i="5"/>
  <c r="M149" i="5"/>
  <c r="E148" i="5"/>
  <c r="I146" i="5"/>
  <c r="J144" i="5"/>
  <c r="M142" i="5"/>
  <c r="F141" i="5"/>
  <c r="H139" i="5"/>
  <c r="J137" i="5"/>
  <c r="D136" i="5"/>
  <c r="E134" i="5"/>
  <c r="H132" i="5"/>
  <c r="L130" i="5"/>
  <c r="M128" i="5"/>
  <c r="F127" i="5"/>
  <c r="I125" i="5"/>
  <c r="L123" i="5"/>
  <c r="F122" i="5"/>
  <c r="K120" i="5"/>
  <c r="D119" i="5"/>
  <c r="H117" i="5"/>
  <c r="M115" i="5"/>
  <c r="F114" i="5"/>
  <c r="J112" i="5"/>
  <c r="E111" i="5"/>
  <c r="H109" i="5"/>
  <c r="L107" i="5"/>
  <c r="G106" i="5"/>
  <c r="J104" i="5"/>
  <c r="D103" i="5"/>
  <c r="I101" i="5"/>
  <c r="L99" i="5"/>
  <c r="F98" i="5"/>
  <c r="K96" i="5"/>
  <c r="D95" i="5"/>
  <c r="J213" i="5"/>
  <c r="G211" i="5"/>
  <c r="K208" i="5"/>
  <c r="H206" i="5"/>
  <c r="E204" i="5"/>
  <c r="I201" i="5"/>
  <c r="F199" i="5"/>
  <c r="M196" i="5"/>
  <c r="G194" i="5"/>
  <c r="D192" i="5"/>
  <c r="K189" i="5"/>
  <c r="E187" i="5"/>
  <c r="M184" i="5"/>
  <c r="D183" i="5"/>
  <c r="E181" i="5"/>
  <c r="H179" i="5"/>
  <c r="L177" i="5"/>
  <c r="L175" i="5"/>
  <c r="F174" i="5"/>
  <c r="I172" i="5"/>
  <c r="J170" i="5"/>
  <c r="M168" i="5"/>
  <c r="G167" i="5"/>
  <c r="G165" i="5"/>
  <c r="K163" i="5"/>
  <c r="E162" i="5"/>
  <c r="E160" i="5"/>
  <c r="I158" i="5"/>
  <c r="L156" i="5"/>
  <c r="M154" i="5"/>
  <c r="F153" i="5"/>
  <c r="J151" i="5"/>
  <c r="J149" i="5"/>
  <c r="D148" i="5"/>
  <c r="H146" i="5"/>
  <c r="H144" i="5"/>
  <c r="L142" i="5"/>
  <c r="E141" i="5"/>
  <c r="F139" i="5"/>
  <c r="I137" i="5"/>
  <c r="M135" i="5"/>
  <c r="M133" i="5"/>
  <c r="G132" i="5"/>
  <c r="K130" i="5"/>
  <c r="I213" i="5"/>
  <c r="F211" i="5"/>
  <c r="F208" i="5"/>
  <c r="G206" i="5"/>
  <c r="D204" i="5"/>
  <c r="D201" i="5"/>
  <c r="E199" i="5"/>
  <c r="L196" i="5"/>
  <c r="L193" i="5"/>
  <c r="M191" i="5"/>
  <c r="J189" i="5"/>
  <c r="J186" i="5"/>
  <c r="L184" i="5"/>
  <c r="M182" i="5"/>
  <c r="M180" i="5"/>
  <c r="G179" i="5"/>
  <c r="K177" i="5"/>
  <c r="K175" i="5"/>
  <c r="E174" i="5"/>
  <c r="H172" i="5"/>
  <c r="I170" i="5"/>
  <c r="L168" i="5"/>
  <c r="F167" i="5"/>
  <c r="F165" i="5"/>
  <c r="J163" i="5"/>
  <c r="D162" i="5"/>
  <c r="D160" i="5"/>
  <c r="H158" i="5"/>
  <c r="K156" i="5"/>
  <c r="L154" i="5"/>
  <c r="E153" i="5"/>
  <c r="I151" i="5"/>
  <c r="I149" i="5"/>
  <c r="M147" i="5"/>
  <c r="G146" i="5"/>
  <c r="G144" i="5"/>
  <c r="K142" i="5"/>
  <c r="D4" i="5"/>
  <c r="J5" i="5"/>
  <c r="J7" i="5"/>
  <c r="F9" i="5"/>
  <c r="F11" i="5"/>
  <c r="L12" i="5"/>
  <c r="L14" i="5"/>
  <c r="H16" i="5"/>
  <c r="I18" i="5"/>
  <c r="F20" i="5"/>
  <c r="H22" i="5"/>
  <c r="E24" i="5"/>
  <c r="G26" i="5"/>
  <c r="E28" i="5"/>
  <c r="F30" i="5"/>
  <c r="J32" i="5"/>
  <c r="I34" i="5"/>
  <c r="D37" i="5"/>
  <c r="J39" i="5"/>
  <c r="F42" i="5"/>
  <c r="M44" i="5"/>
  <c r="I47" i="5"/>
  <c r="E50" i="5"/>
  <c r="J53" i="5"/>
  <c r="H56" i="5"/>
  <c r="G59" i="5"/>
  <c r="M62" i="5"/>
  <c r="K65" i="5"/>
  <c r="E70" i="5"/>
  <c r="G74" i="5"/>
  <c r="D79" i="5"/>
  <c r="L83" i="5"/>
  <c r="J88" i="5"/>
  <c r="H93" i="5"/>
  <c r="J99" i="5"/>
  <c r="F106" i="5"/>
  <c r="I112" i="5"/>
  <c r="L118" i="5"/>
  <c r="H125" i="5"/>
  <c r="L133" i="5"/>
  <c r="L147" i="5"/>
  <c r="K168" i="5"/>
  <c r="H191" i="5"/>
  <c r="E2" i="5"/>
  <c r="E4" i="5"/>
  <c r="K5" i="5"/>
  <c r="K7" i="5"/>
  <c r="G9" i="5"/>
  <c r="G11" i="5"/>
  <c r="M12" i="5"/>
  <c r="M14" i="5"/>
  <c r="I16" i="5"/>
  <c r="J18" i="5"/>
  <c r="G20" i="5"/>
  <c r="I22" i="5"/>
  <c r="F24" i="5"/>
  <c r="H26" i="5"/>
  <c r="F28" i="5"/>
  <c r="G30" i="5"/>
  <c r="K32" i="5"/>
  <c r="K34" i="5"/>
  <c r="E37" i="5"/>
  <c r="K39" i="5"/>
  <c r="G42" i="5"/>
  <c r="D45" i="5"/>
  <c r="J47" i="5"/>
  <c r="F50" i="5"/>
  <c r="K53" i="5"/>
  <c r="I56" i="5"/>
  <c r="E60" i="5"/>
  <c r="D63" i="5"/>
  <c r="L66" i="5"/>
  <c r="E71" i="5"/>
  <c r="H75" i="5"/>
  <c r="F80" i="5"/>
  <c r="D85" i="5"/>
  <c r="L89" i="5"/>
  <c r="J94" i="5"/>
  <c r="D101" i="5"/>
  <c r="I107" i="5"/>
  <c r="L113" i="5"/>
  <c r="F120" i="5"/>
  <c r="L126" i="5"/>
  <c r="I135" i="5"/>
  <c r="H149" i="5"/>
  <c r="H170" i="5"/>
  <c r="K193" i="5"/>
  <c r="J2" i="5"/>
  <c r="F4" i="5"/>
  <c r="F6" i="5"/>
  <c r="L7" i="5"/>
  <c r="L9" i="5"/>
  <c r="H11" i="5"/>
  <c r="H13" i="5"/>
  <c r="D15" i="5"/>
  <c r="D17" i="5"/>
  <c r="K18" i="5"/>
  <c r="M20" i="5"/>
  <c r="J22" i="5"/>
  <c r="L24" i="5"/>
  <c r="I26" i="5"/>
  <c r="K28" i="5"/>
  <c r="I30" i="5"/>
  <c r="M32" i="5"/>
  <c r="G35" i="5"/>
  <c r="M37" i="5"/>
  <c r="I40" i="5"/>
  <c r="E43" i="5"/>
  <c r="K45" i="5"/>
  <c r="G48" i="5"/>
  <c r="D51" i="5"/>
  <c r="L53" i="5"/>
  <c r="J56" i="5"/>
  <c r="F60" i="5"/>
  <c r="E63" i="5"/>
  <c r="M66" i="5"/>
  <c r="G71" i="5"/>
  <c r="I75" i="5"/>
  <c r="G80" i="5"/>
  <c r="E85" i="5"/>
  <c r="M89" i="5"/>
  <c r="K94" i="5"/>
  <c r="G101" i="5"/>
  <c r="J107" i="5"/>
  <c r="M113" i="5"/>
  <c r="I120" i="5"/>
  <c r="M126" i="5"/>
  <c r="L135" i="5"/>
  <c r="F151" i="5"/>
  <c r="E172" i="5"/>
  <c r="E196" i="5"/>
  <c r="K2" i="5"/>
  <c r="G4" i="5"/>
  <c r="G6" i="5"/>
  <c r="M7" i="5"/>
  <c r="M9" i="5"/>
  <c r="I11" i="5"/>
  <c r="I13" i="5"/>
  <c r="E15" i="5"/>
  <c r="E17" i="5"/>
  <c r="L18" i="5"/>
  <c r="D21" i="5"/>
  <c r="K22" i="5"/>
  <c r="M24" i="5"/>
  <c r="J26" i="5"/>
  <c r="L28" i="5"/>
  <c r="J30" i="5"/>
  <c r="D33" i="5"/>
  <c r="H35" i="5"/>
  <c r="D38" i="5"/>
  <c r="J40" i="5"/>
  <c r="F43" i="5"/>
  <c r="L45" i="5"/>
  <c r="I48" i="5"/>
  <c r="E51" i="5"/>
  <c r="M53" i="5"/>
  <c r="I57" i="5"/>
  <c r="G60" i="5"/>
  <c r="F63" i="5"/>
  <c r="D67" i="5"/>
  <c r="H71" i="5"/>
  <c r="J75" i="5"/>
  <c r="H80" i="5"/>
  <c r="F85" i="5"/>
  <c r="D90" i="5"/>
  <c r="L94" i="5"/>
  <c r="H101" i="5"/>
  <c r="K107" i="5"/>
  <c r="D114" i="5"/>
  <c r="J120" i="5"/>
  <c r="E127" i="5"/>
  <c r="G137" i="5"/>
  <c r="D153" i="5"/>
  <c r="D174" i="5"/>
  <c r="J198" i="5"/>
  <c r="L2" i="5"/>
  <c r="H4" i="5"/>
  <c r="H6" i="5"/>
  <c r="D8" i="5"/>
  <c r="D10" i="5"/>
  <c r="J11" i="5"/>
  <c r="J13" i="5"/>
  <c r="F15" i="5"/>
  <c r="F17" i="5"/>
  <c r="M18" i="5"/>
  <c r="E21" i="5"/>
  <c r="L22" i="5"/>
  <c r="D25" i="5"/>
  <c r="K26" i="5"/>
  <c r="M28" i="5"/>
  <c r="L30" i="5"/>
  <c r="E33" i="5"/>
  <c r="I35" i="5"/>
  <c r="E38" i="5"/>
  <c r="K40" i="5"/>
  <c r="G43" i="5"/>
  <c r="M45" i="5"/>
  <c r="J48" i="5"/>
  <c r="F51" i="5"/>
  <c r="D54" i="5"/>
  <c r="J57" i="5"/>
  <c r="I60" i="5"/>
  <c r="E64" i="5"/>
  <c r="E67" i="5"/>
  <c r="I71" i="5"/>
  <c r="L75" i="5"/>
  <c r="J80" i="5"/>
  <c r="H85" i="5"/>
  <c r="F90" i="5"/>
  <c r="F96" i="5"/>
  <c r="K102" i="5"/>
  <c r="D109" i="5"/>
  <c r="H115" i="5"/>
  <c r="M121" i="5"/>
  <c r="I128" i="5"/>
  <c r="H137" i="5"/>
  <c r="K154" i="5"/>
  <c r="J175" i="5"/>
  <c r="M200" i="5"/>
  <c r="M2" i="5"/>
  <c r="I4" i="5"/>
  <c r="I6" i="5"/>
  <c r="E8" i="5"/>
  <c r="E10" i="5"/>
  <c r="K11" i="5"/>
  <c r="K13" i="5"/>
  <c r="G15" i="5"/>
  <c r="G17" i="5"/>
  <c r="D19" i="5"/>
  <c r="F21" i="5"/>
  <c r="M22" i="5"/>
  <c r="E25" i="5"/>
  <c r="M26" i="5"/>
  <c r="D29" i="5"/>
  <c r="G31" i="5"/>
  <c r="F33" i="5"/>
  <c r="J35" i="5"/>
  <c r="F38" i="5"/>
  <c r="L40" i="5"/>
  <c r="H43" i="5"/>
  <c r="E46" i="5"/>
  <c r="K48" i="5"/>
  <c r="G51" i="5"/>
  <c r="M54" i="5"/>
  <c r="K57" i="5"/>
  <c r="J60" i="5"/>
  <c r="F64" i="5"/>
  <c r="F68" i="5"/>
  <c r="J72" i="5"/>
  <c r="D77" i="5"/>
  <c r="L81" i="5"/>
  <c r="J86" i="5"/>
  <c r="H91" i="5"/>
  <c r="I96" i="5"/>
  <c r="L102" i="5"/>
  <c r="E109" i="5"/>
  <c r="K115" i="5"/>
  <c r="D122" i="5"/>
  <c r="J128" i="5"/>
  <c r="M138" i="5"/>
  <c r="H156" i="5"/>
  <c r="G177" i="5"/>
  <c r="G203" i="5"/>
  <c r="D3" i="5"/>
  <c r="D5" i="5"/>
  <c r="J6" i="5"/>
  <c r="J8" i="5"/>
  <c r="F10" i="5"/>
  <c r="F12" i="5"/>
  <c r="L13" i="5"/>
  <c r="L15" i="5"/>
  <c r="H17" i="5"/>
  <c r="I19" i="5"/>
  <c r="G21" i="5"/>
  <c r="I23" i="5"/>
  <c r="F25" i="5"/>
  <c r="H27" i="5"/>
  <c r="E29" i="5"/>
  <c r="H31" i="5"/>
  <c r="H33" i="5"/>
  <c r="K35" i="5"/>
  <c r="G38" i="5"/>
  <c r="M40" i="5"/>
  <c r="I43" i="5"/>
  <c r="F46" i="5"/>
  <c r="L48" i="5"/>
  <c r="H51" i="5"/>
  <c r="D55" i="5"/>
  <c r="L57" i="5"/>
  <c r="H61" i="5"/>
  <c r="G64" i="5"/>
  <c r="G68" i="5"/>
  <c r="K72" i="5"/>
  <c r="G77" i="5"/>
  <c r="E82" i="5"/>
  <c r="M86" i="5"/>
  <c r="K91" i="5"/>
  <c r="J96" i="5"/>
  <c r="M102" i="5"/>
  <c r="F109" i="5"/>
  <c r="L115" i="5"/>
  <c r="E122" i="5"/>
  <c r="K128" i="5"/>
  <c r="E139" i="5"/>
  <c r="G158" i="5"/>
  <c r="F179" i="5"/>
  <c r="L205" i="5"/>
  <c r="E3" i="5"/>
  <c r="E5" i="5"/>
  <c r="K6" i="5"/>
  <c r="K8" i="5"/>
  <c r="G10" i="5"/>
  <c r="G12" i="5"/>
  <c r="M13" i="5"/>
  <c r="M15" i="5"/>
  <c r="I17" i="5"/>
  <c r="K19" i="5"/>
  <c r="H21" i="5"/>
  <c r="J23" i="5"/>
  <c r="G25" i="5"/>
  <c r="I27" i="5"/>
  <c r="G29" i="5"/>
  <c r="I31" i="5"/>
  <c r="M33" i="5"/>
  <c r="L35" i="5"/>
  <c r="H38" i="5"/>
  <c r="D41" i="5"/>
  <c r="K43" i="5"/>
  <c r="G46" i="5"/>
  <c r="M48" i="5"/>
  <c r="G52" i="5"/>
  <c r="E55" i="5"/>
  <c r="M57" i="5"/>
  <c r="I61" i="5"/>
  <c r="H64" i="5"/>
  <c r="H68" i="5"/>
  <c r="L72" i="5"/>
  <c r="H77" i="5"/>
  <c r="F82" i="5"/>
  <c r="D87" i="5"/>
  <c r="L91" i="5"/>
  <c r="M97" i="5"/>
  <c r="F104" i="5"/>
  <c r="J110" i="5"/>
  <c r="E117" i="5"/>
  <c r="H123" i="5"/>
  <c r="F130" i="5"/>
  <c r="K140" i="5"/>
  <c r="M159" i="5"/>
  <c r="L180" i="5"/>
  <c r="E208" i="5"/>
  <c r="F3" i="5"/>
  <c r="F5" i="5"/>
  <c r="L6" i="5"/>
  <c r="L8" i="5"/>
  <c r="H10" i="5"/>
  <c r="H12" i="5"/>
  <c r="D14" i="5"/>
  <c r="D16" i="5"/>
  <c r="J17" i="5"/>
  <c r="L19" i="5"/>
  <c r="I21" i="5"/>
  <c r="K23" i="5"/>
  <c r="H25" i="5"/>
  <c r="J27" i="5"/>
  <c r="H29" i="5"/>
  <c r="K31" i="5"/>
  <c r="E34" i="5"/>
  <c r="J36" i="5"/>
  <c r="F39" i="5"/>
  <c r="L41" i="5"/>
  <c r="H44" i="5"/>
  <c r="D47" i="5"/>
  <c r="K49" i="5"/>
  <c r="H52" i="5"/>
  <c r="F55" i="5"/>
  <c r="L58" i="5"/>
  <c r="K61" i="5"/>
  <c r="I64" i="5"/>
  <c r="J68" i="5"/>
  <c r="M72" i="5"/>
  <c r="I77" i="5"/>
  <c r="G82" i="5"/>
  <c r="E87" i="5"/>
  <c r="M91" i="5"/>
  <c r="D98" i="5"/>
  <c r="G104" i="5"/>
  <c r="M110" i="5"/>
  <c r="F117" i="5"/>
  <c r="I123" i="5"/>
  <c r="I130" i="5"/>
  <c r="D141" i="5"/>
  <c r="J161" i="5"/>
  <c r="J182" i="5"/>
  <c r="I210" i="5"/>
  <c r="G3" i="5"/>
  <c r="G5" i="5"/>
  <c r="M6" i="5"/>
  <c r="M8" i="5"/>
  <c r="I10" i="5"/>
  <c r="I12" i="5"/>
  <c r="E14" i="5"/>
  <c r="E16" i="5"/>
  <c r="K17" i="5"/>
  <c r="M19" i="5"/>
  <c r="J21" i="5"/>
  <c r="L23" i="5"/>
  <c r="I25" i="5"/>
  <c r="K27" i="5"/>
  <c r="I29" i="5"/>
  <c r="L31" i="5"/>
  <c r="F34" i="5"/>
  <c r="K36" i="5"/>
  <c r="G39" i="5"/>
  <c r="M41" i="5"/>
  <c r="I44" i="5"/>
  <c r="E47" i="5"/>
  <c r="L49" i="5"/>
  <c r="I52" i="5"/>
  <c r="G55" i="5"/>
  <c r="M58" i="5"/>
  <c r="L61" i="5"/>
  <c r="H65" i="5"/>
  <c r="J69" i="5"/>
  <c r="D74" i="5"/>
  <c r="K78" i="5"/>
  <c r="I83" i="5"/>
  <c r="G88" i="5"/>
  <c r="E93" i="5"/>
  <c r="E98" i="5"/>
  <c r="H104" i="5"/>
  <c r="D111" i="5"/>
  <c r="G117" i="5"/>
  <c r="J123" i="5"/>
  <c r="E132" i="5"/>
  <c r="I142" i="5"/>
  <c r="I163" i="5"/>
  <c r="K184" i="5"/>
  <c r="D213" i="5"/>
  <c r="L3" i="5"/>
  <c r="H5" i="5"/>
  <c r="H7" i="5"/>
  <c r="D9" i="5"/>
  <c r="D11" i="5"/>
  <c r="J12" i="5"/>
  <c r="J14" i="5"/>
  <c r="F16" i="5"/>
  <c r="F18" i="5"/>
  <c r="D20" i="5"/>
  <c r="F22" i="5"/>
  <c r="M23" i="5"/>
  <c r="E26" i="5"/>
  <c r="L27" i="5"/>
  <c r="D30" i="5"/>
  <c r="M31" i="5"/>
  <c r="G34" i="5"/>
  <c r="L36" i="5"/>
  <c r="H39" i="5"/>
  <c r="D42" i="5"/>
  <c r="J44" i="5"/>
  <c r="G47" i="5"/>
  <c r="M49" i="5"/>
  <c r="J52" i="5"/>
  <c r="F56" i="5"/>
  <c r="D59" i="5"/>
  <c r="M61" i="5"/>
  <c r="I65" i="5"/>
  <c r="L69" i="5"/>
  <c r="E74" i="5"/>
  <c r="L78" i="5"/>
  <c r="J83" i="5"/>
  <c r="H88" i="5"/>
  <c r="F93" i="5"/>
  <c r="H99" i="5"/>
  <c r="L105" i="5"/>
  <c r="G112" i="5"/>
  <c r="J118" i="5"/>
  <c r="D125" i="5"/>
  <c r="F132" i="5"/>
  <c r="F144" i="5"/>
  <c r="E165" i="5"/>
  <c r="I186" i="5"/>
  <c r="H41" i="8"/>
  <c r="E43" i="8"/>
  <c r="G45" i="8"/>
  <c r="I47" i="8"/>
  <c r="F49" i="8"/>
  <c r="H51" i="8"/>
  <c r="J53" i="8"/>
  <c r="L55" i="8"/>
  <c r="J57" i="8"/>
  <c r="D60" i="8"/>
  <c r="H62" i="8"/>
  <c r="F64" i="8"/>
  <c r="J66" i="8"/>
  <c r="D69" i="8"/>
  <c r="H71" i="8"/>
  <c r="G73" i="8"/>
  <c r="M75" i="8"/>
  <c r="I78" i="8"/>
  <c r="E81" i="8"/>
  <c r="L83" i="8"/>
  <c r="H86" i="8"/>
  <c r="D89" i="8"/>
  <c r="J92" i="8"/>
  <c r="L95" i="8"/>
  <c r="L99" i="8"/>
  <c r="F104" i="8"/>
  <c r="K108" i="8"/>
  <c r="H116" i="8"/>
  <c r="I128" i="8"/>
  <c r="L141" i="8"/>
  <c r="E155" i="8"/>
  <c r="J169" i="8"/>
  <c r="E185" i="8"/>
  <c r="I204" i="8"/>
  <c r="K232" i="8"/>
  <c r="J276" i="8"/>
  <c r="D19" i="8"/>
  <c r="D21" i="8"/>
  <c r="J22" i="8"/>
  <c r="J24" i="8"/>
  <c r="F26" i="8"/>
  <c r="F28" i="8"/>
  <c r="L29" i="8"/>
  <c r="L31" i="8"/>
  <c r="H33" i="8"/>
  <c r="I35" i="8"/>
  <c r="F37" i="8"/>
  <c r="H39" i="8"/>
  <c r="J41" i="8"/>
  <c r="L43" i="8"/>
  <c r="I45" i="8"/>
  <c r="K47" i="8"/>
  <c r="M49" i="8"/>
  <c r="J51" i="8"/>
  <c r="L53" i="8"/>
  <c r="D56" i="8"/>
  <c r="G58" i="8"/>
  <c r="F60" i="8"/>
  <c r="J62" i="8"/>
  <c r="D65" i="8"/>
  <c r="L66" i="8"/>
  <c r="F69" i="8"/>
  <c r="J71" i="8"/>
  <c r="F74" i="8"/>
  <c r="L76" i="8"/>
  <c r="H79" i="8"/>
  <c r="D82" i="8"/>
  <c r="J84" i="8"/>
  <c r="F87" i="8"/>
  <c r="M89" i="8"/>
  <c r="L92" i="8"/>
  <c r="E96" i="8"/>
  <c r="D100" i="8"/>
  <c r="H104" i="8"/>
  <c r="F110" i="8"/>
  <c r="D118" i="8"/>
  <c r="G130" i="8"/>
  <c r="F144" i="8"/>
  <c r="I157" i="8"/>
  <c r="K171" i="8"/>
  <c r="M187" i="8"/>
  <c r="H209" i="8"/>
  <c r="I239" i="8"/>
  <c r="L283" i="8"/>
  <c r="E3" i="8"/>
  <c r="K4" i="8"/>
  <c r="K6" i="8"/>
  <c r="G8" i="8"/>
  <c r="G10" i="8"/>
  <c r="M11" i="8"/>
  <c r="M13" i="8"/>
  <c r="I15" i="8"/>
  <c r="I17" i="8"/>
  <c r="E19" i="8"/>
  <c r="E21" i="8"/>
  <c r="K22" i="8"/>
  <c r="K24" i="8"/>
  <c r="G26" i="8"/>
  <c r="G28" i="8"/>
  <c r="M29" i="8"/>
  <c r="M31" i="8"/>
  <c r="I33" i="8"/>
  <c r="J35" i="8"/>
  <c r="L37" i="8"/>
  <c r="I39" i="8"/>
  <c r="K41" i="8"/>
  <c r="M43" i="8"/>
  <c r="J45" i="8"/>
  <c r="L47" i="8"/>
  <c r="D50" i="8"/>
  <c r="F52" i="8"/>
  <c r="M53" i="8"/>
  <c r="E56" i="8"/>
  <c r="H58" i="8"/>
  <c r="G60" i="8"/>
  <c r="K62" i="8"/>
  <c r="E65" i="8"/>
  <c r="I67" i="8"/>
  <c r="H69" i="8"/>
  <c r="L71" i="8"/>
  <c r="G74" i="8"/>
  <c r="M76" i="8"/>
  <c r="I79" i="8"/>
  <c r="E82" i="8"/>
  <c r="K84" i="8"/>
  <c r="H87" i="8"/>
  <c r="D90" i="8"/>
  <c r="M92" i="8"/>
  <c r="D97" i="8"/>
  <c r="E100" i="8"/>
  <c r="I104" i="8"/>
  <c r="G110" i="8"/>
  <c r="L119" i="8"/>
  <c r="I132" i="8"/>
  <c r="L145" i="8"/>
  <c r="E159" i="8"/>
  <c r="E174" i="8"/>
  <c r="E190" i="8"/>
  <c r="D213" i="8"/>
  <c r="J245" i="8"/>
  <c r="I292" i="8"/>
  <c r="F3" i="8"/>
  <c r="L4" i="8"/>
  <c r="L6" i="8"/>
  <c r="H8" i="8"/>
  <c r="H10" i="8"/>
  <c r="D12" i="8"/>
  <c r="D14" i="8"/>
  <c r="J15" i="8"/>
  <c r="J17" i="8"/>
  <c r="F19" i="8"/>
  <c r="F21" i="8"/>
  <c r="L22" i="8"/>
  <c r="L24" i="8"/>
  <c r="H26" i="8"/>
  <c r="H28" i="8"/>
  <c r="D30" i="8"/>
  <c r="D32" i="8"/>
  <c r="J33" i="8"/>
  <c r="K35" i="8"/>
  <c r="M37" i="8"/>
  <c r="J39" i="8"/>
  <c r="L41" i="8"/>
  <c r="D44" i="8"/>
  <c r="F46" i="8"/>
  <c r="M47" i="8"/>
  <c r="E50" i="8"/>
  <c r="G52" i="8"/>
  <c r="D54" i="8"/>
  <c r="F56" i="8"/>
  <c r="J58" i="8"/>
  <c r="D61" i="8"/>
  <c r="L62" i="8"/>
  <c r="F65" i="8"/>
  <c r="J67" i="8"/>
  <c r="I69" i="8"/>
  <c r="M71" i="8"/>
  <c r="H74" i="8"/>
  <c r="D77" i="8"/>
  <c r="J79" i="8"/>
  <c r="F82" i="8"/>
  <c r="L84" i="8"/>
  <c r="I87" i="8"/>
  <c r="E90" i="8"/>
  <c r="E93" i="8"/>
  <c r="E97" i="8"/>
  <c r="F101" i="8"/>
  <c r="J105" i="8"/>
  <c r="H111" i="8"/>
  <c r="D120" i="8"/>
  <c r="K132" i="8"/>
  <c r="D146" i="8"/>
  <c r="M159" i="8"/>
  <c r="G174" i="8"/>
  <c r="G190" i="8"/>
  <c r="F213" i="8"/>
  <c r="K246" i="8"/>
  <c r="E296" i="8"/>
  <c r="G3" i="8"/>
  <c r="M4" i="8"/>
  <c r="M6" i="8"/>
  <c r="I8" i="8"/>
  <c r="I10" i="8"/>
  <c r="E12" i="8"/>
  <c r="E14" i="8"/>
  <c r="K15" i="8"/>
  <c r="K17" i="8"/>
  <c r="G19" i="8"/>
  <c r="G21" i="8"/>
  <c r="M22" i="8"/>
  <c r="M24" i="8"/>
  <c r="I26" i="8"/>
  <c r="I28" i="8"/>
  <c r="E30" i="8"/>
  <c r="E32" i="8"/>
  <c r="K33" i="8"/>
  <c r="L35" i="8"/>
  <c r="D38" i="8"/>
  <c r="F40" i="8"/>
  <c r="M41" i="8"/>
  <c r="E44" i="8"/>
  <c r="G46" i="8"/>
  <c r="D48" i="8"/>
  <c r="F50" i="8"/>
  <c r="H52" i="8"/>
  <c r="J54" i="8"/>
  <c r="G56" i="8"/>
  <c r="K58" i="8"/>
  <c r="E61" i="8"/>
  <c r="M62" i="8"/>
  <c r="G65" i="8"/>
  <c r="K67" i="8"/>
  <c r="E70" i="8"/>
  <c r="D72" i="8"/>
  <c r="I74" i="8"/>
  <c r="E77" i="8"/>
  <c r="K79" i="8"/>
  <c r="G82" i="8"/>
  <c r="D85" i="8"/>
  <c r="J87" i="8"/>
  <c r="F90" i="8"/>
  <c r="D94" i="8"/>
  <c r="F97" i="8"/>
  <c r="G101" i="8"/>
  <c r="L105" i="8"/>
  <c r="J111" i="8"/>
  <c r="I121" i="8"/>
  <c r="M134" i="8"/>
  <c r="F148" i="8"/>
  <c r="I161" i="8"/>
  <c r="D176" i="8"/>
  <c r="I193" i="8"/>
  <c r="L216" i="8"/>
  <c r="L252" i="8"/>
  <c r="F315" i="8"/>
  <c r="H3" i="8"/>
  <c r="H5" i="8"/>
  <c r="D7" i="8"/>
  <c r="D9" i="8"/>
  <c r="J10" i="8"/>
  <c r="J12" i="8"/>
  <c r="F14" i="8"/>
  <c r="F16" i="8"/>
  <c r="L17" i="8"/>
  <c r="L19" i="8"/>
  <c r="H21" i="8"/>
  <c r="H23" i="8"/>
  <c r="D25" i="8"/>
  <c r="D27" i="8"/>
  <c r="J28" i="8"/>
  <c r="J30" i="8"/>
  <c r="F32" i="8"/>
  <c r="F34" i="8"/>
  <c r="M35" i="8"/>
  <c r="E38" i="8"/>
  <c r="G40" i="8"/>
  <c r="D42" i="8"/>
  <c r="F44" i="8"/>
  <c r="H46" i="8"/>
  <c r="J48" i="8"/>
  <c r="G50" i="8"/>
  <c r="I52" i="8"/>
  <c r="K54" i="8"/>
  <c r="H56" i="8"/>
  <c r="L58" i="8"/>
  <c r="F61" i="8"/>
  <c r="J63" i="8"/>
  <c r="H65" i="8"/>
  <c r="L67" i="8"/>
  <c r="F70" i="8"/>
  <c r="E72" i="8"/>
  <c r="J74" i="8"/>
  <c r="F77" i="8"/>
  <c r="L79" i="8"/>
  <c r="H82" i="8"/>
  <c r="E85" i="8"/>
  <c r="K87" i="8"/>
  <c r="G90" i="8"/>
  <c r="E94" i="8"/>
  <c r="G97" i="8"/>
  <c r="H101" i="8"/>
  <c r="M105" i="8"/>
  <c r="K111" i="8"/>
  <c r="F122" i="8"/>
  <c r="E135" i="8"/>
  <c r="H148" i="8"/>
  <c r="K161" i="8"/>
  <c r="M176" i="8"/>
  <c r="K193" i="8"/>
  <c r="H217" i="8"/>
  <c r="E255" i="8"/>
  <c r="E319" i="8"/>
  <c r="D2" i="8"/>
  <c r="I3" i="8"/>
  <c r="I5" i="8"/>
  <c r="E7" i="8"/>
  <c r="E9" i="8"/>
  <c r="K10" i="8"/>
  <c r="K12" i="8"/>
  <c r="G14" i="8"/>
  <c r="G16" i="8"/>
  <c r="M17" i="8"/>
  <c r="M19" i="8"/>
  <c r="I21" i="8"/>
  <c r="I23" i="8"/>
  <c r="E25" i="8"/>
  <c r="E27" i="8"/>
  <c r="K28" i="8"/>
  <c r="K30" i="8"/>
  <c r="G32" i="8"/>
  <c r="G34" i="8"/>
  <c r="D36" i="8"/>
  <c r="F38" i="8"/>
  <c r="H40" i="8"/>
  <c r="J42" i="8"/>
  <c r="G44" i="8"/>
  <c r="I46" i="8"/>
  <c r="K48" i="8"/>
  <c r="H50" i="8"/>
  <c r="J52" i="8"/>
  <c r="L54" i="8"/>
  <c r="D57" i="8"/>
  <c r="M58" i="8"/>
  <c r="G61" i="8"/>
  <c r="K63" i="8"/>
  <c r="I65" i="8"/>
  <c r="M67" i="8"/>
  <c r="G70" i="8"/>
  <c r="K72" i="8"/>
  <c r="H75" i="8"/>
  <c r="D78" i="8"/>
  <c r="J80" i="8"/>
  <c r="F83" i="8"/>
  <c r="L85" i="8"/>
  <c r="H88" i="8"/>
  <c r="F91" i="8"/>
  <c r="F94" i="8"/>
  <c r="I97" i="8"/>
  <c r="I101" i="8"/>
  <c r="D107" i="8"/>
  <c r="L112" i="8"/>
  <c r="K123" i="8"/>
  <c r="L136" i="8"/>
  <c r="J150" i="8"/>
  <c r="D164" i="8"/>
  <c r="D179" i="8"/>
  <c r="D197" i="8"/>
  <c r="D221" i="8"/>
  <c r="F261" i="8"/>
  <c r="M491" i="8"/>
  <c r="K490" i="8"/>
  <c r="I489" i="8"/>
  <c r="G488" i="8"/>
  <c r="E487" i="8"/>
  <c r="M485" i="8"/>
  <c r="K484" i="8"/>
  <c r="I483" i="8"/>
  <c r="G482" i="8"/>
  <c r="E481" i="8"/>
  <c r="M479" i="8"/>
  <c r="K478" i="8"/>
  <c r="I477" i="8"/>
  <c r="G476" i="8"/>
  <c r="E475" i="8"/>
  <c r="M473" i="8"/>
  <c r="K472" i="8"/>
  <c r="I471" i="8"/>
  <c r="G470" i="8"/>
  <c r="E469" i="8"/>
  <c r="M467" i="8"/>
  <c r="K466" i="8"/>
  <c r="I465" i="8"/>
  <c r="G464" i="8"/>
  <c r="E463" i="8"/>
  <c r="M461" i="8"/>
  <c r="K460" i="8"/>
  <c r="I459" i="8"/>
  <c r="G458" i="8"/>
  <c r="E457" i="8"/>
  <c r="M455" i="8"/>
  <c r="K454" i="8"/>
  <c r="I453" i="8"/>
  <c r="G452" i="8"/>
  <c r="E451" i="8"/>
  <c r="M449" i="8"/>
  <c r="K448" i="8"/>
  <c r="I447" i="8"/>
  <c r="G446" i="8"/>
  <c r="E445" i="8"/>
  <c r="M443" i="8"/>
  <c r="K442" i="8"/>
  <c r="I441" i="8"/>
  <c r="G440" i="8"/>
  <c r="E439" i="8"/>
  <c r="M437" i="8"/>
  <c r="K436" i="8"/>
  <c r="I435" i="8"/>
  <c r="G434" i="8"/>
  <c r="E433" i="8"/>
  <c r="M431" i="8"/>
  <c r="K430" i="8"/>
  <c r="I429" i="8"/>
  <c r="G428" i="8"/>
  <c r="E427" i="8"/>
  <c r="M425" i="8"/>
  <c r="K424" i="8"/>
  <c r="I423" i="8"/>
  <c r="G422" i="8"/>
  <c r="E421" i="8"/>
  <c r="M419" i="8"/>
  <c r="K418" i="8"/>
  <c r="I417" i="8"/>
  <c r="G416" i="8"/>
  <c r="E415" i="8"/>
  <c r="M413" i="8"/>
  <c r="K412" i="8"/>
  <c r="I411" i="8"/>
  <c r="G410" i="8"/>
  <c r="E409" i="8"/>
  <c r="M407" i="8"/>
  <c r="K406" i="8"/>
  <c r="I405" i="8"/>
  <c r="G404" i="8"/>
  <c r="E403" i="8"/>
  <c r="M401" i="8"/>
  <c r="K400" i="8"/>
  <c r="I399" i="8"/>
  <c r="G398" i="8"/>
  <c r="E397" i="8"/>
  <c r="M395" i="8"/>
  <c r="K394" i="8"/>
  <c r="I393" i="8"/>
  <c r="G392" i="8"/>
  <c r="E391" i="8"/>
  <c r="L491" i="8"/>
  <c r="J490" i="8"/>
  <c r="H489" i="8"/>
  <c r="F488" i="8"/>
  <c r="D487" i="8"/>
  <c r="L485" i="8"/>
  <c r="J484" i="8"/>
  <c r="H483" i="8"/>
  <c r="F482" i="8"/>
  <c r="D481" i="8"/>
  <c r="L479" i="8"/>
  <c r="J478" i="8"/>
  <c r="H477" i="8"/>
  <c r="F476" i="8"/>
  <c r="D475" i="8"/>
  <c r="L473" i="8"/>
  <c r="J472" i="8"/>
  <c r="H471" i="8"/>
  <c r="F470" i="8"/>
  <c r="D469" i="8"/>
  <c r="L467" i="8"/>
  <c r="J466" i="8"/>
  <c r="H465" i="8"/>
  <c r="F464" i="8"/>
  <c r="D463" i="8"/>
  <c r="L461" i="8"/>
  <c r="J460" i="8"/>
  <c r="H459" i="8"/>
  <c r="F458" i="8"/>
  <c r="D457" i="8"/>
  <c r="L455" i="8"/>
  <c r="J454" i="8"/>
  <c r="H453" i="8"/>
  <c r="F452" i="8"/>
  <c r="D451" i="8"/>
  <c r="L449" i="8"/>
  <c r="J448" i="8"/>
  <c r="H447" i="8"/>
  <c r="F446" i="8"/>
  <c r="D445" i="8"/>
  <c r="L443" i="8"/>
  <c r="J442" i="8"/>
  <c r="H441" i="8"/>
  <c r="F440" i="8"/>
  <c r="D439" i="8"/>
  <c r="L437" i="8"/>
  <c r="J436" i="8"/>
  <c r="H435" i="8"/>
  <c r="F434" i="8"/>
  <c r="D433" i="8"/>
  <c r="L431" i="8"/>
  <c r="J430" i="8"/>
  <c r="H429" i="8"/>
  <c r="F428" i="8"/>
  <c r="D427" i="8"/>
  <c r="L425" i="8"/>
  <c r="J424" i="8"/>
  <c r="H423" i="8"/>
  <c r="F422" i="8"/>
  <c r="D421" i="8"/>
  <c r="L419" i="8"/>
  <c r="J418" i="8"/>
  <c r="H417" i="8"/>
  <c r="F416" i="8"/>
  <c r="D415" i="8"/>
  <c r="L413" i="8"/>
  <c r="J412" i="8"/>
  <c r="H411" i="8"/>
  <c r="F410" i="8"/>
  <c r="D409" i="8"/>
  <c r="L407" i="8"/>
  <c r="J406" i="8"/>
  <c r="H405" i="8"/>
  <c r="F404" i="8"/>
  <c r="D403" i="8"/>
  <c r="L401" i="8"/>
  <c r="J400" i="8"/>
  <c r="H399" i="8"/>
  <c r="F398" i="8"/>
  <c r="D397" i="8"/>
  <c r="L395" i="8"/>
  <c r="J394" i="8"/>
  <c r="H393" i="8"/>
  <c r="F392" i="8"/>
  <c r="D391" i="8"/>
  <c r="K491" i="8"/>
  <c r="I490" i="8"/>
  <c r="G489" i="8"/>
  <c r="E488" i="8"/>
  <c r="M486" i="8"/>
  <c r="K485" i="8"/>
  <c r="I484" i="8"/>
  <c r="G483" i="8"/>
  <c r="E482" i="8"/>
  <c r="M480" i="8"/>
  <c r="K479" i="8"/>
  <c r="I478" i="8"/>
  <c r="G477" i="8"/>
  <c r="E476" i="8"/>
  <c r="M474" i="8"/>
  <c r="K473" i="8"/>
  <c r="I472" i="8"/>
  <c r="G471" i="8"/>
  <c r="E470" i="8"/>
  <c r="M468" i="8"/>
  <c r="K467" i="8"/>
  <c r="I466" i="8"/>
  <c r="G465" i="8"/>
  <c r="E464" i="8"/>
  <c r="M462" i="8"/>
  <c r="K461" i="8"/>
  <c r="I460" i="8"/>
  <c r="G459" i="8"/>
  <c r="E458" i="8"/>
  <c r="M456" i="8"/>
  <c r="K455" i="8"/>
  <c r="I454" i="8"/>
  <c r="G453" i="8"/>
  <c r="E452" i="8"/>
  <c r="M450" i="8"/>
  <c r="K449" i="8"/>
  <c r="I448" i="8"/>
  <c r="G447" i="8"/>
  <c r="E446" i="8"/>
  <c r="M444" i="8"/>
  <c r="K443" i="8"/>
  <c r="I442" i="8"/>
  <c r="G441" i="8"/>
  <c r="E440" i="8"/>
  <c r="M438" i="8"/>
  <c r="K437" i="8"/>
  <c r="I436" i="8"/>
  <c r="G435" i="8"/>
  <c r="E434" i="8"/>
  <c r="M432" i="8"/>
  <c r="K431" i="8"/>
  <c r="I430" i="8"/>
  <c r="G429" i="8"/>
  <c r="E428" i="8"/>
  <c r="M426" i="8"/>
  <c r="K425" i="8"/>
  <c r="I424" i="8"/>
  <c r="G423" i="8"/>
  <c r="E422" i="8"/>
  <c r="M420" i="8"/>
  <c r="K419" i="8"/>
  <c r="I418" i="8"/>
  <c r="G417" i="8"/>
  <c r="E416" i="8"/>
  <c r="M414" i="8"/>
  <c r="K413" i="8"/>
  <c r="I412" i="8"/>
  <c r="G411" i="8"/>
  <c r="E410" i="8"/>
  <c r="M408" i="8"/>
  <c r="K407" i="8"/>
  <c r="I406" i="8"/>
  <c r="G405" i="8"/>
  <c r="E404" i="8"/>
  <c r="M402" i="8"/>
  <c r="K401" i="8"/>
  <c r="I400" i="8"/>
  <c r="G399" i="8"/>
  <c r="E398" i="8"/>
  <c r="M396" i="8"/>
  <c r="K395" i="8"/>
  <c r="I394" i="8"/>
  <c r="G393" i="8"/>
  <c r="E392" i="8"/>
  <c r="M390" i="8"/>
  <c r="J491" i="8"/>
  <c r="H490" i="8"/>
  <c r="F489" i="8"/>
  <c r="D488" i="8"/>
  <c r="L486" i="8"/>
  <c r="J485" i="8"/>
  <c r="H484" i="8"/>
  <c r="F483" i="8"/>
  <c r="D482" i="8"/>
  <c r="L480" i="8"/>
  <c r="J479" i="8"/>
  <c r="H478" i="8"/>
  <c r="F477" i="8"/>
  <c r="D476" i="8"/>
  <c r="L474" i="8"/>
  <c r="J473" i="8"/>
  <c r="H472" i="8"/>
  <c r="F471" i="8"/>
  <c r="D470" i="8"/>
  <c r="L468" i="8"/>
  <c r="J467" i="8"/>
  <c r="H466" i="8"/>
  <c r="F465" i="8"/>
  <c r="D464" i="8"/>
  <c r="L462" i="8"/>
  <c r="J461" i="8"/>
  <c r="H460" i="8"/>
  <c r="F459" i="8"/>
  <c r="D458" i="8"/>
  <c r="L456" i="8"/>
  <c r="J455" i="8"/>
  <c r="H454" i="8"/>
  <c r="F453" i="8"/>
  <c r="D452" i="8"/>
  <c r="L450" i="8"/>
  <c r="J449" i="8"/>
  <c r="H448" i="8"/>
  <c r="F447" i="8"/>
  <c r="D446" i="8"/>
  <c r="L444" i="8"/>
  <c r="J443" i="8"/>
  <c r="H442" i="8"/>
  <c r="F441" i="8"/>
  <c r="D440" i="8"/>
  <c r="L438" i="8"/>
  <c r="J437" i="8"/>
  <c r="H436" i="8"/>
  <c r="F435" i="8"/>
  <c r="D434" i="8"/>
  <c r="L432" i="8"/>
  <c r="J431" i="8"/>
  <c r="H430" i="8"/>
  <c r="F429" i="8"/>
  <c r="D428" i="8"/>
  <c r="L426" i="8"/>
  <c r="J425" i="8"/>
  <c r="H424" i="8"/>
  <c r="F423" i="8"/>
  <c r="D422" i="8"/>
  <c r="L420" i="8"/>
  <c r="J419" i="8"/>
  <c r="H418" i="8"/>
  <c r="F417" i="8"/>
  <c r="D416" i="8"/>
  <c r="L414" i="8"/>
  <c r="J413" i="8"/>
  <c r="H412" i="8"/>
  <c r="F411" i="8"/>
  <c r="D410" i="8"/>
  <c r="L408" i="8"/>
  <c r="J407" i="8"/>
  <c r="H406" i="8"/>
  <c r="F405" i="8"/>
  <c r="D404" i="8"/>
  <c r="L402" i="8"/>
  <c r="J401" i="8"/>
  <c r="H400" i="8"/>
  <c r="F399" i="8"/>
  <c r="D398" i="8"/>
  <c r="L396" i="8"/>
  <c r="J395" i="8"/>
  <c r="H394" i="8"/>
  <c r="F393" i="8"/>
  <c r="D392" i="8"/>
  <c r="L390" i="8"/>
  <c r="I491" i="8"/>
  <c r="G490" i="8"/>
  <c r="E489" i="8"/>
  <c r="M487" i="8"/>
  <c r="K486" i="8"/>
  <c r="I485" i="8"/>
  <c r="G484" i="8"/>
  <c r="E483" i="8"/>
  <c r="M481" i="8"/>
  <c r="K480" i="8"/>
  <c r="I479" i="8"/>
  <c r="G478" i="8"/>
  <c r="E477" i="8"/>
  <c r="M475" i="8"/>
  <c r="K474" i="8"/>
  <c r="I473" i="8"/>
  <c r="G472" i="8"/>
  <c r="E471" i="8"/>
  <c r="M469" i="8"/>
  <c r="K468" i="8"/>
  <c r="I467" i="8"/>
  <c r="G466" i="8"/>
  <c r="E465" i="8"/>
  <c r="M463" i="8"/>
  <c r="K462" i="8"/>
  <c r="I461" i="8"/>
  <c r="G460" i="8"/>
  <c r="E459" i="8"/>
  <c r="M457" i="8"/>
  <c r="K456" i="8"/>
  <c r="I455" i="8"/>
  <c r="G454" i="8"/>
  <c r="E453" i="8"/>
  <c r="M451" i="8"/>
  <c r="K450" i="8"/>
  <c r="I449" i="8"/>
  <c r="G448" i="8"/>
  <c r="E447" i="8"/>
  <c r="M445" i="8"/>
  <c r="K444" i="8"/>
  <c r="I443" i="8"/>
  <c r="G442" i="8"/>
  <c r="E441" i="8"/>
  <c r="M439" i="8"/>
  <c r="K438" i="8"/>
  <c r="I437" i="8"/>
  <c r="G436" i="8"/>
  <c r="E435" i="8"/>
  <c r="M433" i="8"/>
  <c r="K432" i="8"/>
  <c r="I431" i="8"/>
  <c r="G430" i="8"/>
  <c r="E429" i="8"/>
  <c r="M427" i="8"/>
  <c r="K426" i="8"/>
  <c r="I425" i="8"/>
  <c r="G424" i="8"/>
  <c r="E423" i="8"/>
  <c r="M421" i="8"/>
  <c r="K420" i="8"/>
  <c r="I419" i="8"/>
  <c r="G418" i="8"/>
  <c r="E417" i="8"/>
  <c r="M415" i="8"/>
  <c r="K414" i="8"/>
  <c r="I413" i="8"/>
  <c r="G412" i="8"/>
  <c r="E411" i="8"/>
  <c r="M409" i="8"/>
  <c r="K408" i="8"/>
  <c r="I407" i="8"/>
  <c r="G406" i="8"/>
  <c r="E405" i="8"/>
  <c r="M403" i="8"/>
  <c r="K402" i="8"/>
  <c r="I401" i="8"/>
  <c r="G400" i="8"/>
  <c r="E399" i="8"/>
  <c r="M397" i="8"/>
  <c r="K396" i="8"/>
  <c r="I395" i="8"/>
  <c r="G394" i="8"/>
  <c r="E393" i="8"/>
  <c r="M391" i="8"/>
  <c r="K390" i="8"/>
  <c r="H491" i="8"/>
  <c r="F490" i="8"/>
  <c r="D489" i="8"/>
  <c r="L487" i="8"/>
  <c r="J486" i="8"/>
  <c r="H485" i="8"/>
  <c r="F484" i="8"/>
  <c r="D483" i="8"/>
  <c r="L481" i="8"/>
  <c r="J480" i="8"/>
  <c r="H479" i="8"/>
  <c r="F478" i="8"/>
  <c r="D477" i="8"/>
  <c r="L475" i="8"/>
  <c r="J474" i="8"/>
  <c r="H473" i="8"/>
  <c r="F472" i="8"/>
  <c r="D471" i="8"/>
  <c r="L469" i="8"/>
  <c r="J468" i="8"/>
  <c r="H467" i="8"/>
  <c r="F466" i="8"/>
  <c r="D465" i="8"/>
  <c r="L463" i="8"/>
  <c r="J462" i="8"/>
  <c r="H461" i="8"/>
  <c r="F460" i="8"/>
  <c r="D459" i="8"/>
  <c r="L457" i="8"/>
  <c r="J456" i="8"/>
  <c r="H455" i="8"/>
  <c r="F454" i="8"/>
  <c r="D453" i="8"/>
  <c r="L451" i="8"/>
  <c r="J450" i="8"/>
  <c r="H449" i="8"/>
  <c r="F448" i="8"/>
  <c r="D447" i="8"/>
  <c r="L445" i="8"/>
  <c r="J444" i="8"/>
  <c r="H443" i="8"/>
  <c r="F442" i="8"/>
  <c r="D441" i="8"/>
  <c r="L439" i="8"/>
  <c r="J438" i="8"/>
  <c r="H437" i="8"/>
  <c r="F436" i="8"/>
  <c r="D435" i="8"/>
  <c r="L433" i="8"/>
  <c r="J432" i="8"/>
  <c r="H431" i="8"/>
  <c r="F430" i="8"/>
  <c r="D429" i="8"/>
  <c r="L427" i="8"/>
  <c r="J426" i="8"/>
  <c r="H425" i="8"/>
  <c r="F424" i="8"/>
  <c r="D423" i="8"/>
  <c r="L421" i="8"/>
  <c r="J420" i="8"/>
  <c r="H419" i="8"/>
  <c r="G491" i="8"/>
  <c r="E490" i="8"/>
  <c r="M488" i="8"/>
  <c r="K487" i="8"/>
  <c r="I486" i="8"/>
  <c r="G485" i="8"/>
  <c r="E484" i="8"/>
  <c r="M482" i="8"/>
  <c r="K481" i="8"/>
  <c r="I480" i="8"/>
  <c r="G479" i="8"/>
  <c r="E478" i="8"/>
  <c r="M476" i="8"/>
  <c r="K475" i="8"/>
  <c r="I474" i="8"/>
  <c r="G473" i="8"/>
  <c r="E472" i="8"/>
  <c r="M470" i="8"/>
  <c r="K469" i="8"/>
  <c r="I468" i="8"/>
  <c r="G467" i="8"/>
  <c r="E466" i="8"/>
  <c r="M464" i="8"/>
  <c r="K463" i="8"/>
  <c r="I462" i="8"/>
  <c r="G461" i="8"/>
  <c r="E460" i="8"/>
  <c r="M458" i="8"/>
  <c r="K457" i="8"/>
  <c r="I456" i="8"/>
  <c r="G455" i="8"/>
  <c r="E454" i="8"/>
  <c r="M452" i="8"/>
  <c r="K451" i="8"/>
  <c r="I450" i="8"/>
  <c r="G449" i="8"/>
  <c r="E448" i="8"/>
  <c r="M446" i="8"/>
  <c r="K445" i="8"/>
  <c r="I444" i="8"/>
  <c r="G443" i="8"/>
  <c r="E442" i="8"/>
  <c r="M440" i="8"/>
  <c r="K439" i="8"/>
  <c r="I438" i="8"/>
  <c r="G437" i="8"/>
  <c r="E436" i="8"/>
  <c r="M434" i="8"/>
  <c r="K433" i="8"/>
  <c r="I432" i="8"/>
  <c r="G431" i="8"/>
  <c r="E430" i="8"/>
  <c r="M428" i="8"/>
  <c r="K427" i="8"/>
  <c r="I426" i="8"/>
  <c r="G425" i="8"/>
  <c r="E424" i="8"/>
  <c r="M422" i="8"/>
  <c r="K421" i="8"/>
  <c r="I420" i="8"/>
  <c r="G419" i="8"/>
  <c r="E418" i="8"/>
  <c r="M416" i="8"/>
  <c r="K415" i="8"/>
  <c r="F491" i="8"/>
  <c r="D490" i="8"/>
  <c r="L488" i="8"/>
  <c r="J487" i="8"/>
  <c r="H486" i="8"/>
  <c r="F485" i="8"/>
  <c r="D484" i="8"/>
  <c r="L482" i="8"/>
  <c r="J481" i="8"/>
  <c r="H480" i="8"/>
  <c r="F479" i="8"/>
  <c r="D478" i="8"/>
  <c r="L476" i="8"/>
  <c r="J475" i="8"/>
  <c r="H474" i="8"/>
  <c r="F473" i="8"/>
  <c r="D472" i="8"/>
  <c r="L470" i="8"/>
  <c r="J469" i="8"/>
  <c r="H468" i="8"/>
  <c r="F467" i="8"/>
  <c r="D466" i="8"/>
  <c r="L464" i="8"/>
  <c r="J463" i="8"/>
  <c r="H462" i="8"/>
  <c r="F461" i="8"/>
  <c r="D460" i="8"/>
  <c r="L458" i="8"/>
  <c r="J457" i="8"/>
  <c r="H456" i="8"/>
  <c r="F455" i="8"/>
  <c r="D454" i="8"/>
  <c r="L452" i="8"/>
  <c r="J451" i="8"/>
  <c r="H450" i="8"/>
  <c r="F449" i="8"/>
  <c r="D448" i="8"/>
  <c r="L446" i="8"/>
  <c r="J445" i="8"/>
  <c r="H444" i="8"/>
  <c r="F443" i="8"/>
  <c r="D442" i="8"/>
  <c r="L440" i="8"/>
  <c r="J439" i="8"/>
  <c r="H438" i="8"/>
  <c r="F437" i="8"/>
  <c r="D436" i="8"/>
  <c r="L434" i="8"/>
  <c r="J433" i="8"/>
  <c r="H432" i="8"/>
  <c r="F431" i="8"/>
  <c r="D430" i="8"/>
  <c r="L428" i="8"/>
  <c r="J427" i="8"/>
  <c r="H426" i="8"/>
  <c r="F425" i="8"/>
  <c r="E491" i="8"/>
  <c r="I487" i="8"/>
  <c r="M483" i="8"/>
  <c r="G480" i="8"/>
  <c r="K476" i="8"/>
  <c r="E473" i="8"/>
  <c r="I469" i="8"/>
  <c r="M465" i="8"/>
  <c r="G462" i="8"/>
  <c r="K458" i="8"/>
  <c r="E455" i="8"/>
  <c r="I451" i="8"/>
  <c r="M447" i="8"/>
  <c r="G444" i="8"/>
  <c r="K440" i="8"/>
  <c r="E437" i="8"/>
  <c r="I433" i="8"/>
  <c r="M429" i="8"/>
  <c r="G426" i="8"/>
  <c r="J423" i="8"/>
  <c r="G420" i="8"/>
  <c r="L417" i="8"/>
  <c r="H415" i="8"/>
  <c r="F413" i="8"/>
  <c r="D411" i="8"/>
  <c r="G409" i="8"/>
  <c r="E407" i="8"/>
  <c r="M404" i="8"/>
  <c r="F403" i="8"/>
  <c r="D401" i="8"/>
  <c r="L398" i="8"/>
  <c r="J396" i="8"/>
  <c r="M394" i="8"/>
  <c r="K392" i="8"/>
  <c r="I390" i="8"/>
  <c r="G389" i="8"/>
  <c r="E388" i="8"/>
  <c r="M386" i="8"/>
  <c r="K385" i="8"/>
  <c r="I384" i="8"/>
  <c r="G383" i="8"/>
  <c r="E382" i="8"/>
  <c r="M380" i="8"/>
  <c r="K379" i="8"/>
  <c r="I378" i="8"/>
  <c r="G377" i="8"/>
  <c r="E376" i="8"/>
  <c r="M374" i="8"/>
  <c r="K373" i="8"/>
  <c r="I372" i="8"/>
  <c r="G371" i="8"/>
  <c r="E370" i="8"/>
  <c r="M368" i="8"/>
  <c r="K367" i="8"/>
  <c r="I366" i="8"/>
  <c r="G365" i="8"/>
  <c r="E364" i="8"/>
  <c r="M362" i="8"/>
  <c r="K361" i="8"/>
  <c r="I360" i="8"/>
  <c r="G359" i="8"/>
  <c r="E358" i="8"/>
  <c r="M356" i="8"/>
  <c r="K355" i="8"/>
  <c r="I354" i="8"/>
  <c r="G353" i="8"/>
  <c r="E352" i="8"/>
  <c r="M350" i="8"/>
  <c r="K349" i="8"/>
  <c r="I348" i="8"/>
  <c r="G347" i="8"/>
  <c r="E346" i="8"/>
  <c r="M344" i="8"/>
  <c r="K343" i="8"/>
  <c r="I342" i="8"/>
  <c r="G341" i="8"/>
  <c r="E340" i="8"/>
  <c r="M338" i="8"/>
  <c r="K337" i="8"/>
  <c r="I336" i="8"/>
  <c r="G335" i="8"/>
  <c r="E334" i="8"/>
  <c r="M332" i="8"/>
  <c r="K331" i="8"/>
  <c r="I330" i="8"/>
  <c r="G329" i="8"/>
  <c r="E328" i="8"/>
  <c r="M326" i="8"/>
  <c r="K325" i="8"/>
  <c r="I324" i="8"/>
  <c r="G323" i="8"/>
  <c r="E322" i="8"/>
  <c r="M320" i="8"/>
  <c r="K319" i="8"/>
  <c r="I318" i="8"/>
  <c r="G317" i="8"/>
  <c r="E316" i="8"/>
  <c r="M314" i="8"/>
  <c r="K313" i="8"/>
  <c r="I312" i="8"/>
  <c r="G311" i="8"/>
  <c r="E310" i="8"/>
  <c r="M308" i="8"/>
  <c r="K307" i="8"/>
  <c r="I306" i="8"/>
  <c r="G305" i="8"/>
  <c r="E304" i="8"/>
  <c r="M302" i="8"/>
  <c r="K301" i="8"/>
  <c r="I300" i="8"/>
  <c r="G299" i="8"/>
  <c r="E298" i="8"/>
  <c r="M296" i="8"/>
  <c r="K295" i="8"/>
  <c r="I294" i="8"/>
  <c r="G293" i="8"/>
  <c r="E292" i="8"/>
  <c r="M290" i="8"/>
  <c r="K289" i="8"/>
  <c r="I288" i="8"/>
  <c r="G287" i="8"/>
  <c r="E286" i="8"/>
  <c r="M284" i="8"/>
  <c r="K283" i="8"/>
  <c r="I282" i="8"/>
  <c r="G281" i="8"/>
  <c r="E280" i="8"/>
  <c r="M278" i="8"/>
  <c r="K277" i="8"/>
  <c r="I276" i="8"/>
  <c r="G275" i="8"/>
  <c r="E274" i="8"/>
  <c r="M272" i="8"/>
  <c r="K271" i="8"/>
  <c r="I270" i="8"/>
  <c r="G269" i="8"/>
  <c r="E268" i="8"/>
  <c r="M266" i="8"/>
  <c r="K265" i="8"/>
  <c r="I264" i="8"/>
  <c r="G263" i="8"/>
  <c r="E262" i="8"/>
  <c r="M260" i="8"/>
  <c r="K259" i="8"/>
  <c r="I258" i="8"/>
  <c r="G257" i="8"/>
  <c r="E256" i="8"/>
  <c r="M254" i="8"/>
  <c r="K253" i="8"/>
  <c r="I252" i="8"/>
  <c r="G251" i="8"/>
  <c r="E250" i="8"/>
  <c r="M248" i="8"/>
  <c r="K247" i="8"/>
  <c r="I246" i="8"/>
  <c r="G245" i="8"/>
  <c r="E244" i="8"/>
  <c r="M242" i="8"/>
  <c r="K241" i="8"/>
  <c r="I240" i="8"/>
  <c r="G239" i="8"/>
  <c r="E238" i="8"/>
  <c r="M236" i="8"/>
  <c r="K235" i="8"/>
  <c r="I234" i="8"/>
  <c r="G233" i="8"/>
  <c r="E232" i="8"/>
  <c r="M230" i="8"/>
  <c r="K229" i="8"/>
  <c r="I228" i="8"/>
  <c r="D491" i="8"/>
  <c r="H487" i="8"/>
  <c r="L483" i="8"/>
  <c r="F480" i="8"/>
  <c r="J476" i="8"/>
  <c r="D473" i="8"/>
  <c r="H469" i="8"/>
  <c r="L465" i="8"/>
  <c r="F462" i="8"/>
  <c r="J458" i="8"/>
  <c r="D455" i="8"/>
  <c r="H451" i="8"/>
  <c r="L447" i="8"/>
  <c r="F444" i="8"/>
  <c r="J440" i="8"/>
  <c r="D437" i="8"/>
  <c r="H433" i="8"/>
  <c r="L429" i="8"/>
  <c r="F426" i="8"/>
  <c r="L422" i="8"/>
  <c r="F420" i="8"/>
  <c r="K417" i="8"/>
  <c r="G415" i="8"/>
  <c r="E413" i="8"/>
  <c r="M410" i="8"/>
  <c r="F409" i="8"/>
  <c r="D407" i="8"/>
  <c r="L404" i="8"/>
  <c r="J402" i="8"/>
  <c r="M400" i="8"/>
  <c r="K398" i="8"/>
  <c r="I396" i="8"/>
  <c r="L394" i="8"/>
  <c r="J392" i="8"/>
  <c r="H390" i="8"/>
  <c r="F389" i="8"/>
  <c r="D388" i="8"/>
  <c r="L386" i="8"/>
  <c r="J385" i="8"/>
  <c r="H384" i="8"/>
  <c r="F383" i="8"/>
  <c r="D382" i="8"/>
  <c r="L380" i="8"/>
  <c r="J379" i="8"/>
  <c r="H378" i="8"/>
  <c r="F377" i="8"/>
  <c r="D376" i="8"/>
  <c r="L374" i="8"/>
  <c r="J373" i="8"/>
  <c r="H372" i="8"/>
  <c r="F371" i="8"/>
  <c r="D370" i="8"/>
  <c r="L368" i="8"/>
  <c r="J367" i="8"/>
  <c r="H366" i="8"/>
  <c r="F365" i="8"/>
  <c r="D364" i="8"/>
  <c r="L362" i="8"/>
  <c r="J361" i="8"/>
  <c r="H360" i="8"/>
  <c r="F359" i="8"/>
  <c r="D358" i="8"/>
  <c r="L356" i="8"/>
  <c r="J355" i="8"/>
  <c r="H354" i="8"/>
  <c r="F353" i="8"/>
  <c r="D352" i="8"/>
  <c r="L350" i="8"/>
  <c r="J349" i="8"/>
  <c r="H348" i="8"/>
  <c r="F347" i="8"/>
  <c r="D346" i="8"/>
  <c r="L344" i="8"/>
  <c r="J343" i="8"/>
  <c r="H342" i="8"/>
  <c r="F341" i="8"/>
  <c r="D340" i="8"/>
  <c r="L338" i="8"/>
  <c r="J337" i="8"/>
  <c r="H336" i="8"/>
  <c r="F335" i="8"/>
  <c r="D334" i="8"/>
  <c r="L332" i="8"/>
  <c r="J331" i="8"/>
  <c r="H330" i="8"/>
  <c r="F329" i="8"/>
  <c r="D328" i="8"/>
  <c r="L326" i="8"/>
  <c r="J325" i="8"/>
  <c r="H324" i="8"/>
  <c r="F323" i="8"/>
  <c r="D322" i="8"/>
  <c r="L320" i="8"/>
  <c r="J319" i="8"/>
  <c r="H318" i="8"/>
  <c r="F317" i="8"/>
  <c r="D316" i="8"/>
  <c r="L314" i="8"/>
  <c r="J313" i="8"/>
  <c r="H312" i="8"/>
  <c r="F311" i="8"/>
  <c r="D310" i="8"/>
  <c r="L308" i="8"/>
  <c r="J307" i="8"/>
  <c r="H306" i="8"/>
  <c r="F305" i="8"/>
  <c r="D304" i="8"/>
  <c r="L302" i="8"/>
  <c r="J301" i="8"/>
  <c r="H300" i="8"/>
  <c r="F299" i="8"/>
  <c r="D298" i="8"/>
  <c r="L296" i="8"/>
  <c r="J295" i="8"/>
  <c r="H294" i="8"/>
  <c r="F293" i="8"/>
  <c r="D292" i="8"/>
  <c r="L290" i="8"/>
  <c r="J289" i="8"/>
  <c r="H288" i="8"/>
  <c r="F287" i="8"/>
  <c r="D286" i="8"/>
  <c r="L284" i="8"/>
  <c r="J283" i="8"/>
  <c r="H282" i="8"/>
  <c r="F281" i="8"/>
  <c r="D280" i="8"/>
  <c r="L278" i="8"/>
  <c r="J277" i="8"/>
  <c r="H276" i="8"/>
  <c r="F275" i="8"/>
  <c r="D274" i="8"/>
  <c r="L272" i="8"/>
  <c r="J271" i="8"/>
  <c r="H270" i="8"/>
  <c r="F269" i="8"/>
  <c r="D268" i="8"/>
  <c r="L266" i="8"/>
  <c r="J265" i="8"/>
  <c r="H264" i="8"/>
  <c r="F263" i="8"/>
  <c r="D262" i="8"/>
  <c r="L260" i="8"/>
  <c r="J259" i="8"/>
  <c r="H258" i="8"/>
  <c r="F257" i="8"/>
  <c r="D256" i="8"/>
  <c r="L254" i="8"/>
  <c r="J253" i="8"/>
  <c r="H252" i="8"/>
  <c r="F251" i="8"/>
  <c r="D250" i="8"/>
  <c r="L248" i="8"/>
  <c r="J247" i="8"/>
  <c r="H246" i="8"/>
  <c r="F245" i="8"/>
  <c r="D244" i="8"/>
  <c r="L242" i="8"/>
  <c r="J241" i="8"/>
  <c r="H240" i="8"/>
  <c r="F239" i="8"/>
  <c r="D238" i="8"/>
  <c r="L236" i="8"/>
  <c r="J235" i="8"/>
  <c r="H234" i="8"/>
  <c r="F233" i="8"/>
  <c r="D232" i="8"/>
  <c r="L230" i="8"/>
  <c r="J229" i="8"/>
  <c r="H228" i="8"/>
  <c r="M490" i="8"/>
  <c r="G487" i="8"/>
  <c r="K483" i="8"/>
  <c r="E480" i="8"/>
  <c r="I476" i="8"/>
  <c r="M472" i="8"/>
  <c r="G469" i="8"/>
  <c r="K465" i="8"/>
  <c r="E462" i="8"/>
  <c r="I458" i="8"/>
  <c r="M454" i="8"/>
  <c r="G451" i="8"/>
  <c r="K447" i="8"/>
  <c r="E444" i="8"/>
  <c r="I440" i="8"/>
  <c r="M436" i="8"/>
  <c r="G433" i="8"/>
  <c r="K429" i="8"/>
  <c r="E426" i="8"/>
  <c r="K422" i="8"/>
  <c r="E420" i="8"/>
  <c r="J417" i="8"/>
  <c r="F415" i="8"/>
  <c r="D413" i="8"/>
  <c r="L410" i="8"/>
  <c r="J408" i="8"/>
  <c r="M406" i="8"/>
  <c r="K404" i="8"/>
  <c r="I402" i="8"/>
  <c r="L400" i="8"/>
  <c r="J398" i="8"/>
  <c r="H396" i="8"/>
  <c r="F394" i="8"/>
  <c r="I392" i="8"/>
  <c r="G390" i="8"/>
  <c r="E389" i="8"/>
  <c r="M387" i="8"/>
  <c r="K386" i="8"/>
  <c r="I385" i="8"/>
  <c r="G384" i="8"/>
  <c r="E383" i="8"/>
  <c r="M381" i="8"/>
  <c r="K380" i="8"/>
  <c r="I379" i="8"/>
  <c r="G378" i="8"/>
  <c r="E377" i="8"/>
  <c r="M375" i="8"/>
  <c r="K374" i="8"/>
  <c r="I373" i="8"/>
  <c r="G372" i="8"/>
  <c r="E371" i="8"/>
  <c r="M369" i="8"/>
  <c r="K368" i="8"/>
  <c r="I367" i="8"/>
  <c r="G366" i="8"/>
  <c r="E365" i="8"/>
  <c r="M363" i="8"/>
  <c r="K362" i="8"/>
  <c r="I361" i="8"/>
  <c r="G360" i="8"/>
  <c r="E359" i="8"/>
  <c r="M357" i="8"/>
  <c r="K356" i="8"/>
  <c r="I355" i="8"/>
  <c r="G354" i="8"/>
  <c r="E353" i="8"/>
  <c r="M351" i="8"/>
  <c r="K350" i="8"/>
  <c r="I349" i="8"/>
  <c r="G348" i="8"/>
  <c r="E347" i="8"/>
  <c r="M345" i="8"/>
  <c r="K344" i="8"/>
  <c r="I343" i="8"/>
  <c r="G342" i="8"/>
  <c r="E341" i="8"/>
  <c r="M339" i="8"/>
  <c r="K338" i="8"/>
  <c r="I337" i="8"/>
  <c r="G336" i="8"/>
  <c r="E335" i="8"/>
  <c r="M333" i="8"/>
  <c r="K332" i="8"/>
  <c r="I331" i="8"/>
  <c r="G330" i="8"/>
  <c r="E329" i="8"/>
  <c r="M327" i="8"/>
  <c r="K326" i="8"/>
  <c r="I325" i="8"/>
  <c r="G324" i="8"/>
  <c r="E323" i="8"/>
  <c r="M321" i="8"/>
  <c r="K320" i="8"/>
  <c r="I319" i="8"/>
  <c r="G318" i="8"/>
  <c r="E317" i="8"/>
  <c r="M315" i="8"/>
  <c r="K314" i="8"/>
  <c r="I313" i="8"/>
  <c r="G312" i="8"/>
  <c r="E311" i="8"/>
  <c r="M309" i="8"/>
  <c r="K308" i="8"/>
  <c r="I307" i="8"/>
  <c r="G306" i="8"/>
  <c r="E305" i="8"/>
  <c r="M303" i="8"/>
  <c r="K302" i="8"/>
  <c r="I301" i="8"/>
  <c r="G300" i="8"/>
  <c r="E299" i="8"/>
  <c r="M297" i="8"/>
  <c r="K296" i="8"/>
  <c r="I295" i="8"/>
  <c r="G294" i="8"/>
  <c r="E293" i="8"/>
  <c r="M291" i="8"/>
  <c r="K290" i="8"/>
  <c r="I289" i="8"/>
  <c r="G288" i="8"/>
  <c r="E287" i="8"/>
  <c r="M285" i="8"/>
  <c r="K284" i="8"/>
  <c r="I283" i="8"/>
  <c r="G282" i="8"/>
  <c r="E281" i="8"/>
  <c r="M279" i="8"/>
  <c r="K278" i="8"/>
  <c r="I277" i="8"/>
  <c r="G276" i="8"/>
  <c r="E275" i="8"/>
  <c r="M273" i="8"/>
  <c r="K272" i="8"/>
  <c r="I271" i="8"/>
  <c r="G270" i="8"/>
  <c r="E269" i="8"/>
  <c r="M267" i="8"/>
  <c r="K266" i="8"/>
  <c r="I265" i="8"/>
  <c r="G264" i="8"/>
  <c r="E263" i="8"/>
  <c r="M261" i="8"/>
  <c r="K260" i="8"/>
  <c r="I259" i="8"/>
  <c r="G258" i="8"/>
  <c r="E257" i="8"/>
  <c r="M255" i="8"/>
  <c r="K254" i="8"/>
  <c r="I253" i="8"/>
  <c r="G252" i="8"/>
  <c r="E251" i="8"/>
  <c r="M249" i="8"/>
  <c r="K248" i="8"/>
  <c r="I247" i="8"/>
  <c r="G246" i="8"/>
  <c r="E245" i="8"/>
  <c r="M243" i="8"/>
  <c r="K242" i="8"/>
  <c r="I241" i="8"/>
  <c r="G240" i="8"/>
  <c r="E239" i="8"/>
  <c r="M237" i="8"/>
  <c r="K236" i="8"/>
  <c r="I235" i="8"/>
  <c r="G234" i="8"/>
  <c r="E233" i="8"/>
  <c r="M231" i="8"/>
  <c r="K230" i="8"/>
  <c r="I229" i="8"/>
  <c r="L490" i="8"/>
  <c r="F487" i="8"/>
  <c r="J483" i="8"/>
  <c r="D480" i="8"/>
  <c r="H476" i="8"/>
  <c r="L472" i="8"/>
  <c r="F469" i="8"/>
  <c r="J465" i="8"/>
  <c r="D462" i="8"/>
  <c r="H458" i="8"/>
  <c r="L454" i="8"/>
  <c r="F451" i="8"/>
  <c r="J447" i="8"/>
  <c r="D444" i="8"/>
  <c r="H440" i="8"/>
  <c r="L436" i="8"/>
  <c r="F433" i="8"/>
  <c r="J429" i="8"/>
  <c r="D426" i="8"/>
  <c r="J422" i="8"/>
  <c r="D420" i="8"/>
  <c r="D417" i="8"/>
  <c r="J414" i="8"/>
  <c r="M412" i="8"/>
  <c r="K410" i="8"/>
  <c r="I408" i="8"/>
  <c r="L406" i="8"/>
  <c r="J404" i="8"/>
  <c r="H402" i="8"/>
  <c r="F400" i="8"/>
  <c r="I398" i="8"/>
  <c r="G396" i="8"/>
  <c r="E394" i="8"/>
  <c r="H392" i="8"/>
  <c r="F390" i="8"/>
  <c r="D389" i="8"/>
  <c r="L387" i="8"/>
  <c r="J386" i="8"/>
  <c r="H385" i="8"/>
  <c r="F384" i="8"/>
  <c r="D383" i="8"/>
  <c r="L381" i="8"/>
  <c r="J380" i="8"/>
  <c r="H379" i="8"/>
  <c r="F378" i="8"/>
  <c r="D377" i="8"/>
  <c r="L375" i="8"/>
  <c r="J374" i="8"/>
  <c r="H373" i="8"/>
  <c r="F372" i="8"/>
  <c r="D371" i="8"/>
  <c r="L369" i="8"/>
  <c r="J368" i="8"/>
  <c r="H367" i="8"/>
  <c r="F366" i="8"/>
  <c r="D365" i="8"/>
  <c r="L363" i="8"/>
  <c r="J362" i="8"/>
  <c r="H361" i="8"/>
  <c r="F360" i="8"/>
  <c r="D359" i="8"/>
  <c r="L357" i="8"/>
  <c r="J356" i="8"/>
  <c r="H355" i="8"/>
  <c r="F354" i="8"/>
  <c r="D353" i="8"/>
  <c r="L351" i="8"/>
  <c r="J350" i="8"/>
  <c r="H349" i="8"/>
  <c r="F348" i="8"/>
  <c r="D347" i="8"/>
  <c r="L345" i="8"/>
  <c r="J344" i="8"/>
  <c r="H343" i="8"/>
  <c r="F342" i="8"/>
  <c r="D341" i="8"/>
  <c r="L339" i="8"/>
  <c r="J338" i="8"/>
  <c r="H337" i="8"/>
  <c r="F336" i="8"/>
  <c r="D335" i="8"/>
  <c r="L333" i="8"/>
  <c r="J332" i="8"/>
  <c r="H331" i="8"/>
  <c r="F330" i="8"/>
  <c r="D329" i="8"/>
  <c r="L327" i="8"/>
  <c r="J326" i="8"/>
  <c r="H325" i="8"/>
  <c r="F324" i="8"/>
  <c r="D323" i="8"/>
  <c r="L321" i="8"/>
  <c r="J320" i="8"/>
  <c r="H319" i="8"/>
  <c r="F318" i="8"/>
  <c r="D317" i="8"/>
  <c r="L315" i="8"/>
  <c r="J314" i="8"/>
  <c r="H313" i="8"/>
  <c r="F312" i="8"/>
  <c r="D311" i="8"/>
  <c r="L309" i="8"/>
  <c r="J308" i="8"/>
  <c r="H307" i="8"/>
  <c r="F306" i="8"/>
  <c r="D305" i="8"/>
  <c r="L303" i="8"/>
  <c r="J302" i="8"/>
  <c r="H301" i="8"/>
  <c r="F300" i="8"/>
  <c r="D299" i="8"/>
  <c r="L297" i="8"/>
  <c r="J296" i="8"/>
  <c r="H295" i="8"/>
  <c r="F294" i="8"/>
  <c r="D293" i="8"/>
  <c r="L291" i="8"/>
  <c r="J290" i="8"/>
  <c r="H289" i="8"/>
  <c r="F288" i="8"/>
  <c r="D287" i="8"/>
  <c r="L285" i="8"/>
  <c r="J284" i="8"/>
  <c r="H283" i="8"/>
  <c r="F282" i="8"/>
  <c r="D281" i="8"/>
  <c r="L279" i="8"/>
  <c r="J278" i="8"/>
  <c r="H277" i="8"/>
  <c r="F276" i="8"/>
  <c r="D275" i="8"/>
  <c r="L273" i="8"/>
  <c r="J272" i="8"/>
  <c r="H271" i="8"/>
  <c r="F270" i="8"/>
  <c r="D269" i="8"/>
  <c r="L267" i="8"/>
  <c r="J266" i="8"/>
  <c r="H265" i="8"/>
  <c r="F264" i="8"/>
  <c r="D263" i="8"/>
  <c r="L261" i="8"/>
  <c r="J260" i="8"/>
  <c r="H259" i="8"/>
  <c r="F258" i="8"/>
  <c r="D257" i="8"/>
  <c r="L255" i="8"/>
  <c r="J254" i="8"/>
  <c r="H253" i="8"/>
  <c r="F252" i="8"/>
  <c r="D251" i="8"/>
  <c r="L249" i="8"/>
  <c r="J248" i="8"/>
  <c r="H247" i="8"/>
  <c r="F246" i="8"/>
  <c r="D245" i="8"/>
  <c r="L243" i="8"/>
  <c r="J242" i="8"/>
  <c r="H241" i="8"/>
  <c r="F240" i="8"/>
  <c r="D239" i="8"/>
  <c r="L237" i="8"/>
  <c r="J236" i="8"/>
  <c r="H235" i="8"/>
  <c r="F234" i="8"/>
  <c r="D233" i="8"/>
  <c r="L231" i="8"/>
  <c r="J230" i="8"/>
  <c r="H229" i="8"/>
  <c r="M489" i="8"/>
  <c r="G486" i="8"/>
  <c r="K482" i="8"/>
  <c r="E479" i="8"/>
  <c r="I475" i="8"/>
  <c r="M471" i="8"/>
  <c r="G468" i="8"/>
  <c r="K464" i="8"/>
  <c r="E461" i="8"/>
  <c r="I457" i="8"/>
  <c r="M453" i="8"/>
  <c r="G450" i="8"/>
  <c r="K446" i="8"/>
  <c r="E443" i="8"/>
  <c r="I439" i="8"/>
  <c r="M435" i="8"/>
  <c r="G432" i="8"/>
  <c r="K428" i="8"/>
  <c r="E425" i="8"/>
  <c r="I422" i="8"/>
  <c r="F419" i="8"/>
  <c r="L416" i="8"/>
  <c r="I414" i="8"/>
  <c r="L412" i="8"/>
  <c r="J410" i="8"/>
  <c r="H408" i="8"/>
  <c r="F406" i="8"/>
  <c r="I404" i="8"/>
  <c r="G402" i="8"/>
  <c r="E400" i="8"/>
  <c r="H398" i="8"/>
  <c r="F396" i="8"/>
  <c r="D394" i="8"/>
  <c r="L391" i="8"/>
  <c r="E390" i="8"/>
  <c r="M388" i="8"/>
  <c r="K387" i="8"/>
  <c r="I386" i="8"/>
  <c r="G385" i="8"/>
  <c r="E384" i="8"/>
  <c r="M382" i="8"/>
  <c r="K381" i="8"/>
  <c r="I380" i="8"/>
  <c r="G379" i="8"/>
  <c r="E378" i="8"/>
  <c r="M376" i="8"/>
  <c r="K375" i="8"/>
  <c r="I374" i="8"/>
  <c r="G373" i="8"/>
  <c r="E372" i="8"/>
  <c r="M370" i="8"/>
  <c r="K369" i="8"/>
  <c r="I368" i="8"/>
  <c r="G367" i="8"/>
  <c r="E366" i="8"/>
  <c r="M364" i="8"/>
  <c r="K363" i="8"/>
  <c r="I362" i="8"/>
  <c r="G361" i="8"/>
  <c r="E360" i="8"/>
  <c r="M358" i="8"/>
  <c r="K357" i="8"/>
  <c r="I356" i="8"/>
  <c r="G355" i="8"/>
  <c r="E354" i="8"/>
  <c r="M352" i="8"/>
  <c r="K351" i="8"/>
  <c r="I350" i="8"/>
  <c r="G349" i="8"/>
  <c r="E348" i="8"/>
  <c r="M346" i="8"/>
  <c r="K345" i="8"/>
  <c r="I344" i="8"/>
  <c r="G343" i="8"/>
  <c r="E342" i="8"/>
  <c r="M340" i="8"/>
  <c r="K339" i="8"/>
  <c r="I338" i="8"/>
  <c r="G337" i="8"/>
  <c r="E336" i="8"/>
  <c r="M334" i="8"/>
  <c r="K333" i="8"/>
  <c r="I332" i="8"/>
  <c r="G331" i="8"/>
  <c r="E330" i="8"/>
  <c r="M328" i="8"/>
  <c r="K327" i="8"/>
  <c r="I326" i="8"/>
  <c r="G325" i="8"/>
  <c r="E324" i="8"/>
  <c r="M322" i="8"/>
  <c r="K321" i="8"/>
  <c r="I320" i="8"/>
  <c r="G319" i="8"/>
  <c r="E318" i="8"/>
  <c r="M316" i="8"/>
  <c r="K315" i="8"/>
  <c r="I314" i="8"/>
  <c r="G313" i="8"/>
  <c r="E312" i="8"/>
  <c r="M310" i="8"/>
  <c r="K309" i="8"/>
  <c r="I308" i="8"/>
  <c r="G307" i="8"/>
  <c r="E306" i="8"/>
  <c r="M304" i="8"/>
  <c r="K303" i="8"/>
  <c r="I302" i="8"/>
  <c r="G301" i="8"/>
  <c r="E300" i="8"/>
  <c r="M298" i="8"/>
  <c r="K297" i="8"/>
  <c r="I296" i="8"/>
  <c r="G295" i="8"/>
  <c r="E294" i="8"/>
  <c r="M292" i="8"/>
  <c r="K291" i="8"/>
  <c r="I290" i="8"/>
  <c r="G289" i="8"/>
  <c r="E288" i="8"/>
  <c r="M286" i="8"/>
  <c r="K285" i="8"/>
  <c r="I284" i="8"/>
  <c r="G283" i="8"/>
  <c r="E282" i="8"/>
  <c r="M280" i="8"/>
  <c r="K279" i="8"/>
  <c r="I278" i="8"/>
  <c r="G277" i="8"/>
  <c r="E276" i="8"/>
  <c r="M274" i="8"/>
  <c r="K273" i="8"/>
  <c r="I272" i="8"/>
  <c r="G271" i="8"/>
  <c r="E270" i="8"/>
  <c r="M268" i="8"/>
  <c r="K267" i="8"/>
  <c r="I266" i="8"/>
  <c r="G265" i="8"/>
  <c r="E264" i="8"/>
  <c r="M262" i="8"/>
  <c r="K261" i="8"/>
  <c r="I260" i="8"/>
  <c r="G259" i="8"/>
  <c r="E258" i="8"/>
  <c r="M256" i="8"/>
  <c r="K255" i="8"/>
  <c r="I254" i="8"/>
  <c r="G253" i="8"/>
  <c r="E252" i="8"/>
  <c r="M250" i="8"/>
  <c r="K249" i="8"/>
  <c r="I248" i="8"/>
  <c r="G247" i="8"/>
  <c r="E246" i="8"/>
  <c r="M244" i="8"/>
  <c r="K243" i="8"/>
  <c r="I242" i="8"/>
  <c r="G241" i="8"/>
  <c r="E240" i="8"/>
  <c r="M238" i="8"/>
  <c r="K237" i="8"/>
  <c r="I236" i="8"/>
  <c r="G235" i="8"/>
  <c r="E234" i="8"/>
  <c r="M232" i="8"/>
  <c r="K231" i="8"/>
  <c r="I230" i="8"/>
  <c r="G229" i="8"/>
  <c r="K489" i="8"/>
  <c r="E486" i="8"/>
  <c r="I482" i="8"/>
  <c r="M478" i="8"/>
  <c r="G475" i="8"/>
  <c r="K471" i="8"/>
  <c r="E468" i="8"/>
  <c r="I464" i="8"/>
  <c r="M460" i="8"/>
  <c r="G457" i="8"/>
  <c r="K453" i="8"/>
  <c r="E450" i="8"/>
  <c r="I446" i="8"/>
  <c r="M442" i="8"/>
  <c r="G439" i="8"/>
  <c r="K435" i="8"/>
  <c r="E432" i="8"/>
  <c r="I428" i="8"/>
  <c r="M424" i="8"/>
  <c r="J421" i="8"/>
  <c r="D419" i="8"/>
  <c r="J416" i="8"/>
  <c r="G414" i="8"/>
  <c r="E412" i="8"/>
  <c r="H410" i="8"/>
  <c r="F408" i="8"/>
  <c r="D406" i="8"/>
  <c r="L403" i="8"/>
  <c r="E402" i="8"/>
  <c r="M399" i="8"/>
  <c r="K397" i="8"/>
  <c r="D396" i="8"/>
  <c r="L393" i="8"/>
  <c r="J391" i="8"/>
  <c r="M389" i="8"/>
  <c r="K388" i="8"/>
  <c r="I387" i="8"/>
  <c r="G386" i="8"/>
  <c r="E385" i="8"/>
  <c r="M383" i="8"/>
  <c r="K382" i="8"/>
  <c r="I381" i="8"/>
  <c r="G380" i="8"/>
  <c r="E379" i="8"/>
  <c r="M377" i="8"/>
  <c r="K376" i="8"/>
  <c r="I375" i="8"/>
  <c r="G374" i="8"/>
  <c r="E373" i="8"/>
  <c r="M371" i="8"/>
  <c r="K370" i="8"/>
  <c r="I369" i="8"/>
  <c r="G368" i="8"/>
  <c r="E367" i="8"/>
  <c r="M365" i="8"/>
  <c r="K364" i="8"/>
  <c r="I363" i="8"/>
  <c r="G362" i="8"/>
  <c r="E361" i="8"/>
  <c r="M359" i="8"/>
  <c r="K358" i="8"/>
  <c r="I357" i="8"/>
  <c r="G356" i="8"/>
  <c r="E355" i="8"/>
  <c r="M353" i="8"/>
  <c r="K352" i="8"/>
  <c r="I351" i="8"/>
  <c r="G350" i="8"/>
  <c r="E349" i="8"/>
  <c r="M347" i="8"/>
  <c r="K346" i="8"/>
  <c r="I345" i="8"/>
  <c r="G344" i="8"/>
  <c r="E343" i="8"/>
  <c r="M341" i="8"/>
  <c r="K340" i="8"/>
  <c r="I339" i="8"/>
  <c r="G338" i="8"/>
  <c r="E337" i="8"/>
  <c r="M335" i="8"/>
  <c r="K334" i="8"/>
  <c r="I333" i="8"/>
  <c r="G332" i="8"/>
  <c r="E331" i="8"/>
  <c r="M329" i="8"/>
  <c r="J489" i="8"/>
  <c r="D486" i="8"/>
  <c r="H482" i="8"/>
  <c r="L478" i="8"/>
  <c r="F475" i="8"/>
  <c r="J471" i="8"/>
  <c r="D468" i="8"/>
  <c r="H464" i="8"/>
  <c r="L460" i="8"/>
  <c r="F457" i="8"/>
  <c r="J453" i="8"/>
  <c r="D450" i="8"/>
  <c r="H446" i="8"/>
  <c r="L442" i="8"/>
  <c r="F439" i="8"/>
  <c r="J435" i="8"/>
  <c r="D432" i="8"/>
  <c r="H428" i="8"/>
  <c r="L424" i="8"/>
  <c r="I421" i="8"/>
  <c r="M418" i="8"/>
  <c r="I416" i="8"/>
  <c r="F414" i="8"/>
  <c r="D412" i="8"/>
  <c r="L409" i="8"/>
  <c r="E408" i="8"/>
  <c r="M405" i="8"/>
  <c r="K403" i="8"/>
  <c r="D402" i="8"/>
  <c r="L399" i="8"/>
  <c r="J397" i="8"/>
  <c r="H395" i="8"/>
  <c r="K393" i="8"/>
  <c r="I391" i="8"/>
  <c r="L389" i="8"/>
  <c r="J388" i="8"/>
  <c r="H387" i="8"/>
  <c r="F386" i="8"/>
  <c r="D385" i="8"/>
  <c r="L383" i="8"/>
  <c r="J382" i="8"/>
  <c r="H381" i="8"/>
  <c r="F380" i="8"/>
  <c r="D379" i="8"/>
  <c r="L377" i="8"/>
  <c r="J376" i="8"/>
  <c r="H375" i="8"/>
  <c r="F374" i="8"/>
  <c r="D373" i="8"/>
  <c r="L371" i="8"/>
  <c r="J370" i="8"/>
  <c r="H369" i="8"/>
  <c r="F368" i="8"/>
  <c r="D367" i="8"/>
  <c r="L365" i="8"/>
  <c r="J364" i="8"/>
  <c r="H363" i="8"/>
  <c r="F362" i="8"/>
  <c r="D361" i="8"/>
  <c r="L359" i="8"/>
  <c r="J358" i="8"/>
  <c r="H357" i="8"/>
  <c r="F356" i="8"/>
  <c r="D355" i="8"/>
  <c r="L353" i="8"/>
  <c r="J352" i="8"/>
  <c r="H351" i="8"/>
  <c r="F350" i="8"/>
  <c r="D349" i="8"/>
  <c r="L347" i="8"/>
  <c r="J346" i="8"/>
  <c r="H345" i="8"/>
  <c r="F344" i="8"/>
  <c r="D343" i="8"/>
  <c r="L341" i="8"/>
  <c r="J340" i="8"/>
  <c r="H339" i="8"/>
  <c r="F338" i="8"/>
  <c r="D337" i="8"/>
  <c r="L335" i="8"/>
  <c r="J334" i="8"/>
  <c r="L489" i="8"/>
  <c r="H481" i="8"/>
  <c r="D474" i="8"/>
  <c r="I463" i="8"/>
  <c r="E456" i="8"/>
  <c r="J446" i="8"/>
  <c r="F438" i="8"/>
  <c r="L430" i="8"/>
  <c r="H421" i="8"/>
  <c r="J415" i="8"/>
  <c r="I410" i="8"/>
  <c r="K405" i="8"/>
  <c r="E401" i="8"/>
  <c r="G395" i="8"/>
  <c r="F391" i="8"/>
  <c r="J387" i="8"/>
  <c r="L384" i="8"/>
  <c r="F382" i="8"/>
  <c r="M378" i="8"/>
  <c r="G376" i="8"/>
  <c r="F373" i="8"/>
  <c r="H370" i="8"/>
  <c r="L367" i="8"/>
  <c r="I364" i="8"/>
  <c r="M361" i="8"/>
  <c r="L358" i="8"/>
  <c r="D356" i="8"/>
  <c r="H353" i="8"/>
  <c r="E350" i="8"/>
  <c r="I347" i="8"/>
  <c r="H344" i="8"/>
  <c r="J341" i="8"/>
  <c r="D339" i="8"/>
  <c r="K335" i="8"/>
  <c r="F333" i="8"/>
  <c r="L330" i="8"/>
  <c r="I328" i="8"/>
  <c r="G326" i="8"/>
  <c r="J324" i="8"/>
  <c r="H322" i="8"/>
  <c r="F320" i="8"/>
  <c r="D318" i="8"/>
  <c r="G316" i="8"/>
  <c r="E314" i="8"/>
  <c r="M311" i="8"/>
  <c r="F310" i="8"/>
  <c r="D308" i="8"/>
  <c r="L305" i="8"/>
  <c r="J303" i="8"/>
  <c r="M301" i="8"/>
  <c r="K299" i="8"/>
  <c r="I297" i="8"/>
  <c r="L295" i="8"/>
  <c r="J293" i="8"/>
  <c r="H291" i="8"/>
  <c r="F289" i="8"/>
  <c r="I287" i="8"/>
  <c r="G285" i="8"/>
  <c r="E283" i="8"/>
  <c r="H281" i="8"/>
  <c r="F279" i="8"/>
  <c r="D277" i="8"/>
  <c r="L274" i="8"/>
  <c r="E273" i="8"/>
  <c r="M270" i="8"/>
  <c r="K268" i="8"/>
  <c r="D267" i="8"/>
  <c r="L264" i="8"/>
  <c r="J262" i="8"/>
  <c r="H260" i="8"/>
  <c r="K258" i="8"/>
  <c r="I256" i="8"/>
  <c r="G254" i="8"/>
  <c r="J252" i="8"/>
  <c r="H250" i="8"/>
  <c r="F248" i="8"/>
  <c r="D246" i="8"/>
  <c r="G244" i="8"/>
  <c r="E242" i="8"/>
  <c r="M239" i="8"/>
  <c r="F238" i="8"/>
  <c r="D236" i="8"/>
  <c r="L233" i="8"/>
  <c r="J231" i="8"/>
  <c r="M229" i="8"/>
  <c r="D228" i="8"/>
  <c r="L226" i="8"/>
  <c r="J225" i="8"/>
  <c r="H224" i="8"/>
  <c r="F223" i="8"/>
  <c r="D222" i="8"/>
  <c r="L220" i="8"/>
  <c r="J219" i="8"/>
  <c r="H218" i="8"/>
  <c r="F217" i="8"/>
  <c r="D216" i="8"/>
  <c r="L214" i="8"/>
  <c r="J213" i="8"/>
  <c r="H212" i="8"/>
  <c r="F211" i="8"/>
  <c r="D210" i="8"/>
  <c r="L208" i="8"/>
  <c r="J207" i="8"/>
  <c r="H206" i="8"/>
  <c r="F205" i="8"/>
  <c r="D204" i="8"/>
  <c r="L202" i="8"/>
  <c r="J201" i="8"/>
  <c r="H200" i="8"/>
  <c r="F199" i="8"/>
  <c r="D198" i="8"/>
  <c r="L196" i="8"/>
  <c r="J195" i="8"/>
  <c r="H194" i="8"/>
  <c r="F193" i="8"/>
  <c r="D192" i="8"/>
  <c r="L190" i="8"/>
  <c r="J189" i="8"/>
  <c r="H188" i="8"/>
  <c r="F187" i="8"/>
  <c r="D186" i="8"/>
  <c r="L184" i="8"/>
  <c r="J183" i="8"/>
  <c r="H182" i="8"/>
  <c r="F181" i="8"/>
  <c r="D180" i="8"/>
  <c r="L178" i="8"/>
  <c r="J177" i="8"/>
  <c r="H176" i="8"/>
  <c r="F175" i="8"/>
  <c r="D174" i="8"/>
  <c r="L172" i="8"/>
  <c r="J171" i="8"/>
  <c r="H170" i="8"/>
  <c r="F169" i="8"/>
  <c r="D168" i="8"/>
  <c r="L166" i="8"/>
  <c r="J165" i="8"/>
  <c r="H164" i="8"/>
  <c r="F163" i="8"/>
  <c r="K488" i="8"/>
  <c r="G481" i="8"/>
  <c r="L471" i="8"/>
  <c r="H463" i="8"/>
  <c r="D456" i="8"/>
  <c r="I445" i="8"/>
  <c r="E438" i="8"/>
  <c r="J428" i="8"/>
  <c r="G421" i="8"/>
  <c r="I415" i="8"/>
  <c r="K409" i="8"/>
  <c r="J405" i="8"/>
  <c r="D400" i="8"/>
  <c r="F395" i="8"/>
  <c r="J390" i="8"/>
  <c r="G387" i="8"/>
  <c r="K384" i="8"/>
  <c r="J381" i="8"/>
  <c r="L378" i="8"/>
  <c r="F376" i="8"/>
  <c r="M372" i="8"/>
  <c r="G370" i="8"/>
  <c r="F367" i="8"/>
  <c r="H364" i="8"/>
  <c r="L361" i="8"/>
  <c r="I358" i="8"/>
  <c r="M355" i="8"/>
  <c r="L352" i="8"/>
  <c r="D350" i="8"/>
  <c r="H347" i="8"/>
  <c r="E344" i="8"/>
  <c r="I341" i="8"/>
  <c r="H338" i="8"/>
  <c r="J335" i="8"/>
  <c r="E333" i="8"/>
  <c r="K330" i="8"/>
  <c r="H328" i="8"/>
  <c r="F326" i="8"/>
  <c r="D324" i="8"/>
  <c r="G322" i="8"/>
  <c r="E320" i="8"/>
  <c r="M317" i="8"/>
  <c r="F316" i="8"/>
  <c r="D314" i="8"/>
  <c r="L311" i="8"/>
  <c r="J309" i="8"/>
  <c r="M307" i="8"/>
  <c r="K305" i="8"/>
  <c r="I303" i="8"/>
  <c r="L301" i="8"/>
  <c r="J299" i="8"/>
  <c r="H297" i="8"/>
  <c r="F295" i="8"/>
  <c r="I293" i="8"/>
  <c r="G291" i="8"/>
  <c r="E289" i="8"/>
  <c r="H287" i="8"/>
  <c r="F285" i="8"/>
  <c r="D283" i="8"/>
  <c r="L280" i="8"/>
  <c r="E279" i="8"/>
  <c r="M276" i="8"/>
  <c r="K274" i="8"/>
  <c r="D273" i="8"/>
  <c r="L270" i="8"/>
  <c r="J268" i="8"/>
  <c r="H266" i="8"/>
  <c r="K264" i="8"/>
  <c r="I262" i="8"/>
  <c r="G260" i="8"/>
  <c r="J258" i="8"/>
  <c r="H256" i="8"/>
  <c r="F254" i="8"/>
  <c r="D252" i="8"/>
  <c r="G250" i="8"/>
  <c r="E248" i="8"/>
  <c r="M245" i="8"/>
  <c r="F244" i="8"/>
  <c r="D242" i="8"/>
  <c r="L239" i="8"/>
  <c r="J237" i="8"/>
  <c r="M235" i="8"/>
  <c r="K233" i="8"/>
  <c r="I231" i="8"/>
  <c r="L229" i="8"/>
  <c r="M227" i="8"/>
  <c r="K226" i="8"/>
  <c r="I225" i="8"/>
  <c r="G224" i="8"/>
  <c r="E223" i="8"/>
  <c r="M221" i="8"/>
  <c r="K220" i="8"/>
  <c r="I219" i="8"/>
  <c r="G218" i="8"/>
  <c r="E217" i="8"/>
  <c r="M215" i="8"/>
  <c r="K214" i="8"/>
  <c r="I213" i="8"/>
  <c r="G212" i="8"/>
  <c r="E211" i="8"/>
  <c r="M209" i="8"/>
  <c r="K208" i="8"/>
  <c r="I207" i="8"/>
  <c r="G206" i="8"/>
  <c r="E205" i="8"/>
  <c r="M203" i="8"/>
  <c r="K202" i="8"/>
  <c r="I201" i="8"/>
  <c r="G200" i="8"/>
  <c r="E199" i="8"/>
  <c r="M197" i="8"/>
  <c r="K196" i="8"/>
  <c r="I195" i="8"/>
  <c r="G194" i="8"/>
  <c r="E193" i="8"/>
  <c r="M191" i="8"/>
  <c r="K190" i="8"/>
  <c r="I189" i="8"/>
  <c r="G188" i="8"/>
  <c r="E187" i="8"/>
  <c r="M185" i="8"/>
  <c r="K184" i="8"/>
  <c r="I183" i="8"/>
  <c r="G182" i="8"/>
  <c r="E181" i="8"/>
  <c r="M179" i="8"/>
  <c r="K178" i="8"/>
  <c r="I177" i="8"/>
  <c r="G176" i="8"/>
  <c r="E175" i="8"/>
  <c r="M173" i="8"/>
  <c r="K172" i="8"/>
  <c r="I171" i="8"/>
  <c r="G170" i="8"/>
  <c r="E169" i="8"/>
  <c r="M167" i="8"/>
  <c r="K166" i="8"/>
  <c r="I165" i="8"/>
  <c r="G164" i="8"/>
  <c r="E163" i="8"/>
  <c r="M161" i="8"/>
  <c r="K160" i="8"/>
  <c r="I159" i="8"/>
  <c r="G158" i="8"/>
  <c r="E157" i="8"/>
  <c r="M155" i="8"/>
  <c r="K154" i="8"/>
  <c r="I153" i="8"/>
  <c r="G152" i="8"/>
  <c r="E151" i="8"/>
  <c r="M149" i="8"/>
  <c r="K148" i="8"/>
  <c r="I147" i="8"/>
  <c r="G146" i="8"/>
  <c r="E145" i="8"/>
  <c r="M143" i="8"/>
  <c r="K142" i="8"/>
  <c r="I141" i="8"/>
  <c r="G140" i="8"/>
  <c r="E139" i="8"/>
  <c r="M137" i="8"/>
  <c r="K136" i="8"/>
  <c r="I135" i="8"/>
  <c r="G134" i="8"/>
  <c r="E133" i="8"/>
  <c r="M131" i="8"/>
  <c r="K130" i="8"/>
  <c r="I129" i="8"/>
  <c r="G128" i="8"/>
  <c r="E127" i="8"/>
  <c r="J488" i="8"/>
  <c r="F481" i="8"/>
  <c r="K470" i="8"/>
  <c r="G463" i="8"/>
  <c r="L453" i="8"/>
  <c r="H445" i="8"/>
  <c r="D438" i="8"/>
  <c r="I427" i="8"/>
  <c r="F421" i="8"/>
  <c r="H414" i="8"/>
  <c r="J409" i="8"/>
  <c r="D405" i="8"/>
  <c r="K399" i="8"/>
  <c r="E395" i="8"/>
  <c r="D390" i="8"/>
  <c r="F387" i="8"/>
  <c r="J384" i="8"/>
  <c r="G381" i="8"/>
  <c r="K378" i="8"/>
  <c r="J375" i="8"/>
  <c r="L372" i="8"/>
  <c r="F370" i="8"/>
  <c r="M366" i="8"/>
  <c r="G364" i="8"/>
  <c r="F361" i="8"/>
  <c r="H358" i="8"/>
  <c r="L355" i="8"/>
  <c r="I352" i="8"/>
  <c r="M349" i="8"/>
  <c r="L346" i="8"/>
  <c r="D344" i="8"/>
  <c r="H341" i="8"/>
  <c r="E338" i="8"/>
  <c r="I335" i="8"/>
  <c r="D333" i="8"/>
  <c r="J330" i="8"/>
  <c r="G328" i="8"/>
  <c r="E326" i="8"/>
  <c r="M323" i="8"/>
  <c r="F322" i="8"/>
  <c r="D320" i="8"/>
  <c r="L317" i="8"/>
  <c r="J315" i="8"/>
  <c r="M313" i="8"/>
  <c r="K311" i="8"/>
  <c r="I309" i="8"/>
  <c r="L307" i="8"/>
  <c r="J305" i="8"/>
  <c r="H303" i="8"/>
  <c r="F301" i="8"/>
  <c r="I299" i="8"/>
  <c r="G297" i="8"/>
  <c r="E295" i="8"/>
  <c r="H293" i="8"/>
  <c r="F291" i="8"/>
  <c r="D289" i="8"/>
  <c r="L286" i="8"/>
  <c r="E285" i="8"/>
  <c r="M282" i="8"/>
  <c r="K280" i="8"/>
  <c r="D279" i="8"/>
  <c r="L276" i="8"/>
  <c r="J274" i="8"/>
  <c r="H272" i="8"/>
  <c r="K270" i="8"/>
  <c r="I268" i="8"/>
  <c r="G266" i="8"/>
  <c r="J264" i="8"/>
  <c r="H262" i="8"/>
  <c r="F260" i="8"/>
  <c r="D258" i="8"/>
  <c r="G256" i="8"/>
  <c r="E254" i="8"/>
  <c r="M251" i="8"/>
  <c r="F250" i="8"/>
  <c r="D248" i="8"/>
  <c r="L245" i="8"/>
  <c r="J243" i="8"/>
  <c r="M241" i="8"/>
  <c r="K239" i="8"/>
  <c r="I237" i="8"/>
  <c r="L235" i="8"/>
  <c r="J233" i="8"/>
  <c r="H231" i="8"/>
  <c r="F229" i="8"/>
  <c r="L227" i="8"/>
  <c r="J226" i="8"/>
  <c r="H225" i="8"/>
  <c r="F224" i="8"/>
  <c r="D223" i="8"/>
  <c r="L221" i="8"/>
  <c r="J220" i="8"/>
  <c r="H219" i="8"/>
  <c r="F218" i="8"/>
  <c r="D217" i="8"/>
  <c r="L215" i="8"/>
  <c r="J214" i="8"/>
  <c r="H213" i="8"/>
  <c r="F212" i="8"/>
  <c r="D211" i="8"/>
  <c r="L209" i="8"/>
  <c r="J208" i="8"/>
  <c r="H207" i="8"/>
  <c r="F206" i="8"/>
  <c r="D205" i="8"/>
  <c r="L203" i="8"/>
  <c r="J202" i="8"/>
  <c r="H201" i="8"/>
  <c r="F200" i="8"/>
  <c r="D199" i="8"/>
  <c r="L197" i="8"/>
  <c r="J196" i="8"/>
  <c r="H195" i="8"/>
  <c r="F194" i="8"/>
  <c r="D193" i="8"/>
  <c r="L191" i="8"/>
  <c r="J190" i="8"/>
  <c r="H189" i="8"/>
  <c r="F188" i="8"/>
  <c r="D187" i="8"/>
  <c r="L185" i="8"/>
  <c r="J184" i="8"/>
  <c r="H183" i="8"/>
  <c r="F182" i="8"/>
  <c r="D181" i="8"/>
  <c r="L179" i="8"/>
  <c r="J178" i="8"/>
  <c r="H177" i="8"/>
  <c r="I488" i="8"/>
  <c r="D479" i="8"/>
  <c r="J470" i="8"/>
  <c r="F463" i="8"/>
  <c r="K452" i="8"/>
  <c r="G445" i="8"/>
  <c r="L435" i="8"/>
  <c r="H427" i="8"/>
  <c r="H420" i="8"/>
  <c r="E414" i="8"/>
  <c r="I409" i="8"/>
  <c r="H404" i="8"/>
  <c r="J399" i="8"/>
  <c r="D395" i="8"/>
  <c r="K389" i="8"/>
  <c r="E387" i="8"/>
  <c r="D384" i="8"/>
  <c r="F381" i="8"/>
  <c r="J378" i="8"/>
  <c r="G375" i="8"/>
  <c r="K372" i="8"/>
  <c r="J369" i="8"/>
  <c r="L366" i="8"/>
  <c r="F364" i="8"/>
  <c r="M360" i="8"/>
  <c r="G358" i="8"/>
  <c r="F355" i="8"/>
  <c r="H352" i="8"/>
  <c r="L349" i="8"/>
  <c r="I346" i="8"/>
  <c r="M343" i="8"/>
  <c r="L340" i="8"/>
  <c r="D338" i="8"/>
  <c r="H335" i="8"/>
  <c r="H332" i="8"/>
  <c r="D330" i="8"/>
  <c r="F328" i="8"/>
  <c r="D326" i="8"/>
  <c r="L323" i="8"/>
  <c r="J321" i="8"/>
  <c r="M319" i="8"/>
  <c r="K317" i="8"/>
  <c r="I315" i="8"/>
  <c r="L313" i="8"/>
  <c r="J311" i="8"/>
  <c r="H309" i="8"/>
  <c r="F307" i="8"/>
  <c r="I305" i="8"/>
  <c r="G303" i="8"/>
  <c r="E301" i="8"/>
  <c r="H299" i="8"/>
  <c r="F297" i="8"/>
  <c r="D295" i="8"/>
  <c r="L292" i="8"/>
  <c r="E291" i="8"/>
  <c r="M288" i="8"/>
  <c r="K286" i="8"/>
  <c r="D285" i="8"/>
  <c r="L282" i="8"/>
  <c r="J280" i="8"/>
  <c r="H278" i="8"/>
  <c r="K276" i="8"/>
  <c r="I274" i="8"/>
  <c r="G272" i="8"/>
  <c r="J270" i="8"/>
  <c r="H268" i="8"/>
  <c r="F266" i="8"/>
  <c r="D264" i="8"/>
  <c r="G262" i="8"/>
  <c r="E260" i="8"/>
  <c r="M257" i="8"/>
  <c r="F256" i="8"/>
  <c r="D254" i="8"/>
  <c r="L251" i="8"/>
  <c r="J249" i="8"/>
  <c r="M247" i="8"/>
  <c r="K245" i="8"/>
  <c r="I243" i="8"/>
  <c r="L241" i="8"/>
  <c r="J239" i="8"/>
  <c r="H237" i="8"/>
  <c r="F235" i="8"/>
  <c r="I233" i="8"/>
  <c r="G231" i="8"/>
  <c r="E229" i="8"/>
  <c r="K227" i="8"/>
  <c r="I226" i="8"/>
  <c r="G225" i="8"/>
  <c r="E224" i="8"/>
  <c r="M222" i="8"/>
  <c r="K221" i="8"/>
  <c r="I220" i="8"/>
  <c r="G219" i="8"/>
  <c r="E218" i="8"/>
  <c r="M216" i="8"/>
  <c r="K215" i="8"/>
  <c r="I214" i="8"/>
  <c r="G213" i="8"/>
  <c r="E212" i="8"/>
  <c r="M210" i="8"/>
  <c r="K209" i="8"/>
  <c r="I208" i="8"/>
  <c r="G207" i="8"/>
  <c r="E206" i="8"/>
  <c r="M204" i="8"/>
  <c r="K203" i="8"/>
  <c r="I202" i="8"/>
  <c r="G201" i="8"/>
  <c r="E200" i="8"/>
  <c r="M198" i="8"/>
  <c r="K197" i="8"/>
  <c r="I196" i="8"/>
  <c r="G195" i="8"/>
  <c r="E194" i="8"/>
  <c r="M192" i="8"/>
  <c r="K191" i="8"/>
  <c r="I190" i="8"/>
  <c r="G189" i="8"/>
  <c r="H488" i="8"/>
  <c r="M477" i="8"/>
  <c r="I470" i="8"/>
  <c r="D461" i="8"/>
  <c r="J452" i="8"/>
  <c r="F445" i="8"/>
  <c r="K434" i="8"/>
  <c r="G427" i="8"/>
  <c r="E419" i="8"/>
  <c r="D414" i="8"/>
  <c r="H409" i="8"/>
  <c r="J403" i="8"/>
  <c r="D399" i="8"/>
  <c r="M393" i="8"/>
  <c r="J389" i="8"/>
  <c r="D387" i="8"/>
  <c r="K383" i="8"/>
  <c r="E381" i="8"/>
  <c r="D378" i="8"/>
  <c r="F375" i="8"/>
  <c r="J372" i="8"/>
  <c r="G369" i="8"/>
  <c r="K366" i="8"/>
  <c r="J363" i="8"/>
  <c r="L360" i="8"/>
  <c r="F358" i="8"/>
  <c r="M354" i="8"/>
  <c r="G352" i="8"/>
  <c r="F349" i="8"/>
  <c r="H346" i="8"/>
  <c r="L343" i="8"/>
  <c r="I340" i="8"/>
  <c r="M337" i="8"/>
  <c r="L334" i="8"/>
  <c r="F332" i="8"/>
  <c r="L329" i="8"/>
  <c r="J327" i="8"/>
  <c r="M325" i="8"/>
  <c r="K323" i="8"/>
  <c r="I321" i="8"/>
  <c r="L319" i="8"/>
  <c r="J317" i="8"/>
  <c r="H315" i="8"/>
  <c r="F313" i="8"/>
  <c r="I311" i="8"/>
  <c r="G309" i="8"/>
  <c r="E307" i="8"/>
  <c r="H305" i="8"/>
  <c r="F303" i="8"/>
  <c r="D301" i="8"/>
  <c r="L298" i="8"/>
  <c r="E297" i="8"/>
  <c r="M294" i="8"/>
  <c r="K292" i="8"/>
  <c r="D291" i="8"/>
  <c r="L288" i="8"/>
  <c r="F486" i="8"/>
  <c r="L477" i="8"/>
  <c r="H470" i="8"/>
  <c r="M459" i="8"/>
  <c r="I452" i="8"/>
  <c r="D443" i="8"/>
  <c r="J434" i="8"/>
  <c r="F427" i="8"/>
  <c r="L418" i="8"/>
  <c r="H413" i="8"/>
  <c r="G408" i="8"/>
  <c r="I403" i="8"/>
  <c r="M398" i="8"/>
  <c r="J393" i="8"/>
  <c r="I389" i="8"/>
  <c r="H386" i="8"/>
  <c r="J383" i="8"/>
  <c r="D381" i="8"/>
  <c r="K377" i="8"/>
  <c r="E375" i="8"/>
  <c r="D372" i="8"/>
  <c r="F369" i="8"/>
  <c r="J366" i="8"/>
  <c r="G363" i="8"/>
  <c r="K360" i="8"/>
  <c r="J357" i="8"/>
  <c r="L354" i="8"/>
  <c r="F352" i="8"/>
  <c r="M348" i="8"/>
  <c r="G346" i="8"/>
  <c r="F343" i="8"/>
  <c r="H340" i="8"/>
  <c r="L337" i="8"/>
  <c r="I334" i="8"/>
  <c r="E332" i="8"/>
  <c r="K329" i="8"/>
  <c r="I327" i="8"/>
  <c r="L325" i="8"/>
  <c r="J323" i="8"/>
  <c r="H321" i="8"/>
  <c r="F319" i="8"/>
  <c r="I317" i="8"/>
  <c r="G315" i="8"/>
  <c r="E313" i="8"/>
  <c r="H311" i="8"/>
  <c r="F309" i="8"/>
  <c r="D307" i="8"/>
  <c r="L304" i="8"/>
  <c r="E303" i="8"/>
  <c r="M300" i="8"/>
  <c r="E485" i="8"/>
  <c r="K477" i="8"/>
  <c r="F468" i="8"/>
  <c r="L459" i="8"/>
  <c r="H452" i="8"/>
  <c r="M441" i="8"/>
  <c r="I434" i="8"/>
  <c r="D425" i="8"/>
  <c r="F418" i="8"/>
  <c r="G413" i="8"/>
  <c r="D408" i="8"/>
  <c r="H403" i="8"/>
  <c r="L397" i="8"/>
  <c r="D485" i="8"/>
  <c r="J477" i="8"/>
  <c r="E467" i="8"/>
  <c r="K459" i="8"/>
  <c r="F450" i="8"/>
  <c r="L441" i="8"/>
  <c r="H434" i="8"/>
  <c r="D424" i="8"/>
  <c r="D418" i="8"/>
  <c r="F412" i="8"/>
  <c r="H407" i="8"/>
  <c r="G403" i="8"/>
  <c r="I397" i="8"/>
  <c r="M392" i="8"/>
  <c r="L388" i="8"/>
  <c r="D386" i="8"/>
  <c r="H383" i="8"/>
  <c r="E380" i="8"/>
  <c r="I377" i="8"/>
  <c r="H374" i="8"/>
  <c r="J371" i="8"/>
  <c r="D369" i="8"/>
  <c r="M484" i="8"/>
  <c r="J482" i="8"/>
  <c r="L484" i="8"/>
  <c r="G456" i="8"/>
  <c r="D431" i="8"/>
  <c r="K411" i="8"/>
  <c r="F397" i="8"/>
  <c r="E386" i="8"/>
  <c r="M379" i="8"/>
  <c r="L373" i="8"/>
  <c r="K365" i="8"/>
  <c r="D360" i="8"/>
  <c r="J354" i="8"/>
  <c r="K348" i="8"/>
  <c r="L342" i="8"/>
  <c r="M336" i="8"/>
  <c r="M331" i="8"/>
  <c r="G327" i="8"/>
  <c r="H323" i="8"/>
  <c r="D319" i="8"/>
  <c r="E315" i="8"/>
  <c r="K310" i="8"/>
  <c r="L306" i="8"/>
  <c r="H302" i="8"/>
  <c r="J298" i="8"/>
  <c r="M295" i="8"/>
  <c r="F292" i="8"/>
  <c r="D288" i="8"/>
  <c r="H285" i="8"/>
  <c r="M281" i="8"/>
  <c r="G279" i="8"/>
  <c r="L275" i="8"/>
  <c r="F273" i="8"/>
  <c r="K269" i="8"/>
  <c r="E267" i="8"/>
  <c r="J263" i="8"/>
  <c r="D261" i="8"/>
  <c r="I257" i="8"/>
  <c r="H254" i="8"/>
  <c r="H251" i="8"/>
  <c r="G248" i="8"/>
  <c r="L244" i="8"/>
  <c r="F242" i="8"/>
  <c r="K238" i="8"/>
  <c r="E236" i="8"/>
  <c r="J232" i="8"/>
  <c r="D230" i="8"/>
  <c r="G227" i="8"/>
  <c r="K225" i="8"/>
  <c r="K223" i="8"/>
  <c r="E222" i="8"/>
  <c r="E220" i="8"/>
  <c r="I218" i="8"/>
  <c r="I216" i="8"/>
  <c r="M214" i="8"/>
  <c r="M212" i="8"/>
  <c r="G211" i="8"/>
  <c r="G209" i="8"/>
  <c r="K207" i="8"/>
  <c r="K205" i="8"/>
  <c r="E204" i="8"/>
  <c r="E202" i="8"/>
  <c r="I200" i="8"/>
  <c r="I198" i="8"/>
  <c r="M196" i="8"/>
  <c r="M194" i="8"/>
  <c r="G193" i="8"/>
  <c r="G191" i="8"/>
  <c r="K189" i="8"/>
  <c r="L187" i="8"/>
  <c r="G186" i="8"/>
  <c r="I184" i="8"/>
  <c r="D183" i="8"/>
  <c r="I181" i="8"/>
  <c r="K179" i="8"/>
  <c r="F178" i="8"/>
  <c r="K176" i="8"/>
  <c r="G175" i="8"/>
  <c r="K173" i="8"/>
  <c r="G172" i="8"/>
  <c r="M170" i="8"/>
  <c r="I169" i="8"/>
  <c r="E168" i="8"/>
  <c r="I166" i="8"/>
  <c r="E165" i="8"/>
  <c r="K163" i="8"/>
  <c r="G162" i="8"/>
  <c r="D161" i="8"/>
  <c r="K159" i="8"/>
  <c r="H158" i="8"/>
  <c r="D157" i="8"/>
  <c r="K155" i="8"/>
  <c r="H154" i="8"/>
  <c r="E153" i="8"/>
  <c r="L151" i="8"/>
  <c r="I150" i="8"/>
  <c r="F149" i="8"/>
  <c r="M147" i="8"/>
  <c r="J146" i="8"/>
  <c r="G145" i="8"/>
  <c r="D144" i="8"/>
  <c r="J142" i="8"/>
  <c r="G141" i="8"/>
  <c r="D140" i="8"/>
  <c r="K138" i="8"/>
  <c r="H137" i="8"/>
  <c r="E136" i="8"/>
  <c r="L134" i="8"/>
  <c r="I133" i="8"/>
  <c r="F132" i="8"/>
  <c r="M130" i="8"/>
  <c r="J129" i="8"/>
  <c r="F128" i="8"/>
  <c r="M126" i="8"/>
  <c r="K125" i="8"/>
  <c r="I124" i="8"/>
  <c r="G123" i="8"/>
  <c r="E122" i="8"/>
  <c r="M120" i="8"/>
  <c r="K119" i="8"/>
  <c r="I118" i="8"/>
  <c r="G117" i="8"/>
  <c r="E116" i="8"/>
  <c r="M114" i="8"/>
  <c r="K113" i="8"/>
  <c r="I112" i="8"/>
  <c r="G111" i="8"/>
  <c r="E110" i="8"/>
  <c r="M108" i="8"/>
  <c r="K107" i="8"/>
  <c r="I106" i="8"/>
  <c r="G105" i="8"/>
  <c r="E104" i="8"/>
  <c r="M102" i="8"/>
  <c r="K101" i="8"/>
  <c r="I100" i="8"/>
  <c r="G99" i="8"/>
  <c r="E98" i="8"/>
  <c r="M96" i="8"/>
  <c r="K95" i="8"/>
  <c r="I94" i="8"/>
  <c r="G93" i="8"/>
  <c r="E92" i="8"/>
  <c r="M90" i="8"/>
  <c r="K89" i="8"/>
  <c r="I88" i="8"/>
  <c r="G87" i="8"/>
  <c r="E86" i="8"/>
  <c r="M84" i="8"/>
  <c r="K83" i="8"/>
  <c r="I82" i="8"/>
  <c r="G81" i="8"/>
  <c r="E80" i="8"/>
  <c r="M78" i="8"/>
  <c r="K77" i="8"/>
  <c r="I76" i="8"/>
  <c r="G75" i="8"/>
  <c r="E74" i="8"/>
  <c r="M72" i="8"/>
  <c r="K71" i="8"/>
  <c r="I70" i="8"/>
  <c r="G69" i="8"/>
  <c r="E68" i="8"/>
  <c r="M66" i="8"/>
  <c r="K65" i="8"/>
  <c r="I64" i="8"/>
  <c r="G63" i="8"/>
  <c r="E62" i="8"/>
  <c r="M60" i="8"/>
  <c r="K59" i="8"/>
  <c r="I58" i="8"/>
  <c r="G57" i="8"/>
  <c r="I481" i="8"/>
  <c r="F456" i="8"/>
  <c r="M430" i="8"/>
  <c r="J411" i="8"/>
  <c r="E396" i="8"/>
  <c r="M385" i="8"/>
  <c r="L379" i="8"/>
  <c r="K371" i="8"/>
  <c r="J365" i="8"/>
  <c r="K359" i="8"/>
  <c r="D354" i="8"/>
  <c r="J348" i="8"/>
  <c r="K342" i="8"/>
  <c r="L336" i="8"/>
  <c r="L331" i="8"/>
  <c r="F327" i="8"/>
  <c r="L322" i="8"/>
  <c r="M318" i="8"/>
  <c r="D315" i="8"/>
  <c r="J310" i="8"/>
  <c r="K306" i="8"/>
  <c r="G302" i="8"/>
  <c r="I298" i="8"/>
  <c r="L294" i="8"/>
  <c r="J291" i="8"/>
  <c r="M287" i="8"/>
  <c r="H284" i="8"/>
  <c r="L281" i="8"/>
  <c r="G278" i="8"/>
  <c r="K275" i="8"/>
  <c r="F272" i="8"/>
  <c r="J269" i="8"/>
  <c r="E266" i="8"/>
  <c r="I263" i="8"/>
  <c r="D260" i="8"/>
  <c r="H257" i="8"/>
  <c r="M253" i="8"/>
  <c r="L250" i="8"/>
  <c r="L247" i="8"/>
  <c r="K244" i="8"/>
  <c r="F241" i="8"/>
  <c r="J238" i="8"/>
  <c r="E235" i="8"/>
  <c r="I232" i="8"/>
  <c r="D229" i="8"/>
  <c r="F227" i="8"/>
  <c r="F225" i="8"/>
  <c r="J223" i="8"/>
  <c r="J221" i="8"/>
  <c r="D220" i="8"/>
  <c r="D218" i="8"/>
  <c r="H216" i="8"/>
  <c r="H214" i="8"/>
  <c r="L212" i="8"/>
  <c r="L210" i="8"/>
  <c r="F209" i="8"/>
  <c r="F207" i="8"/>
  <c r="J205" i="8"/>
  <c r="J203" i="8"/>
  <c r="D202" i="8"/>
  <c r="D200" i="8"/>
  <c r="H198" i="8"/>
  <c r="H196" i="8"/>
  <c r="L194" i="8"/>
  <c r="L192" i="8"/>
  <c r="F191" i="8"/>
  <c r="F189" i="8"/>
  <c r="K187" i="8"/>
  <c r="F186" i="8"/>
  <c r="H184" i="8"/>
  <c r="M182" i="8"/>
  <c r="H181" i="8"/>
  <c r="J179" i="8"/>
  <c r="E178" i="8"/>
  <c r="J176" i="8"/>
  <c r="D175" i="8"/>
  <c r="J173" i="8"/>
  <c r="F172" i="8"/>
  <c r="L170" i="8"/>
  <c r="H169" i="8"/>
  <c r="L167" i="8"/>
  <c r="H166" i="8"/>
  <c r="D165" i="8"/>
  <c r="J163" i="8"/>
  <c r="F162" i="8"/>
  <c r="M160" i="8"/>
  <c r="J159" i="8"/>
  <c r="F158" i="8"/>
  <c r="M156" i="8"/>
  <c r="J155" i="8"/>
  <c r="G154" i="8"/>
  <c r="D153" i="8"/>
  <c r="K151" i="8"/>
  <c r="H150" i="8"/>
  <c r="E149" i="8"/>
  <c r="L147" i="8"/>
  <c r="I146" i="8"/>
  <c r="F145" i="8"/>
  <c r="L143" i="8"/>
  <c r="I142" i="8"/>
  <c r="F141" i="8"/>
  <c r="M139" i="8"/>
  <c r="J138" i="8"/>
  <c r="G137" i="8"/>
  <c r="D136" i="8"/>
  <c r="K134" i="8"/>
  <c r="H133" i="8"/>
  <c r="E132" i="8"/>
  <c r="L130" i="8"/>
  <c r="H129" i="8"/>
  <c r="E128" i="8"/>
  <c r="L126" i="8"/>
  <c r="J125" i="8"/>
  <c r="H124" i="8"/>
  <c r="F123" i="8"/>
  <c r="D122" i="8"/>
  <c r="L120" i="8"/>
  <c r="J119" i="8"/>
  <c r="H118" i="8"/>
  <c r="F117" i="8"/>
  <c r="D116" i="8"/>
  <c r="L114" i="8"/>
  <c r="J113" i="8"/>
  <c r="H112" i="8"/>
  <c r="F111" i="8"/>
  <c r="D110" i="8"/>
  <c r="L108" i="8"/>
  <c r="J107" i="8"/>
  <c r="H106" i="8"/>
  <c r="F105" i="8"/>
  <c r="D104" i="8"/>
  <c r="L102" i="8"/>
  <c r="J101" i="8"/>
  <c r="H100" i="8"/>
  <c r="F99" i="8"/>
  <c r="D98" i="8"/>
  <c r="L96" i="8"/>
  <c r="J95" i="8"/>
  <c r="H94" i="8"/>
  <c r="F93" i="8"/>
  <c r="D92" i="8"/>
  <c r="L90" i="8"/>
  <c r="H475" i="8"/>
  <c r="E449" i="8"/>
  <c r="M423" i="8"/>
  <c r="G407" i="8"/>
  <c r="D393" i="8"/>
  <c r="L385" i="8"/>
  <c r="F379" i="8"/>
  <c r="I371" i="8"/>
  <c r="I365" i="8"/>
  <c r="J359" i="8"/>
  <c r="K353" i="8"/>
  <c r="D348" i="8"/>
  <c r="J342" i="8"/>
  <c r="K336" i="8"/>
  <c r="F331" i="8"/>
  <c r="E327" i="8"/>
  <c r="K322" i="8"/>
  <c r="L318" i="8"/>
  <c r="H314" i="8"/>
  <c r="I310" i="8"/>
  <c r="J306" i="8"/>
  <c r="F302" i="8"/>
  <c r="H298" i="8"/>
  <c r="K294" i="8"/>
  <c r="I291" i="8"/>
  <c r="L287" i="8"/>
  <c r="G284" i="8"/>
  <c r="K281" i="8"/>
  <c r="F278" i="8"/>
  <c r="J275" i="8"/>
  <c r="E272" i="8"/>
  <c r="I269" i="8"/>
  <c r="D266" i="8"/>
  <c r="H263" i="8"/>
  <c r="M259" i="8"/>
  <c r="L256" i="8"/>
  <c r="L253" i="8"/>
  <c r="K250" i="8"/>
  <c r="F247" i="8"/>
  <c r="J244" i="8"/>
  <c r="E241" i="8"/>
  <c r="I238" i="8"/>
  <c r="D235" i="8"/>
  <c r="H232" i="8"/>
  <c r="M228" i="8"/>
  <c r="E227" i="8"/>
  <c r="E225" i="8"/>
  <c r="I223" i="8"/>
  <c r="I221" i="8"/>
  <c r="M219" i="8"/>
  <c r="M217" i="8"/>
  <c r="G216" i="8"/>
  <c r="G214" i="8"/>
  <c r="K212" i="8"/>
  <c r="K210" i="8"/>
  <c r="E209" i="8"/>
  <c r="E207" i="8"/>
  <c r="I205" i="8"/>
  <c r="I203" i="8"/>
  <c r="M201" i="8"/>
  <c r="M199" i="8"/>
  <c r="G198" i="8"/>
  <c r="G196" i="8"/>
  <c r="K194" i="8"/>
  <c r="K192" i="8"/>
  <c r="E191" i="8"/>
  <c r="E189" i="8"/>
  <c r="J187" i="8"/>
  <c r="E186" i="8"/>
  <c r="G184" i="8"/>
  <c r="L182" i="8"/>
  <c r="G181" i="8"/>
  <c r="I179" i="8"/>
  <c r="D178" i="8"/>
  <c r="I176" i="8"/>
  <c r="M174" i="8"/>
  <c r="I173" i="8"/>
  <c r="E172" i="8"/>
  <c r="K170" i="8"/>
  <c r="G169" i="8"/>
  <c r="K167" i="8"/>
  <c r="G166" i="8"/>
  <c r="M164" i="8"/>
  <c r="I163" i="8"/>
  <c r="E162" i="8"/>
  <c r="L160" i="8"/>
  <c r="H159" i="8"/>
  <c r="E158" i="8"/>
  <c r="L156" i="8"/>
  <c r="I155" i="8"/>
  <c r="F154" i="8"/>
  <c r="M152" i="8"/>
  <c r="J151" i="8"/>
  <c r="G150" i="8"/>
  <c r="D149" i="8"/>
  <c r="K147" i="8"/>
  <c r="H146" i="8"/>
  <c r="D145" i="8"/>
  <c r="K143" i="8"/>
  <c r="H142" i="8"/>
  <c r="E141" i="8"/>
  <c r="L139" i="8"/>
  <c r="I138" i="8"/>
  <c r="F137" i="8"/>
  <c r="M135" i="8"/>
  <c r="J134" i="8"/>
  <c r="G133" i="8"/>
  <c r="D132" i="8"/>
  <c r="J130" i="8"/>
  <c r="G129" i="8"/>
  <c r="D128" i="8"/>
  <c r="K126" i="8"/>
  <c r="I125" i="8"/>
  <c r="G124" i="8"/>
  <c r="E123" i="8"/>
  <c r="M121" i="8"/>
  <c r="K120" i="8"/>
  <c r="I119" i="8"/>
  <c r="G118" i="8"/>
  <c r="E117" i="8"/>
  <c r="M115" i="8"/>
  <c r="K114" i="8"/>
  <c r="G474" i="8"/>
  <c r="D449" i="8"/>
  <c r="L423" i="8"/>
  <c r="F407" i="8"/>
  <c r="L392" i="8"/>
  <c r="F385" i="8"/>
  <c r="J377" i="8"/>
  <c r="H371" i="8"/>
  <c r="H365" i="8"/>
  <c r="I359" i="8"/>
  <c r="J353" i="8"/>
  <c r="K347" i="8"/>
  <c r="D342" i="8"/>
  <c r="J336" i="8"/>
  <c r="D331" i="8"/>
  <c r="D327" i="8"/>
  <c r="J322" i="8"/>
  <c r="K318" i="8"/>
  <c r="G314" i="8"/>
  <c r="H310" i="8"/>
  <c r="D306" i="8"/>
  <c r="E302" i="8"/>
  <c r="G298" i="8"/>
  <c r="J294" i="8"/>
  <c r="H290" i="8"/>
  <c r="K287" i="8"/>
  <c r="F284" i="8"/>
  <c r="J281" i="8"/>
  <c r="E278" i="8"/>
  <c r="I275" i="8"/>
  <c r="D272" i="8"/>
  <c r="H269" i="8"/>
  <c r="M265" i="8"/>
  <c r="L262" i="8"/>
  <c r="L259" i="8"/>
  <c r="K256" i="8"/>
  <c r="F253" i="8"/>
  <c r="J250" i="8"/>
  <c r="E247" i="8"/>
  <c r="I244" i="8"/>
  <c r="D241" i="8"/>
  <c r="H238" i="8"/>
  <c r="M234" i="8"/>
  <c r="G232" i="8"/>
  <c r="L228" i="8"/>
  <c r="D227" i="8"/>
  <c r="D225" i="8"/>
  <c r="H223" i="8"/>
  <c r="H221" i="8"/>
  <c r="L219" i="8"/>
  <c r="L217" i="8"/>
  <c r="F216" i="8"/>
  <c r="F214" i="8"/>
  <c r="J212" i="8"/>
  <c r="J210" i="8"/>
  <c r="D209" i="8"/>
  <c r="D207" i="8"/>
  <c r="H205" i="8"/>
  <c r="H203" i="8"/>
  <c r="L201" i="8"/>
  <c r="L199" i="8"/>
  <c r="F198" i="8"/>
  <c r="F196" i="8"/>
  <c r="J194" i="8"/>
  <c r="J192" i="8"/>
  <c r="D191" i="8"/>
  <c r="D189" i="8"/>
  <c r="I187" i="8"/>
  <c r="K185" i="8"/>
  <c r="F184" i="8"/>
  <c r="K182" i="8"/>
  <c r="M180" i="8"/>
  <c r="H179" i="8"/>
  <c r="M177" i="8"/>
  <c r="F176" i="8"/>
  <c r="L174" i="8"/>
  <c r="H173" i="8"/>
  <c r="D172" i="8"/>
  <c r="J170" i="8"/>
  <c r="D169" i="8"/>
  <c r="J167" i="8"/>
  <c r="F166" i="8"/>
  <c r="L164" i="8"/>
  <c r="H163" i="8"/>
  <c r="D162" i="8"/>
  <c r="J160" i="8"/>
  <c r="G159" i="8"/>
  <c r="D158" i="8"/>
  <c r="K156" i="8"/>
  <c r="H155" i="8"/>
  <c r="E154" i="8"/>
  <c r="L152" i="8"/>
  <c r="I151" i="8"/>
  <c r="F150" i="8"/>
  <c r="M148" i="8"/>
  <c r="J147" i="8"/>
  <c r="F146" i="8"/>
  <c r="M144" i="8"/>
  <c r="J143" i="8"/>
  <c r="G142" i="8"/>
  <c r="D141" i="8"/>
  <c r="K139" i="8"/>
  <c r="H138" i="8"/>
  <c r="E137" i="8"/>
  <c r="L135" i="8"/>
  <c r="I134" i="8"/>
  <c r="F133" i="8"/>
  <c r="L131" i="8"/>
  <c r="I130" i="8"/>
  <c r="F129" i="8"/>
  <c r="M127" i="8"/>
  <c r="J126" i="8"/>
  <c r="H125" i="8"/>
  <c r="F124" i="8"/>
  <c r="D123" i="8"/>
  <c r="L121" i="8"/>
  <c r="J120" i="8"/>
  <c r="H119" i="8"/>
  <c r="F118" i="8"/>
  <c r="D117" i="8"/>
  <c r="L115" i="8"/>
  <c r="J114" i="8"/>
  <c r="F474" i="8"/>
  <c r="M448" i="8"/>
  <c r="K423" i="8"/>
  <c r="E406" i="8"/>
  <c r="K391" i="8"/>
  <c r="M384" i="8"/>
  <c r="H377" i="8"/>
  <c r="L370" i="8"/>
  <c r="L364" i="8"/>
  <c r="H359" i="8"/>
  <c r="I353" i="8"/>
  <c r="J347" i="8"/>
  <c r="K341" i="8"/>
  <c r="D336" i="8"/>
  <c r="M330" i="8"/>
  <c r="H326" i="8"/>
  <c r="I322" i="8"/>
  <c r="J318" i="8"/>
  <c r="F314" i="8"/>
  <c r="G310" i="8"/>
  <c r="M305" i="8"/>
  <c r="D302" i="8"/>
  <c r="F298" i="8"/>
  <c r="D294" i="8"/>
  <c r="G290" i="8"/>
  <c r="J287" i="8"/>
  <c r="E284" i="8"/>
  <c r="I281" i="8"/>
  <c r="D278" i="8"/>
  <c r="H275" i="8"/>
  <c r="M271" i="8"/>
  <c r="L268" i="8"/>
  <c r="L265" i="8"/>
  <c r="K262" i="8"/>
  <c r="F259" i="8"/>
  <c r="J256" i="8"/>
  <c r="E253" i="8"/>
  <c r="I250" i="8"/>
  <c r="D247" i="8"/>
  <c r="H244" i="8"/>
  <c r="M240" i="8"/>
  <c r="G238" i="8"/>
  <c r="L234" i="8"/>
  <c r="F232" i="8"/>
  <c r="K228" i="8"/>
  <c r="M226" i="8"/>
  <c r="M224" i="8"/>
  <c r="G223" i="8"/>
  <c r="G221" i="8"/>
  <c r="K219" i="8"/>
  <c r="K217" i="8"/>
  <c r="E216" i="8"/>
  <c r="E214" i="8"/>
  <c r="I212" i="8"/>
  <c r="I210" i="8"/>
  <c r="M208" i="8"/>
  <c r="M206" i="8"/>
  <c r="G205" i="8"/>
  <c r="G203" i="8"/>
  <c r="K201" i="8"/>
  <c r="K199" i="8"/>
  <c r="E198" i="8"/>
  <c r="E196" i="8"/>
  <c r="I194" i="8"/>
  <c r="I192" i="8"/>
  <c r="M190" i="8"/>
  <c r="M188" i="8"/>
  <c r="H187" i="8"/>
  <c r="J185" i="8"/>
  <c r="E184" i="8"/>
  <c r="J182" i="8"/>
  <c r="L180" i="8"/>
  <c r="G179" i="8"/>
  <c r="L177" i="8"/>
  <c r="E176" i="8"/>
  <c r="K174" i="8"/>
  <c r="G173" i="8"/>
  <c r="M171" i="8"/>
  <c r="I170" i="8"/>
  <c r="M168" i="8"/>
  <c r="I167" i="8"/>
  <c r="E166" i="8"/>
  <c r="K164" i="8"/>
  <c r="G163" i="8"/>
  <c r="L161" i="8"/>
  <c r="I160" i="8"/>
  <c r="F159" i="8"/>
  <c r="M157" i="8"/>
  <c r="J156" i="8"/>
  <c r="G155" i="8"/>
  <c r="D154" i="8"/>
  <c r="K152" i="8"/>
  <c r="H151" i="8"/>
  <c r="E150" i="8"/>
  <c r="L148" i="8"/>
  <c r="H147" i="8"/>
  <c r="E146" i="8"/>
  <c r="L144" i="8"/>
  <c r="I143" i="8"/>
  <c r="F142" i="8"/>
  <c r="M140" i="8"/>
  <c r="J139" i="8"/>
  <c r="G138" i="8"/>
  <c r="D137" i="8"/>
  <c r="K135" i="8"/>
  <c r="H134" i="8"/>
  <c r="D133" i="8"/>
  <c r="K131" i="8"/>
  <c r="H130" i="8"/>
  <c r="E129" i="8"/>
  <c r="L127" i="8"/>
  <c r="I126" i="8"/>
  <c r="G125" i="8"/>
  <c r="E124" i="8"/>
  <c r="M122" i="8"/>
  <c r="K121" i="8"/>
  <c r="I120" i="8"/>
  <c r="E474" i="8"/>
  <c r="L448" i="8"/>
  <c r="H422" i="8"/>
  <c r="L405" i="8"/>
  <c r="H391" i="8"/>
  <c r="I383" i="8"/>
  <c r="L376" i="8"/>
  <c r="I370" i="8"/>
  <c r="F363" i="8"/>
  <c r="G357" i="8"/>
  <c r="J351" i="8"/>
  <c r="F346" i="8"/>
  <c r="G340" i="8"/>
  <c r="H334" i="8"/>
  <c r="J329" i="8"/>
  <c r="F325" i="8"/>
  <c r="G321" i="8"/>
  <c r="H317" i="8"/>
  <c r="D313" i="8"/>
  <c r="E309" i="8"/>
  <c r="K304" i="8"/>
  <c r="L300" i="8"/>
  <c r="J297" i="8"/>
  <c r="M293" i="8"/>
  <c r="F290" i="8"/>
  <c r="J286" i="8"/>
  <c r="D284" i="8"/>
  <c r="I280" i="8"/>
  <c r="M277" i="8"/>
  <c r="H274" i="8"/>
  <c r="L271" i="8"/>
  <c r="G268" i="8"/>
  <c r="F265" i="8"/>
  <c r="F262" i="8"/>
  <c r="E259" i="8"/>
  <c r="J255" i="8"/>
  <c r="D253" i="8"/>
  <c r="I249" i="8"/>
  <c r="M246" i="8"/>
  <c r="H243" i="8"/>
  <c r="L240" i="8"/>
  <c r="G237" i="8"/>
  <c r="K234" i="8"/>
  <c r="F231" i="8"/>
  <c r="J228" i="8"/>
  <c r="H226" i="8"/>
  <c r="L224" i="8"/>
  <c r="L222" i="8"/>
  <c r="F221" i="8"/>
  <c r="F219" i="8"/>
  <c r="J217" i="8"/>
  <c r="J215" i="8"/>
  <c r="D214" i="8"/>
  <c r="D212" i="8"/>
  <c r="H210" i="8"/>
  <c r="H208" i="8"/>
  <c r="L206" i="8"/>
  <c r="L204" i="8"/>
  <c r="F203" i="8"/>
  <c r="D467" i="8"/>
  <c r="K441" i="8"/>
  <c r="M417" i="8"/>
  <c r="F402" i="8"/>
  <c r="G391" i="8"/>
  <c r="L382" i="8"/>
  <c r="I376" i="8"/>
  <c r="E369" i="8"/>
  <c r="E363" i="8"/>
  <c r="F357" i="8"/>
  <c r="G351" i="8"/>
  <c r="J345" i="8"/>
  <c r="F340" i="8"/>
  <c r="G334" i="8"/>
  <c r="I329" i="8"/>
  <c r="E325" i="8"/>
  <c r="F321" i="8"/>
  <c r="L316" i="8"/>
  <c r="M312" i="8"/>
  <c r="D309" i="8"/>
  <c r="J304" i="8"/>
  <c r="K300" i="8"/>
  <c r="D297" i="8"/>
  <c r="L293" i="8"/>
  <c r="E290" i="8"/>
  <c r="I286" i="8"/>
  <c r="M283" i="8"/>
  <c r="H280" i="8"/>
  <c r="L277" i="8"/>
  <c r="G274" i="8"/>
  <c r="F271" i="8"/>
  <c r="F268" i="8"/>
  <c r="E265" i="8"/>
  <c r="J261" i="8"/>
  <c r="D259" i="8"/>
  <c r="I255" i="8"/>
  <c r="M252" i="8"/>
  <c r="H249" i="8"/>
  <c r="L246" i="8"/>
  <c r="G243" i="8"/>
  <c r="K240" i="8"/>
  <c r="F237" i="8"/>
  <c r="J234" i="8"/>
  <c r="E231" i="8"/>
  <c r="G228" i="8"/>
  <c r="G226" i="8"/>
  <c r="K224" i="8"/>
  <c r="K222" i="8"/>
  <c r="E221" i="8"/>
  <c r="E219" i="8"/>
  <c r="I217" i="8"/>
  <c r="I215" i="8"/>
  <c r="M213" i="8"/>
  <c r="M211" i="8"/>
  <c r="G210" i="8"/>
  <c r="G208" i="8"/>
  <c r="K206" i="8"/>
  <c r="K204" i="8"/>
  <c r="E203" i="8"/>
  <c r="E201" i="8"/>
  <c r="I199" i="8"/>
  <c r="I197" i="8"/>
  <c r="M195" i="8"/>
  <c r="M466" i="8"/>
  <c r="J441" i="8"/>
  <c r="K416" i="8"/>
  <c r="H401" i="8"/>
  <c r="H389" i="8"/>
  <c r="I382" i="8"/>
  <c r="H376" i="8"/>
  <c r="H368" i="8"/>
  <c r="D363" i="8"/>
  <c r="E357" i="8"/>
  <c r="F351" i="8"/>
  <c r="G345" i="8"/>
  <c r="J339" i="8"/>
  <c r="F334" i="8"/>
  <c r="H329" i="8"/>
  <c r="D325" i="8"/>
  <c r="E321" i="8"/>
  <c r="K316" i="8"/>
  <c r="L312" i="8"/>
  <c r="H308" i="8"/>
  <c r="I304" i="8"/>
  <c r="J300" i="8"/>
  <c r="H296" i="8"/>
  <c r="K293" i="8"/>
  <c r="D290" i="8"/>
  <c r="L466" i="8"/>
  <c r="H439" i="8"/>
  <c r="H416" i="8"/>
  <c r="G401" i="8"/>
  <c r="I388" i="8"/>
  <c r="H382" i="8"/>
  <c r="D375" i="8"/>
  <c r="E368" i="8"/>
  <c r="H362" i="8"/>
  <c r="D357" i="8"/>
  <c r="E351" i="8"/>
  <c r="F345" i="8"/>
  <c r="G339" i="8"/>
  <c r="J333" i="8"/>
  <c r="L328" i="8"/>
  <c r="M324" i="8"/>
  <c r="D321" i="8"/>
  <c r="J316" i="8"/>
  <c r="K312" i="8"/>
  <c r="G308" i="8"/>
  <c r="H304" i="8"/>
  <c r="D300" i="8"/>
  <c r="G296" i="8"/>
  <c r="J292" i="8"/>
  <c r="M289" i="8"/>
  <c r="G286" i="8"/>
  <c r="J459" i="8"/>
  <c r="F432" i="8"/>
  <c r="M411" i="8"/>
  <c r="H397" i="8"/>
  <c r="G388" i="8"/>
  <c r="H380" i="8"/>
  <c r="D374" i="8"/>
  <c r="M367" i="8"/>
  <c r="D362" i="8"/>
  <c r="E356" i="8"/>
  <c r="H350" i="8"/>
  <c r="D345" i="8"/>
  <c r="E339" i="8"/>
  <c r="G333" i="8"/>
  <c r="J328" i="8"/>
  <c r="K324" i="8"/>
  <c r="G320" i="8"/>
  <c r="H316" i="8"/>
  <c r="D312" i="8"/>
  <c r="E308" i="8"/>
  <c r="F304" i="8"/>
  <c r="L299" i="8"/>
  <c r="J464" i="8"/>
  <c r="E374" i="8"/>
  <c r="F339" i="8"/>
  <c r="J312" i="8"/>
  <c r="H292" i="8"/>
  <c r="J282" i="8"/>
  <c r="F274" i="8"/>
  <c r="H267" i="8"/>
  <c r="E261" i="8"/>
  <c r="K252" i="8"/>
  <c r="I245" i="8"/>
  <c r="E237" i="8"/>
  <c r="G230" i="8"/>
  <c r="L225" i="8"/>
  <c r="M220" i="8"/>
  <c r="K216" i="8"/>
  <c r="L211" i="8"/>
  <c r="D208" i="8"/>
  <c r="F204" i="8"/>
  <c r="J199" i="8"/>
  <c r="D196" i="8"/>
  <c r="H193" i="8"/>
  <c r="D190" i="8"/>
  <c r="L186" i="8"/>
  <c r="D184" i="8"/>
  <c r="K181" i="8"/>
  <c r="M178" i="8"/>
  <c r="M175" i="8"/>
  <c r="L173" i="8"/>
  <c r="F171" i="8"/>
  <c r="J168" i="8"/>
  <c r="D166" i="8"/>
  <c r="M163" i="8"/>
  <c r="H161" i="8"/>
  <c r="D159" i="8"/>
  <c r="F157" i="8"/>
  <c r="L154" i="8"/>
  <c r="H152" i="8"/>
  <c r="D150" i="8"/>
  <c r="E148" i="8"/>
  <c r="K145" i="8"/>
  <c r="G143" i="8"/>
  <c r="H141" i="8"/>
  <c r="D139" i="8"/>
  <c r="J136" i="8"/>
  <c r="F134" i="8"/>
  <c r="H132" i="8"/>
  <c r="D130" i="8"/>
  <c r="J127" i="8"/>
  <c r="L125" i="8"/>
  <c r="J123" i="8"/>
  <c r="H121" i="8"/>
  <c r="G119" i="8"/>
  <c r="K117" i="8"/>
  <c r="K115" i="8"/>
  <c r="E114" i="8"/>
  <c r="K112" i="8"/>
  <c r="E111" i="8"/>
  <c r="K109" i="8"/>
  <c r="G108" i="8"/>
  <c r="M106" i="8"/>
  <c r="I105" i="8"/>
  <c r="M103" i="8"/>
  <c r="I102" i="8"/>
  <c r="E101" i="8"/>
  <c r="K99" i="8"/>
  <c r="G98" i="8"/>
  <c r="K96" i="8"/>
  <c r="G95" i="8"/>
  <c r="M93" i="8"/>
  <c r="I92" i="8"/>
  <c r="E91" i="8"/>
  <c r="J89" i="8"/>
  <c r="G88" i="8"/>
  <c r="D87" i="8"/>
  <c r="K85" i="8"/>
  <c r="H84" i="8"/>
  <c r="E83" i="8"/>
  <c r="L81" i="8"/>
  <c r="I80" i="8"/>
  <c r="F79" i="8"/>
  <c r="M77" i="8"/>
  <c r="J76" i="8"/>
  <c r="F75" i="8"/>
  <c r="M73" i="8"/>
  <c r="J72" i="8"/>
  <c r="G71" i="8"/>
  <c r="D70" i="8"/>
  <c r="K68" i="8"/>
  <c r="H67" i="8"/>
  <c r="E66" i="8"/>
  <c r="L64" i="8"/>
  <c r="I63" i="8"/>
  <c r="F62" i="8"/>
  <c r="L60" i="8"/>
  <c r="I59" i="8"/>
  <c r="F58" i="8"/>
  <c r="M56" i="8"/>
  <c r="K55" i="8"/>
  <c r="I54" i="8"/>
  <c r="G53" i="8"/>
  <c r="E52" i="8"/>
  <c r="M50" i="8"/>
  <c r="K49" i="8"/>
  <c r="I48" i="8"/>
  <c r="G47" i="8"/>
  <c r="E46" i="8"/>
  <c r="M44" i="8"/>
  <c r="K43" i="8"/>
  <c r="I42" i="8"/>
  <c r="G41" i="8"/>
  <c r="E40" i="8"/>
  <c r="M38" i="8"/>
  <c r="K37" i="8"/>
  <c r="I36" i="8"/>
  <c r="G35" i="8"/>
  <c r="E34" i="8"/>
  <c r="M32" i="8"/>
  <c r="K31" i="8"/>
  <c r="I30" i="8"/>
  <c r="G29" i="8"/>
  <c r="E28" i="8"/>
  <c r="M26" i="8"/>
  <c r="K25" i="8"/>
  <c r="I24" i="8"/>
  <c r="G23" i="8"/>
  <c r="E22" i="8"/>
  <c r="M20" i="8"/>
  <c r="K19" i="8"/>
  <c r="I18" i="8"/>
  <c r="G17" i="8"/>
  <c r="E16" i="8"/>
  <c r="M14" i="8"/>
  <c r="K13" i="8"/>
  <c r="I12" i="8"/>
  <c r="G11" i="8"/>
  <c r="E10" i="8"/>
  <c r="M8" i="8"/>
  <c r="K7" i="8"/>
  <c r="I6" i="8"/>
  <c r="G5" i="8"/>
  <c r="E4" i="8"/>
  <c r="M2" i="8"/>
  <c r="H457" i="8"/>
  <c r="M373" i="8"/>
  <c r="F337" i="8"/>
  <c r="L310" i="8"/>
  <c r="G292" i="8"/>
  <c r="D282" i="8"/>
  <c r="J273" i="8"/>
  <c r="G267" i="8"/>
  <c r="M258" i="8"/>
  <c r="K251" i="8"/>
  <c r="H245" i="8"/>
  <c r="D237" i="8"/>
  <c r="F230" i="8"/>
  <c r="J224" i="8"/>
  <c r="H220" i="8"/>
  <c r="J216" i="8"/>
  <c r="K211" i="8"/>
  <c r="M207" i="8"/>
  <c r="D203" i="8"/>
  <c r="H199" i="8"/>
  <c r="L195" i="8"/>
  <c r="H192" i="8"/>
  <c r="M189" i="8"/>
  <c r="K186" i="8"/>
  <c r="M183" i="8"/>
  <c r="J181" i="8"/>
  <c r="I178" i="8"/>
  <c r="L175" i="8"/>
  <c r="F173" i="8"/>
  <c r="E171" i="8"/>
  <c r="I168" i="8"/>
  <c r="M165" i="8"/>
  <c r="L163" i="8"/>
  <c r="G161" i="8"/>
  <c r="M158" i="8"/>
  <c r="I156" i="8"/>
  <c r="J154" i="8"/>
  <c r="F152" i="8"/>
  <c r="L149" i="8"/>
  <c r="D148" i="8"/>
  <c r="J145" i="8"/>
  <c r="F143" i="8"/>
  <c r="L140" i="8"/>
  <c r="M138" i="8"/>
  <c r="I136" i="8"/>
  <c r="E134" i="8"/>
  <c r="G132" i="8"/>
  <c r="M129" i="8"/>
  <c r="I127" i="8"/>
  <c r="F125" i="8"/>
  <c r="I123" i="8"/>
  <c r="G121" i="8"/>
  <c r="F119" i="8"/>
  <c r="J117" i="8"/>
  <c r="J115" i="8"/>
  <c r="D114" i="8"/>
  <c r="J112" i="8"/>
  <c r="D111" i="8"/>
  <c r="J109" i="8"/>
  <c r="F108" i="8"/>
  <c r="L106" i="8"/>
  <c r="H105" i="8"/>
  <c r="L103" i="8"/>
  <c r="H102" i="8"/>
  <c r="D101" i="8"/>
  <c r="J99" i="8"/>
  <c r="F98" i="8"/>
  <c r="J96" i="8"/>
  <c r="F95" i="8"/>
  <c r="L93" i="8"/>
  <c r="H92" i="8"/>
  <c r="D91" i="8"/>
  <c r="I89" i="8"/>
  <c r="F88" i="8"/>
  <c r="M86" i="8"/>
  <c r="J85" i="8"/>
  <c r="G84" i="8"/>
  <c r="D83" i="8"/>
  <c r="K81" i="8"/>
  <c r="H80" i="8"/>
  <c r="E79" i="8"/>
  <c r="L77" i="8"/>
  <c r="H76" i="8"/>
  <c r="E75" i="8"/>
  <c r="L73" i="8"/>
  <c r="I72" i="8"/>
  <c r="F71" i="8"/>
  <c r="M69" i="8"/>
  <c r="J68" i="8"/>
  <c r="G67" i="8"/>
  <c r="D66" i="8"/>
  <c r="K64" i="8"/>
  <c r="H63" i="8"/>
  <c r="D62" i="8"/>
  <c r="K60" i="8"/>
  <c r="H59" i="8"/>
  <c r="E58" i="8"/>
  <c r="L56" i="8"/>
  <c r="J55" i="8"/>
  <c r="H54" i="8"/>
  <c r="F53" i="8"/>
  <c r="D52" i="8"/>
  <c r="L50" i="8"/>
  <c r="J49" i="8"/>
  <c r="H48" i="8"/>
  <c r="F47" i="8"/>
  <c r="D46" i="8"/>
  <c r="L44" i="8"/>
  <c r="J43" i="8"/>
  <c r="H42" i="8"/>
  <c r="F41" i="8"/>
  <c r="D40" i="8"/>
  <c r="L38" i="8"/>
  <c r="J37" i="8"/>
  <c r="H36" i="8"/>
  <c r="F35" i="8"/>
  <c r="D34" i="8"/>
  <c r="L32" i="8"/>
  <c r="J31" i="8"/>
  <c r="H30" i="8"/>
  <c r="F29" i="8"/>
  <c r="D28" i="8"/>
  <c r="L26" i="8"/>
  <c r="J25" i="8"/>
  <c r="H24" i="8"/>
  <c r="F23" i="8"/>
  <c r="D22" i="8"/>
  <c r="L20" i="8"/>
  <c r="J19" i="8"/>
  <c r="H18" i="8"/>
  <c r="F17" i="8"/>
  <c r="D16" i="8"/>
  <c r="L14" i="8"/>
  <c r="J13" i="8"/>
  <c r="H12" i="8"/>
  <c r="F11" i="8"/>
  <c r="D10" i="8"/>
  <c r="L8" i="8"/>
  <c r="J7" i="8"/>
  <c r="H6" i="8"/>
  <c r="F5" i="8"/>
  <c r="D4" i="8"/>
  <c r="L2" i="8"/>
  <c r="G438" i="8"/>
  <c r="D368" i="8"/>
  <c r="H333" i="8"/>
  <c r="F308" i="8"/>
  <c r="L289" i="8"/>
  <c r="G280" i="8"/>
  <c r="I273" i="8"/>
  <c r="F267" i="8"/>
  <c r="L258" i="8"/>
  <c r="J251" i="8"/>
  <c r="F243" i="8"/>
  <c r="H236" i="8"/>
  <c r="E230" i="8"/>
  <c r="I224" i="8"/>
  <c r="G220" i="8"/>
  <c r="H215" i="8"/>
  <c r="J211" i="8"/>
  <c r="L207" i="8"/>
  <c r="M202" i="8"/>
  <c r="G199" i="8"/>
  <c r="K195" i="8"/>
  <c r="G192" i="8"/>
  <c r="L189" i="8"/>
  <c r="J186" i="8"/>
  <c r="L183" i="8"/>
  <c r="K180" i="8"/>
  <c r="H178" i="8"/>
  <c r="K175" i="8"/>
  <c r="E173" i="8"/>
  <c r="D171" i="8"/>
  <c r="H168" i="8"/>
  <c r="L165" i="8"/>
  <c r="D163" i="8"/>
  <c r="F161" i="8"/>
  <c r="L158" i="8"/>
  <c r="H156" i="8"/>
  <c r="I154" i="8"/>
  <c r="E152" i="8"/>
  <c r="K149" i="8"/>
  <c r="G147" i="8"/>
  <c r="I145" i="8"/>
  <c r="E143" i="8"/>
  <c r="K140" i="8"/>
  <c r="L138" i="8"/>
  <c r="H136" i="8"/>
  <c r="D134" i="8"/>
  <c r="J131" i="8"/>
  <c r="L129" i="8"/>
  <c r="H127" i="8"/>
  <c r="E125" i="8"/>
  <c r="H123" i="8"/>
  <c r="F121" i="8"/>
  <c r="E119" i="8"/>
  <c r="I117" i="8"/>
  <c r="I115" i="8"/>
  <c r="M113" i="8"/>
  <c r="G112" i="8"/>
  <c r="M110" i="8"/>
  <c r="I109" i="8"/>
  <c r="E108" i="8"/>
  <c r="K106" i="8"/>
  <c r="E105" i="8"/>
  <c r="K103" i="8"/>
  <c r="G102" i="8"/>
  <c r="M100" i="8"/>
  <c r="I99" i="8"/>
  <c r="M97" i="8"/>
  <c r="I96" i="8"/>
  <c r="E95" i="8"/>
  <c r="K93" i="8"/>
  <c r="G92" i="8"/>
  <c r="K90" i="8"/>
  <c r="H89" i="8"/>
  <c r="E88" i="8"/>
  <c r="L86" i="8"/>
  <c r="I85" i="8"/>
  <c r="F84" i="8"/>
  <c r="M82" i="8"/>
  <c r="J81" i="8"/>
  <c r="G80" i="8"/>
  <c r="D79" i="8"/>
  <c r="J77" i="8"/>
  <c r="G76" i="8"/>
  <c r="D75" i="8"/>
  <c r="K73" i="8"/>
  <c r="H72" i="8"/>
  <c r="E71" i="8"/>
  <c r="L69" i="8"/>
  <c r="I68" i="8"/>
  <c r="F67" i="8"/>
  <c r="M65" i="8"/>
  <c r="J64" i="8"/>
  <c r="F63" i="8"/>
  <c r="M61" i="8"/>
  <c r="J60" i="8"/>
  <c r="G59" i="8"/>
  <c r="D58" i="8"/>
  <c r="K56" i="8"/>
  <c r="I55" i="8"/>
  <c r="G54" i="8"/>
  <c r="E53" i="8"/>
  <c r="M51" i="8"/>
  <c r="K50" i="8"/>
  <c r="I49" i="8"/>
  <c r="G48" i="8"/>
  <c r="E47" i="8"/>
  <c r="M45" i="8"/>
  <c r="K44" i="8"/>
  <c r="I43" i="8"/>
  <c r="G42" i="8"/>
  <c r="E41" i="8"/>
  <c r="M39" i="8"/>
  <c r="K38" i="8"/>
  <c r="I37" i="8"/>
  <c r="G36" i="8"/>
  <c r="E35" i="8"/>
  <c r="M33" i="8"/>
  <c r="K32" i="8"/>
  <c r="I31" i="8"/>
  <c r="G30" i="8"/>
  <c r="E29" i="8"/>
  <c r="M27" i="8"/>
  <c r="K26" i="8"/>
  <c r="I25" i="8"/>
  <c r="G24" i="8"/>
  <c r="E23" i="8"/>
  <c r="M21" i="8"/>
  <c r="K20" i="8"/>
  <c r="I19" i="8"/>
  <c r="G18" i="8"/>
  <c r="E17" i="8"/>
  <c r="M15" i="8"/>
  <c r="K14" i="8"/>
  <c r="I13" i="8"/>
  <c r="G12" i="8"/>
  <c r="E11" i="8"/>
  <c r="M9" i="8"/>
  <c r="K8" i="8"/>
  <c r="I7" i="8"/>
  <c r="G6" i="8"/>
  <c r="E5" i="8"/>
  <c r="M3" i="8"/>
  <c r="K2" i="8"/>
  <c r="E431" i="8"/>
  <c r="D366" i="8"/>
  <c r="D332" i="8"/>
  <c r="M306" i="8"/>
  <c r="K288" i="8"/>
  <c r="F280" i="8"/>
  <c r="H273" i="8"/>
  <c r="D265" i="8"/>
  <c r="L257" i="8"/>
  <c r="I251" i="8"/>
  <c r="E243" i="8"/>
  <c r="G236" i="8"/>
  <c r="F228" i="8"/>
  <c r="D224" i="8"/>
  <c r="F220" i="8"/>
  <c r="G215" i="8"/>
  <c r="I211" i="8"/>
  <c r="J206" i="8"/>
  <c r="H202" i="8"/>
  <c r="L198" i="8"/>
  <c r="F195" i="8"/>
  <c r="F192" i="8"/>
  <c r="L188" i="8"/>
  <c r="I186" i="8"/>
  <c r="K183" i="8"/>
  <c r="J180" i="8"/>
  <c r="G178" i="8"/>
  <c r="J175" i="8"/>
  <c r="D173" i="8"/>
  <c r="F170" i="8"/>
  <c r="G168" i="8"/>
  <c r="K165" i="8"/>
  <c r="M162" i="8"/>
  <c r="E161" i="8"/>
  <c r="K158" i="8"/>
  <c r="G156" i="8"/>
  <c r="M153" i="8"/>
  <c r="D152" i="8"/>
  <c r="J149" i="8"/>
  <c r="F147" i="8"/>
  <c r="H145" i="8"/>
  <c r="D143" i="8"/>
  <c r="J140" i="8"/>
  <c r="F138" i="8"/>
  <c r="G136" i="8"/>
  <c r="M133" i="8"/>
  <c r="I131" i="8"/>
  <c r="K129" i="8"/>
  <c r="G127" i="8"/>
  <c r="D125" i="8"/>
  <c r="L122" i="8"/>
  <c r="E121" i="8"/>
  <c r="D119" i="8"/>
  <c r="H117" i="8"/>
  <c r="H115" i="8"/>
  <c r="L113" i="8"/>
  <c r="F112" i="8"/>
  <c r="L110" i="8"/>
  <c r="H109" i="8"/>
  <c r="D108" i="8"/>
  <c r="J106" i="8"/>
  <c r="D105" i="8"/>
  <c r="J103" i="8"/>
  <c r="F102" i="8"/>
  <c r="L100" i="8"/>
  <c r="H99" i="8"/>
  <c r="L97" i="8"/>
  <c r="H96" i="8"/>
  <c r="D95" i="8"/>
  <c r="J93" i="8"/>
  <c r="F92" i="8"/>
  <c r="J90" i="8"/>
  <c r="G89" i="8"/>
  <c r="D88" i="8"/>
  <c r="K86" i="8"/>
  <c r="H85" i="8"/>
  <c r="E84" i="8"/>
  <c r="L82" i="8"/>
  <c r="I81" i="8"/>
  <c r="F80" i="8"/>
  <c r="L78" i="8"/>
  <c r="I77" i="8"/>
  <c r="F76" i="8"/>
  <c r="M74" i="8"/>
  <c r="J73" i="8"/>
  <c r="G72" i="8"/>
  <c r="D71" i="8"/>
  <c r="K69" i="8"/>
  <c r="H68" i="8"/>
  <c r="E67" i="8"/>
  <c r="L65" i="8"/>
  <c r="H64" i="8"/>
  <c r="E63" i="8"/>
  <c r="L61" i="8"/>
  <c r="I60" i="8"/>
  <c r="F59" i="8"/>
  <c r="M57" i="8"/>
  <c r="J56" i="8"/>
  <c r="H55" i="8"/>
  <c r="F54" i="8"/>
  <c r="D53" i="8"/>
  <c r="L51" i="8"/>
  <c r="J50" i="8"/>
  <c r="H49" i="8"/>
  <c r="F48" i="8"/>
  <c r="D47" i="8"/>
  <c r="L45" i="8"/>
  <c r="J44" i="8"/>
  <c r="H43" i="8"/>
  <c r="F42" i="8"/>
  <c r="D41" i="8"/>
  <c r="L39" i="8"/>
  <c r="J38" i="8"/>
  <c r="H37" i="8"/>
  <c r="F36" i="8"/>
  <c r="D35" i="8"/>
  <c r="L33" i="8"/>
  <c r="J32" i="8"/>
  <c r="H31" i="8"/>
  <c r="F30" i="8"/>
  <c r="D29" i="8"/>
  <c r="L27" i="8"/>
  <c r="J26" i="8"/>
  <c r="H25" i="8"/>
  <c r="F24" i="8"/>
  <c r="D23" i="8"/>
  <c r="L21" i="8"/>
  <c r="J20" i="8"/>
  <c r="H19" i="8"/>
  <c r="F18" i="8"/>
  <c r="D17" i="8"/>
  <c r="L15" i="8"/>
  <c r="J14" i="8"/>
  <c r="H13" i="8"/>
  <c r="F12" i="8"/>
  <c r="D11" i="8"/>
  <c r="L9" i="8"/>
  <c r="J8" i="8"/>
  <c r="H7" i="8"/>
  <c r="F6" i="8"/>
  <c r="D5" i="8"/>
  <c r="L3" i="8"/>
  <c r="J2" i="8"/>
  <c r="L415" i="8"/>
  <c r="E362" i="8"/>
  <c r="K328" i="8"/>
  <c r="G304" i="8"/>
  <c r="J288" i="8"/>
  <c r="J279" i="8"/>
  <c r="G273" i="8"/>
  <c r="M264" i="8"/>
  <c r="K257" i="8"/>
  <c r="G249" i="8"/>
  <c r="D243" i="8"/>
  <c r="F236" i="8"/>
  <c r="E228" i="8"/>
  <c r="M223" i="8"/>
  <c r="D219" i="8"/>
  <c r="F215" i="8"/>
  <c r="H211" i="8"/>
  <c r="I206" i="8"/>
  <c r="G202" i="8"/>
  <c r="K198" i="8"/>
  <c r="E195" i="8"/>
  <c r="E192" i="8"/>
  <c r="K188" i="8"/>
  <c r="H186" i="8"/>
  <c r="G183" i="8"/>
  <c r="I180" i="8"/>
  <c r="K177" i="8"/>
  <c r="I175" i="8"/>
  <c r="M172" i="8"/>
  <c r="E170" i="8"/>
  <c r="F168" i="8"/>
  <c r="H165" i="8"/>
  <c r="L162" i="8"/>
  <c r="H160" i="8"/>
  <c r="J158" i="8"/>
  <c r="F156" i="8"/>
  <c r="L153" i="8"/>
  <c r="M151" i="8"/>
  <c r="I149" i="8"/>
  <c r="E147" i="8"/>
  <c r="K144" i="8"/>
  <c r="M142" i="8"/>
  <c r="I140" i="8"/>
  <c r="E138" i="8"/>
  <c r="F136" i="8"/>
  <c r="L133" i="8"/>
  <c r="H131" i="8"/>
  <c r="D129" i="8"/>
  <c r="F127" i="8"/>
  <c r="M124" i="8"/>
  <c r="K122" i="8"/>
  <c r="D121" i="8"/>
  <c r="M118" i="8"/>
  <c r="M116" i="8"/>
  <c r="G115" i="8"/>
  <c r="I113" i="8"/>
  <c r="E112" i="8"/>
  <c r="K110" i="8"/>
  <c r="G109" i="8"/>
  <c r="M107" i="8"/>
  <c r="G106" i="8"/>
  <c r="M104" i="8"/>
  <c r="I103" i="8"/>
  <c r="E102" i="8"/>
  <c r="K100" i="8"/>
  <c r="E99" i="8"/>
  <c r="K97" i="8"/>
  <c r="G96" i="8"/>
  <c r="M94" i="8"/>
  <c r="I93" i="8"/>
  <c r="M91" i="8"/>
  <c r="I90" i="8"/>
  <c r="F89" i="8"/>
  <c r="M87" i="8"/>
  <c r="J86" i="8"/>
  <c r="G85" i="8"/>
  <c r="D84" i="8"/>
  <c r="K82" i="8"/>
  <c r="H81" i="8"/>
  <c r="D80" i="8"/>
  <c r="K78" i="8"/>
  <c r="H77" i="8"/>
  <c r="E76" i="8"/>
  <c r="L74" i="8"/>
  <c r="I73" i="8"/>
  <c r="F72" i="8"/>
  <c r="M70" i="8"/>
  <c r="J69" i="8"/>
  <c r="G68" i="8"/>
  <c r="D67" i="8"/>
  <c r="J65" i="8"/>
  <c r="G64" i="8"/>
  <c r="D63" i="8"/>
  <c r="K61" i="8"/>
  <c r="H60" i="8"/>
  <c r="E59" i="8"/>
  <c r="L57" i="8"/>
  <c r="I56" i="8"/>
  <c r="G55" i="8"/>
  <c r="E54" i="8"/>
  <c r="M52" i="8"/>
  <c r="K51" i="8"/>
  <c r="I50" i="8"/>
  <c r="G49" i="8"/>
  <c r="E48" i="8"/>
  <c r="M46" i="8"/>
  <c r="K45" i="8"/>
  <c r="I44" i="8"/>
  <c r="G43" i="8"/>
  <c r="E42" i="8"/>
  <c r="M40" i="8"/>
  <c r="K39" i="8"/>
  <c r="I38" i="8"/>
  <c r="G37" i="8"/>
  <c r="E36" i="8"/>
  <c r="M34" i="8"/>
  <c r="L411" i="8"/>
  <c r="J360" i="8"/>
  <c r="H327" i="8"/>
  <c r="D303" i="8"/>
  <c r="H286" i="8"/>
  <c r="I279" i="8"/>
  <c r="E271" i="8"/>
  <c r="M263" i="8"/>
  <c r="J257" i="8"/>
  <c r="F249" i="8"/>
  <c r="H242" i="8"/>
  <c r="D234" i="8"/>
  <c r="J227" i="8"/>
  <c r="L223" i="8"/>
  <c r="M218" i="8"/>
  <c r="E215" i="8"/>
  <c r="F210" i="8"/>
  <c r="D206" i="8"/>
  <c r="F202" i="8"/>
  <c r="J198" i="8"/>
  <c r="D195" i="8"/>
  <c r="J191" i="8"/>
  <c r="J188" i="8"/>
  <c r="I185" i="8"/>
  <c r="F183" i="8"/>
  <c r="H180" i="8"/>
  <c r="G177" i="8"/>
  <c r="H175" i="8"/>
  <c r="J172" i="8"/>
  <c r="D170" i="8"/>
  <c r="H167" i="8"/>
  <c r="G165" i="8"/>
  <c r="K162" i="8"/>
  <c r="G160" i="8"/>
  <c r="I158" i="8"/>
  <c r="E156" i="8"/>
  <c r="K153" i="8"/>
  <c r="G151" i="8"/>
  <c r="H149" i="8"/>
  <c r="D147" i="8"/>
  <c r="J144" i="8"/>
  <c r="L142" i="8"/>
  <c r="H140" i="8"/>
  <c r="D138" i="8"/>
  <c r="J135" i="8"/>
  <c r="K133" i="8"/>
  <c r="G131" i="8"/>
  <c r="M128" i="8"/>
  <c r="D127" i="8"/>
  <c r="L124" i="8"/>
  <c r="J122" i="8"/>
  <c r="H120" i="8"/>
  <c r="L118" i="8"/>
  <c r="L116" i="8"/>
  <c r="F115" i="8"/>
  <c r="H113" i="8"/>
  <c r="D112" i="8"/>
  <c r="J110" i="8"/>
  <c r="F109" i="8"/>
  <c r="L107" i="8"/>
  <c r="F106" i="8"/>
  <c r="L104" i="8"/>
  <c r="H103" i="8"/>
  <c r="D102" i="8"/>
  <c r="J100" i="8"/>
  <c r="D99" i="8"/>
  <c r="J97" i="8"/>
  <c r="F96" i="8"/>
  <c r="L94" i="8"/>
  <c r="H93" i="8"/>
  <c r="L91" i="8"/>
  <c r="H90" i="8"/>
  <c r="E89" i="8"/>
  <c r="L87" i="8"/>
  <c r="I86" i="8"/>
  <c r="F85" i="8"/>
  <c r="M83" i="8"/>
  <c r="J82" i="8"/>
  <c r="F81" i="8"/>
  <c r="M79" i="8"/>
  <c r="J78" i="8"/>
  <c r="G77" i="8"/>
  <c r="D76" i="8"/>
  <c r="K74" i="8"/>
  <c r="H73" i="8"/>
  <c r="F401" i="8"/>
  <c r="H356" i="8"/>
  <c r="L324" i="8"/>
  <c r="M299" i="8"/>
  <c r="F286" i="8"/>
  <c r="H279" i="8"/>
  <c r="D271" i="8"/>
  <c r="L263" i="8"/>
  <c r="H255" i="8"/>
  <c r="E249" i="8"/>
  <c r="G242" i="8"/>
  <c r="M233" i="8"/>
  <c r="I227" i="8"/>
  <c r="J222" i="8"/>
  <c r="L218" i="8"/>
  <c r="D215" i="8"/>
  <c r="E210" i="8"/>
  <c r="M205" i="8"/>
  <c r="F201" i="8"/>
  <c r="J197" i="8"/>
  <c r="D194" i="8"/>
  <c r="I191" i="8"/>
  <c r="I188" i="8"/>
  <c r="H185" i="8"/>
  <c r="E183" i="8"/>
  <c r="G180" i="8"/>
  <c r="F177" i="8"/>
  <c r="J174" i="8"/>
  <c r="I172" i="8"/>
  <c r="M169" i="8"/>
  <c r="G167" i="8"/>
  <c r="F165" i="8"/>
  <c r="J162" i="8"/>
  <c r="F160" i="8"/>
  <c r="L157" i="8"/>
  <c r="D156" i="8"/>
  <c r="J153" i="8"/>
  <c r="F151" i="8"/>
  <c r="G149" i="8"/>
  <c r="M146" i="8"/>
  <c r="I144" i="8"/>
  <c r="E142" i="8"/>
  <c r="F140" i="8"/>
  <c r="L137" i="8"/>
  <c r="H135" i="8"/>
  <c r="J133" i="8"/>
  <c r="F131" i="8"/>
  <c r="L128" i="8"/>
  <c r="H126" i="8"/>
  <c r="K124" i="8"/>
  <c r="I122" i="8"/>
  <c r="G120" i="8"/>
  <c r="K118" i="8"/>
  <c r="K116" i="8"/>
  <c r="E115" i="8"/>
  <c r="G113" i="8"/>
  <c r="M111" i="8"/>
  <c r="I110" i="8"/>
  <c r="E109" i="8"/>
  <c r="I107" i="8"/>
  <c r="E106" i="8"/>
  <c r="K104" i="8"/>
  <c r="G103" i="8"/>
  <c r="M101" i="8"/>
  <c r="G100" i="8"/>
  <c r="M98" i="8"/>
  <c r="G397" i="8"/>
  <c r="K354" i="8"/>
  <c r="I323" i="8"/>
  <c r="K298" i="8"/>
  <c r="J285" i="8"/>
  <c r="F277" i="8"/>
  <c r="D270" i="8"/>
  <c r="K263" i="8"/>
  <c r="G255" i="8"/>
  <c r="D249" i="8"/>
  <c r="J240" i="8"/>
  <c r="H233" i="8"/>
  <c r="H227" i="8"/>
  <c r="I222" i="8"/>
  <c r="K218" i="8"/>
  <c r="L213" i="8"/>
  <c r="J209" i="8"/>
  <c r="L205" i="8"/>
  <c r="D201" i="8"/>
  <c r="H197" i="8"/>
  <c r="M193" i="8"/>
  <c r="H191" i="8"/>
  <c r="E188" i="8"/>
  <c r="G185" i="8"/>
  <c r="I182" i="8"/>
  <c r="F180" i="8"/>
  <c r="E177" i="8"/>
  <c r="I174" i="8"/>
  <c r="H172" i="8"/>
  <c r="L169" i="8"/>
  <c r="F167" i="8"/>
  <c r="J164" i="8"/>
  <c r="I162" i="8"/>
  <c r="E160" i="8"/>
  <c r="K157" i="8"/>
  <c r="L155" i="8"/>
  <c r="H153" i="8"/>
  <c r="D151" i="8"/>
  <c r="J148" i="8"/>
  <c r="L146" i="8"/>
  <c r="H144" i="8"/>
  <c r="D142" i="8"/>
  <c r="E140" i="8"/>
  <c r="K137" i="8"/>
  <c r="G135" i="8"/>
  <c r="M132" i="8"/>
  <c r="E131" i="8"/>
  <c r="K128" i="8"/>
  <c r="G126" i="8"/>
  <c r="J124" i="8"/>
  <c r="H122" i="8"/>
  <c r="F120" i="8"/>
  <c r="J118" i="8"/>
  <c r="J116" i="8"/>
  <c r="D115" i="8"/>
  <c r="F113" i="8"/>
  <c r="L111" i="8"/>
  <c r="H110" i="8"/>
  <c r="D109" i="8"/>
  <c r="H107" i="8"/>
  <c r="D106" i="8"/>
  <c r="J104" i="8"/>
  <c r="F103" i="8"/>
  <c r="L101" i="8"/>
  <c r="F100" i="8"/>
  <c r="L98" i="8"/>
  <c r="H97" i="8"/>
  <c r="D96" i="8"/>
  <c r="J94" i="8"/>
  <c r="D93" i="8"/>
  <c r="J91" i="8"/>
  <c r="H388" i="8"/>
  <c r="D351" i="8"/>
  <c r="H320" i="8"/>
  <c r="F296" i="8"/>
  <c r="I285" i="8"/>
  <c r="E277" i="8"/>
  <c r="M269" i="8"/>
  <c r="I261" i="8"/>
  <c r="F255" i="8"/>
  <c r="H248" i="8"/>
  <c r="D240" i="8"/>
  <c r="L232" i="8"/>
  <c r="F226" i="8"/>
  <c r="H222" i="8"/>
  <c r="J218" i="8"/>
  <c r="K213" i="8"/>
  <c r="I209" i="8"/>
  <c r="J204" i="8"/>
  <c r="M200" i="8"/>
  <c r="G197" i="8"/>
  <c r="L193" i="8"/>
  <c r="H190" i="8"/>
  <c r="D188" i="8"/>
  <c r="F185" i="8"/>
  <c r="E182" i="8"/>
  <c r="E180" i="8"/>
  <c r="D177" i="8"/>
  <c r="H174" i="8"/>
  <c r="L171" i="8"/>
  <c r="K169" i="8"/>
  <c r="E167" i="8"/>
  <c r="I164" i="8"/>
  <c r="H162" i="8"/>
  <c r="D160" i="8"/>
  <c r="J157" i="8"/>
  <c r="F155" i="8"/>
  <c r="G153" i="8"/>
  <c r="M150" i="8"/>
  <c r="I148" i="8"/>
  <c r="K146" i="8"/>
  <c r="G144" i="8"/>
  <c r="M141" i="8"/>
  <c r="I139" i="8"/>
  <c r="J137" i="8"/>
  <c r="F135" i="8"/>
  <c r="L132" i="8"/>
  <c r="D131" i="8"/>
  <c r="J128" i="8"/>
  <c r="F126" i="8"/>
  <c r="D124" i="8"/>
  <c r="G122" i="8"/>
  <c r="E120" i="8"/>
  <c r="E118" i="8"/>
  <c r="I116" i="8"/>
  <c r="I114" i="8"/>
  <c r="E113" i="8"/>
  <c r="G382" i="8"/>
  <c r="E345" i="8"/>
  <c r="I316" i="8"/>
  <c r="D296" i="8"/>
  <c r="F283" i="8"/>
  <c r="D276" i="8"/>
  <c r="J267" i="8"/>
  <c r="G261" i="8"/>
  <c r="D255" i="8"/>
  <c r="J246" i="8"/>
  <c r="H239" i="8"/>
  <c r="D231" i="8"/>
  <c r="D226" i="8"/>
  <c r="F222" i="8"/>
  <c r="G217" i="8"/>
  <c r="E213" i="8"/>
  <c r="F208" i="8"/>
  <c r="H204" i="8"/>
  <c r="K200" i="8"/>
  <c r="E197" i="8"/>
  <c r="J193" i="8"/>
  <c r="F190" i="8"/>
  <c r="G187" i="8"/>
  <c r="D185" i="8"/>
  <c r="M181" i="8"/>
  <c r="E179" i="8"/>
  <c r="L176" i="8"/>
  <c r="F174" i="8"/>
  <c r="H171" i="8"/>
  <c r="L168" i="8"/>
  <c r="M166" i="8"/>
  <c r="E164" i="8"/>
  <c r="J161" i="8"/>
  <c r="L159" i="8"/>
  <c r="H157" i="8"/>
  <c r="D155" i="8"/>
  <c r="J152" i="8"/>
  <c r="K150" i="8"/>
  <c r="G148" i="8"/>
  <c r="M145" i="8"/>
  <c r="E144" i="8"/>
  <c r="K141" i="8"/>
  <c r="G139" i="8"/>
  <c r="M136" i="8"/>
  <c r="D135" i="8"/>
  <c r="J132" i="8"/>
  <c r="F130" i="8"/>
  <c r="H128" i="8"/>
  <c r="D126" i="8"/>
  <c r="L123" i="8"/>
  <c r="J121" i="8"/>
  <c r="M119" i="8"/>
  <c r="M117" i="8"/>
  <c r="G116" i="8"/>
  <c r="G114" i="8"/>
  <c r="M112" i="8"/>
  <c r="I111" i="8"/>
  <c r="M109" i="8"/>
  <c r="I108" i="8"/>
  <c r="E107" i="8"/>
  <c r="K105" i="8"/>
  <c r="J3" i="8"/>
  <c r="J5" i="8"/>
  <c r="F7" i="8"/>
  <c r="F9" i="8"/>
  <c r="L10" i="8"/>
  <c r="L12" i="8"/>
  <c r="H14" i="8"/>
  <c r="H16" i="8"/>
  <c r="D18" i="8"/>
  <c r="D20" i="8"/>
  <c r="J21" i="8"/>
  <c r="J23" i="8"/>
  <c r="F25" i="8"/>
  <c r="F27" i="8"/>
  <c r="L28" i="8"/>
  <c r="L30" i="8"/>
  <c r="H32" i="8"/>
  <c r="H34" i="8"/>
  <c r="J36" i="8"/>
  <c r="G38" i="8"/>
  <c r="I40" i="8"/>
  <c r="K42" i="8"/>
  <c r="H44" i="8"/>
  <c r="J46" i="8"/>
  <c r="L48" i="8"/>
  <c r="D51" i="8"/>
  <c r="K52" i="8"/>
  <c r="M54" i="8"/>
  <c r="E57" i="8"/>
  <c r="D59" i="8"/>
  <c r="H61" i="8"/>
  <c r="L63" i="8"/>
  <c r="F66" i="8"/>
  <c r="D68" i="8"/>
  <c r="H70" i="8"/>
  <c r="L72" i="8"/>
  <c r="I75" i="8"/>
  <c r="E78" i="8"/>
  <c r="K80" i="8"/>
  <c r="G83" i="8"/>
  <c r="M85" i="8"/>
  <c r="J88" i="8"/>
  <c r="G91" i="8"/>
  <c r="G94" i="8"/>
  <c r="H98" i="8"/>
  <c r="J102" i="8"/>
  <c r="F107" i="8"/>
  <c r="D113" i="8"/>
  <c r="M123" i="8"/>
  <c r="I137" i="8"/>
  <c r="L150" i="8"/>
  <c r="F164" i="8"/>
  <c r="F179" i="8"/>
  <c r="F197" i="8"/>
  <c r="G222" i="8"/>
  <c r="H261" i="8"/>
  <c r="L348" i="8"/>
  <c r="E2" i="8"/>
  <c r="K3" i="8"/>
  <c r="K5" i="8"/>
  <c r="G7" i="8"/>
  <c r="G9" i="8"/>
  <c r="M10" i="8"/>
  <c r="M12" i="8"/>
  <c r="I14" i="8"/>
  <c r="I16" i="8"/>
  <c r="E18" i="8"/>
  <c r="E20" i="8"/>
  <c r="K21" i="8"/>
  <c r="K23" i="8"/>
  <c r="G25" i="8"/>
  <c r="G27" i="8"/>
  <c r="M28" i="8"/>
  <c r="M30" i="8"/>
  <c r="I32" i="8"/>
  <c r="I34" i="8"/>
  <c r="K36" i="8"/>
  <c r="H38" i="8"/>
  <c r="J40" i="8"/>
  <c r="L42" i="8"/>
  <c r="D45" i="8"/>
  <c r="K46" i="8"/>
  <c r="M48" i="8"/>
  <c r="E51" i="8"/>
  <c r="L52" i="8"/>
  <c r="D55" i="8"/>
  <c r="F57" i="8"/>
  <c r="J59" i="8"/>
  <c r="I61" i="8"/>
  <c r="M63" i="8"/>
  <c r="G66" i="8"/>
  <c r="F68" i="8"/>
  <c r="J70" i="8"/>
  <c r="D73" i="8"/>
  <c r="J75" i="8"/>
  <c r="F78" i="8"/>
  <c r="L80" i="8"/>
  <c r="H83" i="8"/>
  <c r="D86" i="8"/>
  <c r="K88" i="8"/>
  <c r="H91" i="8"/>
  <c r="K94" i="8"/>
  <c r="I98" i="8"/>
  <c r="K102" i="8"/>
  <c r="G107" i="8"/>
  <c r="F114" i="8"/>
  <c r="M125" i="8"/>
  <c r="F139" i="8"/>
  <c r="I152" i="8"/>
  <c r="J166" i="8"/>
  <c r="L181" i="8"/>
  <c r="J200" i="8"/>
  <c r="M225" i="8"/>
  <c r="I267" i="8"/>
  <c r="D380" i="8"/>
  <c r="F2" i="8"/>
  <c r="F4" i="8"/>
  <c r="L5" i="8"/>
  <c r="L7" i="8"/>
  <c r="H9" i="8"/>
  <c r="H11" i="8"/>
  <c r="D13" i="8"/>
  <c r="D15" i="8"/>
  <c r="J16" i="8"/>
  <c r="J18" i="8"/>
  <c r="F20" i="8"/>
  <c r="F22" i="8"/>
  <c r="L23" i="8"/>
  <c r="L25" i="8"/>
  <c r="H27" i="8"/>
  <c r="H29" i="8"/>
  <c r="D31" i="8"/>
  <c r="D33" i="8"/>
  <c r="J34" i="8"/>
  <c r="L36" i="8"/>
  <c r="D39" i="8"/>
  <c r="K40" i="8"/>
  <c r="M42" i="8"/>
  <c r="E45" i="8"/>
  <c r="L46" i="8"/>
  <c r="D49" i="8"/>
  <c r="F51" i="8"/>
  <c r="H53" i="8"/>
  <c r="E55" i="8"/>
  <c r="H57" i="8"/>
  <c r="L59" i="8"/>
  <c r="J61" i="8"/>
  <c r="D64" i="8"/>
  <c r="H66" i="8"/>
  <c r="L68" i="8"/>
  <c r="K70" i="8"/>
  <c r="E73" i="8"/>
  <c r="K75" i="8"/>
  <c r="G78" i="8"/>
  <c r="M80" i="8"/>
  <c r="I83" i="8"/>
  <c r="F86" i="8"/>
  <c r="L88" i="8"/>
  <c r="I91" i="8"/>
  <c r="H95" i="8"/>
  <c r="J98" i="8"/>
  <c r="D103" i="8"/>
  <c r="H108" i="8"/>
  <c r="H114" i="8"/>
  <c r="E126" i="8"/>
  <c r="H139" i="8"/>
  <c r="F153" i="8"/>
  <c r="D167" i="8"/>
  <c r="D182" i="8"/>
  <c r="L200" i="8"/>
  <c r="E226" i="8"/>
  <c r="L269" i="8"/>
  <c r="F38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tc={b4f4774a-0785-4199-a293-fe200ae37aae}</author>
    <author>tc={813be3d7-ddac-4306-b046-12ab331536a7}</author>
    <author>tc={0161a6ef-cca8-417e-8684-427f77b99b6a}</author>
    <author>tc={1c74055e-9fbd-4fb5-bea1-f8be9ce88633}</author>
    <author>tc={23bfc304-15b6-432b-99c1-889885268e16}</author>
    <author>tc={ec7d8d59-0e50-48d5-b5dc-d2009561a015}</author>
  </authors>
  <commentList>
    <comment ref="K3" authorId="0" shapeId="0" xr:uid="{B4F4774A-0785-4199-A293-FE200AE37AAE}">
      <text>
        <t>[Threaded comment]
Your version of Excel allows you to read this threaded comment; however, any edits to it will get removed if the file is opened in a newer version of Excel. Learn more: https://go.microsoft.com/fwlink/?linkid=870924
Comment:
    sai ví dụ</t>
      </text>
    </comment>
    <comment ref="K49" authorId="1" shapeId="0" xr:uid="{813BE3D7-DDAC-4306-B046-12AB331536A7}">
      <text>
        <t>[Threaded comment]
Your version of Excel allows you to read this threaded comment; however, any edits to it will get removed if the file is opened in a newer version of Excel. Learn more: https://go.microsoft.com/fwlink/?linkid=870924
Comment:
    ảnh không đúng ví dụ</t>
      </text>
    </comment>
    <comment ref="K54" authorId="2" shapeId="0" xr:uid="{0161A6EF-CCA8-417E-8684-427F77B99B6A}">
      <text>
        <t>[Threaded comment]
Your version of Excel allows you to read this threaded comment; however, any edits to it will get removed if the file is opened in a newer version of Excel. Learn more: https://go.microsoft.com/fwlink/?linkid=870924
Comment:
    sai ví dụ</t>
      </text>
    </comment>
    <comment ref="L104" authorId="3" shapeId="0" xr:uid="{1C74055E-9FBD-4FB5-BEA1-F8BE9CE88633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audio</t>
      </text>
    </comment>
    <comment ref="M104" authorId="4" shapeId="0" xr:uid="{23BFC304-15B6-432B-99C1-889885268E16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audio</t>
      </text>
    </comment>
    <comment ref="K133" authorId="5" shapeId="0" xr:uid="{EC7D8D59-0E50-48D5-B5DC-D2009561A015}">
      <text>
        <t>[Threaded comment]
Your version of Excel allows you to read this threaded comment; however, any edits to it will get removed if the file is opened in a newer version of Excel. Learn more: https://go.microsoft.com/fwlink/?linkid=870924
Comment:
    ví dụ không đúng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tc={4b4e4bb6-8e8c-4bc6-86f4-e62157592abd}</author>
    <author>tc={9d56bf9a-83d4-4138-872b-b7ac4c85784c}</author>
    <author>tc={f41eb470-ac9a-4ea9-9a30-390d023f766c}</author>
    <author>tc={999193ee-e229-42b3-9702-4fa8f3e4ae33}</author>
    <author>tc={ef46ad3d-7a8c-42de-8e8a-09241c663363}</author>
    <author>tc={b19d99c6-e2fc-4bcc-b91a-c8ea41fdf9c9}</author>
    <author>tc={3471655e-fcc6-4689-bfa1-488186220a63}</author>
    <author>tc={3746042e-46f6-4c20-8e3d-c1f07c5fce05}</author>
    <author>tc={a95d7799-f475-4e66-9681-5bf03707b5a5}</author>
    <author>tc={1aa342d1-51e4-46e5-8a58-43041c2c05d3}</author>
    <author>tc={45a718b9-8925-4521-847b-ab1e58548faf}</author>
    <author>tc={ab87a811-5100-482e-80b1-00fcd8fe3596}</author>
    <author>tc={a9ca7d3f-b373-4445-99b0-0032b2cc9bc0}</author>
    <author>tc={1908765d-927b-4669-957c-7142b288576e}</author>
    <author>tc={177c638c-ea12-41eb-8fc8-8cf37a3523d1}</author>
    <author>tc={49a8ef16-2c84-4ce5-ac8b-566f309cc23a}</author>
    <author>tc={1292e467-7f38-48cf-8344-c1601bc70f54}</author>
    <author>tc={74002280-e9bf-4ed5-9b10-53d68ac74d96}</author>
    <author>tc={11e3c19d-9431-4cb6-a56f-011d07d30bb1}</author>
    <author>tc={375bb8b9-188b-40ce-8dc4-08d340441918}</author>
    <author>tc={e2b08339-be8f-4a6a-9d1d-88acde752d01}</author>
    <author>tc={9b576833-606b-46cb-be91-51466c04ae3a}</author>
    <author>tc={15ace35e-fa25-4aaf-82c3-94c1772775ba}</author>
    <author>tc={41f96a5b-79db-437d-9299-43ad08756d53}</author>
    <author>tc={45f5398b-3802-4c69-a9a3-4f9de4d4142b}</author>
    <author>tc={cf71bb8e-a2e8-43f4-8617-6927c8002d47}</author>
    <author>tc={d4a6410a-1766-41b6-ba5d-6664043c2114}</author>
    <author>tc={258ad558-85bd-459a-9ece-a6aa13a4e3bb}</author>
    <author>tc={0f690420-7709-434a-b6bb-96c057b0e71c}</author>
    <author>tc={8bd0236b-ce58-4346-8af8-958d3f771f50}</author>
    <author>tc={7d51453a-a31f-4d10-bc0d-9dc384dfdd4d}</author>
    <author>tc={ffcb8ba4-3c91-46c6-ab16-96cfecb9ee97}</author>
    <author>tc={c01eab4a-4dc1-42b8-9df6-05ef48bf88f1}</author>
    <author>tc={3150791d-0a0b-40f7-8e5d-dc9e3236ac26}</author>
    <author>tc={973dcf98-7ee5-4d2e-b963-573f5a7663cb}</author>
    <author>tc={9286c2c5-1769-4463-9f63-f1b1a814fe83}</author>
    <author>tc={00f90536-3f8c-4260-a358-a869031944aa}</author>
    <author>tc={f253992a-06b8-4e2e-b0a9-aaf5deaf8fb7}</author>
    <author>tc={0a236bb4-4647-4945-97f7-4b460b3578ff}</author>
    <author>tc={6dd1aeb0-29db-40e4-8d0f-c3af9f91d54d}</author>
    <author>tc={45a89079-85c7-496b-85eb-c5c88debddb1}</author>
    <author>tc={8604ada9-6cce-49c4-8953-58b2dcbcc9b9}</author>
    <author>tc={8e8a3a25-1395-4447-b551-0420961a9480}</author>
    <author>tc={d5000e4c-8b43-49c4-9d41-2300abe7636a}</author>
    <author>tc={ecc89f82-d52e-4f25-b3b5-62d1ad3c5677}</author>
    <author>tc={8aea5204-b2b8-4415-8ec5-bc60f7cc1f8a}</author>
    <author>tc={75398f93-9a87-443d-a1d4-8d7bb0bb65c0}</author>
    <author>tc={f1fab1e8-9fd9-4bbf-a596-20751f569abe}</author>
    <author>tc={73628cbe-4ea8-41c2-b4f4-66da62d356ef}</author>
    <author>tc={e4c97816-d952-4069-a0e0-67810bbd72f4}</author>
    <author>tc={4de36c42-e34b-4ef9-b912-4bb2e23ffc61}</author>
    <author>tc={8a1bc0ef-73ce-4ae9-bdee-5b57db01ac6a}</author>
    <author>tc={6f60a5e1-c603-46c0-9848-cf1f34f328eb}</author>
    <author>tc={b3f3cff6-8721-409f-b89c-3870120d4f44}</author>
    <author>tc={f517ca03-8ed5-4994-82a5-b50dfd1dfb76}</author>
    <author>tc={8ef052de-0d47-4ebd-811c-4cd7fad2e2a1}</author>
    <author>tc={abf4f586-8bda-4246-8bd9-0fa5e2464519}</author>
    <author>tc={7d864e88-87a4-414d-9cfe-c0e652ffe4fa}</author>
    <author>tc={2af57525-ec2c-4296-aa5e-a77ce9e84fc5}</author>
    <author>tc={d6cdc464-ffea-47d7-bf1a-af3d5b45e6ca}</author>
    <author>tc={041ead73-bb39-4d9b-8adb-32f5994d0b64}</author>
    <author>tc={8e7097e4-1e69-4757-a520-677df947194e}</author>
    <author>tc={3a9c4bc5-bcef-4ef7-ad2a-ad2f4a98fc7a}</author>
    <author>tc={9777cabe-cf99-4927-b6ba-18ec68bca316}</author>
    <author>tc={660107b0-102e-4a6e-9af2-f34705f19f5a}</author>
    <author>tc={960c09bc-49c2-46de-a92c-8c8af2a93788}</author>
    <author>tc={b220f772-9787-401f-8bd4-75bdbdd8cf15}</author>
  </authors>
  <commentList>
    <comment ref="M5" authorId="0" shapeId="0" xr:uid="{4B4E4BB6-8E8C-4BC6-86F4-E62157592ABD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9" authorId="1" shapeId="0" xr:uid="{9D56BF9A-83D4-4138-872B-B7AC4C85784C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K10" authorId="2" shapeId="0" xr:uid="{F41EB470-AC9A-4EA9-9A30-390D023F766C}">
      <text>
        <t>[Threaded comment]
Your version of Excel allows you to read this threaded comment; however, any edits to it will get removed if the file is opened in a newer version of Excel. Learn more: https://go.microsoft.com/fwlink/?linkid=870924
Comment:
    Ảnh bị thừa chi tiết (nắp thùng rác)</t>
      </text>
    </comment>
    <comment ref="M10" authorId="3" shapeId="0" xr:uid="{999193EE-E229-42B3-9702-4FA8F3E4AE33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11" authorId="4" shapeId="0" xr:uid="{EF46AD3D-7A8C-42DE-8E8A-09241C663363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17" authorId="5" shapeId="0" xr:uid="{B19D99C6-E2FC-4BCC-B91A-C8EA41FDF9C9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28" authorId="6" shapeId="0" xr:uid="{3471655E-FCC6-4689-BFA1-488186220A63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35" authorId="7" shapeId="0" xr:uid="{3746042E-46F6-4C20-8E3D-C1F07C5FCE05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36" authorId="8" shapeId="0" xr:uid="{A95D7799-F475-4E66-9681-5BF03707B5A5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  dụ</t>
      </text>
    </comment>
    <comment ref="M43" authorId="9" shapeId="0" xr:uid="{1AA342D1-51E4-46E5-8A58-43041C2C05D3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45" authorId="10" shapeId="0" xr:uid="{45A718B9-8925-4521-847B-AB1E58548FAF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47" authorId="11" shapeId="0" xr:uid="{AB87A811-5100-482E-80B1-00FCD8FE3596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49" authorId="12" shapeId="0" xr:uid="{A9CA7D3F-B373-4445-99B0-0032B2CC9BC0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50" authorId="13" shapeId="0" xr:uid="{1908765D-927B-4669-957C-7142B288576E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51" authorId="14" shapeId="0" xr:uid="{177C638C-EA12-41EB-8FC8-8CF37A35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K53" authorId="15" shapeId="0" xr:uid="{49A8EF16-2C84-4CE5-AC8B-566F309CC23A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L53" authorId="16" shapeId="0" xr:uid="{1292E467-7F38-48CF-8344-C1601BC70F54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M53" authorId="17" shapeId="0" xr:uid="{74002280-E9BF-4ED5-9B10-53D68AC74D96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K55" authorId="18" shapeId="0" xr:uid="{11E3C19D-9431-4CB6-A56F-011D07D30BB1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L55" authorId="19" shapeId="0" xr:uid="{375BB8B9-188B-40CE-8DC4-08D340441918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M55" authorId="20" shapeId="0" xr:uid="{E2B08339-BE8F-4A6A-9D1D-88ACDE752D01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57" authorId="21" shapeId="0" xr:uid="{9B576833-606B-46CB-BE91-51466C04AE3A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K61" authorId="22" shapeId="0" xr:uid="{15ACE35E-FA25-4AAF-82C3-94C1772775BA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M61" authorId="23" shapeId="0" xr:uid="{41F96A5B-79DB-437D-9299-43AD08756D53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K65" authorId="24" shapeId="0" xr:uid="{45F5398B-3802-4C69-A9A3-4F9DE4D4142B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M65" authorId="25" shapeId="0" xr:uid="{CF71BB8E-A2E8-43F4-8617-6927C8002D47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67" authorId="26" shapeId="0" xr:uid="{D4A6410A-1766-41B6-BA5D-6664043C2114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73" authorId="27" shapeId="0" xr:uid="{258AD558-85BD-459A-9ECE-A6AA13A4E3BB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K74" authorId="28" shapeId="0" xr:uid="{0F690420-7709-434A-B6BB-96C057B0E71C}">
      <text>
        <t>[Threaded comment]
Your version of Excel allows you to read this threaded comment; however, any edits to it will get removed if the file is opened in a newer version of Excel. Learn more: https://go.microsoft.com/fwlink/?linkid=870924
Comment:
    ảnh không khớp với nội dung ví dụ</t>
      </text>
    </comment>
    <comment ref="M74" authorId="29" shapeId="0" xr:uid="{8BD0236B-CE58-4346-8AF8-958D3F771F50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K76" authorId="30" shapeId="0" xr:uid="{7D51453A-A31F-4D10-BC0D-9DC384DFDD4D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L76" authorId="31" shapeId="0" xr:uid="{FFCB8BA4-3C91-46C6-AB16-96CFECB9EE97}">
      <text>
        <t>[Threaded comment]
Your version of Excel allows you to read this threaded comment; however, any edits to it will get removed if the file is opened in a newer version of Excel. Learn more: https://go.microsoft.com/fwlink/?linkid=870924
Comment:
    sai phiên âm, hái -&gt; huàn</t>
      </text>
    </comment>
    <comment ref="L79" authorId="32" shapeId="0" xr:uid="{C01EAB4A-4DC1-42B8-9DF6-05EF48BF88F1}">
      <text>
        <t>[Threaded comment]
Your version of Excel allows you to read this threaded comment; however, any edits to it will get removed if the file is opened in a newer version of Excel. Learn more: https://go.microsoft.com/fwlink/?linkid=870924
Comment:
    nhầm thanh điệu, thanh 4-&gt; thanh 2</t>
      </text>
    </comment>
    <comment ref="M83" authorId="33" shapeId="0" xr:uid="{3150791D-0A0B-40F7-8E5D-DC9E3236AC26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84" authorId="34" shapeId="0" xr:uid="{973DCF98-7EE5-4D2E-B963-573F5A7663CB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L110" authorId="35" shapeId="0" xr:uid="{9286C2C5-1769-4463-9F63-F1B1A814FE83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M110" authorId="36" shapeId="0" xr:uid="{00F90536-3F8C-4260-A358-A869031944AA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M172" authorId="37" shapeId="0" xr:uid="{F253992A-06B8-4E2E-B0A9-AAF5DEAF8FB7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L181" authorId="38" shapeId="0" xr:uid="{0A236BB4-4647-4945-97F7-4B460B3578FF}">
      <text>
        <t>[Threaded comment]
Your version of Excel allows you to read this threaded comment; however, any edits to it will get removed if the file is opened in a newer version of Excel. Learn more: https://go.microsoft.com/fwlink/?linkid=870924
Comment:
    sai thanh điệu, thanh 1 -&gt; thanh 2</t>
      </text>
    </comment>
    <comment ref="M182" authorId="39" shapeId="0" xr:uid="{6DD1AEB0-29DB-40E4-8D0F-C3AF9F91D54D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M198" authorId="40" shapeId="0" xr:uid="{45A89079-85C7-496B-85EB-C5C88DEBDDB1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K232" authorId="41" shapeId="0" xr:uid="{8604ADA9-6CCE-49C4-8953-58B2DCBCC9B9}">
      <text>
        <t>[Threaded comment]
Your version of Excel allows you to read this threaded comment; however, any edits to it will get removed if the file is opened in a newer version of Excel. Learn more: https://go.microsoft.com/fwlink/?linkid=870924
Comment:
    sai hán tự</t>
      </text>
    </comment>
    <comment ref="M266" authorId="42" shapeId="0" xr:uid="{8E8A3A25-1395-4447-B551-0420961A9480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K288" authorId="43" shapeId="0" xr:uid="{D5000E4C-8B43-49C4-9D41-2300ABE7636A}">
      <text>
        <t>[Threaded comment]
Your version of Excel allows you to read this threaded comment; however, any edits to it will get removed if the file is opened in a newer version of Excel. Learn more: https://go.microsoft.com/fwlink/?linkid=870924
Comment:
    sai hán tự</t>
      </text>
    </comment>
    <comment ref="K350" authorId="44" shapeId="0" xr:uid="{ECC89F82-D52E-4F25-B3B5-62D1AD3C5677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hán tự</t>
      </text>
    </comment>
    <comment ref="K351" authorId="45" shapeId="0" xr:uid="{8AEA5204-B2B8-4415-8EC5-BC60F7CC1F8A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hán tự</t>
      </text>
    </comment>
    <comment ref="M354" authorId="46" shapeId="0" xr:uid="{75398F93-9A87-443D-A1D4-8D7BB0BB65C0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L404" authorId="47" shapeId="0" xr:uid="{F1FAB1E8-9FD9-4BBF-A596-20751F569ABE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M404" authorId="48" shapeId="0" xr:uid="{73628CBE-4EA8-41C2-B4F4-66DA62D356EF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K409" authorId="49" shapeId="0" xr:uid="{E4C97816-D952-4069-A0E0-67810BBD72F4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hán tự</t>
      </text>
    </comment>
    <comment ref="K414" authorId="50" shapeId="0" xr:uid="{4DE36C42-E34B-4EF9-B912-4BB2E23FFC61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hán tự</t>
      </text>
    </comment>
    <comment ref="K418" authorId="51" shapeId="0" xr:uid="{8A1BC0EF-73CE-4AE9-BDEE-5B57DB01AC6A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hán tự</t>
      </text>
    </comment>
    <comment ref="L423" authorId="52" shapeId="0" xr:uid="{6F60A5E1-C603-46C0-9848-CF1F34F328EB}">
      <text>
        <t>[Threaded comment]
Your version of Excel allows you to read this threaded comment; however, any edits to it will get removed if the file is opened in a newer version of Excel. Learn more: https://go.microsoft.com/fwlink/?linkid=870924
Comment:
    ko đúng từ khóa</t>
      </text>
    </comment>
    <comment ref="M423" authorId="53" shapeId="0" xr:uid="{B3F3CFF6-8721-409F-B89C-3870120D4F44}">
      <text>
        <t>[Threaded comment]
Your version of Excel allows you to read this threaded comment; however, any edits to it will get removed if the file is opened in a newer version of Excel. Learn more: https://go.microsoft.com/fwlink/?linkid=870924
Comment:
    ko khớp nội dung ví dụ</t>
      </text>
    </comment>
    <comment ref="K425" authorId="54" shapeId="0" xr:uid="{F517CA03-8ED5-4994-82A5-B50DFD1DFB76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hán tự</t>
      </text>
    </comment>
    <comment ref="K426" authorId="55" shapeId="0" xr:uid="{8EF052DE-0D47-4EBD-811C-4CD7FAD2E2A1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hán tự</t>
      </text>
    </comment>
    <comment ref="K438" authorId="56" shapeId="0" xr:uid="{ABF4F586-8BDA-4246-8BD9-0FA5E2464519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hán tự</t>
      </text>
    </comment>
    <comment ref="M445" authorId="57" shapeId="0" xr:uid="{7D864E88-87A4-414D-9CFE-C0E652FFE4FA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K448" authorId="58" shapeId="0" xr:uid="{2AF57525-EC2C-4296-AA5E-A77CE9E84FC5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hán tự</t>
      </text>
    </comment>
    <comment ref="K455" authorId="59" shapeId="0" xr:uid="{D6CDC464-FFEA-47D7-BF1A-AF3D5B45E6CA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hán tự</t>
      </text>
    </comment>
    <comment ref="K459" authorId="60" shapeId="0" xr:uid="{041EAD73-BB39-4D9B-8ADB-32F5994D0B64}">
      <text>
        <t>[Threaded comment]
Your version of Excel allows you to read this threaded comment; however, any edits to it will get removed if the file is opened in a newer version of Excel. Learn more: https://go.microsoft.com/fwlink/?linkid=870924
Comment:
    sai hán tự</t>
      </text>
    </comment>
    <comment ref="L474" authorId="61" shapeId="0" xr:uid="{8E7097E4-1E69-4757-A520-677DF947194E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M474" authorId="62" shapeId="0" xr:uid="{3A9C4BC5-BCEF-4EF7-AD2A-AD2F4A98FC7A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K476" authorId="63" shapeId="0" xr:uid="{9777CABE-CF99-4927-B6BA-18EC68BCA316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hán tự</t>
      </text>
    </comment>
    <comment ref="K482" authorId="64" shapeId="0" xr:uid="{660107B0-102E-4A6E-9AF2-F34705F19F5A}">
      <text>
        <t>[Threaded comment]
Your version of Excel allows you to read this threaded comment; however, any edits to it will get removed if the file is opened in a newer version of Excel. Learn more: https://go.microsoft.com/fwlink/?linkid=870924
Comment:
    sai hán tự</t>
      </text>
    </comment>
    <comment ref="L490" authorId="65" shapeId="0" xr:uid="{960C09BC-49C2-46DE-A92C-8C8AF2A93788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  <comment ref="M490" authorId="66" shapeId="0" xr:uid="{B220F772-9787-401F-8BD4-75BDBDD8CF15}">
      <text>
        <t>[Threaded comment]
Your version of Excel allows you to read this threaded comment; however, any edits to it will get removed if the file is opened in a newer version of Excel. Learn more: https://go.microsoft.com/fwlink/?linkid=870924
Comment:
    chưa có file</t>
      </text>
    </comment>
  </commentList>
</comments>
</file>

<file path=xl/sharedStrings.xml><?xml version="1.0" encoding="utf-8"?>
<sst xmlns="http://schemas.openxmlformats.org/spreadsheetml/2006/main" count="39934" uniqueCount="29049">
  <si>
    <t>HƯỚNG DẪN NHẬP LIỆU TIẾNG Trung</t>
  </si>
  <si>
    <t xml:space="preserve">1. Video hướng dẫn </t>
  </si>
  <si>
    <t>2. Các bước làm</t>
  </si>
  <si>
    <r>
      <rPr>
        <u/>
        <sz val="11"/>
        <color rgb="FF1155CC"/>
        <rFont val="Arial"/>
      </rPr>
      <t xml:space="preserve">Link truy cập: </t>
    </r>
    <r>
      <rPr>
        <u/>
        <sz val="11"/>
        <color rgb="FF1155CC"/>
        <rFont val="Arial"/>
      </rPr>
      <t>https://admin.onluyen.work/account/login?ReturnUrl=%2FContentH5p</t>
    </r>
  </si>
  <si>
    <r>
      <rPr>
        <u/>
        <sz val="11"/>
        <color rgb="FF1155CC"/>
        <rFont val="Arial"/>
      </rPr>
      <t xml:space="preserve">2. Chọn </t>
    </r>
    <r>
      <rPr>
        <u/>
        <sz val="11"/>
        <color rgb="FF1155CC"/>
        <rFont val="Arial"/>
      </rPr>
      <t>Add Content</t>
    </r>
    <r>
      <rPr>
        <u/>
        <sz val="11"/>
        <color rgb="FF1155CC"/>
        <rFont val="Arial"/>
      </rPr>
      <t xml:space="preserve"> =&gt; search</t>
    </r>
    <r>
      <rPr>
        <u/>
        <sz val="11"/>
        <color rgb="FF1155CC"/>
        <rFont val="Arial"/>
      </rPr>
      <t xml:space="preserve"> "Dialog Cards" và chọn</t>
    </r>
    <r>
      <rPr>
        <u/>
        <sz val="11"/>
        <color rgb="FF1155CC"/>
        <rFont val="Arial"/>
      </rPr>
      <t xml:space="preserve"> dialog card</t>
    </r>
  </si>
  <si>
    <r>
      <rPr>
        <u/>
        <sz val="11"/>
        <color rgb="FF1155CC"/>
        <rFont val="Arial"/>
      </rPr>
      <t xml:space="preserve">3. Điền thông tin lần lượt theo quy định: mẫu
- </t>
    </r>
    <r>
      <rPr>
        <b/>
        <u/>
        <sz val="11"/>
        <color rgb="FF1155CC"/>
        <rFont val="Arial"/>
      </rPr>
      <t>Title</t>
    </r>
    <r>
      <rPr>
        <u/>
        <sz val="11"/>
        <color rgb="FF1155CC"/>
        <rFont val="Arial"/>
      </rPr>
      <t xml:space="preserve">: Theo tên topic
- </t>
    </r>
    <r>
      <rPr>
        <b/>
        <u/>
        <sz val="11"/>
        <color rgb="FF1155CC"/>
        <rFont val="Arial"/>
      </rPr>
      <t>Heading</t>
    </r>
    <r>
      <rPr>
        <u/>
        <sz val="11"/>
        <color rgb="FF1155CC"/>
        <rFont val="Arial"/>
      </rPr>
      <t xml:space="preserve">: bỏ trống
- </t>
    </r>
    <r>
      <rPr>
        <b/>
        <u/>
        <sz val="11"/>
        <color rgb="FF1155CC"/>
        <rFont val="Arial"/>
      </rPr>
      <t xml:space="preserve">Text </t>
    </r>
    <r>
      <rPr>
        <u/>
        <sz val="11"/>
        <color rgb="FF1155CC"/>
        <rFont val="Arial"/>
      </rPr>
      <t xml:space="preserve">(mặt trước): căn lề giữa, mỗi từ 1 dòng, từ tiếng Trung bold đậm, nhập theo thứ tự như sau:
</t>
    </r>
    <r>
      <rPr>
        <b/>
        <u/>
        <sz val="11"/>
        <color rgb="FF1155CC"/>
        <rFont val="Arial"/>
      </rPr>
      <t xml:space="preserve">Từ vựng </t>
    </r>
    <r>
      <rPr>
        <b/>
        <u/>
        <sz val="11"/>
        <color rgb="FFFF0000"/>
        <rFont val="Arial"/>
      </rPr>
      <t>(bold đậm</t>
    </r>
    <r>
      <rPr>
        <b/>
        <u/>
        <sz val="11"/>
        <color rgb="FF1155CC"/>
        <rFont val="Arial"/>
      </rPr>
      <t>)</t>
    </r>
    <r>
      <rPr>
        <u/>
        <sz val="11"/>
        <color rgb="FF1155CC"/>
        <rFont val="Arial"/>
      </rPr>
      <t xml:space="preserve">
Phiên âm 
Từ loại
- </t>
    </r>
    <r>
      <rPr>
        <b/>
        <u/>
        <sz val="11"/>
        <color rgb="FF1155CC"/>
        <rFont val="Arial"/>
      </rPr>
      <t xml:space="preserve">Answer </t>
    </r>
    <r>
      <rPr>
        <u/>
        <sz val="11"/>
        <color rgb="FF1155CC"/>
        <rFont val="Arial"/>
      </rPr>
      <t xml:space="preserve">(mặt sau): 
</t>
    </r>
    <r>
      <rPr>
        <b/>
        <u/>
        <sz val="11"/>
        <color rgb="FF1155CC"/>
        <rFont val="Arial"/>
      </rPr>
      <t xml:space="preserve">Nghĩa Tiếng Việt </t>
    </r>
    <r>
      <rPr>
        <b/>
        <u/>
        <sz val="11"/>
        <color rgb="FFFF0000"/>
        <rFont val="Arial"/>
      </rPr>
      <t xml:space="preserve">(bold đậm)
</t>
    </r>
    <r>
      <rPr>
        <u/>
        <sz val="11"/>
        <color rgb="FF1155CC"/>
        <rFont val="Arial"/>
      </rPr>
      <t xml:space="preserve">ví dụ </t>
    </r>
    <r>
      <rPr>
        <b/>
        <u/>
        <sz val="11"/>
        <color rgb="FFFF0000"/>
        <rFont val="Arial"/>
      </rPr>
      <t>(từ vựng trong ví dụ bôi đậm)</t>
    </r>
    <r>
      <rPr>
        <u/>
        <sz val="11"/>
        <color rgb="FF1155CC"/>
        <rFont val="Arial"/>
      </rPr>
      <t xml:space="preserve">
Pinyin (chỉ áp dụng cho h1, h2, h3)
</t>
    </r>
    <r>
      <rPr>
        <sz val="11"/>
        <rFont val="Arial"/>
      </rPr>
      <t>Nghĩa của ví dụ</t>
    </r>
    <r>
      <rPr>
        <u/>
        <sz val="11"/>
        <color rgb="FF1155CC"/>
        <rFont val="Arial"/>
      </rPr>
      <t xml:space="preserve">
- </t>
    </r>
    <r>
      <rPr>
        <b/>
        <u/>
        <sz val="11"/>
        <color rgb="FF1155CC"/>
        <rFont val="Arial"/>
      </rPr>
      <t>Image</t>
    </r>
    <r>
      <rPr>
        <u/>
        <sz val="11"/>
        <color rgb="FF1155CC"/>
        <rFont val="Arial"/>
      </rPr>
      <t xml:space="preserve">: add ảnh theo đúng tên từ vựng
- </t>
    </r>
    <r>
      <rPr>
        <b/>
        <u/>
        <sz val="11"/>
        <color rgb="FF1155CC"/>
        <rFont val="Arial"/>
      </rPr>
      <t xml:space="preserve">Audio </t>
    </r>
    <r>
      <rPr>
        <u/>
        <sz val="11"/>
        <color rgb="FF1155CC"/>
        <rFont val="Arial"/>
      </rPr>
      <t xml:space="preserve">files: 
File audion: upfile audio đọc từ vựng (Audio từ vựng có tên Bx_STT từ. Ví dụ: từ vựng số 1, bài 1 sẽ có tên B1_1)
File audion back: </t>
    </r>
    <r>
      <rPr>
        <sz val="11"/>
        <rFont val="Arial"/>
      </rPr>
      <t>upfile audio ví dụ (Audio ví dụ có tên Bx_VD_STT từ. Ví dụ: từ vựng số 1, bài 1 sẽ có tên B1_VD_1)</t>
    </r>
  </si>
  <si>
    <r>
      <rPr>
        <b/>
        <sz val="11"/>
        <color theme="1"/>
        <rFont val="Arial"/>
      </rPr>
      <t>Note: Cách phân chia và đặt tên flashcard
- 1 bộ flashcard sẽ gồm tất cả các từ của 1 chủ đề (Vì 1 chủ đề ít từ)
 =&gt; title đặt tên: HSK3.0_Hx_Bx_STT chủ đề
Trong đó: H là cấp độ hsk (1-6); B là stt bài; và tên chủ đề.
Ví dụ: Hsk1, bài 1, chủ đề 1 =&gt; title: HSK3.0_H1_B1_1
           Hsk1, bài 1, chủ đề 2 =&gt; title: HSK3.0_H1_B1_2
*</t>
    </r>
    <r>
      <rPr>
        <b/>
        <sz val="11"/>
        <color rgb="FFFF0000"/>
        <rFont val="Arial"/>
      </rPr>
      <t>Nếu bài nào không có chia chủ đề, mặc định tên là chủ đề 1</t>
    </r>
    <r>
      <rPr>
        <b/>
        <sz val="11"/>
        <color theme="1"/>
        <rFont val="Arial"/>
      </rPr>
      <t xml:space="preserve">
- các từ trong cùng 1 bộ flashcard phải cùng 1 chủ đề
(giả sử có 26 từ cùng chủ đề thì cho 26 từ vào 1 bộ flashcard luôn, không tách riêng)</t>
    </r>
  </si>
  <si>
    <t>4. Cài đặt các tùy chọn:
- Phần dưới cùng: Display Options: bỏ chọn 'Toolbar Below Content"
- Public: chọn public</t>
  </si>
  <si>
    <r>
      <rPr>
        <u/>
        <sz val="11"/>
        <color rgb="FF1155CC"/>
        <rFont val="Arial"/>
      </rPr>
      <t>Sau khi làm xong 1 thẻ trong bộ flash card, làm tiếp thẻ tiếp theo bằng cách bấm "</t>
    </r>
    <r>
      <rPr>
        <u/>
        <sz val="11"/>
        <color rgb="FF1155CC"/>
        <rFont val="Arial"/>
      </rPr>
      <t>ADD DIALOG</t>
    </r>
    <r>
      <rPr>
        <u/>
        <sz val="11"/>
        <color rgb="FF1155CC"/>
        <rFont val="Arial"/>
      </rPr>
      <t>" &gt; nhập thông tin các mục Text, Answer, Image, Audio files</t>
    </r>
  </si>
  <si>
    <t>Copy link thường và link embed điền vào 2 côt</t>
  </si>
  <si>
    <t>Sau khi nhập xong, COPY ID và paste vào cột "ID nhập liệu" ở mỗi cấp HSK</t>
  </si>
  <si>
    <t>quy trình sửa pinyin
Tìm bộ flashcard theo ID =&gt; sửa từng flashcard =&gt; save
quy trình thêm audio: 
Tìm bộ flashcard theo ID =&gt; thêm audio vào từng flashcard =&gt; save</t>
  </si>
  <si>
    <t>STT</t>
  </si>
  <si>
    <t>Tên chủ đề</t>
  </si>
  <si>
    <t>Từ vựng</t>
  </si>
  <si>
    <t>Link html</t>
  </si>
  <si>
    <t>Phiên âm</t>
  </si>
  <si>
    <t>Loại từ</t>
  </si>
  <si>
    <t>Nghĩa</t>
  </si>
  <si>
    <t>Ví dụ</t>
  </si>
  <si>
    <t>Pinyin</t>
  </si>
  <si>
    <t>Nghĩa ví dụ</t>
  </si>
  <si>
    <t>Tên ảnh/Gif flashcard</t>
  </si>
  <si>
    <t>Tên audio từ vựng</t>
  </si>
  <si>
    <t>Tên audio ví dụ</t>
  </si>
  <si>
    <t>STT bài</t>
  </si>
  <si>
    <t>ID Nhập liệu flashcard</t>
  </si>
  <si>
    <t>你好</t>
  </si>
  <si>
    <t>&lt;ruby&gt;你好&lt;rt&gt;nǐ hǎo&lt;/rt&gt;&lt;/ruby&gt;</t>
  </si>
  <si>
    <t>nǐ hǎo</t>
  </si>
  <si>
    <t>Cụm từ</t>
  </si>
  <si>
    <t>Xin chào</t>
  </si>
  <si>
    <t>你好，我是小明。</t>
  </si>
  <si>
    <t>Nǐ hǎo, wǒ shì Xiǎo Míng.</t>
  </si>
  <si>
    <t>Xin chào, tôi là Tiểu Minh.</t>
  </si>
  <si>
    <t>H1_B1_BG_1.gif</t>
  </si>
  <si>
    <t>H1_B1_1.mp3</t>
  </si>
  <si>
    <t>H1_B1_VD_1.mp3</t>
  </si>
  <si>
    <t xml:space="preserve">Sẵn sàng soát 1 </t>
  </si>
  <si>
    <t>大家</t>
  </si>
  <si>
    <t>&lt;ruby&gt;大家&lt;rt&gt;dàjiā&lt;/rt&gt;&lt;/ruby&gt;</t>
  </si>
  <si>
    <t>dàjiā</t>
  </si>
  <si>
    <t>Đại từ</t>
  </si>
  <si>
    <t>mọi người</t>
  </si>
  <si>
    <t>大家一起看电视，很开心。</t>
  </si>
  <si>
    <t>Dàjiā yīqǐ kàn diànshì, hěn kāixīn.</t>
  </si>
  <si>
    <t>Cả nhà cùng nhau xem ti vi rất vui vẻ.</t>
  </si>
  <si>
    <t>H1_B1_BG_2.gif</t>
  </si>
  <si>
    <t>H1_B1_2.mp3</t>
  </si>
  <si>
    <t>H1_B1_VD_2.mp3</t>
  </si>
  <si>
    <t>6989b17ac2421e43ed0a0ae6</t>
  </si>
  <si>
    <t>好</t>
  </si>
  <si>
    <t>&lt;ruby&gt;好&lt;rt&gt;hǎo&lt;/rt&gt;&lt;/ruby&gt;</t>
  </si>
  <si>
    <t>hǎo</t>
  </si>
  <si>
    <t>Tính từ</t>
  </si>
  <si>
    <t>Tốt, khỏe</t>
  </si>
  <si>
    <t>他们跳舞很好。</t>
  </si>
  <si>
    <t>Tāmen tiàowǔ hěn hǎo.</t>
  </si>
  <si>
    <t>Họ nhảy múa rất giỏi.</t>
  </si>
  <si>
    <t>H1_B1_BG_3.gif</t>
  </si>
  <si>
    <t>H1_B1_3.mp3</t>
  </si>
  <si>
    <t>H1_B1_VD_3.mp3</t>
  </si>
  <si>
    <t>学生</t>
  </si>
  <si>
    <t>&lt;ruby&gt;学生&lt;rt&gt;xuésheng&lt;/rt&gt;&lt;/ruby&gt;</t>
  </si>
  <si>
    <t>xuésheng</t>
  </si>
  <si>
    <t>Danh từ</t>
  </si>
  <si>
    <t>Học sinh</t>
  </si>
  <si>
    <t>她是学生。</t>
  </si>
  <si>
    <t>Tā shì xuésheng.</t>
  </si>
  <si>
    <t>Cô ấy là học sinh.</t>
  </si>
  <si>
    <t>H1_B1_BG_4.gif</t>
  </si>
  <si>
    <t>H1_B1_4.mp3</t>
  </si>
  <si>
    <t>H1_B1_VD_4.mp3</t>
  </si>
  <si>
    <t>们</t>
  </si>
  <si>
    <t>&lt;ruby&gt;们&lt;rt&gt;men&lt;/rt&gt;&lt;/ruby&gt;</t>
  </si>
  <si>
    <t>men</t>
  </si>
  <si>
    <t>Hậu tố</t>
  </si>
  <si>
    <t>(hậu tố số nhiều cho người)</t>
  </si>
  <si>
    <t>他们是学生。</t>
  </si>
  <si>
    <t>Tāmen shì xuésheng.</t>
  </si>
  <si>
    <t>Họ là học sinh.</t>
  </si>
  <si>
    <t>H1_B1_BG_5.gif</t>
  </si>
  <si>
    <t>H1_B1_5.mp3</t>
  </si>
  <si>
    <t>H1_B1_VD_5.mp3</t>
  </si>
  <si>
    <t>老师</t>
  </si>
  <si>
    <t>&lt;ruby&gt;老师&lt;rt&gt;lǎoshī&lt;/rt&gt;&lt;/ruby&gt;</t>
  </si>
  <si>
    <t>lǎoshī</t>
  </si>
  <si>
    <t>Giáo viên, thầy/cô giáo</t>
  </si>
  <si>
    <t>她是老师。</t>
  </si>
  <si>
    <t>Tā shì lǎoshī.</t>
  </si>
  <si>
    <t>Cô ấy là giáo viên.</t>
  </si>
  <si>
    <t>H1_B1_BG_6.gif</t>
  </si>
  <si>
    <t>H1_B1_6.mp3</t>
  </si>
  <si>
    <t>H1_B1_VD_6.mp3</t>
  </si>
  <si>
    <t>您</t>
  </si>
  <si>
    <t>&lt;ruby&gt;您&lt;rt&gt;nín&lt;/rt&gt;&lt;/ruby&gt;</t>
  </si>
  <si>
    <t>nín</t>
  </si>
  <si>
    <t>Ngài (lịch sự của "bạn")</t>
  </si>
  <si>
    <t>您好，请问您需要什么？</t>
  </si>
  <si>
    <t>Nín hǎo, qǐngwèn nín xūyào shénme?</t>
  </si>
  <si>
    <t>Xin chào, ngài cần gì ạ?</t>
  </si>
  <si>
    <t>H1_B1_BG_7.gif</t>
  </si>
  <si>
    <t>H1_B1_7.mp3</t>
  </si>
  <si>
    <t>H1_B1_VD_7.mp3</t>
  </si>
  <si>
    <t>你们</t>
  </si>
  <si>
    <t>&lt;ruby&gt;你们&lt;rt&gt;nǐmen&lt;/rt&gt;&lt;/ruby&gt;</t>
  </si>
  <si>
    <t>nǐmen</t>
  </si>
  <si>
    <t>Các anh, các chị, các bạn</t>
  </si>
  <si>
    <t>你们是一家人吗？</t>
  </si>
  <si>
    <t>Nǐmen shì yì jiā rén ma?</t>
  </si>
  <si>
    <t>Các bạn là một gia đình phải không?</t>
  </si>
  <si>
    <t>H1_B1_BG_8.gif</t>
  </si>
  <si>
    <t>H1_B1_8.mp3</t>
  </si>
  <si>
    <t>H1_B1_VD_8.mp3</t>
  </si>
  <si>
    <t>谢谢</t>
  </si>
  <si>
    <t>&lt;ruby&gt;谢谢&lt;rt&gt;xièxie&lt;/rt&gt;&lt;/ruby&gt;</t>
  </si>
  <si>
    <t>xièxie</t>
  </si>
  <si>
    <t>Động từ</t>
  </si>
  <si>
    <t>Cảm ơn</t>
  </si>
  <si>
    <t>谢谢你的帮助。</t>
  </si>
  <si>
    <t>Xièxie nǐ de bāngzhù.</t>
  </si>
  <si>
    <t>Cảm ơn sự giúp đỡ của bạn.</t>
  </si>
  <si>
    <t>H1_B1_BG_9.gif</t>
  </si>
  <si>
    <t>H1_B1_9.mp3</t>
  </si>
  <si>
    <t>H1_B1_VD_9.mp3</t>
  </si>
  <si>
    <t>不客气</t>
  </si>
  <si>
    <t>&lt;ruby&gt;不客气&lt;rt&gt;bú kèqi&lt;/rt&gt;&lt;/ruby&gt;</t>
  </si>
  <si>
    <t>bú kèqi</t>
  </si>
  <si>
    <t>Đừng khách sáo</t>
  </si>
  <si>
    <t>不客气，这是我应该做的。</t>
  </si>
  <si>
    <t>Bú kèqì, zhè shì wǒ yīnggāi zuò de.</t>
  </si>
  <si>
    <t>Không có gì, đây là việc tôi nên làm.</t>
  </si>
  <si>
    <t>H1_B1_BG_10.gif</t>
  </si>
  <si>
    <t>H1_B1_10.mp3</t>
  </si>
  <si>
    <t>H1_B1_VD_10.mp3</t>
  </si>
  <si>
    <t>同学</t>
  </si>
  <si>
    <t>&lt;ruby&gt;同学&lt;rt&gt;tóngxué&lt;/rt&gt;&lt;/ruby&gt;</t>
  </si>
  <si>
    <t>tóngxué</t>
  </si>
  <si>
    <t>Bạn học, bạn cùng lớp</t>
  </si>
  <si>
    <t>玛丽是我同学。</t>
  </si>
  <si>
    <t>Mǎlì shì wǒ tóngxué.</t>
  </si>
  <si>
    <t>Mary là bạn cùng lớp của tôi.</t>
  </si>
  <si>
    <t>H1_B1_BG_11.gif</t>
  </si>
  <si>
    <t>H1_B1_11.mp3</t>
  </si>
  <si>
    <t>H1_B1_VD_11.mp3</t>
  </si>
  <si>
    <t>再见</t>
  </si>
  <si>
    <t>&lt;ruby&gt;再见&lt;rt&gt;zàijiàn&lt;/rt&gt;&lt;/ruby&gt;</t>
  </si>
  <si>
    <t>zàijiàn</t>
  </si>
  <si>
    <t>Tạm biệt</t>
  </si>
  <si>
    <t>再见，明天见！</t>
  </si>
  <si>
    <t>Zàijiàn, míngtiān jiàn!</t>
  </si>
  <si>
    <t>Tạm biệt, hẹn gặp lại ngày mai!</t>
  </si>
  <si>
    <t>H1_B1_BG_12.gif</t>
  </si>
  <si>
    <t>H1_B1_12.mp3</t>
  </si>
  <si>
    <t>H1_B1_VD_12.mp3</t>
  </si>
  <si>
    <t>请问</t>
  </si>
  <si>
    <t>&lt;ruby&gt;请问&lt;rt&gt;qǐngwèn&lt;/rt&gt;&lt;/ruby&gt;</t>
  </si>
  <si>
    <t>qǐngwèn</t>
  </si>
  <si>
    <t>Xin hỏi</t>
  </si>
  <si>
    <t>请问，书店在哪儿？</t>
  </si>
  <si>
    <t>Qǐngwèn, shūdiàn zài nǎr?</t>
  </si>
  <si>
    <t>Xin hỏi, hiệu sách ở đâu?</t>
  </si>
  <si>
    <t>H1_B2_BG_1.gif</t>
  </si>
  <si>
    <t>H1_B2_1.mp3</t>
  </si>
  <si>
    <t>H1_B2_VD_1.mp3</t>
  </si>
  <si>
    <t>你</t>
  </si>
  <si>
    <t>&lt;ruby&gt;你&lt;rt&gt;nǐ&lt;/rt&gt;&lt;/ruby&gt;</t>
  </si>
  <si>
    <t>nǐ</t>
  </si>
  <si>
    <t>Anh, chị, bạn cậu,...</t>
  </si>
  <si>
    <t>你想跟我一起玩儿吗？</t>
  </si>
  <si>
    <t>Nǐ xiǎng gēn wǒ yìqǐ wánr ma?</t>
  </si>
  <si>
    <t>Bạn có muốn chơi cùng tôi không?</t>
  </si>
  <si>
    <t>H1_B2_BG_2.gif</t>
  </si>
  <si>
    <t>H1_B2_2.mp3</t>
  </si>
  <si>
    <t>H1_B2_VD_2.mp3</t>
  </si>
  <si>
    <t>698a8b3dc2421e43ed0a0bdf</t>
  </si>
  <si>
    <t>叫</t>
  </si>
  <si>
    <t>&lt;ruby&gt;叫&lt;rt&gt;jiào&lt;/rt&gt;&lt;/ruby&gt;</t>
  </si>
  <si>
    <t>jiào</t>
  </si>
  <si>
    <t>Gọi, tên là</t>
  </si>
  <si>
    <t>她叫玛丽。</t>
  </si>
  <si>
    <t>Tā jiào Mǎlì.</t>
  </si>
  <si>
    <t>Cô ấy tên là Mary.</t>
  </si>
  <si>
    <t>H1_B2_BG_3.gif</t>
  </si>
  <si>
    <t>H1_B2_3.mp3</t>
  </si>
  <si>
    <t>H1_B2_VD_3.mp3</t>
  </si>
  <si>
    <t>什么</t>
  </si>
  <si>
    <t>&lt;ruby&gt;什么&lt;rt&gt;shénme&lt;/rt&gt;&lt;/ruby&gt;</t>
  </si>
  <si>
    <t>shénme</t>
  </si>
  <si>
    <t>Gì, cái gì</t>
  </si>
  <si>
    <t>这是什么？</t>
  </si>
  <si>
    <t>Zhè shì shénme?</t>
  </si>
  <si>
    <t>Đây là cái gì?</t>
  </si>
  <si>
    <t>H1_B2_BG_4.gif</t>
  </si>
  <si>
    <t>H1_B2_4.mp3</t>
  </si>
  <si>
    <t>H1_B2_VD_4.mp3</t>
  </si>
  <si>
    <t>名字</t>
  </si>
  <si>
    <t>&lt;ruby&gt;名字&lt;rt&gt;míngzi&lt;/rt&gt;&lt;/ruby&gt;</t>
  </si>
  <si>
    <t>míngzi</t>
  </si>
  <si>
    <t>Tên</t>
  </si>
  <si>
    <t>她叫什么名字？</t>
  </si>
  <si>
    <t>Tā jiào shénme míngzi?</t>
  </si>
  <si>
    <t>Cô ấy tên là gì?</t>
  </si>
  <si>
    <t>H1_B2_BG_5.gif</t>
  </si>
  <si>
    <t>H1_B2_5.mp3</t>
  </si>
  <si>
    <t>H1_B2_VD_5.mp3</t>
  </si>
  <si>
    <t>我</t>
  </si>
  <si>
    <t>&lt;ruby&gt;我&lt;rt&gt;wǒ&lt;/rt&gt;&lt;/ruby&gt;</t>
  </si>
  <si>
    <t>wǒ</t>
  </si>
  <si>
    <t>Tôi, tớ, ta, mình</t>
  </si>
  <si>
    <t>我是越南人。</t>
  </si>
  <si>
    <t>Wǒ shì Yuènán rén.</t>
  </si>
  <si>
    <t>Tôi là người Việt Nam.</t>
  </si>
  <si>
    <t>H1_B2_BG_6.gif</t>
  </si>
  <si>
    <t>H1_B2_6.mp3</t>
  </si>
  <si>
    <t>H1_B2_VD_6.mp3</t>
  </si>
  <si>
    <t>不</t>
  </si>
  <si>
    <t>&lt;ruby&gt;不&lt;rt&gt;bù&lt;/rt&gt;&lt;/ruby&gt;</t>
  </si>
  <si>
    <t>bù</t>
  </si>
  <si>
    <t>Phó từ</t>
  </si>
  <si>
    <t>Không, không cần, đừng</t>
  </si>
  <si>
    <t>我不喜欢喝咖啡。</t>
  </si>
  <si>
    <t>Wǒ bù xǐhuan hē kāfēi.</t>
  </si>
  <si>
    <t>Tôi không thích uống cà phê.</t>
  </si>
  <si>
    <t>H1_B2_BG_7.gif</t>
  </si>
  <si>
    <t>H1_B2_7.mp3</t>
  </si>
  <si>
    <t>H1_B2_VD_7.mp3</t>
  </si>
  <si>
    <t>是</t>
  </si>
  <si>
    <t>&lt;ruby&gt;是&lt;rt&gt;shì&lt;/rt&gt;&lt;/ruby&gt;</t>
  </si>
  <si>
    <t>shì</t>
  </si>
  <si>
    <t>Là</t>
  </si>
  <si>
    <t>他是中国人，她是美国人。</t>
  </si>
  <si>
    <t>Tā shì Zhōngguó rén, tā shì Měiguó rén.</t>
  </si>
  <si>
    <t>Anh ấy là người Trung Quốc, cô ấy là người Mỹ.</t>
  </si>
  <si>
    <t>H1_B2_BG_8.gif</t>
  </si>
  <si>
    <t>H1_B2_8.mp3</t>
  </si>
  <si>
    <t>H1_B2_VD_8.mp3</t>
  </si>
  <si>
    <t>对不起</t>
  </si>
  <si>
    <t>&lt;ruby&gt;对不起&lt;rt&gt;duìbùqǐ&lt;/rt&gt;&lt;/ruby&gt;</t>
  </si>
  <si>
    <t>duìbùqǐ</t>
  </si>
  <si>
    <t>Xin lỗi</t>
  </si>
  <si>
    <t>对不起，我来晚了。</t>
  </si>
  <si>
    <t>Duìbuqǐ, wǒ lái wǎn le.</t>
  </si>
  <si>
    <t>Xin lỗi, tôi đến muộn.</t>
  </si>
  <si>
    <t>H1_B2_BG_9.gif</t>
  </si>
  <si>
    <t>H1_B2_9.mp3</t>
  </si>
  <si>
    <t>H1_B2_VD_9.mp3</t>
  </si>
  <si>
    <t>没关系</t>
  </si>
  <si>
    <t>&lt;ruby&gt;没关系&lt;rt&gt;méi guānxi&lt;/rt&gt;&lt;/ruby&gt;</t>
  </si>
  <si>
    <t>méi guānxi</t>
  </si>
  <si>
    <t>Không sao đâu, không có vấn đề gì</t>
  </si>
  <si>
    <t>没关系，下次早点来。</t>
  </si>
  <si>
    <t>Méiguānxi, xiàcì zǎodiǎn lái.</t>
  </si>
  <si>
    <t>Không sao, lần sau đến sớm hơn nhé.</t>
  </si>
  <si>
    <t>H1_B2_BG_10.gif</t>
  </si>
  <si>
    <t>H1_B2_10.mp3</t>
  </si>
  <si>
    <t>H1_B2_VD_10.mp3</t>
  </si>
  <si>
    <t>没事</t>
  </si>
  <si>
    <t>&lt;ruby&gt;没事&lt;rt&gt;méishì&lt;/rt&gt;&lt;/ruby&gt;</t>
  </si>
  <si>
    <t>méishì</t>
  </si>
  <si>
    <t>Không sao, không có gì</t>
  </si>
  <si>
    <t>我没事。</t>
  </si>
  <si>
    <t>Wǒ méishì.</t>
  </si>
  <si>
    <t>Tôi không sao.</t>
  </si>
  <si>
    <t>H1_B2_BG_11.gif</t>
  </si>
  <si>
    <t>H1_B2_11.mp3</t>
  </si>
  <si>
    <t>H1_B2_VD_11.mp3</t>
  </si>
  <si>
    <t>很</t>
  </si>
  <si>
    <t>&lt;ruby&gt;很&lt;rt&gt;hěn&lt;/rt&gt;&lt;/ruby&gt;</t>
  </si>
  <si>
    <t>hěn</t>
  </si>
  <si>
    <t>Rất</t>
  </si>
  <si>
    <t>我很累。</t>
  </si>
  <si>
    <t>Wǒ hěn lèi.</t>
  </si>
  <si>
    <t>Tôi rất mệt mỏi.</t>
  </si>
  <si>
    <t>H1_B2_BG_12.gif</t>
  </si>
  <si>
    <t>H1_B2_12.mp3</t>
  </si>
  <si>
    <t>H1_B2_VD_12.mp3</t>
  </si>
  <si>
    <t>高兴</t>
  </si>
  <si>
    <t>&lt;ruby&gt;高兴&lt;rt&gt;gāoxìng&lt;/rt&gt;&lt;/ruby&gt;</t>
  </si>
  <si>
    <t>gāoxìng</t>
  </si>
  <si>
    <t>Vui, phấn khởi</t>
  </si>
  <si>
    <t>出去玩，她很高兴。</t>
  </si>
  <si>
    <t>Chūqù wán, tā hěn gāoxìng.</t>
  </si>
  <si>
    <t>Cô ấy rất vui khi ra ngoài chơi.</t>
  </si>
  <si>
    <t>H1_B2_BG_13.gif</t>
  </si>
  <si>
    <t>H1_B2_13.mp3</t>
  </si>
  <si>
    <t>H1_B2_VD_13.mp3</t>
  </si>
  <si>
    <t>认识</t>
  </si>
  <si>
    <t>&lt;ruby&gt;认识&lt;rt&gt;rènshi&lt;/rt&gt;&lt;/ruby&gt;</t>
  </si>
  <si>
    <t>rènshi</t>
  </si>
  <si>
    <t>Quen, biết</t>
  </si>
  <si>
    <t>我认识他很久了。</t>
  </si>
  <si>
    <t>Wǒ rènshi tā hěn jiǔ le.</t>
  </si>
  <si>
    <t>Tôi quen anh ấy rất lâu rồi.</t>
  </si>
  <si>
    <t>H1_B2_BG_14.gif</t>
  </si>
  <si>
    <t>H1_B2_14.mp3</t>
  </si>
  <si>
    <t>H1_B2_VD_14.mp3</t>
  </si>
  <si>
    <t>也</t>
  </si>
  <si>
    <t>&lt;ruby&gt;也&lt;rt&gt;yě&lt;/rt&gt;&lt;/ruby&gt;</t>
  </si>
  <si>
    <t>yě</t>
  </si>
  <si>
    <t>Cũng</t>
  </si>
  <si>
    <t>我也喜欢看书。</t>
  </si>
  <si>
    <t>Wǒ yě xǐhuan kàn shū.</t>
  </si>
  <si>
    <t>Tôi cũng thích đọc sách.</t>
  </si>
  <si>
    <t>H1_B2_BG_15.gif</t>
  </si>
  <si>
    <t>H1_B2_15.mp3</t>
  </si>
  <si>
    <t>H1_B2_VD_15.mp3</t>
  </si>
  <si>
    <t>人</t>
  </si>
  <si>
    <t>&lt;ruby&gt;人&lt;rt&gt;rén&lt;/rt&gt;&lt;/ruby&gt;</t>
  </si>
  <si>
    <t>rén</t>
  </si>
  <si>
    <t>Người</t>
  </si>
  <si>
    <t>我是中国人。</t>
  </si>
  <si>
    <t>Wǒ shì Zhōngguó rén.</t>
  </si>
  <si>
    <t>Tôi là người Trung Quốc.</t>
  </si>
  <si>
    <t>H1_B3_BG_1.gif</t>
  </si>
  <si>
    <t>H1_B3_1.mp3</t>
  </si>
  <si>
    <t>H1_B3_VD_1.mp3</t>
  </si>
  <si>
    <t>的</t>
  </si>
  <si>
    <t>&lt;ruby&gt;的&lt;rt&gt;de&lt;/rt&gt;&lt;/ruby&gt;</t>
  </si>
  <si>
    <t>de</t>
  </si>
  <si>
    <t>Trợ từ</t>
  </si>
  <si>
    <t>Của (sở hữu) (Được dùng sau định ngữ)</t>
  </si>
  <si>
    <t>这是我的围巾。</t>
  </si>
  <si>
    <t>Zhè shì wǒ de wéijīn.</t>
  </si>
  <si>
    <t>Đây là chiếc khăn quàng cổ của tôi.</t>
  </si>
  <si>
    <t>H1_B3_BG_2.gif</t>
  </si>
  <si>
    <t>H1_B3_2.mp3</t>
  </si>
  <si>
    <t>H1_B3_VD_2.mp3</t>
  </si>
  <si>
    <t>698a8c48c2421e43ed0a0be5</t>
  </si>
  <si>
    <t>中国</t>
  </si>
  <si>
    <t>&lt;ruby&gt;中国&lt;rt&gt;Zhōngguó&lt;/rt&gt;&lt;/ruby&gt;</t>
  </si>
  <si>
    <t>Zhōngguó</t>
  </si>
  <si>
    <t>Trung Quốc</t>
  </si>
  <si>
    <t>这 (Zhè, đây) 是中国。</t>
  </si>
  <si>
    <t>Zhè shì Zhōngguó.</t>
  </si>
  <si>
    <t>Đây là Trung Quốc.</t>
  </si>
  <si>
    <t>H1_B3_BG_3.gif</t>
  </si>
  <si>
    <t>H1_B3_3.mp3</t>
  </si>
  <si>
    <t>H1_B3_VD_3.mp3</t>
  </si>
  <si>
    <t>法国</t>
  </si>
  <si>
    <t>&lt;ruby&gt;法国&lt;rt&gt;Fǎguó&lt;/rt&gt;&lt;/ruby&gt;</t>
  </si>
  <si>
    <t>Fǎguó</t>
  </si>
  <si>
    <t>Nước Pháp</t>
  </si>
  <si>
    <t>他是法国人。</t>
  </si>
  <si>
    <t>Tā shì Fǎguó rén.</t>
  </si>
  <si>
    <t>Anh ấy là người Pháp.</t>
  </si>
  <si>
    <t>H1_B3_BG_4.gif</t>
  </si>
  <si>
    <t>H1_B3_4.mp3</t>
  </si>
  <si>
    <t>H1_B3_VD_4.mp3</t>
  </si>
  <si>
    <t>中文</t>
  </si>
  <si>
    <t>&lt;ruby&gt;中文&lt;rt&gt;zhōng wén&lt;/rt&gt;&lt;/ruby&gt;</t>
  </si>
  <si>
    <t>zhōng wén</t>
  </si>
  <si>
    <t>Tiếng Trung Quốc</t>
  </si>
  <si>
    <t>我最近在学习中文。</t>
  </si>
  <si>
    <t>Wǒ zuìjìn zài xuéxí zhōngwén.</t>
  </si>
  <si>
    <t>Gần đây tôi đang học tiếng Trung Quốc.</t>
  </si>
  <si>
    <t>H1_B3_BG_5.gif</t>
  </si>
  <si>
    <t>H1_B3_5.mp3</t>
  </si>
  <si>
    <t>H1_B3_VD_5.mp3</t>
  </si>
  <si>
    <t>法语</t>
  </si>
  <si>
    <t>&lt;ruby&gt;法语&lt;rt&gt;Fǎyǔ&lt;/rt&gt;&lt;/ruby&gt;</t>
  </si>
  <si>
    <t>Fǎyǔ</t>
  </si>
  <si>
    <t>Tiếng Pháp</t>
  </si>
  <si>
    <t>我学习法语。</t>
  </si>
  <si>
    <t>Wǒ xuéxí Fǎyǔ.</t>
  </si>
  <si>
    <t>Tôi học tiếng Pháp.</t>
  </si>
  <si>
    <t>H1_B3_BG_6.gif</t>
  </si>
  <si>
    <t>H1_B3_6.mp3</t>
  </si>
  <si>
    <t>H1_B3_VD_6.mp3</t>
  </si>
  <si>
    <t>这</t>
  </si>
  <si>
    <t>&lt;ruby&gt;这&lt;rt&gt;zhè&lt;/rt&gt;&lt;/ruby&gt;</t>
  </si>
  <si>
    <t>zhè</t>
  </si>
  <si>
    <t>Đây, này</t>
  </si>
  <si>
    <t>H1_B3_BG_7.gif</t>
  </si>
  <si>
    <t>H1_B3_7.mp3</t>
  </si>
  <si>
    <t>H1_B3_VD_7.mp3</t>
  </si>
  <si>
    <t>谁</t>
  </si>
  <si>
    <t>&lt;ruby&gt;谁&lt;rt&gt;shuí / shéi&lt;/rt&gt;&lt;/ruby&gt;</t>
  </si>
  <si>
    <t>shuí / shéi</t>
  </si>
  <si>
    <t>Ai</t>
  </si>
  <si>
    <t>谁在树后面？</t>
  </si>
  <si>
    <t>Shéi zài shù hòumian?</t>
  </si>
  <si>
    <t>Ai đang ở phía sau cái cây?</t>
  </si>
  <si>
    <t>H1_B3_BG_8.gif</t>
  </si>
  <si>
    <t>H1_B3_8.mp3</t>
  </si>
  <si>
    <t>H1_B3_VD_8.mp3</t>
  </si>
  <si>
    <t>女朋友</t>
  </si>
  <si>
    <t>&lt;ruby&gt;女朋友&lt;rt&gt;nǚ péngyou&lt;/rt&gt;&lt;/ruby&gt;</t>
  </si>
  <si>
    <t>nǚ péngyou</t>
  </si>
  <si>
    <t>Bạn gái</t>
  </si>
  <si>
    <t>她是我女朋友。</t>
  </si>
  <si>
    <t>Tā shì wǒ nǚ péngyou.</t>
  </si>
  <si>
    <t>Cô ấy là bạn gái tôi.</t>
  </si>
  <si>
    <t>H1_B3_BG_9.gif</t>
  </si>
  <si>
    <t>H1_B3_9.mp3</t>
  </si>
  <si>
    <t>H1_B3_VD_9.mp3</t>
  </si>
  <si>
    <t>哪</t>
  </si>
  <si>
    <t>&lt;ruby&gt;哪&lt;rt&gt;nǎ&lt;/rt&gt;&lt;/ruby&gt;</t>
  </si>
  <si>
    <t>nǎ</t>
  </si>
  <si>
    <t>Nào, ở đâu</t>
  </si>
  <si>
    <t>他的球在哪儿？</t>
  </si>
  <si>
    <t>Tā de qiú zài nǎr?</t>
  </si>
  <si>
    <t>Quả bóng của anh ấy ở đâu?</t>
  </si>
  <si>
    <t>H1_B3_BG_10.gif</t>
  </si>
  <si>
    <t>H1_B3_10.mp3</t>
  </si>
  <si>
    <t>H1_B3_VD_10.mp3</t>
  </si>
  <si>
    <t>国</t>
  </si>
  <si>
    <t>&lt;ruby&gt;国&lt;rt&gt;guó&lt;/rt&gt;&lt;/ruby&gt;</t>
  </si>
  <si>
    <t>guó</t>
  </si>
  <si>
    <t>Quốc gia, đất nước</t>
  </si>
  <si>
    <t>你是哪国人？</t>
  </si>
  <si>
    <t>Nǐ shì nǎ guó rén?</t>
  </si>
  <si>
    <t>Bạn là người nước nào?</t>
  </si>
  <si>
    <t>H1_B3_BG_11.gif</t>
  </si>
  <si>
    <t>H1_B3_11.mp3</t>
  </si>
  <si>
    <t>H1_B3_VD_11.mp3</t>
  </si>
  <si>
    <t>她</t>
  </si>
  <si>
    <t>&lt;ruby&gt;她&lt;rt&gt;tā&lt;/rt&gt;&lt;/ruby&gt;</t>
  </si>
  <si>
    <t>tā</t>
  </si>
  <si>
    <t>Cô ấy, bà ấy</t>
  </si>
  <si>
    <t>她很漂亮。</t>
  </si>
  <si>
    <t>Tā hěn piàoliang.</t>
  </si>
  <si>
    <t>Cô ấy rất xinh đẹp.</t>
  </si>
  <si>
    <t>H1_B3_BG_12.gif</t>
  </si>
  <si>
    <t>H1_B3_12.mp3</t>
  </si>
  <si>
    <t>H1_B3_VD_12.mp3</t>
  </si>
  <si>
    <t>泰国</t>
  </si>
  <si>
    <t>&lt;ruby&gt;泰国&lt;rt&gt;Tàiguó&lt;/rt&gt;&lt;/ruby&gt;</t>
  </si>
  <si>
    <t>Tàiguó</t>
  </si>
  <si>
    <t>Thái Lan</t>
  </si>
  <si>
    <t>我去泰国。</t>
  </si>
  <si>
    <t>Wǒ qù Tàiguó.</t>
  </si>
  <si>
    <t>Tôi đi Thái Lan.</t>
  </si>
  <si>
    <t>H1_B3_BG_13.gif</t>
  </si>
  <si>
    <t>H1_B3_13.mp3</t>
  </si>
  <si>
    <t>H1_B3_VD_13.mp3</t>
  </si>
  <si>
    <t>喂</t>
  </si>
  <si>
    <t>&lt;ruby&gt;喂&lt;rt&gt;wèi&lt;/rt&gt;&lt;/ruby&gt;</t>
  </si>
  <si>
    <t>wèi</t>
  </si>
  <si>
    <t>Thán từ</t>
  </si>
  <si>
    <t>Alo, này (khi gọi điện)</t>
  </si>
  <si>
    <t>喂! 你在做什么呢？</t>
  </si>
  <si>
    <t>Wéi! Nǐ zài zuò shénme ne?</t>
  </si>
  <si>
    <t>Alo! Bạn đang làm gì đấy?</t>
  </si>
  <si>
    <t>H1_B3_BG_14.gif</t>
  </si>
  <si>
    <t>H1_B3_14.mp3</t>
  </si>
  <si>
    <t>H1_B3_VD_14.mp3</t>
  </si>
  <si>
    <t>姐姐</t>
  </si>
  <si>
    <t>&lt;ruby&gt;姐姐&lt;rt&gt;jiějie&lt;/rt&gt;&lt;/ruby&gt;</t>
  </si>
  <si>
    <t>jiějie</t>
  </si>
  <si>
    <t>chị gái</t>
  </si>
  <si>
    <t>我很喜欢和姐姐聊天。</t>
  </si>
  <si>
    <t>Wǒ hěn xǐhuan hé jiějie liáotiān.</t>
  </si>
  <si>
    <t>Tôi rất thích nói chuyện với chị gái của mình.</t>
  </si>
  <si>
    <t>H1_B3_BG_15.gif</t>
  </si>
  <si>
    <t>H1_B3_15.mp3</t>
  </si>
  <si>
    <t>H1_B3_VD_15.mp3</t>
  </si>
  <si>
    <t>工作</t>
  </si>
  <si>
    <t>&lt;ruby&gt;工作&lt;rt&gt;gōng zuò&lt;/rt&gt;&lt;/ruby&gt;</t>
  </si>
  <si>
    <t>gōng zuò</t>
  </si>
  <si>
    <t>Động từ/Danh từ</t>
  </si>
  <si>
    <t>Làm việc/Công việc</t>
  </si>
  <si>
    <t>你儿子在哪儿工作？</t>
  </si>
  <si>
    <t>Nǐ érzi zài nǎr gōngzuò?</t>
  </si>
  <si>
    <t>Con trai bạn làm việc ở đâu?</t>
  </si>
  <si>
    <t>H1_B3_BG_16.gif</t>
  </si>
  <si>
    <t>H1_B3_16.mp3</t>
  </si>
  <si>
    <t>H1_B3_VD_16.mp3</t>
  </si>
  <si>
    <t>还</t>
  </si>
  <si>
    <t>&lt;ruby&gt;还&lt;rt&gt;hái&lt;/rt&gt;&lt;/ruby&gt;</t>
  </si>
  <si>
    <t>hái</t>
  </si>
  <si>
    <t>cũng, khá</t>
  </si>
  <si>
    <t>这顿饭做得还可以。</t>
  </si>
  <si>
    <t>Zhè dùn fàn zuò de hái kěyǐ.</t>
  </si>
  <si>
    <t>Bữa ăn này nấu cũng tạm ổn.</t>
  </si>
  <si>
    <t>H1_B3_BG_17.gif</t>
  </si>
  <si>
    <t>H1_B3_17.mp3</t>
  </si>
  <si>
    <t>H1_B3_VD_17.mp3</t>
  </si>
  <si>
    <t>忙</t>
  </si>
  <si>
    <t>&lt;ruby&gt;忙&lt;rt&gt;máng&lt;/rt&gt;&lt;/ruby&gt;</t>
  </si>
  <si>
    <t>máng</t>
  </si>
  <si>
    <t>bận</t>
  </si>
  <si>
    <t>他今天很忙。</t>
  </si>
  <si>
    <t>Tā jīntiān hěn máng.</t>
  </si>
  <si>
    <t>Hôm nay anh ấy rất bận rộn.</t>
  </si>
  <si>
    <t>H1_B3_BG_18.gif</t>
  </si>
  <si>
    <t>H1_B3_18.mp3</t>
  </si>
  <si>
    <t>H1_B3_VD_18.mp3</t>
  </si>
  <si>
    <t>吗</t>
  </si>
  <si>
    <t>&lt;ruby&gt;吗&lt;rt&gt;ma&lt;/rt&gt;&lt;/ruby&gt;</t>
  </si>
  <si>
    <t>ma</t>
  </si>
  <si>
    <t>Không? (dùng ở cuối câu hỏi)</t>
  </si>
  <si>
    <t>你是老师吗？</t>
  </si>
  <si>
    <t>Nǐ shì lǎoshī ma?</t>
  </si>
  <si>
    <t>Bạn có phải giáo viên không?</t>
  </si>
  <si>
    <t>H1_B3_BG_19.gif</t>
  </si>
  <si>
    <t>H1_B3_19.mp3</t>
  </si>
  <si>
    <t>H1_B3_VD_19.mp3</t>
  </si>
  <si>
    <t>对</t>
  </si>
  <si>
    <t>&lt;ruby&gt;对&lt;rt&gt;duì&lt;/rt&gt;&lt;/ruby&gt;</t>
  </si>
  <si>
    <t>duì</t>
  </si>
  <si>
    <t>Giới từ</t>
  </si>
  <si>
    <t>(được dùng trước danh từ hay đại từ) đối với, cho</t>
  </si>
  <si>
    <t>他对这份工作很有信心。</t>
  </si>
  <si>
    <t>Tā duì zhè fèn gōngzuò hěn yǒu xìnxīn.</t>
  </si>
  <si>
    <t>Anh ấy tự tin về công việc này.</t>
  </si>
  <si>
    <t>H1_B3_BG_20.gif</t>
  </si>
  <si>
    <t>H1_B3_20.mp3</t>
  </si>
  <si>
    <t>H1_B3_VD_20.mp3</t>
  </si>
  <si>
    <t>太</t>
  </si>
  <si>
    <t>&lt;ruby&gt;太&lt;rt&gt;tài&lt;/rt&gt;&lt;/ruby&gt;</t>
  </si>
  <si>
    <t>tài</t>
  </si>
  <si>
    <t>Quá</t>
  </si>
  <si>
    <t>这条裙子太漂亮。</t>
  </si>
  <si>
    <t>Zhè tiáo qúnzi tài piàoliang.</t>
  </si>
  <si>
    <t>Chiếc váy này quá đẹp.</t>
  </si>
  <si>
    <t>H1_B3_BG_21.gif</t>
  </si>
  <si>
    <t>H1_B3_21.mp3</t>
  </si>
  <si>
    <t>H1_B3_VD_21.mp3</t>
  </si>
  <si>
    <t>我们</t>
  </si>
  <si>
    <t>&lt;ruby&gt;我们&lt;rt&gt;wǒ men&lt;/rt&gt;&lt;/ruby&gt;</t>
  </si>
  <si>
    <t>wǒ men</t>
  </si>
  <si>
    <t>Chúng tôi</t>
  </si>
  <si>
    <t>我们是一个幸福的家庭。</t>
  </si>
  <si>
    <t>Wǒmen shì yīgè xìngfú de jiātíng.</t>
  </si>
  <si>
    <t>Chúng tôi là một gia đình hạnh phúc.</t>
  </si>
  <si>
    <t>H1_B3_BG_22.gif</t>
  </si>
  <si>
    <t>H1_B3_22.mp3</t>
  </si>
  <si>
    <t>H1_B3_VD_22.mp3</t>
  </si>
  <si>
    <t>想</t>
  </si>
  <si>
    <t>&lt;ruby&gt;想&lt;rt&gt;xiǎng&lt;/rt&gt;&lt;/ruby&gt;</t>
  </si>
  <si>
    <t>xiǎng</t>
  </si>
  <si>
    <t>Muốn, nghĩ</t>
  </si>
  <si>
    <t>她想买很多东西。</t>
  </si>
  <si>
    <t>Tā xiǎng mǎi hěn duō dōngxi.</t>
  </si>
  <si>
    <t>Cô ấy muốn mua nhiều thứ.</t>
  </si>
  <si>
    <t>H1_B3_BG_23.gif</t>
  </si>
  <si>
    <t>H1_B3_23.mp3</t>
  </si>
  <si>
    <t>H1_B3_VD_23.mp3</t>
  </si>
  <si>
    <t>有</t>
  </si>
  <si>
    <t>&lt;ruby&gt;有&lt;rt&gt;yǒu&lt;/rt&gt;&lt;/ruby&gt;</t>
  </si>
  <si>
    <t>yǒu</t>
  </si>
  <si>
    <t>Có</t>
  </si>
  <si>
    <t>我有一条鱼。</t>
  </si>
  <si>
    <t>Wǒ yǒu yì tiáo yú.</t>
  </si>
  <si>
    <t>Tôi có một con cá.</t>
  </si>
  <si>
    <t>H1_B4_BG_1.gif</t>
  </si>
  <si>
    <t>H1_B4_1.mp3</t>
  </si>
  <si>
    <t>H1_B4_VD_1.mp3</t>
  </si>
  <si>
    <t>多少</t>
  </si>
  <si>
    <t>&lt;ruby&gt;多少&lt;rt&gt;duō shǎo&lt;/rt&gt;&lt;/ruby&gt;</t>
  </si>
  <si>
    <t>duō shǎo</t>
  </si>
  <si>
    <t>Bao nhiêu</t>
  </si>
  <si>
    <t>这些衣服多少钱？</t>
  </si>
  <si>
    <t>Zhèxiē yīfu duōshao qián?</t>
  </si>
  <si>
    <t>Những bộ quần áo này giá bao nhiêu?</t>
  </si>
  <si>
    <t>H1_B4_BG_2.gif</t>
  </si>
  <si>
    <t>H1_B4_2.mp3</t>
  </si>
  <si>
    <t>H1_B4_VD_2.mp3</t>
  </si>
  <si>
    <t>698a8d7ac2421e43ed0a0bea</t>
  </si>
  <si>
    <t>个</t>
  </si>
  <si>
    <t>&lt;ruby&gt;个&lt;rt&gt;gè&lt;/rt&gt;&lt;/ruby&gt;</t>
  </si>
  <si>
    <t>gè</t>
  </si>
  <si>
    <t>Lượng từ</t>
  </si>
  <si>
    <t>Cái (đơn vị)</t>
  </si>
  <si>
    <t>我买了一个芒果。</t>
  </si>
  <si>
    <t>Wǒ mǎi le yí ge mángguǒ.</t>
  </si>
  <si>
    <t>Tôi đã mua một quả xoài.</t>
  </si>
  <si>
    <t>H1_B4_BG_3.gif</t>
  </si>
  <si>
    <t>H1_B4_3.mp3</t>
  </si>
  <si>
    <t>H1_B4_VD_3.mp3</t>
  </si>
  <si>
    <t>哥哥</t>
  </si>
  <si>
    <t>&lt;ruby&gt;哥哥&lt;rt&gt;gēge&lt;/rt&gt;&lt;/ruby&gt;</t>
  </si>
  <si>
    <t>gēge</t>
  </si>
  <si>
    <t>anh trai</t>
  </si>
  <si>
    <t>我很爱我的哥哥。</t>
  </si>
  <si>
    <t>Wǒ hěn ài wǒ de gēge.</t>
  </si>
  <si>
    <t>Tôi rất yêu quý anh trai của tôi.</t>
  </si>
  <si>
    <t>H1_B4_BG_4.gif</t>
  </si>
  <si>
    <t>H1_B4_4.mp3</t>
  </si>
  <si>
    <t>H1_B4_VD_4.mp3</t>
  </si>
  <si>
    <t>呢</t>
  </si>
  <si>
    <t>&lt;ruby&gt;呢&lt;rt&gt;ne&lt;/rt&gt;&lt;/ruby&gt;</t>
  </si>
  <si>
    <t>ne</t>
  </si>
  <si>
    <t>Thế..., còn... (Được dùng ở cuối câu hỏi)</t>
  </si>
  <si>
    <t>她今年20岁，你呢？</t>
  </si>
  <si>
    <t>Tā jīnnián 20 suì, nǐ ne?</t>
  </si>
  <si>
    <t>Cô ấy năm nay 20 tuổi, còn bạn?</t>
  </si>
  <si>
    <t>H1_B4_BG_5.gif</t>
  </si>
  <si>
    <t>H1_B4_5.mp3</t>
  </si>
  <si>
    <t>H1_B4_VD_5.mp3</t>
  </si>
  <si>
    <t>没有</t>
  </si>
  <si>
    <t>&lt;ruby&gt;没有&lt;rt&gt;méi yǒu&lt;/rt&gt;&lt;/ruby&gt;</t>
  </si>
  <si>
    <t>méi yǒu</t>
  </si>
  <si>
    <t>Không có</t>
  </si>
  <si>
    <t>她没有书。</t>
  </si>
  <si>
    <t>Tā méiyǒu shū.</t>
  </si>
  <si>
    <t>Cô ấy không có sách.</t>
  </si>
  <si>
    <t>H1_B4_BG_6.gif</t>
  </si>
  <si>
    <t>H1_B4_6.mp3</t>
  </si>
  <si>
    <t>H1_B4_VD_6.mp3</t>
  </si>
  <si>
    <t>家</t>
  </si>
  <si>
    <t>&lt;ruby&gt;家&lt;rt&gt;jiā&lt;/rt&gt;&lt;/ruby&gt;</t>
  </si>
  <si>
    <t>jiā</t>
  </si>
  <si>
    <t>Nhà, gia đình</t>
  </si>
  <si>
    <t>他家有几口人？</t>
  </si>
  <si>
    <t>Tā jiā yǒu jǐ kǒu rén?</t>
  </si>
  <si>
    <t>Nhà anh ấy có mấy người?</t>
  </si>
  <si>
    <t>H1_B4_BG_7.gif</t>
  </si>
  <si>
    <t>H1_B4_7.mp3</t>
  </si>
  <si>
    <t>H1_B4_VD_7.mp3</t>
  </si>
  <si>
    <t>几</t>
  </si>
  <si>
    <t>&lt;ruby&gt;几&lt;rt&gt;jǐ&lt;/rt&gt;&lt;/ruby&gt;</t>
  </si>
  <si>
    <t>jǐ</t>
  </si>
  <si>
    <t>Bao nhiêu, mấy</t>
  </si>
  <si>
    <t>有几个苹果？</t>
  </si>
  <si>
    <t>Yǒu jǐ ge píngguǒ?</t>
  </si>
  <si>
    <t>Có mấy quả táo?</t>
  </si>
  <si>
    <t>H1_B4_BG_8.gif</t>
  </si>
  <si>
    <t>H1_B4_8.mp3</t>
  </si>
  <si>
    <t>H1_B4_VD_8.mp3</t>
  </si>
  <si>
    <t>口</t>
  </si>
  <si>
    <t>&lt;ruby&gt;口&lt;rt&gt;kǒu&lt;/rt&gt;&lt;/ruby&gt;</t>
  </si>
  <si>
    <t>kǒu</t>
  </si>
  <si>
    <t>Lượng từ dùng cho người</t>
  </si>
  <si>
    <t>我家有三口人。</t>
  </si>
  <si>
    <t>Wǒ jiā yǒu sān kǒu rén.</t>
  </si>
  <si>
    <t>Nhà tôi có ba người.</t>
  </si>
  <si>
    <t>H1_B4_BG_9.gif</t>
  </si>
  <si>
    <t>H1_B4_9.mp3</t>
  </si>
  <si>
    <t>H1_B4_VD_9.mp3</t>
  </si>
  <si>
    <t>爸爸</t>
  </si>
  <si>
    <t>&lt;ruby&gt;爸爸&lt;rt&gt;bàba&lt;/rt&gt;&lt;/ruby&gt;</t>
  </si>
  <si>
    <t>bàba</t>
  </si>
  <si>
    <t>Bố</t>
  </si>
  <si>
    <t>这是我爸爸。</t>
  </si>
  <si>
    <t>Zhè shì wǒ bàba.</t>
  </si>
  <si>
    <t>Đây là bố của tôi.</t>
  </si>
  <si>
    <t>H1_B4_BG_10.gif</t>
  </si>
  <si>
    <t>H1_B4_10.mp3</t>
  </si>
  <si>
    <t>H1_B4_VD_10.mp3</t>
  </si>
  <si>
    <t>妈妈</t>
  </si>
  <si>
    <t>&lt;ruby&gt;妈妈&lt;rt&gt;māma&lt;/rt&gt;&lt;/ruby&gt;</t>
  </si>
  <si>
    <t>māma</t>
  </si>
  <si>
    <t>Mẹ</t>
  </si>
  <si>
    <t>我爱我妈妈。</t>
  </si>
  <si>
    <t>Wǒ ài wǒ māma.</t>
  </si>
  <si>
    <t>Tôi yêu mẹ tôi.</t>
  </si>
  <si>
    <t>H1_B4_BG_11.gif</t>
  </si>
  <si>
    <t>H1_B4_11.mp3</t>
  </si>
  <si>
    <t>H1_B4_VD_11.mp3</t>
  </si>
  <si>
    <t>妹妹</t>
  </si>
  <si>
    <t>&lt;ruby&gt;妹妹&lt;rt&gt;mèimei&lt;/rt&gt;&lt;/ruby&gt;</t>
  </si>
  <si>
    <t>mèimei</t>
  </si>
  <si>
    <t>em gái</t>
  </si>
  <si>
    <t>我送给妹妹一份生日礼物。</t>
  </si>
  <si>
    <t>Wǒ sòng gěi mèimei yí fèn shēngrì lǐwù.</t>
  </si>
  <si>
    <t>Tôi tặng quà sinh nhật cho em gái.</t>
  </si>
  <si>
    <t>H1_B4_BG_12.gif</t>
  </si>
  <si>
    <t>H1_B4_12.mp3</t>
  </si>
  <si>
    <t>H1_B4_VD_12.mp3</t>
  </si>
  <si>
    <t>和</t>
  </si>
  <si>
    <t>&lt;ruby&gt;和&lt;rt&gt;hé&lt;/rt&gt;&lt;/ruby&gt;</t>
  </si>
  <si>
    <t>hé</t>
  </si>
  <si>
    <t>Liên từ</t>
  </si>
  <si>
    <t>Và</t>
  </si>
  <si>
    <t>他喜欢猫和狗。</t>
  </si>
  <si>
    <t>Tā xǐhuan māo hé gǒu.</t>
  </si>
  <si>
    <t>Anh ấy thích mèo và chó.</t>
  </si>
  <si>
    <t>H1_B4_BG_13.gif</t>
  </si>
  <si>
    <t>H1_B4_13.mp3</t>
  </si>
  <si>
    <t>H1_B4_VD_13.mp3</t>
  </si>
  <si>
    <t>儿子</t>
  </si>
  <si>
    <t>&lt;ruby&gt;儿子&lt;rt&gt;ér zi&lt;/rt&gt;&lt;/ruby&gt;</t>
  </si>
  <si>
    <t>ér zi</t>
  </si>
  <si>
    <t>Con trai</t>
  </si>
  <si>
    <t>这是我儿子。</t>
  </si>
  <si>
    <t>Zhè shì wǒ érzi.</t>
  </si>
  <si>
    <t>Đây là con trai của tôi.</t>
  </si>
  <si>
    <t>H1_B4_BG_14.gif</t>
  </si>
  <si>
    <t>H1_B4_14.mp3</t>
  </si>
  <si>
    <t>H1_B4_VD_14.mp3</t>
  </si>
  <si>
    <t>孩子</t>
  </si>
  <si>
    <t>&lt;ruby&gt;孩子&lt;rt&gt;háizi&lt;/rt&gt;&lt;/ruby&gt;</t>
  </si>
  <si>
    <t>háizi</t>
  </si>
  <si>
    <t>trẻ con, trẻ em</t>
  </si>
  <si>
    <t>孩子们正在看电视。</t>
  </si>
  <si>
    <t>Háizimen zhèngzài kàn diànshì.</t>
  </si>
  <si>
    <t>Bọn trẻ đang xem ti vi.</t>
  </si>
  <si>
    <t>H1_B4_BG_15.gif</t>
  </si>
  <si>
    <t>H1_B4_15.mp3</t>
  </si>
  <si>
    <t>H1_B4_VD_15.mp3</t>
  </si>
  <si>
    <t>女儿</t>
  </si>
  <si>
    <t>&lt;ruby&gt;女儿&lt;rt&gt;nǚ'ér&lt;/rt&gt;&lt;/ruby&gt;</t>
  </si>
  <si>
    <t>nǚ'ér</t>
  </si>
  <si>
    <t>Con gái</t>
  </si>
  <si>
    <t>我有两个女儿。</t>
  </si>
  <si>
    <t>Wǒ yǒu liǎng gè nǚ'ér.</t>
  </si>
  <si>
    <t>Tôi có hai con gái.</t>
  </si>
  <si>
    <t>H1_B4_BG_16.gif</t>
  </si>
  <si>
    <t>H1_B4_16.mp3</t>
  </si>
  <si>
    <t>H1_B4_VD_16.mp3</t>
  </si>
  <si>
    <t>岁</t>
  </si>
  <si>
    <t>&lt;ruby&gt;岁&lt;rt&gt;suì&lt;/rt&gt;&lt;/ruby&gt;</t>
  </si>
  <si>
    <t>suì</t>
  </si>
  <si>
    <t>Tuổi</t>
  </si>
  <si>
    <t>我今年20岁了。</t>
  </si>
  <si>
    <t>Wǒ jīnnián 20 suì le.</t>
  </si>
  <si>
    <t>Năm nay tôi 20 tuổi rồi.</t>
  </si>
  <si>
    <t>H1_B4_BG_17.gif</t>
  </si>
  <si>
    <t>H1_B4_17.mp3</t>
  </si>
  <si>
    <t>H1_B4_VD_17.mp3</t>
  </si>
  <si>
    <t>他</t>
  </si>
  <si>
    <t>&lt;ruby&gt;他&lt;rt&gt;tā&lt;/rt&gt;&lt;/ruby&gt;</t>
  </si>
  <si>
    <t>Anh ấy, ông ấy</t>
  </si>
  <si>
    <t>他是我的哥哥。</t>
  </si>
  <si>
    <t>Tā shì wǒ de gēge.</t>
  </si>
  <si>
    <t>Anh ấy là anh trai tôi.</t>
  </si>
  <si>
    <t>H1_B4_BG_18.gif</t>
  </si>
  <si>
    <t>H1_B4_18.mp3</t>
  </si>
  <si>
    <t>H1_B4_VD_18.mp3</t>
  </si>
  <si>
    <t>今年</t>
  </si>
  <si>
    <t>&lt;ruby&gt;今年&lt;rt&gt;jīnnián&lt;/rt&gt;&lt;/ruby&gt;</t>
  </si>
  <si>
    <t>jīnnián</t>
  </si>
  <si>
    <t>Năm nay</t>
  </si>
  <si>
    <t>我外公今年70岁了。</t>
  </si>
  <si>
    <t>Wǒ wàigōng jīnnián 70 suì le.</t>
  </si>
  <si>
    <t>Ông ngoại tôi năm nay 70 tuổi rồi.</t>
  </si>
  <si>
    <t>H1_B4_BG_19.gif</t>
  </si>
  <si>
    <t>H1_B4_19.mp3</t>
  </si>
  <si>
    <t>H1_B4_VD_19.mp3</t>
  </si>
  <si>
    <t>多</t>
  </si>
  <si>
    <t>&lt;ruby&gt;多&lt;rt&gt;duō&lt;/rt&gt;&lt;/ruby&gt;</t>
  </si>
  <si>
    <t>duō</t>
  </si>
  <si>
    <t>Phó từ/ tính từ</t>
  </si>
  <si>
    <t>Nhiều</t>
  </si>
  <si>
    <t>李老师多大了？</t>
  </si>
  <si>
    <t>Lǐ lǎoshī duō dà le?</t>
  </si>
  <si>
    <t>Cô giáo Lý bao nhiêu tuổi rồi?</t>
  </si>
  <si>
    <t>H1_B4_BG_20.gif</t>
  </si>
  <si>
    <t>H1_B4_20.mp3</t>
  </si>
  <si>
    <t>H1_B4_VD_20.mp3</t>
  </si>
  <si>
    <t>大</t>
  </si>
  <si>
    <t>&lt;ruby&gt;大&lt;rt&gt;dà&lt;/rt&gt;&lt;/ruby&gt;</t>
  </si>
  <si>
    <t>dà</t>
  </si>
  <si>
    <t>Lớn (khi đứng trong cụm từ "多大" sẽ có nghĩa là bao nhiêu)</t>
  </si>
  <si>
    <t>请问，您今年多大了？</t>
  </si>
  <si>
    <t>Qǐngwèn, nín jīnnián duō dà le?</t>
  </si>
  <si>
    <t>Xin hỏi, năm nay ông bao nhiêu tuổi?</t>
  </si>
  <si>
    <t>H1_B4_BG_21.gif</t>
  </si>
  <si>
    <t>H1_B4_21.mp3</t>
  </si>
  <si>
    <t>H1_B4_VD_21.mp3</t>
  </si>
  <si>
    <t>今天</t>
  </si>
  <si>
    <t>&lt;ruby&gt;今天&lt;rt&gt;jīntiān&lt;/rt&gt;&lt;/ruby&gt;</t>
  </si>
  <si>
    <t>jīntiān</t>
  </si>
  <si>
    <t>Hôm nay</t>
  </si>
  <si>
    <t>今天我们去哪儿？</t>
  </si>
  <si>
    <t>Jīntiān wǒmen qù nǎr?</t>
  </si>
  <si>
    <t>Hôm nay chúng ta sẽ đi đâu?</t>
  </si>
  <si>
    <t>H1_B5_BG_1.gif</t>
  </si>
  <si>
    <t>H1_B5_1.mp3</t>
  </si>
  <si>
    <t>H1_B5_VD_1.mp3</t>
  </si>
  <si>
    <t>号</t>
  </si>
  <si>
    <t>&lt;ruby&gt;号&lt;rt&gt;hào&lt;/rt&gt;&lt;/ruby&gt;</t>
  </si>
  <si>
    <t>hào</t>
  </si>
  <si>
    <t>Ngày, số</t>
  </si>
  <si>
    <t>明天几月几号？</t>
  </si>
  <si>
    <t>Míngtiān jǐ yuè jǐ hào?</t>
  </si>
  <si>
    <t>Ngày mai là ngày mấy tháng mấy?</t>
  </si>
  <si>
    <t>H1_B5_BG_2.gif</t>
  </si>
  <si>
    <t>H1_B5_2.mp3</t>
  </si>
  <si>
    <t>H1_B5_VD_2.mp3</t>
  </si>
  <si>
    <t>698af464c2421e43ed0a1b35</t>
  </si>
  <si>
    <t>月</t>
  </si>
  <si>
    <t>&lt;ruby&gt;月&lt;rt&gt;yuè&lt;/rt&gt;&lt;/ruby&gt;</t>
  </si>
  <si>
    <t>yuè</t>
  </si>
  <si>
    <t>Tháng</t>
  </si>
  <si>
    <t>今天几月几号？</t>
  </si>
  <si>
    <t>Jīntiān jǐ yuè jǐ hào?</t>
  </si>
  <si>
    <t>Hôm nay là ngày mấy tháng mấy?</t>
  </si>
  <si>
    <t>H1_B5_BG_3.gif</t>
  </si>
  <si>
    <t>H1_B5_3.mp3</t>
  </si>
  <si>
    <t>H1_B5_VD_3.mp3</t>
  </si>
  <si>
    <t>日</t>
  </si>
  <si>
    <t>&lt;ruby&gt;日&lt;rt&gt;rì&lt;/rt&gt;&lt;/ruby&gt;</t>
  </si>
  <si>
    <t>rì</t>
  </si>
  <si>
    <t>ngày</t>
  </si>
  <si>
    <t>今天是二月十日。</t>
  </si>
  <si>
    <t>Jīntiān shì èr yuè shí rì.</t>
  </si>
  <si>
    <t>Hôm nay là ngày 10 tháng 2.</t>
  </si>
  <si>
    <t>H1_B5_BG_4.gif</t>
  </si>
  <si>
    <t>H1_B5_4.mp3</t>
  </si>
  <si>
    <t>H1_B5_VD_4.mp3</t>
  </si>
  <si>
    <t>星期</t>
  </si>
  <si>
    <t>&lt;ruby&gt;星期&lt;rt&gt;xīngqī&lt;/rt&gt;&lt;/ruby&gt;</t>
  </si>
  <si>
    <t>xīngqī</t>
  </si>
  <si>
    <t>Tuần, thứ</t>
  </si>
  <si>
    <t>星期六，我会回家看外公。</t>
  </si>
  <si>
    <t>Xīngqīliù, wǒ huì huí jiā kàn wàigōng.</t>
  </si>
  <si>
    <t>Thứ bảy, tôi sẽ về nhà thăm ông ngoại.</t>
  </si>
  <si>
    <t>H1_B5_BG_5.gif</t>
  </si>
  <si>
    <t>H1_B5_5.mp3</t>
  </si>
  <si>
    <t>H1_B5_VD_5.mp3</t>
  </si>
  <si>
    <t>星期日</t>
  </si>
  <si>
    <t>&lt;ruby&gt;星期日&lt;rt&gt;xīngqīrì&lt;/rt&gt;&lt;/ruby&gt;</t>
  </si>
  <si>
    <t>xīngqīrì</t>
  </si>
  <si>
    <t>Chủ Nhật</t>
  </si>
  <si>
    <t>星期日我不上班。</t>
  </si>
  <si>
    <t>Xīngqīrì wǒ bù shàngbān.</t>
  </si>
  <si>
    <t>Chủ Nhật tôi không đi làm.</t>
  </si>
  <si>
    <t>H1_B5_BG_6.gif</t>
  </si>
  <si>
    <t>H1_B5_6.mp3</t>
  </si>
  <si>
    <t>H1_B5_VD_6.mp3</t>
  </si>
  <si>
    <t>星期天</t>
  </si>
  <si>
    <t>&lt;ruby&gt;星期天&lt;rt&gt;xīngqītiān&lt;/rt&gt;&lt;/ruby&gt;</t>
  </si>
  <si>
    <t>xīngqītiān</t>
  </si>
  <si>
    <t>星期天我们去看电影。</t>
  </si>
  <si>
    <t>Xīngqītiān wǒmen qù kàn diànyǐng.</t>
  </si>
  <si>
    <t>Chủ Nhật chúng tôi đi xem phim.</t>
  </si>
  <si>
    <t>H1_B5_BG_7.gif</t>
  </si>
  <si>
    <t>H1_B5_7.mp3</t>
  </si>
  <si>
    <t>H1_B5_VD_7.mp3</t>
  </si>
  <si>
    <t>休息</t>
  </si>
  <si>
    <t>&lt;ruby&gt;休息&lt;rt&gt;xiūxi&lt;/rt&gt;&lt;/ruby&gt;</t>
  </si>
  <si>
    <t>xiūxi</t>
  </si>
  <si>
    <t>nghỉ ngơi</t>
  </si>
  <si>
    <t>我打算去海边旅行，好好休息一下。</t>
  </si>
  <si>
    <t>Wǒ dǎsuàn qù hǎibiān lǚxíng, hǎohǎo xiūxi yíxià.</t>
  </si>
  <si>
    <t>Tôi dự định đi du lịch ở bãi biển để nghỉ ngơi thật tốt.</t>
  </si>
  <si>
    <t>H1_B5_BG_8.gif</t>
  </si>
  <si>
    <t>H1_B5_8.mp3</t>
  </si>
  <si>
    <t>H1_B5_VD_8.mp3</t>
  </si>
  <si>
    <t>会</t>
  </si>
  <si>
    <t>&lt;ruby&gt;会&lt;rt&gt;huì&lt;/rt&gt;&lt;/ruby&gt;</t>
  </si>
  <si>
    <t>huì</t>
  </si>
  <si>
    <t>Biết, có thể</t>
  </si>
  <si>
    <t>他会说汉语。</t>
  </si>
  <si>
    <t>Tā huì shuō Hànyǔ.</t>
  </si>
  <si>
    <t>Anh ấy có thể nói tiếng Trung Quốc.</t>
  </si>
  <si>
    <t>H1_B5_BG_9.gif</t>
  </si>
  <si>
    <t>H1_B5_9.mp3</t>
  </si>
  <si>
    <t>H1_B5_VD_9.mp3</t>
  </si>
  <si>
    <t>做饭</t>
  </si>
  <si>
    <t>&lt;ruby&gt;做饭&lt;rt&gt;zuò fàn&lt;/rt&gt;&lt;/ruby&gt;</t>
  </si>
  <si>
    <t>zuò fàn</t>
  </si>
  <si>
    <t>Nấu cơm</t>
  </si>
  <si>
    <t>妈妈做饭。</t>
  </si>
  <si>
    <t>Māma zuò fàn.</t>
  </si>
  <si>
    <t>Mẹ nấu cơm.</t>
  </si>
  <si>
    <t>H1_B5_BG_10.gif</t>
  </si>
  <si>
    <t>H1_B5_10.mp3</t>
  </si>
  <si>
    <t>H1_B5_VD_10.mp3</t>
  </si>
  <si>
    <t>做</t>
  </si>
  <si>
    <t>&lt;ruby&gt;做&lt;rt&gt;zuò&lt;/rt&gt;&lt;/ruby&gt;</t>
  </si>
  <si>
    <t>zuò</t>
  </si>
  <si>
    <t>Làm, nấu</t>
  </si>
  <si>
    <t>他会做饭。</t>
  </si>
  <si>
    <t>Tā huì zuò fàn.</t>
  </si>
  <si>
    <t>Anh ấy có thể nấu ăn.</t>
  </si>
  <si>
    <t>H1_B5_BG_11.gif</t>
  </si>
  <si>
    <t>H1_B5_11.mp3</t>
  </si>
  <si>
    <t>H1_B5_VD_11.mp3</t>
  </si>
  <si>
    <t>面条儿</t>
  </si>
  <si>
    <t>&lt;ruby&gt;面条儿&lt;rt&gt;miàntiáor&lt;/rt&gt;&lt;/ruby&gt;</t>
  </si>
  <si>
    <t>miàntiáor</t>
  </si>
  <si>
    <t>Mì sợi</t>
  </si>
  <si>
    <t>我爱吃面条儿。</t>
  </si>
  <si>
    <t>Wǒ ài chī miàntiáor.</t>
  </si>
  <si>
    <t>Tôi thích ăn mì.</t>
  </si>
  <si>
    <t>H1_B5_BG_12.gif</t>
  </si>
  <si>
    <t>H1_B5_12.mp3</t>
  </si>
  <si>
    <t>H1_B5_VD_12.mp3</t>
  </si>
  <si>
    <t>饺子</t>
  </si>
  <si>
    <t>&lt;ruby&gt;饺子&lt;rt&gt;jiǎozi&lt;/rt&gt;&lt;/ruby&gt;</t>
  </si>
  <si>
    <t>jiǎozi</t>
  </si>
  <si>
    <t>Bánh chẻo, hoành thánh</t>
  </si>
  <si>
    <t>我们吃饺子。</t>
  </si>
  <si>
    <t>Wǒmen chī jiǎozi.</t>
  </si>
  <si>
    <t>Chúng tôi ăn bánh chẻo.</t>
  </si>
  <si>
    <t>H1_B5_BG_13.gif</t>
  </si>
  <si>
    <t>H1_B5_13.mp3</t>
  </si>
  <si>
    <t>H1_B5_VD_13.mp3</t>
  </si>
  <si>
    <t>一些</t>
  </si>
  <si>
    <t>&lt;ruby&gt;一些&lt;rt&gt;yīxiē&lt;/rt&gt;&lt;/ruby&gt;</t>
  </si>
  <si>
    <t>yīxiē</t>
  </si>
  <si>
    <t>Số từ</t>
  </si>
  <si>
    <t>Một ít, một vài</t>
  </si>
  <si>
    <t>我有一些书。</t>
  </si>
  <si>
    <t>Wǒ yǒu yīxiē shū.</t>
  </si>
  <si>
    <t>Tôi có một vài quyển sách.</t>
  </si>
  <si>
    <t>H1_B5_BG_14.gif</t>
  </si>
  <si>
    <t>H1_B5_14.mp3</t>
  </si>
  <si>
    <t>H1_B5_VD_14.mp3</t>
  </si>
  <si>
    <t>菜</t>
  </si>
  <si>
    <t>&lt;ruby&gt;菜&lt;rt&gt;cài&lt;/rt&gt;&lt;/ruby&gt;</t>
  </si>
  <si>
    <t>cài</t>
  </si>
  <si>
    <t>Món ăn, rau</t>
  </si>
  <si>
    <t>你吃菜吗？</t>
  </si>
  <si>
    <t>Nǐ chī cài ma?</t>
  </si>
  <si>
    <t>Bạn có ăn rau không?</t>
  </si>
  <si>
    <t>H1_B5_BG_15.gif</t>
  </si>
  <si>
    <t>H1_B5_15.mp3</t>
  </si>
  <si>
    <t>H1_B5_VD_15.mp3</t>
  </si>
  <si>
    <t>下班</t>
  </si>
  <si>
    <t>&lt;ruby&gt;下班&lt;rt&gt;xiàbān&lt;/rt&gt;&lt;/ruby&gt;</t>
  </si>
  <si>
    <t>xiàbān</t>
  </si>
  <si>
    <t>Tan làm</t>
  </si>
  <si>
    <t>爸爸五点下班。</t>
  </si>
  <si>
    <t>Bàba wǔ diǎn xiàbān.</t>
  </si>
  <si>
    <t>Bố tan làm lúc năm giờ.</t>
  </si>
  <si>
    <t>H1_B5_BG_16.gif</t>
  </si>
  <si>
    <t>H1_B5_16.mp3</t>
  </si>
  <si>
    <t>H1_B5_VD_16.mp3</t>
  </si>
  <si>
    <t>新</t>
  </si>
  <si>
    <t>&lt;ruby&gt;新&lt;rt&gt;xīn&lt;/rt&gt;&lt;/ruby&gt;</t>
  </si>
  <si>
    <t>xīn</t>
  </si>
  <si>
    <t>mới</t>
  </si>
  <si>
    <t>我刚买了一条新裙子。</t>
  </si>
  <si>
    <t>Wǒ gāng mǎi le yì tiáo xīn qúnzi.</t>
  </si>
  <si>
    <t>Tôi vừa mua một chiếc váy mới.</t>
  </si>
  <si>
    <t>H1_B5_BG_17.gif</t>
  </si>
  <si>
    <t>H1_B5_17.mp3</t>
  </si>
  <si>
    <t>H1_B5_VD_17.mp3</t>
  </si>
  <si>
    <t>电脑</t>
  </si>
  <si>
    <t>&lt;ruby&gt;电脑&lt;rt&gt;diàn nǎo&lt;/rt&gt;&lt;/ruby&gt;</t>
  </si>
  <si>
    <t>diàn nǎo</t>
  </si>
  <si>
    <t>Máy tính</t>
  </si>
  <si>
    <t>这是麦克的电脑。</t>
  </si>
  <si>
    <t>Zhè shì Màikè de diànnǎo.</t>
  </si>
  <si>
    <t>Đây là máy tính của Mike.</t>
  </si>
  <si>
    <t>H1_B5_BG_18.gif</t>
  </si>
  <si>
    <t>H1_B5_18.mp3</t>
  </si>
  <si>
    <t>H1_B5_VD_18.mp3</t>
  </si>
  <si>
    <t>真</t>
  </si>
  <si>
    <t>&lt;ruby&gt;真&lt;rt&gt;zhēn&lt;/rt&gt;&lt;/ruby&gt;</t>
  </si>
  <si>
    <t>zhēn</t>
  </si>
  <si>
    <t>thật, quả là</t>
  </si>
  <si>
    <t>这颗钻石真漂亮。</t>
  </si>
  <si>
    <t>Zhè kē zuànshí zhēn piàoliang.</t>
  </si>
  <si>
    <t>Viên kim cương này thật đẹp.</t>
  </si>
  <si>
    <t>H1_B5_BG_19.gif</t>
  </si>
  <si>
    <t>H1_B5_19.mp3</t>
  </si>
  <si>
    <t>H1_B5_VD_19.mp3</t>
  </si>
  <si>
    <t>好看</t>
  </si>
  <si>
    <t>&lt;ruby&gt;好看&lt;rt&gt;hǎokàn&lt;/rt&gt;&lt;/ruby&gt;</t>
  </si>
  <si>
    <t>hǎokàn</t>
  </si>
  <si>
    <t>Đẹp, hay, hấp dẫn</t>
  </si>
  <si>
    <t>这本书好看。</t>
  </si>
  <si>
    <t>Zhè běn shū hǎokàn.</t>
  </si>
  <si>
    <t>Cuốn sách này hay.</t>
  </si>
  <si>
    <t>H1_B5_BG_20.gif</t>
  </si>
  <si>
    <t>H1_B5_20.mp3</t>
  </si>
  <si>
    <t>H1_B5_VD_20.mp3</t>
  </si>
  <si>
    <t>喜欢</t>
  </si>
  <si>
    <t>&lt;ruby&gt;喜欢&lt;rt&gt;xǐhuān&lt;/rt&gt;&lt;/ruby&gt;</t>
  </si>
  <si>
    <t>xǐhuān</t>
  </si>
  <si>
    <t>Thích</t>
  </si>
  <si>
    <t>他喜欢做饭。</t>
  </si>
  <si>
    <t>Tā xǐhuan zuò fàn.</t>
  </si>
  <si>
    <t>Anh ấy thích nấu ăn.</t>
  </si>
  <si>
    <t>H1_B5_BG_21.gif</t>
  </si>
  <si>
    <t>H1_B5_21.mp3</t>
  </si>
  <si>
    <t>H1_B5_VD_21.mp3</t>
  </si>
  <si>
    <t>它</t>
  </si>
  <si>
    <t>&lt;ruby&gt;它&lt;rt&gt;tā&lt;/rt&gt;&lt;/ruby&gt;</t>
  </si>
  <si>
    <t>nó</t>
  </si>
  <si>
    <t>它看起来很可怕。</t>
  </si>
  <si>
    <t>Tā kàn qǐlái hěn kěpà.</t>
  </si>
  <si>
    <t>Nó trông đáng sợ quá.</t>
  </si>
  <si>
    <t>H1_B5_BG_22.gif</t>
  </si>
  <si>
    <t>H1_B5_22.mp3</t>
  </si>
  <si>
    <t>H1_B5_VD_22.mp3</t>
  </si>
  <si>
    <t>手机</t>
  </si>
  <si>
    <t>&lt;ruby&gt;手机&lt;rt&gt;shǒujī&lt;/rt&gt;&lt;/ruby&gt;</t>
  </si>
  <si>
    <t>shǒujī</t>
  </si>
  <si>
    <t>điện thoại di động</t>
  </si>
  <si>
    <t>妈妈给我买了新手机。</t>
  </si>
  <si>
    <t>Māma gěi wǒ mǎi le xīn shǒujī.</t>
  </si>
  <si>
    <t>Mẹ tôi mua cho tôi điện thoại mới</t>
  </si>
  <si>
    <t>H1_B6_BG_1.gif</t>
  </si>
  <si>
    <t>H1_B6_1.mp3</t>
  </si>
  <si>
    <t>H1_B6_VD_1.mp3</t>
  </si>
  <si>
    <t>电话</t>
  </si>
  <si>
    <t>&lt;ruby&gt;电话&lt;rt&gt;diànhuà&lt;/rt&gt;&lt;/ruby&gt;</t>
  </si>
  <si>
    <t>diànhuà</t>
  </si>
  <si>
    <t>Điện thoại, cuộc gọi</t>
  </si>
  <si>
    <t>这是我的电话。</t>
  </si>
  <si>
    <t>Zhè shì wǒ de diànhuà.</t>
  </si>
  <si>
    <t>Đây là điện thoại của tôi.</t>
  </si>
  <si>
    <t>H1_B6_BG_2.gif</t>
  </si>
  <si>
    <t>H1_B6_2.mp3</t>
  </si>
  <si>
    <t>H1_B6_VD_2.mp3</t>
  </si>
  <si>
    <t>698af508c2421e43ed0a1bc7</t>
  </si>
  <si>
    <t>H1_B6_BG_3.gif</t>
  </si>
  <si>
    <t>H1_B6_3.mp3</t>
  </si>
  <si>
    <t>H1_B6_VD_3.mp3</t>
  </si>
  <si>
    <t>明天</t>
  </si>
  <si>
    <t>&lt;ruby&gt;明天&lt;rt&gt;míngtiān&lt;/rt&gt;&lt;/ruby&gt;</t>
  </si>
  <si>
    <t>míngtiān</t>
  </si>
  <si>
    <t>Ngày mai</t>
  </si>
  <si>
    <t>明天我要上课。</t>
  </si>
  <si>
    <t>Míngtiān wǒ yào shàngkè.</t>
  </si>
  <si>
    <t>Ngày mai tôi phải đi học.</t>
  </si>
  <si>
    <t>H1_B6_BG_4.gif</t>
  </si>
  <si>
    <t>H1_B6_4.mp3</t>
  </si>
  <si>
    <t>H1_B6_VD_4.mp3</t>
  </si>
  <si>
    <t>去</t>
  </si>
  <si>
    <t>&lt;ruby&gt;去&lt;rt&gt;qù&lt;/rt&gt;&lt;/ruby&gt;</t>
  </si>
  <si>
    <t>qù</t>
  </si>
  <si>
    <t>Đi, đi đến</t>
  </si>
  <si>
    <t>你去哪儿？</t>
  </si>
  <si>
    <t>Nǐ qù nǎr?</t>
  </si>
  <si>
    <t>Bạn đi đâu vậy?</t>
  </si>
  <si>
    <t>H1_B6_BG_5.gif</t>
  </si>
  <si>
    <t>H1_B6_5.mp3</t>
  </si>
  <si>
    <t>H1_B6_VD_5.mp3</t>
  </si>
  <si>
    <t>哪儿</t>
  </si>
  <si>
    <t>&lt;ruby&gt;哪儿&lt;rt&gt;nǎr&lt;/rt&gt;&lt;/ruby&gt;</t>
  </si>
  <si>
    <t>nǎr</t>
  </si>
  <si>
    <t>Ở đâu</t>
  </si>
  <si>
    <t>你妈妈在哪儿工作？</t>
  </si>
  <si>
    <t>Nǐ māma zài nǎr gōngzuò?</t>
  </si>
  <si>
    <t>Mẹ bạn làm việc ở đâu?</t>
  </si>
  <si>
    <t>H1_B6_BG_6.gif</t>
  </si>
  <si>
    <t>H1_B6_6.mp3</t>
  </si>
  <si>
    <t>H1_B6_VD_6.mp3</t>
  </si>
  <si>
    <t>H1_B6_BG_7.gif</t>
  </si>
  <si>
    <t>H1_B6_7.mp3</t>
  </si>
  <si>
    <t>H1_B6_VD_7.mp3</t>
  </si>
  <si>
    <t>超市</t>
  </si>
  <si>
    <t>&lt;ruby&gt;超市&lt;rt&gt;chāoshì&lt;/rt&gt;&lt;/ruby&gt;</t>
  </si>
  <si>
    <t>chāoshì</t>
  </si>
  <si>
    <t>Siêu thị</t>
  </si>
  <si>
    <t>我去超市买东西。</t>
  </si>
  <si>
    <t>Wǒ qù chāoshì mǎi dōngxi.</t>
  </si>
  <si>
    <t>Tôi đi siêu thị mua đồ.</t>
  </si>
  <si>
    <t>H1_B6_BG_8.gif</t>
  </si>
  <si>
    <t>H1_B6_8.mp3</t>
  </si>
  <si>
    <t>H1_B6_VD_8.mp3</t>
  </si>
  <si>
    <t>买</t>
  </si>
  <si>
    <t>&lt;ruby&gt;买&lt;rt&gt;mǎi&lt;/rt&gt;&lt;/ruby&gt;</t>
  </si>
  <si>
    <t>mǎi</t>
  </si>
  <si>
    <t>Mua</t>
  </si>
  <si>
    <t>她买饮料。</t>
  </si>
  <si>
    <t>Tā mǎi yǐnliào.</t>
  </si>
  <si>
    <t>Cô ấy mua đồ uống.</t>
  </si>
  <si>
    <t>H1_B6_BG_9.gif</t>
  </si>
  <si>
    <t>H1_B6_9.mp3</t>
  </si>
  <si>
    <t>H1_B6_VD_9.mp3</t>
  </si>
  <si>
    <t>东西</t>
  </si>
  <si>
    <t>&lt;ruby&gt;东西&lt;rt&gt;dōngxī&lt;/rt&gt;&lt;/ruby&gt;</t>
  </si>
  <si>
    <t>dōngxī</t>
  </si>
  <si>
    <t>Đồ, đồ đạc, thứ</t>
  </si>
  <si>
    <t>我想买一些厨房的东西。</t>
  </si>
  <si>
    <t>Wǒ xiǎng mǎi yīxiē chúfáng de dōngxi.</t>
  </si>
  <si>
    <t>Tôi muốn mua một vài đồ dùng phòng bếp.</t>
  </si>
  <si>
    <t>H1_B6_BG_10.gif</t>
  </si>
  <si>
    <t>H1_B6_10.mp3</t>
  </si>
  <si>
    <t>H1_B6_VD_10.mp3</t>
  </si>
  <si>
    <t>些</t>
  </si>
  <si>
    <t>&lt;ruby&gt;些&lt;rt&gt;xiē&lt;/rt&gt;&lt;/ruby&gt;</t>
  </si>
  <si>
    <t>xiē</t>
  </si>
  <si>
    <t>Một ít, một số, một vài</t>
  </si>
  <si>
    <t>我买了些苹果。</t>
  </si>
  <si>
    <t>Wǒ mǎi le xiē píngguǒ.</t>
  </si>
  <si>
    <t>Tôi đã mua một ít táo.</t>
  </si>
  <si>
    <t>H1_B6_BG_11.gif</t>
  </si>
  <si>
    <t>H1_B6_11.mp3</t>
  </si>
  <si>
    <t>H1_B6_VD_11.mp3</t>
  </si>
  <si>
    <t>牛奶</t>
  </si>
  <si>
    <t>&lt;ruby&gt;牛奶&lt;rt&gt;niúnǎi&lt;/rt&gt;&lt;/ruby&gt;</t>
  </si>
  <si>
    <t>niúnǎi</t>
  </si>
  <si>
    <t>sữa bò</t>
  </si>
  <si>
    <t>我每天早上都会喝牛奶。</t>
  </si>
  <si>
    <t>Wǒ měitiān zǎoshang dōu huì hē niúnǎi.</t>
  </si>
  <si>
    <t>Tôi thường uống sữa vào mỗi sáng.</t>
  </si>
  <si>
    <t>H1_B6_BG_12.gif</t>
  </si>
  <si>
    <t>H1_B6_12.mp3</t>
  </si>
  <si>
    <t>H1_B6_VD_12.mp3</t>
  </si>
  <si>
    <t>吃</t>
  </si>
  <si>
    <t>&lt;ruby&gt;吃&lt;rt&gt;chī&lt;/rt&gt;&lt;/ruby&gt;</t>
  </si>
  <si>
    <t>chī</t>
  </si>
  <si>
    <t>Ăn</t>
  </si>
  <si>
    <t>你想吃什么？</t>
  </si>
  <si>
    <t>Nǐ xiǎng chī shénme?</t>
  </si>
  <si>
    <t>Bạn muốn ăn gì?</t>
  </si>
  <si>
    <t>H1_B6_BG_13.gif</t>
  </si>
  <si>
    <t>H1_B6_13.mp3</t>
  </si>
  <si>
    <t>H1_B6_VD_13.mp3</t>
  </si>
  <si>
    <t>晚饭</t>
  </si>
  <si>
    <t>&lt;ruby&gt;晚饭&lt;rt&gt;wǎnfàn&lt;/rt&gt;&lt;/ruby&gt;</t>
  </si>
  <si>
    <t>wǎnfàn</t>
  </si>
  <si>
    <t>Bữa tối</t>
  </si>
  <si>
    <t>我们六点吃晚饭。</t>
  </si>
  <si>
    <t>Wǒmen liù diǎn chī wǎnfàn.</t>
  </si>
  <si>
    <t>Chúng tôi ăn tối lúc sáu giờ.</t>
  </si>
  <si>
    <t>H1_B6_BG_14.gif</t>
  </si>
  <si>
    <t>H1_B6_14.mp3</t>
  </si>
  <si>
    <t>H1_B6_VD_14.mp3</t>
  </si>
  <si>
    <t>那边</t>
  </si>
  <si>
    <t>&lt;ruby&gt;那边&lt;rt&gt;nà biān&lt;/rt&gt;&lt;/ruby&gt;</t>
  </si>
  <si>
    <t>nà biān</t>
  </si>
  <si>
    <t>Đằng kia, phía đó</t>
  </si>
  <si>
    <t>书店在那边。</t>
  </si>
  <si>
    <t>Shūdiàn zài nà biān.</t>
  </si>
  <si>
    <t>Hiệu sách ở đằng kia.</t>
  </si>
  <si>
    <t>H1_B6_BG_15.gif</t>
  </si>
  <si>
    <t>H1_B6_15.mp3</t>
  </si>
  <si>
    <t>H1_B6_VD_15.mp3</t>
  </si>
  <si>
    <t>包子</t>
  </si>
  <si>
    <t>&lt;ruby&gt;包子&lt;rt&gt;bāozi&lt;/rt&gt;&lt;/ruby&gt;</t>
  </si>
  <si>
    <t>bāozi</t>
  </si>
  <si>
    <t>Bánh bao</t>
  </si>
  <si>
    <t>我早饭吃包子。</t>
  </si>
  <si>
    <t>Wǒ zǎofàn chī bāozi.</t>
  </si>
  <si>
    <t>Tôi ăn bánh bao cho bữa sáng.</t>
  </si>
  <si>
    <t>H1_B6_BG_16.gif</t>
  </si>
  <si>
    <t>H1_B6_16.mp3</t>
  </si>
  <si>
    <t>H1_B6_VD_16.mp3</t>
  </si>
  <si>
    <t>非常</t>
  </si>
  <si>
    <t>&lt;ruby&gt;非常&lt;rt&gt;fēicháng&lt;/rt&gt;&lt;/ruby&gt;</t>
  </si>
  <si>
    <t>fēicháng</t>
  </si>
  <si>
    <t>rất, vô cùng</t>
  </si>
  <si>
    <t>这件衣服非常漂亮。</t>
  </si>
  <si>
    <t>Zhè jiàn yīfu fēicháng piàoliang.</t>
  </si>
  <si>
    <t>Bộ quần áo này vô cùng đẹp.</t>
  </si>
  <si>
    <t>H1_B6_BG_17.gif</t>
  </si>
  <si>
    <t>H1_B6_17.mp3</t>
  </si>
  <si>
    <t>H1_B6_VD_17.mp3</t>
  </si>
  <si>
    <t>好吃</t>
  </si>
  <si>
    <t>&lt;ruby&gt;好吃&lt;rt&gt;hǎochī&lt;/rt&gt;&lt;/ruby&gt;</t>
  </si>
  <si>
    <t>hǎochī</t>
  </si>
  <si>
    <t>Ngon</t>
  </si>
  <si>
    <t>西瓜很好吃。</t>
  </si>
  <si>
    <t>Xīguā hěn hǎochī.</t>
  </si>
  <si>
    <t>Dưa hấu rất ngon.</t>
  </si>
  <si>
    <t>H1_B6_BG_18.gif</t>
  </si>
  <si>
    <t>H1_B6_18.mp3</t>
  </si>
  <si>
    <t>H1_B6_VD_18.mp3</t>
  </si>
  <si>
    <t>米饭</t>
  </si>
  <si>
    <t>&lt;ruby&gt;米饭&lt;rt&gt;mǐ fàn&lt;/rt&gt;&lt;/ruby&gt;</t>
  </si>
  <si>
    <t>mǐ fàn</t>
  </si>
  <si>
    <t>Cơm</t>
  </si>
  <si>
    <t>他想吃米饭。</t>
  </si>
  <si>
    <t>Tā xiǎng chī mǐfàn.</t>
  </si>
  <si>
    <t>Anh ấy muốn ăn cơm.</t>
  </si>
  <si>
    <t>H1_B6_BG_19.gif</t>
  </si>
  <si>
    <t>H1_B6_19.mp3</t>
  </si>
  <si>
    <t>H1_B6_VD_19.mp3</t>
  </si>
  <si>
    <t>怎么</t>
  </si>
  <si>
    <t>&lt;ruby&gt;怎么&lt;rt&gt;zěnme&lt;/rt&gt;&lt;/ruby&gt;</t>
  </si>
  <si>
    <t>zěnme</t>
  </si>
  <si>
    <t>Như thế nào</t>
  </si>
  <si>
    <t>她们怎么这么开心？</t>
  </si>
  <si>
    <t>Tāmen zěnme zhème kāixīn?</t>
  </si>
  <si>
    <t>Tại sao họ lại vui như vậy?</t>
  </si>
  <si>
    <t>H1_B6_BG_20.gif</t>
  </si>
  <si>
    <t>H1_B6_20.mp3</t>
  </si>
  <si>
    <t>H1_B6_VD_20.mp3</t>
  </si>
  <si>
    <t>坐</t>
  </si>
  <si>
    <t>&lt;ruby&gt;坐&lt;rt&gt;zuò&lt;/rt&gt;&lt;/ruby&gt;</t>
  </si>
  <si>
    <t>Ngồi</t>
  </si>
  <si>
    <t>两个人坐在一起。</t>
  </si>
  <si>
    <t>Liǎng gè rén zuò zài yīqǐ.</t>
  </si>
  <si>
    <t>Hai người ngồi cùng nhau.</t>
  </si>
  <si>
    <t>H1_B6_BG_21.gif</t>
  </si>
  <si>
    <t>H1_B6_21.mp3</t>
  </si>
  <si>
    <t>H1_B6_VD_21.mp3</t>
  </si>
  <si>
    <t>出租车</t>
  </si>
  <si>
    <t>&lt;ruby&gt;出租车&lt;rt&gt;chūzūchē&lt;/rt&gt;&lt;/ruby&gt;</t>
  </si>
  <si>
    <t>chūzūchē</t>
  </si>
  <si>
    <t>Taxi</t>
  </si>
  <si>
    <t>我们坐出租车回去。</t>
  </si>
  <si>
    <t>Wǒmen zuò chūzūchē huíqù.</t>
  </si>
  <si>
    <t>Chúng tôi đi taxi về.</t>
  </si>
  <si>
    <t>H1_B6_BG_22.gif</t>
  </si>
  <si>
    <t>H1_B6_22.mp3</t>
  </si>
  <si>
    <t>H1_B6_VD_22.mp3</t>
  </si>
  <si>
    <t>现在</t>
  </si>
  <si>
    <t>&lt;ruby&gt;现在&lt;rt&gt;xiàn zài&lt;/rt&gt;&lt;/ruby&gt;</t>
  </si>
  <si>
    <t>xiàn zài</t>
  </si>
  <si>
    <t>Bây giờ, hiện tại</t>
  </si>
  <si>
    <t>现在几点了？</t>
  </si>
  <si>
    <t>Xiànzài jǐ diǎn le?</t>
  </si>
  <si>
    <t>Bây giờ là mấy giờ?</t>
  </si>
  <si>
    <t>H1_B7_BG_1.gif</t>
  </si>
  <si>
    <t>H1_B7_1.mp3</t>
  </si>
  <si>
    <t>H1_B7_VD_1.mp3</t>
  </si>
  <si>
    <t>点</t>
  </si>
  <si>
    <t>&lt;ruby&gt;点&lt;rt&gt;diǎn&lt;/rt&gt;&lt;/ruby&gt;</t>
  </si>
  <si>
    <t>diǎn</t>
  </si>
  <si>
    <t>Lượng từ/ Danh từ</t>
  </si>
  <si>
    <t>Giờ (lượng từ) hoặc dấu chấm nhỏ (danh từ)</t>
  </si>
  <si>
    <t>现在是下午两点。</t>
  </si>
  <si>
    <t>Xiànzài shì xiàwǔ liǎng diǎn.</t>
  </si>
  <si>
    <t>Bây giờ là hai giờ chiều.</t>
  </si>
  <si>
    <t>H1_B7_BG_2.gif</t>
  </si>
  <si>
    <t>H1_B7_2.mp3</t>
  </si>
  <si>
    <t>H1_B7_VD_2.mp3</t>
  </si>
  <si>
    <t>698af58ac2421e43ed0a1c58</t>
  </si>
  <si>
    <t>早上</t>
  </si>
  <si>
    <t>&lt;ruby&gt;早上&lt;rt&gt;zǎoshang&lt;/rt&gt;&lt;/ruby&gt;</t>
  </si>
  <si>
    <t>zǎoshang</t>
  </si>
  <si>
    <t>buổi sáng</t>
  </si>
  <si>
    <t>她早上经常煮粥。</t>
  </si>
  <si>
    <t>Tā zǎoshang jīngcháng zhǔ zhōu.</t>
  </si>
  <si>
    <t>Cô ấy thường nấu cháo vào buổi sáng.</t>
  </si>
  <si>
    <t>H1_B7_BG_3.gif</t>
  </si>
  <si>
    <t>H1_B7_3.mp3</t>
  </si>
  <si>
    <t>H1_B7_VD_3.mp3</t>
  </si>
  <si>
    <t>上午</t>
  </si>
  <si>
    <t>&lt;ruby&gt;上午&lt;rt&gt;shàngwǔ&lt;/rt&gt;&lt;/ruby&gt;</t>
  </si>
  <si>
    <t>shàngwǔ</t>
  </si>
  <si>
    <t>Buổi sáng</t>
  </si>
  <si>
    <t>每个上午我都喝一杯咖啡。</t>
  </si>
  <si>
    <t>Měi gè shàngwǔ wǒ dōu hē yī bēi kāfēi.</t>
  </si>
  <si>
    <t>Mỗi buổi sáng, tôi đều uống một cốc cà phê lạnh.</t>
  </si>
  <si>
    <t>H1_B7_BG_4.gif</t>
  </si>
  <si>
    <t>H1_B7_4.mp3</t>
  </si>
  <si>
    <t>H1_B7_VD_4.mp3</t>
  </si>
  <si>
    <t>分</t>
  </si>
  <si>
    <t>&lt;ruby&gt;分&lt;rt&gt;fēn&lt;/rt&gt;&lt;/ruby&gt;</t>
  </si>
  <si>
    <t>fēn</t>
  </si>
  <si>
    <t>Phút</t>
  </si>
  <si>
    <t>今天下午四点十五分，我吃了西瓜。</t>
  </si>
  <si>
    <t>Jīntiān xiàwǔ sì diǎn shíwǔ fēn, wǒ chī le xīguā.</t>
  </si>
  <si>
    <t>Chiều nay lúc 4 giờ 15 phút, tôi đã ăn dưa hấu.</t>
  </si>
  <si>
    <t>H1_B7_BG_5.gif</t>
  </si>
  <si>
    <t>H1_B7_5.mp3</t>
  </si>
  <si>
    <t>H1_B7_VD_5.mp3</t>
  </si>
  <si>
    <t>课</t>
  </si>
  <si>
    <t>&lt;ruby&gt;课&lt;rt&gt;kè&lt;/rt&gt;&lt;/ruby&gt;</t>
  </si>
  <si>
    <t>kè</t>
  </si>
  <si>
    <t>giờ học, môn, bài</t>
  </si>
  <si>
    <t>我最喜欢数学课。</t>
  </si>
  <si>
    <t>Wǒ zuì xǐhuan shùxué kè.</t>
  </si>
  <si>
    <t>Tôi thích nhất môn Toán.</t>
  </si>
  <si>
    <t>H1_B7_BG_6.gif</t>
  </si>
  <si>
    <t>H1_B7_6.mp3</t>
  </si>
  <si>
    <t>H1_B7_VD_6.mp3</t>
  </si>
  <si>
    <t>下午</t>
  </si>
  <si>
    <t>&lt;ruby&gt;下午&lt;rt&gt;xià wǔ&lt;/rt&gt;&lt;/ruby&gt;</t>
  </si>
  <si>
    <t>xià wǔ</t>
  </si>
  <si>
    <t>Buổi chiều</t>
  </si>
  <si>
    <t>下午的风景很美。</t>
  </si>
  <si>
    <t>Xiàwǔ de fēngjǐng hěn měi.</t>
  </si>
  <si>
    <t>Cảnh sắc buổi chiều rất đẹp.</t>
  </si>
  <si>
    <t>H1_B7_BG_7.gif</t>
  </si>
  <si>
    <t>H1_B7_7.mp3</t>
  </si>
  <si>
    <t>H1_B7_VD_7.mp3</t>
  </si>
  <si>
    <t>见</t>
  </si>
  <si>
    <t>&lt;ruby&gt;见&lt;rt&gt;jiàn&lt;/rt&gt;&lt;/ruby&gt;</t>
  </si>
  <si>
    <t>jiàn</t>
  </si>
  <si>
    <t>Gặp, nhìn thấy</t>
  </si>
  <si>
    <t>我们明天见。</t>
  </si>
  <si>
    <t>Wǒmen míngtiān jiàn.</t>
  </si>
  <si>
    <t>Chúng ta ngày mai gặp nhé.</t>
  </si>
  <si>
    <t>H1_B7_BG_8.gif</t>
  </si>
  <si>
    <t>H1_B7_8.mp3</t>
  </si>
  <si>
    <t>H1_B7_VD_8.mp3</t>
  </si>
  <si>
    <t>吧</t>
  </si>
  <si>
    <t>&lt;ruby&gt;吧&lt;rt&gt;ba&lt;/rt&gt;&lt;/ruby&gt;</t>
  </si>
  <si>
    <t>ba</t>
  </si>
  <si>
    <t>Nhé, nha, đi</t>
  </si>
  <si>
    <t>我们一起打篮球吧！</t>
  </si>
  <si>
    <t>Wǒmen yīqǐ dǎ lánqiú ba!</t>
  </si>
  <si>
    <t>Chúng ta cùng chơi bóng rổ nhé!</t>
  </si>
  <si>
    <t>H1_B7_BG_9.gif</t>
  </si>
  <si>
    <t>H1_B7_9.mp3</t>
  </si>
  <si>
    <t>H1_B7_VD_9.mp3</t>
  </si>
  <si>
    <t>电影院</t>
  </si>
  <si>
    <t>&lt;ruby&gt;电影院&lt;rt&gt;diànyǐngyuàn&lt;/rt&gt;&lt;/ruby&gt;</t>
  </si>
  <si>
    <t>diànyǐngyuàn</t>
  </si>
  <si>
    <t>Rạp chiếu phim</t>
  </si>
  <si>
    <t>电影院在那边。</t>
  </si>
  <si>
    <t>Diànyǐngyuàn zài nà biān.</t>
  </si>
  <si>
    <t>Rạp chiếu phim ở đằng kia.</t>
  </si>
  <si>
    <t>H1_B7_BG_10.gif</t>
  </si>
  <si>
    <t>H1_B7_10.mp3</t>
  </si>
  <si>
    <t>H1_B7_VD_10.mp3</t>
  </si>
  <si>
    <t>看</t>
  </si>
  <si>
    <t>&lt;ruby&gt;看&lt;rt&gt;kàn&lt;/rt&gt;&lt;/ruby&gt;</t>
  </si>
  <si>
    <t>kàn</t>
  </si>
  <si>
    <t>Xem, nhìn</t>
  </si>
  <si>
    <t>我喜欢看电影。</t>
  </si>
  <si>
    <t>Wǒ xǐhuan kàn diànyǐng.</t>
  </si>
  <si>
    <t>Tôi thích xem phim.</t>
  </si>
  <si>
    <t>H1_B7_BG_11.gif</t>
  </si>
  <si>
    <t>H1_B7_11.mp3</t>
  </si>
  <si>
    <t>H1_B7_VD_11.mp3</t>
  </si>
  <si>
    <t>事</t>
  </si>
  <si>
    <t>&lt;ruby&gt;事&lt;rt&gt;shì&lt;/rt&gt;&lt;/ruby&gt;</t>
  </si>
  <si>
    <t>Việc, sự việc</t>
  </si>
  <si>
    <t>我有事。</t>
  </si>
  <si>
    <t>Wǒ yǒu shì.</t>
  </si>
  <si>
    <t>Tôi có việc.</t>
  </si>
  <si>
    <t>H1_B7_BG_12.gif</t>
  </si>
  <si>
    <t>H1_B7_12.mp3</t>
  </si>
  <si>
    <t>H1_B7_VD_12.mp3</t>
  </si>
  <si>
    <t>上课</t>
  </si>
  <si>
    <t>&lt;ruby&gt;上课&lt;rt&gt;shàngkè&lt;/rt&gt;&lt;/ruby&gt;</t>
  </si>
  <si>
    <t>shàngkè</t>
  </si>
  <si>
    <t>Lên lớp, bắt đầu giờ học</t>
  </si>
  <si>
    <t>我们九点上课。</t>
  </si>
  <si>
    <t>Wǒmen jiǔ diǎn shàngkè.</t>
  </si>
  <si>
    <t>Chúng tôi lên lớp lúc chín giờ.</t>
  </si>
  <si>
    <t>H1_B7_BG_13.gif</t>
  </si>
  <si>
    <t>H1_B7_13.mp3</t>
  </si>
  <si>
    <t>H1_B7_VD_13.mp3</t>
  </si>
  <si>
    <t>H1_B7_BG_14.gif</t>
  </si>
  <si>
    <t>H1_B7_14.mp3</t>
  </si>
  <si>
    <t>H1_B7_VD_14.mp3</t>
  </si>
  <si>
    <t>半</t>
  </si>
  <si>
    <t>&lt;ruby&gt;半&lt;rt&gt;bàn&lt;/rt&gt;&lt;/ruby&gt;</t>
  </si>
  <si>
    <t>bàn</t>
  </si>
  <si>
    <t>Một nửa, rưỡi</t>
  </si>
  <si>
    <t>现在是八点半，小女孩去学校。</t>
  </si>
  <si>
    <t>Xiànzài shì bā diǎn bàn, xiǎo nǚhái qù xuéxiào.</t>
  </si>
  <si>
    <t>Bây giờ là tám giờ rưỡi, cô bé đi đến trường.</t>
  </si>
  <si>
    <t>H1_B7_BG_15.gif</t>
  </si>
  <si>
    <t>H1_B7_15.mp3</t>
  </si>
  <si>
    <t>H1_B7_VD_15.mp3</t>
  </si>
  <si>
    <t>下课</t>
  </si>
  <si>
    <t>&lt;ruby&gt;下课&lt;rt&gt;xiàkè&lt;/rt&gt;&lt;/ruby&gt;</t>
  </si>
  <si>
    <t>xiàkè</t>
  </si>
  <si>
    <t>Tan học</t>
  </si>
  <si>
    <t>学生十二点下课。</t>
  </si>
  <si>
    <t>Xuéshēng shí'èr diǎn xiàkè.</t>
  </si>
  <si>
    <t>Học sinh tan học lúc mười hai giờ.</t>
  </si>
  <si>
    <t>H1_B7_BG_16.gif</t>
  </si>
  <si>
    <t>H1_B7_16.mp3</t>
  </si>
  <si>
    <t>H1_B7_VD_16.mp3</t>
  </si>
  <si>
    <t>在</t>
  </si>
  <si>
    <t>&lt;ruby&gt;在&lt;rt&gt;zài&lt;/rt&gt;&lt;/ruby&gt;</t>
  </si>
  <si>
    <t>zài</t>
  </si>
  <si>
    <t>Ở</t>
  </si>
  <si>
    <t>我在家看书。</t>
  </si>
  <si>
    <t>Wǒ zài jiā kànshū.</t>
  </si>
  <si>
    <t>Tôi đang ở nhà đọc sách.</t>
  </si>
  <si>
    <t>H1_B7_BG_17.gif</t>
  </si>
  <si>
    <t>H1_B7_17.mp3</t>
  </si>
  <si>
    <t>H1_B7_VD_17.mp3</t>
  </si>
  <si>
    <t>H1_B7_BG_18.gif</t>
  </si>
  <si>
    <t>H1_B7_18.mp3</t>
  </si>
  <si>
    <t>H1_B7_VD_18.mp3</t>
  </si>
  <si>
    <t>里</t>
  </si>
  <si>
    <t>&lt;ruby&gt;里&lt;rt&gt;lǐ&lt;/rt&gt;&lt;/ruby&gt;</t>
  </si>
  <si>
    <t>lǐ</t>
  </si>
  <si>
    <t>Bên trong</t>
  </si>
  <si>
    <t>里面有两支铅笔。</t>
  </si>
  <si>
    <t>Lǐmiàn yǒu liǎng zhī qiānbǐ.</t>
  </si>
  <si>
    <t>Bên trong có hai cái bút chì.</t>
  </si>
  <si>
    <t>H1_B7_BG_19.gif</t>
  </si>
  <si>
    <t>H1_B7_19.mp3</t>
  </si>
  <si>
    <t>H1_B7_VD_19.mp3</t>
  </si>
  <si>
    <t>晚上</t>
  </si>
  <si>
    <t>&lt;ruby&gt;晚上&lt;rt&gt;wǎnshang&lt;/rt&gt;&lt;/ruby&gt;</t>
  </si>
  <si>
    <t>wǎnshang</t>
  </si>
  <si>
    <t>buổi tối</t>
  </si>
  <si>
    <t>晚上的星星特别亮。</t>
  </si>
  <si>
    <t>Wǎnshang de xīngxing tèbié liàng.</t>
  </si>
  <si>
    <t>Sao buổi tối rất sáng.</t>
  </si>
  <si>
    <t>H1_B7_BG_20.gif</t>
  </si>
  <si>
    <t>H1_B7_20.mp3</t>
  </si>
  <si>
    <t>H1_B7_VD_20.mp3</t>
  </si>
  <si>
    <t>医院</t>
  </si>
  <si>
    <t>&lt;ruby&gt;医院&lt;rt&gt;yī yuàn&lt;/rt&gt;&lt;/ruby&gt;</t>
  </si>
  <si>
    <t>yī yuàn</t>
  </si>
  <si>
    <t>Bệnh viện</t>
  </si>
  <si>
    <t>这是医院。</t>
  </si>
  <si>
    <t>Zhè shì yīyuàn.</t>
  </si>
  <si>
    <t>Đây là bệnh viện.</t>
  </si>
  <si>
    <t>H1_B7_BG_21.gif</t>
  </si>
  <si>
    <t>H1_B7_21.mp3</t>
  </si>
  <si>
    <t>H1_B7_VD_21.mp3</t>
  </si>
  <si>
    <t>上班</t>
  </si>
  <si>
    <t>&lt;ruby&gt;上班&lt;rt&gt;shàng bān&lt;/rt&gt;&lt;/ruby&gt;</t>
  </si>
  <si>
    <t>shàng bān</t>
  </si>
  <si>
    <t>đi làm</t>
  </si>
  <si>
    <t>我从星期一到星期五都要上班。</t>
  </si>
  <si>
    <t>Wǒ cóng xīngqī yī dào xīngqī wǔ dōu yào shàngbān.</t>
  </si>
  <si>
    <t>Tôi phải đi làm từ thứ hai đến thứ sáu.</t>
  </si>
  <si>
    <t>H1_B7_BG_22.gif</t>
  </si>
  <si>
    <t>H1_B7_22.mp3</t>
  </si>
  <si>
    <t>H1_B7_VD_22.mp3</t>
  </si>
  <si>
    <t>店</t>
  </si>
  <si>
    <t>&lt;ruby&gt;店&lt;rt&gt;diàn&lt;/rt&gt;&lt;/ruby&gt;</t>
  </si>
  <si>
    <t>diàn</t>
  </si>
  <si>
    <t>Cửa hàng, tiệm</t>
  </si>
  <si>
    <t>这是一个小店。</t>
  </si>
  <si>
    <t>Zhè shì yī gè xiǎo diàn.</t>
  </si>
  <si>
    <t>Đây là một cửa hàng nhỏ.</t>
  </si>
  <si>
    <t>H1_B7_BG_23.gif</t>
  </si>
  <si>
    <t>H1_B7_23.mp3</t>
  </si>
  <si>
    <t>H1_B7_VD_23.mp3</t>
  </si>
  <si>
    <t>H1_B7_BG_24.gif</t>
  </si>
  <si>
    <t>H1_B7_24.mp3</t>
  </si>
  <si>
    <t>H1_B7_VD_24.mp3</t>
  </si>
  <si>
    <t>分钟</t>
  </si>
  <si>
    <t>&lt;ruby&gt;分钟&lt;rt&gt;fēnzhōng&lt;/rt&gt;&lt;/ruby&gt;</t>
  </si>
  <si>
    <t>fēnzhōng</t>
  </si>
  <si>
    <t>电影8点开始，我们还有十分钟。</t>
  </si>
  <si>
    <t>Diànyǐng bā diǎn kāishǐ, wǒmen hái yǒu shí fēnzhōng.</t>
  </si>
  <si>
    <t>Phim bắt đầu lúc 8 giờ, chúng ta còn 10 phút.</t>
  </si>
  <si>
    <t>H1_B7_BG_25.gif</t>
  </si>
  <si>
    <t>H1_B7_25.mp3</t>
  </si>
  <si>
    <t>H1_B7_VD_25.mp3</t>
  </si>
  <si>
    <t>后</t>
  </si>
  <si>
    <t>&lt;ruby&gt;后&lt;rt&gt;hòu&lt;/rt&gt;&lt;/ruby&gt;</t>
  </si>
  <si>
    <t>hòu</t>
  </si>
  <si>
    <t>Trạng từ</t>
  </si>
  <si>
    <t>Sau</t>
  </si>
  <si>
    <t>学校后有一家饭店。</t>
  </si>
  <si>
    <t>Xuéxiào hòu yǒu yī jiā fàndiàn.</t>
  </si>
  <si>
    <t>Phía sau trường có một quán ăn.</t>
  </si>
  <si>
    <t>H1_B7_BG_26.gif</t>
  </si>
  <si>
    <t>H1_B7_26.mp3</t>
  </si>
  <si>
    <t>H1_B7_VD_26.mp3</t>
  </si>
  <si>
    <t>房间</t>
  </si>
  <si>
    <t>&lt;ruby&gt;房间&lt;rt&gt;fángjiān&lt;/rt&gt;&lt;/ruby&gt;</t>
  </si>
  <si>
    <t>fángjiān</t>
  </si>
  <si>
    <t>phòng</t>
  </si>
  <si>
    <t>这个房间非常整洁。</t>
  </si>
  <si>
    <t>Zhège fángjiān fēicháng zhěngjié.</t>
  </si>
  <si>
    <t>Căn phòng này rất ngăn nắp.</t>
  </si>
  <si>
    <t>H1_B8_BG_1.gif</t>
  </si>
  <si>
    <t>H1_B8_1.mp3</t>
  </si>
  <si>
    <t>H1_B8_VD_1.mp3</t>
  </si>
  <si>
    <t>外</t>
  </si>
  <si>
    <t>&lt;ruby&gt;外&lt;rt&gt;wài&lt;/rt&gt;&lt;/ruby&gt;</t>
  </si>
  <si>
    <t>wài</t>
  </si>
  <si>
    <t>bên ngoài</t>
  </si>
  <si>
    <t>我们在室外运动。</t>
  </si>
  <si>
    <t>Wǒmen zài shìwài yùndòng.</t>
  </si>
  <si>
    <t>Chúng tôi tập thể dục ngoài trời.</t>
  </si>
  <si>
    <t>H1_B8_BG_2.gif</t>
  </si>
  <si>
    <t>H1_B8_2.mp3</t>
  </si>
  <si>
    <t>H1_B8_VD_2.mp3</t>
  </si>
  <si>
    <t>698aa227c2421e43ed0a0e6e</t>
  </si>
  <si>
    <t>只</t>
  </si>
  <si>
    <t>&lt;ruby&gt;只&lt;rt&gt;zhǐ&lt;/rt&gt;&lt;/ruby&gt;</t>
  </si>
  <si>
    <t>zhǐ</t>
  </si>
  <si>
    <t>Chỉ</t>
  </si>
  <si>
    <t>这只鸡只吃玉米，不吃其他食物。</t>
  </si>
  <si>
    <t>Zhè zhī jī zhǐ chī yùmǐ, bù chī qítā shíwù.</t>
  </si>
  <si>
    <t>Con gà này chỉ ăn ngô, không ăn thức ăn khác.</t>
  </si>
  <si>
    <t>H1_B8_BG_3.gif</t>
  </si>
  <si>
    <t>H1_B8_3.mp3</t>
  </si>
  <si>
    <t>H1_B8_VD_3.mp3</t>
  </si>
  <si>
    <t>小</t>
  </si>
  <si>
    <t>&lt;ruby&gt;小&lt;rt&gt;xiǎo&lt;/rt&gt;&lt;/ruby&gt;</t>
  </si>
  <si>
    <t>xiǎo</t>
  </si>
  <si>
    <t>Nhỏ, bé</t>
  </si>
  <si>
    <t>这条鱼很小。</t>
  </si>
  <si>
    <t>Zhè tiáo yú hěn xiǎo.</t>
  </si>
  <si>
    <t>Con cá này rất nhỏ.</t>
  </si>
  <si>
    <t>H1_B8_BG_4.gif</t>
  </si>
  <si>
    <t>H1_B8_4.mp3</t>
  </si>
  <si>
    <t>H1_B8_VD_4.mp3</t>
  </si>
  <si>
    <t>猫</t>
  </si>
  <si>
    <t>&lt;ruby&gt;猫&lt;rt&gt;māo&lt;/rt&gt;&lt;/ruby&gt;</t>
  </si>
  <si>
    <t>māo</t>
  </si>
  <si>
    <t>Mèo</t>
  </si>
  <si>
    <t>我喜欢猫。</t>
  </si>
  <si>
    <t>Wǒ xǐhuan māo.</t>
  </si>
  <si>
    <t>Tôi thích mèo.</t>
  </si>
  <si>
    <t>H1_B8_BG_5.gif</t>
  </si>
  <si>
    <t>H1_B8_5.mp3</t>
  </si>
  <si>
    <t>H1_B8_VD_5.mp3</t>
  </si>
  <si>
    <t>没</t>
  </si>
  <si>
    <t>&lt;ruby&gt;没&lt;rt&gt;méi&lt;/rt&gt;&lt;/ruby&gt;</t>
  </si>
  <si>
    <t>méi</t>
  </si>
  <si>
    <t>Không (dùng để phủ định)</t>
  </si>
  <si>
    <t>我没吃饭。</t>
  </si>
  <si>
    <t>Wǒ méi chī fàn.</t>
  </si>
  <si>
    <t>Tôi chưa ăn cơm.</t>
  </si>
  <si>
    <t>H1_B8_BG_6.gif</t>
  </si>
  <si>
    <t>H1_B8_6.mp3</t>
  </si>
  <si>
    <t>H1_B8_VD_6.mp3</t>
  </si>
  <si>
    <t>看见</t>
  </si>
  <si>
    <t>&lt;ruby&gt;看见&lt;rt&gt;kànjiàn&lt;/rt&gt;&lt;/ruby&gt;</t>
  </si>
  <si>
    <t>kànjiàn</t>
  </si>
  <si>
    <t>Nhìn thấy</t>
  </si>
  <si>
    <t>我看见了很多玩具</t>
  </si>
  <si>
    <t>Wǒ kànjiàn le hěn duō wánjù.</t>
  </si>
  <si>
    <t>Tôi nhìn thấy rất nhiều món đồ chơi.</t>
  </si>
  <si>
    <t>H1_B8_BG_7.gif</t>
  </si>
  <si>
    <t>H1_B8_7.mp3</t>
  </si>
  <si>
    <t>H1_B8_VD_7.mp3</t>
  </si>
  <si>
    <t>桌子</t>
  </si>
  <si>
    <t>&lt;ruby&gt;桌子&lt;rt&gt;zhuō zi&lt;/rt&gt;&lt;/ruby&gt;</t>
  </si>
  <si>
    <t>zhuō zi</t>
  </si>
  <si>
    <t>Bàn</t>
  </si>
  <si>
    <t>桌子很大。</t>
  </si>
  <si>
    <t>Zhuōzi hěn dà.</t>
  </si>
  <si>
    <t>Cái bàn rất to.</t>
  </si>
  <si>
    <t>H1_B8_BG_8.gif</t>
  </si>
  <si>
    <t>H1_B8_8.mp3</t>
  </si>
  <si>
    <t>H1_B8_VD_8.mp3</t>
  </si>
  <si>
    <t>下</t>
  </si>
  <si>
    <t>&lt;ruby&gt;下&lt;rt&gt;xià&lt;/rt&gt;&lt;/ruby&gt;</t>
  </si>
  <si>
    <t>xià</t>
  </si>
  <si>
    <t>Rơi (Tuyết, mưa) hoặc dưới, bên dưới (danh từ)</t>
  </si>
  <si>
    <t>冬天常常下雪。</t>
  </si>
  <si>
    <t>Dōngtiān chángcháng xià xuě.</t>
  </si>
  <si>
    <t>Mùa đông thường có tuyết rơi.</t>
  </si>
  <si>
    <t>H1_B8_BG_9.gif</t>
  </si>
  <si>
    <t>H1_B8_9.mp3</t>
  </si>
  <si>
    <t>H1_B8_VD_9.mp3</t>
  </si>
  <si>
    <t>漂亮</t>
  </si>
  <si>
    <t>&lt;ruby&gt;漂亮&lt;rt&gt;piàoliang&lt;/rt&gt;&lt;/ruby&gt;</t>
  </si>
  <si>
    <t>piàoliang</t>
  </si>
  <si>
    <t>Đẹp, xinh xắn</t>
  </si>
  <si>
    <t>你的花盆真漂亮！</t>
  </si>
  <si>
    <t>Nǐ de huāpén zhēn piàoliang!</t>
  </si>
  <si>
    <t>Chậu hoa của cậu thật xinh đẹp!</t>
  </si>
  <si>
    <t>H1_B8_BG_10.gif</t>
  </si>
  <si>
    <t>H1_B8_10.mp3</t>
  </si>
  <si>
    <t>H1_B8_VD_10.mp3</t>
  </si>
  <si>
    <t>H1_B8_BG_11.gif</t>
  </si>
  <si>
    <t>H1_B8_11.mp3</t>
  </si>
  <si>
    <t>H1_B8_VD_11.mp3</t>
  </si>
  <si>
    <t>学校</t>
  </si>
  <si>
    <t>&lt;ruby&gt;学校&lt;rt&gt;xuéxiào&lt;/rt&gt;&lt;/ruby&gt;</t>
  </si>
  <si>
    <t>xuéxiào</t>
  </si>
  <si>
    <t>Trường học</t>
  </si>
  <si>
    <t>你学校在哪？</t>
  </si>
  <si>
    <t>Nǐ xuéxiào zài nǎr?</t>
  </si>
  <si>
    <t>Trường học của bạn ở đâu?</t>
  </si>
  <si>
    <t>H1_B8_BG_12.gif</t>
  </si>
  <si>
    <t>H1_B8_12.mp3</t>
  </si>
  <si>
    <t>H1_B8_VD_12.mp3</t>
  </si>
  <si>
    <t>书店</t>
  </si>
  <si>
    <t>&lt;ruby&gt;书店&lt;rt&gt;shūdiàn&lt;/rt&gt;&lt;/ruby&gt;</t>
  </si>
  <si>
    <t>shūdiàn</t>
  </si>
  <si>
    <t>Hiệu sách</t>
  </si>
  <si>
    <t>他在书店买书。</t>
  </si>
  <si>
    <t>Tā zài shūdiàn mǎi shū.</t>
  </si>
  <si>
    <t>Anh ấy mua sách ở hiệu sách.</t>
  </si>
  <si>
    <t>H1_B8_BG_13.gif</t>
  </si>
  <si>
    <t>H1_B8_13.mp3</t>
  </si>
  <si>
    <t>H1_B8_VD_13.mp3</t>
  </si>
  <si>
    <t>前</t>
  </si>
  <si>
    <t>&lt;ruby&gt;前&lt;rt&gt;qián&lt;/rt&gt;&lt;/ruby&gt;</t>
  </si>
  <si>
    <t>qián</t>
  </si>
  <si>
    <t>Trước, phía trước</t>
  </si>
  <si>
    <t>我们往前走。</t>
  </si>
  <si>
    <t>Wǒmen wǎng qián zǒu.</t>
  </si>
  <si>
    <t>Chúng ta đi về phía trước.</t>
  </si>
  <si>
    <t>H1_B8_BG_14.gif</t>
  </si>
  <si>
    <t>H1_B8_14.mp3</t>
  </si>
  <si>
    <t>H1_B8_VD_14.mp3</t>
  </si>
  <si>
    <t>能</t>
  </si>
  <si>
    <t>&lt;ruby&gt;能&lt;rt&gt;néng&lt;/rt&gt;&lt;/ruby&gt;</t>
  </si>
  <si>
    <t>néng</t>
  </si>
  <si>
    <t>Có thể</t>
  </si>
  <si>
    <t>你能搬这个柜子吗？</t>
  </si>
  <si>
    <t>Nǐ néng bān zhège guìzi ma?</t>
  </si>
  <si>
    <t>Bạn có thể di chuyển chiếc tủ này không?</t>
  </si>
  <si>
    <t>H1_B8_BG_15.gif</t>
  </si>
  <si>
    <t>H1_B8_15.mp3</t>
  </si>
  <si>
    <t>H1_B8_VD_15.mp3</t>
  </si>
  <si>
    <t>到</t>
  </si>
  <si>
    <t>&lt;ruby&gt;到&lt;rt&gt;dào&lt;/rt&gt;&lt;/ruby&gt;</t>
  </si>
  <si>
    <t>dào</t>
  </si>
  <si>
    <t>đến, tới</t>
  </si>
  <si>
    <t>他们到饭馆吃饭。</t>
  </si>
  <si>
    <t>Tāmen dào fànguǎn chīfàn.</t>
  </si>
  <si>
    <t>Họ đến nhà hàng ăn cơm.</t>
  </si>
  <si>
    <t>H1_B8_BG_16.gif</t>
  </si>
  <si>
    <t>H1_B8_16.mp3</t>
  </si>
  <si>
    <t>H1_B8_VD_16.mp3</t>
  </si>
  <si>
    <t>午饭</t>
  </si>
  <si>
    <t>&lt;ruby&gt;午饭&lt;rt&gt;wǔfàn&lt;/rt&gt;&lt;/ruby&gt;</t>
  </si>
  <si>
    <t>wǔfàn</t>
  </si>
  <si>
    <t>Bữa trưa</t>
  </si>
  <si>
    <t>我们吃午饭。</t>
  </si>
  <si>
    <t>Wǒmen chī wǔfàn.</t>
  </si>
  <si>
    <t>Chúng tôi ăn trưa.</t>
  </si>
  <si>
    <t>H1_B8_BG_17.gif</t>
  </si>
  <si>
    <t>H1_B8_17.mp3</t>
  </si>
  <si>
    <t>H1_B8_VD_17.mp3</t>
  </si>
  <si>
    <t>饭</t>
  </si>
  <si>
    <t>&lt;ruby&gt;饭&lt;rt&gt;fàn&lt;/rt&gt;&lt;/ruby&gt;</t>
  </si>
  <si>
    <t>fàn</t>
  </si>
  <si>
    <t>Cơm, thức ăn</t>
  </si>
  <si>
    <t>我爱吃饭。</t>
  </si>
  <si>
    <t>Wǒ ài chī fàn.</t>
  </si>
  <si>
    <t>Tôi thích ăn cơm.</t>
  </si>
  <si>
    <t>H1_B8_BG_18.gif</t>
  </si>
  <si>
    <t>H1_B8_18.mp3</t>
  </si>
  <si>
    <t>H1_B8_VD_18.mp3</t>
  </si>
  <si>
    <t>H1_B8_BG_19.gif</t>
  </si>
  <si>
    <t>H1_B8_19.mp3</t>
  </si>
  <si>
    <t>H1_B8_VD_19.mp3</t>
  </si>
  <si>
    <t>病人</t>
  </si>
  <si>
    <t>&lt;ruby&gt;病人&lt;rt&gt;bìngrén&lt;/rt&gt;&lt;/ruby&gt;</t>
  </si>
  <si>
    <t>bìngrén</t>
  </si>
  <si>
    <t>Bệnh nhân</t>
  </si>
  <si>
    <t>他是医生，我是病人。</t>
  </si>
  <si>
    <t>Tā shì yīshēng, wǒ shì bìngrén.</t>
  </si>
  <si>
    <t>Anh ấy là bác sĩ, tôi là bệnh nhân.</t>
  </si>
  <si>
    <t>H1_B8_BG_20.gif</t>
  </si>
  <si>
    <t>H1_B8_20.mp3</t>
  </si>
  <si>
    <t>H1_B8_VD_20.mp3</t>
  </si>
  <si>
    <t>H1_B8_BG_21.gif</t>
  </si>
  <si>
    <t>H1_B8_21.mp3</t>
  </si>
  <si>
    <t>H1_B8_VD_21.mp3</t>
  </si>
  <si>
    <t>医生</t>
  </si>
  <si>
    <t>&lt;ruby&gt;医生&lt;rt&gt;yī shēng&lt;/rt&gt;&lt;/ruby&gt;</t>
  </si>
  <si>
    <t>yī shēng</t>
  </si>
  <si>
    <t>Bác sĩ</t>
  </si>
  <si>
    <t>我妈妈是医生。</t>
  </si>
  <si>
    <t>Wǒ māma shì yīshēng.</t>
  </si>
  <si>
    <t>Mẹ tôi là bác sĩ.</t>
  </si>
  <si>
    <t>H1_B8_BG_22.gif</t>
  </si>
  <si>
    <t>H1_B8_22.mp3</t>
  </si>
  <si>
    <t>H1_B8_VD_22.mp3</t>
  </si>
  <si>
    <t>H1_B8_BG_23.gif</t>
  </si>
  <si>
    <t>H1_B8_23.mp3</t>
  </si>
  <si>
    <t>H1_B8_VD_23.mp3</t>
  </si>
  <si>
    <t>前边</t>
  </si>
  <si>
    <t>&lt;ruby&gt;前边&lt;rt&gt;qiánbiān&lt;/rt&gt;&lt;/ruby&gt;</t>
  </si>
  <si>
    <t>qiánbiān</t>
  </si>
  <si>
    <t>Phía trước</t>
  </si>
  <si>
    <t>我家在学校前边。</t>
  </si>
  <si>
    <t>Wǒ jiā zài xuéxiào qiánbiān.</t>
  </si>
  <si>
    <t>Nhà tôi ở phía trước trường học.</t>
  </si>
  <si>
    <t>H1_B9_BG_1.gif</t>
  </si>
  <si>
    <t>H1_B9_1.mp3</t>
  </si>
  <si>
    <t>H1_B9_VD_1.mp3</t>
  </si>
  <si>
    <t>边</t>
  </si>
  <si>
    <t>&lt;ruby&gt;边&lt;rt&gt;biān&lt;/rt&gt;&lt;/ruby&gt;</t>
  </si>
  <si>
    <t>biān</t>
  </si>
  <si>
    <t>Hậu tố/Danh từ</t>
  </si>
  <si>
    <t>Bên, cạnh</t>
  </si>
  <si>
    <t>我坐在他边。</t>
  </si>
  <si>
    <t>Wǒ zuò zài tā biān.</t>
  </si>
  <si>
    <t>Tôi ngồi ở bên anh ấy.</t>
  </si>
  <si>
    <t>H1_B9_BG_2.gif</t>
  </si>
  <si>
    <t>H1_B9_2.mp3</t>
  </si>
  <si>
    <t>H1_B9_VD_2.mp3</t>
  </si>
  <si>
    <t>698af628c2421e43ed0a1ce9</t>
  </si>
  <si>
    <t>H1_B9_BG_3.gif</t>
  </si>
  <si>
    <t>H1_B9_3.mp3</t>
  </si>
  <si>
    <t>H1_B9_VD_3.mp3</t>
  </si>
  <si>
    <t>那个</t>
  </si>
  <si>
    <t>&lt;ruby&gt;那个&lt;rt&gt;nàge&lt;/rt&gt;&lt;/ruby&gt;</t>
  </si>
  <si>
    <t>nàge</t>
  </si>
  <si>
    <t>Cái đó, điều đó</t>
  </si>
  <si>
    <t>那个人是我朋友。</t>
  </si>
  <si>
    <t>Nàge rén shì wǒ péngyou.</t>
  </si>
  <si>
    <t>Người đó là bạn tôi.</t>
  </si>
  <si>
    <t>H1_B9_BG_4.gif</t>
  </si>
  <si>
    <t>H1_B9_4.mp3</t>
  </si>
  <si>
    <t>H1_B9_VD_4.mp3</t>
  </si>
  <si>
    <t>外边</t>
  </si>
  <si>
    <t>&lt;ruby&gt;外边&lt;rt&gt;wàibiān&lt;/rt&gt;&lt;/ruby&gt;</t>
  </si>
  <si>
    <t>wàibiān</t>
  </si>
  <si>
    <t>Bên ngoài</t>
  </si>
  <si>
    <t>小狗在外边。</t>
  </si>
  <si>
    <t>Xiǎo gǒu zài wàibiān.</t>
  </si>
  <si>
    <t>Con chó ở bên ngoài.</t>
  </si>
  <si>
    <t>H1_B9_BG_5.gif</t>
  </si>
  <si>
    <t>H1_B9_5.mp3</t>
  </si>
  <si>
    <t>H1_B9_VD_5.mp3</t>
  </si>
  <si>
    <t>椅子</t>
  </si>
  <si>
    <t>&lt;ruby&gt;椅子&lt;rt&gt;yǐ zi&lt;/rt&gt;&lt;/ruby&gt;</t>
  </si>
  <si>
    <t>yǐ zi</t>
  </si>
  <si>
    <t>Ghế dựa</t>
  </si>
  <si>
    <t>你的书在椅子下面。</t>
  </si>
  <si>
    <t>Nǐ de shū zài yǐzi xiàmiàn.</t>
  </si>
  <si>
    <t>Sách của bạn ở dưới cái ghế dựa.</t>
  </si>
  <si>
    <t>H1_B9_BG_6.gif</t>
  </si>
  <si>
    <t>H1_B9_6.mp3</t>
  </si>
  <si>
    <t>H1_B9_VD_6.mp3</t>
  </si>
  <si>
    <t>上</t>
  </si>
  <si>
    <t>&lt;ruby&gt;上&lt;rt&gt;shàng&lt;/rt&gt;&lt;/ruby&gt;</t>
  </si>
  <si>
    <t>shàng</t>
  </si>
  <si>
    <t>Trên, phía trên</t>
  </si>
  <si>
    <t>上面有一面旗。</t>
  </si>
  <si>
    <t>Shàngmiàn yǒu yī miàn qí.</t>
  </si>
  <si>
    <t>Bên trên có một lá cờ.</t>
  </si>
  <si>
    <t>H1_B9_BG_7.gif</t>
  </si>
  <si>
    <t>H1_B9_7.mp3</t>
  </si>
  <si>
    <t>H1_B9_VD_7.mp3</t>
  </si>
  <si>
    <t>本</t>
  </si>
  <si>
    <t>&lt;ruby&gt;本&lt;rt&gt;běn&lt;/rt&gt;&lt;/ruby&gt;</t>
  </si>
  <si>
    <t>běn</t>
  </si>
  <si>
    <t>Quyển , cuốn (sách)</t>
  </si>
  <si>
    <t>这本书是我的。</t>
  </si>
  <si>
    <t>Zhè běn shū shì wǒ de.</t>
  </si>
  <si>
    <t>Quyển sách này là của tôi.</t>
  </si>
  <si>
    <t>H1_B9_BG_8.gif</t>
  </si>
  <si>
    <t>H1_B9_8.mp3</t>
  </si>
  <si>
    <t>H1_B9_VD_8.mp3</t>
  </si>
  <si>
    <t>书</t>
  </si>
  <si>
    <t>&lt;ruby&gt;书&lt;rt&gt;shū&lt;/rt&gt;&lt;/ruby&gt;</t>
  </si>
  <si>
    <t>shū</t>
  </si>
  <si>
    <t>Sách</t>
  </si>
  <si>
    <t>这是他的书。</t>
  </si>
  <si>
    <t>Zhè shì tā de shū.</t>
  </si>
  <si>
    <t>Đây là sách của anh ấy.</t>
  </si>
  <si>
    <t>H1_B9_BG_9.gif</t>
  </si>
  <si>
    <t>H1_B9_9.mp3</t>
  </si>
  <si>
    <t>H1_B9_VD_9.mp3</t>
  </si>
  <si>
    <t>那</t>
  </si>
  <si>
    <t>&lt;ruby&gt;那&lt;rt&gt;nà&lt;/rt&gt;&lt;/ruby&gt;</t>
  </si>
  <si>
    <t>nà</t>
  </si>
  <si>
    <t>Đó, kia</t>
  </si>
  <si>
    <t>那棵树是什么树？</t>
  </si>
  <si>
    <t>Nà kē shù shì shénme shù?</t>
  </si>
  <si>
    <t>Cây kia là cây gì?</t>
  </si>
  <si>
    <t>H1_B9_BG_10.gif</t>
  </si>
  <si>
    <t>H1_B9_10.mp3</t>
  </si>
  <si>
    <t>H1_B9_VD_10.mp3</t>
  </si>
  <si>
    <t>第</t>
  </si>
  <si>
    <t>&lt;ruby&gt;第&lt;rt&gt;dì&lt;/rt&gt;&lt;/ruby&gt;</t>
  </si>
  <si>
    <t>dì</t>
  </si>
  <si>
    <t>Tiền tố</t>
  </si>
  <si>
    <t>Thứ tự (tiền tố số thứ tự)</t>
  </si>
  <si>
    <t>我住第三层。</t>
  </si>
  <si>
    <t>Wǒ zhù dì sān céng.</t>
  </si>
  <si>
    <t>Tôi ở tầng thứ ba.</t>
  </si>
  <si>
    <t>H1_B9_BG_11.gif</t>
  </si>
  <si>
    <t>H1_B9_11.mp3</t>
  </si>
  <si>
    <t>H1_B9_VD_11.mp3</t>
  </si>
  <si>
    <t>学习</t>
  </si>
  <si>
    <t>&lt;ruby&gt;学习&lt;rt&gt;xuéxí&lt;/rt&gt;&lt;/ruby&gt;</t>
  </si>
  <si>
    <t>xuéxí</t>
  </si>
  <si>
    <t>Học tập</t>
  </si>
  <si>
    <t>小明在学习。</t>
  </si>
  <si>
    <t>Xiǎo Míng zài xuéxí.</t>
  </si>
  <si>
    <t>Tiểu Minh đang học bài.</t>
  </si>
  <si>
    <t>H1_B9_BG_12.gif</t>
  </si>
  <si>
    <t>H1_B9_12.mp3</t>
  </si>
  <si>
    <t>H1_B9_VD_12.mp3</t>
  </si>
  <si>
    <t>H1_B9_BG_13.gif</t>
  </si>
  <si>
    <t>H1_B9_13.mp3</t>
  </si>
  <si>
    <t>H1_B9_VD_13.mp3</t>
  </si>
  <si>
    <t>白天</t>
  </si>
  <si>
    <t>&lt;ruby&gt;白天&lt;rt&gt;báitiān&lt;/rt&gt;&lt;/ruby&gt;</t>
  </si>
  <si>
    <t>báitiān</t>
  </si>
  <si>
    <t>Ban ngày</t>
  </si>
  <si>
    <t>白天很热。</t>
  </si>
  <si>
    <t>Báitiān hěn rè.</t>
  </si>
  <si>
    <t>Ban ngày rất nóng.</t>
  </si>
  <si>
    <t>H1_B9_BG_14.gif</t>
  </si>
  <si>
    <t>H1_B9_14.mp3</t>
  </si>
  <si>
    <t>H1_B9_VD_14.mp3</t>
  </si>
  <si>
    <t>读书</t>
  </si>
  <si>
    <t>&lt;ruby&gt;读书&lt;rt&gt;dúshū&lt;/rt&gt;&lt;/ruby&gt;</t>
  </si>
  <si>
    <t>dúshū</t>
  </si>
  <si>
    <t>Đọc sách, học</t>
  </si>
  <si>
    <t>他喜欢读书。</t>
  </si>
  <si>
    <t>Tā xǐhuan dúshū.</t>
  </si>
  <si>
    <t>Anh ấy thích đọc sách.</t>
  </si>
  <si>
    <t>H1_B9_BG_15.gif</t>
  </si>
  <si>
    <t>H1_B9_15.mp3</t>
  </si>
  <si>
    <t>H1_B9_VD_15.mp3</t>
  </si>
  <si>
    <t>H1_B9_BG_16.gif</t>
  </si>
  <si>
    <t>H1_B9_16.mp3</t>
  </si>
  <si>
    <t>H1_B9_VD_16.mp3</t>
  </si>
  <si>
    <t>朋友</t>
  </si>
  <si>
    <t>&lt;ruby&gt;朋友&lt;rt&gt;péngyǒu&lt;/rt&gt;&lt;/ruby&gt;</t>
  </si>
  <si>
    <t>péngyǒu</t>
  </si>
  <si>
    <t>Bạn bè</t>
  </si>
  <si>
    <t>他们 (tāmen, bọn họ) 是我的好朋友。</t>
  </si>
  <si>
    <t>Tāmen shì wǒ de hǎo péngyou.</t>
  </si>
  <si>
    <t>Họ là những người bạn tốt của tôi.</t>
  </si>
  <si>
    <t>H1_B9_BG_17.gif</t>
  </si>
  <si>
    <t>H1_B9_17.mp3</t>
  </si>
  <si>
    <t>H1_B9_VD_17.mp3</t>
  </si>
  <si>
    <t>唱</t>
  </si>
  <si>
    <t>&lt;ruby&gt;唱&lt;rt&gt;chàng&lt;/rt&gt;&lt;/ruby&gt;</t>
  </si>
  <si>
    <t>chàng</t>
  </si>
  <si>
    <t>Hát</t>
  </si>
  <si>
    <t>她唱歌很好听。</t>
  </si>
  <si>
    <t>Tā chànggē hěn hǎotīng.</t>
  </si>
  <si>
    <t>Cô ấy hát rất hay.</t>
  </si>
  <si>
    <t>H1_B9_BG_18.gif</t>
  </si>
  <si>
    <t>H1_B9_18.mp3</t>
  </si>
  <si>
    <t>H1_B9_VD_18.mp3</t>
  </si>
  <si>
    <t xml:space="preserve">歌 </t>
  </si>
  <si>
    <t>&lt;ruby&gt;歌 &lt;rt&gt;gē&lt;/rt&gt;&lt;/ruby&gt;</t>
  </si>
  <si>
    <t>gē</t>
  </si>
  <si>
    <t>Bài hát</t>
  </si>
  <si>
    <t>这首歌很好听。</t>
  </si>
  <si>
    <t>zhè shǒu gē hěn hǎo tīng.</t>
  </si>
  <si>
    <t>Bài hát này rất hay.</t>
  </si>
  <si>
    <t>H1_B9_BG_19.gif</t>
  </si>
  <si>
    <t>H1_B9_19.mp3</t>
  </si>
  <si>
    <t>H1_B9_VD_19.mp3</t>
  </si>
  <si>
    <t>好听</t>
  </si>
  <si>
    <t>&lt;ruby&gt;好听&lt;rt&gt;hǎotīng&lt;/rt&gt;&lt;/ruby&gt;</t>
  </si>
  <si>
    <t>hǎotīng</t>
  </si>
  <si>
    <t>Hay (âm thanh)</t>
  </si>
  <si>
    <t>这首歌好听。</t>
  </si>
  <si>
    <t>Zhè shǒu gē hǎotīng.</t>
  </si>
  <si>
    <t>Bài hát này hay.</t>
  </si>
  <si>
    <t>H1_B9_BG_20.gif</t>
  </si>
  <si>
    <t>H1_B9_20.mp3</t>
  </si>
  <si>
    <t>H1_B9_VD_20.mp3</t>
  </si>
  <si>
    <t>电视</t>
  </si>
  <si>
    <t>&lt;ruby&gt;电视&lt;rt&gt;diànshì&lt;/rt&gt;&lt;/ruby&gt;</t>
  </si>
  <si>
    <t>diànshì</t>
  </si>
  <si>
    <t>Tivi</t>
  </si>
  <si>
    <t>这台电视真大。</t>
  </si>
  <si>
    <t>Zhè tái diànshì zhēn dà.</t>
  </si>
  <si>
    <t>Cái tivi này thật to.</t>
  </si>
  <si>
    <t>H1_B9_BG_21.gif</t>
  </si>
  <si>
    <t>H1_B9_21.mp3</t>
  </si>
  <si>
    <t>H1_B9_VD_21.mp3</t>
  </si>
  <si>
    <t>狗</t>
  </si>
  <si>
    <t>&lt;ruby&gt;狗&lt;rt&gt;gǒu&lt;/rt&gt;&lt;/ruby&gt;</t>
  </si>
  <si>
    <t>gǒu</t>
  </si>
  <si>
    <t>Chó</t>
  </si>
  <si>
    <t>我家有一只狗。</t>
  </si>
  <si>
    <t>Wǒ jiā yǒu yì zhī gǒu.</t>
  </si>
  <si>
    <t>Nhà tôi có một chú chó.</t>
  </si>
  <si>
    <t>H1_B9_BG_22.gif</t>
  </si>
  <si>
    <t>H1_B9_22.mp3</t>
  </si>
  <si>
    <t>H1_B9_VD_22.mp3</t>
  </si>
  <si>
    <t>玩</t>
  </si>
  <si>
    <t>&lt;ruby&gt;玩&lt;rt&gt;wán&lt;/rt&gt;&lt;/ruby&gt;</t>
  </si>
  <si>
    <t>wán</t>
  </si>
  <si>
    <t>Chơi</t>
  </si>
  <si>
    <t>小朋友在玩。</t>
  </si>
  <si>
    <t>Xiǎo péngyou zài wán.</t>
  </si>
  <si>
    <t>Em nhỏ đang chơi.</t>
  </si>
  <si>
    <t>H1_B9_BG_23.gif</t>
  </si>
  <si>
    <t>H1_B9_23.mp3</t>
  </si>
  <si>
    <t>H1_B9_VD_23.mp3</t>
  </si>
  <si>
    <t>杯子</t>
  </si>
  <si>
    <t>&lt;ruby&gt;杯子&lt;rt&gt;bēi zi&lt;/rt&gt;&lt;/ruby&gt;</t>
  </si>
  <si>
    <t>bēi zi</t>
  </si>
  <si>
    <t>Ly, cốc, tách</t>
  </si>
  <si>
    <t>我妈妈想买一个杯子。</t>
  </si>
  <si>
    <t>Wǒ māma xiǎng mǎi yí ge bēizi.</t>
  </si>
  <si>
    <t>Mẹ tôi muốn mua một cái cốc.</t>
  </si>
  <si>
    <t>H1_B10_BG_1.gif</t>
  </si>
  <si>
    <t>H1_B10_1.mp3</t>
  </si>
  <si>
    <t>H1_B10_VD_1.mp3</t>
  </si>
  <si>
    <t>售货员</t>
  </si>
  <si>
    <t>&lt;ruby&gt;售货员&lt;rt&gt;shòuhuòyuán&lt;/rt&gt;&lt;/ruby&gt;</t>
  </si>
  <si>
    <t>shòuhuòyuán</t>
  </si>
  <si>
    <t>Nhân viên bán hàng</t>
  </si>
  <si>
    <t>售货员在超市工作。</t>
  </si>
  <si>
    <t>Shòuhuòyuán zài chāoshì gōngzuò.</t>
  </si>
  <si>
    <t>Nhân viên bán hàng làm việc ở siêu thị.</t>
  </si>
  <si>
    <t>H1_B10_BG_2.gif</t>
  </si>
  <si>
    <t>H1_B10_2.mp3</t>
  </si>
  <si>
    <t>H1_B10_VD_2.mp3</t>
  </si>
  <si>
    <t>698aa323c2421e43ed0a0e76</t>
  </si>
  <si>
    <t>这边</t>
  </si>
  <si>
    <t>&lt;ruby&gt;这边&lt;rt&gt;zhè biān&lt;/rt&gt;&lt;/ruby&gt;</t>
  </si>
  <si>
    <t>zhè biān</t>
  </si>
  <si>
    <t>Phía này, đằng này</t>
  </si>
  <si>
    <t>请来这边。</t>
  </si>
  <si>
    <t>Qǐng lái zhè biān.</t>
  </si>
  <si>
    <t>Xin mời đến phía này.</t>
  </si>
  <si>
    <t>H1_B10_BG_3.gif</t>
  </si>
  <si>
    <t>H1_B10_3.mp3</t>
  </si>
  <si>
    <t>H1_B10_VD_3.mp3</t>
  </si>
  <si>
    <t>钱</t>
  </si>
  <si>
    <t>&lt;ruby&gt;钱&lt;rt&gt;qián&lt;/rt&gt;&lt;/ruby&gt;</t>
  </si>
  <si>
    <t>Tiền</t>
  </si>
  <si>
    <t>那个杯子三百块钱。</t>
  </si>
  <si>
    <t>Nà ge bēizi sānbǎi kuài qián.</t>
  </si>
  <si>
    <t>Cái cốc đó giá 300 tệ.</t>
  </si>
  <si>
    <t>H1_B10_BG_4.gif</t>
  </si>
  <si>
    <t>H1_B10_4.mp3</t>
  </si>
  <si>
    <t>H1_B10_VD_4.mp3</t>
  </si>
  <si>
    <t>这些</t>
  </si>
  <si>
    <t>&lt;ruby&gt;这些&lt;rt&gt;zhèxiē&lt;/rt&gt;&lt;/ruby&gt;</t>
  </si>
  <si>
    <t>zhèxiē</t>
  </si>
  <si>
    <t>Những... này</t>
  </si>
  <si>
    <t>这些书很好看。</t>
  </si>
  <si>
    <t>Zhèxiē shū hěn hǎokàn.</t>
  </si>
  <si>
    <t>Những cuốn sách này rất hay.</t>
  </si>
  <si>
    <t>H1_B10_BG_5.gif</t>
  </si>
  <si>
    <t>H1_B10_5.mp3</t>
  </si>
  <si>
    <t>H1_B10_VD_5.mp3</t>
  </si>
  <si>
    <t>块</t>
  </si>
  <si>
    <t>&lt;ruby&gt;块&lt;rt&gt;kuài&lt;/rt&gt;&lt;/ruby&gt;</t>
  </si>
  <si>
    <t>kuài</t>
  </si>
  <si>
    <t>Đồng (tiền Trung Quốc)</t>
  </si>
  <si>
    <t>一百块钱。</t>
  </si>
  <si>
    <t>Yìbǎi kuài qián.</t>
  </si>
  <si>
    <t>Một trăm đồng.</t>
  </si>
  <si>
    <t>H1_B10_BG_6.gif</t>
  </si>
  <si>
    <t>H1_B10_6.mp3</t>
  </si>
  <si>
    <t>H1_B10_VD_6.mp3</t>
  </si>
  <si>
    <t>那些</t>
  </si>
  <si>
    <t>&lt;ruby&gt;那些&lt;rt&gt;nàxiē&lt;/rt&gt;&lt;/ruby&gt;</t>
  </si>
  <si>
    <t>nàxiē</t>
  </si>
  <si>
    <t>Những cái đó</t>
  </si>
  <si>
    <t>那些书是我的。</t>
  </si>
  <si>
    <t>Nàxiē shū shì wǒ de.</t>
  </si>
  <si>
    <t>Những quyển sách đó là của tôi.</t>
  </si>
  <si>
    <t>H1_B10_BG_7.gif</t>
  </si>
  <si>
    <t>H1_B10_7.mp3</t>
  </si>
  <si>
    <t>H1_B10_VD_7.mp3</t>
  </si>
  <si>
    <t>这儿</t>
  </si>
  <si>
    <t>&lt;ruby&gt;这儿&lt;rt&gt;zhèr&lt;/rt&gt;&lt;/ruby&gt;</t>
  </si>
  <si>
    <t>zhèr</t>
  </si>
  <si>
    <t>Chỗ này, ở đây</t>
  </si>
  <si>
    <t>这儿有很多水果。</t>
  </si>
  <si>
    <t>Zhèr yǒu hěn duō shuǐguǒ.</t>
  </si>
  <si>
    <t>Ở đây có rất nhiều hoa quả.</t>
  </si>
  <si>
    <t>H1_B10_BG_8.gif</t>
  </si>
  <si>
    <t>H1_B10_8.mp3</t>
  </si>
  <si>
    <t>H1_B10_VD_8.mp3</t>
  </si>
  <si>
    <t>水果</t>
  </si>
  <si>
    <t>&lt;ruby&gt;水果&lt;rt&gt;shuǐguǒ&lt;/rt&gt;&lt;/ruby&gt;</t>
  </si>
  <si>
    <t>shuǐguǒ</t>
  </si>
  <si>
    <t>Trái cây</t>
  </si>
  <si>
    <t>我买了一些水果。</t>
  </si>
  <si>
    <t>Wǒ mǎi le yīxiē shuǐguǒ.</t>
  </si>
  <si>
    <t>Tôi đã mua một ít trái cây.</t>
  </si>
  <si>
    <t>H1_B10_BG_9.gif</t>
  </si>
  <si>
    <t>H1_B10_9.mp3</t>
  </si>
  <si>
    <t>H1_B10_VD_9.mp3</t>
  </si>
  <si>
    <t>少</t>
  </si>
  <si>
    <t>&lt;ruby&gt;少&lt;rt&gt;shǎo&lt;/rt&gt;&lt;/ruby&gt;</t>
  </si>
  <si>
    <t>shǎo</t>
  </si>
  <si>
    <t>Ít, thiếu</t>
  </si>
  <si>
    <t>请少放一点儿糖。</t>
  </si>
  <si>
    <t>Qǐng shǎo fàng yīdiǎnr táng.</t>
  </si>
  <si>
    <t>Hãy cho ít đường một chút.</t>
  </si>
  <si>
    <t>H1_B10_BG_10.gif</t>
  </si>
  <si>
    <t>H1_B10_10.mp3</t>
  </si>
  <si>
    <t>H1_B10_VD_10.mp3</t>
  </si>
  <si>
    <t>斤</t>
  </si>
  <si>
    <t>&lt;ruby&gt;斤&lt;rt&gt;jīn&lt;/rt&gt;&lt;/ruby&gt;</t>
  </si>
  <si>
    <t>jīn</t>
  </si>
  <si>
    <t>Cân (đơn vị = 0.5kg)</t>
  </si>
  <si>
    <t>我买三斤水果。</t>
  </si>
  <si>
    <t>Wǒ mǎi sān jīn shuǐguǒ.</t>
  </si>
  <si>
    <t>Tôi mua ba cân hoa quả.</t>
  </si>
  <si>
    <t>H1_B10_BG_11.gif</t>
  </si>
  <si>
    <t>H1_B10_11.mp3</t>
  </si>
  <si>
    <t>H1_B10_VD_11.mp3</t>
  </si>
  <si>
    <t>苹果</t>
  </si>
  <si>
    <t>&lt;ruby&gt;苹果&lt;rt&gt;píngguǒ&lt;/rt&gt;&lt;/ruby&gt;</t>
  </si>
  <si>
    <t>píngguǒ</t>
  </si>
  <si>
    <t>Táo</t>
  </si>
  <si>
    <t>我买了一斤苹果。</t>
  </si>
  <si>
    <t>Wǒ mǎi le yī jīn píngguǒ.</t>
  </si>
  <si>
    <t>Tôi mua nửa cân táo.</t>
  </si>
  <si>
    <t>H1_B10_BG_12.gif</t>
  </si>
  <si>
    <t>H1_B10_12.mp3</t>
  </si>
  <si>
    <t>H1_B10_VD_12.mp3</t>
  </si>
  <si>
    <t>便宜</t>
  </si>
  <si>
    <t>&lt;ruby&gt;便宜&lt;rt&gt;piányi&lt;/rt&gt;&lt;/ruby&gt;</t>
  </si>
  <si>
    <t>piányi</t>
  </si>
  <si>
    <t>rẻ</t>
  </si>
  <si>
    <t>这件衣服很便宜。</t>
  </si>
  <si>
    <t>Zhè jiàn yīfu hěn piányi.</t>
  </si>
  <si>
    <t>Bộ quần áo này rất rẻ.</t>
  </si>
  <si>
    <t>H1_B10_BG_13.gif</t>
  </si>
  <si>
    <t>H1_B10_13.mp3</t>
  </si>
  <si>
    <t>H1_B10_VD_13.mp3</t>
  </si>
  <si>
    <t>商店</t>
  </si>
  <si>
    <t>&lt;ruby&gt;商店&lt;rt&gt;shāng diàn&lt;/rt&gt;&lt;/ruby&gt;</t>
  </si>
  <si>
    <t>shāng diàn</t>
  </si>
  <si>
    <t>Cửa hàng</t>
  </si>
  <si>
    <t>下午我想去商店。</t>
  </si>
  <si>
    <t>Xiàwǔ wǒ xiǎng qù shāngdiàn.</t>
  </si>
  <si>
    <t>Buổi chiều tôi muốn đi cửa hàng.</t>
  </si>
  <si>
    <t>H1_B10_BG_14.gif</t>
  </si>
  <si>
    <t>H1_B10_14.mp3</t>
  </si>
  <si>
    <t>H1_B10_VD_14.mp3</t>
  </si>
  <si>
    <t>衣服</t>
  </si>
  <si>
    <t>&lt;ruby&gt;衣服&lt;rt&gt;yīfú&lt;/rt&gt;&lt;/ruby&gt;</t>
  </si>
  <si>
    <t>yīfú</t>
  </si>
  <si>
    <t>Quần áo</t>
  </si>
  <si>
    <t>这是中国传统衣服。</t>
  </si>
  <si>
    <t>Zhè shì Zhōngguó chuántǒng yīfu.</t>
  </si>
  <si>
    <t>Đây là quần áo truyền thống của Trung Quốc</t>
  </si>
  <si>
    <t>H1_B10_BG_15.gif</t>
  </si>
  <si>
    <t>H1_B10_15.mp3</t>
  </si>
  <si>
    <t>H1_B10_VD_15.mp3</t>
  </si>
  <si>
    <t>件</t>
  </si>
  <si>
    <t>&lt;ruby&gt;件&lt;rt&gt;jiàn&lt;/rt&gt;&lt;/ruby&gt;</t>
  </si>
  <si>
    <t>(được dùng cho áo) cái, chiếc</t>
  </si>
  <si>
    <t>那件衣服有点宽。</t>
  </si>
  <si>
    <t>Nà jiàn yīfu yǒudiǎn kuān.</t>
  </si>
  <si>
    <t>Bộ đồ đó hơi rộng.</t>
  </si>
  <si>
    <t>H1_B10_BG_16.gif</t>
  </si>
  <si>
    <t>H1_B10_16.mp3</t>
  </si>
  <si>
    <t>H1_B10_VD_16.mp3</t>
  </si>
  <si>
    <t>元</t>
  </si>
  <si>
    <t>&lt;ruby&gt;元&lt;rt&gt;yuán&lt;/rt&gt;&lt;/ruby&gt;</t>
  </si>
  <si>
    <t>yuán</t>
  </si>
  <si>
    <t>Đồng (Đơn vị tiền tệ)</t>
  </si>
  <si>
    <t>我只有一百元。</t>
  </si>
  <si>
    <t>Wǒ zhǐ yǒu yībǎi yuán.</t>
  </si>
  <si>
    <t>Tôi chỉ có 100 tệ.</t>
  </si>
  <si>
    <t>H1_B10_BG_17.gif</t>
  </si>
  <si>
    <t>H1_B10_17.mp3</t>
  </si>
  <si>
    <t>H1_B10_VD_17.mp3</t>
  </si>
  <si>
    <t>怎么样</t>
  </si>
  <si>
    <t>&lt;ruby&gt;怎么样&lt;rt&gt;zěnmeyàng&lt;/rt&gt;&lt;/ruby&gt;</t>
  </si>
  <si>
    <t>zěnmeyàng</t>
  </si>
  <si>
    <t>今天天气怎么样？</t>
  </si>
  <si>
    <t>Jīntiān tiānqì zěnme yàng?</t>
  </si>
  <si>
    <t>Thời tiết hôm nay như thế nào?</t>
  </si>
  <si>
    <t>H1_B10_BG_18.gif</t>
  </si>
  <si>
    <t>H1_B10_18.mp3</t>
  </si>
  <si>
    <t>H1_B10_VD_18.mp3</t>
  </si>
  <si>
    <t>贵</t>
  </si>
  <si>
    <t>&lt;ruby&gt;贵&lt;rt&gt;guì&lt;/rt&gt;&lt;/ruby&gt;</t>
  </si>
  <si>
    <t>guì</t>
  </si>
  <si>
    <t>đắt</t>
  </si>
  <si>
    <t>那颗宝石非常贵。</t>
  </si>
  <si>
    <t>Nà kē bǎoshí fēicháng guì.</t>
  </si>
  <si>
    <t>Viên ngọc đó rất đắt.</t>
  </si>
  <si>
    <t>H1_B10_BG_19.gif</t>
  </si>
  <si>
    <t>H1_B10_19.mp3</t>
  </si>
  <si>
    <t>H1_B10_VD_19.mp3</t>
  </si>
  <si>
    <t>穿</t>
  </si>
  <si>
    <t>&lt;ruby&gt;穿&lt;rt&gt;chuān&lt;/rt&gt;&lt;/ruby&gt;</t>
  </si>
  <si>
    <t>chuān</t>
  </si>
  <si>
    <t>mặc, mang</t>
  </si>
  <si>
    <t>他正在穿外套。</t>
  </si>
  <si>
    <t>Tā zhèngzài chuān wàitào.</t>
  </si>
  <si>
    <t>Anh ấy đang mặc áo khoác.</t>
  </si>
  <si>
    <t>H1_B10_BG_20.gif</t>
  </si>
  <si>
    <t>H1_B10_20.mp3</t>
  </si>
  <si>
    <t>H1_B10_VD_20.mp3</t>
  </si>
  <si>
    <t>女</t>
  </si>
  <si>
    <t>&lt;ruby&gt;女&lt;rt&gt;nǚ&lt;/rt&gt;&lt;/ruby&gt;</t>
  </si>
  <si>
    <t>nǚ</t>
  </si>
  <si>
    <t>thuộc về nữ giới</t>
  </si>
  <si>
    <t>那个女孩子跳舞跳得很漂亮。</t>
  </si>
  <si>
    <t>Nàge nǚ háizi tiàowǔ tiào de hěn piàoliang.</t>
  </si>
  <si>
    <t>Cô gái đó nhảy rất đẹp.</t>
  </si>
  <si>
    <t>H1_B10_BG_21.gif</t>
  </si>
  <si>
    <t>H1_B10_21.mp3</t>
  </si>
  <si>
    <t>H1_B10_VD_21.mp3</t>
  </si>
  <si>
    <t>男</t>
  </si>
  <si>
    <t>&lt;ruby&gt;男&lt;rt&gt;nán&lt;/rt&gt;&lt;/ruby&gt;</t>
  </si>
  <si>
    <t>nán</t>
  </si>
  <si>
    <t>thuộc về nam giới</t>
  </si>
  <si>
    <t>班里有很多男同学。</t>
  </si>
  <si>
    <t>Bān lǐ yǒu hěn duō nán tóngxué.</t>
  </si>
  <si>
    <t>Trong lớp học có rất nhiều bạn học nam.</t>
  </si>
  <si>
    <t>H1_B10_BG_22.gif</t>
  </si>
  <si>
    <t>H1_B10_22.mp3</t>
  </si>
  <si>
    <t>H1_B10_VD_22.mp3</t>
  </si>
  <si>
    <t>那儿</t>
  </si>
  <si>
    <t>&lt;ruby&gt;那儿&lt;rt&gt;nàr&lt;/rt&gt;&lt;/ruby&gt;</t>
  </si>
  <si>
    <t>nàr</t>
  </si>
  <si>
    <t>Chỗ đó</t>
  </si>
  <si>
    <t>商店就在那儿。</t>
  </si>
  <si>
    <t>Shāngdiàn jiù zài nàr.</t>
  </si>
  <si>
    <t>Cửa hàng ở chỗ đó.</t>
  </si>
  <si>
    <t>H1_B10_BG_23.gif</t>
  </si>
  <si>
    <t>H1_B10_23.mp3</t>
  </si>
  <si>
    <t>H1_B10_VD_23.mp3</t>
  </si>
  <si>
    <t>时候</t>
  </si>
  <si>
    <t>&lt;ruby&gt;时候&lt;rt&gt;shí hou&lt;/rt&gt;&lt;/ruby&gt;</t>
  </si>
  <si>
    <t>shí hou</t>
  </si>
  <si>
    <t>Lúc, khi</t>
  </si>
  <si>
    <t>你什么时候起床？</t>
  </si>
  <si>
    <t>Nǐ shénme shíhou qǐchuáng?</t>
  </si>
  <si>
    <t>Bạn ngủ dậy lúc mấy giờ?</t>
  </si>
  <si>
    <t>H1_B11_BG_1.gif</t>
  </si>
  <si>
    <t>H1_B11_1.mp3</t>
  </si>
  <si>
    <t>H1_B11_VD_1.mp3</t>
  </si>
  <si>
    <t>饭店</t>
  </si>
  <si>
    <t>&lt;ruby&gt;饭店&lt;rt&gt;fàndiàn&lt;/rt&gt;&lt;/ruby&gt;</t>
  </si>
  <si>
    <t>fàndiàn</t>
  </si>
  <si>
    <t>Nhà hàng, khách sạn</t>
  </si>
  <si>
    <t>这家饭店很大。</t>
  </si>
  <si>
    <t>Zhè jiā fàndiàn hěn dà.</t>
  </si>
  <si>
    <t>Khách sạn này thật lớn.</t>
  </si>
  <si>
    <t>H1_B11_BG_2.gif</t>
  </si>
  <si>
    <t>H1_B11_2.mp3</t>
  </si>
  <si>
    <t>H1_B11_VD_2.mp3</t>
  </si>
  <si>
    <t>698aa042c2421e43ed0a0e62</t>
  </si>
  <si>
    <t>知道</t>
  </si>
  <si>
    <t>&lt;ruby&gt;知道&lt;rt&gt;zhīdào&lt;/rt&gt;&lt;/ruby&gt;</t>
  </si>
  <si>
    <t>zhīdào</t>
  </si>
  <si>
    <t>biết</t>
  </si>
  <si>
    <t>我不知道她们在说什么。</t>
  </si>
  <si>
    <t>Wǒ bù zhīdào tāmen zài shuō shénme.</t>
  </si>
  <si>
    <t>Tôi không biết bọn họ đang nói về cái gì.</t>
  </si>
  <si>
    <t>H1_B11_BG_3.gif</t>
  </si>
  <si>
    <t>H1_B11_3.mp3</t>
  </si>
  <si>
    <t>H1_B11_VD_3.mp3</t>
  </si>
  <si>
    <t>正在</t>
  </si>
  <si>
    <t>&lt;ruby&gt;正在&lt;rt&gt;zhèngzài&lt;/rt&gt;&lt;/ruby&gt;</t>
  </si>
  <si>
    <t>zhèngzài</t>
  </si>
  <si>
    <t>đang</t>
  </si>
  <si>
    <t>他正在做饭。</t>
  </si>
  <si>
    <t>Tā zhèngzài zuò fàn.</t>
  </si>
  <si>
    <t>Anh ấy đang nấu ăn</t>
  </si>
  <si>
    <t>H1_B11_BG_4.gif</t>
  </si>
  <si>
    <t>H1_B11_4.mp3</t>
  </si>
  <si>
    <t>H1_B11_VD_4.mp3</t>
  </si>
  <si>
    <t>找</t>
  </si>
  <si>
    <t>&lt;ruby&gt;找&lt;rt&gt;zhǎo&lt;/rt&gt;&lt;/ruby&gt;</t>
  </si>
  <si>
    <t>zhǎo</t>
  </si>
  <si>
    <t>tìm</t>
  </si>
  <si>
    <t>我正在找钥匙。</t>
  </si>
  <si>
    <t>Wǒ zhèngzài zhǎo yàoshi.</t>
  </si>
  <si>
    <t>Tôi đang đi tìm chìa khóa</t>
  </si>
  <si>
    <t>H1_B11_BG_5.gif</t>
  </si>
  <si>
    <t>H1_B11_5.mp3</t>
  </si>
  <si>
    <t>H1_B11_VD_5.mp3</t>
  </si>
  <si>
    <t>开车</t>
  </si>
  <si>
    <t>&lt;ruby&gt;开车&lt;rt&gt;kāichē&lt;/rt&gt;&lt;/ruby&gt;</t>
  </si>
  <si>
    <t>kāichē</t>
  </si>
  <si>
    <t>Lái xe</t>
  </si>
  <si>
    <t>爸爸开车上班。</t>
  </si>
  <si>
    <t>Bàba kāichē shàngbān.</t>
  </si>
  <si>
    <t>Bố lái xe đi làm.</t>
  </si>
  <si>
    <t>H1_B11_BG_6.gif</t>
  </si>
  <si>
    <t>H1_B11_6.mp3</t>
  </si>
  <si>
    <t>H1_B11_VD_6.mp3</t>
  </si>
  <si>
    <t>车</t>
  </si>
  <si>
    <t>&lt;ruby&gt;车&lt;rt&gt;chē&lt;/rt&gt;&lt;/ruby&gt;</t>
  </si>
  <si>
    <t>chē</t>
  </si>
  <si>
    <t>Xe</t>
  </si>
  <si>
    <t>我喜欢这辆车。</t>
  </si>
  <si>
    <t>Wǒ xǐhuan zhè liàng chē.</t>
  </si>
  <si>
    <t>Tôi thích chiếc xe này.</t>
  </si>
  <si>
    <t>H1_B11_BG_7.gif</t>
  </si>
  <si>
    <t>H1_B11_7.mp3</t>
  </si>
  <si>
    <t>H1_B11_VD_7.mp3</t>
  </si>
  <si>
    <t>H1_B11_BG_8.gif</t>
  </si>
  <si>
    <t>H1_B11_8.mp3</t>
  </si>
  <si>
    <t>H1_B11_VD_8.mp3</t>
  </si>
  <si>
    <t>读</t>
  </si>
  <si>
    <t>&lt;ruby&gt;读&lt;rt&gt;dú&lt;/rt&gt;&lt;/ruby&gt;</t>
  </si>
  <si>
    <t>dú</t>
  </si>
  <si>
    <t>Đọc</t>
  </si>
  <si>
    <t>他在读书。</t>
  </si>
  <si>
    <t>Tā zài dúshū.</t>
  </si>
  <si>
    <t>Anh ấy đang đọc sách.</t>
  </si>
  <si>
    <t>H1_B11_BG_9.gif</t>
  </si>
  <si>
    <t>H1_B11_9.mp3</t>
  </si>
  <si>
    <t>H1_B11_VD_9.mp3</t>
  </si>
  <si>
    <t>大学</t>
  </si>
  <si>
    <t>&lt;ruby&gt;大学&lt;rt&gt;dàxué&lt;/rt&gt;&lt;/ruby&gt;</t>
  </si>
  <si>
    <t>dàxué</t>
  </si>
  <si>
    <t>Đại học</t>
  </si>
  <si>
    <t>我在中国读大学。</t>
  </si>
  <si>
    <t>Wǒ zài Zhōngguó dú dàxué.</t>
  </si>
  <si>
    <t>Tôi học đại học ở Trung Quốc.</t>
  </si>
  <si>
    <t>H1_B11_BG_10.gif</t>
  </si>
  <si>
    <t>H1_B11_10.mp3</t>
  </si>
  <si>
    <t>H1_B11_VD_10.mp3</t>
  </si>
  <si>
    <t>大学生</t>
  </si>
  <si>
    <t>&lt;ruby&gt;大学生&lt;rt&gt;dàxuéshēng&lt;/rt&gt;&lt;/ruby&gt;</t>
  </si>
  <si>
    <t>dàxuéshēng</t>
  </si>
  <si>
    <t>Sinh viên đại học</t>
  </si>
  <si>
    <t>我哥哥是大学生。</t>
  </si>
  <si>
    <t>Wǒ gēge shì dàxuéshēng.</t>
  </si>
  <si>
    <t>Anh trai tôi là sinh viên đại học.</t>
  </si>
  <si>
    <t>H1_B11_BG_11.gif</t>
  </si>
  <si>
    <t>H1_B11_11.mp3</t>
  </si>
  <si>
    <t>H1_B11_VD_11.mp3</t>
  </si>
  <si>
    <t>学</t>
  </si>
  <si>
    <t>&lt;ruby&gt;学&lt;rt&gt;xué&lt;/rt&gt;&lt;/ruby&gt;</t>
  </si>
  <si>
    <t>xué</t>
  </si>
  <si>
    <t>Học</t>
  </si>
  <si>
    <t>我学中文。</t>
  </si>
  <si>
    <t>Wǒ xué Zhōngwén.</t>
  </si>
  <si>
    <t>Tôi học tiếng Trung.</t>
  </si>
  <si>
    <t>H1_B11_BG_12.gif</t>
  </si>
  <si>
    <t>H1_B11_12.mp3</t>
  </si>
  <si>
    <t>H1_B11_VD_12.mp3</t>
  </si>
  <si>
    <t>医</t>
  </si>
  <si>
    <t>&lt;ruby&gt;医&lt;rt&gt;yī&lt;/rt&gt;&lt;/ruby&gt;</t>
  </si>
  <si>
    <t>yī</t>
  </si>
  <si>
    <t>Y học, bác sĩ (viết tắt)</t>
  </si>
  <si>
    <t>他学医。</t>
  </si>
  <si>
    <t>Tā xué yī.</t>
  </si>
  <si>
    <t>Anh ấy học ngành y.</t>
  </si>
  <si>
    <t>H1_B11_BG_13.gif</t>
  </si>
  <si>
    <t>H1_B11_13.mp3</t>
  </si>
  <si>
    <t>H1_B11_VD_13.mp3</t>
  </si>
  <si>
    <t>弟弟</t>
  </si>
  <si>
    <t>&lt;ruby&gt;弟弟&lt;rt&gt;dìdi&lt;/rt&gt;&lt;/ruby&gt;</t>
  </si>
  <si>
    <t>dìdi</t>
  </si>
  <si>
    <t>em trai</t>
  </si>
  <si>
    <t>我和弟弟经常一起打篮球。</t>
  </si>
  <si>
    <t>Wǒ hé dìdi jīngcháng yīqǐ dǎ lánqiú.</t>
  </si>
  <si>
    <t>Tôi và em trai thường chơi bóng rổ cùng nhau.</t>
  </si>
  <si>
    <t>H1_B11_BG_14.gif</t>
  </si>
  <si>
    <t>H1_B11_14.mp3</t>
  </si>
  <si>
    <t>H1_B11_VD_14.mp3</t>
  </si>
  <si>
    <t>起床</t>
  </si>
  <si>
    <t>&lt;ruby&gt;起床&lt;rt&gt;qǐ chuáng&lt;/rt&gt;&lt;/ruby&gt;</t>
  </si>
  <si>
    <t>qǐ chuáng</t>
  </si>
  <si>
    <t>thức dậy</t>
  </si>
  <si>
    <t>我今天起床很早。</t>
  </si>
  <si>
    <t>Wǒ jīntiān qǐchuáng hěn zǎo.</t>
  </si>
  <si>
    <t>Hôm nay tôi dậy rất sớm.</t>
  </si>
  <si>
    <t>H1_B11_BG_15.gif</t>
  </si>
  <si>
    <t>H1_B11_15.mp3</t>
  </si>
  <si>
    <t>H1_B11_VD_15.mp3</t>
  </si>
  <si>
    <t>睡觉</t>
  </si>
  <si>
    <t>&lt;ruby&gt;睡觉&lt;rt&gt;shuìjiào&lt;/rt&gt;&lt;/ruby&gt;</t>
  </si>
  <si>
    <t>shuìjiào</t>
  </si>
  <si>
    <t>Ngủ, đi ngủ</t>
  </si>
  <si>
    <t>女儿在睡觉。</t>
  </si>
  <si>
    <t>Nǚ'ér zài shuìjiào.</t>
  </si>
  <si>
    <t>Con gái đang ngủ.</t>
  </si>
  <si>
    <t>H1_B11_BG_16.gif</t>
  </si>
  <si>
    <t>H1_B11_16.mp3</t>
  </si>
  <si>
    <t>H1_B11_VD_16.mp3</t>
  </si>
  <si>
    <t>睡</t>
  </si>
  <si>
    <t>&lt;ruby&gt;睡&lt;rt&gt;shuì&lt;/rt&gt;&lt;/ruby&gt;</t>
  </si>
  <si>
    <t>shuì</t>
  </si>
  <si>
    <t>Ngủ</t>
  </si>
  <si>
    <t>我晚上十点睡。</t>
  </si>
  <si>
    <t>Wǒ wǎnshang shí diǎn shuì.</t>
  </si>
  <si>
    <t>Tôi ngủ lúc mười giờ tối.</t>
  </si>
  <si>
    <t>H1_B11_BG_17.gif</t>
  </si>
  <si>
    <t>H1_B11_17.mp3</t>
  </si>
  <si>
    <t>H1_B11_VD_17.mp3</t>
  </si>
  <si>
    <t>那里</t>
  </si>
  <si>
    <t>&lt;ruby&gt;那里&lt;rt&gt;nàlǐ&lt;/rt&gt;&lt;/ruby&gt;</t>
  </si>
  <si>
    <t>nàlǐ</t>
  </si>
  <si>
    <t>Ở đó, chỗ đó</t>
  </si>
  <si>
    <t>我的书在那里。</t>
  </si>
  <si>
    <t>Wǒ de shū zài nàlǐ.</t>
  </si>
  <si>
    <t>Sách của tôi ở đó.</t>
  </si>
  <si>
    <t>H1_B11_BG_18.gif</t>
  </si>
  <si>
    <t>H1_B11_18.mp3</t>
  </si>
  <si>
    <t>H1_B11_VD_18.mp3</t>
  </si>
  <si>
    <t>哪里</t>
  </si>
  <si>
    <t>&lt;ruby&gt;哪里&lt;rt&gt;nǎlǐ&lt;/rt&gt;&lt;/ruby&gt;</t>
  </si>
  <si>
    <t>nǎlǐ</t>
  </si>
  <si>
    <t>书店在哪里？</t>
  </si>
  <si>
    <t>Shūdiàn zài nǎlǐ?</t>
  </si>
  <si>
    <t>Hiệu sách ở đâu?</t>
  </si>
  <si>
    <t>H1_B11_BG_19.gif</t>
  </si>
  <si>
    <t>H1_B11_19.mp3</t>
  </si>
  <si>
    <t>H1_B11_VD_19.mp3</t>
  </si>
  <si>
    <t>昨天</t>
  </si>
  <si>
    <t>&lt;ruby&gt;昨天&lt;rt&gt;zuótiān&lt;/rt&gt;&lt;/ruby&gt;</t>
  </si>
  <si>
    <t>zuótiān</t>
  </si>
  <si>
    <t>Hôm qua</t>
  </si>
  <si>
    <t>昨天，我种了一棵小树。</t>
  </si>
  <si>
    <t>Zuótiān, wǒ zhòng le yì kē xiǎo shù.</t>
  </si>
  <si>
    <t>Hôm qua, tôi đã trồng một cây nhỏ.</t>
  </si>
  <si>
    <t>H1_B11_BG_20.gif</t>
  </si>
  <si>
    <t>H1_B11_20.mp3</t>
  </si>
  <si>
    <t>H1_B11_VD_20.mp3</t>
  </si>
  <si>
    <t>问</t>
  </si>
  <si>
    <t>&lt;ruby&gt;问&lt;rt&gt;wèn&lt;/rt&gt;&lt;/ruby&gt;</t>
  </si>
  <si>
    <t>wèn</t>
  </si>
  <si>
    <t>Hỏi</t>
  </si>
  <si>
    <t>请问你叫什么名字？</t>
  </si>
  <si>
    <t>Qǐngwèn nǐ jiào shénme míngzi?</t>
  </si>
  <si>
    <t>Cho hỏi bạn tên gì?</t>
  </si>
  <si>
    <t>H1_B11_BG_21.gif</t>
  </si>
  <si>
    <t>H1_B11_21.mp3</t>
  </si>
  <si>
    <t>H1_B11_VD_21.mp3</t>
  </si>
  <si>
    <t>H1_B11_BG_22.gif</t>
  </si>
  <si>
    <t>H1_B11_22.mp3</t>
  </si>
  <si>
    <t>H1_B11_VD_22.mp3</t>
  </si>
  <si>
    <t>说</t>
  </si>
  <si>
    <t>&lt;ruby&gt;说&lt;rt&gt;shuō&lt;/rt&gt;&lt;/ruby&gt;</t>
  </si>
  <si>
    <t>shuō</t>
  </si>
  <si>
    <t>Nói</t>
  </si>
  <si>
    <t>你说什么？</t>
  </si>
  <si>
    <t>Nǐ shuō shénme?</t>
  </si>
  <si>
    <t>Bạn nói gì cơ?</t>
  </si>
  <si>
    <t>H1_B11_BG_23.gif</t>
  </si>
  <si>
    <t>H1_B11_23.mp3</t>
  </si>
  <si>
    <t>H1_B11_VD_23.mp3</t>
  </si>
  <si>
    <t>要</t>
  </si>
  <si>
    <t>&lt;ruby&gt;要&lt;rt&gt;yào&lt;/rt&gt;&lt;/ruby&gt;</t>
  </si>
  <si>
    <t>yào</t>
  </si>
  <si>
    <t>Trợ động từ</t>
  </si>
  <si>
    <t>muốn, cần</t>
  </si>
  <si>
    <t>我要吃这个菜。</t>
  </si>
  <si>
    <t>Wǒ yào chī zhège cài.</t>
  </si>
  <si>
    <t>Tôi muốn ăn món này.</t>
  </si>
  <si>
    <t>H1_B11_BG_24.gif</t>
  </si>
  <si>
    <t>H1_B11_24.mp3</t>
  </si>
  <si>
    <t>H1_B11_VD_24.mp3</t>
  </si>
  <si>
    <t>小朋友</t>
  </si>
  <si>
    <t>&lt;ruby&gt;小朋友&lt;rt&gt;xiǎo péngyou&lt;/rt&gt;&lt;/ruby&gt;</t>
  </si>
  <si>
    <t>xiǎo péngyou</t>
  </si>
  <si>
    <t>Em nhỏ, trẻ con</t>
  </si>
  <si>
    <t>小朋友在唱歌。</t>
  </si>
  <si>
    <t>Xiǎo péngyou zài chànggē.</t>
  </si>
  <si>
    <t>Em nhỏ đang hát.</t>
  </si>
  <si>
    <t>H1_B11_BG_25.gif</t>
  </si>
  <si>
    <t>H1_B11_25.mp3</t>
  </si>
  <si>
    <t>H1_B11_VD_25.mp3</t>
  </si>
  <si>
    <t>天气</t>
  </si>
  <si>
    <t>&lt;ruby&gt;天气&lt;rt&gt;tiānqì&lt;/rt&gt;&lt;/ruby&gt;</t>
  </si>
  <si>
    <t>tiānqì</t>
  </si>
  <si>
    <t>Thời tiết</t>
  </si>
  <si>
    <t>今天的天气很好。</t>
  </si>
  <si>
    <t>Jīntiān de tiānqì hěn hǎo.</t>
  </si>
  <si>
    <t>Thời tiết hôm nay rất đẹp.</t>
  </si>
  <si>
    <t>H1_B12_BG_1.gif</t>
  </si>
  <si>
    <t>H1_B12_1.mp3</t>
  </si>
  <si>
    <t>H1_B12_VD_1.mp3</t>
  </si>
  <si>
    <t>这里</t>
  </si>
  <si>
    <t>&lt;ruby&gt;这里&lt;rt&gt;zhèlǐ&lt;/rt&gt;&lt;/ruby&gt;</t>
  </si>
  <si>
    <t>zhèlǐ</t>
  </si>
  <si>
    <t>Ở đây, chỗ này</t>
  </si>
  <si>
    <t>请来这里。</t>
  </si>
  <si>
    <t>Qǐng lái zhèlǐ.</t>
  </si>
  <si>
    <t>Xin mời đến đây.</t>
  </si>
  <si>
    <t>H1_B12_BG_2.gif</t>
  </si>
  <si>
    <t>H1_B12_2.mp3</t>
  </si>
  <si>
    <t>H1_B12_VD_2.mp3</t>
  </si>
  <si>
    <t>698a9f1ac2421e43ed0a0e50</t>
  </si>
  <si>
    <t>天</t>
  </si>
  <si>
    <t>&lt;ruby&gt;天&lt;rt&gt;tiān&lt;/rt&gt;&lt;/ruby&gt;</t>
  </si>
  <si>
    <t>tiān</t>
  </si>
  <si>
    <t>今天天气很好。</t>
  </si>
  <si>
    <t>Jīntiān tiānqì hěn hǎo.</t>
  </si>
  <si>
    <t>Thời tiết hôm nay rất tốt.</t>
  </si>
  <si>
    <t>H1_B12_BG_3.gif</t>
  </si>
  <si>
    <t>H1_B12_3.mp3</t>
  </si>
  <si>
    <t>H1_B12_VD_3.mp3</t>
  </si>
  <si>
    <t>下雨</t>
  </si>
  <si>
    <t>&lt;ruby&gt;下雨&lt;rt&gt;xià yǔ&lt;/rt&gt;&lt;/ruby&gt;</t>
  </si>
  <si>
    <t>xià yǔ</t>
  </si>
  <si>
    <t>Có mưa, đổ mưa</t>
  </si>
  <si>
    <t>今天下午可能下雨。</t>
  </si>
  <si>
    <t>Jīntiān xiàwǔ kěnéng xiàyǔ.</t>
  </si>
  <si>
    <t>Chiều nay có thể sẽ mưa.</t>
  </si>
  <si>
    <t>H1_B12_BG_4.gif</t>
  </si>
  <si>
    <t>H1_B12_4.mp3</t>
  </si>
  <si>
    <t>H1_B12_VD_4.mp3</t>
  </si>
  <si>
    <t>了</t>
  </si>
  <si>
    <t>&lt;ruby&gt;了&lt;rt&gt;le&lt;/rt&gt;&lt;/ruby&gt;</t>
  </si>
  <si>
    <t>le</t>
  </si>
  <si>
    <t>Rồi</t>
  </si>
  <si>
    <t>我吃了饭。</t>
  </si>
  <si>
    <t>Wǒ chī le fàn.</t>
  </si>
  <si>
    <t>Tôi đã ăn cơm rồi.</t>
  </si>
  <si>
    <t>H1_B12_BG_5.gif</t>
  </si>
  <si>
    <t>H1_B12_5.mp3</t>
  </si>
  <si>
    <t>H1_B12_VD_5.mp3</t>
  </si>
  <si>
    <t>雨</t>
  </si>
  <si>
    <t>&lt;ruby&gt;雨&lt;rt&gt;yǔ&lt;/rt&gt;&lt;/ruby&gt;</t>
  </si>
  <si>
    <t>yǔ</t>
  </si>
  <si>
    <t>Mưa</t>
  </si>
  <si>
    <t>雨下得很大。</t>
  </si>
  <si>
    <t>Yǔ xià de hěn dà.</t>
  </si>
  <si>
    <t>Mưa rơi rất to.</t>
  </si>
  <si>
    <t>H1_B12_BG_6.gif</t>
  </si>
  <si>
    <t>H1_B12_6.mp3</t>
  </si>
  <si>
    <t>H1_B12_VD_6.mp3</t>
  </si>
  <si>
    <t>有点儿</t>
  </si>
  <si>
    <t>&lt;ruby&gt;有点儿&lt;rt&gt;yǒudiǎnr&lt;/rt&gt;&lt;/ruby&gt;</t>
  </si>
  <si>
    <t>yǒudiǎnr</t>
  </si>
  <si>
    <t>Hơi, có chút</t>
  </si>
  <si>
    <t>我有点儿饿。</t>
  </si>
  <si>
    <t>Wǒ yǒudiǎnr è.</t>
  </si>
  <si>
    <t>Tôi hơi đói.</t>
  </si>
  <si>
    <t>H1_B12_BG_7.gif</t>
  </si>
  <si>
    <t>H1_B12_7.mp3</t>
  </si>
  <si>
    <t>H1_B12_VD_7.mp3</t>
  </si>
  <si>
    <t>觉得</t>
  </si>
  <si>
    <t>&lt;ruby&gt;觉得&lt;rt&gt;juéde&lt;/rt&gt;&lt;/ruby&gt;</t>
  </si>
  <si>
    <t>juéde</t>
  </si>
  <si>
    <t>cho rằng, nghĩ rằng</t>
  </si>
  <si>
    <t>她觉得很难理解。</t>
  </si>
  <si>
    <t>Tā juéde hěn nán lǐjiě.</t>
  </si>
  <si>
    <t>Cô ấy cảm thấy khó hiểu.</t>
  </si>
  <si>
    <t>H1_B12_BG_8.gif</t>
  </si>
  <si>
    <t>H1_B12_8.mp3</t>
  </si>
  <si>
    <t>H1_B12_VD_8.mp3</t>
  </si>
  <si>
    <t>冷</t>
  </si>
  <si>
    <t>&lt;ruby&gt;冷&lt;rt&gt;lěng&lt;/rt&gt;&lt;/ruby&gt;</t>
  </si>
  <si>
    <t>lěng</t>
  </si>
  <si>
    <t>Lạnh</t>
  </si>
  <si>
    <t>北方的冬天很冷。</t>
  </si>
  <si>
    <t>Běifāng de dōngtiān hěn lěng.</t>
  </si>
  <si>
    <t>Mùa đông ở miền Bắc rất lạnh.</t>
  </si>
  <si>
    <t>H1_B12_BG_9.gif</t>
  </si>
  <si>
    <t>H1_B12_9.mp3</t>
  </si>
  <si>
    <t>H1_B12_VD_9.mp3</t>
  </si>
  <si>
    <t>H1_B12_BG_10.gif</t>
  </si>
  <si>
    <t>H1_B12_10.mp3</t>
  </si>
  <si>
    <t>H1_B12_VD_10.mp3</t>
  </si>
  <si>
    <t>雪</t>
  </si>
  <si>
    <t>&lt;ruby&gt;雪&lt;rt&gt;xuě&lt;/rt&gt;&lt;/ruby&gt;</t>
  </si>
  <si>
    <t>xuě</t>
  </si>
  <si>
    <t>tuyết</t>
  </si>
  <si>
    <t>墙上有一层厚厚的雪。</t>
  </si>
  <si>
    <t>Qiáng shàng yǒu yī céng hòu hòu de xuě.</t>
  </si>
  <si>
    <t>Trên tường có một lớp tuyết dày.</t>
  </si>
  <si>
    <t>H1_B12_BG_11.gif</t>
  </si>
  <si>
    <t>H1_B12_11.mp3</t>
  </si>
  <si>
    <t>H1_B12_VD_11.mp3</t>
  </si>
  <si>
    <t>来</t>
  </si>
  <si>
    <t>&lt;ruby&gt;来&lt;rt&gt;lái&lt;/rt&gt;&lt;/ruby&gt;</t>
  </si>
  <si>
    <t>lái</t>
  </si>
  <si>
    <t>Đến, tới</t>
  </si>
  <si>
    <t>她来了。</t>
  </si>
  <si>
    <t>Tā lái le.</t>
  </si>
  <si>
    <t>Cô ấy đã đến.</t>
  </si>
  <si>
    <t>H1_B12_BG_12.gif</t>
  </si>
  <si>
    <t>H1_B12_12.mp3</t>
  </si>
  <si>
    <t>H1_B12_VD_12.mp3</t>
  </si>
  <si>
    <t>公司</t>
  </si>
  <si>
    <t>&lt;ruby&gt;公司&lt;rt&gt;gōngsī&lt;/rt&gt;&lt;/ruby&gt;</t>
  </si>
  <si>
    <t>gōngsī</t>
  </si>
  <si>
    <t>công ty</t>
  </si>
  <si>
    <t>那栋大楼是我的公司。</t>
  </si>
  <si>
    <t>Nà dòng dàlóu shì wǒ de gōngsī.</t>
  </si>
  <si>
    <t>Tòa nhà đằng kia là công ty của tôi.</t>
  </si>
  <si>
    <t>H1_B12_BG_13.gif</t>
  </si>
  <si>
    <t>H1_B12_13.mp3</t>
  </si>
  <si>
    <t>H1_B12_VD_13.mp3</t>
  </si>
  <si>
    <t>生病</t>
  </si>
  <si>
    <t>&lt;ruby&gt;生病&lt;rt&gt;shēng bìng&lt;/rt&gt;&lt;/ruby&gt;</t>
  </si>
  <si>
    <t>shēng bìng</t>
  </si>
  <si>
    <t>bị bệnh, bị ốm</t>
  </si>
  <si>
    <t>她生病了。</t>
  </si>
  <si>
    <t>Tā shēngbìng le.</t>
  </si>
  <si>
    <t>Cô ấy bị ốm rồi.</t>
  </si>
  <si>
    <t>H1_B12_BG_14.gif</t>
  </si>
  <si>
    <t>H1_B12_14.mp3</t>
  </si>
  <si>
    <t>H1_B12_VD_14.mp3</t>
  </si>
  <si>
    <t>看病</t>
  </si>
  <si>
    <t>&lt;ruby&gt;看病&lt;rt&gt;kànbìng&lt;/rt&gt;&lt;/ruby&gt;</t>
  </si>
  <si>
    <t>kànbìng</t>
  </si>
  <si>
    <t>Khám bệnh</t>
  </si>
  <si>
    <t>妈妈去医院看病。</t>
  </si>
  <si>
    <t>Māma qù yīyuàn kànbìng.</t>
  </si>
  <si>
    <t>Mẹ đi bệnh viện khám bệnh.</t>
  </si>
  <si>
    <t>H1_B12_BG_15.gif</t>
  </si>
  <si>
    <t>H1_B12_15.mp3</t>
  </si>
  <si>
    <t>H1_B12_VD_15.mp3</t>
  </si>
  <si>
    <t>病</t>
  </si>
  <si>
    <t>&lt;ruby&gt;病&lt;rt&gt;bìng&lt;/rt&gt;&lt;/ruby&gt;</t>
  </si>
  <si>
    <t>bìng</t>
  </si>
  <si>
    <t>Bệnh</t>
  </si>
  <si>
    <t>我病了。</t>
  </si>
  <si>
    <t>Wǒ bìng le.</t>
  </si>
  <si>
    <t>Tôi bị bệnh rồi.</t>
  </si>
  <si>
    <t>H1_B12_BG_16.gif</t>
  </si>
  <si>
    <t>H1_B12_16.mp3</t>
  </si>
  <si>
    <t>H1_B12_VD_16.mp3</t>
  </si>
  <si>
    <t>一点儿</t>
  </si>
  <si>
    <t>&lt;ruby&gt;一点儿&lt;rt&gt;yīdiǎnr&lt;/rt&gt;&lt;/ruby&gt;</t>
  </si>
  <si>
    <t>yīdiǎnr</t>
  </si>
  <si>
    <t>Số lượng</t>
  </si>
  <si>
    <t>Một chút, một ít</t>
  </si>
  <si>
    <t>这辆车有一点儿旧。</t>
  </si>
  <si>
    <t>Zhè liàng chē yǒu yīdiǎnr jiù.</t>
  </si>
  <si>
    <t>Chiếc xe này hơi cũ một chút.</t>
  </si>
  <si>
    <t>H1_B12_BG_17.gif</t>
  </si>
  <si>
    <t>H1_B12_17.mp3</t>
  </si>
  <si>
    <t>H1_B12_VD_17.mp3</t>
  </si>
  <si>
    <t>药</t>
  </si>
  <si>
    <t>&lt;ruby&gt;药&lt;rt&gt;yào&lt;/rt&gt;&lt;/ruby&gt;</t>
  </si>
  <si>
    <t>thuốc</t>
  </si>
  <si>
    <t>我要吃药才能快点好起来。</t>
  </si>
  <si>
    <t>Wǒ yào chī yào cáinéng kuài diǎn hǎo qǐlái.</t>
  </si>
  <si>
    <t>Tôi phải uống thuốc để mau khỏi bệnh.</t>
  </si>
  <si>
    <t>H1_B12_BG_18.gif</t>
  </si>
  <si>
    <t>H1_B12_18.mp3</t>
  </si>
  <si>
    <t>H1_B12_VD_18.mp3</t>
  </si>
  <si>
    <t>Ngày</t>
  </si>
  <si>
    <t>明天是星期日。</t>
  </si>
  <si>
    <t>Míngtiān shì xīngqīrì.</t>
  </si>
  <si>
    <t>Ngày mai là Chủ Nhật.</t>
  </si>
  <si>
    <t>H1_B12_BG_19.gif</t>
  </si>
  <si>
    <t>H1_B12_19.mp3</t>
  </si>
  <si>
    <t>H1_B12_VD_19.mp3</t>
  </si>
  <si>
    <t>回</t>
  </si>
  <si>
    <t>&lt;ruby&gt;回&lt;rt&gt;huí&lt;/rt&gt;&lt;/ruby&gt;</t>
  </si>
  <si>
    <t>huí</t>
  </si>
  <si>
    <t>Về, trở về</t>
  </si>
  <si>
    <t>我晚上八点回家。</t>
  </si>
  <si>
    <t>Wǒ wǎnshang bā diǎn huíjiā.</t>
  </si>
  <si>
    <t>Tôi về nhà lúc 8 giờ tối.</t>
  </si>
  <si>
    <t>H1_B12_BG_20.gif</t>
  </si>
  <si>
    <t>H1_B12_20.mp3</t>
  </si>
  <si>
    <t>H1_B12_VD_20.mp3</t>
  </si>
  <si>
    <t>再</t>
  </si>
  <si>
    <t>&lt;ruby&gt;再&lt;rt&gt;zài&lt;/rt&gt;&lt;/ruby&gt;</t>
  </si>
  <si>
    <t>lại, lần nữa, hẵng, hãy, sẽ</t>
  </si>
  <si>
    <t>我们再听一遍这首音乐。</t>
  </si>
  <si>
    <t>Wǒmen zài tīng yī biàn zhè shǒu yīnyuè.</t>
  </si>
  <si>
    <t>Chúng ta nghe bản nhạc lại một lần nữa.</t>
  </si>
  <si>
    <t>H1_B12_BG_21.gif</t>
  </si>
  <si>
    <t>H1_B12_21.mp3</t>
  </si>
  <si>
    <t>H1_B12_VD_21.mp3</t>
  </si>
  <si>
    <t>喝</t>
  </si>
  <si>
    <t>&lt;ruby&gt;喝&lt;rt&gt;hē&lt;/rt&gt;&lt;/ruby&gt;</t>
  </si>
  <si>
    <t>hē</t>
  </si>
  <si>
    <t>Uống</t>
  </si>
  <si>
    <t>你想喝什么？</t>
  </si>
  <si>
    <t>Nǐ xiǎng hē shénme?</t>
  </si>
  <si>
    <t>Bạn muốn uống gì?</t>
  </si>
  <si>
    <t>H1_B12_BG_22.gif</t>
  </si>
  <si>
    <t>H1_B12_22.mp3</t>
  </si>
  <si>
    <t>H1_B12_VD_22.mp3</t>
  </si>
  <si>
    <t>热</t>
  </si>
  <si>
    <t>&lt;ruby&gt;热&lt;rt&gt;rè&lt;/rt&gt;&lt;/ruby&gt;</t>
  </si>
  <si>
    <t>rè</t>
  </si>
  <si>
    <t>Nóng</t>
  </si>
  <si>
    <t>夏天这里很热。</t>
  </si>
  <si>
    <t>Xiàtiān zhèlǐ hěn rè.</t>
  </si>
  <si>
    <t>Mùa hè ở đây rất nóng.</t>
  </si>
  <si>
    <t>H1_B12_BG_23.gif</t>
  </si>
  <si>
    <t>H1_B12_23.mp3</t>
  </si>
  <si>
    <t>H1_B12_VD_23.mp3</t>
  </si>
  <si>
    <t>水</t>
  </si>
  <si>
    <t>&lt;ruby&gt;水&lt;rt&gt;shuǐ&lt;/rt&gt;&lt;/ruby&gt;</t>
  </si>
  <si>
    <t>shuǐ</t>
  </si>
  <si>
    <t>Nước</t>
  </si>
  <si>
    <t>请给我一杯水。</t>
  </si>
  <si>
    <t>Qǐng gěi wǒ yī bēi shuǐ.</t>
  </si>
  <si>
    <t>Làm ơn cho tôi một cốc nước.</t>
  </si>
  <si>
    <t>H1_B12_BG_24.gif</t>
  </si>
  <si>
    <t>H1_B12_24.mp3</t>
  </si>
  <si>
    <t>H1_B12_VD_24.mp3</t>
  </si>
  <si>
    <t>可以</t>
  </si>
  <si>
    <t>&lt;ruby&gt;可以&lt;rt&gt;kěyǐ&lt;/rt&gt;&lt;/ruby&gt;</t>
  </si>
  <si>
    <t>kěyǐ</t>
  </si>
  <si>
    <t>không tệ, tạm được</t>
  </si>
  <si>
    <t>他说他可以帮忙。</t>
  </si>
  <si>
    <t>Tā shuō tā kěyǐ bāngmáng.</t>
  </si>
  <si>
    <t>Anh ấy nói anh ấy có thể giúp đỡ.</t>
  </si>
  <si>
    <t>H1_B13_BG_1.gif</t>
  </si>
  <si>
    <t>H1_B13_1.mp3</t>
  </si>
  <si>
    <t>H1_B13_VD_1.mp3</t>
  </si>
  <si>
    <t>H1_B13_BG_2.gif</t>
  </si>
  <si>
    <t>H1_B13_2.mp3</t>
  </si>
  <si>
    <t>H1_B13_VD_2.mp3</t>
  </si>
  <si>
    <t>698a9bcbc2421e43ed0a0e25</t>
  </si>
  <si>
    <t>问题</t>
  </si>
  <si>
    <t>&lt;ruby&gt;问题&lt;rt&gt;wèntí&lt;/rt&gt;&lt;/ruby&gt;</t>
  </si>
  <si>
    <t>wèntí</t>
  </si>
  <si>
    <t>vấn đề, câu hỏi</t>
  </si>
  <si>
    <t>公司最近出现了一些经济问题。</t>
  </si>
  <si>
    <t>Gōngsī zuìjìn chūxiàn le yīxiē jīngjì wèntí.</t>
  </si>
  <si>
    <t>Công ty gần đây xuất hiện một số vấn đề kinh tế.</t>
  </si>
  <si>
    <t>H1_B13_BG_3.gif</t>
  </si>
  <si>
    <t>H1_B13_3.mp3</t>
  </si>
  <si>
    <t>H1_B13_VD_3.mp3</t>
  </si>
  <si>
    <t>卖</t>
  </si>
  <si>
    <t>&lt;ruby&gt;卖&lt;rt&gt;mài&lt;/rt&gt;&lt;/ruby&gt;</t>
  </si>
  <si>
    <t>mài</t>
  </si>
  <si>
    <t>Bán</t>
  </si>
  <si>
    <t>他卖水果。</t>
  </si>
  <si>
    <t>Tā mài shuǐguǒ.</t>
  </si>
  <si>
    <t>Anh ấy bán hoa quả.</t>
  </si>
  <si>
    <t>H1_B13_BG_4.gif</t>
  </si>
  <si>
    <t>H1_B13_4.mp3</t>
  </si>
  <si>
    <t>H1_B13_VD_4.mp3</t>
  </si>
  <si>
    <t>打电话</t>
  </si>
  <si>
    <t>&lt;ruby&gt;打电话&lt;rt&gt;dǎ diànhuà&lt;/rt&gt;&lt;/ruby&gt;</t>
  </si>
  <si>
    <t>dǎ diànhuà</t>
  </si>
  <si>
    <t>Gọi điện thoại</t>
  </si>
  <si>
    <t>他正在给妈妈打电话。</t>
  </si>
  <si>
    <t>Tā zhèngzài gěi māma dǎ diànhuà.</t>
  </si>
  <si>
    <t>Anh ấy đang gọi điện thoại cho mẹ.</t>
  </si>
  <si>
    <t>H1_B13_BG_5.gif</t>
  </si>
  <si>
    <t>H1_B13_5.mp3</t>
  </si>
  <si>
    <t>H1_B13_VD_5.mp3</t>
  </si>
  <si>
    <t>一下</t>
  </si>
  <si>
    <t>&lt;ruby&gt;一下&lt;rt&gt;yíxià&lt;/rt&gt;&lt;/ruby&gt;</t>
  </si>
  <si>
    <t>yíxià</t>
  </si>
  <si>
    <t>được dùng sau động từ để diễn tả rằng người nào đó thực hiện việc gì trong thời gian ngắn/thử làm việc gì</t>
  </si>
  <si>
    <t>我想尝一下这个菜。</t>
  </si>
  <si>
    <t>Wǒ xiǎng cháng yíxià zhège cài.</t>
  </si>
  <si>
    <t>Tôi muốn thử món này một chút.</t>
  </si>
  <si>
    <t>H1_B13_BG_6.gif</t>
  </si>
  <si>
    <t>H1_B13_6.mp3</t>
  </si>
  <si>
    <t>H1_B13_VD_6.mp3</t>
  </si>
  <si>
    <t>服务员</t>
  </si>
  <si>
    <t>&lt;ruby&gt;服务员&lt;rt&gt;fúwùyuán&lt;/rt&gt;&lt;/ruby&gt;</t>
  </si>
  <si>
    <t>fúwùyuán</t>
  </si>
  <si>
    <t>nhân viên phục vụ</t>
  </si>
  <si>
    <t>服务员给我们上菜。</t>
  </si>
  <si>
    <t>Fúwùyuán gěi wǒmen shàng cài.</t>
  </si>
  <si>
    <t>Phục vụ mang món ăn lên cho chúng tôi</t>
  </si>
  <si>
    <t>H1_B13_BG_7.gif</t>
  </si>
  <si>
    <t>H1_B13_7.mp3</t>
  </si>
  <si>
    <t>H1_B13_VD_7.mp3</t>
  </si>
  <si>
    <t>女士</t>
  </si>
  <si>
    <t>&lt;ruby&gt;女士&lt;rt&gt;nǚshì&lt;/rt&gt;&lt;/ruby&gt;</t>
  </si>
  <si>
    <t>nǚshì</t>
  </si>
  <si>
    <t>Bà, quý bà, phụ nữ</t>
  </si>
  <si>
    <t>这位女士是我妈妈。</t>
  </si>
  <si>
    <t>Zhè wèi nǚshì shì wǒ māma.</t>
  </si>
  <si>
    <t>Vị bà này là mẹ tôi.</t>
  </si>
  <si>
    <t>H1_B13_BG_8.gif</t>
  </si>
  <si>
    <t>H1_B13_8.mp3</t>
  </si>
  <si>
    <t>H1_B13_VD_8.mp3</t>
  </si>
  <si>
    <t>请</t>
  </si>
  <si>
    <t>&lt;ruby&gt;请&lt;rt&gt;qǐng&lt;/rt&gt;&lt;/ruby&gt;</t>
  </si>
  <si>
    <t>qǐng</t>
  </si>
  <si>
    <t>Mời, xin mời</t>
  </si>
  <si>
    <t>请进。</t>
  </si>
  <si>
    <t>Qǐng jìn.</t>
  </si>
  <si>
    <t>Xin mời vào.</t>
  </si>
  <si>
    <t>H1_B13_BG_9.gif</t>
  </si>
  <si>
    <t>H1_B13_9.mp3</t>
  </si>
  <si>
    <t>H1_B13_VD_9.mp3</t>
  </si>
  <si>
    <t>H1_B13_BG_10.gif</t>
  </si>
  <si>
    <t>H1_B13_10.mp3</t>
  </si>
  <si>
    <t>H1_B13_VD_10.mp3</t>
  </si>
  <si>
    <t>给</t>
  </si>
  <si>
    <t>&lt;ruby&gt;给&lt;rt&gt;gěi&lt;/rt&gt;&lt;/ruby&gt;</t>
  </si>
  <si>
    <t>gěi</t>
  </si>
  <si>
    <t>Cho, đưa</t>
  </si>
  <si>
    <t>他给我一本书。</t>
  </si>
  <si>
    <t>Tā gěi wǒ yī běn shū.</t>
  </si>
  <si>
    <t>Anh ấy cho tôi một quyển sách.</t>
  </si>
  <si>
    <t>H1_B13_BG_11.gif</t>
  </si>
  <si>
    <t>H1_B13_11.mp3</t>
  </si>
  <si>
    <t>H1_B13_VD_11.mp3</t>
  </si>
  <si>
    <t>杯</t>
  </si>
  <si>
    <t>&lt;ruby&gt;杯&lt;rt&gt;bēi&lt;/rt&gt;&lt;/ruby&gt;</t>
  </si>
  <si>
    <t>bēi</t>
  </si>
  <si>
    <t>Cốc</t>
  </si>
  <si>
    <t>Xin cho tôi một cốc nước.</t>
  </si>
  <si>
    <t>H1_B13_BG_12.gif</t>
  </si>
  <si>
    <t>H1_B13_12.mp3</t>
  </si>
  <si>
    <t>H1_B13_VD_12.mp3</t>
  </si>
  <si>
    <t>H1_B13_BG_13.gif</t>
  </si>
  <si>
    <t>H1_B13_13.mp3</t>
  </si>
  <si>
    <t>H1_B13_VD_13.mp3</t>
  </si>
  <si>
    <t>早饭</t>
  </si>
  <si>
    <t>&lt;ruby&gt;早饭&lt;rt&gt;zǎofàn&lt;/rt&gt;&lt;/ruby&gt;</t>
  </si>
  <si>
    <t>zǎofàn</t>
  </si>
  <si>
    <t>Bữa sáng</t>
  </si>
  <si>
    <t>我七点吃早饭。</t>
  </si>
  <si>
    <t>Wǒ qī diǎn chī zǎofàn.</t>
  </si>
  <si>
    <t>Tôi ăn sáng lúc bảy giờ.</t>
  </si>
  <si>
    <t>H1_B13_BG_14.gif</t>
  </si>
  <si>
    <t>H1_B13_14.mp3</t>
  </si>
  <si>
    <t>H1_B13_VD_14.mp3</t>
  </si>
  <si>
    <t>这个</t>
  </si>
  <si>
    <t>&lt;ruby&gt;这个&lt;rt&gt;zhège&lt;/rt&gt;&lt;/ruby&gt;</t>
  </si>
  <si>
    <t>zhège</t>
  </si>
  <si>
    <t>Cái này</t>
  </si>
  <si>
    <t>这个苹果好吃。</t>
  </si>
  <si>
    <t>Zhège píngguǒ hǎochī.</t>
  </si>
  <si>
    <t>Quả táo này ngon.</t>
  </si>
  <si>
    <t>H1_B13_BG_15.gif</t>
  </si>
  <si>
    <t>H1_B13_15.mp3</t>
  </si>
  <si>
    <t>H1_B13_VD_15.mp3</t>
  </si>
  <si>
    <t>面包</t>
  </si>
  <si>
    <t>&lt;ruby&gt;面包&lt;rt&gt;miànbāo&lt;/rt&gt;&lt;/ruby&gt;</t>
  </si>
  <si>
    <t>miànbāo</t>
  </si>
  <si>
    <t>Bánh mì</t>
  </si>
  <si>
    <t>我喜欢吃面包和牛奶。</t>
  </si>
  <si>
    <t>Wǒ xǐhuān chī miànbāo hé niúnǎi.</t>
  </si>
  <si>
    <t>Tôi thích ăn bánh mì và sữa.</t>
  </si>
  <si>
    <t>H1_B13_BG_16.gif</t>
  </si>
  <si>
    <t>H1_B13_16.mp3</t>
  </si>
  <si>
    <t>H1_B13_VD_16.mp3</t>
  </si>
  <si>
    <t>鸡蛋</t>
  </si>
  <si>
    <t>&lt;ruby&gt;鸡蛋&lt;rt&gt;jīdàn&lt;/rt&gt;&lt;/ruby&gt;</t>
  </si>
  <si>
    <t>jīdàn</t>
  </si>
  <si>
    <t>trứng gà</t>
  </si>
  <si>
    <t>我刚买了六个鸡蛋。</t>
  </si>
  <si>
    <t>Wǒ gāng mǎi le liù gè jīdàn.</t>
  </si>
  <si>
    <t>Tôi vừa mua 6 quả trứng gà.</t>
  </si>
  <si>
    <t>H1_B13_BG_17.gif</t>
  </si>
  <si>
    <t>H1_B13_17.mp3</t>
  </si>
  <si>
    <t>H1_B13_VD_17.mp3</t>
  </si>
  <si>
    <t>先生</t>
  </si>
  <si>
    <t>&lt;ruby&gt;先生&lt;rt&gt;xiānsheng&lt;/rt&gt;&lt;/ruby&gt;</t>
  </si>
  <si>
    <t>xiānsheng</t>
  </si>
  <si>
    <t>Ông, ngài</t>
  </si>
  <si>
    <t>李先生！请上车。</t>
  </si>
  <si>
    <t>Lǐ xiānshēng! Qǐng shàng chē.</t>
  </si>
  <si>
    <t>Ngài Lý! Xin mời lên xe.</t>
  </si>
  <si>
    <t>H1_B13_BG_18.gif</t>
  </si>
  <si>
    <t>H1_B13_18.mp3</t>
  </si>
  <si>
    <t>H1_B13_VD_18.mp3</t>
  </si>
  <si>
    <t>一半</t>
  </si>
  <si>
    <t>&lt;ruby&gt;一半&lt;rt&gt;yībàn&lt;/rt&gt;&lt;/ruby&gt;</t>
  </si>
  <si>
    <t>yībàn</t>
  </si>
  <si>
    <t>Một nửa</t>
  </si>
  <si>
    <t>这个包子，我吃一半。</t>
  </si>
  <si>
    <t>Zhège bāozi, wǒ chī yībàn.</t>
  </si>
  <si>
    <t>Cái bánh bao này, tôi ăn một nửa.</t>
  </si>
  <si>
    <t>H1_B13_BG_19.gif</t>
  </si>
  <si>
    <t>H1_B13_19.mp3</t>
  </si>
  <si>
    <t>H1_B13_VD_19.mp3</t>
  </si>
  <si>
    <t>茶</t>
  </si>
  <si>
    <t>&lt;ruby&gt;茶&lt;rt&gt;chá&lt;/rt&gt;&lt;/ruby&gt;</t>
  </si>
  <si>
    <t>chá</t>
  </si>
  <si>
    <t>Trà</t>
  </si>
  <si>
    <t>我想喝茶。</t>
  </si>
  <si>
    <t>Wǒ xiǎng hē chá.</t>
  </si>
  <si>
    <t>Tôi muốn uống trà.</t>
  </si>
  <si>
    <t>H1_B13_BG_20.gif</t>
  </si>
  <si>
    <t>H1_B13_20.mp3</t>
  </si>
  <si>
    <t>H1_B13_VD_20.mp3</t>
  </si>
  <si>
    <t>H1_B14_BG_1.gif</t>
  </si>
  <si>
    <t>H1_B14_1.mp3</t>
  </si>
  <si>
    <t>H1_B14_VD_1.mp3</t>
  </si>
  <si>
    <t>火车</t>
  </si>
  <si>
    <t>&lt;ruby&gt;火车&lt;rt&gt;huǒchē&lt;/rt&gt;&lt;/ruby&gt;</t>
  </si>
  <si>
    <t>huǒchē</t>
  </si>
  <si>
    <t>Tàu hỏa</t>
  </si>
  <si>
    <t>我坐火车去。</t>
  </si>
  <si>
    <t>Wǒ zuò huǒchē qù.</t>
  </si>
  <si>
    <t>Tôi đi bằng tàu hỏa.</t>
  </si>
  <si>
    <t>H1_B14_BG_2.gif</t>
  </si>
  <si>
    <t>H1_B14_2.mp3</t>
  </si>
  <si>
    <t>H1_B14_VD_2.mp3</t>
  </si>
  <si>
    <t>698af34bc2421e43ed0a1a60</t>
  </si>
  <si>
    <t>中午</t>
  </si>
  <si>
    <t>&lt;ruby&gt;中午&lt;rt&gt;zhōng wǔ&lt;/rt&gt;&lt;/ruby&gt;</t>
  </si>
  <si>
    <t>zhōng wǔ</t>
  </si>
  <si>
    <t>Buổi trưa</t>
  </si>
  <si>
    <t>我们中午吃面吧！</t>
  </si>
  <si>
    <t>Wǒmen zhōngwǔ chī miàn ba!</t>
  </si>
  <si>
    <t>Trưa nay chúng ta ăn mì nhé!</t>
  </si>
  <si>
    <t>H1_B14_BG_3.gif</t>
  </si>
  <si>
    <t>H1_B14_3.mp3</t>
  </si>
  <si>
    <t>H1_B14_VD_3.mp3</t>
  </si>
  <si>
    <t>开</t>
  </si>
  <si>
    <t>&lt;ruby&gt;开&lt;rt&gt;kāi&lt;/rt&gt;&lt;/ruby&gt;</t>
  </si>
  <si>
    <t>kāi</t>
  </si>
  <si>
    <t>Lái (xe), Mở</t>
  </si>
  <si>
    <t>早上应该打开窗户。</t>
  </si>
  <si>
    <t>Zǎoshang yīnggāi dǎkāi chuānghu.</t>
  </si>
  <si>
    <t>Buổi sáng nên mở cửa sổ ra.</t>
  </si>
  <si>
    <t>H1_B14_BG_4.gif</t>
  </si>
  <si>
    <t>H1_B14_4.mp3</t>
  </si>
  <si>
    <t>H1_B14_VD_4.mp3</t>
  </si>
  <si>
    <t>有些</t>
  </si>
  <si>
    <t>&lt;ruby&gt;有些&lt;rt&gt;yǒuxiē&lt;/rt&gt;&lt;/ruby&gt;</t>
  </si>
  <si>
    <t>yǒuxiē</t>
  </si>
  <si>
    <t>Có một số, có vài</t>
  </si>
  <si>
    <t>我有些朋友在中国。</t>
  </si>
  <si>
    <t>Wǒ yǒuxiē péngyou zài Zhōngguó.</t>
  </si>
  <si>
    <t>Tôi có một số bạn bè ở Trung Quốc.</t>
  </si>
  <si>
    <t>H1_B14_BG_5.gif</t>
  </si>
  <si>
    <t>H1_B14_5.mp3</t>
  </si>
  <si>
    <t>H1_B14_VD_5.mp3</t>
  </si>
  <si>
    <t>有的</t>
  </si>
  <si>
    <t>&lt;ruby&gt;有的&lt;rt&gt;yǒude&lt;/rt&gt;&lt;/ruby&gt;</t>
  </si>
  <si>
    <t>yǒude</t>
  </si>
  <si>
    <t>Có những (cái), có người</t>
  </si>
  <si>
    <t>学生，有的看书，有的写字。</t>
  </si>
  <si>
    <t>Xuéshēng, yǒude kànshū, yǒude xiězì.</t>
  </si>
  <si>
    <t>Học sinh, có người đọc sách, có người viết chữ.</t>
  </si>
  <si>
    <t>H1_B14_BG_6.gif</t>
  </si>
  <si>
    <t>H1_B14_6.mp3</t>
  </si>
  <si>
    <t>H1_B14_VD_6.mp3</t>
  </si>
  <si>
    <t>H1_B14_BG_7.gif</t>
  </si>
  <si>
    <t>H1_B14_7.mp3</t>
  </si>
  <si>
    <t>H1_B14_VD_7.mp3</t>
  </si>
  <si>
    <t>写</t>
  </si>
  <si>
    <t>&lt;ruby&gt;写&lt;rt&gt;xiě&lt;/rt&gt;&lt;/ruby&gt;</t>
  </si>
  <si>
    <t>xiě</t>
  </si>
  <si>
    <t>Viết</t>
  </si>
  <si>
    <t>他会写汉字。</t>
  </si>
  <si>
    <t>Tā huì xiě hànzì.</t>
  </si>
  <si>
    <t>Anh ấy có thể viết được chữ Hán.</t>
  </si>
  <si>
    <t>H1_B14_BG_8.gif</t>
  </si>
  <si>
    <t>H1_B14_8.mp3</t>
  </si>
  <si>
    <t>H1_B14_VD_8.mp3</t>
  </si>
  <si>
    <t>都</t>
  </si>
  <si>
    <t>&lt;ruby&gt;都&lt;rt&gt;dōu&lt;/rt&gt;&lt;/ruby&gt;</t>
  </si>
  <si>
    <t>dōu</t>
  </si>
  <si>
    <t>Đều</t>
  </si>
  <si>
    <t>我们都喜欢红色。</t>
  </si>
  <si>
    <t>Wǒmen dōu xǐhuan hóngsè.</t>
  </si>
  <si>
    <t>Chúng tôi đều thích màu đỏ.</t>
  </si>
  <si>
    <t>H1_B14_BG_9.gif</t>
  </si>
  <si>
    <t>H1_B14_9.mp3</t>
  </si>
  <si>
    <t>H1_B14_VD_9.mp3</t>
  </si>
  <si>
    <t>听见</t>
  </si>
  <si>
    <t>&lt;ruby&gt;听见&lt;rt&gt;tīngjiàn&lt;/rt&gt;&lt;/ruby&gt;</t>
  </si>
  <si>
    <t>tīngjiàn</t>
  </si>
  <si>
    <t>Nghe thấy</t>
  </si>
  <si>
    <t>我听见他唱歌。</t>
  </si>
  <si>
    <t>Wǒ tīngjiàn tā chànggē.</t>
  </si>
  <si>
    <t>Tôi nghe thấy anh ấy hát.</t>
  </si>
  <si>
    <t>H1_B14_BG_10.gif</t>
  </si>
  <si>
    <t>H1_B14_10.mp3</t>
  </si>
  <si>
    <t>H1_B14_VD_10.mp3</t>
  </si>
  <si>
    <t>不要</t>
  </si>
  <si>
    <t>&lt;ruby&gt;不要&lt;rt&gt;bùyào&lt;/rt&gt;&lt;/ruby&gt;</t>
  </si>
  <si>
    <t>bùyào</t>
  </si>
  <si>
    <t>Đừng</t>
  </si>
  <si>
    <t>不要说话。</t>
  </si>
  <si>
    <t>Bùyào shuō huà.</t>
  </si>
  <si>
    <t>Đừng nói chuyện.</t>
  </si>
  <si>
    <t>H1_B14_BG_11.gif</t>
  </si>
  <si>
    <t>H1_B14_11.mp3</t>
  </si>
  <si>
    <t>H1_B14_VD_11.mp3</t>
  </si>
  <si>
    <t>说话</t>
  </si>
  <si>
    <t>&lt;ruby&gt;说话&lt;rt&gt;shuō huà&lt;/rt&gt;&lt;/ruby&gt;</t>
  </si>
  <si>
    <t>shuō huà</t>
  </si>
  <si>
    <t>nói chuyện</t>
  </si>
  <si>
    <t>他们说话说得很开心。</t>
  </si>
  <si>
    <t>Tāmen shuōhuà shuō de hěn kāixīn.</t>
  </si>
  <si>
    <t>Bọn họ nói chuyện rất vui vẻ.</t>
  </si>
  <si>
    <t>H1_B14_BG_12.gif</t>
  </si>
  <si>
    <t>H1_B14_12.mp3</t>
  </si>
  <si>
    <t>H1_B14_VD_12.mp3</t>
  </si>
  <si>
    <t>听</t>
  </si>
  <si>
    <t>&lt;ruby&gt;听&lt;rt&gt;tīng&lt;/rt&gt;&lt;/ruby&gt;</t>
  </si>
  <si>
    <t>tīng</t>
  </si>
  <si>
    <t>Nghe</t>
  </si>
  <si>
    <t>每天我都听音乐。</t>
  </si>
  <si>
    <t>Měitiān wǒ dōu tīng yīnyuè.</t>
  </si>
  <si>
    <t>Tôi nghe nhạc mỗi ngày.</t>
  </si>
  <si>
    <t>H1_B14_BG_13.gif</t>
  </si>
  <si>
    <t>H1_B14_13.mp3</t>
  </si>
  <si>
    <t>H1_B14_VD_13.mp3</t>
  </si>
  <si>
    <t>哪些</t>
  </si>
  <si>
    <t>&lt;ruby&gt;哪些&lt;rt&gt;nǎxiē&lt;/rt&gt;&lt;/ruby&gt;</t>
  </si>
  <si>
    <t>nǎxiē</t>
  </si>
  <si>
    <t>Những cái nào</t>
  </si>
  <si>
    <t>哪些是你的书？</t>
  </si>
  <si>
    <t>Nǎxiē shì nǐ de shū?</t>
  </si>
  <si>
    <t>Những quyển nào là sách của bạn?</t>
  </si>
  <si>
    <t>H1_B14_BG_14.gif</t>
  </si>
  <si>
    <t>H1_B14_14.mp3</t>
  </si>
  <si>
    <t>H1_B14_VD_14.mp3</t>
  </si>
  <si>
    <t>字</t>
  </si>
  <si>
    <t>&lt;ruby&gt;字&lt;rt&gt;zì&lt;/rt&gt;&lt;/ruby&gt;</t>
  </si>
  <si>
    <t>zì</t>
  </si>
  <si>
    <t>Chữ</t>
  </si>
  <si>
    <t>这是什么字？</t>
  </si>
  <si>
    <t>Zhè shì shénme zì?</t>
  </si>
  <si>
    <t>Đây là chữ gì vậy?</t>
  </si>
  <si>
    <t>H1_B14_BG_15.gif</t>
  </si>
  <si>
    <t>H1_B14_15.mp3</t>
  </si>
  <si>
    <t>H1_B14_VD_15.mp3</t>
  </si>
  <si>
    <t>汉语</t>
  </si>
  <si>
    <t>&lt;ruby&gt;汉语&lt;rt&gt;hànyǔ&lt;/rt&gt;&lt;/ruby&gt;</t>
  </si>
  <si>
    <t>hànyǔ</t>
  </si>
  <si>
    <t>Tiếng Trung</t>
  </si>
  <si>
    <t>Anh ấy biết nói tiếng Trung.</t>
  </si>
  <si>
    <t>H1_B14_BG_16.gif</t>
  </si>
  <si>
    <t>H1_B14_16.mp3</t>
  </si>
  <si>
    <t>H1_B14_VD_16.mp3</t>
  </si>
  <si>
    <t>汉字</t>
  </si>
  <si>
    <t>&lt;ruby&gt;汉字&lt;rt&gt;hànzì&lt;/rt&gt;&lt;/ruby&gt;</t>
  </si>
  <si>
    <t>hànzì</t>
  </si>
  <si>
    <t>Chữ Hán</t>
  </si>
  <si>
    <t>汉字很难。</t>
  </si>
  <si>
    <t>Hànzì hěn nán.</t>
  </si>
  <si>
    <t>Chữ Hán rất khó.</t>
  </si>
  <si>
    <t>H1_B14_BG_17.gif</t>
  </si>
  <si>
    <t>H1_B14_17.mp3</t>
  </si>
  <si>
    <t>H1_B14_VD_17.mp3</t>
  </si>
  <si>
    <t>明年</t>
  </si>
  <si>
    <t>&lt;ruby&gt;明年&lt;rt&gt;míngnián&lt;/rt&gt;&lt;/ruby&gt;</t>
  </si>
  <si>
    <t>míngnián</t>
  </si>
  <si>
    <t>Năm sau</t>
  </si>
  <si>
    <t>明年我去法国。</t>
  </si>
  <si>
    <t>Míngnián wǒ qù Fǎguó.</t>
  </si>
  <si>
    <t>Năm sau tôi đi Pháp.</t>
  </si>
  <si>
    <t>H1_B14_BG_18.gif</t>
  </si>
  <si>
    <t>H1_B14_18.mp3</t>
  </si>
  <si>
    <t>H1_B14_VD_18.mp3</t>
  </si>
  <si>
    <t>Bắt đầu làm gì đó ở thời điểm cố định</t>
  </si>
  <si>
    <t>我们上课。</t>
  </si>
  <si>
    <t>Wǒmen shàng kè.</t>
  </si>
  <si>
    <t>Chúng tôi bắt đầu học (lên lớp).</t>
  </si>
  <si>
    <t>H1_B14_BG_19.gif</t>
  </si>
  <si>
    <t>H1_B14_19.mp3</t>
  </si>
  <si>
    <t>H1_B14_VD_19.mp3</t>
  </si>
  <si>
    <t>中学</t>
  </si>
  <si>
    <t>&lt;ruby&gt;中学&lt;rt&gt;zhōngxué&lt;/rt&gt;&lt;/ruby&gt;</t>
  </si>
  <si>
    <t>zhōngxué</t>
  </si>
  <si>
    <t>Trường trung học cơ sở</t>
  </si>
  <si>
    <t>我弟弟上中学。</t>
  </si>
  <si>
    <t>Wǒ dìdi shàng zhōngxué.</t>
  </si>
  <si>
    <t>Em trai tôi học cấp hai.</t>
  </si>
  <si>
    <t>H1_B14_BG_20.gif</t>
  </si>
  <si>
    <t>H1_B14_20.mp3</t>
  </si>
  <si>
    <t>H1_B14_VD_20.mp3</t>
  </si>
  <si>
    <t>小学</t>
  </si>
  <si>
    <t>&lt;ruby&gt;小学&lt;rt&gt;xiǎoxué&lt;/rt&gt;&lt;/ruby&gt;</t>
  </si>
  <si>
    <t>xiǎoxué</t>
  </si>
  <si>
    <t>Trường tiểu học</t>
  </si>
  <si>
    <t>我女儿在小学读书。</t>
  </si>
  <si>
    <t>Wǒ nǚ'ér zài xiǎoxué dúshū.</t>
  </si>
  <si>
    <t>Con gái tôi học ở trường tiểu học.</t>
  </si>
  <si>
    <t>H1_B14_BG_21.gif</t>
  </si>
  <si>
    <t>H1_B14_21.mp3</t>
  </si>
  <si>
    <t>H1_B14_VD_21.mp3</t>
  </si>
  <si>
    <t>中学生</t>
  </si>
  <si>
    <t>&lt;ruby&gt;中学生&lt;rt&gt;zhōngxuéshēng&lt;/rt&gt;&lt;/ruby&gt;</t>
  </si>
  <si>
    <t>zhōngxuéshēng</t>
  </si>
  <si>
    <t>Học sinh trung học cơ sở</t>
  </si>
  <si>
    <t>他是一个中学生。</t>
  </si>
  <si>
    <t>Tā shì yī gè zhōngxuéshēng.</t>
  </si>
  <si>
    <t>Anh ấy là một học sinh cấp hai.</t>
  </si>
  <si>
    <t>H1_B14_BG_22.gif</t>
  </si>
  <si>
    <t>H1_B14_22.mp3</t>
  </si>
  <si>
    <t>H1_B14_VD_22.mp3</t>
  </si>
  <si>
    <t>小学生</t>
  </si>
  <si>
    <t>&lt;ruby&gt;小学生&lt;rt&gt;xiǎoxuéshēng&lt;/rt&gt;&lt;/ruby&gt;</t>
  </si>
  <si>
    <t>xiǎoxuéshēng</t>
  </si>
  <si>
    <t>Học sinh tiểu học</t>
  </si>
  <si>
    <t>这些是小学生。</t>
  </si>
  <si>
    <t>Zhèxiē shì xiǎoxuéshēng.</t>
  </si>
  <si>
    <t>Đây là những học sinh tiểu học.</t>
  </si>
  <si>
    <t>H1_B14_BG_23.gif</t>
  </si>
  <si>
    <t>H1_B14_23.mp3</t>
  </si>
  <si>
    <t>H1_B14_VD_23.mp3</t>
  </si>
  <si>
    <t>上学</t>
  </si>
  <si>
    <t>&lt;ruby&gt;上学&lt;rt&gt;shàngxué&lt;/rt&gt;&lt;/ruby&gt;</t>
  </si>
  <si>
    <t>shàngxué</t>
  </si>
  <si>
    <t>Đi học</t>
  </si>
  <si>
    <t>孩子们每天上学。</t>
  </si>
  <si>
    <t>Háizimen měitiān shàngxué.</t>
  </si>
  <si>
    <t>Bọn trẻ mỗi ngày đều đi học.</t>
  </si>
  <si>
    <t>H1_B14_BG_24.gif</t>
  </si>
  <si>
    <t>H1_B14_24.mp3</t>
  </si>
  <si>
    <t>H1_B14_VD_24.mp3</t>
  </si>
  <si>
    <t>他们</t>
  </si>
  <si>
    <t>&lt;ruby&gt;他们&lt;rt&gt;tāmen&lt;/rt&gt;&lt;/ruby&gt;</t>
  </si>
  <si>
    <t>tāmen</t>
  </si>
  <si>
    <t>Bọn họ, họ (dùng cho nam hoặc nam và nữ)</t>
  </si>
  <si>
    <t>他们是我的朋友。</t>
  </si>
  <si>
    <t>Tāmen shì wǒ de péngyou.</t>
  </si>
  <si>
    <t>Họ là bạn của tôi.</t>
  </si>
  <si>
    <t>H1_B14_BG_25.gif</t>
  </si>
  <si>
    <t>H1_B14_25.mp3</t>
  </si>
  <si>
    <t>H1_B14_VD_25.mp3</t>
  </si>
  <si>
    <t>她们</t>
  </si>
  <si>
    <t>&lt;ruby&gt;她们&lt;rt&gt;tāmen&lt;/rt&gt;&lt;/ruby&gt;</t>
  </si>
  <si>
    <t>Bọn họ, họ (dùng cho nữ)</t>
  </si>
  <si>
    <t>她们是中国人。</t>
  </si>
  <si>
    <t>Tāmen shì Zhōngguó rén.</t>
  </si>
  <si>
    <t>Họ là người Trung Quốc.</t>
  </si>
  <si>
    <t>H1_B14_BG_26.gif</t>
  </si>
  <si>
    <t>H1_B14_26.mp3</t>
  </si>
  <si>
    <t>H1_B14_VD_26.mp3</t>
  </si>
  <si>
    <t>它们</t>
  </si>
  <si>
    <t>&lt;ruby&gt;它们&lt;rt&gt;tāmen&lt;/rt&gt;&lt;/ruby&gt;</t>
  </si>
  <si>
    <t>Chúng (cho động vật/vật)</t>
  </si>
  <si>
    <t>它们是猫。</t>
  </si>
  <si>
    <t>Tāmen shì māo.</t>
  </si>
  <si>
    <t>Chúng là những con mèo.</t>
  </si>
  <si>
    <t>H1_B14_BG_27.gif</t>
  </si>
  <si>
    <t>H1_B14_27.mp3</t>
  </si>
  <si>
    <t>H1_B14_VD_27.mp3</t>
  </si>
  <si>
    <t>晚</t>
  </si>
  <si>
    <t>&lt;ruby&gt;晚&lt;rt&gt;wǎn&lt;/rt&gt;&lt;/ruby&gt;</t>
  </si>
  <si>
    <t>wǎn</t>
  </si>
  <si>
    <t>Muộn</t>
  </si>
  <si>
    <t>我来晚了。</t>
  </si>
  <si>
    <t>Wǒ lái wǎn le.</t>
  </si>
  <si>
    <t>Tôi đến muộn rồi.</t>
  </si>
  <si>
    <t>H1_B14_BG_28.gif</t>
  </si>
  <si>
    <t>H1_B14_28.mp3</t>
  </si>
  <si>
    <t>H1_B14_VD_28.mp3</t>
  </si>
  <si>
    <t>爱</t>
  </si>
  <si>
    <t>&lt;ruby&gt;爱&lt;rt&gt;ài&lt;/rt&gt;&lt;/ruby&gt;</t>
  </si>
  <si>
    <t>ài</t>
  </si>
  <si>
    <t>Yêu, thích</t>
  </si>
  <si>
    <t>她很爱她的妈妈。</t>
  </si>
  <si>
    <t>Tā hěn ài tā de māma.</t>
  </si>
  <si>
    <t>Cô ấy rất yêu mẹ của mình.</t>
  </si>
  <si>
    <t>H1_B15_BG_1.gif</t>
  </si>
  <si>
    <t>H1_B15_1.mp3</t>
  </si>
  <si>
    <t>H1_B15_VD_1.mp3</t>
  </si>
  <si>
    <t>哪个</t>
  </si>
  <si>
    <t>&lt;ruby&gt;哪个&lt;rt&gt;nǎge&lt;/rt&gt;&lt;/ruby&gt;</t>
  </si>
  <si>
    <t>nǎge</t>
  </si>
  <si>
    <t>Cái nào, người nào</t>
  </si>
  <si>
    <t>哪个是你的杯子？</t>
  </si>
  <si>
    <t>Nǎge shì nǐ de bēizi?</t>
  </si>
  <si>
    <t>Cái nào là cốc của bạn?</t>
  </si>
  <si>
    <t>H1_B15_BG_2.gif</t>
  </si>
  <si>
    <t>H1_B15_2.mp3</t>
  </si>
  <si>
    <t>H1_B15_VD_2.mp3</t>
  </si>
  <si>
    <t>698a9a10c2421e43ed0a0e0c</t>
  </si>
  <si>
    <t>去年</t>
  </si>
  <si>
    <t>&lt;ruby&gt;去年&lt;rt&gt;qùnián&lt;/rt&gt;&lt;/ruby&gt;</t>
  </si>
  <si>
    <t>qùnián</t>
  </si>
  <si>
    <t>năm ngoái</t>
  </si>
  <si>
    <t>去年我家去旅游了。</t>
  </si>
  <si>
    <t>Qùnián wǒ jiā qù lǚyóu le.</t>
  </si>
  <si>
    <t>Năm ngoái gia đình tôi vừa đi du lịch</t>
  </si>
  <si>
    <t>H1_B15_BG_3.gif</t>
  </si>
  <si>
    <t>H1_B15_3.mp3</t>
  </si>
  <si>
    <t>H1_B15_VD_3.mp3</t>
  </si>
  <si>
    <t>男朋友</t>
  </si>
  <si>
    <t>&lt;ruby&gt;男朋友&lt;rt&gt;nán péngyou&lt;/rt&gt;&lt;/ruby&gt;</t>
  </si>
  <si>
    <t>nán péngyou</t>
  </si>
  <si>
    <t>Bạn trai</t>
  </si>
  <si>
    <t>她的男朋友是医生。</t>
  </si>
  <si>
    <t>Tā de nán péngyou shì yīshēng.</t>
  </si>
  <si>
    <t>Bạn trai của cô ấy là bác sĩ.</t>
  </si>
  <si>
    <t>H1_B15_BG_4.gif</t>
  </si>
  <si>
    <t>H1_B15_4.mp3</t>
  </si>
  <si>
    <t>H1_B15_VD_4.mp3</t>
  </si>
  <si>
    <t>H1_B15_BG_5.gif</t>
  </si>
  <si>
    <t>H1_B15_5.mp3</t>
  </si>
  <si>
    <t>H1_B15_VD_5.mp3</t>
  </si>
  <si>
    <t>年</t>
  </si>
  <si>
    <t>&lt;ruby&gt;年&lt;rt&gt;nián&lt;/rt&gt;&lt;/ruby&gt;</t>
  </si>
  <si>
    <t>nián</t>
  </si>
  <si>
    <t>Năm</t>
  </si>
  <si>
    <t>新年快乐！</t>
  </si>
  <si>
    <t>Xīnnián kuàilè!</t>
  </si>
  <si>
    <t>Năm mới vui vẻ!</t>
  </si>
  <si>
    <t>H1_B15_BG_6.gif</t>
  </si>
  <si>
    <t>H1_B15_6.mp3</t>
  </si>
  <si>
    <t>H1_B15_VD_6.mp3</t>
  </si>
  <si>
    <t>好玩儿</t>
  </si>
  <si>
    <t>&lt;ruby&gt;好玩儿&lt;rt&gt;hǎowánr&lt;/rt&gt;&lt;/ruby&gt;</t>
  </si>
  <si>
    <t>hǎowánr</t>
  </si>
  <si>
    <t>Vui, thú vị</t>
  </si>
  <si>
    <t>这个游戏好玩儿。</t>
  </si>
  <si>
    <t>Zhège yóuxì hǎowánr.</t>
  </si>
  <si>
    <t>Trò chơi này thú vị.</t>
  </si>
  <si>
    <t>H1_B15_BG_7.gif</t>
  </si>
  <si>
    <t>H1_B15_7.mp3</t>
  </si>
  <si>
    <t>H1_B15_VD_7.mp3</t>
  </si>
  <si>
    <t>飞机</t>
  </si>
  <si>
    <t>&lt;ruby&gt;飞机&lt;rt&gt;fēijī&lt;/rt&gt;&lt;/ruby&gt;</t>
  </si>
  <si>
    <t>fēijī</t>
  </si>
  <si>
    <t>Máy bay</t>
  </si>
  <si>
    <t>我坐飞机去上海。</t>
  </si>
  <si>
    <t>Wǒ zuò fēijī qù Shànghǎi.</t>
  </si>
  <si>
    <t>Tôi đi máy bay đến Thượng Hải.</t>
  </si>
  <si>
    <t>H1_B15_BG_8.gif</t>
  </si>
  <si>
    <t>H1_B15_8.mp3</t>
  </si>
  <si>
    <t>H1_B15_VD_8.mp3</t>
  </si>
  <si>
    <t>H1_B15_BG_9.gif</t>
  </si>
  <si>
    <t>H1_B15_9.mp3</t>
  </si>
  <si>
    <t>H1_B15_VD_9.mp3</t>
  </si>
  <si>
    <t>小时</t>
  </si>
  <si>
    <t>&lt;ruby&gt;小时&lt;rt&gt;xiǎoshí&lt;/rt&gt;&lt;/ruby&gt;</t>
  </si>
  <si>
    <t>xiǎoshí</t>
  </si>
  <si>
    <t>giờ (đồng hồ)</t>
  </si>
  <si>
    <t>会议持续了一个小时。</t>
  </si>
  <si>
    <t>Huìyì chíxù le yī gè xiǎoshí.</t>
  </si>
  <si>
    <t>Cuộc họp kéo dài một tiếng đồng hồ.</t>
  </si>
  <si>
    <t>H1_B15_BG_10.gif</t>
  </si>
  <si>
    <t>H1_B15_10.mp3</t>
  </si>
  <si>
    <t>H1_B15_VD_10.mp3</t>
  </si>
  <si>
    <t>家人</t>
  </si>
  <si>
    <t>&lt;ruby&gt;家人&lt;rt&gt;jiārén&lt;/rt&gt;&lt;/ruby&gt;</t>
  </si>
  <si>
    <t>jiārén</t>
  </si>
  <si>
    <t>Gia đình, người nhà</t>
  </si>
  <si>
    <t>我和我的家人吃饭。</t>
  </si>
  <si>
    <t>Wǒ hé wǒ de jiārén chī fàn.</t>
  </si>
  <si>
    <t>Tôi và gia đình tôi ăn cơm.</t>
  </si>
  <si>
    <t>H1_B15_BG_11.gif</t>
  </si>
  <si>
    <t>H1_B15_11.mp3</t>
  </si>
  <si>
    <t>H1_B15_VD_11.mp3</t>
  </si>
  <si>
    <t>时间</t>
  </si>
  <si>
    <t>&lt;ruby&gt;时间&lt;rt&gt;shíjiān&lt;/rt&gt;&lt;/ruby&gt;</t>
  </si>
  <si>
    <t>shíjiān</t>
  </si>
  <si>
    <t>thời gian</t>
  </si>
  <si>
    <t>你有时间陪我去图书馆吗？</t>
  </si>
  <si>
    <t>Nǐ yǒu shíjiān péi wǒ qù túshūguǎn ma?</t>
  </si>
  <si>
    <t>Bạn có thời gian để đi thư viện với tôi không?</t>
  </si>
  <si>
    <t>H1_B15_BG_12.gif</t>
  </si>
  <si>
    <t>H1_B15_12.mp3</t>
  </si>
  <si>
    <t>H1_B15_VD_12.mp3</t>
  </si>
  <si>
    <t>机场</t>
  </si>
  <si>
    <t>&lt;ruby&gt;机场&lt;rt&gt;jīchǎng&lt;/rt&gt;&lt;/ruby&gt;</t>
  </si>
  <si>
    <t>jīchǎng</t>
  </si>
  <si>
    <t>sân bay</t>
  </si>
  <si>
    <t>我及时到达了机场办理手续。</t>
  </si>
  <si>
    <t>Wǒ jíshí dàodá le jīchǎng bànlǐ shǒuxù.</t>
  </si>
  <si>
    <t>Tôi đã đến sân bay kịp giờ để xử lý thủ tục.</t>
  </si>
  <si>
    <t>H1_B15_BG_13.gif</t>
  </si>
  <si>
    <t>H1_B15_13.mp3</t>
  </si>
  <si>
    <t>H1_B15_VD_13.mp3</t>
  </si>
  <si>
    <t>接</t>
  </si>
  <si>
    <t>&lt;ruby&gt;接&lt;rt&gt;jiē&lt;/rt&gt;&lt;/ruby&gt;</t>
  </si>
  <si>
    <t>jiē</t>
  </si>
  <si>
    <t>nhận, nghe/trả lời (điện thoại)</t>
  </si>
  <si>
    <t>等一下，我接个电话。</t>
  </si>
  <si>
    <t>Děng yíxià, wǒ jiē gè diànhuà.</t>
  </si>
  <si>
    <t>Đợi một chút, tôi nghe điện thoại đã.</t>
  </si>
  <si>
    <t>H1_B15_BG_14.gif</t>
  </si>
  <si>
    <t>H1_B15_14.mp3</t>
  </si>
  <si>
    <t>H1_B15_VD_14.mp3</t>
  </si>
  <si>
    <t>住</t>
  </si>
  <si>
    <t>&lt;ruby&gt;住&lt;rt&gt;zhù&lt;/rt&gt;&lt;/ruby&gt;</t>
  </si>
  <si>
    <t>zhù</t>
  </si>
  <si>
    <t>Ở, sống</t>
  </si>
  <si>
    <t>她住在这儿。</t>
  </si>
  <si>
    <t>Tā zhù zài zhèr.</t>
  </si>
  <si>
    <t>Cô ấy sống ở đây.</t>
  </si>
  <si>
    <t>H1_B15_BG_15.gif</t>
  </si>
  <si>
    <t>H1_B15_15.mp3</t>
  </si>
  <si>
    <t>H1_B15_VD_15.mp3</t>
  </si>
  <si>
    <t>早</t>
  </si>
  <si>
    <t>&lt;ruby&gt;早&lt;rt&gt;zǎo&lt;/rt&gt;&lt;/ruby&gt;</t>
  </si>
  <si>
    <t>zǎo</t>
  </si>
  <si>
    <t>Sớm</t>
  </si>
  <si>
    <t>今天我很早起床。</t>
  </si>
  <si>
    <t>Jīntiān wǒ hěn zǎo qǐchuáng.</t>
  </si>
  <si>
    <t>H1_B15_BG_16.gif</t>
  </si>
  <si>
    <t>H1_B15_16.mp3</t>
  </si>
  <si>
    <t>H1_B15_VD_16.mp3</t>
  </si>
  <si>
    <t>H1_B15_BG_17.gif</t>
  </si>
  <si>
    <t>H1_B15_17.mp3</t>
  </si>
  <si>
    <t>H1_B15_VD_17.mp3</t>
  </si>
  <si>
    <t>HTML</t>
  </si>
  <si>
    <t>就</t>
  </si>
  <si>
    <t>&lt;ruby&gt;就&lt;rt&gt;jiù&lt;/rt&gt;&lt;/ruby&gt;</t>
  </si>
  <si>
    <t>jiù</t>
  </si>
  <si>
    <t>Ngay / liền / chính</t>
  </si>
  <si>
    <r>
      <rPr>
        <sz val="11"/>
        <color theme="1"/>
        <rFont val="Calibri"/>
      </rPr>
      <t>电影马上</t>
    </r>
    <r>
      <rPr>
        <b/>
        <sz val="11"/>
        <color theme="1"/>
        <rFont val="Calibri"/>
      </rPr>
      <t>就</t>
    </r>
    <r>
      <rPr>
        <sz val="11"/>
        <color theme="1"/>
        <rFont val="Calibri"/>
      </rPr>
      <t>要开始了。</t>
    </r>
  </si>
  <si>
    <t>Diànyǐng mǎshàng jiù yào kāishǐ le.</t>
  </si>
  <si>
    <t>Bộ phim sắp bắt đầu ngay bây giờ.</t>
  </si>
  <si>
    <t>H2_B1_BG_1.gif</t>
  </si>
  <si>
    <t>H2_B1_1.mp3</t>
  </si>
  <si>
    <t>H2_B1_VD_1.mp3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</si>
  <si>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给</t>
    </r>
    <r>
      <rPr>
        <sz val="11"/>
        <color theme="1"/>
        <rFont val="Calibri"/>
      </rPr>
      <t>我一本书。</t>
    </r>
  </si>
  <si>
    <t>H2_B1_BG_2.gif</t>
  </si>
  <si>
    <t>H2_B1_2.mp3</t>
  </si>
  <si>
    <t>H2_B1_VD_2.mp3</t>
  </si>
  <si>
    <t>69dc954cb42c118bf1370c24</t>
  </si>
  <si>
    <t>让</t>
  </si>
  <si>
    <t>&lt;ruby&gt;让&lt;rt&gt;ràng&lt;/rt&gt;&lt;/ruby&gt;</t>
  </si>
  <si>
    <t>ràng</t>
  </si>
  <si>
    <t>Để, bảo</t>
  </si>
  <si>
    <r>
      <rPr>
        <sz val="11"/>
        <color theme="1"/>
        <rFont val="Calibri"/>
      </rPr>
      <t>老师</t>
    </r>
    <r>
      <rPr>
        <b/>
        <sz val="11"/>
        <color theme="1"/>
        <rFont val="Calibri"/>
      </rPr>
      <t>让</t>
    </r>
    <r>
      <rPr>
        <sz val="11"/>
        <color theme="1"/>
        <rFont val="Calibri"/>
      </rPr>
      <t>我去办公室。</t>
    </r>
  </si>
  <si>
    <t>Lǎoshī ràng wǒ qù bàngōngshì.</t>
  </si>
  <si>
    <t>Thầy giáo bảo tôi đến văn phòng.</t>
  </si>
  <si>
    <t>H2_B1_BG_3.gif</t>
  </si>
  <si>
    <t>H2_B1_3.mp3</t>
  </si>
  <si>
    <t>H2_B1_VD_3.mp3</t>
  </si>
  <si>
    <t>Nhận, nghe/trả lời (điện thoại)</t>
  </si>
  <si>
    <r>
      <rPr>
        <sz val="11"/>
        <color theme="1"/>
        <rFont val="Calibri"/>
      </rPr>
      <t>等一下，我</t>
    </r>
    <r>
      <rPr>
        <b/>
        <sz val="11"/>
        <color theme="1"/>
        <rFont val="Calibri"/>
      </rPr>
      <t>接</t>
    </r>
    <r>
      <rPr>
        <sz val="11"/>
        <color theme="1"/>
        <rFont val="Calibri"/>
      </rPr>
      <t>个电话。</t>
    </r>
  </si>
  <si>
    <t>H2_B1_BG_4.gif</t>
  </si>
  <si>
    <t>H2_B1_4.mp3</t>
  </si>
  <si>
    <t>H2_B1_VD_4.mp3</t>
  </si>
  <si>
    <t>次</t>
  </si>
  <si>
    <t>&lt;ruby&gt;次&lt;rt&gt;cì&lt;/rt&gt;&lt;/ruby&gt;</t>
  </si>
  <si>
    <t>cì</t>
  </si>
  <si>
    <t>Lần</t>
  </si>
  <si>
    <r>
      <rPr>
        <sz val="11"/>
        <color theme="1"/>
        <rFont val="Calibri"/>
      </rPr>
      <t>这</t>
    </r>
    <r>
      <rPr>
        <b/>
        <sz val="11"/>
        <color theme="1"/>
        <rFont val="Calibri"/>
      </rPr>
      <t>次</t>
    </r>
    <r>
      <rPr>
        <sz val="11"/>
        <color theme="1"/>
        <rFont val="Calibri"/>
      </rPr>
      <t>考试，他是第一名。</t>
    </r>
  </si>
  <si>
    <t>Zhè cì kǎoshì, tā shì dì yī míng.</t>
  </si>
  <si>
    <t>Kỳ thi lần này, cậu ấy đứng thứ nhất.</t>
  </si>
  <si>
    <t>H2_B1_BG_5.gif</t>
  </si>
  <si>
    <t>H2_B1_5.mp3</t>
  </si>
  <si>
    <t>H2_B1_VD_5.mp3</t>
  </si>
  <si>
    <t>旅游</t>
  </si>
  <si>
    <t>&lt;ruby&gt;旅游&lt;rt&gt;lǚyóu&lt;/rt&gt;&lt;/ruby&gt;</t>
  </si>
  <si>
    <t>lǚyóu</t>
  </si>
  <si>
    <t>Du lịch</t>
  </si>
  <si>
    <r>
      <rPr>
        <sz val="11"/>
        <color theme="1"/>
        <rFont val="Calibri"/>
      </rPr>
      <t>他们一家准备去</t>
    </r>
    <r>
      <rPr>
        <b/>
        <sz val="11"/>
        <color theme="1"/>
        <rFont val="Calibri"/>
      </rPr>
      <t>旅游</t>
    </r>
    <r>
      <rPr>
        <sz val="11"/>
        <color theme="1"/>
        <rFont val="Calibri"/>
      </rPr>
      <t>。</t>
    </r>
  </si>
  <si>
    <t>Tāmen yìjiā zhǔnbèi qù lǚyóu.</t>
  </si>
  <si>
    <t>Gia đình họ chuẩn bị đi du lịch.</t>
  </si>
  <si>
    <t>H2_B1_BG_6.gif</t>
  </si>
  <si>
    <t>H2_B1_6.mp3</t>
  </si>
  <si>
    <t>H2_B1_VD_6.mp3</t>
  </si>
  <si>
    <t>帮忙</t>
  </si>
  <si>
    <t>&lt;ruby&gt;帮忙&lt;rt&gt;bāng máng&lt;/rt&gt;&lt;/ruby&gt;</t>
  </si>
  <si>
    <t>bāng máng</t>
  </si>
  <si>
    <t>Giúp đỡ</t>
  </si>
  <si>
    <r>
      <rPr>
        <sz val="11"/>
        <color theme="1"/>
        <rFont val="Calibri"/>
      </rPr>
      <t>小女孩</t>
    </r>
    <r>
      <rPr>
        <b/>
        <sz val="11"/>
        <color theme="1"/>
        <rFont val="Calibri"/>
      </rPr>
      <t>帮忙</t>
    </r>
    <r>
      <rPr>
        <sz val="11"/>
        <color theme="1"/>
        <rFont val="Calibri"/>
      </rPr>
      <t>老太太过马路。</t>
    </r>
  </si>
  <si>
    <t>Xiǎo nǚhái bāngmáng lǎotàitai guò mǎlù.</t>
  </si>
  <si>
    <t>Cô bé giúp bà lão qua đường.</t>
  </si>
  <si>
    <t>H2_B1_BG_7.gif</t>
  </si>
  <si>
    <t>H2_B1_7.mp3</t>
  </si>
  <si>
    <t>H2_B1_VD_7.mp3</t>
  </si>
  <si>
    <t>不好意思</t>
  </si>
  <si>
    <t>&lt;ruby&gt;不好意思&lt;rt&gt;bù hǎoyìsi&lt;/rt&gt;&lt;/ruby&gt;</t>
  </si>
  <si>
    <t>bù hǎoyìsi</t>
  </si>
  <si>
    <r>
      <rPr>
        <b/>
        <sz val="11"/>
        <color theme="1"/>
        <rFont val="Calibri"/>
      </rPr>
      <t>不好意思</t>
    </r>
    <r>
      <rPr>
        <sz val="11"/>
        <color theme="1"/>
        <rFont val="Calibri"/>
      </rPr>
      <t>，让你久等了。</t>
    </r>
  </si>
  <si>
    <t>Bù hǎoyìsi, ràng nǐ jiǔ děng le.</t>
  </si>
  <si>
    <t>Ngại quá, để bạn phải đợi lâu rồi.</t>
  </si>
  <si>
    <t>H2_B1_BG_8.gif</t>
  </si>
  <si>
    <t>H2_B1_8.mp3</t>
  </si>
  <si>
    <t>H2_B1_VD_8.mp3</t>
  </si>
  <si>
    <t>已经</t>
  </si>
  <si>
    <t>&lt;ruby&gt;已经&lt;rt&gt;yǐjīng&lt;/rt&gt;&lt;/ruby&gt;</t>
  </si>
  <si>
    <t>yǐjīng</t>
  </si>
  <si>
    <t>Đã</t>
  </si>
  <si>
    <r>
      <rPr>
        <sz val="11"/>
        <color theme="1"/>
        <rFont val="Calibri"/>
      </rPr>
      <t>太阳</t>
    </r>
    <r>
      <rPr>
        <b/>
        <sz val="11"/>
        <color theme="1"/>
        <rFont val="Calibri"/>
      </rPr>
      <t>已经</t>
    </r>
    <r>
      <rPr>
        <sz val="11"/>
        <color theme="1"/>
        <rFont val="Calibri"/>
      </rPr>
      <t>下山了。</t>
    </r>
  </si>
  <si>
    <t>Tàiyáng yǐjīng xiàshān le.</t>
  </si>
  <si>
    <t>Mặt trời đã lặn rồi.</t>
  </si>
  <si>
    <t>H2_B1_BG_9.gif</t>
  </si>
  <si>
    <t>H2_B1_9.mp3</t>
  </si>
  <si>
    <t>H2_B1_VD_9.mp3</t>
  </si>
  <si>
    <r>
      <rPr>
        <b/>
        <sz val="11"/>
        <color theme="1"/>
        <rFont val="Calibri"/>
      </rPr>
      <t>那</t>
    </r>
    <r>
      <rPr>
        <sz val="11"/>
        <color theme="1"/>
        <rFont val="Calibri"/>
      </rPr>
      <t>棵树是什么树？</t>
    </r>
  </si>
  <si>
    <t>H2_B1_BG_10.gif</t>
  </si>
  <si>
    <t>H2_B1_10.mp3</t>
  </si>
  <si>
    <t>H2_B1_VD_10.mp3</t>
  </si>
  <si>
    <t>介绍</t>
  </si>
  <si>
    <t>&lt;ruby&gt;介绍&lt;rt&gt;jièshào&lt;/rt&gt;&lt;/ruby&gt;</t>
  </si>
  <si>
    <t>jièshào</t>
  </si>
  <si>
    <t>Giới thiệu</t>
  </si>
  <si>
    <r>
      <rPr>
        <sz val="11"/>
        <color theme="1"/>
        <rFont val="Calibri"/>
      </rPr>
      <t>我来</t>
    </r>
    <r>
      <rPr>
        <b/>
        <sz val="11"/>
        <color theme="1"/>
        <rFont val="Calibri"/>
      </rPr>
      <t>介绍</t>
    </r>
    <r>
      <rPr>
        <sz val="11"/>
        <color theme="1"/>
        <rFont val="Calibri"/>
      </rPr>
      <t>一下我的朋友吧。</t>
    </r>
  </si>
  <si>
    <t>Wǒ lái jièshào yíxià wǒ de péngyǒu ba.</t>
  </si>
  <si>
    <t>Tôi giới thiệu chút về bạn của tôi.</t>
  </si>
  <si>
    <t>H2_B1_BG_11.gif</t>
  </si>
  <si>
    <t>H2_B1_11.mp3</t>
  </si>
  <si>
    <t>H2_B1_VD_11.mp3</t>
  </si>
  <si>
    <t>有时</t>
  </si>
  <si>
    <t>&lt;ruby&gt;有时&lt;rt&gt;yǒu shí&lt;/rt&gt;&lt;/ruby&gt;</t>
  </si>
  <si>
    <t>yǒu shí</t>
  </si>
  <si>
    <t>Có đôi lúc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</si>
  <si>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有时</t>
    </r>
    <r>
      <rPr>
        <sz val="11"/>
        <color theme="1"/>
        <rFont val="Calibri"/>
      </rPr>
      <t>会感到孤独。</t>
    </r>
  </si>
  <si>
    <t>Wǒ yǒushí huì gǎndào gūdú.</t>
  </si>
  <si>
    <t>Tôi có đôi lúc cảm thấy cô đơn.</t>
  </si>
  <si>
    <t>H2_B1_BG_12.gif</t>
  </si>
  <si>
    <t>H2_B1_12.mp3</t>
  </si>
  <si>
    <t>H2_B1_VD_12.mp3</t>
  </si>
  <si>
    <t>懂</t>
  </si>
  <si>
    <t>&lt;ruby&gt;懂&lt;rt&gt;dǒng&lt;/rt&gt;&lt;/ruby&gt;</t>
  </si>
  <si>
    <t>dǒng</t>
  </si>
  <si>
    <t>Hiểu, biết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</si>
  <si>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懂</t>
    </r>
    <r>
      <rPr>
        <sz val="11"/>
        <color theme="1"/>
        <rFont val="Calibri"/>
      </rPr>
      <t>老师说的话了。</t>
    </r>
  </si>
  <si>
    <t>Wǒ dǒng lǎoshī shuō de huà le.</t>
  </si>
  <si>
    <t>Tôi đã hiểu lời cô giáo nói.</t>
  </si>
  <si>
    <t>H2_B1_BG_13.gif</t>
  </si>
  <si>
    <t>H2_B1_13.mp3</t>
  </si>
  <si>
    <t>H2_B1_VD_13.mp3</t>
  </si>
  <si>
    <t>意思</t>
  </si>
  <si>
    <t>&lt;ruby&gt;意思&lt;rt&gt;yìsi&lt;/rt&gt;&lt;/ruby&gt;</t>
  </si>
  <si>
    <t>yìsi</t>
  </si>
  <si>
    <t>Nghĩa, ý nghĩa</t>
  </si>
  <si>
    <r>
      <rPr>
        <sz val="11"/>
        <color theme="1"/>
        <rFont val="Calibri"/>
      </rPr>
      <t>这个汉字的</t>
    </r>
    <r>
      <rPr>
        <b/>
        <sz val="11"/>
        <color theme="1"/>
        <rFont val="Calibri"/>
      </rPr>
      <t>意思</t>
    </r>
    <r>
      <rPr>
        <sz val="11"/>
        <color theme="1"/>
        <rFont val="Calibri"/>
      </rPr>
      <t>是什么？</t>
    </r>
  </si>
  <si>
    <t>Zhège hànzì de yìsi shì shénme?</t>
  </si>
  <si>
    <t>Nghĩa của chữ hán này là gì?</t>
  </si>
  <si>
    <t>H2_B1_BG_14.gif</t>
  </si>
  <si>
    <t>H2_B1_14.mp3</t>
  </si>
  <si>
    <t>H2_B1_VD_14.mp3</t>
  </si>
  <si>
    <t>北京烤鸭</t>
  </si>
  <si>
    <t>&lt;ruby&gt;北京烤鸭&lt;rt&gt;běi jīng kǎo yā&lt;/rt&gt;&lt;/ruby&gt;</t>
  </si>
  <si>
    <t>běi jīng kǎo yā</t>
  </si>
  <si>
    <t>Tên riêng</t>
  </si>
  <si>
    <t>Vịt quay Bắc Kinh</t>
  </si>
  <si>
    <r>
      <rPr>
        <sz val="11"/>
        <color theme="1"/>
        <rFont val="Calibri"/>
      </rPr>
      <t>我们去吃</t>
    </r>
    <r>
      <rPr>
        <b/>
        <sz val="11"/>
        <color theme="1"/>
        <rFont val="Calibri"/>
      </rPr>
      <t>北京烤鸭</t>
    </r>
    <r>
      <rPr>
        <sz val="11"/>
        <color theme="1"/>
        <rFont val="Calibri"/>
      </rPr>
      <t>吧！</t>
    </r>
  </si>
  <si>
    <t>Wǒmen qù chī Běijīng kǎoyā ba!</t>
  </si>
  <si>
    <t>Chúng ta đi ăn vịt quay Bắc Kinh đi!</t>
  </si>
  <si>
    <t>H2_B1_BG_15.gif</t>
  </si>
  <si>
    <t>H2_B1_15.mp3</t>
  </si>
  <si>
    <t>H2_B1_VD_15.mp3</t>
  </si>
  <si>
    <t>公交车</t>
  </si>
  <si>
    <t>&lt;ruby&gt;公交车&lt;rt&gt;gōng jiāo chē&lt;/rt&gt;&lt;/ruby&gt;</t>
  </si>
  <si>
    <t>gōng jiāo chē</t>
  </si>
  <si>
    <t>Xe buýt</t>
  </si>
  <si>
    <r>
      <rPr>
        <sz val="11"/>
        <color theme="1"/>
        <rFont val="Calibri"/>
      </rPr>
      <t>我每天坐</t>
    </r>
    <r>
      <rPr>
        <b/>
        <sz val="11"/>
        <color theme="1"/>
        <rFont val="Calibri"/>
      </rPr>
      <t>公交车</t>
    </r>
    <r>
      <rPr>
        <sz val="11"/>
        <color theme="1"/>
        <rFont val="Calibri"/>
      </rPr>
      <t>上学。</t>
    </r>
  </si>
  <si>
    <t>Wǒ měitiān zuò gōngjiāochē shàngxué.</t>
  </si>
  <si>
    <t>Hàng ngày tôi đi học bằng xe bus.</t>
  </si>
  <si>
    <t>H2_B2_BG_1.gif</t>
  </si>
  <si>
    <t>H2_B2_1.mp3</t>
  </si>
  <si>
    <t>H2_B2_VD_1.mp3</t>
  </si>
  <si>
    <t>但</t>
  </si>
  <si>
    <t>&lt;ruby&gt;但&lt;rt&gt;dàn&lt;/rt&gt;&lt;/ruby&gt;</t>
  </si>
  <si>
    <t>dàn</t>
  </si>
  <si>
    <t>Nhưng</t>
  </si>
  <si>
    <r>
      <rPr>
        <sz val="11"/>
        <color theme="1"/>
        <rFont val="Calibri"/>
      </rPr>
      <t>我想去，</t>
    </r>
    <r>
      <rPr>
        <b/>
        <sz val="11"/>
        <color theme="1"/>
        <rFont val="Calibri"/>
      </rPr>
      <t>但</t>
    </r>
    <r>
      <rPr>
        <sz val="11"/>
        <color theme="1"/>
        <rFont val="Calibri"/>
      </rPr>
      <t>我没有时间。</t>
    </r>
  </si>
  <si>
    <t>Wǒ xiǎng qù, dàn wǒ méiyǒu shíjiān.</t>
  </si>
  <si>
    <t>Tôi muốn đi, nhưng tôi không có thời gian.</t>
  </si>
  <si>
    <t>H2_B2_BG_2.gif</t>
  </si>
  <si>
    <t>H2_B2_2.mp3</t>
  </si>
  <si>
    <t>H2_B2_VD_2.mp3</t>
  </si>
  <si>
    <t>69dc954cb42c118bf1370c25</t>
  </si>
  <si>
    <t>车站</t>
  </si>
  <si>
    <t>&lt;ruby&gt;车站&lt;rt&gt;chē zhàn&lt;/rt&gt;&lt;/ruby&gt;</t>
  </si>
  <si>
    <t>chē zhàn</t>
  </si>
  <si>
    <t>Trạm dừng, bến xe</t>
  </si>
  <si>
    <r>
      <rPr>
        <sz val="11"/>
        <color theme="1"/>
        <rFont val="Calibri"/>
      </rPr>
      <t>我在</t>
    </r>
    <r>
      <rPr>
        <b/>
        <sz val="11"/>
        <color theme="1"/>
        <rFont val="Calibri"/>
      </rPr>
      <t>车站</t>
    </r>
    <r>
      <rPr>
        <sz val="11"/>
        <color theme="1"/>
        <rFont val="Calibri"/>
      </rPr>
      <t>等你。</t>
    </r>
  </si>
  <si>
    <t>Wǒ zài chēzhàn děng nǐ.</t>
  </si>
  <si>
    <t>Tôi đợi bạn ở trạm xe.</t>
  </si>
  <si>
    <t>H2_B2_BG_3.gif</t>
  </si>
  <si>
    <t>H2_B2_3.mp3</t>
  </si>
  <si>
    <t>H2_B2_VD_3.mp3</t>
  </si>
  <si>
    <t>远</t>
  </si>
  <si>
    <t>&lt;ruby&gt;远&lt;rt&gt;yuǎn&lt;/rt&gt;&lt;/ruby&gt;</t>
  </si>
  <si>
    <t>yuǎn</t>
  </si>
  <si>
    <t>Xa</t>
  </si>
  <si>
    <r>
      <rPr>
        <sz val="11"/>
        <color theme="1"/>
        <rFont val="Calibri"/>
      </rPr>
      <t>我家离学校很</t>
    </r>
    <r>
      <rPr>
        <b/>
        <sz val="11"/>
        <color theme="1"/>
        <rFont val="Calibri"/>
      </rPr>
      <t>远</t>
    </r>
    <r>
      <rPr>
        <sz val="11"/>
        <color theme="1"/>
        <rFont val="Calibri"/>
      </rPr>
      <t>。</t>
    </r>
  </si>
  <si>
    <t>Wǒ jiā lí xuéxiào hěn yuǎn.</t>
  </si>
  <si>
    <t>Nhà tôi cách trường rất xa.</t>
  </si>
  <si>
    <t>H2_B2_BG_4.gif</t>
  </si>
  <si>
    <t>H2_B2_4.mp3</t>
  </si>
  <si>
    <t>H2_B2_VD_4.mp3</t>
  </si>
  <si>
    <t>打车</t>
  </si>
  <si>
    <t>&lt;ruby&gt;打车&lt;rt&gt;dǎ chē&lt;/rt&gt;&lt;/ruby&gt;</t>
  </si>
  <si>
    <t>dǎ chē</t>
  </si>
  <si>
    <t>Gọi xe</t>
  </si>
  <si>
    <r>
      <rPr>
        <sz val="11"/>
        <color theme="1"/>
        <rFont val="Calibri"/>
      </rPr>
      <t>我需要</t>
    </r>
    <r>
      <rPr>
        <b/>
        <sz val="11"/>
        <color theme="1"/>
        <rFont val="Calibri"/>
      </rPr>
      <t>打车</t>
    </r>
    <r>
      <rPr>
        <sz val="11"/>
        <color theme="1"/>
        <rFont val="Calibri"/>
      </rPr>
      <t>去机场。</t>
    </r>
  </si>
  <si>
    <t>Wǒ xūyào dǎchē qù jīchǎng.</t>
  </si>
  <si>
    <t>Tôi cần gọi xe để đến sân bay.</t>
  </si>
  <si>
    <t>H2_B2_BG_5.gif</t>
  </si>
  <si>
    <t>H2_B2_5.mp3</t>
  </si>
  <si>
    <t>H2_B2_VD_5.mp3</t>
  </si>
  <si>
    <t>还是</t>
  </si>
  <si>
    <t>&lt;ruby&gt;还是&lt;rt&gt;háishì&lt;/rt&gt;&lt;/ruby&gt;</t>
  </si>
  <si>
    <t>háishì</t>
  </si>
  <si>
    <t>Hay là, vẫn</t>
  </si>
  <si>
    <r>
      <rPr>
        <sz val="11"/>
        <color theme="1"/>
        <rFont val="Calibri"/>
      </rPr>
      <t>你要咖啡</t>
    </r>
    <r>
      <rPr>
        <b/>
        <sz val="11"/>
        <color theme="1"/>
        <rFont val="Calibri"/>
      </rPr>
      <t>还是</t>
    </r>
    <r>
      <rPr>
        <sz val="11"/>
        <color theme="1"/>
        <rFont val="Calibri"/>
      </rPr>
      <t>茶？</t>
    </r>
  </si>
  <si>
    <t>Nǐ yào kāfēi háishì chá?</t>
  </si>
  <si>
    <t>Bạn muốn cà phê hay trà?</t>
  </si>
  <si>
    <t>H2_B2_BG_6.gif</t>
  </si>
  <si>
    <t>H2_B2_6.mp3</t>
  </si>
  <si>
    <t>H2_B2_VD_6.mp3</t>
  </si>
  <si>
    <t>北京大学</t>
  </si>
  <si>
    <t>&lt;ruby&gt;北京大学&lt;rt&gt;běi jīng dà xué&lt;/rt&gt;&lt;/ruby&gt;</t>
  </si>
  <si>
    <t>běi jīng dà xué</t>
  </si>
  <si>
    <t>Đại học Bắc Kinh</t>
  </si>
  <si>
    <r>
      <rPr>
        <sz val="11"/>
        <color theme="1"/>
        <rFont val="Calibri"/>
      </rPr>
      <t>我的梦想是考上</t>
    </r>
    <r>
      <rPr>
        <b/>
        <sz val="11"/>
        <color theme="1"/>
        <rFont val="Calibri"/>
      </rPr>
      <t>北京大学</t>
    </r>
    <r>
      <rPr>
        <sz val="11"/>
        <color theme="1"/>
        <rFont val="Calibri"/>
      </rPr>
      <t>。</t>
    </r>
  </si>
  <si>
    <t>Wǒ de mèngxiǎng shì kǎoshàng Běijīng Dàxué.</t>
  </si>
  <si>
    <t>Ước mơ của tôi là thi đỗ vào Đại học Bắc Kinh.</t>
  </si>
  <si>
    <t>H2_B2_BG_7.gif</t>
  </si>
  <si>
    <t>H2_B2_7.mp3</t>
  </si>
  <si>
    <t>H2_B2_VD_7.mp3</t>
  </si>
  <si>
    <t>啊</t>
  </si>
  <si>
    <t>&lt;ruby&gt;啊&lt;rt&gt;a&lt;/rt&gt;&lt;/ruby&gt;</t>
  </si>
  <si>
    <t>a</t>
  </si>
  <si>
    <t>A, ồ (thán từ)</t>
  </si>
  <si>
    <r>
      <rPr>
        <b/>
        <sz val="11"/>
        <color theme="1"/>
        <rFont val="Calibri"/>
      </rPr>
      <t>啊</t>
    </r>
    <r>
      <rPr>
        <sz val="11"/>
        <color theme="1"/>
        <rFont val="Calibri"/>
      </rPr>
      <t>！有一只猫在树上！</t>
    </r>
  </si>
  <si>
    <t>A! Yǒu yī zhī māo zài shù shàng!</t>
  </si>
  <si>
    <t>A! Có một con mèo trên cây!</t>
  </si>
  <si>
    <t>H2_B2_BG_8.gif</t>
  </si>
  <si>
    <t>H2_B2_8.mp3</t>
  </si>
  <si>
    <t>H2_B2_VD_8.mp3</t>
  </si>
  <si>
    <t xml:space="preserve">万 </t>
  </si>
  <si>
    <t>&lt;ruby&gt;万&lt;rt&gt;wàn&lt;/rt&gt;&lt;/ruby&gt;</t>
  </si>
  <si>
    <t>wàn</t>
  </si>
  <si>
    <t>Vạn (mười nghìn)</t>
  </si>
  <si>
    <r>
      <rPr>
        <sz val="11"/>
        <color theme="1"/>
        <rFont val="Calibri"/>
      </rPr>
      <t>这本书有十</t>
    </r>
    <r>
      <rPr>
        <b/>
        <sz val="11"/>
        <color theme="1"/>
        <rFont val="Calibri"/>
      </rPr>
      <t>万</t>
    </r>
    <r>
      <rPr>
        <sz val="11"/>
        <color theme="1"/>
        <rFont val="Calibri"/>
      </rPr>
      <t>字。</t>
    </r>
  </si>
  <si>
    <t>Zhè běn shū yǒu shí wàn zì.</t>
  </si>
  <si>
    <t>Quyển sách này có mười vạn chữ (một trăm nghìn chữ).</t>
  </si>
  <si>
    <t>H2_B2_BG_9.gif</t>
  </si>
  <si>
    <t>H2_B2_9.mp3</t>
  </si>
  <si>
    <t>H2_B2_VD_9.mp3</t>
  </si>
  <si>
    <t>名</t>
  </si>
  <si>
    <t>&lt;ruby&gt;名&lt;rt&gt;míng&lt;/rt&gt;&lt;/ruby&gt;</t>
  </si>
  <si>
    <t>míng</t>
  </si>
  <si>
    <t>Danh từ/ Lượng từ</t>
  </si>
  <si>
    <t>Tên/ số lượng người</t>
  </si>
  <si>
    <r>
      <rPr>
        <sz val="11"/>
        <color theme="1"/>
        <rFont val="Calibri"/>
      </rPr>
      <t>教室里有三</t>
    </r>
    <r>
      <rPr>
        <b/>
        <sz val="11"/>
        <color theme="1"/>
        <rFont val="Calibri"/>
      </rPr>
      <t>名</t>
    </r>
    <r>
      <rPr>
        <sz val="11"/>
        <color theme="1"/>
        <rFont val="Calibri"/>
      </rPr>
      <t>学生。</t>
    </r>
  </si>
  <si>
    <t>Jiàoshì lǐ yǒu sān míng xuésheng.</t>
  </si>
  <si>
    <t>Trong phòng học có ba học sinh.</t>
  </si>
  <si>
    <t>H2_B2_BG_10.gif</t>
  </si>
  <si>
    <t>H2_B2_10.mp3</t>
  </si>
  <si>
    <t>H2_B2_VD_10.mp3</t>
  </si>
  <si>
    <t>网上</t>
  </si>
  <si>
    <t>&lt;ruby&gt;网上&lt;rt&gt;wǎng shàng&lt;/rt&gt;&lt;/ruby&gt;</t>
  </si>
  <si>
    <t>wǎng shàng</t>
  </si>
  <si>
    <t>Trên mạng</t>
  </si>
  <si>
    <r>
      <rPr>
        <sz val="11"/>
        <color theme="1"/>
        <rFont val="Calibri"/>
      </rPr>
      <t>我喜欢在</t>
    </r>
    <r>
      <rPr>
        <b/>
        <sz val="11"/>
        <color theme="1"/>
        <rFont val="Calibri"/>
      </rPr>
      <t>网上</t>
    </r>
    <r>
      <rPr>
        <sz val="11"/>
        <color theme="1"/>
        <rFont val="Calibri"/>
      </rPr>
      <t>购物。</t>
    </r>
  </si>
  <si>
    <t>Wǒ xǐhuan zài wǎngshàng gòuwù.</t>
  </si>
  <si>
    <t>Tôi thích mua sắm trên mạng.</t>
  </si>
  <si>
    <t>H2_B2_BG_11.gif</t>
  </si>
  <si>
    <t>H2_B2_11.mp3</t>
  </si>
  <si>
    <t>H2_B2_VD_11.mp3</t>
  </si>
  <si>
    <t>外国</t>
  </si>
  <si>
    <t>&lt;ruby&gt;外国&lt;rt&gt;wài guó&lt;/rt&gt;&lt;/ruby&gt;</t>
  </si>
  <si>
    <t>wài guó</t>
  </si>
  <si>
    <t>Nước ngoài</t>
  </si>
  <si>
    <r>
      <rPr>
        <sz val="11"/>
        <color theme="1"/>
        <rFont val="Calibri"/>
      </rPr>
      <t>我想去</t>
    </r>
    <r>
      <rPr>
        <b/>
        <sz val="11"/>
        <color theme="1"/>
        <rFont val="Calibri"/>
      </rPr>
      <t>外国</t>
    </r>
    <r>
      <rPr>
        <sz val="11"/>
        <color theme="1"/>
        <rFont val="Calibri"/>
      </rPr>
      <t>旅游。</t>
    </r>
  </si>
  <si>
    <t>Wǒ xiǎng qù wàiguó lǚyóu.</t>
  </si>
  <si>
    <t>Tôi muốn đi du lịch nước ngoài.</t>
  </si>
  <si>
    <t>H2_B2_BG_12.gif</t>
  </si>
  <si>
    <t>H2_B2_12.mp3</t>
  </si>
  <si>
    <t>H2_B2_VD_12.mp3</t>
  </si>
  <si>
    <t>间</t>
  </si>
  <si>
    <t>&lt;ruby&gt;间&lt;rt&gt;jiàn&lt;/rt&gt;&lt;/ruby&gt;</t>
  </si>
  <si>
    <t>Dùng để đếm các căn phòng, không gian</t>
  </si>
  <si>
    <r>
      <rPr>
        <sz val="11"/>
        <color theme="1"/>
        <rFont val="Calibri"/>
      </rPr>
      <t>这</t>
    </r>
    <r>
      <rPr>
        <b/>
        <sz val="11"/>
        <color theme="1"/>
        <rFont val="Calibri"/>
      </rPr>
      <t>间</t>
    </r>
    <r>
      <rPr>
        <sz val="11"/>
        <color theme="1"/>
        <rFont val="Calibri"/>
      </rPr>
      <t>卧室很大。</t>
    </r>
  </si>
  <si>
    <t>Zhè jiān wòshì hěn dà.</t>
  </si>
  <si>
    <t>Phòng ngủ này rất lớn.</t>
  </si>
  <si>
    <t>H2_B2_BG_13.gif</t>
  </si>
  <si>
    <t>H2_B2_13.mp3</t>
  </si>
  <si>
    <t>H2_B2_VD_13.mp3</t>
  </si>
  <si>
    <t>教室</t>
  </si>
  <si>
    <t>&lt;ruby&gt;教室&lt;rt&gt;jiàoshì&lt;/rt&gt;&lt;/ruby&gt;</t>
  </si>
  <si>
    <t>jiàoshì</t>
  </si>
  <si>
    <t>Lớp học</t>
  </si>
  <si>
    <r>
      <rPr>
        <sz val="11"/>
        <color theme="1"/>
        <rFont val="Calibri"/>
      </rPr>
      <t>学生们已经离开了</t>
    </r>
    <r>
      <rPr>
        <b/>
        <sz val="11"/>
        <color theme="1"/>
        <rFont val="Calibri"/>
      </rPr>
      <t>教室</t>
    </r>
    <r>
      <rPr>
        <sz val="11"/>
        <color theme="1"/>
        <rFont val="Calibri"/>
      </rPr>
      <t>。</t>
    </r>
  </si>
  <si>
    <t>Xuéshēngmen yǐjīng líkāi le jiàoshì.</t>
  </si>
  <si>
    <t>Các học sinh đã rời khỏi phòng học rồi.</t>
  </si>
  <si>
    <t>H2_B2_BG_14.gif</t>
  </si>
  <si>
    <t>H2_B2_14.mp3</t>
  </si>
  <si>
    <t>H2_B2_VD_14.mp3</t>
  </si>
  <si>
    <t>票</t>
  </si>
  <si>
    <t>&lt;ruby&gt;票&lt;rt&gt;piào&lt;/rt&gt;&lt;/ruby&gt;</t>
  </si>
  <si>
    <t>piào</t>
  </si>
  <si>
    <t>Vé</t>
  </si>
  <si>
    <r>
      <rPr>
        <sz val="11"/>
        <color theme="1"/>
        <rFont val="Calibri"/>
      </rPr>
      <t>我买了两张今晚的电影</t>
    </r>
    <r>
      <rPr>
        <b/>
        <sz val="11"/>
        <color theme="1"/>
        <rFont val="Calibri"/>
      </rPr>
      <t>票</t>
    </r>
    <r>
      <rPr>
        <sz val="11"/>
        <color theme="1"/>
        <rFont val="Calibri"/>
      </rPr>
      <t>。</t>
    </r>
  </si>
  <si>
    <t>Wǒ mǎi le liǎng zhāng jīnwǎn de diànyǐng piào.</t>
  </si>
  <si>
    <t>Tôi mua 2 vé xem phim tối nay rồi.</t>
  </si>
  <si>
    <t>H2_B2_BG_15.gif</t>
  </si>
  <si>
    <t>H2_B2_15.mp3</t>
  </si>
  <si>
    <t>H2_B2_VD_15.mp3</t>
  </si>
  <si>
    <t>别</t>
  </si>
  <si>
    <t>&lt;ruby&gt;别&lt;rt&gt;bié&lt;/rt&gt;&lt;/ruby&gt;</t>
  </si>
  <si>
    <t>bié</t>
  </si>
  <si>
    <r>
      <rPr>
        <sz val="11"/>
        <color theme="1"/>
        <rFont val="Calibri"/>
      </rPr>
      <t>你</t>
    </r>
    <r>
      <rPr>
        <b/>
        <sz val="11"/>
        <color theme="1"/>
        <rFont val="Calibri"/>
      </rPr>
      <t>别</t>
    </r>
    <r>
      <rPr>
        <sz val="11"/>
        <color theme="1"/>
        <rFont val="Calibri"/>
      </rPr>
      <t>送花了，我不收。</t>
    </r>
  </si>
  <si>
    <t>Nǐ bié sòng huā le, wǒ bù shōu.</t>
  </si>
  <si>
    <t>Anh đừng tặng hoa nữa, tôi không nhận đâu.</t>
  </si>
  <si>
    <t>H2_B2_BG_16.gif</t>
  </si>
  <si>
    <t>H2_B2_16.mp3</t>
  </si>
  <si>
    <t>H2_B2_VD_16.mp3</t>
  </si>
  <si>
    <t>过来</t>
  </si>
  <si>
    <t>&lt;ruby&gt;过来&lt;rt&gt;guò lái&lt;/rt&gt;&lt;/ruby&gt;</t>
  </si>
  <si>
    <t>guò lái</t>
  </si>
  <si>
    <t>Lại đây</t>
  </si>
  <si>
    <r>
      <rPr>
        <sz val="11"/>
        <color theme="1"/>
        <rFont val="Calibri"/>
      </rPr>
      <t>你</t>
    </r>
    <r>
      <rPr>
        <b/>
        <sz val="11"/>
        <color theme="1"/>
        <rFont val="Calibri"/>
      </rPr>
      <t>过来</t>
    </r>
    <r>
      <rPr>
        <sz val="11"/>
        <color theme="1"/>
        <rFont val="Calibri"/>
      </rPr>
      <t>一下，我跟你说件事。</t>
    </r>
  </si>
  <si>
    <t>Nǐ guòlái yíxià, wǒ gēn nǐ shuō jiàn shì.</t>
  </si>
  <si>
    <t>Bạn qua đây một lát, tôi có chuyện muốn nói với bạn.</t>
  </si>
  <si>
    <t>H2_B2_BG_17.gif</t>
  </si>
  <si>
    <t>H2_B2_17.mp3</t>
  </si>
  <si>
    <t>H2_B2_VD_17.mp3</t>
  </si>
  <si>
    <t>回来</t>
  </si>
  <si>
    <t>&lt;ruby&gt;回来&lt;rt&gt;huílái&lt;/rt&gt;&lt;/ruby&gt;</t>
  </si>
  <si>
    <t>huílái</t>
  </si>
  <si>
    <t>Quay lại, trở về</t>
  </si>
  <si>
    <r>
      <rPr>
        <sz val="11"/>
        <color theme="1"/>
        <rFont val="Calibri"/>
      </rPr>
      <t>你去旅游什么时候</t>
    </r>
    <r>
      <rPr>
        <b/>
        <sz val="11"/>
        <color theme="1"/>
        <rFont val="Calibri"/>
      </rPr>
      <t>回来</t>
    </r>
    <r>
      <rPr>
        <sz val="11"/>
        <color theme="1"/>
        <rFont val="Calibri"/>
      </rPr>
      <t>?</t>
    </r>
  </si>
  <si>
    <t>Nǐ qù lǚyóu shénme shíhou huílái?</t>
  </si>
  <si>
    <t>Bạn đi du lịch khi nào về?</t>
  </si>
  <si>
    <t>H2_B3_BG_1.gif</t>
  </si>
  <si>
    <t>H2_B3_1.mp3</t>
  </si>
  <si>
    <t>H2_B3_VD_1.mp3</t>
  </si>
  <si>
    <t>这么</t>
  </si>
  <si>
    <t>&lt;ruby&gt;这么&lt;rt&gt;zhè me&lt;/rt&gt;&lt;/ruby&gt;</t>
  </si>
  <si>
    <t>zhè me</t>
  </si>
  <si>
    <t>Như vậy</t>
  </si>
  <si>
    <r>
      <rPr>
        <sz val="11"/>
        <color theme="1"/>
        <rFont val="Calibri"/>
      </rPr>
      <t>蛋糕</t>
    </r>
    <r>
      <rPr>
        <b/>
        <sz val="11"/>
        <color theme="1"/>
        <rFont val="Calibri"/>
      </rPr>
      <t>这么</t>
    </r>
    <r>
      <rPr>
        <sz val="11"/>
        <color theme="1"/>
        <rFont val="Calibri"/>
      </rPr>
      <t>大！</t>
    </r>
  </si>
  <si>
    <t>Dàngāo zhème dà!</t>
  </si>
  <si>
    <t>Cái bánh kem to như vậy!</t>
  </si>
  <si>
    <t>H2_B3_BG_2.gif</t>
  </si>
  <si>
    <t>H2_B3_2.mp3</t>
  </si>
  <si>
    <t>H2_B3_VD_2.mp3</t>
  </si>
  <si>
    <t>69dc9a6f3b24547fbe242646</t>
  </si>
  <si>
    <t>完</t>
  </si>
  <si>
    <t>&lt;ruby&gt;完&lt;rt&gt;wán&lt;/rt&gt;&lt;/ruby&gt;</t>
  </si>
  <si>
    <t>Xong, hết</t>
  </si>
  <si>
    <r>
      <rPr>
        <sz val="11"/>
        <color theme="1"/>
        <rFont val="Calibri"/>
      </rPr>
      <t>她已经吃</t>
    </r>
    <r>
      <rPr>
        <b/>
        <sz val="11"/>
        <color theme="1"/>
        <rFont val="Calibri"/>
      </rPr>
      <t>完</t>
    </r>
    <r>
      <rPr>
        <sz val="11"/>
        <color theme="1"/>
        <rFont val="Calibri"/>
      </rPr>
      <t>了。</t>
    </r>
  </si>
  <si>
    <t>Tā yǐjīng chī wán le.</t>
  </si>
  <si>
    <t>Cô ấy đã ăn xong rồi.</t>
  </si>
  <si>
    <t>H2_B3_BG_3.gif</t>
  </si>
  <si>
    <t>H2_B3_3.mp3</t>
  </si>
  <si>
    <t>H2_B3_VD_3.mp3</t>
  </si>
  <si>
    <t>一起</t>
  </si>
  <si>
    <t>&lt;ruby&gt;一起&lt;rt&gt;yīqǐ&lt;/rt&gt;&lt;/ruby&gt;</t>
  </si>
  <si>
    <t>yīqǐ</t>
  </si>
  <si>
    <t>Cùng nhau</t>
  </si>
  <si>
    <r>
      <rPr>
        <sz val="11"/>
        <color theme="1"/>
        <rFont val="Calibri"/>
      </rPr>
      <t>我们</t>
    </r>
    <r>
      <rPr>
        <b/>
        <sz val="11"/>
        <color theme="1"/>
        <rFont val="Calibri"/>
      </rPr>
      <t>一起</t>
    </r>
    <r>
      <rPr>
        <sz val="11"/>
        <color theme="1"/>
        <rFont val="Calibri"/>
      </rPr>
      <t>种花。</t>
    </r>
  </si>
  <si>
    <t>Wǒmen yīqǐ zhòng huā.</t>
  </si>
  <si>
    <t>Chúng tôi cùng nhau trồng hoa.</t>
  </si>
  <si>
    <t>H2_B3_BG_4.gif</t>
  </si>
  <si>
    <t>H2_B3_4.mp3</t>
  </si>
  <si>
    <t>H2_B3_VD_4.mp3</t>
  </si>
  <si>
    <t>出去</t>
  </si>
  <si>
    <t>&lt;ruby&gt;出去&lt;rt&gt;chū qù&lt;/rt&gt;&lt;/ruby&gt;</t>
  </si>
  <si>
    <t>chū qù</t>
  </si>
  <si>
    <t>Ra ngoài</t>
  </si>
  <si>
    <r>
      <rPr>
        <sz val="11"/>
        <color theme="1"/>
        <rFont val="Calibri"/>
      </rPr>
      <t>我们</t>
    </r>
    <r>
      <rPr>
        <b/>
        <sz val="11"/>
        <color theme="1"/>
        <rFont val="Calibri"/>
      </rPr>
      <t>出去</t>
    </r>
    <r>
      <rPr>
        <sz val="11"/>
        <color theme="1"/>
        <rFont val="Calibri"/>
      </rPr>
      <t>玩吧。</t>
    </r>
  </si>
  <si>
    <t>Wǒmen chūqù wán ba.</t>
  </si>
  <si>
    <t>Chúng ta ra ngoài chơi đi.</t>
  </si>
  <si>
    <t>H2_B3_BG_5.gif</t>
  </si>
  <si>
    <t>H2_B3_5.mp3</t>
  </si>
  <si>
    <t>H2_B3_VD_5.mp3</t>
  </si>
  <si>
    <t>洗</t>
  </si>
  <si>
    <t>&lt;ruby&gt;洗&lt;rt&gt;xǐ&lt;/rt&gt;&lt;/ruby&gt;</t>
  </si>
  <si>
    <t>xǐ</t>
  </si>
  <si>
    <t>Giặt, rửa</t>
  </si>
  <si>
    <r>
      <rPr>
        <sz val="11"/>
        <color theme="1"/>
        <rFont val="Calibri"/>
      </rPr>
      <t>我每天</t>
    </r>
    <r>
      <rPr>
        <b/>
        <sz val="11"/>
        <color theme="1"/>
        <rFont val="Calibri"/>
      </rPr>
      <t>洗</t>
    </r>
    <r>
      <rPr>
        <sz val="11"/>
        <color theme="1"/>
        <rFont val="Calibri"/>
      </rPr>
      <t>衣服。</t>
    </r>
  </si>
  <si>
    <t>Wǒ měitiān xǐ yīfu.</t>
  </si>
  <si>
    <t>Tôi giặt quần áo mỗi ngày.</t>
  </si>
  <si>
    <t>H2_B3_BG_6.gif</t>
  </si>
  <si>
    <t>H2_B3_6.mp3</t>
  </si>
  <si>
    <t>H2_B3_VD_6.mp3</t>
  </si>
  <si>
    <t>自己</t>
  </si>
  <si>
    <t>&lt;ruby&gt;自己&lt;rt&gt;zìjǐ&lt;/rt&gt;&lt;/ruby&gt;</t>
  </si>
  <si>
    <t>zìjǐ</t>
  </si>
  <si>
    <t>Tự mình, bản thân</t>
  </si>
  <si>
    <r>
      <rPr>
        <sz val="11"/>
        <color theme="1"/>
        <rFont val="Calibri"/>
      </rPr>
      <t>我非常爱</t>
    </r>
    <r>
      <rPr>
        <b/>
        <sz val="11"/>
        <color theme="1"/>
        <rFont val="Calibri"/>
      </rPr>
      <t>自己</t>
    </r>
  </si>
  <si>
    <t>Wǒ fēicháng ài zìjǐ.</t>
  </si>
  <si>
    <t>Tôi yêu bản thân hết sức.</t>
  </si>
  <si>
    <t>H2_B3_BG_7.gif</t>
  </si>
  <si>
    <t>H2_B3_7.mp3</t>
  </si>
  <si>
    <t>H2_B3_VD_7.mp3</t>
  </si>
  <si>
    <t>拿</t>
  </si>
  <si>
    <t>&lt;ruby&gt;拿&lt;rt&gt;ná&lt;/rt&gt;&lt;/ruby&gt;</t>
  </si>
  <si>
    <t>ná</t>
  </si>
  <si>
    <t>Cầm</t>
  </si>
  <si>
    <r>
      <rPr>
        <sz val="11"/>
        <color theme="1"/>
        <rFont val="Calibri"/>
      </rPr>
      <t>小女孩</t>
    </r>
    <r>
      <rPr>
        <b/>
        <sz val="11"/>
        <color theme="1"/>
        <rFont val="Calibri"/>
      </rPr>
      <t>拿</t>
    </r>
    <r>
      <rPr>
        <sz val="11"/>
        <color theme="1"/>
        <rFont val="Calibri"/>
      </rPr>
      <t>着一串香肠。</t>
    </r>
  </si>
  <si>
    <t>Xiǎo nǚhái názhe yī chuàn xiāngcháng.</t>
  </si>
  <si>
    <t>Cô bé cầm một xiên xúc xích.</t>
  </si>
  <si>
    <t>H2_B3_BG_8.gif</t>
  </si>
  <si>
    <t>H2_B3_8.mp3</t>
  </si>
  <si>
    <t>H2_B3_VD_8.mp3</t>
  </si>
  <si>
    <t>手</t>
  </si>
  <si>
    <t>&lt;ruby&gt;手&lt;rt&gt;shǒu&lt;/rt&gt;&lt;/ruby&gt;</t>
  </si>
  <si>
    <t>shǒu</t>
  </si>
  <si>
    <t>Tay</t>
  </si>
  <si>
    <r>
      <rPr>
        <sz val="11"/>
        <color theme="1"/>
        <rFont val="Calibri"/>
      </rPr>
      <t>他受伤了，</t>
    </r>
    <r>
      <rPr>
        <b/>
        <sz val="11"/>
        <color theme="1"/>
        <rFont val="Calibri"/>
      </rPr>
      <t>手</t>
    </r>
    <r>
      <rPr>
        <sz val="11"/>
        <color theme="1"/>
        <rFont val="Calibri"/>
      </rPr>
      <t>很疼。</t>
    </r>
  </si>
  <si>
    <t>Tā shòushāng le, shǒu hěn téng.</t>
  </si>
  <si>
    <t>Anh ấy bị thương, tay rất đau.</t>
  </si>
  <si>
    <t>H2_B3_BG_9.gif</t>
  </si>
  <si>
    <t>H2_B3_9.mp3</t>
  </si>
  <si>
    <t>H2_B3_VD_9.mp3</t>
  </si>
  <si>
    <t>为什么</t>
  </si>
  <si>
    <t>&lt;ruby&gt;为什么&lt;rt&gt;wèishénme&lt;/rt&gt;&lt;/ruby&gt;</t>
  </si>
  <si>
    <t>wèishénme</t>
  </si>
  <si>
    <t>Tại sao</t>
  </si>
  <si>
    <r>
      <rPr>
        <b/>
        <sz val="11"/>
        <color theme="1"/>
        <rFont val="Calibri"/>
      </rPr>
      <t>为什么</t>
    </r>
    <r>
      <rPr>
        <sz val="11"/>
        <color theme="1"/>
        <rFont val="Calibri"/>
      </rPr>
      <t>他们笑得这么开心？</t>
    </r>
  </si>
  <si>
    <t>Wèishéme tāmen xiào de zhème kāixīn?</t>
  </si>
  <si>
    <t>Tại sao bọn họ cười vui như vậy?</t>
  </si>
  <si>
    <t>H2_B3_BG_10.gif</t>
  </si>
  <si>
    <t>H2_B3_10.mp3</t>
  </si>
  <si>
    <t>H2_B3_VD_10.mp3</t>
  </si>
  <si>
    <t>不错</t>
  </si>
  <si>
    <t>&lt;ruby&gt;不错&lt;rt&gt;bùcuò&lt;/rt&gt;&lt;/ruby&gt;</t>
  </si>
  <si>
    <t>bùcuò</t>
  </si>
  <si>
    <t>Tuyệt, khá tốt</t>
  </si>
  <si>
    <r>
      <rPr>
        <sz val="11"/>
        <color theme="1"/>
        <rFont val="Calibri"/>
      </rPr>
      <t>你做得</t>
    </r>
    <r>
      <rPr>
        <b/>
        <sz val="11"/>
        <color theme="1"/>
        <rFont val="Calibri"/>
      </rPr>
      <t>不错</t>
    </r>
    <r>
      <rPr>
        <sz val="11"/>
        <color theme="1"/>
        <rFont val="Calibri"/>
      </rPr>
      <t>！</t>
    </r>
  </si>
  <si>
    <t>Nǐ zuò de búcuò!</t>
  </si>
  <si>
    <t>Cậu làm tốt lắm.</t>
  </si>
  <si>
    <t>H2_B3_BG_11.gif</t>
  </si>
  <si>
    <t>H2_B3_11.mp3</t>
  </si>
  <si>
    <t>H2_B3_VD_11.mp3</t>
  </si>
  <si>
    <t>送</t>
  </si>
  <si>
    <t>&lt;ruby&gt;送&lt;rt&gt;sòng&lt;/rt&gt;&lt;/ruby&gt;</t>
  </si>
  <si>
    <t>sòng</t>
  </si>
  <si>
    <t>Giao, đưa</t>
  </si>
  <si>
    <r>
      <rPr>
        <sz val="11"/>
        <color theme="1"/>
        <rFont val="Calibri"/>
      </rPr>
      <t>他们都是</t>
    </r>
    <r>
      <rPr>
        <b/>
        <sz val="11"/>
        <color theme="1"/>
        <rFont val="Calibri"/>
      </rPr>
      <t>送</t>
    </r>
    <r>
      <rPr>
        <sz val="11"/>
        <color theme="1"/>
        <rFont val="Calibri"/>
      </rPr>
      <t>快递的人员。</t>
    </r>
  </si>
  <si>
    <t>Tāmen dōu shì sòng kuàidì de rényuán.</t>
  </si>
  <si>
    <t>Họ đều là nhân viên giao hàng.</t>
  </si>
  <si>
    <t>H2_B3_BG_12.gif</t>
  </si>
  <si>
    <t>H2_B3_12.mp3</t>
  </si>
  <si>
    <t>H2_B3_VD_12.mp3</t>
  </si>
  <si>
    <t>回去</t>
  </si>
  <si>
    <t>&lt;ruby&gt;回去&lt;rt&gt;huí qù&lt;/rt&gt;&lt;/ruby&gt;</t>
  </si>
  <si>
    <t>huí qù</t>
  </si>
  <si>
    <t>Quay về</t>
  </si>
  <si>
    <r>
      <rPr>
        <sz val="11"/>
        <color theme="1"/>
        <rFont val="Calibri"/>
      </rPr>
      <t>天晚了，我该</t>
    </r>
    <r>
      <rPr>
        <b/>
        <sz val="11"/>
        <color theme="1"/>
        <rFont val="Calibri"/>
      </rPr>
      <t>回去</t>
    </r>
    <r>
      <rPr>
        <sz val="11"/>
        <color theme="1"/>
        <rFont val="Calibri"/>
      </rPr>
      <t>了。</t>
    </r>
  </si>
  <si>
    <t>Tiān wǎn le, wǒ gāi huíqù le.</t>
  </si>
  <si>
    <t>Trời tối rồi, tôi nên về thôi.</t>
  </si>
  <si>
    <t>H2_B3_BG_13.gif</t>
  </si>
  <si>
    <t>H2_B3_13.mp3</t>
  </si>
  <si>
    <t>H2_B3_VD_13.mp3</t>
  </si>
  <si>
    <t>每</t>
  </si>
  <si>
    <t>&lt;ruby&gt;每&lt;rt&gt;měi&lt;/rt&gt;&lt;/ruby&gt;</t>
  </si>
  <si>
    <t>měi</t>
  </si>
  <si>
    <t>Mỗi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</si>
  <si>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每</t>
    </r>
    <r>
      <rPr>
        <sz val="11"/>
        <color theme="1"/>
        <rFont val="Calibri"/>
      </rPr>
      <t>天都运动。</t>
    </r>
  </si>
  <si>
    <t>Wǒ měitiān dōu yùndòng.</t>
  </si>
  <si>
    <t>Mỗi ngày tôi đều tập thể dục.</t>
  </si>
  <si>
    <t>H2_B3_BG_14.gif</t>
  </si>
  <si>
    <t>H2_B3_14.mp3</t>
  </si>
  <si>
    <t>H2_B3_VD_14.mp3</t>
  </si>
  <si>
    <t>累</t>
  </si>
  <si>
    <t>&lt;ruby&gt;累&lt;rt&gt;lèi&lt;/rt&gt;&lt;/ruby&gt;</t>
  </si>
  <si>
    <t>lèi</t>
  </si>
  <si>
    <t>Mệt</t>
  </si>
  <si>
    <r>
      <rPr>
        <sz val="11"/>
        <color theme="1"/>
        <rFont val="Calibri"/>
      </rPr>
      <t>我今天很</t>
    </r>
    <r>
      <rPr>
        <b/>
        <sz val="11"/>
        <color theme="1"/>
        <rFont val="Calibri"/>
      </rPr>
      <t>累</t>
    </r>
    <r>
      <rPr>
        <sz val="11"/>
        <color theme="1"/>
        <rFont val="Calibri"/>
      </rPr>
      <t>。</t>
    </r>
  </si>
  <si>
    <t>Wǒ jīntiān hěn lèi.</t>
  </si>
  <si>
    <t>Hôm nay tôi rất mệt.</t>
  </si>
  <si>
    <t>H2_B3_BG_15.gif</t>
  </si>
  <si>
    <t>H2_B3_15.mp3</t>
  </si>
  <si>
    <t>H2_B3_VD_15.mp3</t>
  </si>
  <si>
    <t xml:space="preserve">过 </t>
  </si>
  <si>
    <t>&lt;ruby&gt;过&lt;rt&gt;guò&lt;/rt&gt;&lt;/ruby&gt;</t>
  </si>
  <si>
    <t>guò</t>
  </si>
  <si>
    <t>Trợ từ động thái</t>
  </si>
  <si>
    <t>Dùng sau động từ chỉ hành động đã từng xảy ra</t>
  </si>
  <si>
    <r>
      <rPr>
        <sz val="11"/>
        <color theme="1"/>
        <rFont val="Calibri"/>
      </rPr>
      <t>我吃</t>
    </r>
    <r>
      <rPr>
        <b/>
        <sz val="11"/>
        <color theme="1"/>
        <rFont val="Calibri"/>
      </rPr>
      <t>过</t>
    </r>
    <r>
      <rPr>
        <sz val="11"/>
        <color theme="1"/>
        <rFont val="Calibri"/>
      </rPr>
      <t>北京烤鸭。</t>
    </r>
  </si>
  <si>
    <t>Wǒ chīguo Běijīng kǎoyā.</t>
  </si>
  <si>
    <t>Tôi đã từng ăn vịt quay Bắc Kinh.</t>
  </si>
  <si>
    <t>H2_B4_BG_1.gif</t>
  </si>
  <si>
    <t>H2_B4_1.mp3</t>
  </si>
  <si>
    <t>H2_B4_VD_1.mp3</t>
  </si>
  <si>
    <t>商场</t>
  </si>
  <si>
    <t>&lt;ruby&gt;商场&lt;rt&gt;shāngchăng&lt;/rt&gt;&lt;/ruby&gt;</t>
  </si>
  <si>
    <t>shāngchăng</t>
  </si>
  <si>
    <t>Trung tâm thương mại</t>
  </si>
  <si>
    <r>
      <rPr>
        <sz val="11"/>
        <color theme="1"/>
        <rFont val="Calibri"/>
      </rPr>
      <t>周末我和朋友们去</t>
    </r>
    <r>
      <rPr>
        <b/>
        <sz val="11"/>
        <color theme="1"/>
        <rFont val="Calibri"/>
      </rPr>
      <t>商场</t>
    </r>
    <r>
      <rPr>
        <sz val="11"/>
        <color theme="1"/>
        <rFont val="Calibri"/>
      </rPr>
      <t>玩。</t>
    </r>
  </si>
  <si>
    <t>Zhōumò wǒ hé péngyoumen qù shāngchǎng wán.</t>
  </si>
  <si>
    <t>Cuối tuần tôi sẽ đi trung tâm thương mại với bạn bè.</t>
  </si>
  <si>
    <t>H2_B4_BG_2.gif</t>
  </si>
  <si>
    <t>H2_B4_2.mp3</t>
  </si>
  <si>
    <t>H2_B4_VD_2.mp3</t>
  </si>
  <si>
    <t>69dc9a6f3b24547fbe242647</t>
  </si>
  <si>
    <t>进去</t>
  </si>
  <si>
    <t>&lt;ruby&gt;进去&lt;rt&gt;jìn qù&lt;/rt&gt;&lt;/ruby&gt;</t>
  </si>
  <si>
    <t>jìn qù</t>
  </si>
  <si>
    <t>Đi vào</t>
  </si>
  <si>
    <r>
      <rPr>
        <sz val="11"/>
        <color theme="1"/>
        <rFont val="Calibri"/>
      </rPr>
      <t>外面太冷了，我们快</t>
    </r>
    <r>
      <rPr>
        <b/>
        <sz val="11"/>
        <color theme="1"/>
        <rFont val="Calibri"/>
      </rPr>
      <t>进去</t>
    </r>
    <r>
      <rPr>
        <sz val="11"/>
        <color theme="1"/>
        <rFont val="Calibri"/>
      </rPr>
      <t>吧。</t>
    </r>
  </si>
  <si>
    <t>Wàimiàn tài lěng le, wǒmen kuài jìnqù ba.</t>
  </si>
  <si>
    <t>Bên ngoài lạnh quá, chúng ta mau vào trong đi.</t>
  </si>
  <si>
    <t>H2_B4_BG_3.gif</t>
  </si>
  <si>
    <t>H2_B4_3.mp3</t>
  </si>
  <si>
    <t>H2_B4_VD_3.mp3</t>
  </si>
  <si>
    <t>条</t>
  </si>
  <si>
    <t>&lt;ruby&gt;条&lt;rt&gt;tiáo&lt;/rt&gt;&lt;/ruby&gt;</t>
  </si>
  <si>
    <t>tiáo</t>
  </si>
  <si>
    <t>Chiếc, cái - Lượng từ dùng cho quần, váy...</t>
  </si>
  <si>
    <r>
      <rPr>
        <sz val="11"/>
        <color theme="1"/>
        <rFont val="Calibri"/>
      </rPr>
      <t>她买了一</t>
    </r>
    <r>
      <rPr>
        <b/>
        <sz val="11"/>
        <color theme="1"/>
        <rFont val="Calibri"/>
      </rPr>
      <t>条</t>
    </r>
    <r>
      <rPr>
        <sz val="11"/>
        <color theme="1"/>
        <rFont val="Calibri"/>
      </rPr>
      <t>裙子。</t>
    </r>
  </si>
  <si>
    <t>Tā mǎi le yī tiáo qúnzi.</t>
  </si>
  <si>
    <t>Cô ấy đã mua một chiếc váy.</t>
  </si>
  <si>
    <t>H2_B4_BG_4.gif</t>
  </si>
  <si>
    <t>H2_B4_4.mp3</t>
  </si>
  <si>
    <t>H2_B4_VD_4.mp3</t>
  </si>
  <si>
    <t>裤子</t>
  </si>
  <si>
    <t>&lt;ruby&gt;裤子&lt;rt&gt;kùzi&lt;/rt&gt;&lt;/ruby&gt;</t>
  </si>
  <si>
    <t>kùzi</t>
  </si>
  <si>
    <t>Quần</t>
  </si>
  <si>
    <r>
      <rPr>
        <sz val="11"/>
        <color theme="1"/>
        <rFont val="Calibri"/>
      </rPr>
      <t>他买了一条</t>
    </r>
    <r>
      <rPr>
        <b/>
        <sz val="11"/>
        <color theme="1"/>
        <rFont val="Calibri"/>
      </rPr>
      <t>裤子</t>
    </r>
    <r>
      <rPr>
        <sz val="11"/>
        <color theme="1"/>
        <rFont val="Calibri"/>
      </rPr>
      <t>。</t>
    </r>
  </si>
  <si>
    <t>Tā mǎi le yī tiáo kùzi.</t>
  </si>
  <si>
    <t>Anh ấy mua một chiếc quần.</t>
  </si>
  <si>
    <t>H2_B4_BG_5.gif</t>
  </si>
  <si>
    <t>H2_B4_5.mp3</t>
  </si>
  <si>
    <t>H2_B4_VD_5.mp3</t>
  </si>
  <si>
    <t>白色</t>
  </si>
  <si>
    <t>&lt;ruby&gt;白色&lt;rt&gt;bái sè&lt;/rt&gt;&lt;/ruby&gt;</t>
  </si>
  <si>
    <t>bái sè</t>
  </si>
  <si>
    <t>Màu trắng</t>
  </si>
  <si>
    <r>
      <rPr>
        <sz val="11"/>
        <color theme="1"/>
        <rFont val="Calibri"/>
      </rPr>
      <t>我喜欢</t>
    </r>
    <r>
      <rPr>
        <b/>
        <sz val="11"/>
        <color theme="1"/>
        <rFont val="Calibri"/>
      </rPr>
      <t>白色</t>
    </r>
    <r>
      <rPr>
        <sz val="11"/>
        <color theme="1"/>
        <rFont val="Calibri"/>
      </rPr>
      <t>的猫。</t>
    </r>
  </si>
  <si>
    <t>Wǒ xǐhuan báisè de māo.</t>
  </si>
  <si>
    <t>Tôi thích mèo màu trắng.</t>
  </si>
  <si>
    <t>H2_B4_BG_6.gif</t>
  </si>
  <si>
    <t>H2_B4_6.mp3</t>
  </si>
  <si>
    <t>H2_B4_VD_6.mp3</t>
  </si>
  <si>
    <t>因为</t>
  </si>
  <si>
    <t>&lt;ruby&gt;因为&lt;rt&gt;yīnwèi&lt;/rt&gt;&lt;/ruby&gt;</t>
  </si>
  <si>
    <t>yīnwèi</t>
  </si>
  <si>
    <t>Bởi vì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</si>
  <si>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因为</t>
    </r>
    <r>
      <rPr>
        <sz val="11"/>
        <color theme="1"/>
        <rFont val="Calibri"/>
      </rPr>
      <t>生病，所以没去上班。</t>
    </r>
  </si>
  <si>
    <t>Tā yīnwèi shēngbìng, suǒyǐ méi qù shàngbān.</t>
  </si>
  <si>
    <t>Cô ấy không đi làm vì bị ốm.</t>
  </si>
  <si>
    <t>H2_B4_BG_7.gif</t>
  </si>
  <si>
    <t>H2_B4_7.mp3</t>
  </si>
  <si>
    <t>H2_B4_VD_7.mp3</t>
  </si>
  <si>
    <t>试</t>
  </si>
  <si>
    <t>&lt;ruby&gt;试&lt;rt&gt;shì&lt;/rt&gt;&lt;/ruby&gt;</t>
  </si>
  <si>
    <t>Thử</t>
  </si>
  <si>
    <r>
      <rPr>
        <sz val="11"/>
        <color theme="1"/>
        <rFont val="Calibri"/>
      </rPr>
      <t>你应该</t>
    </r>
    <r>
      <rPr>
        <b/>
        <sz val="11"/>
        <color theme="1"/>
        <rFont val="Calibri"/>
      </rPr>
      <t>试</t>
    </r>
    <r>
      <rPr>
        <sz val="11"/>
        <color theme="1"/>
        <rFont val="Calibri"/>
      </rPr>
      <t>着学习一项新技能。</t>
    </r>
  </si>
  <si>
    <t>Nǐ yīnggāi shìzhe xuéxí yī xiàng xīn jìnéng.</t>
  </si>
  <si>
    <t>Bạn nên thử học một kỹ năng mới.</t>
  </si>
  <si>
    <t>H2_B4_BG_8.gif</t>
  </si>
  <si>
    <t>H2_B4_8.mp3</t>
  </si>
  <si>
    <t>H2_B4_VD_8.mp3</t>
  </si>
  <si>
    <t>红色</t>
  </si>
  <si>
    <t>&lt;ruby&gt;红色&lt;rt&gt;hóngsè&lt;/rt&gt;&lt;/ruby&gt;</t>
  </si>
  <si>
    <t>hóngsè</t>
  </si>
  <si>
    <t>Màu đỏ</t>
  </si>
  <si>
    <r>
      <rPr>
        <sz val="11"/>
        <color theme="1"/>
        <rFont val="Calibri"/>
      </rPr>
      <t>这朵花是鲜艳的</t>
    </r>
    <r>
      <rPr>
        <b/>
        <sz val="11"/>
        <color theme="1"/>
        <rFont val="Calibri"/>
      </rPr>
      <t>红色</t>
    </r>
    <r>
      <rPr>
        <sz val="11"/>
        <color theme="1"/>
        <rFont val="Calibri"/>
      </rPr>
      <t>。</t>
    </r>
  </si>
  <si>
    <t>Zhè duǒ huā shì xiānyàn de hóngsè.</t>
  </si>
  <si>
    <t>Đóa hoa này có màu đỏ rực.</t>
  </si>
  <si>
    <t>H2_B4_BG_9.gif</t>
  </si>
  <si>
    <t>H2_B4_9.mp3</t>
  </si>
  <si>
    <t>H2_B4_VD_9.mp3</t>
  </si>
  <si>
    <t>所以</t>
  </si>
  <si>
    <t>&lt;ruby&gt;所以&lt;rt&gt;suǒyǐ&lt;/rt&gt;&lt;/ruby&gt;</t>
  </si>
  <si>
    <t>suǒyǐ</t>
  </si>
  <si>
    <t>Cho nên</t>
  </si>
  <si>
    <r>
      <rPr>
        <sz val="11"/>
        <color theme="1"/>
        <rFont val="Calibri"/>
      </rPr>
      <t>我喜欢看书，</t>
    </r>
    <r>
      <rPr>
        <b/>
        <sz val="11"/>
        <color theme="1"/>
        <rFont val="Calibri"/>
      </rPr>
      <t>所以</t>
    </r>
    <r>
      <rPr>
        <sz val="11"/>
        <color theme="1"/>
        <rFont val="Calibri"/>
      </rPr>
      <t>去了图书馆。</t>
    </r>
  </si>
  <si>
    <t>Wǒ xǐhuan kàn shū, suǒyǐ qù le túshūguǎn.</t>
  </si>
  <si>
    <t>Tôi thích đọc sách nên tôi đến thư viện.</t>
  </si>
  <si>
    <t>H2_B4_BG_10.gif</t>
  </si>
  <si>
    <t>H2_B4_10.mp3</t>
  </si>
  <si>
    <t>H2_B4_VD_10.mp3</t>
  </si>
  <si>
    <t>书包</t>
  </si>
  <si>
    <t>&lt;ruby&gt;书包&lt;rt&gt;shū bāo&lt;/rt&gt;&lt;/ruby&gt;</t>
  </si>
  <si>
    <t>shū bāo</t>
  </si>
  <si>
    <t>Cặp sách</t>
  </si>
  <si>
    <r>
      <rPr>
        <sz val="11"/>
        <color theme="1"/>
        <rFont val="Calibri"/>
      </rPr>
      <t>我的</t>
    </r>
    <r>
      <rPr>
        <b/>
        <sz val="11"/>
        <color theme="1"/>
        <rFont val="Calibri"/>
      </rPr>
      <t>书包</t>
    </r>
    <r>
      <rPr>
        <sz val="11"/>
        <color theme="1"/>
        <rFont val="Calibri"/>
      </rPr>
      <t>里有很多书。</t>
    </r>
  </si>
  <si>
    <t>Wǒ de shūbāo lǐ yǒu hěn duō shū.</t>
  </si>
  <si>
    <t>Trong cặp sách của tôi có rất nhiều sách.</t>
  </si>
  <si>
    <t>H2_B4_BG_11.gif</t>
  </si>
  <si>
    <t>H2_B4_11.mp3</t>
  </si>
  <si>
    <t>H2_B4_VD_11.mp3</t>
  </si>
  <si>
    <t>过去</t>
  </si>
  <si>
    <t>&lt;ruby&gt;过去&lt;rt&gt;guòqù&lt;/rt&gt;&lt;/ruby&gt;</t>
  </si>
  <si>
    <t>guòqù</t>
  </si>
  <si>
    <t>Quá khứ</t>
  </si>
  <si>
    <r>
      <rPr>
        <b/>
        <sz val="11"/>
        <color theme="1"/>
        <rFont val="Calibri"/>
      </rPr>
      <t>过去</t>
    </r>
    <r>
      <rPr>
        <sz val="11"/>
        <color theme="1"/>
        <rFont val="Calibri"/>
      </rPr>
      <t>我不喜欢吃蔬菜，现在我每天吃很多。</t>
    </r>
  </si>
  <si>
    <t>Guòqù wǒ bù xǐhuan chī shūcài, xiànzài wǒ měitiān chī hěn duō.</t>
  </si>
  <si>
    <t>Trước đây tôi không thích ăn rau, bây giờ mỗi ngày tôi ăn rất nhiều.</t>
  </si>
  <si>
    <t>H2_B4_BG_12.gif</t>
  </si>
  <si>
    <t>H2_B4_12.mp3</t>
  </si>
  <si>
    <t>H2_B4_VD_12.mp3</t>
  </si>
  <si>
    <t>绿色</t>
  </si>
  <si>
    <t>&lt;ruby&gt;绿色&lt;rt&gt;lǜ sè&lt;/rt&gt;&lt;/ruby&gt;</t>
  </si>
  <si>
    <t>lǜ sè</t>
  </si>
  <si>
    <t>Màu xanh</t>
  </si>
  <si>
    <r>
      <rPr>
        <sz val="11"/>
        <color theme="1"/>
        <rFont val="Calibri"/>
      </rPr>
      <t>我喜欢</t>
    </r>
    <r>
      <rPr>
        <b/>
        <sz val="11"/>
        <color theme="1"/>
        <rFont val="Calibri"/>
      </rPr>
      <t>绿色</t>
    </r>
    <r>
      <rPr>
        <sz val="11"/>
        <color theme="1"/>
        <rFont val="Calibri"/>
      </rPr>
      <t>。</t>
    </r>
  </si>
  <si>
    <t>Wǒ xǐhuan lǜsè.</t>
  </si>
  <si>
    <t>Tôi thích màu xanh lá cây.</t>
  </si>
  <si>
    <t>H2_B4_BG_13.gif</t>
  </si>
  <si>
    <t>H2_B4_13.mp3</t>
  </si>
  <si>
    <t>H2_B4_VD_13.mp3</t>
  </si>
  <si>
    <t>黑色</t>
  </si>
  <si>
    <t>&lt;ruby&gt;黑色&lt;rt&gt;hēi sè&lt;/rt&gt;&lt;/ruby&gt;</t>
  </si>
  <si>
    <t>hēi sè</t>
  </si>
  <si>
    <t>Màu đen</t>
  </si>
  <si>
    <r>
      <rPr>
        <sz val="11"/>
        <color theme="1"/>
        <rFont val="Calibri"/>
      </rPr>
      <t>我有一只</t>
    </r>
    <r>
      <rPr>
        <b/>
        <sz val="11"/>
        <color theme="1"/>
        <rFont val="Calibri"/>
      </rPr>
      <t>黑色</t>
    </r>
    <r>
      <rPr>
        <sz val="11"/>
        <color theme="1"/>
        <rFont val="Calibri"/>
      </rPr>
      <t>的猫。</t>
    </r>
  </si>
  <si>
    <t>Wǒ yǒu yì zhī hēisè de māo.</t>
  </si>
  <si>
    <t>Tôi có một con mèo màu đen.</t>
  </si>
  <si>
    <t>H2_B4_BG_14.gif</t>
  </si>
  <si>
    <t>H2_B4_14.mp3</t>
  </si>
  <si>
    <t>H2_B4_VD_14.mp3</t>
  </si>
  <si>
    <t>更</t>
  </si>
  <si>
    <t>&lt;ruby&gt;更&lt;rt&gt;gèng&lt;/rt&gt;&lt;/ruby&gt;</t>
  </si>
  <si>
    <t>gèng</t>
  </si>
  <si>
    <t>Càng, hơn nữa</t>
  </si>
  <si>
    <r>
      <rPr>
        <sz val="11"/>
        <color theme="1"/>
        <rFont val="Calibri"/>
      </rPr>
      <t>他比我，谁</t>
    </r>
    <r>
      <rPr>
        <b/>
        <sz val="11"/>
        <color theme="1"/>
        <rFont val="Calibri"/>
      </rPr>
      <t>更</t>
    </r>
    <r>
      <rPr>
        <sz val="11"/>
        <color theme="1"/>
        <rFont val="Calibri"/>
      </rPr>
      <t>厉害？</t>
    </r>
  </si>
  <si>
    <t>Tā bǐ wǒ, shéi gèng lìhài?</t>
  </si>
  <si>
    <t>Anh ta so với tôi ai giỏi hơn?</t>
  </si>
  <si>
    <t>H2_B4_BG_15.gif</t>
  </si>
  <si>
    <t>H2_B4_15.mp3</t>
  </si>
  <si>
    <t>H2_B4_VD_15.mp3</t>
  </si>
  <si>
    <t>颜色</t>
  </si>
  <si>
    <t>&lt;ruby&gt;颜色&lt;rt&gt;yánsè&lt;/rt&gt;&lt;/ruby&gt;</t>
  </si>
  <si>
    <t>yánsè</t>
  </si>
  <si>
    <t>Màu, màu sắc</t>
  </si>
  <si>
    <r>
      <rPr>
        <sz val="11"/>
        <color theme="1"/>
        <rFont val="Calibri"/>
      </rPr>
      <t>那些灯笼有很多不同的</t>
    </r>
    <r>
      <rPr>
        <b/>
        <sz val="11"/>
        <color theme="1"/>
        <rFont val="Calibri"/>
      </rPr>
      <t>颜色</t>
    </r>
    <r>
      <rPr>
        <sz val="11"/>
        <color theme="1"/>
        <rFont val="Calibri"/>
      </rPr>
      <t>。</t>
    </r>
  </si>
  <si>
    <t>Nàxiē dēnglóng yǒu hěn duō bùtóng de yánsè.</t>
  </si>
  <si>
    <t>Những cái đèn lồng đó có nhiều màu sắc khác nhau.</t>
  </si>
  <si>
    <t>H2_B4_BG_16.gif</t>
  </si>
  <si>
    <t>H2_B4_16.mp3</t>
  </si>
  <si>
    <t>H2_B4_VD_16.mp3</t>
  </si>
  <si>
    <t>快</t>
  </si>
  <si>
    <t>&lt;ruby&gt;快&lt;rt&gt;kuài&lt;/rt&gt;&lt;/ruby&gt;</t>
  </si>
  <si>
    <t>Nhanh</t>
  </si>
  <si>
    <r>
      <rPr>
        <sz val="11"/>
        <color theme="1"/>
        <rFont val="Calibri"/>
      </rPr>
      <t>他跑得很</t>
    </r>
    <r>
      <rPr>
        <b/>
        <sz val="11"/>
        <color theme="1"/>
        <rFont val="Calibri"/>
      </rPr>
      <t>快</t>
    </r>
    <r>
      <rPr>
        <sz val="11"/>
        <color theme="1"/>
        <rFont val="Calibri"/>
      </rPr>
      <t>。</t>
    </r>
  </si>
  <si>
    <t>Tā pǎo de hěn kuài.</t>
  </si>
  <si>
    <t>Anh ấy chạy rất nhanh</t>
  </si>
  <si>
    <t>H2_B5_BG_1.gif</t>
  </si>
  <si>
    <t>H2_B5_1.mp3</t>
  </si>
  <si>
    <t>H2_B5_VD_1.mp3</t>
  </si>
  <si>
    <t xml:space="preserve">下来 </t>
  </si>
  <si>
    <t>&lt;ruby&gt;下来&lt;rt&gt;xià lái&lt;/rt&gt;&lt;/ruby&gt;</t>
  </si>
  <si>
    <t>xià lái</t>
  </si>
  <si>
    <t>Xuống đây</t>
  </si>
  <si>
    <r>
      <rPr>
        <sz val="11"/>
        <color theme="1"/>
        <rFont val="Calibri"/>
      </rPr>
      <t>你在上面干什么？快</t>
    </r>
    <r>
      <rPr>
        <b/>
        <sz val="11"/>
        <color theme="1"/>
        <rFont val="Calibri"/>
      </rPr>
      <t>下来</t>
    </r>
    <r>
      <rPr>
        <sz val="11"/>
        <color theme="1"/>
        <rFont val="Calibri"/>
      </rPr>
      <t>！</t>
    </r>
  </si>
  <si>
    <t>Nǐ zài shàngmiàn gàn shénme? Kuài xiàlái!</t>
  </si>
  <si>
    <t>Bạn đang làm gì ở trên đó vậy? Mau xuống đây!</t>
  </si>
  <si>
    <t>H2_B5_BG_2.gif</t>
  </si>
  <si>
    <t>H2_B5_2.mp3</t>
  </si>
  <si>
    <t>H2_B5_VD_2.mp3</t>
  </si>
  <si>
    <t>69dcb49cc835ecc11e3eb697</t>
  </si>
  <si>
    <t>上来</t>
  </si>
  <si>
    <t>&lt;ruby&gt;上来&lt;rt&gt;shàng lái&lt;/rt&gt;&lt;/ruby&gt;</t>
  </si>
  <si>
    <t>shàng lái</t>
  </si>
  <si>
    <t>Lên đây</t>
  </si>
  <si>
    <r>
      <rPr>
        <sz val="11"/>
        <color theme="1"/>
        <rFont val="Calibri"/>
      </rPr>
      <t>你快</t>
    </r>
    <r>
      <rPr>
        <b/>
        <sz val="11"/>
        <color theme="1"/>
        <rFont val="Calibri"/>
      </rPr>
      <t>上来</t>
    </r>
    <r>
      <rPr>
        <sz val="11"/>
        <color theme="1"/>
        <rFont val="Calibri"/>
      </rPr>
      <t>吧！</t>
    </r>
  </si>
  <si>
    <t>Nǐ kuài shànglái ba!</t>
  </si>
  <si>
    <t>Bạn mau lên đây đi!</t>
  </si>
  <si>
    <t>H2_B5_BG_3.gif</t>
  </si>
  <si>
    <t>H2_B5_3.mp3</t>
  </si>
  <si>
    <t>H2_B5_VD_3.mp3</t>
  </si>
  <si>
    <t>上去</t>
  </si>
  <si>
    <t>&lt;ruby&gt;上去&lt;rt&gt;shàng qù&lt;/rt&gt;&lt;/ruby&gt;</t>
  </si>
  <si>
    <t>shàng qù</t>
  </si>
  <si>
    <t>Lên đó</t>
  </si>
  <si>
    <r>
      <rPr>
        <sz val="11"/>
        <color theme="1"/>
        <rFont val="Calibri"/>
      </rPr>
      <t>你</t>
    </r>
    <r>
      <rPr>
        <b/>
        <sz val="11"/>
        <color theme="1"/>
        <rFont val="Calibri"/>
      </rPr>
      <t>上去</t>
    </r>
    <r>
      <rPr>
        <sz val="11"/>
        <color theme="1"/>
        <rFont val="Calibri"/>
      </rPr>
      <t>看看吧。</t>
    </r>
  </si>
  <si>
    <t>Nǐ shàngqù kànkan ba.</t>
  </si>
  <si>
    <t>Bạn lên đó xem thử đi.</t>
  </si>
  <si>
    <t>H2_B5_BG_4.gif</t>
  </si>
  <si>
    <t>H2_B5_4.mp3</t>
  </si>
  <si>
    <t>H2_B5_VD_4.mp3</t>
  </si>
  <si>
    <t>下面</t>
  </si>
  <si>
    <t>&lt;ruby&gt;下面&lt;rt&gt;xià miàn&lt;/rt&gt;&lt;/ruby&gt;</t>
  </si>
  <si>
    <t>xià miàn</t>
  </si>
  <si>
    <t>Bên dưới, phía dưới</t>
  </si>
  <si>
    <r>
      <rPr>
        <sz val="11"/>
        <color theme="1"/>
        <rFont val="Calibri"/>
      </rPr>
      <t>小猫躲在桌子</t>
    </r>
    <r>
      <rPr>
        <b/>
        <sz val="11"/>
        <color theme="1"/>
        <rFont val="Calibri"/>
      </rPr>
      <t>下面</t>
    </r>
    <r>
      <rPr>
        <sz val="11"/>
        <color theme="1"/>
        <rFont val="Calibri"/>
      </rPr>
      <t>。</t>
    </r>
  </si>
  <si>
    <t>Xiǎo māo duǒ zài zhuōzi xiàmiàn.</t>
  </si>
  <si>
    <t>Chú mèo con trốn dưới gầm bàn.</t>
  </si>
  <si>
    <t>H2_B5_BG_5.gif</t>
  </si>
  <si>
    <t>H2_B5_5.mp3</t>
  </si>
  <si>
    <t>H2_B5_VD_5.mp3</t>
  </si>
  <si>
    <t>面</t>
  </si>
  <si>
    <t>&lt;ruby&gt;面&lt;rt&gt;miàn&lt;/rt&gt;&lt;/ruby&gt;</t>
  </si>
  <si>
    <t>miàn</t>
  </si>
  <si>
    <t>Dùng để tạo thành một danh từ chỉ nơi chốn</t>
  </si>
  <si>
    <r>
      <rPr>
        <sz val="11"/>
        <color theme="1"/>
        <rFont val="Calibri"/>
      </rPr>
      <t>学校前</t>
    </r>
    <r>
      <rPr>
        <b/>
        <sz val="11"/>
        <color theme="1"/>
        <rFont val="Calibri"/>
      </rPr>
      <t>面</t>
    </r>
    <r>
      <rPr>
        <sz val="11"/>
        <color theme="1"/>
        <rFont val="Calibri"/>
      </rPr>
      <t>有一个商店。</t>
    </r>
  </si>
  <si>
    <t>Xuéxiào qiánmiàn yǒu yí ge shāngdiàn.</t>
  </si>
  <si>
    <t>Phía trước trường học có một cửa hàng.</t>
  </si>
  <si>
    <t>H2_B5_BG_6.gif</t>
  </si>
  <si>
    <t>H2_B5_6.mp3</t>
  </si>
  <si>
    <t>H2_B5_VD_6.mp3</t>
  </si>
  <si>
    <t>等</t>
  </si>
  <si>
    <t>&lt;ruby&gt;等&lt;rt&gt;děng&lt;/rt&gt;&lt;/ruby&gt;</t>
  </si>
  <si>
    <t>děng</t>
  </si>
  <si>
    <t>Đợi</t>
  </si>
  <si>
    <r>
      <rPr>
        <sz val="11"/>
        <color theme="1"/>
        <rFont val="Calibri"/>
      </rPr>
      <t>我在车站</t>
    </r>
    <r>
      <rPr>
        <b/>
        <sz val="11"/>
        <color theme="1"/>
        <rFont val="Calibri"/>
      </rPr>
      <t>等</t>
    </r>
    <r>
      <rPr>
        <sz val="11"/>
        <color theme="1"/>
        <rFont val="Calibri"/>
      </rPr>
      <t>车。</t>
    </r>
  </si>
  <si>
    <t>Wǒ zài chēzhàn děng chē.</t>
  </si>
  <si>
    <t>Tôi đang đợi xe ở bến đây.</t>
  </si>
  <si>
    <t>H2_B5_BG_7.gif</t>
  </si>
  <si>
    <t>H2_B5_7.mp3</t>
  </si>
  <si>
    <t>H2_B5_VD_7.mp3</t>
  </si>
  <si>
    <t>一会儿</t>
  </si>
  <si>
    <t>&lt;ruby&gt;一会儿&lt;rt&gt;yí huìr&lt;/rt&gt;&lt;/ruby&gt;</t>
  </si>
  <si>
    <t>yí huìr</t>
  </si>
  <si>
    <t>Số từ/ Lượng từ</t>
  </si>
  <si>
    <t>Một lát</t>
  </si>
  <si>
    <r>
      <rPr>
        <sz val="11"/>
        <color theme="1"/>
        <rFont val="Calibri"/>
      </rPr>
      <t>请等</t>
    </r>
    <r>
      <rPr>
        <b/>
        <sz val="11"/>
        <color theme="1"/>
        <rFont val="Calibri"/>
      </rPr>
      <t>一会儿</t>
    </r>
    <r>
      <rPr>
        <sz val="11"/>
        <color theme="1"/>
        <rFont val="Calibri"/>
      </rPr>
      <t>。</t>
    </r>
  </si>
  <si>
    <t>Qǐng děng yíhuìr.</t>
  </si>
  <si>
    <t>Vui lòng đợi một lát.</t>
  </si>
  <si>
    <t>H2_B5_BG_8.gif</t>
  </si>
  <si>
    <t>H2_B5_8.mp3</t>
  </si>
  <si>
    <t>H2_B5_VD_8.mp3</t>
  </si>
  <si>
    <t>下去</t>
  </si>
  <si>
    <t>&lt;ruby&gt;下去&lt;rt&gt;xià qù&lt;/rt&gt;&lt;/ruby&gt;</t>
  </si>
  <si>
    <t>xià qù</t>
  </si>
  <si>
    <t>Xuống dưới</t>
  </si>
  <si>
    <r>
      <rPr>
        <sz val="11"/>
        <color theme="1"/>
        <rFont val="Calibri"/>
      </rPr>
      <t>你从楼上走</t>
    </r>
    <r>
      <rPr>
        <b/>
        <sz val="11"/>
        <color theme="1"/>
        <rFont val="Calibri"/>
      </rPr>
      <t>下去</t>
    </r>
    <r>
      <rPr>
        <sz val="11"/>
        <color theme="1"/>
        <rFont val="Calibri"/>
      </rPr>
      <t>吧。</t>
    </r>
  </si>
  <si>
    <t>Nǐ cóng lóushàng zǒu xiàqù ba.</t>
  </si>
  <si>
    <t>Bạn từ trên lầu đi xuống đi.</t>
  </si>
  <si>
    <t>H2_B5_BG_9.gif</t>
  </si>
  <si>
    <t>H2_B5_9.mp3</t>
  </si>
  <si>
    <t>H2_B5_VD_9.mp3</t>
  </si>
  <si>
    <t>进来</t>
  </si>
  <si>
    <t>&lt;ruby&gt;进来&lt;rt&gt;jìn lái&lt;/rt&gt;&lt;/ruby&gt;</t>
  </si>
  <si>
    <t>jìn lái</t>
  </si>
  <si>
    <t>Vào đây</t>
  </si>
  <si>
    <r>
      <rPr>
        <sz val="11"/>
        <color theme="1"/>
        <rFont val="Calibri"/>
      </rPr>
      <t>外面冷，快</t>
    </r>
    <r>
      <rPr>
        <b/>
        <sz val="11"/>
        <color theme="1"/>
        <rFont val="Calibri"/>
      </rPr>
      <t>进来</t>
    </r>
    <r>
      <rPr>
        <sz val="11"/>
        <color theme="1"/>
        <rFont val="Calibri"/>
      </rPr>
      <t>吧！</t>
    </r>
  </si>
  <si>
    <t>Wàimiàn lěng, kuài jìnlái ba!</t>
  </si>
  <si>
    <t>Bên ngoài lạnh, mau vào đây đi!</t>
  </si>
  <si>
    <t>H2_B5_BG_10.gif</t>
  </si>
  <si>
    <t>H2_B5_10.mp3</t>
  </si>
  <si>
    <t>H2_B5_VD_10.mp3</t>
  </si>
  <si>
    <t>爷爷</t>
  </si>
  <si>
    <t>&lt;ruby&gt;爷爷&lt;rt&gt;yéye&lt;/rt&gt;&lt;/ruby&gt;</t>
  </si>
  <si>
    <t>yéye</t>
  </si>
  <si>
    <t>Ông nội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</si>
  <si>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爷爷</t>
    </r>
    <r>
      <rPr>
        <sz val="11"/>
        <color theme="1"/>
        <rFont val="Calibri"/>
      </rPr>
      <t>今年已经85岁了。</t>
    </r>
  </si>
  <si>
    <t>Wǒ yéye jīnnián yǐjīng 85 suì le.</t>
  </si>
  <si>
    <t>Ông nội tôi năm nay đã 85 tuổi rồi.</t>
  </si>
  <si>
    <t>H2_B5_BG_11.gif</t>
  </si>
  <si>
    <t>H2_B5_11.mp3</t>
  </si>
  <si>
    <t>H2_B5_VD_11.mp3</t>
  </si>
  <si>
    <t>奶奶</t>
  </si>
  <si>
    <t>&lt;ruby&gt;奶奶&lt;rt&gt;nǎinai&lt;/rt&gt;&lt;/ruby&gt;</t>
  </si>
  <si>
    <t>nǎinai</t>
  </si>
  <si>
    <t>Bà nội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</si>
  <si>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奶奶</t>
    </r>
    <r>
      <rPr>
        <sz val="11"/>
        <color theme="1"/>
        <rFont val="Calibri"/>
      </rPr>
      <t>非常善良。</t>
    </r>
  </si>
  <si>
    <t>Wǒ nǎinai fēicháng shànliáng.</t>
  </si>
  <si>
    <t>Bà nội tôi rất tốt bụng.</t>
  </si>
  <si>
    <t>H2_B5_BG_12.gif</t>
  </si>
  <si>
    <t>H2_B5_12.mp3</t>
  </si>
  <si>
    <t>H2_B5_VD_12.mp3</t>
  </si>
  <si>
    <t>礼物</t>
  </si>
  <si>
    <t>&lt;ruby&gt;礼物&lt;rt&gt;lǐwù&lt;/rt&gt;&lt;/ruby&gt;</t>
  </si>
  <si>
    <t>lǐwù</t>
  </si>
  <si>
    <t>Quà biếu, quà tặng</t>
  </si>
  <si>
    <r>
      <rPr>
        <sz val="11"/>
        <color theme="1"/>
        <rFont val="Calibri"/>
      </rPr>
      <t>他送了我一份</t>
    </r>
    <r>
      <rPr>
        <b/>
        <sz val="11"/>
        <color theme="1"/>
        <rFont val="Calibri"/>
      </rPr>
      <t>礼物</t>
    </r>
    <r>
      <rPr>
        <sz val="11"/>
        <color theme="1"/>
        <rFont val="Calibri"/>
      </rPr>
      <t>。</t>
    </r>
  </si>
  <si>
    <t>Tā sòng le wǒ yī fèn lǐwù.</t>
  </si>
  <si>
    <t>Anh ấy tặng quà cho tôi.</t>
  </si>
  <si>
    <t>H2_B5_BG_13.gif</t>
  </si>
  <si>
    <t>H2_B5_13.mp3</t>
  </si>
  <si>
    <t>H2_B5_VD_13.mp3</t>
  </si>
  <si>
    <t>准备</t>
  </si>
  <si>
    <t>&lt;ruby&gt;准备&lt;rt&gt;zhǔnbèi&lt;/rt&gt;&lt;/ruby&gt;</t>
  </si>
  <si>
    <t>zhǔnbèi</t>
  </si>
  <si>
    <t>Định, dự định</t>
  </si>
  <si>
    <r>
      <rPr>
        <sz val="11"/>
        <color theme="1"/>
        <rFont val="Calibri"/>
      </rPr>
      <t>我正在</t>
    </r>
    <r>
      <rPr>
        <b/>
        <sz val="11"/>
        <color theme="1"/>
        <rFont val="Calibri"/>
      </rPr>
      <t>准备</t>
    </r>
    <r>
      <rPr>
        <sz val="11"/>
        <color theme="1"/>
        <rFont val="Calibri"/>
      </rPr>
      <t>明天的考试。</t>
    </r>
  </si>
  <si>
    <t>Wǒ zhèngzài zhǔnbèi míngtiān de kǎoshì.</t>
  </si>
  <si>
    <t>Tôi đang chuẩn bị cho kỳ thi ngày mai.</t>
  </si>
  <si>
    <t>H2_B5_BG_14.gif</t>
  </si>
  <si>
    <t>H2_B5_14.mp3</t>
  </si>
  <si>
    <t>H2_B5_VD_14.mp3</t>
  </si>
  <si>
    <t>奶茶</t>
  </si>
  <si>
    <t>&lt;ruby&gt;奶茶&lt;rt&gt;nǎi chá&lt;/rt&gt;&lt;/ruby&gt;</t>
  </si>
  <si>
    <t>nǎi chá</t>
  </si>
  <si>
    <t>Trà sữa</t>
  </si>
  <si>
    <r>
      <rPr>
        <sz val="11"/>
        <color theme="1"/>
        <rFont val="Calibri"/>
      </rPr>
      <t>我喜欢喝珍珠</t>
    </r>
    <r>
      <rPr>
        <b/>
        <sz val="11"/>
        <color theme="1"/>
        <rFont val="Calibri"/>
      </rPr>
      <t>奶茶</t>
    </r>
    <r>
      <rPr>
        <sz val="11"/>
        <color theme="1"/>
        <rFont val="Calibri"/>
      </rPr>
      <t>。</t>
    </r>
  </si>
  <si>
    <t>Wǒ xǐhuan hē zhēnzhū nǎichá.</t>
  </si>
  <si>
    <t>Tôi thích uống trà sữa trân châu.</t>
  </si>
  <si>
    <t>H2_B5_BG_15.gif</t>
  </si>
  <si>
    <t>H2_B5_15.mp3</t>
  </si>
  <si>
    <t>H2_B5_VD_15.mp3</t>
  </si>
  <si>
    <t>跟</t>
  </si>
  <si>
    <t>&lt;ruby&gt;跟&lt;rt&gt;gēn&lt;/rt&gt;&lt;/ruby&gt;</t>
  </si>
  <si>
    <t>gēn</t>
  </si>
  <si>
    <t>Cùng, với</t>
  </si>
  <si>
    <r>
      <rPr>
        <sz val="11"/>
        <color theme="1"/>
        <rFont val="Calibri"/>
      </rPr>
      <t>我喜欢</t>
    </r>
    <r>
      <rPr>
        <b/>
        <sz val="11"/>
        <color theme="1"/>
        <rFont val="Calibri"/>
      </rPr>
      <t>跟</t>
    </r>
    <r>
      <rPr>
        <sz val="11"/>
        <color theme="1"/>
        <rFont val="Calibri"/>
      </rPr>
      <t>朋友一起出去玩儿。</t>
    </r>
  </si>
  <si>
    <t>Wǒ xǐhuān gēn péngyou yīqǐ chūqù wánr.</t>
  </si>
  <si>
    <t>Tôi thích đi chơi cùng bạn bè.</t>
  </si>
  <si>
    <t>H2_B5_BG_16.gif</t>
  </si>
  <si>
    <t>H2_B5_16.mp3</t>
  </si>
  <si>
    <t>H2_B5_VD_16.mp3</t>
  </si>
  <si>
    <t>走</t>
  </si>
  <si>
    <t>&lt;ruby&gt;走&lt;rt&gt;zǒu&lt;/rt&gt;&lt;/ruby&gt;</t>
  </si>
  <si>
    <t>zǒu</t>
  </si>
  <si>
    <t>Đi, đi bộ</t>
  </si>
  <si>
    <r>
      <rPr>
        <sz val="11"/>
        <color theme="1"/>
        <rFont val="Calibri"/>
      </rPr>
      <t>我们</t>
    </r>
    <r>
      <rPr>
        <b/>
        <sz val="11"/>
        <color theme="1"/>
        <rFont val="Calibri"/>
      </rPr>
      <t>走</t>
    </r>
    <r>
      <rPr>
        <sz val="11"/>
        <color theme="1"/>
        <rFont val="Calibri"/>
      </rPr>
      <t>路去学校吧。</t>
    </r>
  </si>
  <si>
    <t>Wǒmen zǒulù qù xuéxiào ba.</t>
  </si>
  <si>
    <t>Chúng ta đi bộ đến trường nhé.</t>
  </si>
  <si>
    <t>H2_B5_BG_17.gif</t>
  </si>
  <si>
    <t>H2_B5_17.mp3</t>
  </si>
  <si>
    <t>H2_B5_VD_17.mp3</t>
  </si>
  <si>
    <t>酒店</t>
  </si>
  <si>
    <t>&lt;ruby&gt;酒店&lt;rt&gt;jiǔ diàn&lt;/rt&gt;&lt;/ruby&gt;</t>
  </si>
  <si>
    <t>jiǔ diàn</t>
  </si>
  <si>
    <t>Khách sạn</t>
  </si>
  <si>
    <r>
      <rPr>
        <sz val="11"/>
        <color theme="1"/>
        <rFont val="Calibri"/>
      </rPr>
      <t>我们在网上预订了</t>
    </r>
    <r>
      <rPr>
        <b/>
        <sz val="11"/>
        <color theme="1"/>
        <rFont val="Calibri"/>
      </rPr>
      <t>酒店</t>
    </r>
    <r>
      <rPr>
        <sz val="11"/>
        <color theme="1"/>
        <rFont val="Calibri"/>
      </rPr>
      <t>。</t>
    </r>
  </si>
  <si>
    <t>Wǒmen zài wǎngshàng yùdìng le jiǔdiàn.</t>
  </si>
  <si>
    <t>Chúng tôi đã đặt khách sạn trên mạng.</t>
  </si>
  <si>
    <t>H2_B5_BG_18.gif</t>
  </si>
  <si>
    <t>H2_B5_18.mp3</t>
  </si>
  <si>
    <t>H2_B5_VD_18.mp3</t>
  </si>
  <si>
    <t>生日</t>
  </si>
  <si>
    <t>&lt;ruby&gt;生日&lt;rt&gt;shēngrì&lt;/rt&gt;&lt;/ruby&gt;</t>
  </si>
  <si>
    <t>shēngrì</t>
  </si>
  <si>
    <t>Sinh nhật</t>
  </si>
  <si>
    <r>
      <rPr>
        <sz val="11"/>
        <color theme="1"/>
        <rFont val="Calibri"/>
      </rPr>
      <t>这个</t>
    </r>
    <r>
      <rPr>
        <b/>
        <sz val="11"/>
        <color theme="1"/>
        <rFont val="Calibri"/>
      </rPr>
      <t>生日</t>
    </r>
    <r>
      <rPr>
        <sz val="11"/>
        <color theme="1"/>
        <rFont val="Calibri"/>
      </rPr>
      <t>蛋糕又漂亮又好吃。</t>
    </r>
  </si>
  <si>
    <t>Zhège shēngrì dàngāo yòu piàoliang yòu hǎochī.</t>
  </si>
  <si>
    <t>Chiếc bánh sinh nhật này vừa đẹp vừa ngon.</t>
  </si>
  <si>
    <t>H2_B6_BG_1.gif</t>
  </si>
  <si>
    <t>H2_B6_1.mp3</t>
  </si>
  <si>
    <t>H2_B6_VD_1.mp3</t>
  </si>
  <si>
    <t>忘</t>
  </si>
  <si>
    <t>&lt;ruby&gt;忘&lt;rt&gt;wàng&lt;/rt&gt;&lt;/ruby&gt;</t>
  </si>
  <si>
    <t>wàng</t>
  </si>
  <si>
    <t>Quên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</si>
  <si>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忘</t>
    </r>
    <r>
      <rPr>
        <sz val="11"/>
        <color theme="1"/>
        <rFont val="Calibri"/>
      </rPr>
      <t>了带钥匙。</t>
    </r>
  </si>
  <si>
    <t>Wǒ wàng le dài yàoshi.</t>
  </si>
  <si>
    <t>Tôi quên mang chìa khóa rồi.</t>
  </si>
  <si>
    <t>H2_B6_BG_2.gif</t>
  </si>
  <si>
    <t>H2_B6_2.mp3</t>
  </si>
  <si>
    <t>H2_B6_VD_2.mp3</t>
  </si>
  <si>
    <t>69dcb49cc835ecc11e3eb696</t>
  </si>
  <si>
    <t>画</t>
  </si>
  <si>
    <t>&lt;ruby&gt;画&lt;rt&gt;huà&lt;/rt&gt;&lt;/ruby&gt;</t>
  </si>
  <si>
    <t>huà</t>
  </si>
  <si>
    <t>Vẽ; tranh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</si>
  <si>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画</t>
    </r>
    <r>
      <rPr>
        <sz val="11"/>
        <color theme="1"/>
        <rFont val="Calibri"/>
      </rPr>
      <t>了一幅风景画。</t>
    </r>
  </si>
  <si>
    <t>Wǒ huà le yī fú fēngjǐng huà.</t>
  </si>
  <si>
    <t>Tôi vẽ một bức tranh phong cảnh.</t>
  </si>
  <si>
    <t>H2_B6_BG_3.gif</t>
  </si>
  <si>
    <t>H2_B6_3.mp3</t>
  </si>
  <si>
    <t>H2_B6_VD_3.mp3</t>
  </si>
  <si>
    <t>画笔</t>
  </si>
  <si>
    <t>&lt;ruby&gt;画笔&lt;rt&gt;huà bǐ&lt;/rt&gt;&lt;/ruby&gt;</t>
  </si>
  <si>
    <t>huà bǐ</t>
  </si>
  <si>
    <t>Bút vẽ</t>
  </si>
  <si>
    <r>
      <rPr>
        <sz val="11"/>
        <color theme="1"/>
        <rFont val="Calibri"/>
      </rPr>
      <t>我用</t>
    </r>
    <r>
      <rPr>
        <b/>
        <sz val="11"/>
        <color theme="1"/>
        <rFont val="Calibri"/>
      </rPr>
      <t>画笔</t>
    </r>
    <r>
      <rPr>
        <sz val="11"/>
        <color theme="1"/>
        <rFont val="Calibri"/>
      </rPr>
      <t>画了一幅画。</t>
    </r>
  </si>
  <si>
    <t>Wǒ yòng huàbǐ huà le yì fú huà.</t>
  </si>
  <si>
    <t>Tôi dùng bút vẽ để vẽ một bức tranh.</t>
  </si>
  <si>
    <t>H2_B6_BG_4.gif</t>
  </si>
  <si>
    <t>H2_B6_4.mp3</t>
  </si>
  <si>
    <t>H2_B6_VD_4.mp3</t>
  </si>
  <si>
    <t>蛋糕</t>
  </si>
  <si>
    <t>&lt;ruby&gt;蛋糕&lt;rt&gt;dàn gāo&lt;/rt&gt;&lt;/ruby&gt;</t>
  </si>
  <si>
    <t>dàn gāo</t>
  </si>
  <si>
    <t>Bánh kem</t>
  </si>
  <si>
    <r>
      <rPr>
        <sz val="11"/>
        <color theme="1"/>
        <rFont val="Calibri"/>
      </rPr>
      <t>今天是我的生日，妈妈给我买了一个大</t>
    </r>
    <r>
      <rPr>
        <b/>
        <sz val="11"/>
        <color theme="1"/>
        <rFont val="Calibri"/>
      </rPr>
      <t>蛋糕</t>
    </r>
    <r>
      <rPr>
        <sz val="11"/>
        <color theme="1"/>
        <rFont val="Calibri"/>
      </rPr>
      <t>。</t>
    </r>
  </si>
  <si>
    <t>Jīntiān shì wǒ de shēngrì, māma gěi wǒ mǎi le yí ge dà dàngāo.</t>
  </si>
  <si>
    <t>Hôm nay là sinh nhật của tôi, mẹ đã mua cho tôi một chiếc bánh kem lớn.</t>
  </si>
  <si>
    <t>H2_B6_BG_5.gif</t>
  </si>
  <si>
    <t>H2_B6_5.mp3</t>
  </si>
  <si>
    <t>H2_B6_VD_5.mp3</t>
  </si>
  <si>
    <t>快乐</t>
  </si>
  <si>
    <t>&lt;ruby&gt;快乐&lt;rt&gt;kuàilè&lt;/rt&gt;&lt;/ruby&gt;</t>
  </si>
  <si>
    <t>kuàilè</t>
  </si>
  <si>
    <t>Vui vẻ</t>
  </si>
  <si>
    <r>
      <rPr>
        <sz val="11"/>
        <color theme="1"/>
        <rFont val="Calibri"/>
      </rPr>
      <t>祝你生日</t>
    </r>
    <r>
      <rPr>
        <b/>
        <sz val="11"/>
        <color theme="1"/>
        <rFont val="Calibri"/>
      </rPr>
      <t>快乐</t>
    </r>
    <r>
      <rPr>
        <sz val="11"/>
        <color theme="1"/>
        <rFont val="Calibri"/>
      </rPr>
      <t>！</t>
    </r>
  </si>
  <si>
    <t>Zhù nǐ shēngrì kuàilè!</t>
  </si>
  <si>
    <t>Chúc cậu sinh nhật vui vẻ!</t>
  </si>
  <si>
    <t>H2_B6_BG_6.gif</t>
  </si>
  <si>
    <t>H2_B6_6.mp3</t>
  </si>
  <si>
    <t>H2_B6_VD_6.mp3</t>
  </si>
  <si>
    <t>打开</t>
  </si>
  <si>
    <t>&lt;ruby&gt;打开&lt;rt&gt;dǎ kāi&lt;/rt&gt;&lt;/ruby&gt;</t>
  </si>
  <si>
    <t>dǎ kāi</t>
  </si>
  <si>
    <t>Mở ra</t>
  </si>
  <si>
    <r>
      <rPr>
        <sz val="11"/>
        <color theme="1"/>
        <rFont val="Calibri"/>
      </rPr>
      <t>请</t>
    </r>
    <r>
      <rPr>
        <b/>
        <sz val="11"/>
        <color theme="1"/>
        <rFont val="Calibri"/>
      </rPr>
      <t>打开</t>
    </r>
    <r>
      <rPr>
        <sz val="11"/>
        <color theme="1"/>
        <rFont val="Calibri"/>
      </rPr>
      <t>门。</t>
    </r>
  </si>
  <si>
    <t>Qǐng dǎkāi mén.</t>
  </si>
  <si>
    <t>Xin mời mở cửa.</t>
  </si>
  <si>
    <t>H2_B6_BG_7.gif</t>
  </si>
  <si>
    <t>H2_B6_7.mp3</t>
  </si>
  <si>
    <t>H2_B6_VD_7.mp3</t>
  </si>
  <si>
    <t>长</t>
  </si>
  <si>
    <t>&lt;ruby&gt;长&lt;rt&gt;cháng&lt;/rt&gt;&lt;/ruby&gt;</t>
  </si>
  <si>
    <t>cháng</t>
  </si>
  <si>
    <t>Dài, lâu</t>
  </si>
  <si>
    <r>
      <rPr>
        <sz val="11"/>
        <color theme="1"/>
        <rFont val="Calibri"/>
      </rPr>
      <t>这条围巾很</t>
    </r>
    <r>
      <rPr>
        <b/>
        <sz val="11"/>
        <color theme="1"/>
        <rFont val="Calibri"/>
      </rPr>
      <t>长</t>
    </r>
    <r>
      <rPr>
        <sz val="11"/>
        <color theme="1"/>
        <rFont val="Calibri"/>
      </rPr>
      <t>。</t>
    </r>
  </si>
  <si>
    <t>Zhè tiáo wéijīn hěn cháng.</t>
  </si>
  <si>
    <t>Chiếc khăn này rất dài.</t>
  </si>
  <si>
    <t>H2_B6_BG_8.gif</t>
  </si>
  <si>
    <t>H2_B6_8.mp3</t>
  </si>
  <si>
    <t>H2_B6_VD_8.mp3</t>
  </si>
  <si>
    <t>鱼</t>
  </si>
  <si>
    <t>&lt;ruby&gt;鱼&lt;rt&gt;yú&lt;/rt&gt;&lt;/ruby&gt;</t>
  </si>
  <si>
    <t>yú</t>
  </si>
  <si>
    <t>Cá, món cá</t>
  </si>
  <si>
    <r>
      <rPr>
        <sz val="11"/>
        <color theme="1"/>
        <rFont val="Calibri"/>
      </rPr>
      <t>我不太喜欢吃</t>
    </r>
    <r>
      <rPr>
        <b/>
        <sz val="11"/>
        <color theme="1"/>
        <rFont val="Calibri"/>
      </rPr>
      <t>鱼</t>
    </r>
    <r>
      <rPr>
        <sz val="11"/>
        <color theme="1"/>
        <rFont val="Calibri"/>
      </rPr>
      <t>。</t>
    </r>
  </si>
  <si>
    <t>Wǒ bú tài xǐhuan chī yú.</t>
  </si>
  <si>
    <t>Tôi không thích ăn cá.</t>
  </si>
  <si>
    <t>H2_B6_BG_9.gif</t>
  </si>
  <si>
    <t>H2_B6_9.mp3</t>
  </si>
  <si>
    <t>H2_B6_VD_9.mp3</t>
  </si>
  <si>
    <t>肉</t>
  </si>
  <si>
    <t>&lt;ruby&gt;肉&lt;rt&gt;ròu&lt;/rt&gt;&lt;/ruby&gt;</t>
  </si>
  <si>
    <t>ròu</t>
  </si>
  <si>
    <t>Thịt</t>
  </si>
  <si>
    <r>
      <rPr>
        <sz val="11"/>
        <color theme="1"/>
        <rFont val="Calibri"/>
      </rPr>
      <t>我喜欢吃</t>
    </r>
    <r>
      <rPr>
        <b/>
        <sz val="11"/>
        <color theme="1"/>
        <rFont val="Calibri"/>
      </rPr>
      <t>肉</t>
    </r>
    <r>
      <rPr>
        <sz val="11"/>
        <color theme="1"/>
        <rFont val="Calibri"/>
      </rPr>
      <t>。</t>
    </r>
  </si>
  <si>
    <t>Wǒ xǐhuan chī ròu.</t>
  </si>
  <si>
    <t>Tôi thích ăn thịt.</t>
  </si>
  <si>
    <t>H2_B6_BG_10.gif</t>
  </si>
  <si>
    <t>H2_B6_10.mp3</t>
  </si>
  <si>
    <t>H2_B6_VD_10.mp3</t>
  </si>
  <si>
    <t>过</t>
  </si>
  <si>
    <t>Ăn (mừng), trải qua</t>
  </si>
  <si>
    <r>
      <rPr>
        <sz val="11"/>
        <color theme="1"/>
        <rFont val="Calibri"/>
      </rPr>
      <t>我回老家</t>
    </r>
    <r>
      <rPr>
        <b/>
        <sz val="11"/>
        <color theme="1"/>
        <rFont val="Calibri"/>
      </rPr>
      <t>过</t>
    </r>
    <r>
      <rPr>
        <sz val="11"/>
        <color theme="1"/>
        <rFont val="Calibri"/>
      </rPr>
      <t>年，和家人一起庆祝。</t>
    </r>
  </si>
  <si>
    <t>Wǒ huí lǎojiā guònián, hé jiārén yīqǐ qìngzhù.</t>
  </si>
  <si>
    <t>Tôi về quê đón tết cùng gia đình.</t>
  </si>
  <si>
    <t>H2_B6_BG_11.gif</t>
  </si>
  <si>
    <t>H2_B6_11.mp3</t>
  </si>
  <si>
    <t>H2_B6_VD_11.mp3</t>
  </si>
  <si>
    <t>地</t>
  </si>
  <si>
    <t>&lt;ruby&gt;地&lt;rt&gt;de&lt;/rt&gt;&lt;/ruby&gt;</t>
  </si>
  <si>
    <t>Được dùng để nối trạng ngữ với động từ mà nó bổ nghĩa</t>
  </si>
  <si>
    <r>
      <rPr>
        <sz val="11"/>
        <color theme="1"/>
        <rFont val="Calibri"/>
      </rPr>
      <t>她高兴</t>
    </r>
    <r>
      <rPr>
        <b/>
        <sz val="11"/>
        <color theme="1"/>
        <rFont val="Calibri"/>
      </rPr>
      <t>地</t>
    </r>
    <r>
      <rPr>
        <sz val="11"/>
        <color theme="1"/>
        <rFont val="Calibri"/>
      </rPr>
      <t>笑着。</t>
    </r>
  </si>
  <si>
    <t>Tā gāoxìng de xiàozhe.</t>
  </si>
  <si>
    <t>Cô ấy đang cười một cách vui vẻ.</t>
  </si>
  <si>
    <t>H2_B6_BG_12.gif</t>
  </si>
  <si>
    <t>H2_B6_12.mp3</t>
  </si>
  <si>
    <t>H2_B6_VD_12.mp3</t>
  </si>
  <si>
    <t>床</t>
  </si>
  <si>
    <t>&lt;ruby&gt;床&lt;rt&gt;chuáng&lt;/rt&gt;&lt;/ruby&gt;</t>
  </si>
  <si>
    <t>chuáng</t>
  </si>
  <si>
    <t>Cái giường</t>
  </si>
  <si>
    <r>
      <rPr>
        <sz val="11"/>
        <color theme="1"/>
        <rFont val="Calibri"/>
      </rPr>
      <t>我的</t>
    </r>
    <r>
      <rPr>
        <b/>
        <sz val="11"/>
        <color theme="1"/>
        <rFont val="Calibri"/>
      </rPr>
      <t>床</t>
    </r>
    <r>
      <rPr>
        <sz val="11"/>
        <color theme="1"/>
        <rFont val="Calibri"/>
      </rPr>
      <t>很舒服。</t>
    </r>
  </si>
  <si>
    <t>Wǒ de chuáng hěn shūfu.</t>
  </si>
  <si>
    <t>Cái giường của tôi rất thoải mái.</t>
  </si>
  <si>
    <t>H2_B6_BG_13.gif</t>
  </si>
  <si>
    <t>H2_B6_13.mp3</t>
  </si>
  <si>
    <t>H2_B6_VD_13.mp3</t>
  </si>
  <si>
    <t>舒服</t>
  </si>
  <si>
    <t>&lt;ruby&gt;舒服&lt;rt&gt;shūfu&lt;/rt&gt;&lt;/ruby&gt;</t>
  </si>
  <si>
    <t>shūfu</t>
  </si>
  <si>
    <t>Thoải mái, dễ chịu</t>
  </si>
  <si>
    <r>
      <rPr>
        <sz val="11"/>
        <color theme="1"/>
        <rFont val="Calibri"/>
      </rPr>
      <t>小孩子觉得很</t>
    </r>
    <r>
      <rPr>
        <b/>
        <sz val="11"/>
        <color theme="1"/>
        <rFont val="Calibri"/>
      </rPr>
      <t>舒服</t>
    </r>
    <r>
      <rPr>
        <sz val="11"/>
        <color theme="1"/>
        <rFont val="Calibri"/>
      </rPr>
      <t>。</t>
    </r>
  </si>
  <si>
    <t>Xiǎo háizi juéde hěn shūfu.</t>
  </si>
  <si>
    <t>Đứa trẻ cảm thấy rất thoải mái.</t>
  </si>
  <si>
    <t>H2_B6_BG_14.gif</t>
  </si>
  <si>
    <t>H2_B6_14.mp3</t>
  </si>
  <si>
    <t>H2_B6_VD_14.mp3</t>
  </si>
  <si>
    <t>从</t>
  </si>
  <si>
    <t>&lt;ruby&gt;从&lt;rt&gt;cóng&lt;/rt&gt;&lt;/ruby&gt;</t>
  </si>
  <si>
    <t>cóng</t>
  </si>
  <si>
    <t>Từ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</si>
  <si>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从</t>
    </r>
    <r>
      <rPr>
        <sz val="11"/>
        <color theme="1"/>
        <rFont val="Calibri"/>
      </rPr>
      <t>学校回家很快。</t>
    </r>
  </si>
  <si>
    <t>Tā cóng xuéxiào huíjiā hěn kuài.</t>
  </si>
  <si>
    <t>Anh ấy từ trường về nhà rất nhanh.</t>
  </si>
  <si>
    <t>H2_B7_BG_1.gif</t>
  </si>
  <si>
    <t>H2_B7_1.mp3</t>
  </si>
  <si>
    <t>H2_B7_VD_1.mp3</t>
  </si>
  <si>
    <t>往</t>
  </si>
  <si>
    <t>&lt;ruby&gt;往&lt;rt&gt;wǎng&lt;/rt&gt;&lt;/ruby&gt;</t>
  </si>
  <si>
    <t>wǎng</t>
  </si>
  <si>
    <t>Về phía</t>
  </si>
  <si>
    <r>
      <rPr>
        <sz val="11"/>
        <color theme="1"/>
        <rFont val="Calibri"/>
      </rPr>
      <t>你一直</t>
    </r>
    <r>
      <rPr>
        <b/>
        <sz val="11"/>
        <color theme="1"/>
        <rFont val="Calibri"/>
      </rPr>
      <t>往</t>
    </r>
    <r>
      <rPr>
        <sz val="11"/>
        <color theme="1"/>
        <rFont val="Calibri"/>
      </rPr>
      <t>前走就到了。</t>
    </r>
  </si>
  <si>
    <t>Nǐ yīzhí wǎng qián zǒu jiù dào le.</t>
  </si>
  <si>
    <t>Bạn cứ đi thẳng là đến.</t>
  </si>
  <si>
    <t>H2_B7_BG_2.gif</t>
  </si>
  <si>
    <t>H2_B7_2.mp3</t>
  </si>
  <si>
    <t>H2_B7_VD_2.mp3</t>
  </si>
  <si>
    <t>69dcbb49c835ecc11e3eb6a9</t>
  </si>
  <si>
    <t>跑</t>
  </si>
  <si>
    <t>&lt;ruby&gt;跑&lt;rt&gt;pǎo&lt;/rt&gt;&lt;/ruby&gt;</t>
  </si>
  <si>
    <t>pǎo</t>
  </si>
  <si>
    <t>Chạy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</si>
  <si>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跑</t>
    </r>
    <r>
      <rPr>
        <sz val="11"/>
        <color theme="1"/>
        <rFont val="Calibri"/>
      </rPr>
      <t>得很快。</t>
    </r>
  </si>
  <si>
    <t>Anh ấy chạy rất nhanh.</t>
  </si>
  <si>
    <t>H2_B7_BG_3.gif</t>
  </si>
  <si>
    <t>H2_B7_3.mp3</t>
  </si>
  <si>
    <t>H2_B7_VD_3.mp3</t>
  </si>
  <si>
    <t xml:space="preserve">打 </t>
  </si>
  <si>
    <t>&lt;ruby&gt;打&lt;rt&gt;dǎ&lt;/rt&gt;&lt;/ruby&gt;</t>
  </si>
  <si>
    <t>dǎ</t>
  </si>
  <si>
    <t>Chơi (game), đánh (cầu)</t>
  </si>
  <si>
    <r>
      <rPr>
        <sz val="11"/>
        <color theme="1"/>
        <rFont val="Calibri"/>
      </rPr>
      <t>我弟弟喜欢</t>
    </r>
    <r>
      <rPr>
        <b/>
        <sz val="11"/>
        <color theme="1"/>
        <rFont val="Calibri"/>
      </rPr>
      <t>打</t>
    </r>
    <r>
      <rPr>
        <sz val="11"/>
        <color theme="1"/>
        <rFont val="Calibri"/>
      </rPr>
      <t>游戏。</t>
    </r>
  </si>
  <si>
    <t>Wǒ dìdi xǐhuan dǎ yóuxì.</t>
  </si>
  <si>
    <t>Em trai tôi thích chơi game.</t>
  </si>
  <si>
    <t>H2_B7_BG_4.gif</t>
  </si>
  <si>
    <t>H2_B7_4.mp3</t>
  </si>
  <si>
    <t>H2_B7_VD_4.mp3</t>
  </si>
  <si>
    <t>篮球</t>
  </si>
  <si>
    <t>&lt;ruby&gt;篮球&lt;rt&gt;lán qiú&lt;/rt&gt;&lt;/ruby&gt;</t>
  </si>
  <si>
    <t>lán qiú</t>
  </si>
  <si>
    <t>Bóng rổ</t>
  </si>
  <si>
    <r>
      <rPr>
        <sz val="11"/>
        <color theme="1"/>
        <rFont val="Calibri"/>
      </rPr>
      <t>我喜欢打</t>
    </r>
    <r>
      <rPr>
        <b/>
        <sz val="11"/>
        <color theme="1"/>
        <rFont val="Calibri"/>
      </rPr>
      <t>篮球</t>
    </r>
    <r>
      <rPr>
        <sz val="11"/>
        <color theme="1"/>
        <rFont val="Calibri"/>
      </rPr>
      <t>。</t>
    </r>
  </si>
  <si>
    <t>Wǒ xǐhuan dǎ lánqiú.</t>
  </si>
  <si>
    <t>Tôi thích chơi bóng rổ.</t>
  </si>
  <si>
    <t>H2_B7_BG_5.gif</t>
  </si>
  <si>
    <t>H2_B7_5.mp3</t>
  </si>
  <si>
    <t>H2_B7_VD_5.mp3</t>
  </si>
  <si>
    <t>运动</t>
  </si>
  <si>
    <t>&lt;ruby&gt;运动&lt;rt&gt;yùndòng&lt;/rt&gt;&lt;/ruby&gt;</t>
  </si>
  <si>
    <t>yùndòng</t>
  </si>
  <si>
    <t>Danh từ/ Động từ</t>
  </si>
  <si>
    <t>Môn thể thao; tập thể dục/thể thao</t>
  </si>
  <si>
    <r>
      <rPr>
        <sz val="11"/>
        <color theme="1"/>
        <rFont val="Calibri"/>
      </rPr>
      <t>他每天都</t>
    </r>
    <r>
      <rPr>
        <b/>
        <sz val="11"/>
        <color theme="1"/>
        <rFont val="Calibri"/>
      </rPr>
      <t>运动</t>
    </r>
    <r>
      <rPr>
        <sz val="11"/>
        <color theme="1"/>
        <rFont val="Calibri"/>
      </rPr>
      <t>。</t>
    </r>
  </si>
  <si>
    <t>Tā měitiān dōu yùndòng.</t>
  </si>
  <si>
    <t>Anh ấy tập thể dục mỗi ngày.</t>
  </si>
  <si>
    <t>H2_B7_BG_6.gif</t>
  </si>
  <si>
    <t>H2_B7_6.mp3</t>
  </si>
  <si>
    <t>H2_B7_VD_6.mp3</t>
  </si>
  <si>
    <t>踢</t>
  </si>
  <si>
    <t>&lt;ruby&gt;踢&lt;rt&gt;tī&lt;/rt&gt;&lt;/ruby&gt;</t>
  </si>
  <si>
    <t>tī</t>
  </si>
  <si>
    <t>Đá (bóng)</t>
  </si>
  <si>
    <r>
      <rPr>
        <sz val="11"/>
        <color theme="1"/>
        <rFont val="Calibri"/>
      </rPr>
      <t>他喜欢</t>
    </r>
    <r>
      <rPr>
        <b/>
        <sz val="11"/>
        <color theme="1"/>
        <rFont val="Calibri"/>
      </rPr>
      <t>踢</t>
    </r>
    <r>
      <rPr>
        <sz val="11"/>
        <color theme="1"/>
        <rFont val="Calibri"/>
      </rPr>
      <t>足球。</t>
    </r>
  </si>
  <si>
    <t>Tā xǐhuan tī zúqiú.</t>
  </si>
  <si>
    <t>Anh ấy thích đá bóng.</t>
  </si>
  <si>
    <t>H2_B7_BG_7.gif</t>
  </si>
  <si>
    <t>H2_B7_7.mp3</t>
  </si>
  <si>
    <t>H2_B7_VD_7.mp3</t>
  </si>
  <si>
    <t>足球</t>
  </si>
  <si>
    <t>&lt;ruby&gt;足球&lt;rt&gt;zú qiú&lt;/rt&gt;&lt;/ruby&gt;</t>
  </si>
  <si>
    <t>zú qiú</t>
  </si>
  <si>
    <t>Bóng đá</t>
  </si>
  <si>
    <r>
      <rPr>
        <sz val="11"/>
        <color theme="1"/>
        <rFont val="Calibri"/>
      </rPr>
      <t>我喜欢踢</t>
    </r>
    <r>
      <rPr>
        <b/>
        <sz val="11"/>
        <color theme="1"/>
        <rFont val="Calibri"/>
      </rPr>
      <t>足球</t>
    </r>
    <r>
      <rPr>
        <sz val="11"/>
        <color theme="1"/>
        <rFont val="Calibri"/>
      </rPr>
      <t>。</t>
    </r>
  </si>
  <si>
    <t>Wǒ xǐhuan tī zúqiú.</t>
  </si>
  <si>
    <t>Tôi thích đá bóng.</t>
  </si>
  <si>
    <t>H2_B7_BG_8.gif</t>
  </si>
  <si>
    <t>H2_B7_8.mp3</t>
  </si>
  <si>
    <t>H2_B7_VD_8.mp3</t>
  </si>
  <si>
    <t xml:space="preserve">球 </t>
  </si>
  <si>
    <t>&lt;ruby&gt;球&lt;rt&gt;qiú&lt;/rt&gt;&lt;/ruby&gt;</t>
  </si>
  <si>
    <t>qiú</t>
  </si>
  <si>
    <t>Cầu</t>
  </si>
  <si>
    <r>
      <rPr>
        <sz val="11"/>
        <color theme="1"/>
        <rFont val="Calibri"/>
      </rPr>
      <t>这个</t>
    </r>
    <r>
      <rPr>
        <b/>
        <sz val="11"/>
        <color theme="1"/>
        <rFont val="Calibri"/>
      </rPr>
      <t>球</t>
    </r>
    <r>
      <rPr>
        <sz val="11"/>
        <color theme="1"/>
        <rFont val="Calibri"/>
      </rPr>
      <t>是圆的。</t>
    </r>
  </si>
  <si>
    <t>Zhège qiú shì yuán de.</t>
  </si>
  <si>
    <t>Quả bóng này hình tròn.</t>
  </si>
  <si>
    <t>H2_B7_BG_9.gif</t>
  </si>
  <si>
    <t>H2_B7_9.mp3</t>
  </si>
  <si>
    <t>H2_B7_VD_9.mp3</t>
  </si>
  <si>
    <t xml:space="preserve">得 </t>
  </si>
  <si>
    <t>&lt;ruby&gt;得&lt;rt&gt;dé&lt;/rt&gt;&lt;/ruby&gt;</t>
  </si>
  <si>
    <t>dé</t>
  </si>
  <si>
    <t>Trợ từ kết cấu</t>
  </si>
  <si>
    <t>Đứng sau động từ/tính từ để nối với bổ ngữ chỉ mức độ hoặc khả năng</t>
  </si>
  <si>
    <r>
      <rPr>
        <sz val="11"/>
        <color theme="1"/>
        <rFont val="Calibri"/>
      </rPr>
      <t>他跑</t>
    </r>
    <r>
      <rPr>
        <b/>
        <sz val="11"/>
        <color theme="1"/>
        <rFont val="Calibri"/>
      </rPr>
      <t>得</t>
    </r>
    <r>
      <rPr>
        <sz val="11"/>
        <color theme="1"/>
        <rFont val="Calibri"/>
      </rPr>
      <t>很快。</t>
    </r>
  </si>
  <si>
    <t>H2_B7_BG_10.gif</t>
  </si>
  <si>
    <t>H2_B7_10.mp3</t>
  </si>
  <si>
    <t>H2_B7_VD_10.mp3</t>
  </si>
  <si>
    <t>跑步</t>
  </si>
  <si>
    <t>&lt;ruby&gt;跑步&lt;rt&gt;pǎo bù&lt;/rt&gt;&lt;/ruby&gt;</t>
  </si>
  <si>
    <t>pǎo bù</t>
  </si>
  <si>
    <t>Chạy bộ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</si>
  <si>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跑步</t>
    </r>
    <r>
      <rPr>
        <sz val="11"/>
        <color theme="1"/>
        <rFont val="Calibri"/>
      </rPr>
      <t>跑得很快。</t>
    </r>
  </si>
  <si>
    <t>Tā pǎobù pǎo de hěn kuài.</t>
  </si>
  <si>
    <t>H2_B7_BG_11.gif</t>
  </si>
  <si>
    <t>H2_B7_11.mp3</t>
  </si>
  <si>
    <t>H2_B7_VD_11.mp3</t>
  </si>
  <si>
    <t>游泳</t>
  </si>
  <si>
    <t>&lt;ruby&gt;游泳&lt;rt&gt;yóu yǒng&lt;/rt&gt;&lt;/ruby&gt;</t>
  </si>
  <si>
    <t>yóu yǒng</t>
  </si>
  <si>
    <t>Bơi</t>
  </si>
  <si>
    <r>
      <rPr>
        <sz val="11"/>
        <color theme="1"/>
        <rFont val="Calibri"/>
      </rPr>
      <t>我周末经常去</t>
    </r>
    <r>
      <rPr>
        <b/>
        <sz val="11"/>
        <color theme="1"/>
        <rFont val="Calibri"/>
      </rPr>
      <t>游泳</t>
    </r>
    <r>
      <rPr>
        <sz val="11"/>
        <color theme="1"/>
        <rFont val="Calibri"/>
      </rPr>
      <t>。</t>
    </r>
  </si>
  <si>
    <t>Wǒ zhōumò jīngcháng qù yóuyǒng.</t>
  </si>
  <si>
    <t>Tôi thường đi bơi vào cuối tuần.</t>
  </si>
  <si>
    <t>H2_B7_BG_12.gif</t>
  </si>
  <si>
    <t>H2_B7_12.mp3</t>
  </si>
  <si>
    <t>H2_B7_VD_12.mp3</t>
  </si>
  <si>
    <t xml:space="preserve">游 </t>
  </si>
  <si>
    <t>&lt;ruby&gt;游&lt;rt&gt;yóu&lt;/rt&gt;&lt;/ruby&gt;</t>
  </si>
  <si>
    <t>yóu</t>
  </si>
  <si>
    <r>
      <rPr>
        <sz val="11"/>
        <color theme="1"/>
        <rFont val="Calibri"/>
      </rPr>
      <t>夏天我喜欢去</t>
    </r>
    <r>
      <rPr>
        <b/>
        <sz val="11"/>
        <color theme="1"/>
        <rFont val="Calibri"/>
      </rPr>
      <t>游</t>
    </r>
    <r>
      <rPr>
        <sz val="11"/>
        <color theme="1"/>
        <rFont val="Calibri"/>
      </rPr>
      <t>泳。</t>
    </r>
  </si>
  <si>
    <t>Xiàtiān wǒ xǐhuan qù yóuyǒng.</t>
  </si>
  <si>
    <t>Mùa hè tôi thích đi bơi.</t>
  </si>
  <si>
    <t>H2_B7_BG_13.gif</t>
  </si>
  <si>
    <t>H2_B7_13.mp3</t>
  </si>
  <si>
    <t>H2_B7_VD_13.mp3</t>
  </si>
  <si>
    <t>爱好</t>
  </si>
  <si>
    <t>&lt;ruby&gt;爱好&lt;rt&gt;àihào&lt;/rt&gt;&lt;/ruby&gt;</t>
  </si>
  <si>
    <t>àihào</t>
  </si>
  <si>
    <t>Sở thích</t>
  </si>
  <si>
    <r>
      <rPr>
        <sz val="11"/>
        <color theme="1"/>
        <rFont val="Calibri"/>
      </rPr>
      <t>她的</t>
    </r>
    <r>
      <rPr>
        <b/>
        <sz val="11"/>
        <color theme="1"/>
        <rFont val="Calibri"/>
      </rPr>
      <t>爱好</t>
    </r>
    <r>
      <rPr>
        <sz val="11"/>
        <color theme="1"/>
        <rFont val="Calibri"/>
      </rPr>
      <t>是购物。</t>
    </r>
  </si>
  <si>
    <t>Tā de àihào shì gòuwù.</t>
  </si>
  <si>
    <t>Sở thích của cô ấy là mua sắm.</t>
  </si>
  <si>
    <t>H2_B7_BG_14.gif</t>
  </si>
  <si>
    <t>H2_B7_14.mp3</t>
  </si>
  <si>
    <t>H2_B7_VD_14.mp3</t>
  </si>
  <si>
    <t>开始</t>
  </si>
  <si>
    <t>&lt;ruby&gt;开始&lt;rt&gt;kāishǐ&lt;/rt&gt;&lt;/ruby&gt;</t>
  </si>
  <si>
    <t>kāishǐ</t>
  </si>
  <si>
    <t>Bắt đầu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</si>
  <si>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开始</t>
    </r>
    <r>
      <rPr>
        <sz val="11"/>
        <color theme="1"/>
        <rFont val="Calibri"/>
      </rPr>
      <t>准备晚饭了。</t>
    </r>
  </si>
  <si>
    <t>Tā kāishǐ zhǔnbèi wǎnfàn le.</t>
  </si>
  <si>
    <t>Anh ấy bắt đầu chuẩn bị bữa tối.</t>
  </si>
  <si>
    <t>H2_B7_BG_15.gif</t>
  </si>
  <si>
    <t>H2_B7_15.mp3</t>
  </si>
  <si>
    <t>H2_B7_VD_15.mp3</t>
  </si>
  <si>
    <t>手表</t>
  </si>
  <si>
    <t>&lt;ruby&gt;手表&lt;rt&gt;shǒubiǎo&lt;/rt&gt;&lt;/ruby&gt;</t>
  </si>
  <si>
    <t>shǒubiǎo</t>
  </si>
  <si>
    <t>Đồng hồ đeo tay</t>
  </si>
  <si>
    <r>
      <rPr>
        <sz val="11"/>
        <color theme="1"/>
        <rFont val="Calibri"/>
      </rPr>
      <t>这块</t>
    </r>
    <r>
      <rPr>
        <b/>
        <sz val="11"/>
        <color theme="1"/>
        <rFont val="Calibri"/>
      </rPr>
      <t>手表</t>
    </r>
    <r>
      <rPr>
        <sz val="11"/>
        <color theme="1"/>
        <rFont val="Calibri"/>
      </rPr>
      <t>非常贵。</t>
    </r>
  </si>
  <si>
    <t>Zhè kuài shǒubiǎo fēicháng guì.</t>
  </si>
  <si>
    <t>Chiếc đồng hồ này rất đắt.</t>
  </si>
  <si>
    <t>H2_B8_BG_1.gif</t>
  </si>
  <si>
    <t>H2_B8_1.mp3</t>
  </si>
  <si>
    <t>H2_B8_VD_1.mp3</t>
  </si>
  <si>
    <t>左边</t>
  </si>
  <si>
    <t>&lt;ruby&gt;左边&lt;rt&gt;zuǒbiān&lt;/rt&gt;&lt;/ruby&gt;</t>
  </si>
  <si>
    <t>zuǒbiān</t>
  </si>
  <si>
    <t>Bên trái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</si>
  <si>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左边</t>
    </r>
    <r>
      <rPr>
        <sz val="11"/>
        <color theme="1"/>
        <rFont val="Calibri"/>
      </rPr>
      <t>就是超市。</t>
    </r>
  </si>
  <si>
    <t>Tā zuǒbiān jiù shì chāoshì.</t>
  </si>
  <si>
    <t>Bên trái anh ấy chính là siêu thị.</t>
  </si>
  <si>
    <t>H2_B8_BG_2.gif</t>
  </si>
  <si>
    <t>H2_B8_2.mp3</t>
  </si>
  <si>
    <t>H2_B8_VD_2.mp3</t>
  </si>
  <si>
    <t>69dcbb49c835ecc11e3eb6a8</t>
  </si>
  <si>
    <t xml:space="preserve">左 </t>
  </si>
  <si>
    <t>&lt;ruby&gt;左&lt;rt&gt;zuǒ&lt;/rt&gt;&lt;/ruby&gt;</t>
  </si>
  <si>
    <t>zuǒ</t>
  </si>
  <si>
    <r>
      <rPr>
        <sz val="11"/>
        <color theme="1"/>
        <rFont val="Calibri"/>
      </rPr>
      <t>请往</t>
    </r>
    <r>
      <rPr>
        <b/>
        <sz val="11"/>
        <color theme="1"/>
        <rFont val="Calibri"/>
      </rPr>
      <t>左</t>
    </r>
    <r>
      <rPr>
        <sz val="11"/>
        <color theme="1"/>
        <rFont val="Calibri"/>
      </rPr>
      <t>走。</t>
    </r>
  </si>
  <si>
    <t>Qǐng wǎng zuǒ zǒu.</t>
  </si>
  <si>
    <t>Mời đi về bên trái.</t>
  </si>
  <si>
    <t>H2_B8_BG_3.gif</t>
  </si>
  <si>
    <t>H2_B8_3.mp3</t>
  </si>
  <si>
    <t>H2_B8_VD_3.mp3</t>
  </si>
  <si>
    <t>比</t>
  </si>
  <si>
    <t>&lt;ruby&gt;比&lt;rt&gt;bǐ&lt;/rt&gt;&lt;/ruby&gt;</t>
  </si>
  <si>
    <t>bǐ</t>
  </si>
  <si>
    <t>Hơn (dùng trong cấu trúc so sánh)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</si>
  <si>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比</t>
    </r>
    <r>
      <rPr>
        <sz val="11"/>
        <color theme="1"/>
        <rFont val="Calibri"/>
      </rPr>
      <t>我画得好。</t>
    </r>
  </si>
  <si>
    <t>Tā bǐ wǒ huà de hǎo.</t>
  </si>
  <si>
    <t>Cô ấy vẽ đẹp hơn tôi.</t>
  </si>
  <si>
    <t>H2_B8_BG_4.gif</t>
  </si>
  <si>
    <t>H2_B8_4.mp3</t>
  </si>
  <si>
    <t>H2_B8_VD_4.mp3</t>
  </si>
  <si>
    <t>右边</t>
  </si>
  <si>
    <t>&lt;ruby&gt;右边&lt;rt&gt;yòubian&lt;/rt&gt;&lt;/ruby&gt;</t>
  </si>
  <si>
    <t>yòubian</t>
  </si>
  <si>
    <t>Bên phải</t>
  </si>
  <si>
    <r>
      <rPr>
        <b/>
        <sz val="11"/>
        <color theme="1"/>
        <rFont val="Calibri"/>
      </rPr>
      <t>右边</t>
    </r>
    <r>
      <rPr>
        <sz val="11"/>
        <color theme="1"/>
        <rFont val="Calibri"/>
      </rPr>
      <t>有声音。</t>
    </r>
  </si>
  <si>
    <t>Yòubiān yǒu shēngyīn.</t>
  </si>
  <si>
    <t>Bên phải có tiếng động</t>
  </si>
  <si>
    <t>H2_B8_BG_5.gif</t>
  </si>
  <si>
    <t>H2_B8_5.mp3</t>
  </si>
  <si>
    <t>H2_B8_VD_5.mp3</t>
  </si>
  <si>
    <t>右</t>
  </si>
  <si>
    <t>&lt;ruby&gt;右&lt;rt&gt;yòu&lt;/rt&gt;&lt;/ruby&gt;</t>
  </si>
  <si>
    <t>yòu</t>
  </si>
  <si>
    <r>
      <rPr>
        <sz val="11"/>
        <color theme="1"/>
        <rFont val="Calibri"/>
      </rPr>
      <t>请往</t>
    </r>
    <r>
      <rPr>
        <b/>
        <sz val="11"/>
        <color theme="1"/>
        <rFont val="Calibri"/>
      </rPr>
      <t>右</t>
    </r>
    <r>
      <rPr>
        <sz val="11"/>
        <color theme="1"/>
        <rFont val="Calibri"/>
      </rPr>
      <t>走。</t>
    </r>
  </si>
  <si>
    <t>Qǐng wǎng yòu zǒu.</t>
  </si>
  <si>
    <t>Mời đi về bên phải.</t>
  </si>
  <si>
    <t>H2_B8_BG_6.gif</t>
  </si>
  <si>
    <t>H2_B8_6.mp3</t>
  </si>
  <si>
    <t>H2_B8_VD_6.mp3</t>
  </si>
  <si>
    <t>记得</t>
  </si>
  <si>
    <t>&lt;ruby&gt;记得&lt;rt&gt;jìdé&lt;/rt&gt;&lt;/ruby&gt;</t>
  </si>
  <si>
    <t>jìdé</t>
  </si>
  <si>
    <t xml:space="preserve">Nhớ, còn nhớ </t>
  </si>
  <si>
    <r>
      <rPr>
        <sz val="11"/>
        <color theme="1"/>
        <rFont val="Calibri"/>
      </rPr>
      <t>我怎么会不</t>
    </r>
    <r>
      <rPr>
        <b/>
        <sz val="11"/>
        <color theme="1"/>
        <rFont val="Calibri"/>
      </rPr>
      <t>记得</t>
    </r>
    <r>
      <rPr>
        <sz val="11"/>
        <color theme="1"/>
        <rFont val="Calibri"/>
      </rPr>
      <t>这件事呢？</t>
    </r>
  </si>
  <si>
    <t>Wǒ zěnme huì bù jìdé zhè jiàn shì ne?</t>
  </si>
  <si>
    <t>Sao tôi lại không nhớ chuyện này nhỉ?</t>
  </si>
  <si>
    <t>H2_B8_BG_7.gif</t>
  </si>
  <si>
    <t>H2_B8_7.mp3</t>
  </si>
  <si>
    <t>H2_B8_VD_7.mp3</t>
  </si>
  <si>
    <t>爱情片</t>
  </si>
  <si>
    <t>&lt;ruby&gt;爱情片&lt;rt&gt;ài qíng piàn&lt;/rt&gt;&lt;/ruby&gt;</t>
  </si>
  <si>
    <t>ài qíng piàn</t>
  </si>
  <si>
    <t>Phim tình cảm</t>
  </si>
  <si>
    <r>
      <rPr>
        <sz val="11"/>
        <color theme="1"/>
        <rFont val="Calibri"/>
      </rPr>
      <t>这部</t>
    </r>
    <r>
      <rPr>
        <b/>
        <sz val="11"/>
        <color theme="1"/>
        <rFont val="Calibri"/>
      </rPr>
      <t>爱情片</t>
    </r>
    <r>
      <rPr>
        <sz val="11"/>
        <color theme="1"/>
        <rFont val="Calibri"/>
      </rPr>
      <t>很感人。</t>
    </r>
  </si>
  <si>
    <t>Zhè bù àiqíngpiān hěn gǎnrén.</t>
  </si>
  <si>
    <t>Bộ phim tình cảm này rất cảm động.</t>
  </si>
  <si>
    <t>H2_B8_BG_8.gif</t>
  </si>
  <si>
    <t>H2_B8_8.mp3</t>
  </si>
  <si>
    <t>H2_B8_VD_8.mp3</t>
  </si>
  <si>
    <t>有意思</t>
  </si>
  <si>
    <t>&lt;ruby&gt;有意思&lt;rt&gt;yǒuyìsi&lt;/rt&gt;&lt;/ruby&gt;</t>
  </si>
  <si>
    <t>yǒuyìsi</t>
  </si>
  <si>
    <t>Thú vị</t>
  </si>
  <si>
    <r>
      <rPr>
        <sz val="11"/>
        <color theme="1"/>
        <rFont val="Calibri"/>
      </rPr>
      <t>妈妈讲的故事很</t>
    </r>
    <r>
      <rPr>
        <b/>
        <sz val="11"/>
        <color theme="1"/>
        <rFont val="Calibri"/>
      </rPr>
      <t>有意思</t>
    </r>
    <r>
      <rPr>
        <sz val="11"/>
        <color theme="1"/>
        <rFont val="Calibri"/>
      </rPr>
      <t>。</t>
    </r>
  </si>
  <si>
    <t>Māma jiǎng de gùshì hěn yǒu yìsi.</t>
  </si>
  <si>
    <t>Câu chuyện của mẹ kể rất hấp dẫn.</t>
  </si>
  <si>
    <t>H2_B8_BG_9.gif</t>
  </si>
  <si>
    <t>H2_B8_9.mp3</t>
  </si>
  <si>
    <t>H2_B8_VD_9.mp3</t>
  </si>
  <si>
    <r>
      <rPr>
        <sz val="11"/>
        <color theme="1"/>
        <rFont val="Calibri"/>
      </rPr>
      <t>现在是下午两</t>
    </r>
    <r>
      <rPr>
        <b/>
        <sz val="11"/>
        <color theme="1"/>
        <rFont val="Calibri"/>
      </rPr>
      <t>点</t>
    </r>
    <r>
      <rPr>
        <sz val="11"/>
        <color theme="1"/>
        <rFont val="Calibri"/>
      </rPr>
      <t>。</t>
    </r>
  </si>
  <si>
    <t>H2_B8_BG_10.gif</t>
  </si>
  <si>
    <t>H2_B8_10.mp3</t>
  </si>
  <si>
    <t>H2_B8_VD_10.mp3</t>
  </si>
  <si>
    <t>虽然</t>
  </si>
  <si>
    <t>&lt;ruby&gt;虽然&lt;rt&gt;suīrán&lt;/rt&gt;&lt;/ruby&gt;</t>
  </si>
  <si>
    <t>suīrán</t>
  </si>
  <si>
    <t>Mặc dù, tuy</t>
  </si>
  <si>
    <r>
      <rPr>
        <b/>
        <sz val="11"/>
        <color theme="1"/>
        <rFont val="Calibri"/>
      </rPr>
      <t>虽然</t>
    </r>
    <r>
      <rPr>
        <sz val="11"/>
        <color theme="1"/>
        <rFont val="Calibri"/>
      </rPr>
      <t>下雨了，但是我还是去上学。</t>
    </r>
  </si>
  <si>
    <t>Suīrán xiàyǔ le, dànshì wǒ háishì qù shàngxué.</t>
  </si>
  <si>
    <t>Tuy trời mưa nhưng tôi vẫn đi học.</t>
  </si>
  <si>
    <t>H2_B8_BG_11.gif</t>
  </si>
  <si>
    <t>H2_B8_11.mp3</t>
  </si>
  <si>
    <t>H2_B8_VD_11.mp3</t>
  </si>
  <si>
    <t>但是</t>
  </si>
  <si>
    <t>&lt;ruby&gt;但是&lt;rt&gt;dànshì&lt;/rt&gt;&lt;/ruby&gt;</t>
  </si>
  <si>
    <t>dànshì</t>
  </si>
  <si>
    <r>
      <rPr>
        <sz val="11"/>
        <color theme="1"/>
        <rFont val="Calibri"/>
      </rPr>
      <t>我喜欢唱歌，</t>
    </r>
    <r>
      <rPr>
        <b/>
        <sz val="11"/>
        <color theme="1"/>
        <rFont val="Calibri"/>
      </rPr>
      <t>但是</t>
    </r>
    <r>
      <rPr>
        <sz val="11"/>
        <color theme="1"/>
        <rFont val="Calibri"/>
      </rPr>
      <t>唱得不好听。</t>
    </r>
  </si>
  <si>
    <t>Wǒ xǐhuan chànggē, dànshì chàng de bù hǎotīng.</t>
  </si>
  <si>
    <t>Tôi thích hát nhưng hát không hay.</t>
  </si>
  <si>
    <t>H2_B8_BG_12.gif</t>
  </si>
  <si>
    <t>H2_B8_12.mp3</t>
  </si>
  <si>
    <t>H2_B8_VD_12.mp3</t>
  </si>
  <si>
    <t>花</t>
  </si>
  <si>
    <t>&lt;ruby&gt;花&lt;rt&gt;huā&lt;/rt&gt;&lt;/ruby&gt;</t>
  </si>
  <si>
    <t>huā</t>
  </si>
  <si>
    <t>Hoa</t>
  </si>
  <si>
    <r>
      <rPr>
        <sz val="11"/>
        <color theme="1"/>
        <rFont val="Calibri"/>
      </rPr>
      <t>这朵</t>
    </r>
    <r>
      <rPr>
        <b/>
        <sz val="11"/>
        <color theme="1"/>
        <rFont val="Calibri"/>
      </rPr>
      <t>花</t>
    </r>
    <r>
      <rPr>
        <sz val="11"/>
        <color theme="1"/>
        <rFont val="Calibri"/>
      </rPr>
      <t>很漂亮。</t>
    </r>
  </si>
  <si>
    <t>Zhè duǒ huā hěn piàoliang.</t>
  </si>
  <si>
    <t>Đoá hoa này rất đẹp.</t>
  </si>
  <si>
    <t>H2_B8_BG_13.gif</t>
  </si>
  <si>
    <t>H2_B8_13.mp3</t>
  </si>
  <si>
    <t>H2_B8_VD_13.mp3</t>
  </si>
  <si>
    <t>妻子</t>
  </si>
  <si>
    <t>&lt;ruby&gt;妻子&lt;rt&gt;qīzi&lt;/rt&gt;&lt;/ruby&gt;</t>
  </si>
  <si>
    <t>qīzi</t>
  </si>
  <si>
    <t>Vợ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</si>
  <si>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妻子</t>
    </r>
    <r>
      <rPr>
        <sz val="11"/>
        <color theme="1"/>
        <rFont val="Calibri"/>
      </rPr>
      <t>很喜欢做饭。</t>
    </r>
  </si>
  <si>
    <t>Wǒ qīzi hěn xǐhuan zuò fàn.</t>
  </si>
  <si>
    <t>Vợ tôi rất thích nấu ăn.</t>
  </si>
  <si>
    <t>H2_B8_BG_14.gif</t>
  </si>
  <si>
    <t>H2_B8_14.mp3</t>
  </si>
  <si>
    <t>H2_B8_VD_14.mp3</t>
  </si>
  <si>
    <t>丈夫</t>
  </si>
  <si>
    <t>&lt;ruby&gt;丈夫&lt;rt&gt;zhàngfu&lt;/rt&gt;&lt;/ruby&gt;</t>
  </si>
  <si>
    <t>zhàngfu</t>
  </si>
  <si>
    <t>Chồng</t>
  </si>
  <si>
    <r>
      <rPr>
        <sz val="11"/>
        <color theme="1"/>
        <rFont val="Calibri"/>
      </rPr>
      <t>这是我的</t>
    </r>
    <r>
      <rPr>
        <b/>
        <sz val="11"/>
        <color theme="1"/>
        <rFont val="Calibri"/>
      </rPr>
      <t>丈夫</t>
    </r>
    <r>
      <rPr>
        <sz val="11"/>
        <color theme="1"/>
        <rFont val="Calibri"/>
      </rPr>
      <t>。</t>
    </r>
  </si>
  <si>
    <t>Zhè shì wǒ de zhàngfu.</t>
  </si>
  <si>
    <t>Đây là chồng của tôi.</t>
  </si>
  <si>
    <t>H2_B8_BG_15.gif</t>
  </si>
  <si>
    <t>H2_B8_15.mp3</t>
  </si>
  <si>
    <t>H2_B8_VD_15.mp3</t>
  </si>
  <si>
    <t>饭馆</t>
  </si>
  <si>
    <t>&lt;ruby&gt;饭馆&lt;rt&gt;fàn guǎn&lt;/rt&gt;&lt;/ruby&gt;</t>
  </si>
  <si>
    <t>fàn guǎn</t>
  </si>
  <si>
    <t>Nhà hàng</t>
  </si>
  <si>
    <r>
      <rPr>
        <sz val="11"/>
        <color theme="1"/>
        <rFont val="Calibri"/>
      </rPr>
      <t>我们去</t>
    </r>
    <r>
      <rPr>
        <b/>
        <sz val="11"/>
        <color theme="1"/>
        <rFont val="Calibri"/>
      </rPr>
      <t>饭馆</t>
    </r>
    <r>
      <rPr>
        <sz val="11"/>
        <color theme="1"/>
        <rFont val="Calibri"/>
      </rPr>
      <t>吃饭吧。</t>
    </r>
  </si>
  <si>
    <t>Wǒmen qù fànguǎn chīfàn ba.</t>
  </si>
  <si>
    <t>Chúng ta đi nhà hàng ăn cơm đi.</t>
  </si>
  <si>
    <t>H2_B8_BG_16.gif</t>
  </si>
  <si>
    <t>H2_B8_16.mp3</t>
  </si>
  <si>
    <t>H2_B8_VD_16.mp3</t>
  </si>
  <si>
    <t>坏</t>
  </si>
  <si>
    <t>&lt;ruby&gt;坏&lt;rt&gt;huài&lt;/rt&gt;&lt;/ruby&gt;</t>
  </si>
  <si>
    <t>huài</t>
  </si>
  <si>
    <t>Quá, quá mức</t>
  </si>
  <si>
    <r>
      <rPr>
        <sz val="11"/>
        <color theme="1"/>
        <rFont val="Calibri"/>
      </rPr>
      <t>他饿</t>
    </r>
    <r>
      <rPr>
        <b/>
        <sz val="11"/>
        <color theme="1"/>
        <rFont val="Calibri"/>
      </rPr>
      <t>坏</t>
    </r>
    <r>
      <rPr>
        <sz val="11"/>
        <color theme="1"/>
        <rFont val="Calibri"/>
      </rPr>
      <t>了，什么都想吃。</t>
    </r>
  </si>
  <si>
    <t>Tā è huài le, shénme dōu xiǎng chī.</t>
  </si>
  <si>
    <t>Anh ấy đói quá, cái gì cũng muốn ăn.</t>
  </si>
  <si>
    <t>H2_B9_BG_1.gif</t>
  </si>
  <si>
    <t>H2_B9_1.mp3</t>
  </si>
  <si>
    <t>H2_B9_VD_1.mp3</t>
  </si>
  <si>
    <t>旁边</t>
  </si>
  <si>
    <t>&lt;ruby&gt;旁边&lt;rt&gt;pángbiān&lt;/rt&gt;&lt;/ruby&gt;</t>
  </si>
  <si>
    <t>pángbiān</t>
  </si>
  <si>
    <t>Bên cạnh</t>
  </si>
  <si>
    <r>
      <rPr>
        <sz val="11"/>
        <color theme="1"/>
        <rFont val="Calibri"/>
      </rPr>
      <t>我坐在他</t>
    </r>
    <r>
      <rPr>
        <b/>
        <sz val="11"/>
        <color theme="1"/>
        <rFont val="Calibri"/>
      </rPr>
      <t>旁边</t>
    </r>
    <r>
      <rPr>
        <sz val="11"/>
        <color theme="1"/>
        <rFont val="Calibri"/>
      </rPr>
      <t>。</t>
    </r>
  </si>
  <si>
    <t>Wǒ zuò zài tā pángbiān.</t>
  </si>
  <si>
    <t>Tôi ngồi cạnh anh ấy.</t>
  </si>
  <si>
    <t>H2_B9_BG_2.gif</t>
  </si>
  <si>
    <t>H2_B9_2.mp3</t>
  </si>
  <si>
    <t>H2_B9_VD_2.mp3</t>
  </si>
  <si>
    <t>69ddf839ac6453bc82f5371b</t>
  </si>
  <si>
    <t>男孩儿</t>
  </si>
  <si>
    <t>&lt;ruby&gt;男孩儿&lt;rt&gt;nán háir&lt;/rt&gt;&lt;/ruby&gt;</t>
  </si>
  <si>
    <t>nán háir</t>
  </si>
  <si>
    <t>Chàng trai</t>
  </si>
  <si>
    <r>
      <rPr>
        <sz val="11"/>
        <color theme="1"/>
        <rFont val="Calibri"/>
      </rPr>
      <t>那个</t>
    </r>
    <r>
      <rPr>
        <b/>
        <sz val="11"/>
        <color theme="1"/>
        <rFont val="Calibri"/>
      </rPr>
      <t>男孩儿</t>
    </r>
    <r>
      <rPr>
        <sz val="11"/>
        <color theme="1"/>
        <rFont val="Calibri"/>
      </rPr>
      <t>是我的弟弟。</t>
    </r>
  </si>
  <si>
    <t>Nàge nánháir shì wǒ de dìdi.</t>
  </si>
  <si>
    <t>Cậu bé kia là em trai của tôi.</t>
  </si>
  <si>
    <t>H2_B9_BG_3.gif</t>
  </si>
  <si>
    <t>H2_B9_3.mp3</t>
  </si>
  <si>
    <t>H2_B9_VD_3.mp3</t>
  </si>
  <si>
    <t>这样</t>
  </si>
  <si>
    <t>&lt;ruby&gt;这样&lt;rt&gt;zhè yàng&lt;/rt&gt;&lt;/ruby&gt;</t>
  </si>
  <si>
    <t>zhè yàng</t>
  </si>
  <si>
    <r>
      <rPr>
        <sz val="11"/>
        <color theme="1"/>
        <rFont val="Calibri"/>
      </rPr>
      <t>你应该</t>
    </r>
    <r>
      <rPr>
        <b/>
        <sz val="11"/>
        <color theme="1"/>
        <rFont val="Calibri"/>
      </rPr>
      <t>这样</t>
    </r>
    <r>
      <rPr>
        <sz val="11"/>
        <color theme="1"/>
        <rFont val="Calibri"/>
      </rPr>
      <t>做。</t>
    </r>
  </si>
  <si>
    <t>Nǐ yīnggāi zhèyàng zuò.</t>
  </si>
  <si>
    <t>Bạn nên làm như vậy.</t>
  </si>
  <si>
    <t>H2_B9_BG_4.gif</t>
  </si>
  <si>
    <t>H2_B9_4.mp3</t>
  </si>
  <si>
    <t>H2_B9_VD_4.mp3</t>
  </si>
  <si>
    <t xml:space="preserve">个子 </t>
  </si>
  <si>
    <t>&lt;ruby&gt;个子&lt;rt&gt;gèzi&lt;/rt&gt;&lt;/ruby&gt;</t>
  </si>
  <si>
    <t>gèzi</t>
  </si>
  <si>
    <t xml:space="preserve">Danh từ </t>
  </si>
  <si>
    <t>Dáng người, chiều cao</t>
  </si>
  <si>
    <r>
      <rPr>
        <sz val="11"/>
        <color theme="1"/>
        <rFont val="Calibri"/>
      </rPr>
      <t>哥哥的</t>
    </r>
    <r>
      <rPr>
        <b/>
        <sz val="11"/>
        <color theme="1"/>
        <rFont val="Calibri"/>
      </rPr>
      <t>个子</t>
    </r>
    <r>
      <rPr>
        <sz val="11"/>
        <color theme="1"/>
        <rFont val="Calibri"/>
      </rPr>
      <t>很高。</t>
    </r>
  </si>
  <si>
    <t>Gēge de gèzi hěn gāo.</t>
  </si>
  <si>
    <t>Dáng người của anh trai rất cao.</t>
  </si>
  <si>
    <t>H2_B9_BG_5.gif</t>
  </si>
  <si>
    <t>H2_B9_5.mp3</t>
  </si>
  <si>
    <t>H2_B9_VD_5.mp3</t>
  </si>
  <si>
    <t>那么</t>
  </si>
  <si>
    <t>&lt;ruby&gt;那么&lt;rt&gt;nà me&lt;/rt&gt;&lt;/ruby&gt;</t>
  </si>
  <si>
    <t>nà me</t>
  </si>
  <si>
    <t>Vậy thì, như vậy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</si>
  <si>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那么</t>
    </r>
    <r>
      <rPr>
        <sz val="11"/>
        <color theme="1"/>
        <rFont val="Calibri"/>
      </rPr>
      <t>漂亮。</t>
    </r>
  </si>
  <si>
    <t>Tā nàme piàoliang.</t>
  </si>
  <si>
    <t>Cô ấy đẹp như vậy.</t>
  </si>
  <si>
    <t>H2_B9_BG_6.gif</t>
  </si>
  <si>
    <t>H2_B9_6.mp3</t>
  </si>
  <si>
    <t>H2_B9_VD_6.mp3</t>
  </si>
  <si>
    <t>高</t>
  </si>
  <si>
    <t>&lt;ruby&gt;高&lt;rt&gt;gāo&lt;/rt&gt;&lt;/ruby&gt;</t>
  </si>
  <si>
    <t>gāo</t>
  </si>
  <si>
    <t>Cao</t>
  </si>
  <si>
    <r>
      <rPr>
        <sz val="11"/>
        <color theme="1"/>
        <rFont val="Calibri"/>
      </rPr>
      <t>这座楼太</t>
    </r>
    <r>
      <rPr>
        <b/>
        <sz val="11"/>
        <color theme="1"/>
        <rFont val="Calibri"/>
      </rPr>
      <t>高</t>
    </r>
    <r>
      <rPr>
        <sz val="11"/>
        <color theme="1"/>
        <rFont val="Calibri"/>
      </rPr>
      <t>了！</t>
    </r>
  </si>
  <si>
    <t>Zhè zuò lóu tài gāo le!</t>
  </si>
  <si>
    <t>Tòa nhà này cao quá!</t>
  </si>
  <si>
    <t>H2_B9_BG_7.gif</t>
  </si>
  <si>
    <t>H2_B9_7.mp3</t>
  </si>
  <si>
    <t>H2_B9_VD_7.mp3</t>
  </si>
  <si>
    <t>门口</t>
  </si>
  <si>
    <t>&lt;ruby&gt;门口&lt;rt&gt;chū kǒu&lt;/rt&gt;&lt;/ruby&gt;</t>
  </si>
  <si>
    <t>chū kǒu</t>
  </si>
  <si>
    <t>Cửa</t>
  </si>
  <si>
    <r>
      <rPr>
        <sz val="11"/>
        <color theme="1"/>
        <rFont val="Calibri"/>
      </rPr>
      <t>我在</t>
    </r>
    <r>
      <rPr>
        <b/>
        <sz val="11"/>
        <color theme="1"/>
        <rFont val="Calibri"/>
      </rPr>
      <t>门口</t>
    </r>
    <r>
      <rPr>
        <sz val="11"/>
        <color theme="1"/>
        <rFont val="Calibri"/>
      </rPr>
      <t>等你。</t>
    </r>
  </si>
  <si>
    <t>Wǒ zài chūkǒu děng nǐ.</t>
  </si>
  <si>
    <t>Tôi đợi bạn ở lối ra.</t>
  </si>
  <si>
    <t>H2_B9_BG_8.gif</t>
  </si>
  <si>
    <t>H2_B9_8.mp3</t>
  </si>
  <si>
    <t>H2_B9_VD_8.mp3</t>
  </si>
  <si>
    <t>咖啡</t>
  </si>
  <si>
    <t>&lt;ruby&gt;咖啡&lt;rt&gt;kāfēi&lt;/rt&gt;&lt;/ruby&gt;</t>
  </si>
  <si>
    <t>kāfēi</t>
  </si>
  <si>
    <t>Cà phê</t>
  </si>
  <si>
    <r>
      <rPr>
        <sz val="11"/>
        <color theme="1"/>
        <rFont val="Calibri"/>
      </rPr>
      <t>我早上经常喝</t>
    </r>
    <r>
      <rPr>
        <b/>
        <sz val="11"/>
        <color theme="1"/>
        <rFont val="Calibri"/>
      </rPr>
      <t>咖啡</t>
    </r>
    <r>
      <rPr>
        <sz val="11"/>
        <color theme="1"/>
        <rFont val="Calibri"/>
      </rPr>
      <t>。</t>
    </r>
  </si>
  <si>
    <t>Wǒ zǎoshang jīngcháng hē kāfēi.</t>
  </si>
  <si>
    <t>Tôi thường uống cà phê vào mỗi sáng.</t>
  </si>
  <si>
    <t>H2_B9_BG_9.gif</t>
  </si>
  <si>
    <t>H2_B9_9.mp3</t>
  </si>
  <si>
    <t>H2_B9_VD_9.mp3</t>
  </si>
  <si>
    <t>离</t>
  </si>
  <si>
    <t>&lt;ruby&gt;离&lt;rt&gt;lí&lt;/rt&gt;&lt;/ruby&gt;</t>
  </si>
  <si>
    <t>lí</t>
  </si>
  <si>
    <t>Cách</t>
  </si>
  <si>
    <r>
      <rPr>
        <sz val="11"/>
        <color theme="1"/>
        <rFont val="Calibri"/>
      </rPr>
      <t>公司</t>
    </r>
    <r>
      <rPr>
        <b/>
        <sz val="11"/>
        <color theme="1"/>
        <rFont val="Calibri"/>
      </rPr>
      <t>离</t>
    </r>
    <r>
      <rPr>
        <sz val="11"/>
        <color theme="1"/>
        <rFont val="Calibri"/>
      </rPr>
      <t>地铁站很近。</t>
    </r>
  </si>
  <si>
    <t>Gōngsī lí dìtiě zhàn hěn jìn.</t>
  </si>
  <si>
    <t>Công ty cách ga tàu điện ngầm rất gần</t>
  </si>
  <si>
    <t>H2_B9_BG_10.gif</t>
  </si>
  <si>
    <t>H2_B9_10.mp3</t>
  </si>
  <si>
    <t>H2_B9_VD_10.mp3</t>
  </si>
  <si>
    <t xml:space="preserve">近 </t>
  </si>
  <si>
    <t>&lt;ruby&gt;近&lt;rt&gt;jìn&lt;/rt&gt;&lt;/ruby&gt;</t>
  </si>
  <si>
    <t>jìn</t>
  </si>
  <si>
    <t>Gần</t>
  </si>
  <si>
    <r>
      <rPr>
        <sz val="11"/>
        <color theme="1"/>
        <rFont val="Calibri"/>
      </rPr>
      <t>我家离学校很</t>
    </r>
    <r>
      <rPr>
        <b/>
        <sz val="11"/>
        <color theme="1"/>
        <rFont val="Calibri"/>
      </rPr>
      <t>近</t>
    </r>
    <r>
      <rPr>
        <sz val="11"/>
        <color theme="1"/>
        <rFont val="Calibri"/>
      </rPr>
      <t>。</t>
    </r>
  </si>
  <si>
    <t>Wǒ jiā lí xuéxiào hěn jìn.</t>
  </si>
  <si>
    <t>Nhà tôi rất gần trường học.</t>
  </si>
  <si>
    <t>H2_B9_BG_11.gif</t>
  </si>
  <si>
    <t>H2_B9_11.mp3</t>
  </si>
  <si>
    <t>H2_B9_VD_11.mp3</t>
  </si>
  <si>
    <t>走路</t>
  </si>
  <si>
    <t>&lt;ruby&gt;走路&lt;rt&gt;zǒu lù&lt;/rt&gt;&lt;/ruby&gt;</t>
  </si>
  <si>
    <t>zǒu lù</t>
  </si>
  <si>
    <t>Đi bộ</t>
  </si>
  <si>
    <r>
      <rPr>
        <sz val="11"/>
        <color theme="1"/>
        <rFont val="Calibri"/>
      </rPr>
      <t>我每天</t>
    </r>
    <r>
      <rPr>
        <b/>
        <sz val="11"/>
        <color theme="1"/>
        <rFont val="Calibri"/>
      </rPr>
      <t>走路</t>
    </r>
    <r>
      <rPr>
        <sz val="11"/>
        <color theme="1"/>
        <rFont val="Calibri"/>
      </rPr>
      <t>去上班。</t>
    </r>
  </si>
  <si>
    <t>Wǒ měitiān zǒulù qù shàngbān.</t>
  </si>
  <si>
    <t>Tôi đi bộ đi làm mỗi ngày.</t>
  </si>
  <si>
    <t>H2_B9_BG_12.gif</t>
  </si>
  <si>
    <t>H2_B9_12.mp3</t>
  </si>
  <si>
    <t>H2_B9_VD_12.mp3</t>
  </si>
  <si>
    <t>周</t>
  </si>
  <si>
    <t>&lt;ruby&gt;周&lt;rt&gt;zhōu&lt;/rt&gt;&lt;/ruby&gt;</t>
  </si>
  <si>
    <t>zhōu</t>
  </si>
  <si>
    <t>Tuần</t>
  </si>
  <si>
    <r>
      <rPr>
        <sz val="11"/>
        <color theme="1"/>
        <rFont val="Calibri"/>
      </rPr>
      <t>一个星期有七天，也叫一个</t>
    </r>
    <r>
      <rPr>
        <b/>
        <sz val="11"/>
        <color theme="1"/>
        <rFont val="Calibri"/>
      </rPr>
      <t>周</t>
    </r>
    <r>
      <rPr>
        <sz val="11"/>
        <color theme="1"/>
        <rFont val="Calibri"/>
      </rPr>
      <t>。</t>
    </r>
  </si>
  <si>
    <t>Yí ge xīngqī yǒu qī tiān, yě jiào yí ge zhōu.</t>
  </si>
  <si>
    <t>Một tuần có bảy ngày, cũng được gọi là một 'chu'.</t>
  </si>
  <si>
    <t>H2_B9_BG_13.gif</t>
  </si>
  <si>
    <t>H2_B9_13.mp3</t>
  </si>
  <si>
    <t>H2_B9_VD_13.mp3</t>
  </si>
  <si>
    <t>开学</t>
  </si>
  <si>
    <t>&lt;ruby&gt;开学&lt;rt&gt;kāi xué&lt;/rt&gt;&lt;/ruby&gt;</t>
  </si>
  <si>
    <t>kāi xué</t>
  </si>
  <si>
    <t>Vào năm học</t>
  </si>
  <si>
    <r>
      <rPr>
        <sz val="11"/>
        <color theme="1"/>
        <rFont val="Calibri"/>
      </rPr>
      <t>我们九月一号</t>
    </r>
    <r>
      <rPr>
        <b/>
        <sz val="11"/>
        <color theme="1"/>
        <rFont val="Calibri"/>
      </rPr>
      <t>开学</t>
    </r>
    <r>
      <rPr>
        <sz val="11"/>
        <color theme="1"/>
        <rFont val="Calibri"/>
      </rPr>
      <t>。</t>
    </r>
  </si>
  <si>
    <t>Wǒmen jiǔyuè yī hào kāixué.</t>
  </si>
  <si>
    <t>Chúng tôi khai giảng vào ngày 1 tháng 9.</t>
  </si>
  <si>
    <t>H2_B10_BG_1.gif</t>
  </si>
  <si>
    <t>H2_B10_1.mp3</t>
  </si>
  <si>
    <t>H2_B10_VD_1.mp3</t>
  </si>
  <si>
    <t xml:space="preserve">门 </t>
  </si>
  <si>
    <t>&lt;ruby&gt;门&lt;rt&gt;mén&lt;/rt&gt;&lt;/ruby&gt;</t>
  </si>
  <si>
    <t>mén</t>
  </si>
  <si>
    <t>Môn học</t>
  </si>
  <si>
    <r>
      <rPr>
        <sz val="11"/>
        <color theme="1"/>
        <rFont val="Calibri"/>
      </rPr>
      <t>这</t>
    </r>
    <r>
      <rPr>
        <b/>
        <sz val="11"/>
        <color theme="1"/>
        <rFont val="Calibri"/>
      </rPr>
      <t>门</t>
    </r>
    <r>
      <rPr>
        <sz val="11"/>
        <color theme="1"/>
        <rFont val="Calibri"/>
      </rPr>
      <t>课很有意思。</t>
    </r>
  </si>
  <si>
    <t>Zhè mén kè hěn yǒu yìsi.</t>
  </si>
  <si>
    <t>Môn học này rất thú vị.</t>
  </si>
  <si>
    <t>H2_B10_BG_2.gif</t>
  </si>
  <si>
    <t>H2_B10_2.mp3</t>
  </si>
  <si>
    <t>H2_B10_VD_2.mp3</t>
  </si>
  <si>
    <t>69ddf966ac6453bc82f53720</t>
  </si>
  <si>
    <t>后面</t>
  </si>
  <si>
    <t>&lt;ruby&gt;后面&lt;rt&gt;hòu miàn&lt;/rt&gt;&lt;/ruby&gt;</t>
  </si>
  <si>
    <t>hòu miàn</t>
  </si>
  <si>
    <t>Phía sau</t>
  </si>
  <si>
    <r>
      <rPr>
        <sz val="11"/>
        <color theme="1"/>
        <rFont val="Calibri"/>
      </rPr>
      <t>蓝色的车在我车</t>
    </r>
    <r>
      <rPr>
        <b/>
        <sz val="11"/>
        <color theme="1"/>
        <rFont val="Calibri"/>
      </rPr>
      <t>后面</t>
    </r>
    <r>
      <rPr>
        <sz val="11"/>
        <color theme="1"/>
        <rFont val="Calibri"/>
      </rPr>
      <t>。</t>
    </r>
  </si>
  <si>
    <t>Lánsè de chē zài wǒ chē hòumiàn.</t>
  </si>
  <si>
    <t>Chiếc xe màu xanh ở phía sau xe của tôi.</t>
  </si>
  <si>
    <t>H2_B10_BG_3.gif</t>
  </si>
  <si>
    <t>H2_B10_3.mp3</t>
  </si>
  <si>
    <t>H2_B10_VD_3.mp3</t>
  </si>
  <si>
    <t>笔</t>
  </si>
  <si>
    <t>&lt;ruby&gt;笔&lt;rt&gt;bǐ&lt;/rt&gt;&lt;/ruby&gt;</t>
  </si>
  <si>
    <t>Cây bút</t>
  </si>
  <si>
    <r>
      <rPr>
        <sz val="11"/>
        <color theme="1"/>
        <rFont val="Calibri"/>
      </rPr>
      <t>我用这支</t>
    </r>
    <r>
      <rPr>
        <b/>
        <sz val="11"/>
        <color theme="1"/>
        <rFont val="Calibri"/>
      </rPr>
      <t>笔</t>
    </r>
    <r>
      <rPr>
        <sz val="11"/>
        <color theme="1"/>
        <rFont val="Calibri"/>
      </rPr>
      <t>写字。</t>
    </r>
  </si>
  <si>
    <t>Wǒ yòng zhè zhī bǐ xiězì.</t>
  </si>
  <si>
    <t>Tôi dùng cây bút này để viết chữ.</t>
  </si>
  <si>
    <t>H2_B10_BG_4.gif</t>
  </si>
  <si>
    <t>H2_B10_4.mp3</t>
  </si>
  <si>
    <t>H2_B10_VD_4.mp3</t>
  </si>
  <si>
    <t xml:space="preserve">帮 </t>
  </si>
  <si>
    <t>&lt;ruby&gt;帮&lt;rt&gt;bāng&lt;/rt&gt;&lt;/ruby&gt;</t>
  </si>
  <si>
    <t>bāng</t>
  </si>
  <si>
    <r>
      <rPr>
        <sz val="11"/>
        <color theme="1"/>
        <rFont val="Calibri"/>
      </rPr>
      <t>你能</t>
    </r>
    <r>
      <rPr>
        <b/>
        <sz val="11"/>
        <color theme="1"/>
        <rFont val="Calibri"/>
      </rPr>
      <t>帮</t>
    </r>
    <r>
      <rPr>
        <sz val="11"/>
        <color theme="1"/>
        <rFont val="Calibri"/>
      </rPr>
      <t>我一下吗？</t>
    </r>
  </si>
  <si>
    <t>Nǐ néng bāng wǒ yíxià ma?</t>
  </si>
  <si>
    <t>Bạn có thể giúp tôi một chút được không?</t>
  </si>
  <si>
    <t>H2_B10_BG_5.gif</t>
  </si>
  <si>
    <t>H2_B10_5.mp3</t>
  </si>
  <si>
    <t>H2_B10_VD_5.mp3</t>
  </si>
  <si>
    <t>考试</t>
  </si>
  <si>
    <t>&lt;ruby&gt;考试&lt;rt&gt;kǎoshì&lt;/rt&gt;&lt;/ruby&gt;</t>
  </si>
  <si>
    <t>kǎoshì</t>
  </si>
  <si>
    <t>Cuộc thi, bài kiểm tra</t>
  </si>
  <si>
    <r>
      <rPr>
        <sz val="11"/>
        <color theme="1"/>
        <rFont val="Calibri"/>
      </rPr>
      <t>我期中</t>
    </r>
    <r>
      <rPr>
        <b/>
        <sz val="11"/>
        <color theme="1"/>
        <rFont val="Calibri"/>
      </rPr>
      <t>考试</t>
    </r>
    <r>
      <rPr>
        <sz val="11"/>
        <color theme="1"/>
        <rFont val="Calibri"/>
      </rPr>
      <t>没考好。</t>
    </r>
  </si>
  <si>
    <t>Wǒ qīzhōng kǎoshì méi kǎo hǎo.</t>
  </si>
  <si>
    <t>Tôi đã không làm tốt bài kiểm tra giữa kỳ.</t>
  </si>
  <si>
    <t>H2_B10_BG_6.gif</t>
  </si>
  <si>
    <t>H2_B10_6.mp3</t>
  </si>
  <si>
    <t>H2_B10_VD_6.mp3</t>
  </si>
  <si>
    <t xml:space="preserve">词 </t>
  </si>
  <si>
    <t>&lt;ruby&gt;词&lt;rt&gt;cí&lt;/rt&gt;&lt;/ruby&gt;</t>
  </si>
  <si>
    <t xml:space="preserve">cí </t>
  </si>
  <si>
    <r>
      <rPr>
        <sz val="11"/>
        <color theme="1"/>
        <rFont val="Calibri"/>
      </rPr>
      <t>这个</t>
    </r>
    <r>
      <rPr>
        <b/>
        <sz val="11"/>
        <color theme="1"/>
        <rFont val="Calibri"/>
      </rPr>
      <t>词</t>
    </r>
    <r>
      <rPr>
        <sz val="11"/>
        <color theme="1"/>
        <rFont val="Calibri"/>
      </rPr>
      <t>是什么意思？</t>
    </r>
  </si>
  <si>
    <t>Zhège cí shì shénme yìsi?</t>
  </si>
  <si>
    <t>Từ này có nghĩa là gì?</t>
  </si>
  <si>
    <t>H2_B10_BG_7.gif</t>
  </si>
  <si>
    <t>H2_B10_7.mp3</t>
  </si>
  <si>
    <t>H2_B10_VD_7.mp3</t>
  </si>
  <si>
    <t>本子</t>
  </si>
  <si>
    <t>&lt;ruby&gt;本子&lt;rt&gt;běn zi&lt;/rt&gt;&lt;/ruby&gt;</t>
  </si>
  <si>
    <t>běn zi</t>
  </si>
  <si>
    <t>Cuốn sách</t>
  </si>
  <si>
    <r>
      <rPr>
        <sz val="11"/>
        <color theme="1"/>
        <rFont val="Calibri"/>
      </rPr>
      <t>我有一个新</t>
    </r>
    <r>
      <rPr>
        <b/>
        <sz val="11"/>
        <color theme="1"/>
        <rFont val="Calibri"/>
      </rPr>
      <t>本子</t>
    </r>
    <r>
      <rPr>
        <sz val="11"/>
        <color theme="1"/>
        <rFont val="Calibri"/>
      </rPr>
      <t>。</t>
    </r>
  </si>
  <si>
    <t>Wǒ yǒu yí ge xīn běnzi.</t>
  </si>
  <si>
    <t>Tôi có một quyển vở mới.</t>
  </si>
  <si>
    <t>H2_B10_BG_8.gif</t>
  </si>
  <si>
    <t>H2_B10_8.mp3</t>
  </si>
  <si>
    <t>H2_B10_VD_8.mp3</t>
  </si>
  <si>
    <t>错</t>
  </si>
  <si>
    <t>&lt;ruby&gt;错&lt;rt&gt;cuò&lt;/rt&gt;&lt;/ruby&gt;</t>
  </si>
  <si>
    <t>cuò</t>
  </si>
  <si>
    <t>Sai, nhầm</t>
  </si>
  <si>
    <r>
      <rPr>
        <sz val="11"/>
        <color theme="1"/>
        <rFont val="Calibri"/>
      </rPr>
      <t>这道题做</t>
    </r>
    <r>
      <rPr>
        <b/>
        <sz val="11"/>
        <color theme="1"/>
        <rFont val="Calibri"/>
      </rPr>
      <t>错</t>
    </r>
    <r>
      <rPr>
        <sz val="11"/>
        <color theme="1"/>
        <rFont val="Calibri"/>
      </rPr>
      <t>了。</t>
    </r>
  </si>
  <si>
    <t>Zhè dào tí zuò cuò le.</t>
  </si>
  <si>
    <t>Câu này làm sai rồi</t>
  </si>
  <si>
    <t>H2_B10_BG_9.gif</t>
  </si>
  <si>
    <t>H2_B10_9.mp3</t>
  </si>
  <si>
    <t>H2_B10_VD_9.mp3</t>
  </si>
  <si>
    <t xml:space="preserve">题 </t>
  </si>
  <si>
    <t>&lt;ruby&gt;题&lt;rt&gt;tí&lt;/rt&gt;&lt;/ruby&gt;</t>
  </si>
  <si>
    <t xml:space="preserve">tí </t>
  </si>
  <si>
    <t>Câu hỏi</t>
  </si>
  <si>
    <r>
      <rPr>
        <sz val="11"/>
        <color theme="1"/>
        <rFont val="Calibri"/>
      </rPr>
      <t>这道</t>
    </r>
    <r>
      <rPr>
        <b/>
        <sz val="11"/>
        <color theme="1"/>
        <rFont val="Calibri"/>
      </rPr>
      <t>题</t>
    </r>
    <r>
      <rPr>
        <sz val="11"/>
        <color theme="1"/>
        <rFont val="Calibri"/>
      </rPr>
      <t>太难了，我不会做。</t>
    </r>
  </si>
  <si>
    <t>Zhè dào tí tài nán le, wǒ bú huì zuò.</t>
  </si>
  <si>
    <t>Câu hỏi này khó quá, tôi không biết làm.</t>
  </si>
  <si>
    <t>H2_B10_BG_10.gif</t>
  </si>
  <si>
    <t>H2_B10_10.mp3</t>
  </si>
  <si>
    <t>H2_B10_VD_10.mp3</t>
  </si>
  <si>
    <r>
      <rPr>
        <sz val="11"/>
        <color theme="1"/>
        <rFont val="Calibri"/>
      </rPr>
      <t>你要咖啡</t>
    </r>
    <r>
      <rPr>
        <b/>
        <sz val="11"/>
        <color theme="1"/>
        <rFont val="Calibri"/>
      </rPr>
      <t>还是</t>
    </r>
    <r>
      <rPr>
        <sz val="11"/>
        <color theme="1"/>
        <rFont val="Calibri"/>
      </rPr>
      <t>茶？</t>
    </r>
  </si>
  <si>
    <t>H2_B10_BG_11.gif</t>
  </si>
  <si>
    <t>H2_B10_11.mp3</t>
  </si>
  <si>
    <t>H2_B10_VD_11.mp3</t>
  </si>
  <si>
    <t xml:space="preserve">考 </t>
  </si>
  <si>
    <t>&lt;ruby&gt;考&lt;rt&gt;kǎo&lt;/rt&gt;&lt;/ruby&gt;</t>
  </si>
  <si>
    <t>kǎo</t>
  </si>
  <si>
    <t>Làm bài thi</t>
  </si>
  <si>
    <r>
      <rPr>
        <sz val="11"/>
        <color theme="1"/>
        <rFont val="Calibri"/>
      </rPr>
      <t>我正在</t>
    </r>
    <r>
      <rPr>
        <b/>
        <sz val="11"/>
        <color theme="1"/>
        <rFont val="Calibri"/>
      </rPr>
      <t>考</t>
    </r>
    <r>
      <rPr>
        <sz val="11"/>
        <color theme="1"/>
        <rFont val="Calibri"/>
      </rPr>
      <t>汉语。</t>
    </r>
  </si>
  <si>
    <t>Wǒ zhèngzài kǎo Hànyǔ.</t>
  </si>
  <si>
    <t>Tôi đang làm bài thi tiếng Hán.</t>
  </si>
  <si>
    <t>H2_B10_BG_12.gif</t>
  </si>
  <si>
    <t>H2_B10_12.mp3</t>
  </si>
  <si>
    <t>H2_B10_VD_12.mp3</t>
  </si>
  <si>
    <t>快要</t>
  </si>
  <si>
    <t>&lt;ruby&gt;快要&lt;rt&gt;kuài yào&lt;/rt&gt;&lt;/ruby&gt;</t>
  </si>
  <si>
    <t>kuài yào</t>
  </si>
  <si>
    <t>Sắp</t>
  </si>
  <si>
    <r>
      <rPr>
        <sz val="11"/>
        <color theme="1"/>
        <rFont val="Calibri"/>
      </rPr>
      <t>火车</t>
    </r>
    <r>
      <rPr>
        <b/>
        <sz val="11"/>
        <color theme="1"/>
        <rFont val="Calibri"/>
      </rPr>
      <t>快要</t>
    </r>
    <r>
      <rPr>
        <sz val="11"/>
        <color theme="1"/>
        <rFont val="Calibri"/>
      </rPr>
      <t>开了。</t>
    </r>
  </si>
  <si>
    <t>Huǒchē kuàiyào kāi le.</t>
  </si>
  <si>
    <t>Tàu hỏa sắp chạy rồi.</t>
  </si>
  <si>
    <t>H2_B10_BG_13.gif</t>
  </si>
  <si>
    <t>H2_B10_13.mp3</t>
  </si>
  <si>
    <t>H2_B10_VD_13.mp3</t>
  </si>
  <si>
    <t xml:space="preserve">笑 </t>
  </si>
  <si>
    <t>&lt;ruby&gt;笑&lt;rt&gt;xiào&lt;/rt&gt;&lt;/ruby&gt;</t>
  </si>
  <si>
    <t>xiào</t>
  </si>
  <si>
    <t>Cười</t>
  </si>
  <si>
    <r>
      <rPr>
        <sz val="11"/>
        <color theme="1"/>
        <rFont val="Calibri"/>
      </rPr>
      <t>听到这个</t>
    </r>
    <r>
      <rPr>
        <b/>
        <sz val="11"/>
        <color theme="1"/>
        <rFont val="Calibri"/>
      </rPr>
      <t>笑</t>
    </r>
    <r>
      <rPr>
        <sz val="11"/>
        <color theme="1"/>
        <rFont val="Calibri"/>
      </rPr>
      <t>话，他忍不住笑了。</t>
    </r>
  </si>
  <si>
    <t>Tīngdào zhège xiàohua, tā rěnbuzhù xiào le.</t>
  </si>
  <si>
    <t>Nghe câu chuyện cười này, anh ấy không nhịn được mà bật cười.</t>
  </si>
  <si>
    <t>H2_B10_BG_14.gif</t>
  </si>
  <si>
    <t>H2_B10_14.mp3</t>
  </si>
  <si>
    <t>H2_B10_VD_14.mp3</t>
  </si>
  <si>
    <t>头</t>
  </si>
  <si>
    <t>&lt;ruby&gt;头&lt;rt&gt;tóu&lt;/rt&gt;&lt;/ruby&gt;</t>
  </si>
  <si>
    <t>tóu</t>
  </si>
  <si>
    <t>Cái đầu</t>
  </si>
  <si>
    <r>
      <rPr>
        <sz val="11"/>
        <color theme="1"/>
        <rFont val="Calibri"/>
      </rPr>
      <t>我的</t>
    </r>
    <r>
      <rPr>
        <b/>
        <sz val="11"/>
        <color theme="1"/>
        <rFont val="Calibri"/>
      </rPr>
      <t>头</t>
    </r>
    <r>
      <rPr>
        <sz val="11"/>
        <color theme="1"/>
        <rFont val="Calibri"/>
      </rPr>
      <t>有点疼。</t>
    </r>
  </si>
  <si>
    <t>Wǒ de tóu yǒudiǎn téng.</t>
  </si>
  <si>
    <t>Đầu của tôi hơi đau.</t>
  </si>
  <si>
    <t>H2_B11_BG_1.gif</t>
  </si>
  <si>
    <t>H2_B11_1.mp3</t>
  </si>
  <si>
    <t>H2_B11_VD_1.mp3</t>
  </si>
  <si>
    <t>疼</t>
  </si>
  <si>
    <t>&lt;ruby&gt;疼&lt;rt&gt;téng&lt;/rt&gt;&lt;/ruby&gt;</t>
  </si>
  <si>
    <t>téng</t>
  </si>
  <si>
    <t>Đau</t>
  </si>
  <si>
    <r>
      <rPr>
        <sz val="11"/>
        <color theme="1"/>
        <rFont val="Calibri"/>
      </rPr>
      <t>我的肩膀很</t>
    </r>
    <r>
      <rPr>
        <b/>
        <sz val="11"/>
        <color theme="1"/>
        <rFont val="Calibri"/>
      </rPr>
      <t>疼</t>
    </r>
    <r>
      <rPr>
        <sz val="11"/>
        <color theme="1"/>
        <rFont val="Calibri"/>
      </rPr>
      <t>。</t>
    </r>
  </si>
  <si>
    <t>Wǒ de jiānbǎng hěn téng.</t>
  </si>
  <si>
    <t>Vai của tôi rất đau.</t>
  </si>
  <si>
    <t>H2_B11_BG_2.gif</t>
  </si>
  <si>
    <t>H2_B11_2.mp3</t>
  </si>
  <si>
    <t>H2_B11_VD_2.mp3</t>
  </si>
  <si>
    <t>69ddf966ac6453bc82f53722</t>
  </si>
  <si>
    <t>经常</t>
  </si>
  <si>
    <t>&lt;ruby&gt;经常&lt;rt&gt;jīngcháng&lt;/rt&gt;&lt;/ruby&gt;</t>
  </si>
  <si>
    <t>jīngcháng</t>
  </si>
  <si>
    <t>Thường xuyên</t>
  </si>
  <si>
    <r>
      <rPr>
        <sz val="11"/>
        <color theme="1"/>
        <rFont val="Calibri"/>
      </rPr>
      <t>你</t>
    </r>
    <r>
      <rPr>
        <b/>
        <sz val="11"/>
        <color theme="1"/>
        <rFont val="Calibri"/>
      </rPr>
      <t>经常</t>
    </r>
    <r>
      <rPr>
        <sz val="11"/>
        <color theme="1"/>
        <rFont val="Calibri"/>
      </rPr>
      <t>打羽毛球吗？</t>
    </r>
  </si>
  <si>
    <t>Nǐ jīngcháng dǎ yǔmáoqiú ma?</t>
  </si>
  <si>
    <t>Bạn có hay đánh cầu lông không?</t>
  </si>
  <si>
    <t>H2_B11_BG_3.gif</t>
  </si>
  <si>
    <t>H2_B11_3.mp3</t>
  </si>
  <si>
    <t>H2_B11_VD_3.mp3</t>
  </si>
  <si>
    <t>动</t>
  </si>
  <si>
    <t>&lt;ruby&gt;动&lt;rt&gt;dòng&lt;/rt&gt;&lt;/ruby&gt;</t>
  </si>
  <si>
    <t>dòng</t>
  </si>
  <si>
    <t>Cử động</t>
  </si>
  <si>
    <r>
      <rPr>
        <sz val="11"/>
        <color theme="1"/>
        <rFont val="Calibri"/>
      </rPr>
      <t>你别</t>
    </r>
    <r>
      <rPr>
        <b/>
        <sz val="11"/>
        <color theme="1"/>
        <rFont val="Calibri"/>
      </rPr>
      <t>动</t>
    </r>
    <r>
      <rPr>
        <sz val="11"/>
        <color theme="1"/>
        <rFont val="Calibri"/>
      </rPr>
      <t>！</t>
    </r>
  </si>
  <si>
    <t>Nǐ bié dòng!</t>
  </si>
  <si>
    <t>Bạn đừng cử động!</t>
  </si>
  <si>
    <t>H2_B11_BG_4.gif</t>
  </si>
  <si>
    <t>H2_B11_4.mp3</t>
  </si>
  <si>
    <t>H2_B11_VD_4.mp3</t>
  </si>
  <si>
    <t>着</t>
  </si>
  <si>
    <t>&lt;ruby&gt;着&lt;rt&gt;zhe&lt;/rt&gt;&lt;/ruby&gt;</t>
  </si>
  <si>
    <t>zhe</t>
  </si>
  <si>
    <t>Được dùng để chỉ trạng thái</t>
  </si>
  <si>
    <r>
      <rPr>
        <sz val="11"/>
        <color theme="1"/>
        <rFont val="Calibri"/>
      </rPr>
      <t>他手里拿</t>
    </r>
    <r>
      <rPr>
        <b/>
        <sz val="11"/>
        <color theme="1"/>
        <rFont val="Calibri"/>
      </rPr>
      <t>着</t>
    </r>
    <r>
      <rPr>
        <sz val="11"/>
        <color theme="1"/>
        <rFont val="Calibri"/>
      </rPr>
      <t>两个苹果。</t>
    </r>
  </si>
  <si>
    <t>Tā shǒu lǐ názhe liǎng gè píngguǒ.</t>
  </si>
  <si>
    <t>Anh ấy cầm hai quả táo trong tay.</t>
  </si>
  <si>
    <t>H2_B11_BG_5.gif</t>
  </si>
  <si>
    <t>H2_B11_5.mp3</t>
  </si>
  <si>
    <t>H2_B11_VD_5.mp3</t>
  </si>
  <si>
    <t>路上</t>
  </si>
  <si>
    <t>&lt;ruby&gt;路上&lt;rt&gt;lù shàng&lt;/rt&gt;&lt;/ruby&gt;</t>
  </si>
  <si>
    <t>lù shàng</t>
  </si>
  <si>
    <t>Đường đi</t>
  </si>
  <si>
    <r>
      <rPr>
        <sz val="11"/>
        <color theme="1"/>
        <rFont val="Calibri"/>
      </rPr>
      <t>我在回家的</t>
    </r>
    <r>
      <rPr>
        <b/>
        <sz val="11"/>
        <color theme="1"/>
        <rFont val="Calibri"/>
      </rPr>
      <t>路上</t>
    </r>
    <r>
      <rPr>
        <sz val="11"/>
        <color theme="1"/>
        <rFont val="Calibri"/>
      </rPr>
      <t>。</t>
    </r>
  </si>
  <si>
    <t>Wǒ zài huíjiā de lùshang.</t>
  </si>
  <si>
    <t>Tôi đang trên đường về nhà.</t>
  </si>
  <si>
    <t>H2_B11_BG_6.gif</t>
  </si>
  <si>
    <t>H2_B11_6.mp3</t>
  </si>
  <si>
    <t>H2_B11_VD_6.mp3</t>
  </si>
  <si>
    <t xml:space="preserve">慢 </t>
  </si>
  <si>
    <t>&lt;ruby&gt;慢&lt;rt&gt;màn&lt;/rt&gt;&lt;/ruby&gt;</t>
  </si>
  <si>
    <t>màn</t>
  </si>
  <si>
    <t>Chậm</t>
  </si>
  <si>
    <r>
      <rPr>
        <sz val="11"/>
        <color theme="1"/>
        <rFont val="Calibri"/>
      </rPr>
      <t>他走得很</t>
    </r>
    <r>
      <rPr>
        <b/>
        <sz val="11"/>
        <color theme="1"/>
        <rFont val="Calibri"/>
      </rPr>
      <t>慢</t>
    </r>
    <r>
      <rPr>
        <sz val="11"/>
        <color theme="1"/>
        <rFont val="Calibri"/>
      </rPr>
      <t>。</t>
    </r>
  </si>
  <si>
    <t>Tā zǒu de hěn màn.</t>
  </si>
  <si>
    <t>Anh ấy đi rất chậm.</t>
  </si>
  <si>
    <t>H2_B11_BG_7.gif</t>
  </si>
  <si>
    <t>H2_B11_7.mp3</t>
  </si>
  <si>
    <t>H2_B11_VD_7.mp3</t>
  </si>
  <si>
    <t>进</t>
  </si>
  <si>
    <t>&lt;ruby&gt;进&lt;rt&gt;jìn&lt;/rt&gt;&lt;/ruby&gt;</t>
  </si>
  <si>
    <t>Vào</t>
  </si>
  <si>
    <r>
      <rPr>
        <sz val="11"/>
        <color theme="1"/>
        <rFont val="Calibri"/>
      </rPr>
      <t>他们已经</t>
    </r>
    <r>
      <rPr>
        <b/>
        <sz val="11"/>
        <color theme="1"/>
        <rFont val="Calibri"/>
      </rPr>
      <t>进</t>
    </r>
    <r>
      <rPr>
        <sz val="11"/>
        <color theme="1"/>
        <rFont val="Calibri"/>
      </rPr>
      <t>会议室了。</t>
    </r>
  </si>
  <si>
    <t>Tāmen yǐjīng jìn huìyìshì le.</t>
  </si>
  <si>
    <t>Họ đã vào phòng họp.</t>
  </si>
  <si>
    <t>H2_B11_BG_8.gif</t>
  </si>
  <si>
    <t>H2_B11_8.mp3</t>
  </si>
  <si>
    <t>H2_B11_VD_8.mp3</t>
  </si>
  <si>
    <t xml:space="preserve">药 </t>
  </si>
  <si>
    <t>Thuốc</t>
  </si>
  <si>
    <r>
      <rPr>
        <sz val="11"/>
        <color theme="1"/>
        <rFont val="Calibri"/>
      </rPr>
      <t>我生病了，需要吃</t>
    </r>
    <r>
      <rPr>
        <b/>
        <sz val="11"/>
        <color theme="1"/>
        <rFont val="Calibri"/>
      </rPr>
      <t>药</t>
    </r>
    <r>
      <rPr>
        <sz val="11"/>
        <color theme="1"/>
        <rFont val="Calibri"/>
      </rPr>
      <t>。</t>
    </r>
  </si>
  <si>
    <t>Wǒ shēngbìng le, xūyào chī yào.</t>
  </si>
  <si>
    <t>Tôi bị ốm rồi, cần uống thuốc.</t>
  </si>
  <si>
    <t>H2_B11_BG_9.gif</t>
  </si>
  <si>
    <t>H2_B11_9.mp3</t>
  </si>
  <si>
    <t>H2_B11_VD_9.mp3</t>
  </si>
  <si>
    <t>身体</t>
  </si>
  <si>
    <t>&lt;ruby&gt;身体&lt;rt&gt;shēntǐ&lt;/rt&gt;&lt;/ruby&gt;</t>
  </si>
  <si>
    <t>shēntǐ</t>
  </si>
  <si>
    <t>Sức khỏe, cơ thể</t>
  </si>
  <si>
    <r>
      <rPr>
        <sz val="11"/>
        <color theme="1"/>
        <rFont val="Calibri"/>
      </rPr>
      <t>你的</t>
    </r>
    <r>
      <rPr>
        <b/>
        <sz val="11"/>
        <color theme="1"/>
        <rFont val="Calibri"/>
      </rPr>
      <t>身体</t>
    </r>
    <r>
      <rPr>
        <sz val="11"/>
        <color theme="1"/>
        <rFont val="Calibri"/>
      </rPr>
      <t>怎么样？</t>
    </r>
  </si>
  <si>
    <t>Nǐ de shēntǐ zěnme yàng?</t>
  </si>
  <si>
    <t>Sức khỏe của bạn thế nào?</t>
  </si>
  <si>
    <t>H2_B11_BG_10.gif</t>
  </si>
  <si>
    <t>H2_B11_10.mp3</t>
  </si>
  <si>
    <t>H2_B11_VD_10.mp3</t>
  </si>
  <si>
    <t xml:space="preserve">时 </t>
  </si>
  <si>
    <t>&lt;ruby&gt;时&lt;rt&gt;shí&lt;/rt&gt;&lt;/ruby&gt;</t>
  </si>
  <si>
    <t>shí</t>
  </si>
  <si>
    <t>Chỉ một khoảng thời gian</t>
  </si>
  <si>
    <r>
      <rPr>
        <sz val="11"/>
        <color theme="1"/>
        <rFont val="Calibri"/>
      </rPr>
      <t>我上学</t>
    </r>
    <r>
      <rPr>
        <b/>
        <sz val="11"/>
        <color theme="1"/>
        <rFont val="Calibri"/>
      </rPr>
      <t>时</t>
    </r>
    <r>
      <rPr>
        <sz val="11"/>
        <color theme="1"/>
        <rFont val="Calibri"/>
      </rPr>
      <t>，天气很好。</t>
    </r>
  </si>
  <si>
    <t>Wǒ shàngxué shí, tiānqì hěn hǎo.</t>
  </si>
  <si>
    <t>Lúc tôi đi học, thời tiết rất đẹp.</t>
  </si>
  <si>
    <t>H2_B11_BG_11.gif</t>
  </si>
  <si>
    <t>H2_B11_11.mp3</t>
  </si>
  <si>
    <t>H2_B11_VD_11.mp3</t>
  </si>
  <si>
    <t>最</t>
  </si>
  <si>
    <t>&lt;ruby&gt;最&lt;rt&gt;zuì&lt;/rt&gt;&lt;/ruby&gt;</t>
  </si>
  <si>
    <t>zuì</t>
  </si>
  <si>
    <t>Nhất</t>
  </si>
  <si>
    <r>
      <rPr>
        <sz val="11"/>
        <color theme="1"/>
        <rFont val="Calibri"/>
      </rPr>
      <t>这个苹果</t>
    </r>
    <r>
      <rPr>
        <b/>
        <sz val="11"/>
        <color theme="1"/>
        <rFont val="Calibri"/>
      </rPr>
      <t>最</t>
    </r>
    <r>
      <rPr>
        <sz val="11"/>
        <color theme="1"/>
        <rFont val="Calibri"/>
      </rPr>
      <t>大。</t>
    </r>
  </si>
  <si>
    <t>Zhège píngguǒ zuì dà.</t>
  </si>
  <si>
    <t>Quả táo này to nhất.</t>
  </si>
  <si>
    <t>H2_B11_BG_12.gif</t>
  </si>
  <si>
    <t>H2_B11_12.mp3</t>
  </si>
  <si>
    <t>H2_B11_VD_12.mp3</t>
  </si>
  <si>
    <t>药店</t>
  </si>
  <si>
    <t>&lt;ruby&gt;药店&lt;rt&gt;yào diàn&lt;/rt&gt;&lt;/ruby&gt;</t>
  </si>
  <si>
    <t>yào diàn</t>
  </si>
  <si>
    <t>Tiệm thuốc</t>
  </si>
  <si>
    <r>
      <rPr>
        <sz val="11"/>
        <color theme="1"/>
        <rFont val="Calibri"/>
      </rPr>
      <t>我去</t>
    </r>
    <r>
      <rPr>
        <b/>
        <sz val="11"/>
        <color theme="1"/>
        <rFont val="Calibri"/>
      </rPr>
      <t>药店</t>
    </r>
    <r>
      <rPr>
        <sz val="11"/>
        <color theme="1"/>
        <rFont val="Calibri"/>
      </rPr>
      <t>买感冒药。</t>
    </r>
  </si>
  <si>
    <t>Wǒ qù yàodiàn mǎi gǎnmàoyào.</t>
  </si>
  <si>
    <t>Tôi đến tiệm thuốc mua thuốc cảm.</t>
  </si>
  <si>
    <t>H2_B11_BG_13.gif</t>
  </si>
  <si>
    <t>H2_B11_13.mp3</t>
  </si>
  <si>
    <t>H2_B11_VD_13.mp3</t>
  </si>
  <si>
    <t>事情</t>
  </si>
  <si>
    <t>&lt;ruby&gt;事情&lt;rt&gt;shìqing&lt;/rt&gt;&lt;/ruby&gt;</t>
  </si>
  <si>
    <t>shìqing</t>
  </si>
  <si>
    <t>Sự việc</t>
  </si>
  <si>
    <r>
      <rPr>
        <sz val="11"/>
        <color theme="1"/>
        <rFont val="Calibri"/>
      </rPr>
      <t>他讲述了</t>
    </r>
    <r>
      <rPr>
        <b/>
        <sz val="11"/>
        <color theme="1"/>
        <rFont val="Calibri"/>
      </rPr>
      <t>事情</t>
    </r>
    <r>
      <rPr>
        <sz val="11"/>
        <color theme="1"/>
        <rFont val="Calibri"/>
      </rPr>
      <t>的经过。</t>
    </r>
  </si>
  <si>
    <t>Tā jiǎngshù le shìqíng de jīngguò.</t>
  </si>
  <si>
    <t>Anh ấy kể lại quá trình sự việc.</t>
  </si>
  <si>
    <t>H2_B12_BG_1.gif</t>
  </si>
  <si>
    <t>H2_B12_1.mp3</t>
  </si>
  <si>
    <t>H2_B12_VD_1.mp3</t>
  </si>
  <si>
    <t>晴</t>
  </si>
  <si>
    <t>&lt;ruby&gt;晴&lt;rt&gt;qíng&lt;/rt&gt;&lt;/ruby&gt;</t>
  </si>
  <si>
    <t>qíng</t>
  </si>
  <si>
    <t>Có nắng, nắng ráo</t>
  </si>
  <si>
    <r>
      <rPr>
        <sz val="11"/>
        <color theme="1"/>
        <rFont val="Calibri"/>
      </rPr>
      <t>天气终于</t>
    </r>
    <r>
      <rPr>
        <b/>
        <sz val="11"/>
        <color theme="1"/>
        <rFont val="Calibri"/>
      </rPr>
      <t>晴</t>
    </r>
    <r>
      <rPr>
        <sz val="11"/>
        <color theme="1"/>
        <rFont val="Calibri"/>
      </rPr>
      <t>了。</t>
    </r>
  </si>
  <si>
    <t>Tiānqì zhōngyú qíng le.</t>
  </si>
  <si>
    <t>Thời tiết cuối cùng đã quang đãng.</t>
  </si>
  <si>
    <t>H2_B12_BG_2.gif</t>
  </si>
  <si>
    <t>H2_B12_2.mp3</t>
  </si>
  <si>
    <t>H2_B12_VD_2.mp3</t>
  </si>
  <si>
    <t>69ddf966ac6453bc82f53724</t>
  </si>
  <si>
    <t>正</t>
  </si>
  <si>
    <t>&lt;ruby&gt;正&lt;rt&gt;zhèng&lt;/rt&gt;&lt;/ruby&gt;</t>
  </si>
  <si>
    <t>zhèng</t>
  </si>
  <si>
    <t>Chỉ sự việc đang diễn ra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</si>
  <si>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正</t>
    </r>
    <r>
      <rPr>
        <sz val="11"/>
        <color theme="1"/>
        <rFont val="Calibri"/>
      </rPr>
      <t>吃饭呢。</t>
    </r>
  </si>
  <si>
    <t>Tā zhèng chīfàn ne.</t>
  </si>
  <si>
    <t>Anh ấy đang ăn cơm.</t>
  </si>
  <si>
    <t>H2_B12_BG_3.gif</t>
  </si>
  <si>
    <t>H2_B12_3.mp3</t>
  </si>
  <si>
    <t>H2_B12_VD_3.mp3</t>
  </si>
  <si>
    <t>外面</t>
  </si>
  <si>
    <t>&lt;ruby&gt;外面&lt;rt&gt;wàimiàn&lt;/rt&gt;&lt;/ruby&gt;</t>
  </si>
  <si>
    <t>wàimiàn</t>
  </si>
  <si>
    <r>
      <rPr>
        <sz val="11"/>
        <color theme="1"/>
        <rFont val="Calibri"/>
      </rPr>
      <t>这个公寓从</t>
    </r>
    <r>
      <rPr>
        <b/>
        <sz val="11"/>
        <color theme="1"/>
        <rFont val="Calibri"/>
      </rPr>
      <t>外面</t>
    </r>
    <r>
      <rPr>
        <sz val="11"/>
        <color theme="1"/>
        <rFont val="Calibri"/>
      </rPr>
      <t>看起来非常坚固。</t>
    </r>
  </si>
  <si>
    <t>Zhège gōngyù cóng wàimiàn kàn qǐlái fēicháng jiāngù.</t>
  </si>
  <si>
    <t>Chung cư này nhìn bên ngoài rất kiên cố.</t>
  </si>
  <si>
    <t>H2_B12_BG_4.gif</t>
  </si>
  <si>
    <t>H2_B12_4.mp3</t>
  </si>
  <si>
    <t>H2_B12_VD_4.mp3</t>
  </si>
  <si>
    <t>阴</t>
  </si>
  <si>
    <t>&lt;ruby&gt;阴&lt;rt&gt;yīn&lt;/rt&gt;&lt;/ruby&gt;</t>
  </si>
  <si>
    <t>yīn</t>
  </si>
  <si>
    <t>U ám, nhiều mây</t>
  </si>
  <si>
    <r>
      <rPr>
        <sz val="11"/>
        <color theme="1"/>
        <rFont val="Calibri"/>
      </rPr>
      <t>上午还是晴天，中午却</t>
    </r>
    <r>
      <rPr>
        <b/>
        <sz val="11"/>
        <color theme="1"/>
        <rFont val="Calibri"/>
      </rPr>
      <t>阴</t>
    </r>
    <r>
      <rPr>
        <sz val="11"/>
        <color theme="1"/>
        <rFont val="Calibri"/>
      </rPr>
      <t>得厉害。</t>
    </r>
  </si>
  <si>
    <t>Shàngwǔ háishì qíngtiān, zhōngwǔ què yīn de lìhài.</t>
  </si>
  <si>
    <t>Buổi sáng trời vẫn nắng nhưng đến trưa trời nhiều mây.</t>
  </si>
  <si>
    <t>H2_B12_BG_5.gif</t>
  </si>
  <si>
    <t>H2_B12_5.mp3</t>
  </si>
  <si>
    <t>H2_B12_VD_5.mp3</t>
  </si>
  <si>
    <t>从小</t>
  </si>
  <si>
    <t>&lt;ruby&gt;从小&lt;rt&gt;cóng xiǎo&lt;/rt&gt;&lt;/ruby&gt;</t>
  </si>
  <si>
    <t>cóng xiǎo</t>
  </si>
  <si>
    <t>Lúc nhỏ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</si>
  <si>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从小</t>
    </r>
    <r>
      <rPr>
        <sz val="11"/>
        <color theme="1"/>
        <rFont val="Calibri"/>
      </rPr>
      <t>就喜欢画画。</t>
    </r>
  </si>
  <si>
    <t>Wǒ cóngxiǎo jiù xǐhuan huàhuà.</t>
  </si>
  <si>
    <t>Tôi từ nhỏ đã thích vẽ tranh.</t>
  </si>
  <si>
    <t>H2_B12_BG_6.gif</t>
  </si>
  <si>
    <t>H2_B12_6.mp3</t>
  </si>
  <si>
    <t>H2_B12_VD_6.mp3</t>
  </si>
  <si>
    <t>地铁</t>
  </si>
  <si>
    <t>&lt;ruby&gt;地铁&lt;rt&gt;dìtiě&lt;/rt&gt;&lt;/ruby&gt;</t>
  </si>
  <si>
    <t>dìtiě</t>
  </si>
  <si>
    <t>Tàu điện ngầm</t>
  </si>
  <si>
    <r>
      <rPr>
        <sz val="11"/>
        <color theme="1"/>
        <rFont val="Calibri"/>
      </rPr>
      <t>我每天坐</t>
    </r>
    <r>
      <rPr>
        <b/>
        <sz val="11"/>
        <color theme="1"/>
        <rFont val="Calibri"/>
      </rPr>
      <t>地铁</t>
    </r>
    <r>
      <rPr>
        <sz val="11"/>
        <color theme="1"/>
        <rFont val="Calibri"/>
      </rPr>
      <t>去上班。</t>
    </r>
  </si>
  <si>
    <t>Wǒ měitiān zuò dìtiě qù shàngbān.</t>
  </si>
  <si>
    <t>Mỗi ngày tôi đi tàu điện ngầm để đi làm.</t>
  </si>
  <si>
    <t>H2_B12_BG_7.gif</t>
  </si>
  <si>
    <t>H2_B12_7.mp3</t>
  </si>
  <si>
    <t>H2_B12_VD_7.mp3</t>
  </si>
  <si>
    <t>楼</t>
  </si>
  <si>
    <t>&lt;ruby&gt;楼&lt;rt&gt;lóu&lt;/rt&gt;&lt;/ruby&gt;</t>
  </si>
  <si>
    <t>lóu</t>
  </si>
  <si>
    <t>Tòa nhà, tầng</t>
  </si>
  <si>
    <r>
      <rPr>
        <sz val="11"/>
        <color theme="1"/>
        <rFont val="Calibri"/>
      </rPr>
      <t>这是一栋高</t>
    </r>
    <r>
      <rPr>
        <b/>
        <sz val="11"/>
        <color theme="1"/>
        <rFont val="Calibri"/>
      </rPr>
      <t>楼</t>
    </r>
    <r>
      <rPr>
        <sz val="11"/>
        <color theme="1"/>
        <rFont val="Calibri"/>
      </rPr>
      <t>。</t>
    </r>
  </si>
  <si>
    <t>Zhè shì yī dòng gāolóu.</t>
  </si>
  <si>
    <t>Đây là một tòa nhà cao tầng.</t>
  </si>
  <si>
    <t>H2_B12_BG_8.gif</t>
  </si>
  <si>
    <t>H2_B12_8.mp3</t>
  </si>
  <si>
    <t>H2_B12_VD_8.mp3</t>
  </si>
  <si>
    <t>站</t>
  </si>
  <si>
    <t>&lt;ruby&gt;站&lt;rt&gt;zhàn&lt;/rt&gt;&lt;/ruby&gt;</t>
  </si>
  <si>
    <t>zhàn</t>
  </si>
  <si>
    <t xml:space="preserve">Động từ </t>
  </si>
  <si>
    <t>Đứng</t>
  </si>
  <si>
    <r>
      <rPr>
        <sz val="11"/>
        <color theme="1"/>
        <rFont val="Calibri"/>
      </rPr>
      <t>警察正在</t>
    </r>
    <r>
      <rPr>
        <b/>
        <sz val="11"/>
        <color theme="1"/>
        <rFont val="Calibri"/>
      </rPr>
      <t>站</t>
    </r>
    <r>
      <rPr>
        <sz val="11"/>
        <color theme="1"/>
        <rFont val="Calibri"/>
      </rPr>
      <t>着观察。</t>
    </r>
  </si>
  <si>
    <t>Jǐngchá zhèngzài zhànzhe guānchá.</t>
  </si>
  <si>
    <t>Viên cảnh sát đang đứng quan sát.</t>
  </si>
  <si>
    <t>H2_B12_BG_9.gif</t>
  </si>
  <si>
    <t>H2_B12_9.mp3</t>
  </si>
  <si>
    <t>H2_B12_VD_9.mp3</t>
  </si>
  <si>
    <t>小时候</t>
  </si>
  <si>
    <t>&lt;ruby&gt;小时候&lt;rt&gt;xiǎo shí hou&lt;/rt&gt;&lt;/ruby&gt;</t>
  </si>
  <si>
    <t>xiǎo shí hou</t>
  </si>
  <si>
    <t>Thời thơ ấu</t>
  </si>
  <si>
    <r>
      <rPr>
        <b/>
        <sz val="11"/>
        <color theme="1"/>
        <rFont val="Calibri"/>
      </rPr>
      <t>小时候</t>
    </r>
    <r>
      <rPr>
        <sz val="11"/>
        <color theme="1"/>
        <rFont val="Calibri"/>
      </rPr>
      <t>，我常常去河边玩耍。</t>
    </r>
  </si>
  <si>
    <t>Xiǎoshíhou, wǒ chángcháng qù hébiān wánshuǎ.</t>
  </si>
  <si>
    <t>Lúc nhỏ, tôi thường ra bờ sông chơi đùa.</t>
  </si>
  <si>
    <t>H2_B12_BG_10.gif</t>
  </si>
  <si>
    <t>H2_B12_10.mp3</t>
  </si>
  <si>
    <t>H2_B12_VD_10.mp3</t>
  </si>
  <si>
    <r>
      <rPr>
        <sz val="11"/>
        <color theme="1"/>
        <rFont val="Calibri"/>
      </rPr>
      <t>他们跳舞很</t>
    </r>
    <r>
      <rPr>
        <b/>
        <sz val="11"/>
        <color theme="1"/>
        <rFont val="Calibri"/>
      </rPr>
      <t>好</t>
    </r>
    <r>
      <rPr>
        <sz val="11"/>
        <color theme="1"/>
        <rFont val="Calibri"/>
      </rPr>
      <t>。</t>
    </r>
  </si>
  <si>
    <t>H2_B12_BG_11.gif</t>
  </si>
  <si>
    <t>H2_B12_11.mp3</t>
  </si>
  <si>
    <t>H2_B12_VD_11.mp3</t>
  </si>
  <si>
    <t>新年</t>
  </si>
  <si>
    <t>&lt;ruby&gt;新年&lt;rt&gt;xīnnián&lt;/rt&gt;&lt;/ruby&gt;</t>
  </si>
  <si>
    <t>xīnnián</t>
  </si>
  <si>
    <t>Năm mới, Tết</t>
  </si>
  <si>
    <r>
      <rPr>
        <b/>
        <sz val="11"/>
        <color theme="1"/>
        <rFont val="Calibri"/>
      </rPr>
      <t>新年</t>
    </r>
    <r>
      <rPr>
        <sz val="11"/>
        <color theme="1"/>
        <rFont val="Calibri"/>
      </rPr>
      <t>快乐！</t>
    </r>
  </si>
  <si>
    <t>Chúc mừng năm mới!</t>
  </si>
  <si>
    <t>H2_B13_BG_1.gif</t>
  </si>
  <si>
    <t>H2_B13_1.mp3</t>
  </si>
  <si>
    <t>H2_B13_VD_1.mp3</t>
  </si>
  <si>
    <t xml:space="preserve">教 </t>
  </si>
  <si>
    <t>&lt;ruby&gt;教&lt;rt&gt;jiào&lt;/rt&gt;&lt;/ruby&gt;</t>
  </si>
  <si>
    <t>Dạy</t>
  </si>
  <si>
    <r>
      <rPr>
        <sz val="11"/>
        <color theme="1"/>
        <rFont val="Calibri"/>
      </rPr>
      <t>老师</t>
    </r>
    <r>
      <rPr>
        <b/>
        <sz val="11"/>
        <color theme="1"/>
        <rFont val="Calibri"/>
      </rPr>
      <t>教</t>
    </r>
    <r>
      <rPr>
        <sz val="11"/>
        <color theme="1"/>
        <rFont val="Calibri"/>
      </rPr>
      <t>我们汉语。</t>
    </r>
  </si>
  <si>
    <t>Lǎoshī jiāo wǒmen Hànyǔ.</t>
  </si>
  <si>
    <t>Thầy giáo dạy chúng tôi tiếng Hán.</t>
  </si>
  <si>
    <t>H2_B13_BG_2.gif</t>
  </si>
  <si>
    <t>H2_B13_2.mp3</t>
  </si>
  <si>
    <t>H2_B13_VD_2.mp3</t>
  </si>
  <si>
    <t>69ddf966ac6453bc82f53721</t>
  </si>
  <si>
    <r>
      <rPr>
        <sz val="11"/>
        <color theme="1"/>
        <rFont val="Calibri"/>
      </rPr>
      <t>这朵</t>
    </r>
    <r>
      <rPr>
        <b/>
        <sz val="11"/>
        <color theme="1"/>
        <rFont val="Calibri"/>
      </rPr>
      <t>花</t>
    </r>
    <r>
      <rPr>
        <sz val="11"/>
        <color theme="1"/>
        <rFont val="Calibri"/>
      </rPr>
      <t>很漂亮。</t>
    </r>
  </si>
  <si>
    <t>H2_B13_BG_3.gif</t>
  </si>
  <si>
    <t>H2_B13_3.mp3</t>
  </si>
  <si>
    <t>H2_B13_VD_3.mp3</t>
  </si>
  <si>
    <t>希望</t>
  </si>
  <si>
    <t>&lt;ruby&gt;希望&lt;rt&gt;xīwàng&lt;/rt&gt;&lt;/ruby&gt;</t>
  </si>
  <si>
    <t>xīwàng</t>
  </si>
  <si>
    <t>Mong, hy vọng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</si>
  <si>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希望</t>
    </r>
    <r>
      <rPr>
        <sz val="11"/>
        <color theme="1"/>
        <rFont val="Calibri"/>
      </rPr>
      <t>成为优秀的学生。</t>
    </r>
  </si>
  <si>
    <t>Wǒ xīwàng chéngwéi yōuxiù de xuéshēng.</t>
  </si>
  <si>
    <t>Tôi hy vọng trở thành học sinh giỏi.</t>
  </si>
  <si>
    <t>H2_B13_BG_4.gif</t>
  </si>
  <si>
    <t>H2_B13_4.mp3</t>
  </si>
  <si>
    <t>H2_B13_VD_4.mp3</t>
  </si>
  <si>
    <t>上面</t>
  </si>
  <si>
    <t>&lt;ruby&gt;上面&lt;rt&gt;shàng miàn&lt;/rt&gt;&lt;/ruby&gt;</t>
  </si>
  <si>
    <t>shàng miàn</t>
  </si>
  <si>
    <t>Bề mặt phía trên</t>
  </si>
  <si>
    <r>
      <rPr>
        <sz val="11"/>
        <color theme="1"/>
        <rFont val="Calibri"/>
      </rPr>
      <t>桌子</t>
    </r>
    <r>
      <rPr>
        <b/>
        <sz val="11"/>
        <color theme="1"/>
        <rFont val="Calibri"/>
      </rPr>
      <t>上面</t>
    </r>
    <r>
      <rPr>
        <sz val="11"/>
        <color theme="1"/>
        <rFont val="Calibri"/>
      </rPr>
      <t>有一本书。</t>
    </r>
  </si>
  <si>
    <t>Zhuōzi shàngmiàn yǒu yì běn shū.</t>
  </si>
  <si>
    <t>Trên mặt bàn có một quyển sách.</t>
  </si>
  <si>
    <t>H2_B13_BG_5.gif</t>
  </si>
  <si>
    <t>H2_B13_5.mp3</t>
  </si>
  <si>
    <t>H2_B13_VD_5.mp3</t>
  </si>
  <si>
    <t>洗手间</t>
  </si>
  <si>
    <t>&lt;ruby&gt;洗手间&lt;rt&gt;xǐshǒujiān&lt;/rt&gt;&lt;/ruby&gt;</t>
  </si>
  <si>
    <t>xǐshǒujiān</t>
  </si>
  <si>
    <t>Nhà vệ sinh</t>
  </si>
  <si>
    <r>
      <rPr>
        <sz val="11"/>
        <color theme="1"/>
        <rFont val="Calibri"/>
      </rPr>
      <t>我想去</t>
    </r>
    <r>
      <rPr>
        <b/>
        <sz val="11"/>
        <color theme="1"/>
        <rFont val="Calibri"/>
      </rPr>
      <t>洗手间</t>
    </r>
    <r>
      <rPr>
        <sz val="11"/>
        <color theme="1"/>
        <rFont val="Calibri"/>
      </rPr>
      <t>。</t>
    </r>
  </si>
  <si>
    <t>Wǒ xiǎng qù xǐshǒujiān.</t>
  </si>
  <si>
    <t>Tôi muốn đi nhà vệ sinh.</t>
  </si>
  <si>
    <t>H2_B13_BG_6.gif</t>
  </si>
  <si>
    <t>H2_B13_6.mp3</t>
  </si>
  <si>
    <t>H2_B13_VD_6.mp3</t>
  </si>
  <si>
    <t>里面</t>
  </si>
  <si>
    <t>&lt;ruby&gt;里面&lt;rt&gt;lǐ miàn&lt;/rt&gt;&lt;/ruby&gt;</t>
  </si>
  <si>
    <t>lǐ miàn</t>
  </si>
  <si>
    <r>
      <rPr>
        <sz val="11"/>
        <color theme="1"/>
        <rFont val="Calibri"/>
      </rPr>
      <t>盒子</t>
    </r>
    <r>
      <rPr>
        <b/>
        <sz val="11"/>
        <color theme="1"/>
        <rFont val="Calibri"/>
      </rPr>
      <t>里面</t>
    </r>
    <r>
      <rPr>
        <sz val="11"/>
        <color theme="1"/>
        <rFont val="Calibri"/>
      </rPr>
      <t>有一个苹果。</t>
    </r>
  </si>
  <si>
    <t>Hézi lǐmiàn yǒu yí ge píngguǒ.</t>
  </si>
  <si>
    <t>Bên trong hộp có một quả táo.</t>
  </si>
  <si>
    <t>H2_B13_BG_7.gif</t>
  </si>
  <si>
    <t>H2_B13_7.mp3</t>
  </si>
  <si>
    <t>H2_B13_VD_7.mp3</t>
  </si>
  <si>
    <t xml:space="preserve">笔 </t>
  </si>
  <si>
    <t>Cây (bút)</t>
  </si>
  <si>
    <r>
      <rPr>
        <sz val="11"/>
        <color theme="1"/>
        <rFont val="Calibri"/>
      </rPr>
      <t>我有一支</t>
    </r>
    <r>
      <rPr>
        <b/>
        <sz val="11"/>
        <color theme="1"/>
        <rFont val="Calibri"/>
      </rPr>
      <t>笔</t>
    </r>
    <r>
      <rPr>
        <sz val="11"/>
        <color theme="1"/>
        <rFont val="Calibri"/>
      </rPr>
      <t>。</t>
    </r>
  </si>
  <si>
    <t>Wǒ yǒu yì zhī bǐ.</t>
  </si>
  <si>
    <t>Tôi có một cây bút.</t>
  </si>
  <si>
    <t>H2_B13_BG_8.gif</t>
  </si>
  <si>
    <t>H2_B13_8.mp3</t>
  </si>
  <si>
    <t>H2_B13_VD_8.mp3</t>
  </si>
  <si>
    <t>可能</t>
  </si>
  <si>
    <t>&lt;ruby&gt;可能&lt;rt&gt;kěnéng&lt;/rt&gt;&lt;/ruby&gt;</t>
  </si>
  <si>
    <t>kěnéng</t>
  </si>
  <si>
    <t>Có thể, có lẽ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</si>
  <si>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可能</t>
    </r>
    <r>
      <rPr>
        <sz val="11"/>
        <color theme="1"/>
        <rFont val="Calibri"/>
      </rPr>
      <t>受伤了，需要帮助。</t>
    </r>
  </si>
  <si>
    <t>Tā kěnéng shòushāng le, xūyào bāngzhù.</t>
  </si>
  <si>
    <t>Anh ấy có lẽ đã bị thương, cần giúp đỡ.</t>
  </si>
  <si>
    <t>H2_B13_BG_9.gif</t>
  </si>
  <si>
    <t>H2_B13_9.mp3</t>
  </si>
  <si>
    <t>H2_B13_VD_9.mp3</t>
  </si>
  <si>
    <t>上网</t>
  </si>
  <si>
    <t>&lt;ruby&gt;上网&lt;rt&gt;shàng wǎng&lt;/rt&gt;&lt;/ruby&gt;</t>
  </si>
  <si>
    <t>shàng wǎng</t>
  </si>
  <si>
    <t>Lên mạng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</si>
  <si>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上网</t>
    </r>
    <r>
      <rPr>
        <sz val="11"/>
        <color theme="1"/>
        <rFont val="Calibri"/>
      </rPr>
      <t>查资料。</t>
    </r>
  </si>
  <si>
    <t>Tā shàngwǎng chá zīliào.</t>
  </si>
  <si>
    <t>Cô ấy lên mạng tra tài liệu.</t>
  </si>
  <si>
    <t>H2_B13_BG_10.gif</t>
  </si>
  <si>
    <t>H2_B13_10.mp3</t>
  </si>
  <si>
    <t>H2_B13_VD_10.mp3</t>
  </si>
  <si>
    <t>那样</t>
  </si>
  <si>
    <t>&lt;ruby&gt;那样&lt;rt&gt;nà yàng&lt;/rt&gt;&lt;/ruby&gt;</t>
  </si>
  <si>
    <t>nà yàng</t>
  </si>
  <si>
    <t>Vậy thì</t>
  </si>
  <si>
    <r>
      <rPr>
        <b/>
        <sz val="11"/>
        <color theme="1"/>
        <rFont val="Calibri"/>
      </rPr>
      <t>那样</t>
    </r>
    <r>
      <rPr>
        <sz val="11"/>
        <color theme="1"/>
        <rFont val="Calibri"/>
      </rPr>
      <t>的话，我们就明天再去吧。</t>
    </r>
  </si>
  <si>
    <t>Nàyàng de huà, wǒmen jiù míngtiān zài qù ba.</t>
  </si>
  <si>
    <t>Vậy thì, chúng ta để mai hẵng đi nhé.</t>
  </si>
  <si>
    <t>H2_B13_BG_11.gif</t>
  </si>
  <si>
    <t>H2_B13_11.mp3</t>
  </si>
  <si>
    <t>H2_B13_VD_11.mp3</t>
  </si>
  <si>
    <t>告诉</t>
  </si>
  <si>
    <t>&lt;ruby&gt;告诉&lt;rt&gt;gàosù&lt;/rt&gt;&lt;/ruby&gt;</t>
  </si>
  <si>
    <t>gàosù</t>
  </si>
  <si>
    <t>Nói cho biết</t>
  </si>
  <si>
    <r>
      <rPr>
        <b/>
        <sz val="11"/>
        <color theme="1"/>
        <rFont val="Calibri"/>
      </rPr>
      <t>告诉</t>
    </r>
    <r>
      <rPr>
        <sz val="11"/>
        <color theme="1"/>
        <rFont val="Calibri"/>
      </rPr>
      <t>我你的地址。</t>
    </r>
  </si>
  <si>
    <t>Gàosu wǒ nǐ de dìzhǐ.</t>
  </si>
  <si>
    <t>Nói với tôi địa chỉ của cậu.</t>
  </si>
  <si>
    <t>H2_B13_BG_12.gif</t>
  </si>
  <si>
    <t>H2_B13_12.mp3</t>
  </si>
  <si>
    <t>H2_B13_VD_12.mp3</t>
  </si>
  <si>
    <t>班</t>
  </si>
  <si>
    <t>&lt;ruby&gt;班&lt;rt&gt;bān&lt;/rt&gt;&lt;/ruby&gt;</t>
  </si>
  <si>
    <t>bān</t>
  </si>
  <si>
    <r>
      <rPr>
        <sz val="11"/>
        <color theme="1"/>
        <rFont val="Calibri"/>
      </rPr>
      <t>我们</t>
    </r>
    <r>
      <rPr>
        <b/>
        <sz val="11"/>
        <color theme="1"/>
        <rFont val="Calibri"/>
      </rPr>
      <t>班</t>
    </r>
    <r>
      <rPr>
        <sz val="11"/>
        <color theme="1"/>
        <rFont val="Calibri"/>
      </rPr>
      <t>有十个人。</t>
    </r>
  </si>
  <si>
    <t>Wǒmen bān yǒu shí gèrén.</t>
  </si>
  <si>
    <t>Lớp chúng tôi có 10 người.</t>
  </si>
  <si>
    <t>H2_B13_BG_13.gif</t>
  </si>
  <si>
    <t>H2_B13_13.mp3</t>
  </si>
  <si>
    <t>H2_B13_VD_13.mp3</t>
  </si>
  <si>
    <r>
      <rPr>
        <sz val="11"/>
        <color theme="1"/>
        <rFont val="Calibri"/>
      </rPr>
      <t>警察正在</t>
    </r>
    <r>
      <rPr>
        <b/>
        <sz val="11"/>
        <color theme="1"/>
        <rFont val="Calibri"/>
      </rPr>
      <t>站</t>
    </r>
    <r>
      <rPr>
        <sz val="11"/>
        <color theme="1"/>
        <rFont val="Calibri"/>
      </rPr>
      <t>着观察。</t>
    </r>
  </si>
  <si>
    <t>H2_B14_BG_1.gif</t>
  </si>
  <si>
    <t>H2_B14_1.mp3</t>
  </si>
  <si>
    <t>H2_B14_VD_1.mp3</t>
  </si>
  <si>
    <t>包</t>
  </si>
  <si>
    <t>&lt;ruby&gt;包&lt;rt&gt;bāo&lt;/rt&gt;&lt;/ruby&gt;</t>
  </si>
  <si>
    <t>bāo</t>
  </si>
  <si>
    <t>Cặp, túi</t>
  </si>
  <si>
    <r>
      <rPr>
        <sz val="11"/>
        <color theme="1"/>
        <rFont val="Calibri"/>
      </rPr>
      <t>这个</t>
    </r>
    <r>
      <rPr>
        <b/>
        <sz val="11"/>
        <color theme="1"/>
        <rFont val="Calibri"/>
      </rPr>
      <t>包</t>
    </r>
    <r>
      <rPr>
        <sz val="11"/>
        <color theme="1"/>
        <rFont val="Calibri"/>
      </rPr>
      <t>非常时尚。</t>
    </r>
  </si>
  <si>
    <t>Zhè gè bāo fēicháng shíshàng.</t>
  </si>
  <si>
    <t>Chiếc túi này rất thời trang.</t>
  </si>
  <si>
    <t>H2_B14_BG_2.gif</t>
  </si>
  <si>
    <t>H2_B14_2.mp3</t>
  </si>
  <si>
    <t>H2_B14_VD_2.mp3</t>
  </si>
  <si>
    <t>69ddf966ac6453bc82f53723</t>
  </si>
  <si>
    <t>过年</t>
  </si>
  <si>
    <t>&lt;ruby&gt;过年&lt;rt&gt;guò nián&lt;/rt&gt;&lt;/ruby&gt;</t>
  </si>
  <si>
    <t>guò nián</t>
  </si>
  <si>
    <t>Ăn tết</t>
  </si>
  <si>
    <r>
      <rPr>
        <sz val="11"/>
        <color theme="1"/>
        <rFont val="Calibri"/>
      </rPr>
      <t>快</t>
    </r>
    <r>
      <rPr>
        <b/>
        <sz val="11"/>
        <color theme="1"/>
        <rFont val="Calibri"/>
      </rPr>
      <t>过年</t>
    </r>
    <r>
      <rPr>
        <sz val="11"/>
        <color theme="1"/>
        <rFont val="Calibri"/>
      </rPr>
      <t>了，我们回家吧。</t>
    </r>
  </si>
  <si>
    <t>Kuài guònián le, wǒmen huíjiā ba.</t>
  </si>
  <si>
    <t>Sắp ăn Tết rồi, chúng ta về nhà thôi.</t>
  </si>
  <si>
    <t>H2_B14_BG_3.gif</t>
  </si>
  <si>
    <t>H2_B14_3.mp3</t>
  </si>
  <si>
    <t>H2_B14_VD_3.mp3</t>
  </si>
  <si>
    <t>没意思</t>
  </si>
  <si>
    <t>&lt;ruby&gt;没意思&lt;rt&gt;méi yì si&lt;/rt&gt;&lt;/ruby&gt;</t>
  </si>
  <si>
    <t>méi yì si</t>
  </si>
  <si>
    <t>Vô vị</t>
  </si>
  <si>
    <r>
      <rPr>
        <sz val="11"/>
        <color theme="1"/>
        <rFont val="Calibri"/>
      </rPr>
      <t>我觉得这个电影很</t>
    </r>
    <r>
      <rPr>
        <b/>
        <sz val="11"/>
        <color theme="1"/>
        <rFont val="Calibri"/>
      </rPr>
      <t>没意思</t>
    </r>
    <r>
      <rPr>
        <sz val="11"/>
        <color theme="1"/>
        <rFont val="Calibri"/>
      </rPr>
      <t>。</t>
    </r>
  </si>
  <si>
    <t>Wǒ juéde zhège diànyǐng hěn méi yìsi.</t>
  </si>
  <si>
    <t>Tôi thấy bộ phim này rất nhàm chán.</t>
  </si>
  <si>
    <t>H2_B14_BG_4.gif</t>
  </si>
  <si>
    <t>H2_B14_4.mp3</t>
  </si>
  <si>
    <t>H2_B14_VD_4.mp3</t>
  </si>
  <si>
    <t>位</t>
  </si>
  <si>
    <t>&lt;ruby&gt;位&lt;rt&gt;wèi&lt;/rt&gt;&lt;/ruby&gt;</t>
  </si>
  <si>
    <t>Được dùng cho người, hàm ý kính trọng</t>
  </si>
  <si>
    <r>
      <rPr>
        <sz val="11"/>
        <color theme="1"/>
        <rFont val="Calibri"/>
      </rPr>
      <t>请两</t>
    </r>
    <r>
      <rPr>
        <b/>
        <sz val="11"/>
        <color theme="1"/>
        <rFont val="Calibri"/>
      </rPr>
      <t>位</t>
    </r>
    <r>
      <rPr>
        <sz val="11"/>
        <color theme="1"/>
        <rFont val="Calibri"/>
      </rPr>
      <t>坐这里！</t>
    </r>
  </si>
  <si>
    <t>Qǐng liǎng wèi zuò zhèlǐ!</t>
  </si>
  <si>
    <t>Mời hai vị ngồi đây!</t>
  </si>
  <si>
    <t>H2_B14_BG_5.gif</t>
  </si>
  <si>
    <t>H2_B14_5.mp3</t>
  </si>
  <si>
    <t>H2_B14_VD_5.mp3</t>
  </si>
  <si>
    <t>前面</t>
  </si>
  <si>
    <t>&lt;ruby&gt;前面&lt;rt&gt;qián miàn&lt;/rt&gt;&lt;/ruby&gt;</t>
  </si>
  <si>
    <t>qián miàn</t>
  </si>
  <si>
    <r>
      <rPr>
        <sz val="11"/>
        <color theme="1"/>
        <rFont val="Calibri"/>
      </rPr>
      <t>蓝色的车在我车</t>
    </r>
    <r>
      <rPr>
        <b/>
        <sz val="11"/>
        <color theme="1"/>
        <rFont val="Calibri"/>
      </rPr>
      <t>前面</t>
    </r>
    <r>
      <rPr>
        <sz val="11"/>
        <color theme="1"/>
        <rFont val="Calibri"/>
      </rPr>
      <t>。</t>
    </r>
  </si>
  <si>
    <t>Lánsè de chē zài wǒ chē qiánmiàn.</t>
  </si>
  <si>
    <t>Chiếc xe màu xanh ở phía trước xe của tôi.</t>
  </si>
  <si>
    <t>H2_B14_BG_6.gif</t>
  </si>
  <si>
    <t>H2_B14_6.mp3</t>
  </si>
  <si>
    <t>H2_B14_VD_6.mp3</t>
  </si>
  <si>
    <t>房子</t>
  </si>
  <si>
    <t>&lt;ruby&gt;房子&lt;rt&gt;fáng zi&lt;/rt&gt;&lt;/ruby&gt;</t>
  </si>
  <si>
    <t>fáng zi</t>
  </si>
  <si>
    <t>Ngôi nhà</t>
  </si>
  <si>
    <r>
      <rPr>
        <sz val="11"/>
        <color theme="1"/>
        <rFont val="Calibri"/>
      </rPr>
      <t>这是我的</t>
    </r>
    <r>
      <rPr>
        <b/>
        <sz val="11"/>
        <color theme="1"/>
        <rFont val="Calibri"/>
      </rPr>
      <t>房子</t>
    </r>
    <r>
      <rPr>
        <sz val="11"/>
        <color theme="1"/>
        <rFont val="Calibri"/>
      </rPr>
      <t>。</t>
    </r>
  </si>
  <si>
    <t>Zhè shì wǒ de fángzi.</t>
  </si>
  <si>
    <t>Đây là nhà của tôi.</t>
  </si>
  <si>
    <t>H2_B14_BG_7.gif</t>
  </si>
  <si>
    <t>H2_B14_7.mp3</t>
  </si>
  <si>
    <t>H2_B14_VD_7.mp3</t>
  </si>
  <si>
    <t>小孩儿</t>
  </si>
  <si>
    <t>&lt;ruby&gt;小孩儿&lt;rt&gt;xiǎo hái zi&lt;/rt&gt;&lt;/ruby&gt;</t>
  </si>
  <si>
    <t>xiǎo hái zi</t>
  </si>
  <si>
    <t>Trẻ nhỏ</t>
  </si>
  <si>
    <r>
      <rPr>
        <sz val="11"/>
        <color theme="1"/>
        <rFont val="Calibri"/>
      </rPr>
      <t>那个</t>
    </r>
    <r>
      <rPr>
        <b/>
        <sz val="11"/>
        <color theme="1"/>
        <rFont val="Calibri"/>
      </rPr>
      <t>小孩儿</t>
    </r>
    <r>
      <rPr>
        <sz val="11"/>
        <color theme="1"/>
        <rFont val="Calibri"/>
      </rPr>
      <t>很可爱。</t>
    </r>
  </si>
  <si>
    <t>Nàge xiǎoháir hěn kě'ài.</t>
  </si>
  <si>
    <t>Đứa trẻ đó rất đáng yêu.</t>
  </si>
  <si>
    <t>H2_B14_BG_8.gif</t>
  </si>
  <si>
    <t>H2_B14_8.mp3</t>
  </si>
  <si>
    <t>H2_B14_VD_8.mp3</t>
  </si>
  <si>
    <t>女孩儿</t>
  </si>
  <si>
    <t>&lt;ruby&gt;女孩儿&lt;rt&gt;nǚ hái zi&lt;/rt&gt;&lt;/ruby&gt;</t>
  </si>
  <si>
    <t>nǚ hái zi</t>
  </si>
  <si>
    <t>Cô bé</t>
  </si>
  <si>
    <r>
      <rPr>
        <sz val="11"/>
        <color theme="1"/>
        <rFont val="Calibri"/>
      </rPr>
      <t>那个</t>
    </r>
    <r>
      <rPr>
        <b/>
        <sz val="11"/>
        <color theme="1"/>
        <rFont val="Calibri"/>
      </rPr>
      <t>女孩儿</t>
    </r>
    <r>
      <rPr>
        <sz val="11"/>
        <color theme="1"/>
        <rFont val="Calibri"/>
      </rPr>
      <t>很可爱。</t>
    </r>
  </si>
  <si>
    <t>Nàge nǚháir hěn kě'ài.</t>
  </si>
  <si>
    <t>Cô bé kia rất đáng yêu.</t>
  </si>
  <si>
    <t>H2_B14_BG_9.gif</t>
  </si>
  <si>
    <t>H2_B14_9.mp3</t>
  </si>
  <si>
    <t>H2_B14_VD_9.mp3</t>
  </si>
  <si>
    <t>姓</t>
  </si>
  <si>
    <t>&lt;ruby&gt;姓&lt;rt&gt;xìng&lt;/rt&gt;&lt;/ruby&gt;</t>
  </si>
  <si>
    <t>xìng</t>
  </si>
  <si>
    <t>Mang họ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</si>
  <si>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姓</t>
    </r>
    <r>
      <rPr>
        <sz val="11"/>
        <color theme="1"/>
        <rFont val="Calibri"/>
      </rPr>
      <t>王。</t>
    </r>
  </si>
  <si>
    <t>Wǒ xìng Wáng.</t>
  </si>
  <si>
    <t>Tôi họ Vương.</t>
  </si>
  <si>
    <t>H2_B14_BG_10.gif</t>
  </si>
  <si>
    <t>H2_B14_10.mp3</t>
  </si>
  <si>
    <t>H2_B14_VD_10.mp3</t>
  </si>
  <si>
    <t>眼睛</t>
  </si>
  <si>
    <t>&lt;ruby&gt;眼睛&lt;rt&gt;yǎnjing&lt;/rt&gt;&lt;/ruby&gt;</t>
  </si>
  <si>
    <t>yǎnjing</t>
  </si>
  <si>
    <t>Mắt</t>
  </si>
  <si>
    <r>
      <rPr>
        <sz val="11"/>
        <color theme="1"/>
        <rFont val="Calibri"/>
      </rPr>
      <t>她的</t>
    </r>
    <r>
      <rPr>
        <b/>
        <sz val="11"/>
        <color theme="1"/>
        <rFont val="Calibri"/>
      </rPr>
      <t>眼睛</t>
    </r>
    <r>
      <rPr>
        <sz val="11"/>
        <color theme="1"/>
        <rFont val="Calibri"/>
      </rPr>
      <t>很漂亮。</t>
    </r>
  </si>
  <si>
    <t>Tā de yǎnjing hěn piàoliang.</t>
  </si>
  <si>
    <t>Đôi mắt của cô ấy rất đẹp.</t>
  </si>
  <si>
    <t>H2_B14_BG_11.gif</t>
  </si>
  <si>
    <t>H2_B14_11.mp3</t>
  </si>
  <si>
    <t>H2_B14_VD_11.mp3</t>
  </si>
  <si>
    <t>跳舞</t>
  </si>
  <si>
    <t>&lt;ruby&gt;跳舞&lt;rt&gt;tiào wǔ&lt;/rt&gt;&lt;/ruby&gt;</t>
  </si>
  <si>
    <t>tiào wǔ</t>
  </si>
  <si>
    <t>Múa, khiêu vũ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</si>
  <si>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跳舞</t>
    </r>
    <r>
      <rPr>
        <sz val="11"/>
        <color theme="1"/>
        <rFont val="Calibri"/>
      </rPr>
      <t>跳得很漂亮。</t>
    </r>
  </si>
  <si>
    <t>Tā tiàowǔ tiào de hěn piàoliang.</t>
  </si>
  <si>
    <t>Cô ấy múa rất đẹp</t>
  </si>
  <si>
    <t>H2_B14_BG_12.gif</t>
  </si>
  <si>
    <t>H2_B14_12.mp3</t>
  </si>
  <si>
    <t>H2_B14_VD_12.mp3</t>
  </si>
  <si>
    <t>姓名</t>
  </si>
  <si>
    <t>&lt;ruby&gt;姓名&lt;rt&gt;xìng míng&lt;/rt&gt;&lt;/ruby&gt;</t>
  </si>
  <si>
    <t>xìng míng</t>
  </si>
  <si>
    <r>
      <rPr>
        <sz val="11"/>
        <color theme="1"/>
        <rFont val="Calibri"/>
      </rPr>
      <t>请在这里写下您的</t>
    </r>
    <r>
      <rPr>
        <b/>
        <sz val="11"/>
        <color theme="1"/>
        <rFont val="Calibri"/>
      </rPr>
      <t>姓名</t>
    </r>
    <r>
      <rPr>
        <sz val="11"/>
        <color theme="1"/>
        <rFont val="Calibri"/>
      </rPr>
      <t>。</t>
    </r>
  </si>
  <si>
    <t>Qǐng zài zhèlǐ xiěxià nín de xìngmíng.</t>
  </si>
  <si>
    <t>Xin vui lòng viết họ tên của bạn vào đây.</t>
  </si>
  <si>
    <t>H2_B15_BG_1.gif</t>
  </si>
  <si>
    <t>H2_B15_1.mp3</t>
  </si>
  <si>
    <t>H2_B15_VD_1.mp3</t>
  </si>
  <si>
    <t>出国</t>
  </si>
  <si>
    <t>&lt;ruby&gt;出国&lt;rt&gt;chū guó&lt;/rt&gt;&lt;/ruby&gt;</t>
  </si>
  <si>
    <t>chū guó</t>
  </si>
  <si>
    <t>Xuất ngoại</t>
  </si>
  <si>
    <r>
      <rPr>
        <sz val="11"/>
        <color theme="1"/>
        <rFont val="Calibri"/>
      </rPr>
      <t>我打算明年</t>
    </r>
    <r>
      <rPr>
        <b/>
        <sz val="11"/>
        <color theme="1"/>
        <rFont val="Calibri"/>
      </rPr>
      <t>出国</t>
    </r>
    <r>
      <rPr>
        <sz val="11"/>
        <color theme="1"/>
        <rFont val="Calibri"/>
      </rPr>
      <t>留学。</t>
    </r>
  </si>
  <si>
    <t>Wǒ dǎsuàn míngnián chūguó liúxué.</t>
  </si>
  <si>
    <t>Tôi dự định năm sau sẽ đi du học nước ngoài.</t>
  </si>
  <si>
    <t>H2_B15_BG_2.gif</t>
  </si>
  <si>
    <t>H2_B15_2.mp3</t>
  </si>
  <si>
    <t>H2_B15_VD_2.mp3</t>
  </si>
  <si>
    <t>69ddf966ac6453bc82f53725</t>
  </si>
  <si>
    <t>门票</t>
  </si>
  <si>
    <t>&lt;ruby&gt;门票&lt;rt&gt;mén piào&lt;/rt&gt;&lt;/ruby&gt;</t>
  </si>
  <si>
    <t>mén piào</t>
  </si>
  <si>
    <t>Vé vào cổng</t>
  </si>
  <si>
    <r>
      <rPr>
        <sz val="11"/>
        <color theme="1"/>
        <rFont val="Calibri"/>
      </rPr>
      <t>我买了两张</t>
    </r>
    <r>
      <rPr>
        <b/>
        <sz val="11"/>
        <color theme="1"/>
        <rFont val="Calibri"/>
      </rPr>
      <t>门票</t>
    </r>
    <r>
      <rPr>
        <sz val="11"/>
        <color theme="1"/>
        <rFont val="Calibri"/>
      </rPr>
      <t>。</t>
    </r>
  </si>
  <si>
    <t>Wǒ mǎi le liǎng zhāng ménpiào.</t>
  </si>
  <si>
    <t>Tôi đã mua hai vé vào cổng.</t>
  </si>
  <si>
    <t>H2_B15_BG_3.gif</t>
  </si>
  <si>
    <t>H2_B15_3.mp3</t>
  </si>
  <si>
    <t>H2_B15_VD_3.mp3</t>
  </si>
  <si>
    <t>高中</t>
  </si>
  <si>
    <t>&lt;ruby&gt;高中&lt;rt&gt;gāo zhōng&lt;/rt&gt;&lt;/ruby&gt;</t>
  </si>
  <si>
    <t>gāo zhōng</t>
  </si>
  <si>
    <t>Trường cấp 3</t>
  </si>
  <si>
    <r>
      <rPr>
        <sz val="11"/>
        <color theme="1"/>
        <rFont val="Calibri"/>
      </rPr>
      <t>我明年上</t>
    </r>
    <r>
      <rPr>
        <b/>
        <sz val="11"/>
        <color theme="1"/>
        <rFont val="Calibri"/>
      </rPr>
      <t>高中</t>
    </r>
    <r>
      <rPr>
        <sz val="11"/>
        <color theme="1"/>
        <rFont val="Calibri"/>
      </rPr>
      <t>。</t>
    </r>
  </si>
  <si>
    <t>Wǒ míngnián shàng gāozhōng.</t>
  </si>
  <si>
    <t>Năm sau tôi sẽ học cấp 3.</t>
  </si>
  <si>
    <t>H2_B15_BG_4.gif</t>
  </si>
  <si>
    <t>H2_B15_4.mp3</t>
  </si>
  <si>
    <t>H2_B15_VD_4.mp3</t>
  </si>
  <si>
    <t>出门</t>
  </si>
  <si>
    <t>&lt;ruby&gt;出门&lt;rt&gt;chū mén&lt;/rt&gt;&lt;/ruby&gt;</t>
  </si>
  <si>
    <t>chū mén</t>
  </si>
  <si>
    <r>
      <rPr>
        <sz val="11"/>
        <color theme="1"/>
        <rFont val="Calibri"/>
      </rPr>
      <t>我准备</t>
    </r>
    <r>
      <rPr>
        <b/>
        <sz val="11"/>
        <color theme="1"/>
        <rFont val="Calibri"/>
      </rPr>
      <t>出门</t>
    </r>
    <r>
      <rPr>
        <sz val="11"/>
        <color theme="1"/>
        <rFont val="Calibri"/>
      </rPr>
      <t>了。</t>
    </r>
  </si>
  <si>
    <t>Wǒ zhǔnbèi chūmén le.</t>
  </si>
  <si>
    <t>Tôi chuẩn bị ra ngoài đây.</t>
  </si>
  <si>
    <t>H2_B15_BG_5.gif</t>
  </si>
  <si>
    <t>H2_B15_5.mp3</t>
  </si>
  <si>
    <t>H2_B15_VD_5.mp3</t>
  </si>
  <si>
    <t xml:space="preserve"> 路</t>
  </si>
  <si>
    <t>&lt;ruby&gt;路&lt;rt&gt;lù&lt;/rt&gt;&lt;/ruby&gt;</t>
  </si>
  <si>
    <t xml:space="preserve">lù </t>
  </si>
  <si>
    <t>Con đường</t>
  </si>
  <si>
    <r>
      <rPr>
        <sz val="11"/>
        <color theme="1"/>
        <rFont val="Calibri"/>
      </rPr>
      <t>这条</t>
    </r>
    <r>
      <rPr>
        <b/>
        <sz val="11"/>
        <color theme="1"/>
        <rFont val="Calibri"/>
      </rPr>
      <t>路</t>
    </r>
    <r>
      <rPr>
        <sz val="11"/>
        <color theme="1"/>
        <rFont val="Calibri"/>
      </rPr>
      <t>很长。</t>
    </r>
  </si>
  <si>
    <t>Zhè tiáo lù hěn cháng.</t>
  </si>
  <si>
    <t>Con đường này rất dài.</t>
  </si>
  <si>
    <t>H2_B15_BG_6.gif</t>
  </si>
  <si>
    <t>H2_B15_6.mp3</t>
  </si>
  <si>
    <t>H2_B15_VD_6.mp3</t>
  </si>
  <si>
    <t>颐和园</t>
  </si>
  <si>
    <t>&lt;ruby&gt;颐和园&lt;rt&gt;yí hé yuán&lt;/rt&gt;&lt;/ruby&gt;</t>
  </si>
  <si>
    <t>yí hé yuán</t>
  </si>
  <si>
    <t>Địa danh</t>
  </si>
  <si>
    <t>Cung điện mùa hè (ở Bắc Kinh)</t>
  </si>
  <si>
    <r>
      <rPr>
        <b/>
        <sz val="11"/>
        <color theme="1"/>
        <rFont val="Calibri"/>
      </rPr>
      <t>颐和园</t>
    </r>
    <r>
      <rPr>
        <sz val="11"/>
        <color theme="1"/>
        <rFont val="Calibri"/>
      </rPr>
      <t>是北京著名的皇家园林。</t>
    </r>
  </si>
  <si>
    <t>Yíhéyuán shì Běijīng zhùmíng de huángjiā yuánlín.</t>
  </si>
  <si>
    <t>Di Hoà Viên là một khu vườn hoàng gia nổi tiếng ở Bắc Kinh.</t>
  </si>
  <si>
    <t>H2_B15_BG_7.gif</t>
  </si>
  <si>
    <t>H2_B15_7.mp3</t>
  </si>
  <si>
    <t>H2_B15_VD_7.mp3</t>
  </si>
  <si>
    <t>Sân bay</t>
  </si>
  <si>
    <r>
      <rPr>
        <sz val="11"/>
        <color theme="1"/>
        <rFont val="Calibri"/>
      </rPr>
      <t>我及时到达了</t>
    </r>
    <r>
      <rPr>
        <b/>
        <sz val="11"/>
        <color theme="1"/>
        <rFont val="Calibri"/>
      </rPr>
      <t>机场</t>
    </r>
    <r>
      <rPr>
        <sz val="11"/>
        <color theme="1"/>
        <rFont val="Calibri"/>
      </rPr>
      <t>办理手续。</t>
    </r>
  </si>
  <si>
    <t>H2_B15_BG_8.gif</t>
  </si>
  <si>
    <t>H2_B15_8.mp3</t>
  </si>
  <si>
    <t>H2_B15_VD_8.mp3</t>
  </si>
  <si>
    <t>机票</t>
  </si>
  <si>
    <t>&lt;ruby&gt;机票&lt;rt&gt;jī piào&lt;/rt&gt;&lt;/ruby&gt;</t>
  </si>
  <si>
    <t>jī piào</t>
  </si>
  <si>
    <t>Vé máy bay</t>
  </si>
  <si>
    <r>
      <rPr>
        <sz val="11"/>
        <color theme="1"/>
        <rFont val="Calibri"/>
      </rPr>
      <t>我已经买好去北京的</t>
    </r>
    <r>
      <rPr>
        <b/>
        <sz val="11"/>
        <color theme="1"/>
        <rFont val="Calibri"/>
      </rPr>
      <t>机票</t>
    </r>
    <r>
      <rPr>
        <sz val="11"/>
        <color theme="1"/>
        <rFont val="Calibri"/>
      </rPr>
      <t>了。</t>
    </r>
  </si>
  <si>
    <t>Wǒ yǐjīng mǎihǎo qù Běijīng de jīpiào le.</t>
  </si>
  <si>
    <t>Tôi đã mua xong vé máy bay đi Bắc Kinh rồi.</t>
  </si>
  <si>
    <t>H2_B15_BG_9.gif</t>
  </si>
  <si>
    <t>H2_B15_9.mp3</t>
  </si>
  <si>
    <t>H2_B15_VD_9.mp3</t>
  </si>
  <si>
    <t>飞</t>
  </si>
  <si>
    <t>&lt;ruby&gt;飞&lt;rt&gt;fēi&lt;/rt&gt;&lt;/ruby&gt;</t>
  </si>
  <si>
    <t>fēi</t>
  </si>
  <si>
    <t>Bay</t>
  </si>
  <si>
    <r>
      <rPr>
        <sz val="11"/>
        <color theme="1"/>
        <rFont val="Calibri"/>
      </rPr>
      <t>鸟儿在天上</t>
    </r>
    <r>
      <rPr>
        <b/>
        <sz val="11"/>
        <color theme="1"/>
        <rFont val="Calibri"/>
      </rPr>
      <t>飞</t>
    </r>
    <r>
      <rPr>
        <sz val="11"/>
        <color theme="1"/>
        <rFont val="Calibri"/>
      </rPr>
      <t>。</t>
    </r>
  </si>
  <si>
    <t>Niǎor zài tiānshàng fēi.</t>
  </si>
  <si>
    <t>Chú chim đang bay trên trời.</t>
  </si>
  <si>
    <t>H2_B15_BG_10.gif</t>
  </si>
  <si>
    <t>H2_B15_10.mp3</t>
  </si>
  <si>
    <t>H2_B15_VD_10.mp3</t>
  </si>
  <si>
    <t>好像</t>
  </si>
  <si>
    <t>&lt;ruby&gt;好像&lt;rt&gt;hăoxiàng&lt;/rt&gt;&lt;/ruby&gt;</t>
  </si>
  <si>
    <t>hăoxiàng</t>
  </si>
  <si>
    <t>Giống như, dường như</t>
  </si>
  <si>
    <r>
      <rPr>
        <sz val="11"/>
        <color theme="1"/>
        <rFont val="Calibri"/>
      </rPr>
      <t>刚才</t>
    </r>
    <r>
      <rPr>
        <b/>
        <sz val="11"/>
        <color theme="1"/>
        <rFont val="Calibri"/>
      </rPr>
      <t>好像</t>
    </r>
    <r>
      <rPr>
        <sz val="11"/>
        <color theme="1"/>
        <rFont val="Calibri"/>
      </rPr>
      <t>有两只大狗走过去了。</t>
    </r>
  </si>
  <si>
    <t>Gāngcái hǎoxiàng yǒu liǎng zhī dà gǒu zǒu guòqù le.</t>
  </si>
  <si>
    <t>Hình như ban nãy có hai con chó lớn đi qua.</t>
  </si>
  <si>
    <t>H2_B15_BG_11.gif</t>
  </si>
  <si>
    <t>H2_B15_11.mp3</t>
  </si>
  <si>
    <t>H2_B15_VD_11.mp3</t>
  </si>
  <si>
    <t>鸟</t>
  </si>
  <si>
    <t>&lt;ruby&gt;鸟&lt;rt&gt;niǎo&lt;/rt&gt;&lt;/ruby&gt;</t>
  </si>
  <si>
    <t>niǎo</t>
  </si>
  <si>
    <t>Chim</t>
  </si>
  <si>
    <r>
      <rPr>
        <sz val="11"/>
        <color theme="1"/>
        <rFont val="Calibri"/>
      </rPr>
      <t>这种</t>
    </r>
    <r>
      <rPr>
        <b/>
        <sz val="11"/>
        <color theme="1"/>
        <rFont val="Calibri"/>
      </rPr>
      <t>鸟</t>
    </r>
    <r>
      <rPr>
        <sz val="11"/>
        <color theme="1"/>
        <rFont val="Calibri"/>
      </rPr>
      <t>很少见。</t>
    </r>
  </si>
  <si>
    <t>Zhè zhǒng niǎo hěn shǎojiàn.</t>
  </si>
  <si>
    <t>Loài chim này rất hiếm thấy.</t>
  </si>
  <si>
    <t>H2_B15_BG_12.gif</t>
  </si>
  <si>
    <t>H2_B15_12.mp3</t>
  </si>
  <si>
    <t>H2_B15_VD_12.mp3</t>
  </si>
  <si>
    <t>được dùng để chỉ một kết luận hay sự kiên quyết</t>
  </si>
  <si>
    <t>H2_B5_BG-03.gif</t>
  </si>
  <si>
    <t>H1_B12_BG-06.gif</t>
  </si>
  <si>
    <t>để, bảo</t>
  </si>
  <si>
    <t>H2_B8_BG-02.gif</t>
  </si>
  <si>
    <t>H2_B4_BG-04.gif</t>
  </si>
  <si>
    <t>lần</t>
  </si>
  <si>
    <t>这次考试，他是第一名。</t>
  </si>
  <si>
    <t>H2_B14_BG-04.gif</t>
  </si>
  <si>
    <t>du lịch</t>
  </si>
  <si>
    <t>H2_B1_BG-01.gif</t>
  </si>
  <si>
    <t>H3_B6_BG-06.gif</t>
  </si>
  <si>
    <t>H3_B6_6.mp3</t>
  </si>
  <si>
    <t>H3_B6_VD_6.mp3</t>
  </si>
  <si>
    <t>đã</t>
  </si>
  <si>
    <t>H2_B4_BG-09.gif</t>
  </si>
  <si>
    <t>H1_B7_BG-13.gif</t>
  </si>
  <si>
    <t>H1_B7-13.mp3</t>
  </si>
  <si>
    <t>giới thiệu</t>
  </si>
  <si>
    <t>H2_B4_BG-13.gif</t>
  </si>
  <si>
    <t>hiểu, biết</t>
  </si>
  <si>
    <t>H2_B9_BG-09.gif</t>
  </si>
  <si>
    <t>nghĩa, ý nghĩa</t>
  </si>
  <si>
    <t>H2_B5_BG-14.gif</t>
  </si>
  <si>
    <t>xa</t>
  </si>
  <si>
    <t>H2_B7_BG-13.gif</t>
  </si>
  <si>
    <t>H3_B3_BG-09.gif</t>
  </si>
  <si>
    <t>H3_B3_9.mp3</t>
  </si>
  <si>
    <t>H3_B3_VD_9.mp3</t>
  </si>
  <si>
    <t>H1_B13_BG-09.gif</t>
  </si>
  <si>
    <t>lớp học</t>
  </si>
  <si>
    <t>H2_B7_BG-01.gif</t>
  </si>
  <si>
    <t>vé</t>
  </si>
  <si>
    <t>H2_B15_BG-03.gif</t>
  </si>
  <si>
    <t>đừng</t>
  </si>
  <si>
    <t>H2_B10_BG-03.gif</t>
  </si>
  <si>
    <t>H1_B13_BG-13.gif</t>
  </si>
  <si>
    <t>xong, hết</t>
  </si>
  <si>
    <t>H2_B9_BG-10.gif</t>
  </si>
  <si>
    <t xml:space="preserve">Chúng tôi cùng nhau trồng hoa. </t>
  </si>
  <si>
    <t>H1_B14_BG-08.gif</t>
  </si>
  <si>
    <t>giặt, rửa</t>
  </si>
  <si>
    <t>H2_B10_BG-09.gif</t>
  </si>
  <si>
    <t>H3_B12_BG-05.gif</t>
  </si>
  <si>
    <t>H3_B12_5.mp3</t>
  </si>
  <si>
    <t>H3_B12_VD_5.mp3</t>
  </si>
  <si>
    <t>cầm</t>
  </si>
  <si>
    <t>小女孩拿着一串香肠。</t>
  </si>
  <si>
    <t>H2_B13_BG-03.gif</t>
  </si>
  <si>
    <t>tay</t>
  </si>
  <si>
    <t>H2_B13_BG-02.gif</t>
  </si>
  <si>
    <t>tại sao</t>
  </si>
  <si>
    <t>H2_B1_BG-04.gif</t>
  </si>
  <si>
    <t>tuyệt, khá tốt</t>
  </si>
  <si>
    <t>H2_B5_BG-12.gif</t>
  </si>
  <si>
    <t>giao, đưa</t>
  </si>
  <si>
    <t>H2_B3_BG-11.gif</t>
  </si>
  <si>
    <t>mỗi</t>
  </si>
  <si>
    <t>H2_B2_BG-09.gif</t>
  </si>
  <si>
    <t>trung tâm thương mại</t>
  </si>
  <si>
    <t>H4_B5_BG12.png</t>
  </si>
  <si>
    <t>B5_12.mp3</t>
  </si>
  <si>
    <t>B5_VD_12.mp3</t>
  </si>
  <si>
    <t>H3_B3_BG-11.gif</t>
  </si>
  <si>
    <t>H3_B3_11.mp3</t>
  </si>
  <si>
    <t>H3_B3_VD_11.mp3</t>
  </si>
  <si>
    <t xml:space="preserve">Anh ấy mua một chiếc quần. </t>
  </si>
  <si>
    <t>H3_B3_BG-12.gif</t>
  </si>
  <si>
    <t>H3_B3_12.mp3</t>
  </si>
  <si>
    <t>H3_B3_VD_12.mp3</t>
  </si>
  <si>
    <t>bởi vì</t>
  </si>
  <si>
    <t>H2_B6_BG-11.gif</t>
  </si>
  <si>
    <t>H3_B20_BG-05.gif</t>
  </si>
  <si>
    <t>H3_B20_5.mp3</t>
  </si>
  <si>
    <t>H3_B20_VD_5.mp3</t>
  </si>
  <si>
    <t>màu đỏ</t>
  </si>
  <si>
    <t>H2_B3_BG-08.gif</t>
  </si>
  <si>
    <t>cho nên</t>
  </si>
  <si>
    <t>H2_B6_BG-12.gif</t>
  </si>
  <si>
    <t>H3_B13_BG-07.gif</t>
  </si>
  <si>
    <t>H3_B13_7.mp3</t>
  </si>
  <si>
    <t>H3_B13_VD_7.mp3</t>
  </si>
  <si>
    <t>càng, hơn nữa</t>
  </si>
  <si>
    <t>H2_B15_BG-06.gif</t>
  </si>
  <si>
    <t>màu, màu sắc</t>
  </si>
  <si>
    <t>H2_B3_BG-07.gif</t>
  </si>
  <si>
    <t>nhanh</t>
  </si>
  <si>
    <t>H2_B7_BG-08.gif</t>
  </si>
  <si>
    <t>H1_B8_BG-01.gif</t>
  </si>
  <si>
    <t>H1_B8-01.mp3</t>
  </si>
  <si>
    <t>đợi</t>
  </si>
  <si>
    <t>H2_B8_BG-04.gif</t>
  </si>
  <si>
    <t>H3_B13_BG-02.gif</t>
  </si>
  <si>
    <t>H3_B13_2.mp3</t>
  </si>
  <si>
    <t>H3_B13_VD_2.mp3</t>
  </si>
  <si>
    <t>H3_B13_BG-04.gif</t>
  </si>
  <si>
    <t>H3_B13_4.mp3</t>
  </si>
  <si>
    <t>H3_B13_VD_4.mp3</t>
  </si>
  <si>
    <t>H3_B13_BG-03.gif</t>
  </si>
  <si>
    <t>H3_B13_3.mp3</t>
  </si>
  <si>
    <t>H3_B13_VD_3.mp3</t>
  </si>
  <si>
    <t>định, dự định</t>
  </si>
  <si>
    <t>H2_B5_BG-02.gif</t>
  </si>
  <si>
    <t>H3_B1_BG-14.gif</t>
  </si>
  <si>
    <t>H3_B1-14.mp3</t>
  </si>
  <si>
    <t>H3_B1_VD_14.mp3</t>
  </si>
  <si>
    <t>đi, đi bộ</t>
  </si>
  <si>
    <t>H2_B7_BG-10.gif</t>
  </si>
  <si>
    <t>sinh nhật</t>
  </si>
  <si>
    <t>H2_B4_BG-01.gif</t>
  </si>
  <si>
    <t>H3_B12_BG-12.gif</t>
  </si>
  <si>
    <t>H3_B12_12.mp3</t>
  </si>
  <si>
    <t>H3_B12_VD_12.mp3</t>
  </si>
  <si>
    <t>vui vẻ</t>
  </si>
  <si>
    <t>H2_B4_BG-02.gif</t>
  </si>
  <si>
    <t>dài, lâu</t>
  </si>
  <si>
    <t>H2_B4_BG-10.gif</t>
  </si>
  <si>
    <t>cá, món cá</t>
  </si>
  <si>
    <t>H2_B5_BG-08.gif</t>
  </si>
  <si>
    <t>ăn (mừng), trải qua</t>
  </si>
  <si>
    <t>H2_B7_BG-09.gif</t>
  </si>
  <si>
    <t>H3_B18_BG-18.gif</t>
  </si>
  <si>
    <t>H3_B18_18.mp3</t>
  </si>
  <si>
    <t>H3_B18_VD_18.mp3</t>
  </si>
  <si>
    <t>H3_B3_BG-10.gif</t>
  </si>
  <si>
    <t>H3_B3_10.mp3</t>
  </si>
  <si>
    <t>H3_B3_VD_10.mp3</t>
  </si>
  <si>
    <t>từ</t>
  </si>
  <si>
    <t>H2_B9_BG-02.gif</t>
  </si>
  <si>
    <t>về phía</t>
  </si>
  <si>
    <t>你一直往前走就到了。</t>
  </si>
  <si>
    <t>H2_B13_BG-10.gif</t>
  </si>
  <si>
    <t>môn thể thao; tập thể dục/thể thao</t>
  </si>
  <si>
    <t>H2_B1_BG-06.gif</t>
  </si>
  <si>
    <t>chạy bộ</t>
  </si>
  <si>
    <t>H2_B2_BG-11.gif</t>
  </si>
  <si>
    <t>bơi</t>
  </si>
  <si>
    <t>H2_B6_BG-10.gif</t>
  </si>
  <si>
    <t>H3_B17_BG-10.gif</t>
  </si>
  <si>
    <t>H3_B17_10.mp3</t>
  </si>
  <si>
    <t>H3_B17_VD_10.mp3</t>
  </si>
  <si>
    <t>bắt đầu</t>
  </si>
  <si>
    <t>H2_B4_BG-08.gif</t>
  </si>
  <si>
    <t>đồng hồ đeo tay</t>
  </si>
  <si>
    <t>H2_B3_BG-01.gif</t>
  </si>
  <si>
    <t>bên trái</t>
  </si>
  <si>
    <t>H2_B3_BG-16.gif</t>
  </si>
  <si>
    <t>H2_B3_16.mp3</t>
  </si>
  <si>
    <t>H2_B3_VD_16.mp3</t>
  </si>
  <si>
    <t>hơn (dùng trong cấu trúc so sánh)</t>
  </si>
  <si>
    <t>H2_B11_BG-06.gif</t>
  </si>
  <si>
    <t>bên phải</t>
  </si>
  <si>
    <t>H2_B11_BG-05.gif</t>
  </si>
  <si>
    <t>H3_B3_BG-03.gif</t>
  </si>
  <si>
    <t>H3_B3_3.mp3</t>
  </si>
  <si>
    <t>H3_B3_VD_3.mp3</t>
  </si>
  <si>
    <t>thú vị</t>
  </si>
  <si>
    <t>H2_B14_BG-01.gif</t>
  </si>
  <si>
    <t>H1_B10_BG-02.gif</t>
  </si>
  <si>
    <t>mặc dù, tuy</t>
  </si>
  <si>
    <t>H2_B14_BG-03.gif</t>
  </si>
  <si>
    <t>nhưng</t>
  </si>
  <si>
    <t>H2_B14_BG-02.gif</t>
  </si>
  <si>
    <t>H3_B3_BG-07.gif</t>
  </si>
  <si>
    <t>H3_B3_7.mp3</t>
  </si>
  <si>
    <t>H3_B3_VD_7.mp3</t>
  </si>
  <si>
    <t>vợ</t>
  </si>
  <si>
    <t>H2_B12_BG-02.gif</t>
  </si>
  <si>
    <t>chồng</t>
  </si>
  <si>
    <t>H2_B3_BG-13.gif</t>
  </si>
  <si>
    <t>H3_B13_BG-14.gif</t>
  </si>
  <si>
    <t>H3_B13_14.mp3</t>
  </si>
  <si>
    <t>H3_B13_VD_14.mp3</t>
  </si>
  <si>
    <t>bên cạnh</t>
  </si>
  <si>
    <t>H2_B3_BG-14.gif</t>
  </si>
  <si>
    <t>&lt;ruby&gt;个子 &lt;rt&gt;gèzi&lt;/rt&gt;&lt;/ruby&gt;</t>
  </si>
  <si>
    <t>H3_B10_BG-01.gif</t>
  </si>
  <si>
    <t>H3_B10_1.mp3</t>
  </si>
  <si>
    <t>H3_B10_VD_1.mp3</t>
  </si>
  <si>
    <t>cao</t>
  </si>
  <si>
    <t>H2_B2_BG-05.gif</t>
  </si>
  <si>
    <t>cà phê</t>
  </si>
  <si>
    <t>H2_B5_BG-13.gif</t>
  </si>
  <si>
    <t>cách</t>
  </si>
  <si>
    <t>H2_B7_BG-12.gif</t>
  </si>
  <si>
    <t>H1_B9_BG-03.gif</t>
  </si>
  <si>
    <t>cuộc thi, bài kiểm tra</t>
  </si>
  <si>
    <t>H2_B5_BG-07.gif</t>
  </si>
  <si>
    <t>sai, nhầm</t>
  </si>
  <si>
    <t>H2_B9_BG-01.gif</t>
  </si>
  <si>
    <t xml:space="preserve">Vai của tôi rất đau. </t>
  </si>
  <si>
    <t>H3_B2_BG-02.gif</t>
  </si>
  <si>
    <t>H3_B2_2.mp3</t>
  </si>
  <si>
    <t>H3_B2_VD_2.mp3</t>
  </si>
  <si>
    <t>thường xuyên</t>
  </si>
  <si>
    <t>H2_B6_BG-13.gif</t>
  </si>
  <si>
    <t>được dùng để chỉ trạng thái</t>
  </si>
  <si>
    <t>他手里拿着两个苹果。</t>
  </si>
  <si>
    <t>H2_B13_BG-01.gif</t>
  </si>
  <si>
    <t>vào</t>
  </si>
  <si>
    <t>H2_B12_BG-07.gif</t>
  </si>
  <si>
    <t>H1_B11_BG-10.gif</t>
  </si>
  <si>
    <t>nhất</t>
  </si>
  <si>
    <t xml:space="preserve">Quả táo này to nhất. </t>
  </si>
  <si>
    <t>H2_B1_BG-03.gif</t>
  </si>
  <si>
    <t>sự việc</t>
  </si>
  <si>
    <t>H2_B8_BG-06.gif</t>
  </si>
  <si>
    <t>có nắng, nắng ráo</t>
  </si>
  <si>
    <t>H2_B14_BG-06.gif</t>
  </si>
  <si>
    <t>H2_B5_BG-01.gif</t>
  </si>
  <si>
    <t>u ám, nhiều mây</t>
  </si>
  <si>
    <t>H2_B15_BG-08.gif</t>
  </si>
  <si>
    <t>H3_B11_BG-18.gif</t>
  </si>
  <si>
    <t>H3_B11_18.mp3</t>
  </si>
  <si>
    <t>H3_B11_VD_18.mp3</t>
  </si>
  <si>
    <t>H3_B2_BG-14.gif</t>
  </si>
  <si>
    <t>H3_B2_14.mp3</t>
  </si>
  <si>
    <t>H3_B2_VD_14.mp3</t>
  </si>
  <si>
    <t>H3_B4_BG-13.gif</t>
  </si>
  <si>
    <t>H3_B4_13.mp3</t>
  </si>
  <si>
    <t>H3_B4_VD_13.mp3</t>
  </si>
  <si>
    <t>H1_B1_BG-13.gif</t>
  </si>
  <si>
    <t>H1_B1-13.mp3</t>
  </si>
  <si>
    <t>H1_B1_VD_13.mp3</t>
  </si>
  <si>
    <t>năm mới, Tết</t>
  </si>
  <si>
    <t>H2_B15_BG-02.gif</t>
  </si>
  <si>
    <t>mong, hy vọng</t>
  </si>
  <si>
    <t>H2_B9_BG-05.gif</t>
  </si>
  <si>
    <t>H3_B8_BG-16.gif</t>
  </si>
  <si>
    <t>H3_B8_16.mp3</t>
  </si>
  <si>
    <t>H3_B8_VD_16.mp3</t>
  </si>
  <si>
    <t>có thể, có lẽ</t>
  </si>
  <si>
    <t>H2_B11_BG-09.gif</t>
  </si>
  <si>
    <t>H3_B15_BG-11.gif</t>
  </si>
  <si>
    <t>H3_B15_11.mp3</t>
  </si>
  <si>
    <t>H3_B15_VD_11.mp3</t>
  </si>
  <si>
    <t>nói cho biết</t>
  </si>
  <si>
    <t>H2_B8_BG-03.gif</t>
  </si>
  <si>
    <t>H2_B13_BG-05.gif</t>
  </si>
  <si>
    <t>H3_B12_BG-06.gif</t>
  </si>
  <si>
    <t>H3_B12_6.mp3</t>
  </si>
  <si>
    <t>H3_B12_VD_6.mp3</t>
  </si>
  <si>
    <t>H3_B19_BG-09.gif</t>
  </si>
  <si>
    <t>H3_B19_9.mp3</t>
  </si>
  <si>
    <t>H3_B19_VD_9.mp3</t>
  </si>
  <si>
    <t>H1_B9_BG-02.gif</t>
  </si>
  <si>
    <t>mang họ</t>
  </si>
  <si>
    <t>H2_B11_BG-11.gif</t>
  </si>
  <si>
    <t>mắt</t>
  </si>
  <si>
    <t>H2_B1_BG-12.gif</t>
  </si>
  <si>
    <t>múa, khiêu vũ</t>
  </si>
  <si>
    <t>H2_B9_BG-03.gif</t>
  </si>
  <si>
    <t>H2_B7_BG-02.gif</t>
  </si>
  <si>
    <t>giống như, dường như</t>
  </si>
  <si>
    <t>H4_B2_BG9.png</t>
  </si>
  <si>
    <t>B2_9.mp3</t>
  </si>
  <si>
    <t>B2_VD_9.mp3</t>
  </si>
  <si>
    <t>H3_B19_BG-07.gif</t>
  </si>
  <si>
    <t>H3_B19_7.mp3</t>
  </si>
  <si>
    <t>H3_B19_VD_7.mp3</t>
  </si>
  <si>
    <t>以为</t>
  </si>
  <si>
    <t>&lt;ruby&gt;以为&lt;rt&gt;yǐwéi&lt;/rt&gt;&lt;/ruby&gt;</t>
  </si>
  <si>
    <t>yǐwéi</t>
  </si>
  <si>
    <t xml:space="preserve">Nghĩ 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</si>
  <si>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以为</t>
    </r>
    <r>
      <rPr>
        <sz val="11"/>
        <color theme="1"/>
        <rFont val="Calibri"/>
      </rPr>
      <t>今天是星期天，结果是星期一。</t>
    </r>
  </si>
  <si>
    <t>Wǒ yǐwéi jīntiān shì xīngqītiān, jiéguǒ shì xīngqīyī.</t>
  </si>
  <si>
    <t>Tôi cứ tưởng hôm nay là Chủ nhật, hóa ra là thứ Hai.</t>
  </si>
  <si>
    <t>H3_B1_BG_1.gif</t>
  </si>
  <si>
    <t>H3_B1_1.mp3</t>
  </si>
  <si>
    <t>H3_B1_VD_1.mp3</t>
  </si>
  <si>
    <t>像</t>
  </si>
  <si>
    <t>&lt;ruby&gt;像&lt;rt&gt;xiàng&lt;/rt&gt;&lt;/ruby&gt;</t>
  </si>
  <si>
    <t>xiàng</t>
  </si>
  <si>
    <t>Giống</t>
  </si>
  <si>
    <r>
      <rPr>
        <sz val="11"/>
        <color theme="1"/>
        <rFont val="Calibri"/>
      </rPr>
      <t>他高兴得</t>
    </r>
    <r>
      <rPr>
        <b/>
        <sz val="11"/>
        <color theme="1"/>
        <rFont val="Calibri"/>
      </rPr>
      <t>像</t>
    </r>
    <r>
      <rPr>
        <sz val="11"/>
        <color theme="1"/>
        <rFont val="Calibri"/>
      </rPr>
      <t>个孩子一样。</t>
    </r>
  </si>
  <si>
    <t>Tā gāoxìng de xiàng gè háizi yīyàng.</t>
  </si>
  <si>
    <t>Anh ấy vui vẻ như một đứa trẻ.</t>
  </si>
  <si>
    <t>H3_B1_BG_2.gif</t>
  </si>
  <si>
    <t>H3_B1_2.mp3</t>
  </si>
  <si>
    <t>H3_B1_VD_2.mp3</t>
  </si>
  <si>
    <t>69eaeb12073744188a66f3e6</t>
  </si>
  <si>
    <r>
      <rPr>
        <sz val="11"/>
        <color theme="1"/>
        <rFont val="Calibri"/>
      </rPr>
      <t>这条围巾很</t>
    </r>
    <r>
      <rPr>
        <b/>
        <sz val="11"/>
        <color theme="1"/>
        <rFont val="Calibri"/>
      </rPr>
      <t>长</t>
    </r>
    <r>
      <rPr>
        <sz val="11"/>
        <color theme="1"/>
        <rFont val="Calibri"/>
      </rPr>
      <t>。</t>
    </r>
  </si>
  <si>
    <t>H3_B1_BG_3.gif</t>
  </si>
  <si>
    <t>H3_B1_3.mp3</t>
  </si>
  <si>
    <t>H3_B1_VD_3.mp3</t>
  </si>
  <si>
    <t>身高</t>
  </si>
  <si>
    <t>&lt;ruby&gt;身高&lt;rt&gt;shēngāo&lt;/rt&gt;&lt;/ruby&gt;</t>
  </si>
  <si>
    <t>shēngāo</t>
  </si>
  <si>
    <t>Chiều cao</t>
  </si>
  <si>
    <r>
      <rPr>
        <sz val="11"/>
        <color theme="1"/>
        <rFont val="Calibri"/>
      </rPr>
      <t>他的</t>
    </r>
    <r>
      <rPr>
        <b/>
        <sz val="11"/>
        <color theme="1"/>
        <rFont val="Calibri"/>
      </rPr>
      <t>身高</t>
    </r>
    <r>
      <rPr>
        <sz val="11"/>
        <color theme="1"/>
        <rFont val="Calibri"/>
      </rPr>
      <t>是一米八。</t>
    </r>
  </si>
  <si>
    <t>Tā de shēngāo shì yìmǐ bā.</t>
  </si>
  <si>
    <t>Anh ấy cao một mét tám.</t>
  </si>
  <si>
    <t>H3_B1_BG_4.gif</t>
  </si>
  <si>
    <t>H3_B1_4.mp3</t>
  </si>
  <si>
    <t>H3_B1_VD_4.mp3</t>
  </si>
  <si>
    <t>米</t>
  </si>
  <si>
    <t>&lt;ruby&gt;米&lt;rt&gt;mǐ&lt;/rt&gt;&lt;/ruby&gt;</t>
  </si>
  <si>
    <t>mǐ</t>
  </si>
  <si>
    <t>Mét</t>
  </si>
  <si>
    <r>
      <rPr>
        <sz val="11"/>
        <color theme="1"/>
        <rFont val="Calibri"/>
      </rPr>
      <t>东方明珠塔的高度是468</t>
    </r>
    <r>
      <rPr>
        <b/>
        <sz val="11"/>
        <color theme="1"/>
        <rFont val="Calibri"/>
      </rPr>
      <t>米</t>
    </r>
    <r>
      <rPr>
        <sz val="11"/>
        <color theme="1"/>
        <rFont val="Calibri"/>
      </rPr>
      <t>。</t>
    </r>
  </si>
  <si>
    <t>Dōngfāng Míngzhūtǎ de gāodù shì 468 mǐ.</t>
  </si>
  <si>
    <t>Tháp Đông Phương Minh Châu cao 468 mét.</t>
  </si>
  <si>
    <t>H3_B1_BG_5.gif</t>
  </si>
  <si>
    <t>H3_B1_5.mp3</t>
  </si>
  <si>
    <t>H3_B1_VD_5.mp3</t>
  </si>
  <si>
    <t>瘦</t>
  </si>
  <si>
    <t>&lt;ruby&gt;瘦&lt;rt&gt;shòu&lt;/rt&gt;&lt;/ruby&gt;</t>
  </si>
  <si>
    <t>shòu</t>
  </si>
  <si>
    <t xml:space="preserve">Gầy 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</si>
  <si>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瘦</t>
    </r>
    <r>
      <rPr>
        <sz val="11"/>
        <color theme="1"/>
        <rFont val="Calibri"/>
      </rPr>
      <t>了很多。</t>
    </r>
  </si>
  <si>
    <t>Tā shòu le hěn duō.</t>
  </si>
  <si>
    <t>Cô ấy gầy đi nhiều.</t>
  </si>
  <si>
    <t>H3_B1_BG_6.gif</t>
  </si>
  <si>
    <t>H3_B1_6.mp3</t>
  </si>
  <si>
    <t>H3_B1_VD_6.mp3</t>
  </si>
  <si>
    <r>
      <rPr>
        <sz val="11"/>
        <color theme="1"/>
        <rFont val="Calibri"/>
      </rPr>
      <t>等一下，我</t>
    </r>
    <r>
      <rPr>
        <b/>
        <sz val="11"/>
        <color theme="1"/>
        <rFont val="Calibri"/>
      </rPr>
      <t>接</t>
    </r>
    <r>
      <rPr>
        <sz val="11"/>
        <color theme="1"/>
        <rFont val="Calibri"/>
      </rPr>
      <t>个电话。</t>
    </r>
  </si>
  <si>
    <t>H3_B1_BG_7.gif</t>
  </si>
  <si>
    <t>H3_B1_7.mp3</t>
  </si>
  <si>
    <t>H3_B1_VD_7.mp3</t>
  </si>
  <si>
    <t>行李</t>
  </si>
  <si>
    <t>&lt;ruby&gt;行李&lt;rt&gt;xíngli&lt;/rt&gt;&lt;/ruby&gt;</t>
  </si>
  <si>
    <t>xíngli</t>
  </si>
  <si>
    <t>Hành lý</t>
  </si>
  <si>
    <r>
      <rPr>
        <sz val="11"/>
        <color theme="1"/>
        <rFont val="Calibri"/>
      </rPr>
      <t>你的</t>
    </r>
    <r>
      <rPr>
        <b/>
        <sz val="11"/>
        <color theme="1"/>
        <rFont val="Calibri"/>
      </rPr>
      <t>行李</t>
    </r>
    <r>
      <rPr>
        <sz val="11"/>
        <color theme="1"/>
        <rFont val="Calibri"/>
      </rPr>
      <t>太多了。</t>
    </r>
  </si>
  <si>
    <t>Nǐ de xíngli tài duō le.</t>
  </si>
  <si>
    <t>Hành lý của bạn nhiều quá.</t>
  </si>
  <si>
    <t>H3_B1_BG_8.gif</t>
  </si>
  <si>
    <t>H3_B1_8.mp3</t>
  </si>
  <si>
    <t>H3_B1_VD_8.mp3</t>
  </si>
  <si>
    <t>丢</t>
  </si>
  <si>
    <t>&lt;ruby&gt;丢&lt;rt&gt;diū&lt;/rt&gt;&lt;/ruby&gt;</t>
  </si>
  <si>
    <t>diū</t>
  </si>
  <si>
    <t>Ném, vứt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</si>
  <si>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丢</t>
    </r>
    <r>
      <rPr>
        <sz val="11"/>
        <color theme="1"/>
        <rFont val="Calibri"/>
      </rPr>
      <t>垃圾到外面。</t>
    </r>
  </si>
  <si>
    <t>Tā diū lā jī dào wàimiàn.</t>
  </si>
  <si>
    <t>Cô ấy ném rác ra ngoài.</t>
  </si>
  <si>
    <t>H3_B1_BG_9.gif</t>
  </si>
  <si>
    <t>H3_B1_9.mp3</t>
  </si>
  <si>
    <t>H3_B1_VD_9.mp3</t>
  </si>
  <si>
    <t>箱子</t>
  </si>
  <si>
    <t>&lt;ruby&gt;箱子&lt;rt&gt;xiāngzi&lt;/rt&gt;&lt;/ruby&gt;</t>
  </si>
  <si>
    <t>xiāng zi</t>
  </si>
  <si>
    <t>Cái hộp, cái thùng</t>
  </si>
  <si>
    <r>
      <rPr>
        <sz val="11"/>
        <color theme="1"/>
        <rFont val="Calibri"/>
      </rPr>
      <t>这个</t>
    </r>
    <r>
      <rPr>
        <b/>
        <sz val="11"/>
        <color theme="1"/>
        <rFont val="Calibri"/>
      </rPr>
      <t>箱子</t>
    </r>
    <r>
      <rPr>
        <sz val="11"/>
        <color theme="1"/>
        <rFont val="Calibri"/>
      </rPr>
      <t>太重了，我搬不动。</t>
    </r>
  </si>
  <si>
    <t>Zhège xiāngzi tài zhòng le, wǒ bān bù dòng.</t>
  </si>
  <si>
    <t>Cái thùng này nặng quá, tôi không xê dịch nổi.</t>
  </si>
  <si>
    <t>H3_B1_BG_10.gif</t>
  </si>
  <si>
    <t>H3_B1_10.mp3</t>
  </si>
  <si>
    <t>H3_B1_VD_10.mp3</t>
  </si>
  <si>
    <t>号码</t>
  </si>
  <si>
    <t>&lt;ruby&gt;号码&lt;rt&gt;hàomǎ&lt;/rt&gt;&lt;/ruby&gt;</t>
  </si>
  <si>
    <t>hàomǎ</t>
  </si>
  <si>
    <t>Số</t>
  </si>
  <si>
    <r>
      <rPr>
        <sz val="11"/>
        <color theme="1"/>
        <rFont val="Calibri"/>
      </rPr>
      <t>客户需要向我们提供身份证</t>
    </r>
    <r>
      <rPr>
        <b/>
        <sz val="11"/>
        <color theme="1"/>
        <rFont val="Calibri"/>
      </rPr>
      <t>号码</t>
    </r>
    <r>
      <rPr>
        <sz val="11"/>
        <color theme="1"/>
        <rFont val="Calibri"/>
      </rPr>
      <t>。</t>
    </r>
  </si>
  <si>
    <t>Kè hù xūyào xiàng wǒmen tígōng shēnfèn zhèng hàomǎ.</t>
  </si>
  <si>
    <t>Khách hàng cần cung cấp số căn cước cho chúng tôi.</t>
  </si>
  <si>
    <t>H3_B1_BG_11.gif</t>
  </si>
  <si>
    <t>H3_B1_11.mp3</t>
  </si>
  <si>
    <t>H3_B1_VD_11.mp3</t>
  </si>
  <si>
    <r>
      <rPr>
        <sz val="11"/>
        <color theme="1"/>
        <rFont val="Calibri"/>
      </rPr>
      <t>刚才</t>
    </r>
    <r>
      <rPr>
        <b/>
        <sz val="11"/>
        <color theme="1"/>
        <rFont val="Calibri"/>
      </rPr>
      <t>好像</t>
    </r>
    <r>
      <rPr>
        <sz val="11"/>
        <color theme="1"/>
        <rFont val="Calibri"/>
      </rPr>
      <t>有两只大狗走过去了。</t>
    </r>
  </si>
  <si>
    <t>Gāngcái hăoxiàng yǒu liǎng zhī dà gǒu zǒu guòqù le.</t>
  </si>
  <si>
    <t>H3_B1_BG_12.gif</t>
  </si>
  <si>
    <t>H3_B1_12.mp3</t>
  </si>
  <si>
    <t>H3_B1_VD_12.mp3</t>
  </si>
  <si>
    <t>重要</t>
  </si>
  <si>
    <t>&lt;ruby&gt;重要&lt;rt&gt;zhòngyào&lt;/rt&gt;&lt;/ruby&gt;</t>
  </si>
  <si>
    <t>zhòngyào</t>
  </si>
  <si>
    <t xml:space="preserve">Tính từ </t>
  </si>
  <si>
    <t>Quan trọng</t>
  </si>
  <si>
    <r>
      <rPr>
        <sz val="11"/>
        <color theme="1"/>
        <rFont val="Calibri"/>
      </rPr>
      <t>最</t>
    </r>
    <r>
      <rPr>
        <b/>
        <sz val="11"/>
        <color theme="1"/>
        <rFont val="Calibri"/>
      </rPr>
      <t>重要</t>
    </r>
    <r>
      <rPr>
        <sz val="11"/>
        <color theme="1"/>
        <rFont val="Calibri"/>
      </rPr>
      <t>的是多喝热水，这样感冒才能快点好。</t>
    </r>
  </si>
  <si>
    <t>Zuì zhòngyào de shì duō hē rèshuǐ, zhèyàng gǎnmào cáinéng kuài diǎn hǎo.</t>
  </si>
  <si>
    <t>Điều quan trọng nhất để khỏi ốm nhanh là uống thật nhiều nước nóng.</t>
  </si>
  <si>
    <t>H3_B1_BG_13.gif</t>
  </si>
  <si>
    <t>H3_B1_13.mp3</t>
  </si>
  <si>
    <t>H3_B1_VD_13.mp3</t>
  </si>
  <si>
    <t>着急</t>
  </si>
  <si>
    <t>&lt;ruby&gt;着急&lt;rt&gt;zháojí&lt;/rt&gt;&lt;/ruby&gt;</t>
  </si>
  <si>
    <t>zháojí</t>
  </si>
  <si>
    <t>Lo lắng, vội</t>
  </si>
  <si>
    <r>
      <rPr>
        <sz val="11"/>
        <color theme="1"/>
        <rFont val="Calibri"/>
      </rPr>
      <t>别</t>
    </r>
    <r>
      <rPr>
        <b/>
        <sz val="11"/>
        <color theme="1"/>
        <rFont val="Calibri"/>
      </rPr>
      <t>着急</t>
    </r>
    <r>
      <rPr>
        <sz val="11"/>
        <color theme="1"/>
        <rFont val="Calibri"/>
      </rPr>
      <t>，慢慢走。</t>
    </r>
  </si>
  <si>
    <t>Bié zhāojí, mànmàn zǒu.</t>
  </si>
  <si>
    <t>Đừng vội, cứ đi từ từ.</t>
  </si>
  <si>
    <t>H3_B1_BG_14.gif</t>
  </si>
  <si>
    <t>H3_B1_14.mp3</t>
  </si>
  <si>
    <t>护照</t>
  </si>
  <si>
    <t>&lt;ruby&gt;护照&lt;rt&gt;hùzhào&lt;/rt&gt;&lt;/ruby&gt;</t>
  </si>
  <si>
    <t>hùzhào</t>
  </si>
  <si>
    <t>Hộ chiếu</t>
  </si>
  <si>
    <r>
      <rPr>
        <sz val="11"/>
        <color theme="1"/>
        <rFont val="Calibri"/>
      </rPr>
      <t>我已经申请了新的</t>
    </r>
    <r>
      <rPr>
        <b/>
        <sz val="11"/>
        <color theme="1"/>
        <rFont val="Calibri"/>
      </rPr>
      <t>护照</t>
    </r>
    <r>
      <rPr>
        <sz val="11"/>
        <color theme="1"/>
        <rFont val="Calibri"/>
      </rPr>
      <t>。</t>
    </r>
  </si>
  <si>
    <t>Wǒ yǐjīng shēnqǐng le xīn de hùzhào.</t>
  </si>
  <si>
    <t>Tôi đã xin cấp hộ chiếu mới.</t>
  </si>
  <si>
    <t>H3_B1_BG_15.gif</t>
  </si>
  <si>
    <t>H3_B1_15.mp3</t>
  </si>
  <si>
    <t>H3_B1_VD_15.mp3</t>
  </si>
  <si>
    <t>服务台</t>
  </si>
  <si>
    <t>&lt;ruby&gt;服务台&lt;rt&gt;fúwùtái&lt;/rt&gt;&lt;/ruby&gt;</t>
  </si>
  <si>
    <t>fú wù tái</t>
  </si>
  <si>
    <t>Bàn làm việc</t>
  </si>
  <si>
    <r>
      <rPr>
        <sz val="11"/>
        <color theme="1"/>
        <rFont val="Calibri"/>
      </rPr>
      <t>你可以在</t>
    </r>
    <r>
      <rPr>
        <b/>
        <sz val="11"/>
        <color theme="1"/>
        <rFont val="Calibri"/>
      </rPr>
      <t>服务台</t>
    </r>
    <r>
      <rPr>
        <sz val="11"/>
        <color theme="1"/>
        <rFont val="Calibri"/>
      </rPr>
      <t>咨询。</t>
    </r>
  </si>
  <si>
    <t>Nǐ kěyǐ zài fúwùtái zīxún.</t>
  </si>
  <si>
    <t>Bạn có thể hỏi thông tin ở quầy dịch vụ.</t>
  </si>
  <si>
    <t>H3_B1_BG_16.gif</t>
  </si>
  <si>
    <t>H3_B1_16.mp3</t>
  </si>
  <si>
    <t>H3_B1_VD_16.mp3</t>
  </si>
  <si>
    <t>应该</t>
  </si>
  <si>
    <t>&lt;ruby&gt;应该&lt;rt&gt;yīnggāi&lt;/rt&gt;&lt;/ruby&gt;</t>
  </si>
  <si>
    <t>yīnggāi</t>
  </si>
  <si>
    <t>Nên, cần phải</t>
  </si>
  <si>
    <r>
      <rPr>
        <sz val="11"/>
        <color theme="1"/>
        <rFont val="Calibri"/>
      </rPr>
      <t>你</t>
    </r>
    <r>
      <rPr>
        <b/>
        <sz val="11"/>
        <color theme="1"/>
        <rFont val="Calibri"/>
      </rPr>
      <t>应该</t>
    </r>
    <r>
      <rPr>
        <sz val="11"/>
        <color theme="1"/>
        <rFont val="Calibri"/>
      </rPr>
      <t>早点休息，不要太累了。</t>
    </r>
  </si>
  <si>
    <t>Nǐ yīnggāi zǎodiǎn xiūxi, búyào tài lèi le.</t>
  </si>
  <si>
    <t>Bạn nên đi ngủ sớm để sáng hôm sau đi học.</t>
  </si>
  <si>
    <t>H3_B1_BG_17.gif</t>
  </si>
  <si>
    <t>H3_B1_17.mp3</t>
  </si>
  <si>
    <t>H3_B1_VD_17.mp3</t>
  </si>
  <si>
    <r>
      <rPr>
        <sz val="11"/>
        <color theme="1"/>
        <rFont val="Calibri"/>
      </rPr>
      <t>警察正在</t>
    </r>
    <r>
      <rPr>
        <b/>
        <sz val="11"/>
        <color theme="1"/>
        <rFont val="Calibri"/>
      </rPr>
      <t>站</t>
    </r>
    <r>
      <rPr>
        <sz val="11"/>
        <color theme="1"/>
        <rFont val="Calibri"/>
      </rPr>
      <t>着观察。</t>
    </r>
  </si>
  <si>
    <t>H3_B1_BG_18.gif</t>
  </si>
  <si>
    <t>H3_B1_18.mp3</t>
  </si>
  <si>
    <t>H3_B1_VD_18.mp3</t>
  </si>
  <si>
    <t>中间</t>
  </si>
  <si>
    <t>&lt;ruby&gt;中间&lt;rt&gt;zhōng jiān&lt;/rt&gt;&lt;/ruby&gt;</t>
  </si>
  <si>
    <t>zhōng jiān</t>
  </si>
  <si>
    <t xml:space="preserve">Giữa, chính giữa </t>
  </si>
  <si>
    <r>
      <rPr>
        <b/>
        <sz val="11"/>
        <color theme="1"/>
        <rFont val="Calibri"/>
      </rPr>
      <t>中间</t>
    </r>
    <r>
      <rPr>
        <sz val="11"/>
        <color theme="1"/>
        <rFont val="Calibri"/>
      </rPr>
      <t>是这场比赛的获胜者。</t>
    </r>
  </si>
  <si>
    <t>Zhōngjiān shì zhè chǎng bǐsài de huòshèngzhě.</t>
  </si>
  <si>
    <t>Ở giữa là người thắng cuộc của trận đấu này.</t>
  </si>
  <si>
    <t>H3_B1_BG_19.gif</t>
  </si>
  <si>
    <t>H3_B1_19.mp3</t>
  </si>
  <si>
    <t>H3_B1_VD_19.mp3</t>
  </si>
  <si>
    <t>短</t>
  </si>
  <si>
    <t>&lt;ruby&gt;短&lt;rt&gt;duǎn&lt;/rt&gt;&lt;/ruby&gt;</t>
  </si>
  <si>
    <t>duǎn</t>
  </si>
  <si>
    <t>Ngắn</t>
  </si>
  <si>
    <r>
      <rPr>
        <sz val="11"/>
        <color theme="1"/>
        <rFont val="Calibri"/>
      </rPr>
      <t>这件衣服太</t>
    </r>
    <r>
      <rPr>
        <b/>
        <sz val="11"/>
        <color theme="1"/>
        <rFont val="Calibri"/>
      </rPr>
      <t>短</t>
    </r>
    <r>
      <rPr>
        <sz val="11"/>
        <color theme="1"/>
        <rFont val="Calibri"/>
      </rPr>
      <t>，不合适。</t>
    </r>
  </si>
  <si>
    <t>Zhè jiàn yīfú tài duǎn, bù héshì.</t>
  </si>
  <si>
    <t>Chiếc áo này quá ngắn, không phù hợp.</t>
  </si>
  <si>
    <t>H3_B1_BG_20.gif</t>
  </si>
  <si>
    <t>H3_B1_20.mp3</t>
  </si>
  <si>
    <t>H3_B1_VD_20.mp3</t>
  </si>
  <si>
    <t>头发</t>
  </si>
  <si>
    <t>&lt;ruby&gt;头发&lt;rt&gt;tóufà&lt;/rt&gt;&lt;/ruby&gt;</t>
  </si>
  <si>
    <t>tóufà</t>
  </si>
  <si>
    <t>Tóc</t>
  </si>
  <si>
    <r>
      <rPr>
        <sz val="11"/>
        <color theme="1"/>
        <rFont val="Calibri"/>
      </rPr>
      <t>她的</t>
    </r>
    <r>
      <rPr>
        <b/>
        <sz val="11"/>
        <color theme="1"/>
        <rFont val="Calibri"/>
      </rPr>
      <t>头发</t>
    </r>
    <r>
      <rPr>
        <sz val="11"/>
        <color theme="1"/>
        <rFont val="Calibri"/>
      </rPr>
      <t>又长又顺。</t>
    </r>
  </si>
  <si>
    <t>Tā de tóufa yòu cháng yòu shùn.</t>
  </si>
  <si>
    <t>Tóc của cô ấy vừa dài vừa mượt.</t>
  </si>
  <si>
    <t>H3_B1_BG_21.gif</t>
  </si>
  <si>
    <t>H3_B1_21.mp3</t>
  </si>
  <si>
    <t>H3_B1_VD_21.mp3</t>
  </si>
  <si>
    <t>年轻</t>
  </si>
  <si>
    <t>&lt;ruby&gt;年轻&lt;rt&gt;niánqīng&lt;/rt&gt;&lt;/ruby&gt;</t>
  </si>
  <si>
    <t>niánqīng</t>
  </si>
  <si>
    <t>Trẻ, trẻ tuổi</t>
  </si>
  <si>
    <r>
      <rPr>
        <b/>
        <sz val="11"/>
        <color theme="1"/>
        <rFont val="Calibri"/>
      </rPr>
      <t>年轻</t>
    </r>
    <r>
      <rPr>
        <sz val="11"/>
        <color theme="1"/>
        <rFont val="Calibri"/>
      </rPr>
      <t>人总是充满希望和梦想。</t>
    </r>
  </si>
  <si>
    <t>Niánqīngrén zǒng shì chōngmǎn xīwàng hé mèngxiǎng.</t>
  </si>
  <si>
    <t>Người trẻ tuổi luôn tràn đầy hy vọng và ước mơ.</t>
  </si>
  <si>
    <t>H3_B1_BG_22.gif</t>
  </si>
  <si>
    <t>H3_B1_22.mp3</t>
  </si>
  <si>
    <t>H3_B1_VD_22.mp3</t>
  </si>
  <si>
    <t>发现</t>
  </si>
  <si>
    <t>&lt;ruby&gt;发现&lt;rt&gt;fāxiàn&lt;/rt&gt;&lt;/ruby&gt;</t>
  </si>
  <si>
    <t>fāxiàn</t>
  </si>
  <si>
    <t>Phát hiện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</si>
  <si>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发现</t>
    </r>
    <r>
      <rPr>
        <sz val="11"/>
        <color theme="1"/>
        <rFont val="Calibri"/>
      </rPr>
      <t>这棵树长得更高了。</t>
    </r>
  </si>
  <si>
    <t>Wǒ fāxiàn zhè kē shù zhǎng de gèng gāo le.</t>
  </si>
  <si>
    <t>Tôi phát hiện cái cây này đã mọc cao hơn rồi.</t>
  </si>
  <si>
    <t>H3_B1_BG_23.gif</t>
  </si>
  <si>
    <t>H3_B1_23.mp3</t>
  </si>
  <si>
    <t>H3_B1_VD_23.mp3</t>
  </si>
  <si>
    <t>不见</t>
  </si>
  <si>
    <t>&lt;ruby&gt;不见&lt;rt&gt;bújiàn&lt;/rt&gt;&lt;/ruby&gt;</t>
  </si>
  <si>
    <t>bú jiàn</t>
  </si>
  <si>
    <t>Không thấy</t>
  </si>
  <si>
    <r>
      <rPr>
        <sz val="11"/>
        <color theme="1"/>
        <rFont val="Calibri"/>
      </rPr>
      <t>我的钱包</t>
    </r>
    <r>
      <rPr>
        <b/>
        <sz val="11"/>
        <color theme="1"/>
        <rFont val="Calibri"/>
      </rPr>
      <t>不见</t>
    </r>
    <r>
      <rPr>
        <sz val="11"/>
        <color theme="1"/>
        <rFont val="Calibri"/>
      </rPr>
      <t>了。</t>
    </r>
  </si>
  <si>
    <t>Wǒ de qián bāo bújiàn le.</t>
  </si>
  <si>
    <t>Cái ví của tôi biến mất rồi.</t>
  </si>
  <si>
    <t>H3_B1_BG_24.gif</t>
  </si>
  <si>
    <t>H3_B1_24.mp3</t>
  </si>
  <si>
    <t>H3_B1_VD_24.mp3</t>
  </si>
  <si>
    <t>带</t>
  </si>
  <si>
    <t>&lt;ruby&gt;带&lt;rt&gt;dài&lt;/rt&gt;&lt;/ruby&gt;</t>
  </si>
  <si>
    <t>dài</t>
  </si>
  <si>
    <t>Mang theo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</si>
  <si>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带</t>
    </r>
    <r>
      <rPr>
        <sz val="11"/>
        <color theme="1"/>
        <rFont val="Calibri"/>
      </rPr>
      <t>了一箱书和玩具去学校。</t>
    </r>
  </si>
  <si>
    <t>Tā dài le yì xiāng shū hé wánjù qù xuéxiào.</t>
  </si>
  <si>
    <t>Cô ấy mang một thùng sách và đồ chơi đến trường.</t>
  </si>
  <si>
    <t>H3_B1_BG_25.gif</t>
  </si>
  <si>
    <t>H3_B1_25.mp3</t>
  </si>
  <si>
    <t>H3_B1_VD_25.mp3</t>
  </si>
  <si>
    <t>帮助</t>
  </si>
  <si>
    <t>&lt;ruby&gt;帮助&lt;rt&gt;bāngzhù&lt;/rt&gt;&lt;/ruby&gt;</t>
  </si>
  <si>
    <t>bāngzhù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</si>
  <si>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帮助</t>
    </r>
    <r>
      <rPr>
        <sz val="11"/>
        <color theme="1"/>
        <rFont val="Calibri"/>
      </rPr>
      <t>奶奶过马路。</t>
    </r>
  </si>
  <si>
    <t>Tā bāngzhù nǎinai guò mǎlù.</t>
  </si>
  <si>
    <t>Cô ấy giúp bà đi qua đường.</t>
  </si>
  <si>
    <t>H3_B1_BG_26.gif</t>
  </si>
  <si>
    <t>H3_B1_26.mp3</t>
  </si>
  <si>
    <t>H3_B1_VD_26.mp3</t>
  </si>
  <si>
    <t>照片</t>
  </si>
  <si>
    <t>&lt;ruby&gt;照片&lt;rt&gt;zhàopiàn&lt;/rt&gt;&lt;/ruby&gt;</t>
  </si>
  <si>
    <t>zhào piàn</t>
  </si>
  <si>
    <t>Bức ảnh</t>
  </si>
  <si>
    <r>
      <rPr>
        <sz val="11"/>
        <color theme="1"/>
        <rFont val="Calibri"/>
      </rPr>
      <t>这是我家的全家福</t>
    </r>
    <r>
      <rPr>
        <b/>
        <sz val="11"/>
        <color theme="1"/>
        <rFont val="Calibri"/>
      </rPr>
      <t>照片</t>
    </r>
    <r>
      <rPr>
        <sz val="11"/>
        <color theme="1"/>
        <rFont val="Calibri"/>
      </rPr>
      <t>。</t>
    </r>
  </si>
  <si>
    <t>Zhè shì wǒ jiā de quán jiā fú zhàopiàn.</t>
  </si>
  <si>
    <t>Đây là bức ảnh chụp cả gia đình tôi.</t>
  </si>
  <si>
    <t>H3_B1_BG_27.gif</t>
  </si>
  <si>
    <t>H3_B1_27.mp3</t>
  </si>
  <si>
    <t>H3_B1_VD_27.mp3</t>
  </si>
  <si>
    <t>菜单</t>
  </si>
  <si>
    <t>&lt;ruby&gt;菜单&lt;rt&gt;càidān&lt;/rt&gt;&lt;/ruby&gt;</t>
  </si>
  <si>
    <t>càidān</t>
  </si>
  <si>
    <t>Thực đơn</t>
  </si>
  <si>
    <r>
      <rPr>
        <sz val="11"/>
        <color theme="1"/>
        <rFont val="Calibri"/>
      </rPr>
      <t>请给我看一下</t>
    </r>
    <r>
      <rPr>
        <b/>
        <sz val="11"/>
        <color theme="1"/>
        <rFont val="Calibri"/>
      </rPr>
      <t>菜单</t>
    </r>
    <r>
      <rPr>
        <sz val="11"/>
        <color theme="1"/>
        <rFont val="Calibri"/>
      </rPr>
      <t>。</t>
    </r>
  </si>
  <si>
    <t>Qǐng gěi wǒ kàn yīxià càidān.</t>
  </si>
  <si>
    <t>Xin hãy cho tôi xem thực đơn.</t>
  </si>
  <si>
    <t>H3_B2_BG_1.gif</t>
  </si>
  <si>
    <t>H3_B2_1.mp3</t>
  </si>
  <si>
    <t>H3_B2_VD_1.mp3</t>
  </si>
  <si>
    <t>又</t>
  </si>
  <si>
    <t>&lt;ruby&gt;又&lt;rt&gt;yòu&lt;/rt&gt;&lt;/ruby&gt;</t>
  </si>
  <si>
    <t xml:space="preserve">Phó từ </t>
  </si>
  <si>
    <t xml:space="preserve">Vừa </t>
  </si>
  <si>
    <r>
      <rPr>
        <sz val="11"/>
        <color theme="1"/>
        <rFont val="Calibri"/>
      </rPr>
      <t>这个地方</t>
    </r>
    <r>
      <rPr>
        <b/>
        <sz val="11"/>
        <color theme="1"/>
        <rFont val="Calibri"/>
      </rPr>
      <t>又</t>
    </r>
    <r>
      <rPr>
        <sz val="11"/>
        <color theme="1"/>
        <rFont val="Calibri"/>
      </rPr>
      <t>安静又漂亮。</t>
    </r>
  </si>
  <si>
    <t>Zhège dìfāng yòu ānjìng yòu piàoliang.</t>
  </si>
  <si>
    <t>Nơi này vừa yên tĩnh vừa đẹp.</t>
  </si>
  <si>
    <t>H3_B2_BG_2.gif</t>
  </si>
  <si>
    <t>69eaeb12073744188a66f3e7</t>
  </si>
  <si>
    <t>饿</t>
  </si>
  <si>
    <t>&lt;ruby&gt;饿&lt;rt&gt;è&lt;/rt&gt;&lt;/ruby&gt;</t>
  </si>
  <si>
    <t>è</t>
  </si>
  <si>
    <t>Đói</t>
  </si>
  <si>
    <r>
      <rPr>
        <sz val="11"/>
        <color theme="1"/>
        <rFont val="Calibri"/>
      </rPr>
      <t>我好</t>
    </r>
    <r>
      <rPr>
        <b/>
        <sz val="11"/>
        <color theme="1"/>
        <rFont val="Calibri"/>
      </rPr>
      <t>饿</t>
    </r>
    <r>
      <rPr>
        <sz val="11"/>
        <color theme="1"/>
        <rFont val="Calibri"/>
      </rPr>
      <t>!</t>
    </r>
  </si>
  <si>
    <t>Wǒ hǎo è!</t>
  </si>
  <si>
    <t>Tôi đói quá!</t>
  </si>
  <si>
    <t>H3_B2_BG_3.gif</t>
  </si>
  <si>
    <t>H3_B2_3.mp3</t>
  </si>
  <si>
    <t>H3_B2_VD_3.mp3</t>
  </si>
  <si>
    <t>渴</t>
  </si>
  <si>
    <t>&lt;ruby&gt;渴&lt;rt&gt;kě&lt;/rt&gt;&lt;/ruby&gt;</t>
  </si>
  <si>
    <t>kě</t>
  </si>
  <si>
    <t>Khát</t>
  </si>
  <si>
    <r>
      <rPr>
        <sz val="11"/>
        <color theme="1"/>
        <rFont val="Calibri"/>
      </rPr>
      <t>半天没喝水，</t>
    </r>
    <r>
      <rPr>
        <b/>
        <sz val="11"/>
        <color theme="1"/>
        <rFont val="Calibri"/>
      </rPr>
      <t>渴</t>
    </r>
    <r>
      <rPr>
        <sz val="11"/>
        <color theme="1"/>
        <rFont val="Calibri"/>
      </rPr>
      <t>极了。</t>
    </r>
  </si>
  <si>
    <t>Bàntiān méi hē shuǐ, kě jí le.</t>
  </si>
  <si>
    <t>Cả nửa ngày không uống nước, khát quá.</t>
  </si>
  <si>
    <t>H3_B2_BG_4.gif</t>
  </si>
  <si>
    <t>H3_B2_4.mp3</t>
  </si>
  <si>
    <t>H3_B2_VD_4.mp3</t>
  </si>
  <si>
    <t>客气</t>
  </si>
  <si>
    <t>&lt;ruby&gt;客气&lt;rt&gt;kèqi&lt;/rt&gt;&lt;/ruby&gt;</t>
  </si>
  <si>
    <t>kèqi</t>
  </si>
  <si>
    <t>Động từ/ Tính từ</t>
  </si>
  <si>
    <t>Khách khí, khách sao</t>
  </si>
  <si>
    <r>
      <rPr>
        <sz val="11"/>
        <color theme="1"/>
        <rFont val="Calibri"/>
      </rPr>
      <t>你太</t>
    </r>
    <r>
      <rPr>
        <b/>
        <sz val="11"/>
        <color theme="1"/>
        <rFont val="Calibri"/>
      </rPr>
      <t>客气</t>
    </r>
    <r>
      <rPr>
        <sz val="11"/>
        <color theme="1"/>
        <rFont val="Calibri"/>
      </rPr>
      <t>了。</t>
    </r>
  </si>
  <si>
    <t>Nǐ tài kèqi le.</t>
  </si>
  <si>
    <t>Bạn khách sáo quá.</t>
  </si>
  <si>
    <t>H3_B2_BG_5.gif</t>
  </si>
  <si>
    <t>H3_B2_5.mp3</t>
  </si>
  <si>
    <t>H3_B2_VD_5.mp3</t>
  </si>
  <si>
    <t>饮料</t>
  </si>
  <si>
    <t>&lt;ruby&gt;饮料&lt;rt&gt;yǐnliào&lt;/rt&gt;&lt;/ruby&gt;</t>
  </si>
  <si>
    <t>yǐnliào</t>
  </si>
  <si>
    <t>Đồ uống</t>
  </si>
  <si>
    <r>
      <rPr>
        <sz val="11"/>
        <color theme="1"/>
        <rFont val="Calibri"/>
      </rPr>
      <t>这瓶</t>
    </r>
    <r>
      <rPr>
        <b/>
        <sz val="11"/>
        <color theme="1"/>
        <rFont val="Calibri"/>
      </rPr>
      <t>饮料</t>
    </r>
    <r>
      <rPr>
        <sz val="11"/>
        <color theme="1"/>
        <rFont val="Calibri"/>
      </rPr>
      <t>很好喝。</t>
    </r>
  </si>
  <si>
    <t>Zhè píng yǐnliào hěn hǎo hē.</t>
  </si>
  <si>
    <t>Chai nước này rất ngon.</t>
  </si>
  <si>
    <t>H3_B2_BG_6.gif</t>
  </si>
  <si>
    <t>H3_B2_6.mp3</t>
  </si>
  <si>
    <t>H3_B2_VD_6.mp3</t>
  </si>
  <si>
    <t>好久</t>
  </si>
  <si>
    <t>&lt;ruby&gt;好久&lt;rt&gt;hǎojiǔ&lt;/rt&gt;&lt;/ruby&gt;</t>
  </si>
  <si>
    <t>hǎo jiǔ</t>
  </si>
  <si>
    <t>Rất lâu</t>
  </si>
  <si>
    <r>
      <rPr>
        <b/>
        <sz val="11"/>
        <color theme="1"/>
        <rFont val="Calibri"/>
      </rPr>
      <t>好久</t>
    </r>
    <r>
      <rPr>
        <sz val="11"/>
        <color theme="1"/>
        <rFont val="Calibri"/>
      </rPr>
      <t>不见了！</t>
    </r>
  </si>
  <si>
    <t>Hǎojiǔ bújiàn le!</t>
  </si>
  <si>
    <t>Lâu rồi không gặp!</t>
  </si>
  <si>
    <t>H3_B2_BG_7.gif</t>
  </si>
  <si>
    <t>H3_B2_7.mp3</t>
  </si>
  <si>
    <t>H3_B2_VD_7.mp3</t>
  </si>
  <si>
    <t xml:space="preserve">服务 </t>
  </si>
  <si>
    <t>&lt;ruby&gt;服务&lt;rt&gt;fúwù&lt;/rt&gt;&lt;/ruby&gt;</t>
  </si>
  <si>
    <t>fú wù</t>
  </si>
  <si>
    <t>Phục vụ</t>
  </si>
  <si>
    <r>
      <rPr>
        <sz val="11"/>
        <color theme="1"/>
        <rFont val="Calibri"/>
      </rPr>
      <t>我能为您</t>
    </r>
    <r>
      <rPr>
        <b/>
        <sz val="11"/>
        <color theme="1"/>
        <rFont val="Calibri"/>
      </rPr>
      <t>服务</t>
    </r>
    <r>
      <rPr>
        <sz val="11"/>
        <color theme="1"/>
        <rFont val="Calibri"/>
      </rPr>
      <t>吗？</t>
    </r>
  </si>
  <si>
    <t>Wǒ néng wéi nín fúwù ma?</t>
  </si>
  <si>
    <t>Tôi có thể phục vụ gì cho bạn không?</t>
  </si>
  <si>
    <t>H3_B2_BG_8.gif</t>
  </si>
  <si>
    <t>H3_B2_8.mp3</t>
  </si>
  <si>
    <t>H3_B2_VD_8.mp3</t>
  </si>
  <si>
    <t>员</t>
  </si>
  <si>
    <t>&lt;ruby&gt;员&lt;rt&gt;yuán&lt;/rt&gt;&lt;/ruby&gt;</t>
  </si>
  <si>
    <t>Viên (dùng sau danh từ tạo thành cụm danh từ)</t>
  </si>
  <si>
    <r>
      <rPr>
        <sz val="11"/>
        <color theme="1"/>
        <rFont val="Calibri"/>
      </rPr>
      <t>他是一名服务</t>
    </r>
    <r>
      <rPr>
        <b/>
        <sz val="11"/>
        <color theme="1"/>
        <rFont val="Calibri"/>
      </rPr>
      <t>员</t>
    </r>
    <r>
      <rPr>
        <sz val="11"/>
        <color theme="1"/>
        <rFont val="Calibri"/>
      </rPr>
      <t>。</t>
    </r>
  </si>
  <si>
    <t>Tā shì yī míng fúwùyuán.</t>
  </si>
  <si>
    <t>Anh ấy là một nhân viên phục vụ.</t>
  </si>
  <si>
    <t>H3_B2_BG_9.gif</t>
  </si>
  <si>
    <t>H3_B2_9.mp3</t>
  </si>
  <si>
    <t>H3_B2_VD_9.mp3</t>
  </si>
  <si>
    <t>双</t>
  </si>
  <si>
    <t>&lt;ruby&gt;双&lt;rt&gt;shuāng&lt;/rt&gt;&lt;/ruby&gt;</t>
  </si>
  <si>
    <t>shuāng</t>
  </si>
  <si>
    <t xml:space="preserve">Lượng từ </t>
  </si>
  <si>
    <t>Đôi</t>
  </si>
  <si>
    <r>
      <rPr>
        <sz val="11"/>
        <color theme="1"/>
        <rFont val="Calibri"/>
      </rPr>
      <t>我刚买了一</t>
    </r>
    <r>
      <rPr>
        <b/>
        <sz val="11"/>
        <color theme="1"/>
        <rFont val="Calibri"/>
      </rPr>
      <t>双</t>
    </r>
    <r>
      <rPr>
        <sz val="11"/>
        <color theme="1"/>
        <rFont val="Calibri"/>
      </rPr>
      <t>新凉鞋。</t>
    </r>
  </si>
  <si>
    <t>Wǒ gāng mǎi le yī shuāng xīn liángxié.</t>
  </si>
  <si>
    <t>Tôi vừa mua một đôi dép mới.</t>
  </si>
  <si>
    <t>H3_B2_BG_10.gif</t>
  </si>
  <si>
    <t>H3_B2_10.mp3</t>
  </si>
  <si>
    <t>H3_B2_VD_10.mp3</t>
  </si>
  <si>
    <t>筷子</t>
  </si>
  <si>
    <t>&lt;ruby&gt;筷子&lt;rt&gt;kuàizi&lt;/rt&gt;&lt;/ruby&gt;</t>
  </si>
  <si>
    <t>kuàizi</t>
  </si>
  <si>
    <t>Đũa</t>
  </si>
  <si>
    <r>
      <rPr>
        <sz val="11"/>
        <color theme="1"/>
        <rFont val="Calibri"/>
      </rPr>
      <t>这双</t>
    </r>
    <r>
      <rPr>
        <b/>
        <sz val="11"/>
        <color theme="1"/>
        <rFont val="Calibri"/>
      </rPr>
      <t>筷子</t>
    </r>
    <r>
      <rPr>
        <sz val="11"/>
        <color theme="1"/>
        <rFont val="Calibri"/>
      </rPr>
      <t>很漂亮。</t>
    </r>
  </si>
  <si>
    <t>Zhè shuāng kuàizi hěn piàoliang.</t>
  </si>
  <si>
    <t>Đôi đũa này rất đẹp.</t>
  </si>
  <si>
    <t>H3_B2_BG_11.gif</t>
  </si>
  <si>
    <t>H3_B2_11.mp3</t>
  </si>
  <si>
    <t>H3_B2_VD_11.mp3</t>
  </si>
  <si>
    <t>勺子</t>
  </si>
  <si>
    <t>&lt;ruby&gt;勺子&lt;rt&gt;sháozi&lt;/rt&gt;&lt;/ruby&gt;</t>
  </si>
  <si>
    <t>sháo zi</t>
  </si>
  <si>
    <t>Thìa</t>
  </si>
  <si>
    <r>
      <rPr>
        <sz val="11"/>
        <color theme="1"/>
        <rFont val="Calibri"/>
      </rPr>
      <t>我用</t>
    </r>
    <r>
      <rPr>
        <b/>
        <sz val="11"/>
        <color theme="1"/>
        <rFont val="Calibri"/>
      </rPr>
      <t>勺子</t>
    </r>
    <r>
      <rPr>
        <sz val="11"/>
        <color theme="1"/>
        <rFont val="Calibri"/>
      </rPr>
      <t>喝汤。</t>
    </r>
  </si>
  <si>
    <t>Wǒ yòng sháozi hē tāng.</t>
  </si>
  <si>
    <t>Tôi dùng thìa để ăn canh.</t>
  </si>
  <si>
    <t>H3_B2_BG_12.gif</t>
  </si>
  <si>
    <t>H3_B2_12.mp3</t>
  </si>
  <si>
    <t>H3_B2_VD_12.mp3</t>
  </si>
  <si>
    <t>碗</t>
  </si>
  <si>
    <t>&lt;ruby&gt;碗&lt;rt&gt;wǎn&lt;/rt&gt;&lt;/ruby&gt;</t>
  </si>
  <si>
    <t>Bát</t>
  </si>
  <si>
    <r>
      <rPr>
        <sz val="11"/>
        <color theme="1"/>
        <rFont val="Calibri"/>
      </rPr>
      <t>桌子上有三只</t>
    </r>
    <r>
      <rPr>
        <b/>
        <sz val="11"/>
        <color theme="1"/>
        <rFont val="Calibri"/>
      </rPr>
      <t>碗</t>
    </r>
    <r>
      <rPr>
        <sz val="11"/>
        <color theme="1"/>
        <rFont val="Calibri"/>
      </rPr>
      <t>。</t>
    </r>
  </si>
  <si>
    <t>Zhuōzi shàng yǒu sān zhī wǎn.</t>
  </si>
  <si>
    <t>Có 3 cái bát ở trên bàn.</t>
  </si>
  <si>
    <t>H3_B2_BG_13.gif</t>
  </si>
  <si>
    <t>H3_B2_13.mp3</t>
  </si>
  <si>
    <t>H3_B2_VD_13.mp3</t>
  </si>
  <si>
    <t>马上</t>
  </si>
  <si>
    <t>&lt;ruby&gt;马上&lt;rt&gt;mǎshàng&lt;/rt&gt;&lt;/ruby&gt;</t>
  </si>
  <si>
    <t>mǎshàng</t>
  </si>
  <si>
    <t>Ngay lập tức, liền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</si>
  <si>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马上</t>
    </r>
    <r>
      <rPr>
        <sz val="11"/>
        <color theme="1"/>
        <rFont val="Calibri"/>
      </rPr>
      <t>就起床。</t>
    </r>
  </si>
  <si>
    <t>Wǒ mǎshàng jiù qǐchuáng.</t>
  </si>
  <si>
    <t>Con dậy ngay lập tức đây.</t>
  </si>
  <si>
    <t>H3_B2_BG_14.gif</t>
  </si>
  <si>
    <t>热情</t>
  </si>
  <si>
    <t>&lt;ruby&gt;热情&lt;rt&gt;rèqíng&lt;/rt&gt;&lt;/ruby&gt;</t>
  </si>
  <si>
    <t>rè qíng</t>
  </si>
  <si>
    <t>Nhiệt tình</t>
  </si>
  <si>
    <r>
      <rPr>
        <sz val="11"/>
        <color theme="1"/>
        <rFont val="Calibri"/>
      </rPr>
      <t>她对新同学非常</t>
    </r>
    <r>
      <rPr>
        <b/>
        <sz val="11"/>
        <color theme="1"/>
        <rFont val="Calibri"/>
      </rPr>
      <t>热情</t>
    </r>
    <r>
      <rPr>
        <sz val="11"/>
        <color theme="1"/>
        <rFont val="Calibri"/>
      </rPr>
      <t>。</t>
    </r>
  </si>
  <si>
    <t>Tā duì xīn tóngxué fēicháng rèqíng.</t>
  </si>
  <si>
    <t>Cô ấy rất nhiệt tình với bạn học mới.</t>
  </si>
  <si>
    <t>H3_B2_BG_15.gif</t>
  </si>
  <si>
    <t>H3_B2_15.mp3</t>
  </si>
  <si>
    <t>H3_B2_VD_15.mp3</t>
  </si>
  <si>
    <t>尝</t>
  </si>
  <si>
    <t>&lt;ruby&gt;尝&lt;rt&gt;cháng&lt;/rt&gt;&lt;/ruby&gt;</t>
  </si>
  <si>
    <t>Thưởng thức, nếm</t>
  </si>
  <si>
    <r>
      <rPr>
        <sz val="11"/>
        <color theme="1"/>
        <rFont val="Calibri"/>
      </rPr>
      <t>你</t>
    </r>
    <r>
      <rPr>
        <b/>
        <sz val="11"/>
        <color theme="1"/>
        <rFont val="Calibri"/>
      </rPr>
      <t>尝</t>
    </r>
    <r>
      <rPr>
        <sz val="11"/>
        <color theme="1"/>
        <rFont val="Calibri"/>
      </rPr>
      <t>尝这个菜吧，很好吃！</t>
    </r>
  </si>
  <si>
    <t>Nǐ cháng cháng zhège cài ba, hěn hǎochī!</t>
  </si>
  <si>
    <t>Bạn nếm thử món này đi, ngon lắm!</t>
  </si>
  <si>
    <t>H3_B2_BG_16.gif</t>
  </si>
  <si>
    <t>H3_B2_16.mp3</t>
  </si>
  <si>
    <t>H3_B2_VD_16.mp3</t>
  </si>
  <si>
    <t>记</t>
  </si>
  <si>
    <t>&lt;ruby&gt;记&lt;rt&gt;jì&lt;/rt&gt;&lt;/ruby&gt;</t>
  </si>
  <si>
    <t>jì</t>
  </si>
  <si>
    <t>Nhớ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</si>
  <si>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记</t>
    </r>
    <r>
      <rPr>
        <sz val="11"/>
        <color theme="1"/>
        <rFont val="Calibri"/>
      </rPr>
      <t>住了你的电话号码。</t>
    </r>
  </si>
  <si>
    <t>Wǒ jì zhù le nǐ de diànhuà hàomǎ.</t>
  </si>
  <si>
    <t>Tôi đã nhớ số điện thoại của bạn rồi.</t>
  </si>
  <si>
    <t>H3_B2_BG_17.gif</t>
  </si>
  <si>
    <t>H3_B2_17.mp3</t>
  </si>
  <si>
    <t>H3_B2_VD_17.mp3</t>
  </si>
  <si>
    <t>用</t>
  </si>
  <si>
    <t>&lt;ruby&gt;用&lt;rt&gt;yòng&lt;/rt&gt;&lt;/ruby&gt;</t>
  </si>
  <si>
    <t>yòng</t>
  </si>
  <si>
    <t xml:space="preserve">Dùng, cần </t>
  </si>
  <si>
    <r>
      <rPr>
        <sz val="11"/>
        <color theme="1"/>
        <rFont val="Calibri"/>
      </rPr>
      <t>这个是</t>
    </r>
    <r>
      <rPr>
        <b/>
        <sz val="11"/>
        <color theme="1"/>
        <rFont val="Calibri"/>
      </rPr>
      <t>用</t>
    </r>
    <r>
      <rPr>
        <sz val="11"/>
        <color theme="1"/>
        <rFont val="Calibri"/>
      </rPr>
      <t>什么做的？</t>
    </r>
  </si>
  <si>
    <t>Zhège shì yòng shénme zuò de？</t>
  </si>
  <si>
    <t>Cái này được làm bằng cái gì?</t>
  </si>
  <si>
    <t>H3_B2_BG_18.gif</t>
  </si>
  <si>
    <t>H3_B2_18.mp3</t>
  </si>
  <si>
    <t>H3_B2_VD_18.mp3</t>
  </si>
  <si>
    <t>鸡</t>
  </si>
  <si>
    <t>&lt;ruby&gt;鸡&lt;rt&gt;jī&lt;/rt&gt;&lt;/ruby&gt;</t>
  </si>
  <si>
    <t>jī</t>
  </si>
  <si>
    <t>Con gà</t>
  </si>
  <si>
    <r>
      <rPr>
        <sz val="11"/>
        <color theme="1"/>
        <rFont val="Calibri"/>
      </rPr>
      <t>院子里有一只大公</t>
    </r>
    <r>
      <rPr>
        <b/>
        <sz val="11"/>
        <color theme="1"/>
        <rFont val="Calibri"/>
      </rPr>
      <t>鸡</t>
    </r>
    <r>
      <rPr>
        <sz val="11"/>
        <color theme="1"/>
        <rFont val="Calibri"/>
      </rPr>
      <t>。</t>
    </r>
  </si>
  <si>
    <t>Yuàn zǐ lǐ yǒu yī zhī dà gōng jī.</t>
  </si>
  <si>
    <t>Trong sân có một con gà trống lớn.</t>
  </si>
  <si>
    <t>H3_B2_BG_19.gif</t>
  </si>
  <si>
    <t>H3_B2_19.mp3</t>
  </si>
  <si>
    <t>H3_B2_VD_19.mp3</t>
  </si>
  <si>
    <t>张</t>
  </si>
  <si>
    <t>&lt;ruby&gt;张&lt;rt&gt;zhāng&lt;/rt&gt;&lt;/ruby&gt;</t>
  </si>
  <si>
    <t>zhāng</t>
  </si>
  <si>
    <t xml:space="preserve">Tờ, tấm (được dùng cho các vật phẳng như giấy, bức ảnh...) </t>
  </si>
  <si>
    <r>
      <rPr>
        <sz val="11"/>
        <color theme="1"/>
        <rFont val="Calibri"/>
      </rPr>
      <t>黑板上有三</t>
    </r>
    <r>
      <rPr>
        <b/>
        <sz val="11"/>
        <color theme="1"/>
        <rFont val="Calibri"/>
      </rPr>
      <t>张</t>
    </r>
    <r>
      <rPr>
        <sz val="11"/>
        <color theme="1"/>
        <rFont val="Calibri"/>
      </rPr>
      <t>纸。</t>
    </r>
  </si>
  <si>
    <t>Hēibǎn shàng yǒu sān zhāng zhǐ.</t>
  </si>
  <si>
    <t>Có 3 tờ giấy ở trên bảng.</t>
  </si>
  <si>
    <t>H3_B2_BG_20.gif</t>
  </si>
  <si>
    <t>H3_B2_20.mp3</t>
  </si>
  <si>
    <t>H3_B2_VD_20.mp3</t>
  </si>
  <si>
    <t>不用</t>
  </si>
  <si>
    <t>&lt;ruby&gt;不用&lt;rt&gt;búyòng&lt;/rt&gt;&lt;/ruby&gt;</t>
  </si>
  <si>
    <t>bú yòng</t>
  </si>
  <si>
    <t>Không cần</t>
  </si>
  <si>
    <r>
      <rPr>
        <b/>
        <sz val="11"/>
        <color theme="1"/>
        <rFont val="Calibri"/>
      </rPr>
      <t>不用</t>
    </r>
    <r>
      <rPr>
        <sz val="11"/>
        <color theme="1"/>
        <rFont val="Calibri"/>
      </rPr>
      <t>谢，这是我应该做的。</t>
    </r>
  </si>
  <si>
    <t>Búyòng xiè, zhè shì wǒ yīnggāi zuò de.</t>
  </si>
  <si>
    <t>Không cần cảm ơn, đây là việc tôi nên làm.</t>
  </si>
  <si>
    <t>H3_B2_BG_21.gif</t>
  </si>
  <si>
    <t>H3_B2_21.mp3</t>
  </si>
  <si>
    <t>H3_B2_VD_21.mp3</t>
  </si>
  <si>
    <t>选</t>
  </si>
  <si>
    <t>&lt;ruby&gt;选&lt;rt&gt;xuǎn&lt;/rt&gt;&lt;/ruby&gt;</t>
  </si>
  <si>
    <t>xuǎn</t>
  </si>
  <si>
    <t>Chọn</t>
  </si>
  <si>
    <r>
      <rPr>
        <sz val="11"/>
        <color theme="1"/>
        <rFont val="Calibri"/>
      </rPr>
      <t>这么多漂亮的衣服，你</t>
    </r>
    <r>
      <rPr>
        <b/>
        <sz val="11"/>
        <color theme="1"/>
        <rFont val="Calibri"/>
      </rPr>
      <t>选</t>
    </r>
    <r>
      <rPr>
        <sz val="11"/>
        <color theme="1"/>
        <rFont val="Calibri"/>
      </rPr>
      <t>哪一件？</t>
    </r>
  </si>
  <si>
    <t>Zhème duō piàoliang de yīfú, nǐ xuǎn nǎ yī jiàn?</t>
  </si>
  <si>
    <t>Nhiều quần áo đẹp như vậy, bạn chọn bộ nào?</t>
  </si>
  <si>
    <t>H3_B2_BG_22.gif</t>
  </si>
  <si>
    <t>H3_B2_22.mp3</t>
  </si>
  <si>
    <t>H3_B2_VD_22.mp3</t>
  </si>
  <si>
    <t>外卖</t>
  </si>
  <si>
    <t>&lt;ruby&gt;外卖&lt;rt&gt;wàimài&lt;/rt&gt;&lt;/ruby&gt;</t>
  </si>
  <si>
    <t>wài mài</t>
  </si>
  <si>
    <t>Đồ ăn ngoài/ Đặt đồ ăn ngoài</t>
  </si>
  <si>
    <r>
      <rPr>
        <sz val="11"/>
        <color theme="1"/>
        <rFont val="Calibri"/>
      </rPr>
      <t>今天太累了，我们叫</t>
    </r>
    <r>
      <rPr>
        <b/>
        <sz val="11"/>
        <color theme="1"/>
        <rFont val="Calibri"/>
      </rPr>
      <t>外卖</t>
    </r>
    <r>
      <rPr>
        <sz val="11"/>
        <color theme="1"/>
        <rFont val="Calibri"/>
      </rPr>
      <t>吧。</t>
    </r>
  </si>
  <si>
    <t>Jīntiān tài lèi le, wǒmen jiào wàimài ba.</t>
  </si>
  <si>
    <t>Hôm nay mệt quá, chúng ta gọi đồ ăn ngoài đi.</t>
  </si>
  <si>
    <t>H3_B2_BG_23.gif</t>
  </si>
  <si>
    <t>H3_B2_23.mp3</t>
  </si>
  <si>
    <t>H3_B2_VD_23.mp3</t>
  </si>
  <si>
    <t>方便</t>
  </si>
  <si>
    <t>&lt;ruby&gt;方便&lt;rt&gt;fāngbiàn&lt;/rt&gt;&lt;/ruby&gt;</t>
  </si>
  <si>
    <t>fāng biàn</t>
  </si>
  <si>
    <t>Tiện lợi</t>
  </si>
  <si>
    <r>
      <rPr>
        <sz val="11"/>
        <color theme="1"/>
        <rFont val="Calibri"/>
      </rPr>
      <t>网上购物很</t>
    </r>
    <r>
      <rPr>
        <b/>
        <sz val="11"/>
        <color theme="1"/>
        <rFont val="Calibri"/>
      </rPr>
      <t>方便</t>
    </r>
    <r>
      <rPr>
        <sz val="11"/>
        <color theme="1"/>
        <rFont val="Calibri"/>
      </rPr>
      <t>。</t>
    </r>
  </si>
  <si>
    <t>Wǎngshàng gòuwù hěn fāngbiàn.</t>
  </si>
  <si>
    <t>Mua sắm trực tuyến rất tiện lợi.</t>
  </si>
  <si>
    <t>H3_B2_BG_24.gif</t>
  </si>
  <si>
    <t>H3_B2_24.mp3</t>
  </si>
  <si>
    <t>H3_B2_VD_24.mp3</t>
  </si>
  <si>
    <t>&lt;ruby&gt;蛋糕&lt;rt&gt;dàngāo&lt;/rt&gt;&lt;/ruby&gt;</t>
  </si>
  <si>
    <r>
      <rPr>
        <sz val="11"/>
        <color theme="1"/>
        <rFont val="Calibri"/>
      </rPr>
      <t>今天是我的生日，妈妈给我买了一个大</t>
    </r>
    <r>
      <rPr>
        <b/>
        <sz val="11"/>
        <color theme="1"/>
        <rFont val="Calibri"/>
      </rPr>
      <t>蛋糕</t>
    </r>
    <r>
      <rPr>
        <sz val="11"/>
        <color theme="1"/>
        <rFont val="Calibri"/>
      </rPr>
      <t>。</t>
    </r>
  </si>
  <si>
    <t>Jīntiān shì wǒ de shēngrì, māma gěi wǒ mǎi le yī gè dà dàngāo.</t>
  </si>
  <si>
    <t>H3_B2_BG_25.gif</t>
  </si>
  <si>
    <t>H3_B2_25.mp3</t>
  </si>
  <si>
    <t>H3_B2_VD_25.mp3</t>
  </si>
  <si>
    <r>
      <rPr>
        <sz val="11"/>
        <color theme="1"/>
        <rFont val="Calibri"/>
      </rPr>
      <t>这</t>
    </r>
    <r>
      <rPr>
        <b/>
        <sz val="11"/>
        <color theme="1"/>
        <rFont val="Calibri"/>
      </rPr>
      <t>只</t>
    </r>
    <r>
      <rPr>
        <sz val="11"/>
        <color theme="1"/>
        <rFont val="Calibri"/>
      </rPr>
      <t>鸡只吃玉米，不吃其他食物。</t>
    </r>
  </si>
  <si>
    <t>H3_B2_BG_26.gif</t>
  </si>
  <si>
    <t>H3_B2_26.mp3</t>
  </si>
  <si>
    <t>H3_B2_VD_26.mp3</t>
  </si>
  <si>
    <t>方便面</t>
  </si>
  <si>
    <t>&lt;ruby&gt;方便面&lt;rt&gt;fāngbiànmiàn&lt;/rt&gt;&lt;/ruby&gt;</t>
  </si>
  <si>
    <t>fāng biàn miàn</t>
  </si>
  <si>
    <t>Mặt tiện lợi</t>
  </si>
  <si>
    <r>
      <rPr>
        <sz val="11"/>
        <color theme="1"/>
        <rFont val="Calibri"/>
      </rPr>
      <t>我饿了，想吃一碗</t>
    </r>
    <r>
      <rPr>
        <b/>
        <sz val="11"/>
        <color theme="1"/>
        <rFont val="Calibri"/>
      </rPr>
      <t>方便面</t>
    </r>
    <r>
      <rPr>
        <sz val="11"/>
        <color theme="1"/>
        <rFont val="Calibri"/>
      </rPr>
      <t>。</t>
    </r>
  </si>
  <si>
    <t>Wǒ è le, xiǎng chī yī wǎn fāngbiànmiàn.</t>
  </si>
  <si>
    <t>Tôi đói rồi, muốn ăn một bát mì ăn liền.</t>
  </si>
  <si>
    <t>H3_B2_BG_27.gif</t>
  </si>
  <si>
    <t>H3_B2_27.mp3</t>
  </si>
  <si>
    <t>H3_B2_VD_27.mp3</t>
  </si>
  <si>
    <t>简单</t>
  </si>
  <si>
    <t>&lt;ruby&gt;简单&lt;rt&gt;jiǎndān&lt;/rt&gt;&lt;/ruby&gt;</t>
  </si>
  <si>
    <t>jiǎndān</t>
  </si>
  <si>
    <t>Đơn giản</t>
  </si>
  <si>
    <r>
      <rPr>
        <sz val="11"/>
        <color theme="1"/>
        <rFont val="Calibri"/>
      </rPr>
      <t>这个内容比较</t>
    </r>
    <r>
      <rPr>
        <b/>
        <sz val="11"/>
        <color theme="1"/>
        <rFont val="Calibri"/>
      </rPr>
      <t>简单</t>
    </r>
    <r>
      <rPr>
        <sz val="11"/>
        <color theme="1"/>
        <rFont val="Calibri"/>
      </rPr>
      <t>。</t>
    </r>
  </si>
  <si>
    <t>Zhè gè nèiróng bǐjiào jiǎndān.</t>
  </si>
  <si>
    <t>Nội dung này tương đối đơn giản.</t>
  </si>
  <si>
    <t>H3_B2_BG_28.gif</t>
  </si>
  <si>
    <t>H3_B2_28.mp3</t>
  </si>
  <si>
    <t>H3_B2_VD_28.mp3</t>
  </si>
  <si>
    <t>初中</t>
  </si>
  <si>
    <t>&lt;ruby&gt;初中&lt;rt&gt;chūzhōng&lt;/rt&gt;&lt;/ruby&gt;</t>
  </si>
  <si>
    <t>chū zhōng</t>
  </si>
  <si>
    <t>Trường cấp 2</t>
  </si>
  <si>
    <r>
      <rPr>
        <sz val="11"/>
        <color theme="1"/>
        <rFont val="Calibri"/>
      </rPr>
      <t>我弟弟今年上</t>
    </r>
    <r>
      <rPr>
        <b/>
        <sz val="11"/>
        <color theme="1"/>
        <rFont val="Calibri"/>
      </rPr>
      <t>初中</t>
    </r>
    <r>
      <rPr>
        <sz val="11"/>
        <color theme="1"/>
        <rFont val="Calibri"/>
      </rPr>
      <t>了。</t>
    </r>
  </si>
  <si>
    <t>Wǒ dìdi jīnnián shàng chūzhōng le.</t>
  </si>
  <si>
    <t>Em trai tôi năm nay lên cấp 2 rồi.</t>
  </si>
  <si>
    <t>H3_B3_BG_1.png</t>
  </si>
  <si>
    <t>H3_B3_1.mp3</t>
  </si>
  <si>
    <t>H3_B3_VD_1.mp3</t>
  </si>
  <si>
    <t>咱们</t>
  </si>
  <si>
    <t>&lt;ruby&gt;咱们&lt;rt&gt;zánmen&lt;/rt&gt;&lt;/ruby&gt;</t>
  </si>
  <si>
    <t>zánmen</t>
  </si>
  <si>
    <t>Chúng ta, chúng tôi</t>
  </si>
  <si>
    <r>
      <rPr>
        <b/>
        <sz val="11"/>
        <color theme="1"/>
        <rFont val="Calibri"/>
      </rPr>
      <t>咱们</t>
    </r>
    <r>
      <rPr>
        <sz val="11"/>
        <color theme="1"/>
        <rFont val="Calibri"/>
      </rPr>
      <t>一起去上学吧！</t>
    </r>
  </si>
  <si>
    <t>Zánmen yīqǐ qù shàngxué ba!</t>
  </si>
  <si>
    <t>Chúng ta cùng đi học thôi!</t>
  </si>
  <si>
    <t>H3_B3_BG_2.gif</t>
  </si>
  <si>
    <t>H3_B3_2.mp3</t>
  </si>
  <si>
    <t>H3_B3_VD_2.mp3</t>
  </si>
  <si>
    <t>69eaeb81073744188a66f3e8</t>
  </si>
  <si>
    <t>换</t>
  </si>
  <si>
    <t>&lt;ruby&gt;换&lt;rt&gt;huàn&lt;/rt&gt;&lt;/ruby&gt;</t>
  </si>
  <si>
    <t>huàn</t>
  </si>
  <si>
    <t>Đổi, thay đổi</t>
  </si>
  <si>
    <r>
      <rPr>
        <sz val="11"/>
        <color theme="1"/>
        <rFont val="Calibri"/>
      </rPr>
      <t>你想</t>
    </r>
    <r>
      <rPr>
        <b/>
        <sz val="11"/>
        <color theme="1"/>
        <rFont val="Calibri"/>
      </rPr>
      <t>换</t>
    </r>
    <r>
      <rPr>
        <sz val="11"/>
        <color theme="1"/>
        <rFont val="Calibri"/>
      </rPr>
      <t>一件衣服吗？</t>
    </r>
  </si>
  <si>
    <t>Nǐ xiǎng huàn yí jiàn yīfu ma?</t>
  </si>
  <si>
    <t>Bạn muốn đổi một bộ quần áo khác không?</t>
  </si>
  <si>
    <t>H3_B3_BG_3.gif</t>
  </si>
  <si>
    <t>&lt;ruby&gt;房子&lt;rt&gt;fángzi&lt;/rt&gt;&lt;/ruby&gt;</t>
  </si>
  <si>
    <t>Căn nhà</t>
  </si>
  <si>
    <r>
      <rPr>
        <sz val="11"/>
        <color theme="1"/>
        <rFont val="Calibri"/>
      </rPr>
      <t>这是我的</t>
    </r>
    <r>
      <rPr>
        <b/>
        <sz val="11"/>
        <color theme="1"/>
        <rFont val="Calibri"/>
      </rPr>
      <t>房子</t>
    </r>
    <r>
      <rPr>
        <sz val="11"/>
        <color theme="1"/>
        <rFont val="Calibri"/>
      </rPr>
      <t>。</t>
    </r>
  </si>
  <si>
    <t>H3_B3_BG_4.gif</t>
  </si>
  <si>
    <t>H3_B3_4.mp3</t>
  </si>
  <si>
    <t>H3_B3_VD_4.mp3</t>
  </si>
  <si>
    <t>小区</t>
  </si>
  <si>
    <t>&lt;ruby&gt;小区&lt;rt&gt;xiǎoqū&lt;/rt&gt;&lt;/ruby&gt;</t>
  </si>
  <si>
    <t>xiǎo qū</t>
  </si>
  <si>
    <t>Khu dân cư</t>
  </si>
  <si>
    <r>
      <rPr>
        <sz val="11"/>
        <color theme="1"/>
        <rFont val="Calibri"/>
      </rPr>
      <t>我家就在这个</t>
    </r>
    <r>
      <rPr>
        <b/>
        <sz val="11"/>
        <color theme="1"/>
        <rFont val="Calibri"/>
      </rPr>
      <t>小区</t>
    </r>
    <r>
      <rPr>
        <sz val="11"/>
        <color theme="1"/>
        <rFont val="Calibri"/>
      </rPr>
      <t>里。</t>
    </r>
  </si>
  <si>
    <t>Wǒ jiā jiù zài zhège xiǎoqū lǐ.</t>
  </si>
  <si>
    <t>Nhà tôi ở trong khu dân cư này.</t>
  </si>
  <si>
    <t>H3_B3_BG_5.gif</t>
  </si>
  <si>
    <t>H3_B3_5.mp3</t>
  </si>
  <si>
    <t>H3_B3_VD_5.mp3</t>
  </si>
  <si>
    <t>环境</t>
  </si>
  <si>
    <t>&lt;ruby&gt;环境&lt;rt&gt;huánjìng&lt;/rt&gt;&lt;/ruby&gt;</t>
  </si>
  <si>
    <t>Môi trường</t>
  </si>
  <si>
    <r>
      <rPr>
        <sz val="11"/>
        <color theme="1"/>
        <rFont val="Calibri"/>
      </rPr>
      <t>我们要保护</t>
    </r>
    <r>
      <rPr>
        <b/>
        <sz val="11"/>
        <color theme="1"/>
        <rFont val="Calibri"/>
      </rPr>
      <t>环境</t>
    </r>
    <r>
      <rPr>
        <sz val="11"/>
        <color theme="1"/>
        <rFont val="Calibri"/>
      </rPr>
      <t>。</t>
    </r>
  </si>
  <si>
    <t>Wǒmen yào bǎohù huánjìng.</t>
  </si>
  <si>
    <t>Chúng ta phải bảo vệ môi trường.</t>
  </si>
  <si>
    <t>H3_B3_BG_6.gif</t>
  </si>
  <si>
    <t>H3_B3_6.mp3</t>
  </si>
  <si>
    <t>H3_B3_VD_6.mp3</t>
  </si>
  <si>
    <t>挺</t>
  </si>
  <si>
    <t>&lt;ruby&gt;挺&lt;rt&gt;tǐng&lt;/rt&gt;&lt;/ruby&gt;</t>
  </si>
  <si>
    <t>tǐng</t>
  </si>
  <si>
    <t xml:space="preserve">Rất </t>
  </si>
  <si>
    <r>
      <rPr>
        <sz val="11"/>
        <color theme="1"/>
        <rFont val="Calibri"/>
      </rPr>
      <t>我觉得这个建议</t>
    </r>
    <r>
      <rPr>
        <b/>
        <sz val="11"/>
        <color theme="1"/>
        <rFont val="Calibri"/>
      </rPr>
      <t>挺</t>
    </r>
    <r>
      <rPr>
        <sz val="11"/>
        <color theme="1"/>
        <rFont val="Calibri"/>
      </rPr>
      <t>不错的。</t>
    </r>
  </si>
  <si>
    <t>Wǒ juéde zhège jiànyi tǐng bùcuò de.</t>
  </si>
  <si>
    <t>Tôi thấy ý kiến này rất hay.</t>
  </si>
  <si>
    <t>H3_B3_BG_7.gif</t>
  </si>
  <si>
    <t>空调</t>
  </si>
  <si>
    <t>&lt;ruby&gt;空调&lt;rt&gt;kōngtiáo&lt;/rt&gt;&lt;/ruby&gt;</t>
  </si>
  <si>
    <t>kōngtiáo</t>
  </si>
  <si>
    <t>Máy điều hòa không khí</t>
  </si>
  <si>
    <r>
      <rPr>
        <sz val="11"/>
        <color theme="1"/>
        <rFont val="Calibri"/>
      </rPr>
      <t>我家刚买了一台新</t>
    </r>
    <r>
      <rPr>
        <b/>
        <sz val="11"/>
        <color theme="1"/>
        <rFont val="Calibri"/>
      </rPr>
      <t>空调</t>
    </r>
    <r>
      <rPr>
        <sz val="11"/>
        <color theme="1"/>
        <rFont val="Calibri"/>
      </rPr>
      <t>。</t>
    </r>
  </si>
  <si>
    <t>Wǒ jiā gāng mǎi le yī tái xīn kōngtiáo.</t>
  </si>
  <si>
    <t>Nhà tôi vừa mua một chiếc điều hòa mới.</t>
  </si>
  <si>
    <t>H3_B3_BG_8.gif</t>
  </si>
  <si>
    <t>H3_B3_8.mp3</t>
  </si>
  <si>
    <t>H3_B3_VD_8.mp3</t>
  </si>
  <si>
    <t>洗衣机</t>
  </si>
  <si>
    <t>&lt;ruby&gt;洗衣机&lt;rt&gt;xǐyījī&lt;/rt&gt;&lt;/ruby&gt;</t>
  </si>
  <si>
    <t>xǐ yī jī</t>
  </si>
  <si>
    <t>Máy giặt</t>
  </si>
  <si>
    <r>
      <rPr>
        <sz val="11"/>
        <color theme="1"/>
        <rFont val="Calibri"/>
      </rPr>
      <t>我把脏衣服放进</t>
    </r>
    <r>
      <rPr>
        <b/>
        <sz val="11"/>
        <color theme="1"/>
        <rFont val="Calibri"/>
      </rPr>
      <t>洗衣机</t>
    </r>
    <r>
      <rPr>
        <sz val="11"/>
        <color theme="1"/>
        <rFont val="Calibri"/>
      </rPr>
      <t>里。</t>
    </r>
  </si>
  <si>
    <t>Wǒ bǎ zāng yīfú fàng jìn xǐyījī lǐ.</t>
  </si>
  <si>
    <t>Tôi cho quần áo bẩn vào trong máy giặt.</t>
  </si>
  <si>
    <t>H3_B3_BG_9.gif</t>
  </si>
  <si>
    <t xml:space="preserve">层 </t>
  </si>
  <si>
    <t>&lt;ruby&gt;层&lt;rt&gt;céng&lt;/rt&gt;&lt;/ruby&gt;</t>
  </si>
  <si>
    <t>céng</t>
  </si>
  <si>
    <t>Tầng</t>
  </si>
  <si>
    <r>
      <rPr>
        <sz val="11"/>
        <color theme="1"/>
        <rFont val="Calibri"/>
      </rPr>
      <t>我家在三</t>
    </r>
    <r>
      <rPr>
        <b/>
        <sz val="11"/>
        <color theme="1"/>
        <rFont val="Calibri"/>
      </rPr>
      <t>层</t>
    </r>
    <r>
      <rPr>
        <sz val="11"/>
        <color theme="1"/>
        <rFont val="Calibri"/>
      </rPr>
      <t>。</t>
    </r>
  </si>
  <si>
    <t>Wǒ jiā zài sān céng.</t>
  </si>
  <si>
    <t>Nhà tôi ở tầng ba.</t>
  </si>
  <si>
    <t>H3_B3_BG_10.gif</t>
  </si>
  <si>
    <t>花园</t>
  </si>
  <si>
    <t>&lt;ruby&gt;花园&lt;rt&gt;huāyuán&lt;/rt&gt;&lt;/ruby&gt;</t>
  </si>
  <si>
    <t>huā yuán</t>
  </si>
  <si>
    <t>Vườn hoa</t>
  </si>
  <si>
    <r>
      <rPr>
        <sz val="11"/>
        <color theme="1"/>
        <rFont val="Calibri"/>
      </rPr>
      <t>这个</t>
    </r>
    <r>
      <rPr>
        <b/>
        <sz val="11"/>
        <color theme="1"/>
        <rFont val="Calibri"/>
      </rPr>
      <t>花园</t>
    </r>
    <r>
      <rPr>
        <sz val="11"/>
        <color theme="1"/>
        <rFont val="Calibri"/>
      </rPr>
      <t>里有很多美丽的花。</t>
    </r>
  </si>
  <si>
    <t>Zhège huāyuán lǐ yǒu hěn duō měilì de huā.</t>
  </si>
  <si>
    <t>Trong vườn hoa này có rất nhiều loài hoa xinh đẹp.</t>
  </si>
  <si>
    <t>H3_B3_BG_11.gif</t>
  </si>
  <si>
    <t>灯</t>
  </si>
  <si>
    <t>&lt;ruby&gt;灯&lt;rt&gt;dēng&lt;/rt&gt;&lt;/ruby&gt;</t>
  </si>
  <si>
    <t>dēng</t>
  </si>
  <si>
    <t>Đèn</t>
  </si>
  <si>
    <r>
      <rPr>
        <sz val="11"/>
        <color theme="1"/>
        <rFont val="Calibri"/>
      </rPr>
      <t>屋里有盏漂亮的</t>
    </r>
    <r>
      <rPr>
        <b/>
        <sz val="11"/>
        <color theme="1"/>
        <rFont val="Calibri"/>
      </rPr>
      <t>灯</t>
    </r>
    <r>
      <rPr>
        <sz val="11"/>
        <color theme="1"/>
        <rFont val="Calibri"/>
      </rPr>
      <t>。</t>
    </r>
  </si>
  <si>
    <t>Wū lǐ yǒu zhǎn piàoliang de dēng.</t>
  </si>
  <si>
    <t>Trong phòng có một chiếc đèn rất đẹp.</t>
  </si>
  <si>
    <t>H3_B3_BG_12.gif</t>
  </si>
  <si>
    <t xml:space="preserve">关 </t>
  </si>
  <si>
    <t>&lt;ruby&gt;关&lt;rt&gt;guān&lt;/rt&gt;&lt;/ruby&gt;</t>
  </si>
  <si>
    <t>guān</t>
  </si>
  <si>
    <t>Đóng</t>
  </si>
  <si>
    <r>
      <rPr>
        <sz val="11"/>
        <color theme="1"/>
        <rFont val="Calibri"/>
      </rPr>
      <t>请</t>
    </r>
    <r>
      <rPr>
        <b/>
        <sz val="11"/>
        <color theme="1"/>
        <rFont val="Calibri"/>
      </rPr>
      <t>关</t>
    </r>
    <r>
      <rPr>
        <sz val="11"/>
        <color theme="1"/>
        <rFont val="Calibri"/>
      </rPr>
      <t>门。</t>
    </r>
  </si>
  <si>
    <t>Qǐng guān mén.</t>
  </si>
  <si>
    <t>Vui lòng đóng cửa.</t>
  </si>
  <si>
    <t>H3_B3_BG_13.gif</t>
  </si>
  <si>
    <t>H3_B3_13.mp3</t>
  </si>
  <si>
    <t>H3_B3_VD_13.mp3</t>
  </si>
  <si>
    <t>冰箱</t>
  </si>
  <si>
    <t>&lt;ruby&gt;冰箱&lt;rt&gt;bīngxiāng&lt;/rt&gt;&lt;/ruby&gt;</t>
  </si>
  <si>
    <t>bīngxiāng</t>
  </si>
  <si>
    <t>Tủ lạnh</t>
  </si>
  <si>
    <r>
      <rPr>
        <b/>
        <sz val="11"/>
        <color theme="1"/>
        <rFont val="Calibri"/>
      </rPr>
      <t>冰箱</t>
    </r>
    <r>
      <rPr>
        <sz val="11"/>
        <color theme="1"/>
        <rFont val="Calibri"/>
      </rPr>
      <t>里剩下不多的食物。</t>
    </r>
  </si>
  <si>
    <t>Bīngxiāng lǐ shèngxià bù duō de shíwù.</t>
  </si>
  <si>
    <t>Trong tủ lạnh còn rất ít đồ ăn.</t>
  </si>
  <si>
    <t>H3_B3_BG_14.gif</t>
  </si>
  <si>
    <t>H3_B3_14.mp3</t>
  </si>
  <si>
    <t>H3_B3_VD_14.mp3</t>
  </si>
  <si>
    <t>卫生间</t>
  </si>
  <si>
    <t>&lt;ruby&gt;卫生间&lt;rt&gt;wèishēngjiān&lt;/rt&gt;&lt;/ruby&gt;</t>
  </si>
  <si>
    <t>wèishēngjiān</t>
  </si>
  <si>
    <r>
      <rPr>
        <sz val="11"/>
        <color theme="1"/>
        <rFont val="Calibri"/>
      </rPr>
      <t>我想去</t>
    </r>
    <r>
      <rPr>
        <b/>
        <sz val="11"/>
        <color theme="1"/>
        <rFont val="Calibri"/>
      </rPr>
      <t>卫生间</t>
    </r>
    <r>
      <rPr>
        <sz val="11"/>
        <color theme="1"/>
        <rFont val="Calibri"/>
      </rPr>
      <t>。</t>
    </r>
  </si>
  <si>
    <t>Wǒ xiǎng qù wèishēngjiān.</t>
  </si>
  <si>
    <t>Tôi muốn đi đến nhà vệ sinh.</t>
  </si>
  <si>
    <t>H3_B3_BG_15.gif</t>
  </si>
  <si>
    <t>H3_B3_15.mp3</t>
  </si>
  <si>
    <t>H3_B3_VD_15.mp3</t>
  </si>
  <si>
    <t>打扫</t>
  </si>
  <si>
    <t>&lt;ruby&gt;打扫&lt;rt&gt;dǎsǎo&lt;/rt&gt;&lt;/ruby&gt;</t>
  </si>
  <si>
    <t>dǎsǎo</t>
  </si>
  <si>
    <t>Quét dọn</t>
  </si>
  <si>
    <r>
      <rPr>
        <sz val="11"/>
        <color theme="1"/>
        <rFont val="Calibri"/>
      </rPr>
      <t>她把房间</t>
    </r>
    <r>
      <rPr>
        <b/>
        <sz val="11"/>
        <color theme="1"/>
        <rFont val="Calibri"/>
      </rPr>
      <t>打扫</t>
    </r>
    <r>
      <rPr>
        <sz val="11"/>
        <color theme="1"/>
        <rFont val="Calibri"/>
      </rPr>
      <t>得很干净。</t>
    </r>
  </si>
  <si>
    <t>Tā bǎ fángjiān dǎsǎo de hěn gānjìng.</t>
  </si>
  <si>
    <t>Cô ấy dọn dẹp nhà sạch sẽ.</t>
  </si>
  <si>
    <t>H3_B3_BG_16.gif</t>
  </si>
  <si>
    <t>H3_B3_16.mp3</t>
  </si>
  <si>
    <t>H3_B3_VD_16.mp3</t>
  </si>
  <si>
    <t>搬家</t>
  </si>
  <si>
    <t>&lt;ruby&gt;搬家&lt;rt&gt;bānjiā&lt;/rt&gt;&lt;/ruby&gt;</t>
  </si>
  <si>
    <t>bān jiā</t>
  </si>
  <si>
    <t>Chuyển (nhà)</t>
  </si>
  <si>
    <r>
      <rPr>
        <sz val="11"/>
        <color theme="1"/>
        <rFont val="Calibri"/>
      </rPr>
      <t>我们下个月</t>
    </r>
    <r>
      <rPr>
        <b/>
        <sz val="11"/>
        <color theme="1"/>
        <rFont val="Calibri"/>
      </rPr>
      <t>搬家</t>
    </r>
    <r>
      <rPr>
        <sz val="11"/>
        <color theme="1"/>
        <rFont val="Calibri"/>
      </rPr>
      <t>。</t>
    </r>
  </si>
  <si>
    <t>Wǒmen xià gè yuè bānjiā.</t>
  </si>
  <si>
    <t>Chúng tôi sẽ chuyển nhà vào tháng tới.</t>
  </si>
  <si>
    <t>H3_B3_BG_17.gif</t>
  </si>
  <si>
    <t>H3_B3_17.mp3</t>
  </si>
  <si>
    <t>H3_B3_VD_17.mp3</t>
  </si>
  <si>
    <t xml:space="preserve">办 </t>
  </si>
  <si>
    <t>&lt;ruby&gt;办&lt;rt&gt;bàn&lt;/rt&gt;&lt;/ruby&gt;</t>
  </si>
  <si>
    <t>Làm (tổ chức)</t>
  </si>
  <si>
    <r>
      <rPr>
        <sz val="11"/>
        <color theme="1"/>
        <rFont val="Calibri"/>
      </rPr>
      <t>我要去银行</t>
    </r>
    <r>
      <rPr>
        <b/>
        <sz val="11"/>
        <color theme="1"/>
        <rFont val="Calibri"/>
      </rPr>
      <t>办</t>
    </r>
    <r>
      <rPr>
        <sz val="11"/>
        <color theme="1"/>
        <rFont val="Calibri"/>
      </rPr>
      <t>一张卡。</t>
    </r>
  </si>
  <si>
    <t>Wǒ yào qù yínháng bàn yī zhāng kǎ.</t>
  </si>
  <si>
    <t>Tôi muốn đến ngân hàng làm một cái thẻ.</t>
  </si>
  <si>
    <t>H3_B3_BG_18.gif</t>
  </si>
  <si>
    <t>H3_B3_18.mp3</t>
  </si>
  <si>
    <t>H3_B3_VD_18.mp3</t>
  </si>
  <si>
    <t>信用卡</t>
  </si>
  <si>
    <t>&lt;ruby&gt;信用卡&lt;rt&gt;xìnyòngkǎ&lt;/rt&gt;&lt;/ruby&gt;</t>
  </si>
  <si>
    <t>xìnyòngkǎ</t>
  </si>
  <si>
    <t>Thẻ tín dụng</t>
  </si>
  <si>
    <r>
      <rPr>
        <sz val="11"/>
        <color theme="1"/>
        <rFont val="Calibri"/>
      </rPr>
      <t>他用</t>
    </r>
    <r>
      <rPr>
        <b/>
        <sz val="11"/>
        <color theme="1"/>
        <rFont val="Calibri"/>
      </rPr>
      <t>信用卡</t>
    </r>
    <r>
      <rPr>
        <sz val="11"/>
        <color theme="1"/>
        <rFont val="Calibri"/>
      </rPr>
      <t>支付了账单。</t>
    </r>
  </si>
  <si>
    <t>Tā yòng xìnyòngkǎ zhīfù le zhàngdān.</t>
  </si>
  <si>
    <t>Anh ấy dùng thẻ tín dụng để thanh toán.</t>
  </si>
  <si>
    <t>H3_B3_BG_19.gif</t>
  </si>
  <si>
    <t>H3_B3_19.mp3</t>
  </si>
  <si>
    <t>H3_B3_VD_19.mp3</t>
  </si>
  <si>
    <t xml:space="preserve">还 </t>
  </si>
  <si>
    <t>&lt;ruby&gt;还&lt;rt&gt;huán&lt;/rt&gt;&lt;/ruby&gt;</t>
  </si>
  <si>
    <t>huán</t>
  </si>
  <si>
    <t>Trả</t>
  </si>
  <si>
    <r>
      <rPr>
        <sz val="11"/>
        <color theme="1"/>
        <rFont val="Calibri"/>
      </rPr>
      <t>我把这本书</t>
    </r>
    <r>
      <rPr>
        <b/>
        <sz val="11"/>
        <color theme="1"/>
        <rFont val="Calibri"/>
      </rPr>
      <t>还</t>
    </r>
    <r>
      <rPr>
        <sz val="11"/>
        <color theme="1"/>
        <rFont val="Calibri"/>
      </rPr>
      <t>给图书馆了。</t>
    </r>
  </si>
  <si>
    <t>Wǒ bǎ zhè běn shū huán gěi túshūguǎn le.</t>
  </si>
  <si>
    <t>Tôi đã trả sách cho thư viện rồi.</t>
  </si>
  <si>
    <t>H3_B3_BG_20.gif</t>
  </si>
  <si>
    <t>H3_B3_20.mp3</t>
  </si>
  <si>
    <t>H3_B3_VD_20.mp3</t>
  </si>
  <si>
    <t>听说</t>
  </si>
  <si>
    <t>&lt;ruby&gt;听说&lt;rt&gt;tīngshuō&lt;/rt&gt;&lt;/ruby&gt;</t>
  </si>
  <si>
    <t>tīng shuō</t>
  </si>
  <si>
    <t>Nghe nói</t>
  </si>
  <si>
    <r>
      <rPr>
        <b/>
        <sz val="11"/>
        <color theme="1"/>
        <rFont val="Calibri"/>
      </rPr>
      <t>听说</t>
    </r>
    <r>
      <rPr>
        <sz val="11"/>
        <color theme="1"/>
        <rFont val="Calibri"/>
      </rPr>
      <t>他下个星期要回国了。</t>
    </r>
  </si>
  <si>
    <t>Tīngshuō tā xià gè xīngqī yào huí guó le.</t>
  </si>
  <si>
    <t>Nghe nói tuần sau anh ấy sẽ về nước</t>
  </si>
  <si>
    <t>H3_B3_BG_21.gif</t>
  </si>
  <si>
    <t>H3_B3_21.mp3</t>
  </si>
  <si>
    <t>H3_B3_VD_21.mp3</t>
  </si>
  <si>
    <t>银行</t>
  </si>
  <si>
    <t>&lt;ruby&gt;银行&lt;rt&gt;yínháng&lt;/rt&gt;&lt;/ruby&gt;</t>
  </si>
  <si>
    <t>yínháng</t>
  </si>
  <si>
    <t>Ngân hàng</t>
  </si>
  <si>
    <r>
      <rPr>
        <sz val="11"/>
        <color theme="1"/>
        <rFont val="Calibri"/>
      </rPr>
      <t>她在离家很近的</t>
    </r>
    <r>
      <rPr>
        <b/>
        <sz val="11"/>
        <color theme="1"/>
        <rFont val="Calibri"/>
      </rPr>
      <t>银行</t>
    </r>
    <r>
      <rPr>
        <sz val="11"/>
        <color theme="1"/>
        <rFont val="Calibri"/>
      </rPr>
      <t>工作。</t>
    </r>
  </si>
  <si>
    <t>Tā zài lí jiā hěn jìn de yínháng gōngzuò.</t>
  </si>
  <si>
    <t>Cô ấy làm việc ở ngân hàng gần nhà.</t>
  </si>
  <si>
    <t>H3_B3_BG_22.gif</t>
  </si>
  <si>
    <t>H3_B3_22.mp3</t>
  </si>
  <si>
    <t>H3_B3_VD_22.mp3</t>
  </si>
  <si>
    <t>才</t>
  </si>
  <si>
    <t>&lt;ruby&gt;才&lt;rt&gt;cái&lt;/rt&gt;&lt;/ruby&gt;</t>
  </si>
  <si>
    <t>cái</t>
  </si>
  <si>
    <t>Mới</t>
  </si>
  <si>
    <r>
      <rPr>
        <sz val="11"/>
        <color theme="1"/>
        <rFont val="Calibri"/>
      </rPr>
      <t>他九点</t>
    </r>
    <r>
      <rPr>
        <b/>
        <sz val="11"/>
        <color theme="1"/>
        <rFont val="Calibri"/>
      </rPr>
      <t>才</t>
    </r>
    <r>
      <rPr>
        <sz val="11"/>
        <color theme="1"/>
        <rFont val="Calibri"/>
      </rPr>
      <t>起床。</t>
    </r>
  </si>
  <si>
    <t>Tā jiǔ diǎn cái qǐchuáng.</t>
  </si>
  <si>
    <t>9 giờ anh ấy mới thức dậy.</t>
  </si>
  <si>
    <t>H3_B3_BG_23.gif</t>
  </si>
  <si>
    <t>H3_B3_23.mp3</t>
  </si>
  <si>
    <t>H3_B3_VD_23.mp3</t>
  </si>
  <si>
    <t>纸</t>
  </si>
  <si>
    <t>&lt;ruby&gt;纸&lt;rt&gt;Zhǐ&lt;/rt&gt;&lt;/ruby&gt;</t>
  </si>
  <si>
    <t>Giấy</t>
  </si>
  <si>
    <r>
      <rPr>
        <sz val="11"/>
        <color theme="1"/>
        <rFont val="Calibri"/>
      </rPr>
      <t>我要买几张</t>
    </r>
    <r>
      <rPr>
        <b/>
        <sz val="11"/>
        <color theme="1"/>
        <rFont val="Calibri"/>
      </rPr>
      <t>纸</t>
    </r>
    <r>
      <rPr>
        <sz val="11"/>
        <color theme="1"/>
        <rFont val="Calibri"/>
      </rPr>
      <t>。</t>
    </r>
  </si>
  <si>
    <t>Wǒ yào mǎi jǐ zhāng Zhǐ.</t>
  </si>
  <si>
    <t>Tôi muốn mua vài tờ giấy.</t>
  </si>
  <si>
    <t>H3_B3_BG_24.gif</t>
  </si>
  <si>
    <t>H3_B3_24.mp3</t>
  </si>
  <si>
    <t>H3_B3_VD_24.mp3</t>
  </si>
  <si>
    <t xml:space="preserve">搬 </t>
  </si>
  <si>
    <t>&lt;ruby&gt;搬&lt;rt&gt;bān&lt;/rt&gt;&lt;/ruby&gt;</t>
  </si>
  <si>
    <t>我们下周搬家。</t>
  </si>
  <si>
    <t>Wǒmen xià zhōu bānjiā.</t>
  </si>
  <si>
    <t>Tuần sau chúng tôi chuyển nhà.</t>
  </si>
  <si>
    <t>H3_B3_BG_25.gif</t>
  </si>
  <si>
    <t>H3_B3_25.mp3</t>
  </si>
  <si>
    <t>H3_B3_VD_25.mp3</t>
  </si>
  <si>
    <t>需要</t>
  </si>
  <si>
    <t>&lt;ruby&gt;需要&lt;rt&gt;xūyào&lt;/rt&gt;&lt;/ruby&gt;</t>
  </si>
  <si>
    <t>xūyào</t>
  </si>
  <si>
    <t>Cần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</si>
  <si>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需要</t>
    </r>
    <r>
      <rPr>
        <sz val="11"/>
        <color theme="1"/>
        <rFont val="Calibri"/>
      </rPr>
      <t>一杯奶茶。</t>
    </r>
  </si>
  <si>
    <t>Wǒ xūyào yī bēi nǎichá.</t>
  </si>
  <si>
    <t>Tôi cần một cốc trà sữa.</t>
  </si>
  <si>
    <t>H3_B3_BG_26.gif</t>
  </si>
  <si>
    <t>H3_B3_26.mp3</t>
  </si>
  <si>
    <t>H3_B3_VD_26.mp3</t>
  </si>
  <si>
    <t>假期</t>
  </si>
  <si>
    <t>&lt;ruby&gt;假期&lt;rt&gt;jiàqī&lt;/rt&gt;&lt;/ruby&gt;</t>
  </si>
  <si>
    <t>jià qī</t>
  </si>
  <si>
    <t>Kỳ nghỉ</t>
  </si>
  <si>
    <r>
      <rPr>
        <sz val="11"/>
        <color theme="1"/>
        <rFont val="Calibri"/>
      </rPr>
      <t>我计划</t>
    </r>
    <r>
      <rPr>
        <b/>
        <sz val="11"/>
        <color theme="1"/>
        <rFont val="Calibri"/>
      </rPr>
      <t>假期</t>
    </r>
    <r>
      <rPr>
        <sz val="11"/>
        <color theme="1"/>
        <rFont val="Calibri"/>
      </rPr>
      <t>去海边玩。</t>
    </r>
  </si>
  <si>
    <t>Wǒ Jìhuà jiàqī qù hǎi biān wán.</t>
  </si>
  <si>
    <t>Tôi dự định đi biển chơi vào kỳ nghỉ.</t>
  </si>
  <si>
    <t>H3_B4_BG_1.gif</t>
  </si>
  <si>
    <t>H3_B4_1.mp3</t>
  </si>
  <si>
    <t>H3_B4_VD_1.mp3</t>
  </si>
  <si>
    <t>海</t>
  </si>
  <si>
    <t>&lt;ruby&gt;海&lt;rt&gt;hǎi&lt;/rt&gt;&lt;/ruby&gt;</t>
  </si>
  <si>
    <t>hǎi</t>
  </si>
  <si>
    <t>Biển</t>
  </si>
  <si>
    <r>
      <rPr>
        <sz val="11"/>
        <color theme="1"/>
        <rFont val="Calibri"/>
      </rPr>
      <t>我喜欢看</t>
    </r>
    <r>
      <rPr>
        <b/>
        <sz val="11"/>
        <color theme="1"/>
        <rFont val="Calibri"/>
      </rPr>
      <t>海</t>
    </r>
    <r>
      <rPr>
        <sz val="11"/>
        <color theme="1"/>
        <rFont val="Calibri"/>
      </rPr>
      <t>。</t>
    </r>
  </si>
  <si>
    <t>Wǒ xǐhuān kàn hǎi.</t>
  </si>
  <si>
    <t>Tôi thích ngắm biển.</t>
  </si>
  <si>
    <t>H3_B4_BG_2.gif</t>
  </si>
  <si>
    <t>H3_B4_2.mp3</t>
  </si>
  <si>
    <t>H3_B4_VD_2.mp3</t>
  </si>
  <si>
    <t>69eaeb81073744188a66f3e9</t>
  </si>
  <si>
    <t>草原</t>
  </si>
  <si>
    <t>&lt;ruby&gt;草原&lt;rt&gt;cǎoyuán&lt;/rt&gt;&lt;/ruby&gt;</t>
  </si>
  <si>
    <t>cǎo yuán</t>
  </si>
  <si>
    <t>Thảo nguyên</t>
  </si>
  <si>
    <r>
      <rPr>
        <b/>
        <sz val="11"/>
        <color theme="1"/>
        <rFont val="Calibri"/>
      </rPr>
      <t>草原</t>
    </r>
    <r>
      <rPr>
        <sz val="11"/>
        <color theme="1"/>
        <rFont val="Calibri"/>
      </rPr>
      <t>上有很多羊。</t>
    </r>
  </si>
  <si>
    <t>Cǎoyuán shàng yǒu hěn duō yáng.</t>
  </si>
  <si>
    <t>Trên thảo nguyên có rất nhiều cừu.</t>
  </si>
  <si>
    <t>H3_B4_BG_3.gif</t>
  </si>
  <si>
    <t>H3_B4_3.mp3</t>
  </si>
  <si>
    <t>H3_B4_VD_3.mp3</t>
  </si>
  <si>
    <t>主意</t>
  </si>
  <si>
    <t>&lt;ruby&gt;主意&lt;rt&gt;zhǔyì&lt;/rt&gt;&lt;/ruby&gt;</t>
  </si>
  <si>
    <t>zhǔyì</t>
  </si>
  <si>
    <t>Ý định, ý kiến</t>
  </si>
  <si>
    <r>
      <rPr>
        <sz val="11"/>
        <color theme="1"/>
        <rFont val="Calibri"/>
      </rPr>
      <t>我有一个好</t>
    </r>
    <r>
      <rPr>
        <b/>
        <sz val="11"/>
        <color theme="1"/>
        <rFont val="Calibri"/>
      </rPr>
      <t>主意</t>
    </r>
    <r>
      <rPr>
        <sz val="11"/>
        <color theme="1"/>
        <rFont val="Calibri"/>
      </rPr>
      <t>！</t>
    </r>
  </si>
  <si>
    <t>Wǒ yǒu yī gè hǎo zhǔyì!</t>
  </si>
  <si>
    <t>Tôi có một ý kiến hay!</t>
  </si>
  <si>
    <t>H3_B4_BG_4.gif</t>
  </si>
  <si>
    <t>H3_B4_4.mp3</t>
  </si>
  <si>
    <t>H3_B4_VD_4.mp3</t>
  </si>
  <si>
    <t>骑</t>
  </si>
  <si>
    <t>&lt;ruby&gt;骑&lt;rt&gt;qí&lt;/rt&gt;&lt;/ruby&gt;</t>
  </si>
  <si>
    <t>qí</t>
  </si>
  <si>
    <t>Đi (xe đạp, xe máy), cưỡi (ngựa)</t>
  </si>
  <si>
    <r>
      <rPr>
        <sz val="11"/>
        <color theme="1"/>
        <rFont val="Calibri"/>
      </rPr>
      <t>我学会了</t>
    </r>
    <r>
      <rPr>
        <b/>
        <sz val="11"/>
        <color theme="1"/>
        <rFont val="Calibri"/>
      </rPr>
      <t>骑</t>
    </r>
    <r>
      <rPr>
        <sz val="11"/>
        <color theme="1"/>
        <rFont val="Calibri"/>
      </rPr>
      <t>马。</t>
    </r>
  </si>
  <si>
    <t>Wǒ xuéhuì le qímǎ.</t>
  </si>
  <si>
    <t>Tôi đã học cưỡi ngựa.</t>
  </si>
  <si>
    <t>H3_B4_BG_5.gif</t>
  </si>
  <si>
    <t>H3_B4_5.mp3</t>
  </si>
  <si>
    <t>H3_B4_VD_5.mp3</t>
  </si>
  <si>
    <t xml:space="preserve">马 </t>
  </si>
  <si>
    <t>&lt;ruby&gt;马&lt;rt&gt;mǎ&lt;/rt&gt;&lt;/ruby&gt;</t>
  </si>
  <si>
    <t>mǎ</t>
  </si>
  <si>
    <t>Ngựa</t>
  </si>
  <si>
    <r>
      <rPr>
        <sz val="11"/>
        <color theme="1"/>
        <rFont val="Calibri"/>
      </rPr>
      <t>这是一匹</t>
    </r>
    <r>
      <rPr>
        <b/>
        <sz val="11"/>
        <color theme="1"/>
        <rFont val="Calibri"/>
      </rPr>
      <t>马</t>
    </r>
    <r>
      <rPr>
        <sz val="11"/>
        <color theme="1"/>
        <rFont val="Calibri"/>
      </rPr>
      <t>。</t>
    </r>
  </si>
  <si>
    <t>Zhè shì yī pǐ mǎ.</t>
  </si>
  <si>
    <t>Đây là một con ngựa.</t>
  </si>
  <si>
    <t>H3_B4_BG_6.gif</t>
  </si>
  <si>
    <t>H3_B4_6.mp3</t>
  </si>
  <si>
    <t>H3_B4_VD_6.mp3</t>
  </si>
  <si>
    <t>羊</t>
  </si>
  <si>
    <t>&lt;ruby&gt;羊&lt;rt&gt;yáng&lt;/rt&gt;&lt;/ruby&gt;</t>
  </si>
  <si>
    <t>yáng</t>
  </si>
  <si>
    <t>Cừu</t>
  </si>
  <si>
    <r>
      <rPr>
        <sz val="11"/>
        <color theme="1"/>
        <rFont val="Calibri"/>
      </rPr>
      <t>草原上有很多</t>
    </r>
    <r>
      <rPr>
        <b/>
        <sz val="11"/>
        <color theme="1"/>
        <rFont val="Calibri"/>
      </rPr>
      <t>羊</t>
    </r>
    <r>
      <rPr>
        <sz val="11"/>
        <color theme="1"/>
        <rFont val="Calibri"/>
      </rPr>
      <t>。</t>
    </r>
  </si>
  <si>
    <t>Trên đồng cỏ có rất nhiều cừu.</t>
  </si>
  <si>
    <t>H3_B4_BG_7.gif</t>
  </si>
  <si>
    <t>H3_B4_7.mp3</t>
  </si>
  <si>
    <t>H3_B4_VD_7.mp3</t>
  </si>
  <si>
    <t>月亮</t>
  </si>
  <si>
    <t>&lt;ruby&gt;月亮&lt;rt&gt;yuèliang&lt;/rt&gt;&lt;/ruby&gt;</t>
  </si>
  <si>
    <t>yuèliang</t>
  </si>
  <si>
    <t>Mặt trăng</t>
  </si>
  <si>
    <r>
      <rPr>
        <sz val="11"/>
        <color theme="1"/>
        <rFont val="Calibri"/>
      </rPr>
      <t>今晚的</t>
    </r>
    <r>
      <rPr>
        <b/>
        <sz val="11"/>
        <color theme="1"/>
        <rFont val="Calibri"/>
      </rPr>
      <t>月亮</t>
    </r>
    <r>
      <rPr>
        <sz val="11"/>
        <color theme="1"/>
        <rFont val="Calibri"/>
      </rPr>
      <t>真亮啊！</t>
    </r>
  </si>
  <si>
    <t>Jīnwǎn de yuèliàng zhēn liàng a!</t>
  </si>
  <si>
    <t>Ánh trăng đêm nay sáng thật!</t>
  </si>
  <si>
    <t>H3_B4_BG_8.gif</t>
  </si>
  <si>
    <t>H3_B4_8.mp3</t>
  </si>
  <si>
    <t>H3_B4_VD_8.mp3</t>
  </si>
  <si>
    <t>一定</t>
  </si>
  <si>
    <t>&lt;ruby&gt;一定&lt;rt&gt;yí dìng&lt;/rt&gt;&lt;/ruby&gt;</t>
  </si>
  <si>
    <t>yí dìng</t>
  </si>
  <si>
    <t xml:space="preserve">Nhất định, chắc chắn 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</si>
  <si>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一定</t>
    </r>
    <r>
      <rPr>
        <sz val="11"/>
        <color theme="1"/>
        <rFont val="Calibri"/>
      </rPr>
      <t>会努力学习的。</t>
    </r>
  </si>
  <si>
    <t>Wǒ yídìng huì nǔlì xuéxí de.</t>
  </si>
  <si>
    <t>Tôi nhất định sẽ học hành chăm chỉ.</t>
  </si>
  <si>
    <t>H3_B4_BG_9.gif</t>
  </si>
  <si>
    <t>H3_B4_9.mp3</t>
  </si>
  <si>
    <t>H3_B4_VD_9.mp3</t>
  </si>
  <si>
    <t>刻</t>
  </si>
  <si>
    <t>&lt;ruby&gt;刻&lt;rt&gt;kè&lt;/rt&gt;&lt;/ruby&gt;</t>
  </si>
  <si>
    <t>Khắc (15 phút)</t>
  </si>
  <si>
    <r>
      <rPr>
        <sz val="11"/>
        <color theme="1"/>
        <rFont val="Calibri"/>
      </rPr>
      <t>现在是七点一</t>
    </r>
    <r>
      <rPr>
        <b/>
        <sz val="11"/>
        <color theme="1"/>
        <rFont val="Calibri"/>
      </rPr>
      <t>刻</t>
    </r>
    <r>
      <rPr>
        <sz val="11"/>
        <color theme="1"/>
        <rFont val="Calibri"/>
      </rPr>
      <t>，女孩刚起床，非常开心。</t>
    </r>
  </si>
  <si>
    <t>Xiànzài shì qī diǎn yí kè, nǚhái gāng qǐchuáng, fēicháng kāixīn.</t>
  </si>
  <si>
    <t>Bây giờ là bảy giờ mười lăm phút, cô bé vừa mới thức dậy, rất vui vẻ.</t>
  </si>
  <si>
    <t>H3_B4_BG_10.gif</t>
  </si>
  <si>
    <t>H3_B4_10.mp3</t>
  </si>
  <si>
    <t>H3_B4_VD_10.mp3</t>
  </si>
  <si>
    <t>起飞</t>
  </si>
  <si>
    <t>&lt;ruby&gt;起飞&lt;rt&gt;qǐfēi&lt;/rt&gt;&lt;/ruby&gt;</t>
  </si>
  <si>
    <t>qǐfēi</t>
  </si>
  <si>
    <t>Cất cánh (máy bay)</t>
  </si>
  <si>
    <r>
      <rPr>
        <sz val="11"/>
        <color theme="1"/>
        <rFont val="Calibri"/>
      </rPr>
      <t>飞机快要</t>
    </r>
    <r>
      <rPr>
        <b/>
        <sz val="11"/>
        <color theme="1"/>
        <rFont val="Calibri"/>
      </rPr>
      <t>起飞</t>
    </r>
    <r>
      <rPr>
        <sz val="11"/>
        <color theme="1"/>
        <rFont val="Calibri"/>
      </rPr>
      <t>了。</t>
    </r>
  </si>
  <si>
    <t>Fēijī kuàiyào qǐfēi le.</t>
  </si>
  <si>
    <t>Máy bay sắp cất cánh rồi.</t>
  </si>
  <si>
    <t>H3_B4_BG_11.gif</t>
  </si>
  <si>
    <t>H3_B4_11.mp3</t>
  </si>
  <si>
    <t>H3_B4_VD_11.mp3</t>
  </si>
  <si>
    <t>冰棺</t>
  </si>
  <si>
    <t>&lt;ruby&gt;冰棺&lt;rt&gt;bīngguān&lt;/rt&gt;&lt;/ruby&gt;</t>
  </si>
  <si>
    <t>bīng guān</t>
  </si>
  <si>
    <t>我们住在一个很漂亮的宾馆里。</t>
  </si>
  <si>
    <t>Wǒmen zhù zài yī gè hěn piàoliang de bīnguǎn lǐ.</t>
  </si>
  <si>
    <t>Chúng tôi ở trong một khách sạn rất đẹp.</t>
  </si>
  <si>
    <t>H3_B4_BG_12.gif</t>
  </si>
  <si>
    <t>H3_B4_12.mp3</t>
  </si>
  <si>
    <t>H3_B4_VD_12.mp3</t>
  </si>
  <si>
    <t>特别</t>
  </si>
  <si>
    <t>&lt;ruby&gt;特别&lt;rt&gt;tè bié&lt;/rt&gt;&lt;/ruby&gt;</t>
  </si>
  <si>
    <t>tè bié</t>
  </si>
  <si>
    <t xml:space="preserve">Vô cùng, rất, đặc biệt </t>
  </si>
  <si>
    <r>
      <rPr>
        <sz val="11"/>
        <color theme="1"/>
        <rFont val="Calibri"/>
      </rPr>
      <t>我家人</t>
    </r>
    <r>
      <rPr>
        <b/>
        <sz val="11"/>
        <color theme="1"/>
        <rFont val="Calibri"/>
      </rPr>
      <t>特别</t>
    </r>
    <r>
      <rPr>
        <sz val="11"/>
        <color theme="1"/>
        <rFont val="Calibri"/>
      </rPr>
      <t>喜欢看电影，尤其是喜剧片。</t>
    </r>
  </si>
  <si>
    <t>Wǒ jiārén tèbié xǐhuan kàn diànyǐng, yóuqí shì xǐjù piàn.</t>
  </si>
  <si>
    <t>Gia đình tôi vô cùng thích xem phim, đặc biệt là phim hài.</t>
  </si>
  <si>
    <t>H3_B4_BG_13.gif</t>
  </si>
  <si>
    <t>别的</t>
  </si>
  <si>
    <t>&lt;ruby&gt;别的&lt;rt&gt;biéde&lt;/rt&gt;&lt;/ruby&gt;</t>
  </si>
  <si>
    <t>bié de</t>
  </si>
  <si>
    <t>Cái khác</t>
  </si>
  <si>
    <r>
      <rPr>
        <sz val="11"/>
        <color theme="1"/>
        <rFont val="Calibri"/>
      </rPr>
      <t>我们聊点</t>
    </r>
    <r>
      <rPr>
        <b/>
        <sz val="11"/>
        <color theme="1"/>
        <rFont val="Calibri"/>
      </rPr>
      <t>别的</t>
    </r>
    <r>
      <rPr>
        <sz val="11"/>
        <color theme="1"/>
        <rFont val="Calibri"/>
      </rPr>
      <t>吧。</t>
    </r>
  </si>
  <si>
    <t>Wǒmen liáo diǎn biéde ba.</t>
  </si>
  <si>
    <t>Chúng ta nói chuyện khác đi.</t>
  </si>
  <si>
    <t>H3_B4_BG_14.gif</t>
  </si>
  <si>
    <t>H3_B4_14.mp3</t>
  </si>
  <si>
    <t>H3_B4_VD_14.mp3</t>
  </si>
  <si>
    <t>一样</t>
  </si>
  <si>
    <t>&lt;ruby&gt;一样&lt;rt&gt;yí yàng&lt;/rt&gt;&lt;/ruby&gt;</t>
  </si>
  <si>
    <t>yí yàng</t>
  </si>
  <si>
    <t xml:space="preserve">Giống nhau, như nhau </t>
  </si>
  <si>
    <r>
      <rPr>
        <sz val="11"/>
        <color theme="1"/>
        <rFont val="Calibri"/>
      </rPr>
      <t>你的手链和我的一模</t>
    </r>
    <r>
      <rPr>
        <b/>
        <sz val="11"/>
        <color theme="1"/>
        <rFont val="Calibri"/>
      </rPr>
      <t>一样</t>
    </r>
    <r>
      <rPr>
        <sz val="11"/>
        <color theme="1"/>
        <rFont val="Calibri"/>
      </rPr>
      <t>。</t>
    </r>
  </si>
  <si>
    <t>Nǐ de shǒuliàn hé wǒ de yímó yíyàng.</t>
  </si>
  <si>
    <t>Cái vòng của bạn giống y hệt của tôi.</t>
  </si>
  <si>
    <t>H3_B4_BG_15.gif</t>
  </si>
  <si>
    <t>H3_B4_15.mp3</t>
  </si>
  <si>
    <t>H3_B4_VD_15.mp3</t>
  </si>
  <si>
    <t>牛</t>
  </si>
  <si>
    <t>&lt;ruby&gt;牛&lt;rt&gt;niú&lt;/rt&gt;&lt;/ruby&gt;</t>
  </si>
  <si>
    <t>niú</t>
  </si>
  <si>
    <t>Con trâu</t>
  </si>
  <si>
    <r>
      <rPr>
        <b/>
        <sz val="11"/>
        <color theme="1"/>
        <rFont val="Calibri"/>
      </rPr>
      <t>牛</t>
    </r>
    <r>
      <rPr>
        <sz val="11"/>
        <color theme="1"/>
        <rFont val="Calibri"/>
      </rPr>
      <t>在吃草。</t>
    </r>
  </si>
  <si>
    <t>Niú zài chī cǎo.</t>
  </si>
  <si>
    <t>Con trâu đang ăn cỏ.</t>
  </si>
  <si>
    <t>H3_B4_BG_16.gif</t>
  </si>
  <si>
    <t>H3_B4_16.mp3</t>
  </si>
  <si>
    <t>H3_B4_VD_16.mp3</t>
  </si>
  <si>
    <t>相机</t>
  </si>
  <si>
    <t>&lt;ruby&gt;相机&lt;rt&gt;xiàngjī&lt;/rt&gt;&lt;/ruby&gt;</t>
  </si>
  <si>
    <t>xiàng jī</t>
  </si>
  <si>
    <t>Máy ảnh</t>
  </si>
  <si>
    <r>
      <rPr>
        <sz val="11"/>
        <color theme="1"/>
        <rFont val="Calibri"/>
      </rPr>
      <t>我用</t>
    </r>
    <r>
      <rPr>
        <b/>
        <sz val="11"/>
        <color theme="1"/>
        <rFont val="Calibri"/>
      </rPr>
      <t>相机</t>
    </r>
    <r>
      <rPr>
        <sz val="11"/>
        <color theme="1"/>
        <rFont val="Calibri"/>
      </rPr>
      <t>拍了一张照片。</t>
    </r>
  </si>
  <si>
    <t>Wǒ yòng xiàngjī pāi le yī zhāng zhàopiàn.</t>
  </si>
  <si>
    <t>Tôi đã dùng máy ảnh chụp một bức ảnh.</t>
  </si>
  <si>
    <t>H3_B4_BG_17.gif</t>
  </si>
  <si>
    <t>H3_B4_17.mp3</t>
  </si>
  <si>
    <t>H3_B4_VD_17.mp3</t>
  </si>
  <si>
    <t>欢迎</t>
  </si>
  <si>
    <t>&lt;ruby&gt;欢迎&lt;rt&gt;huānyíng&lt;/rt&gt;&lt;/ruby&gt;</t>
  </si>
  <si>
    <t>huānyíng</t>
  </si>
  <si>
    <t>Hoan nghênh</t>
  </si>
  <si>
    <r>
      <rPr>
        <sz val="11"/>
        <color theme="1"/>
        <rFont val="Calibri"/>
      </rPr>
      <t>他们站在门口</t>
    </r>
    <r>
      <rPr>
        <b/>
        <sz val="11"/>
        <color theme="1"/>
        <rFont val="Calibri"/>
      </rPr>
      <t>欢迎</t>
    </r>
    <r>
      <rPr>
        <sz val="11"/>
        <color theme="1"/>
        <rFont val="Calibri"/>
      </rPr>
      <t>客人。</t>
    </r>
  </si>
  <si>
    <t>Tāmen zhàn zài ménkǒu huānyíng kèrén.</t>
  </si>
  <si>
    <t>Họ đứng ở cửa đón khách.</t>
  </si>
  <si>
    <t>H3_B4_BG_18.gif</t>
  </si>
  <si>
    <t>H3_B4_18.mp3</t>
  </si>
  <si>
    <t>H3_B4_VD_18.mp3</t>
  </si>
  <si>
    <t>司机</t>
  </si>
  <si>
    <t>&lt;ruby&gt;司机&lt;rt&gt;sījī&lt;/rt&gt;&lt;/ruby&gt;</t>
  </si>
  <si>
    <t>sījī</t>
  </si>
  <si>
    <t>Tài xế</t>
  </si>
  <si>
    <r>
      <rPr>
        <sz val="11"/>
        <color theme="1"/>
        <rFont val="Calibri"/>
      </rPr>
      <t>出租车</t>
    </r>
    <r>
      <rPr>
        <b/>
        <sz val="11"/>
        <color theme="1"/>
        <rFont val="Calibri"/>
      </rPr>
      <t>司机</t>
    </r>
    <r>
      <rPr>
        <sz val="11"/>
        <color theme="1"/>
        <rFont val="Calibri"/>
      </rPr>
      <t>开车很稳。</t>
    </r>
  </si>
  <si>
    <t>Chūzūchē sījī kāichē hěn wěn.</t>
  </si>
  <si>
    <t>Tài xế taxi lái rất vững.</t>
  </si>
  <si>
    <t>H3_B4_BG_19.gif</t>
  </si>
  <si>
    <t>H3_B4_19.mp3</t>
  </si>
  <si>
    <t>H3_B4_VD_19.mp3</t>
  </si>
  <si>
    <t>晚点</t>
  </si>
  <si>
    <t>&lt;ruby&gt;晚点&lt;rt&gt;wǎndiǎn&lt;/rt&gt;&lt;/ruby&gt;</t>
  </si>
  <si>
    <t>wǎn diǎn</t>
  </si>
  <si>
    <r>
      <rPr>
        <sz val="11"/>
        <color theme="1"/>
        <rFont val="Calibri"/>
      </rPr>
      <t>抱歉，我今天可能会</t>
    </r>
    <r>
      <rPr>
        <b/>
        <sz val="11"/>
        <color theme="1"/>
        <rFont val="Calibri"/>
      </rPr>
      <t>晚点</t>
    </r>
    <r>
      <rPr>
        <sz val="11"/>
        <color theme="1"/>
        <rFont val="Calibri"/>
      </rPr>
      <t>到。</t>
    </r>
  </si>
  <si>
    <t>Bàoqiàn, wǒ jīntiān kěnéng huì wǎndiǎn dào.</t>
  </si>
  <si>
    <t>Xin lỗi, hôm nay tôi có thể sẽ đến muộn một chút.</t>
  </si>
  <si>
    <t>H3_B4_BG_20.gif</t>
  </si>
  <si>
    <t>H3_B4_20.mp3</t>
  </si>
  <si>
    <t>H3_B4_VD_20.mp3</t>
  </si>
  <si>
    <t>久</t>
  </si>
  <si>
    <t>&lt;ruby&gt;久&lt;rt&gt;jiǔ&lt;/rt&gt;&lt;/ruby&gt;</t>
  </si>
  <si>
    <t>jiǔ</t>
  </si>
  <si>
    <t>Lâu, lâu dài</t>
  </si>
  <si>
    <r>
      <rPr>
        <sz val="11"/>
        <color theme="1"/>
        <rFont val="Calibri"/>
      </rPr>
      <t>我们好</t>
    </r>
    <r>
      <rPr>
        <b/>
        <sz val="11"/>
        <color theme="1"/>
        <rFont val="Calibri"/>
      </rPr>
      <t>久</t>
    </r>
    <r>
      <rPr>
        <sz val="11"/>
        <color theme="1"/>
        <rFont val="Calibri"/>
      </rPr>
      <t>没见面了。</t>
    </r>
  </si>
  <si>
    <t>Wǒmen hǎojiǔ méi jiànmiàn le.</t>
  </si>
  <si>
    <t>Chúng tôi đã lâu không gặp.</t>
  </si>
  <si>
    <t>H3_B4_BG_21.gif</t>
  </si>
  <si>
    <t>H3_B4_21.mp3</t>
  </si>
  <si>
    <t>H3_B4_VD_21.mp3</t>
  </si>
  <si>
    <t>除了</t>
  </si>
  <si>
    <t>&lt;ruby&gt;除了&lt;rt&gt;chúle&lt;/rt&gt;&lt;/ruby&gt;</t>
  </si>
  <si>
    <t>chúle</t>
  </si>
  <si>
    <t>Ngoài...ra</t>
  </si>
  <si>
    <r>
      <rPr>
        <b/>
        <sz val="11"/>
        <color theme="1"/>
        <rFont val="Calibri"/>
      </rPr>
      <t>除了</t>
    </r>
    <r>
      <rPr>
        <sz val="11"/>
        <color theme="1"/>
        <rFont val="Calibri"/>
      </rPr>
      <t>奶茶，我不喜欢喝别的。</t>
    </r>
  </si>
  <si>
    <t>Chúle nǎichá, wǒ bù xǐhuan hē bié de.</t>
  </si>
  <si>
    <t>Ngoài trà sữa ra thì tôi không thích uống cái khác.</t>
  </si>
  <si>
    <t>H3_B4_BG_22.gif</t>
  </si>
  <si>
    <t>H3_B4_22.mp3</t>
  </si>
  <si>
    <t>H3_B4_VD_22.mp3</t>
  </si>
  <si>
    <t>以外</t>
  </si>
  <si>
    <t>&lt;ruby&gt;以外&lt;rt&gt;yǐwài&lt;/rt&gt;&lt;/ruby&gt;</t>
  </si>
  <si>
    <t>yǐ wài</t>
  </si>
  <si>
    <t>Ngoài ra</t>
  </si>
  <si>
    <r>
      <rPr>
        <sz val="11"/>
        <color theme="1"/>
        <rFont val="Calibri"/>
      </rPr>
      <t>除了苹果</t>
    </r>
    <r>
      <rPr>
        <b/>
        <sz val="11"/>
        <color theme="1"/>
        <rFont val="Calibri"/>
      </rPr>
      <t>以外</t>
    </r>
    <r>
      <rPr>
        <sz val="11"/>
        <color theme="1"/>
        <rFont val="Calibri"/>
      </rPr>
      <t>，我还喜欢吃香蕉。</t>
    </r>
  </si>
  <si>
    <t>Chúle píngguǒ yǐwài, wǒ huán xǐhuān chī xiāngjiāo.</t>
  </si>
  <si>
    <t>Ngoài táo ra, tôi còn thích ăn chuối.</t>
  </si>
  <si>
    <t>H3_B4_BG_23.gif</t>
  </si>
  <si>
    <t>H3_B4_23.mp3</t>
  </si>
  <si>
    <t>H3_B4_VD_23.mp3</t>
  </si>
  <si>
    <t>先</t>
  </si>
  <si>
    <t>&lt;ruby&gt;先&lt;rt&gt;xiān&lt;/rt&gt;&lt;/ruby&gt;</t>
  </si>
  <si>
    <t>xiān</t>
  </si>
  <si>
    <t xml:space="preserve">Trước, trước hết </t>
  </si>
  <si>
    <r>
      <rPr>
        <sz val="11"/>
        <color theme="1"/>
        <rFont val="Calibri"/>
      </rPr>
      <t>他已经</t>
    </r>
    <r>
      <rPr>
        <b/>
        <sz val="11"/>
        <color theme="1"/>
        <rFont val="Calibri"/>
      </rPr>
      <t>先</t>
    </r>
    <r>
      <rPr>
        <sz val="11"/>
        <color theme="1"/>
        <rFont val="Calibri"/>
      </rPr>
      <t>到达终点了。</t>
    </r>
  </si>
  <si>
    <t>Tā yǐjīng xiān dàodá zhōngdiǎn le.</t>
  </si>
  <si>
    <t>Anh ấy đã tới đích trước rồi.</t>
  </si>
  <si>
    <t>H3_B4_BG_24.gif</t>
  </si>
  <si>
    <t>H3_B4_24.mp3</t>
  </si>
  <si>
    <t>H3_B4_VD_24.mp3</t>
  </si>
  <si>
    <t>一直</t>
  </si>
  <si>
    <t>&lt;ruby&gt;一直&lt;rt&gt;yìzhí&lt;/rt&gt;&lt;/ruby&gt;</t>
  </si>
  <si>
    <t>yìzhí</t>
  </si>
  <si>
    <t>Thẳng</t>
  </si>
  <si>
    <r>
      <rPr>
        <sz val="11"/>
        <color theme="1"/>
        <rFont val="Calibri"/>
      </rPr>
      <t>这条路</t>
    </r>
    <r>
      <rPr>
        <b/>
        <sz val="11"/>
        <color theme="1"/>
        <rFont val="Calibri"/>
      </rPr>
      <t>一直</t>
    </r>
    <r>
      <rPr>
        <sz val="11"/>
        <color theme="1"/>
        <rFont val="Calibri"/>
      </rPr>
      <t>通向大海。</t>
    </r>
  </si>
  <si>
    <t>Zhè tiáo lù yīzhí tōngxiàng dàhǎi.</t>
  </si>
  <si>
    <t>Con đường này dẫn thẳng ra biển.</t>
  </si>
  <si>
    <t>H3_B4_BG_25.gif</t>
  </si>
  <si>
    <t>H3_B4_25.mp3</t>
  </si>
  <si>
    <t>H3_B4_VD_25.mp3</t>
  </si>
  <si>
    <t>干净</t>
  </si>
  <si>
    <t>&lt;ruby&gt;干净&lt;rt&gt;gānjìng&lt;/rt&gt;&lt;/ruby&gt;</t>
  </si>
  <si>
    <t>gānjìng</t>
  </si>
  <si>
    <t>Sạch sẽ</t>
  </si>
  <si>
    <r>
      <rPr>
        <sz val="11"/>
        <color theme="1"/>
        <rFont val="Calibri"/>
      </rPr>
      <t>他在吃饭前把手洗得很</t>
    </r>
    <r>
      <rPr>
        <b/>
        <sz val="11"/>
        <color theme="1"/>
        <rFont val="Calibri"/>
      </rPr>
      <t>干净</t>
    </r>
    <r>
      <rPr>
        <sz val="11"/>
        <color theme="1"/>
        <rFont val="Calibri"/>
      </rPr>
      <t>。</t>
    </r>
  </si>
  <si>
    <t>Tā zài chīfàn qián bǎ shǒu xǐ de hěn gānjìng.</t>
  </si>
  <si>
    <t>Anh ấy rửa tay sạch sẽ trước khi ăn.</t>
  </si>
  <si>
    <t>H3_B4_BG_26.gif</t>
  </si>
  <si>
    <t>H3_B4_26.mp3</t>
  </si>
  <si>
    <t>H3_B4_VD_26.mp3</t>
  </si>
  <si>
    <t>满意</t>
  </si>
  <si>
    <t>&lt;ruby&gt;满意&lt;rt&gt;mǎnyì&lt;/rt&gt;&lt;/ruby&gt;</t>
  </si>
  <si>
    <t>mǎnyì</t>
  </si>
  <si>
    <t xml:space="preserve">Hài lòng, vừa ý </t>
  </si>
  <si>
    <r>
      <rPr>
        <sz val="11"/>
        <color theme="1"/>
        <rFont val="Calibri"/>
      </rPr>
      <t>她对这道菜不太</t>
    </r>
    <r>
      <rPr>
        <b/>
        <sz val="11"/>
        <color theme="1"/>
        <rFont val="Calibri"/>
      </rPr>
      <t>满意</t>
    </r>
    <r>
      <rPr>
        <sz val="11"/>
        <color theme="1"/>
        <rFont val="Calibri"/>
      </rPr>
      <t>。</t>
    </r>
  </si>
  <si>
    <t>Tā duì zhè dào cài bú tài mǎnyì.</t>
  </si>
  <si>
    <t>Cô ấy không hài lòng về món ăn này.</t>
  </si>
  <si>
    <t>H3_B4_BG_27.gif</t>
  </si>
  <si>
    <t>H3_B4_27.mp3</t>
  </si>
  <si>
    <t>H3_B4_VD_27.mp3</t>
  </si>
  <si>
    <t>总之</t>
  </si>
  <si>
    <t>&lt;ruby&gt;总之&lt;rt&gt;zǒngzhī&lt;/rt&gt;&lt;/ruby&gt;</t>
  </si>
  <si>
    <t>zǒngzhī</t>
  </si>
  <si>
    <t>Nói chung, tóm lại</t>
  </si>
  <si>
    <r>
      <rPr>
        <sz val="11"/>
        <color theme="1"/>
        <rFont val="Calibri"/>
      </rPr>
      <t>我们讨论了很多问题，</t>
    </r>
    <r>
      <rPr>
        <b/>
        <sz val="11"/>
        <color theme="1"/>
        <rFont val="Calibri"/>
      </rPr>
      <t>总之</t>
    </r>
    <r>
      <rPr>
        <sz val="11"/>
        <color theme="1"/>
        <rFont val="Calibri"/>
      </rPr>
      <t>，大家都同意这个计划。</t>
    </r>
  </si>
  <si>
    <t>Wǒmen tǎolùn le hěn duō wèntí, zǒngzhī, dàjiā dōu tóngyì zhège Jìhuà.</t>
  </si>
  <si>
    <t>Chúng tôi đã thảo luận rất nhiều vấn đề, nói chung, mọi người đều đồng ý với kế hoạch này.</t>
  </si>
  <si>
    <t>H3_B5_BG_1.gif</t>
  </si>
  <si>
    <t>H3_B5_1.mp3</t>
  </si>
  <si>
    <t>H3_B5_VD_1.mp3</t>
  </si>
  <si>
    <t>终于</t>
  </si>
  <si>
    <t>&lt;ruby&gt;终于&lt;rt&gt;zhōngyú&lt;/rt&gt;&lt;/ruby&gt;</t>
  </si>
  <si>
    <t>zhōngyú</t>
  </si>
  <si>
    <t>Cuối cùng</t>
  </si>
  <si>
    <r>
      <rPr>
        <sz val="11"/>
        <color theme="1"/>
        <rFont val="Calibri"/>
      </rPr>
      <t>雨</t>
    </r>
    <r>
      <rPr>
        <b/>
        <sz val="11"/>
        <color theme="1"/>
        <rFont val="Calibri"/>
      </rPr>
      <t>终于</t>
    </r>
    <r>
      <rPr>
        <sz val="11"/>
        <color theme="1"/>
        <rFont val="Calibri"/>
      </rPr>
      <t>停了，我们可以出去玩了！</t>
    </r>
  </si>
  <si>
    <t>Yǔ zhōngyú tíng le, wǒmen kěyǐ chūqù wán le!</t>
  </si>
  <si>
    <t>Cuối cùng mưa cũng tạnh, chúng tôi có thể ra ngoài chơi!</t>
  </si>
  <si>
    <t>H3_B5_BG_2.gif</t>
  </si>
  <si>
    <t>H3_B5_2.mp3</t>
  </si>
  <si>
    <t>H3_B5_VD_2.mp3</t>
  </si>
  <si>
    <t>69eaebcf073744188a66f3ec</t>
  </si>
  <si>
    <t>爬</t>
  </si>
  <si>
    <t>&lt;ruby&gt;爬&lt;rt&gt;pá&lt;/rt&gt;&lt;/ruby&gt;</t>
  </si>
  <si>
    <t>pá</t>
  </si>
  <si>
    <t>Leo, trèo</t>
  </si>
  <si>
    <r>
      <rPr>
        <sz val="11"/>
        <color theme="1"/>
        <rFont val="Calibri"/>
      </rPr>
      <t>小猫</t>
    </r>
    <r>
      <rPr>
        <b/>
        <sz val="11"/>
        <color theme="1"/>
        <rFont val="Calibri"/>
      </rPr>
      <t>爬</t>
    </r>
    <r>
      <rPr>
        <sz val="11"/>
        <color theme="1"/>
        <rFont val="Calibri"/>
      </rPr>
      <t>上了树。</t>
    </r>
  </si>
  <si>
    <t>Xiǎo māo pá shàng le shù.</t>
  </si>
  <si>
    <t>Mèo con đã trèo lên cây.</t>
  </si>
  <si>
    <t>H3_B5_BG_3.gif</t>
  </si>
  <si>
    <t>H3_B5_3.mp3</t>
  </si>
  <si>
    <t>H3_B5_VD_3.mp3</t>
  </si>
  <si>
    <t>山</t>
  </si>
  <si>
    <t>&lt;ruby&gt;山&lt;rt&gt;shān&lt;/rt&gt;&lt;/ruby&gt;</t>
  </si>
  <si>
    <t>shān</t>
  </si>
  <si>
    <t>Núi</t>
  </si>
  <si>
    <r>
      <rPr>
        <sz val="11"/>
        <color theme="1"/>
        <rFont val="Calibri"/>
      </rPr>
      <t>那是一座高</t>
    </r>
    <r>
      <rPr>
        <b/>
        <sz val="11"/>
        <color theme="1"/>
        <rFont val="Calibri"/>
      </rPr>
      <t>山</t>
    </r>
    <r>
      <rPr>
        <sz val="11"/>
        <color theme="1"/>
        <rFont val="Calibri"/>
      </rPr>
      <t>。</t>
    </r>
  </si>
  <si>
    <t>Nà shì yī zuò gāo shān.</t>
  </si>
  <si>
    <t>Kia là một ngọn núi cao.</t>
  </si>
  <si>
    <t>H3_B5_BG_4.gif</t>
  </si>
  <si>
    <t>H3_B5_4.mp3</t>
  </si>
  <si>
    <t>H3_B5_VD_4.mp3</t>
  </si>
  <si>
    <t>锻炼</t>
  </si>
  <si>
    <t>&lt;ruby&gt;锻炼&lt;rt&gt;duàn liàn&lt;/rt&gt;&lt;/ruby&gt;</t>
  </si>
  <si>
    <t>duàn liàn</t>
  </si>
  <si>
    <t xml:space="preserve">Tập thể dục </t>
  </si>
  <si>
    <r>
      <rPr>
        <sz val="11"/>
        <color theme="1"/>
        <rFont val="Calibri"/>
      </rPr>
      <t>我每天坚持</t>
    </r>
    <r>
      <rPr>
        <b/>
        <sz val="11"/>
        <color theme="1"/>
        <rFont val="Calibri"/>
      </rPr>
      <t>锻炼</t>
    </r>
    <r>
      <rPr>
        <sz val="11"/>
        <color theme="1"/>
        <rFont val="Calibri"/>
      </rPr>
      <t>身体。</t>
    </r>
  </si>
  <si>
    <t>Wǒ měitiān jiānchí duànliàn shēntǐ.</t>
  </si>
  <si>
    <t>Tôi chăm chỉ rèn luyện sức khỏe mỗi ngày.</t>
  </si>
  <si>
    <t>H3_B5_BG_5.gif</t>
  </si>
  <si>
    <t>H3_B5_5.mp3</t>
  </si>
  <si>
    <t>H3_B5_VD_5.mp3</t>
  </si>
  <si>
    <t xml:space="preserve">照 </t>
  </si>
  <si>
    <t>&lt;ruby&gt;照&lt;rt&gt;zhào&lt;/rt&gt;&lt;/ruby&gt;</t>
  </si>
  <si>
    <t xml:space="preserve">zhào </t>
  </si>
  <si>
    <t>Chụp (ảnh)</t>
  </si>
  <si>
    <r>
      <rPr>
        <sz val="11"/>
        <color theme="1"/>
        <rFont val="Calibri"/>
      </rPr>
      <t>我们来</t>
    </r>
    <r>
      <rPr>
        <b/>
        <sz val="11"/>
        <color theme="1"/>
        <rFont val="Calibri"/>
      </rPr>
      <t>照</t>
    </r>
    <r>
      <rPr>
        <sz val="11"/>
        <color theme="1"/>
        <rFont val="Calibri"/>
      </rPr>
      <t>一张相吧。</t>
    </r>
  </si>
  <si>
    <t>Wǒmen lái zhào yī zhāng xiāng ba.</t>
  </si>
  <si>
    <t>Chúng ta chụp một tấm ảnh đi.</t>
  </si>
  <si>
    <t>H3_B5_BG_6.gif</t>
  </si>
  <si>
    <t>H3_B5_6.mp3</t>
  </si>
  <si>
    <t>H3_B5_VD_6.mp3</t>
  </si>
  <si>
    <t>鞋</t>
  </si>
  <si>
    <t>&lt;ruby&gt;鞋&lt;rt&gt;xié&lt;/rt&gt;&lt;/ruby&gt;</t>
  </si>
  <si>
    <t>xié</t>
  </si>
  <si>
    <t>Giày</t>
  </si>
  <si>
    <r>
      <rPr>
        <sz val="11"/>
        <color theme="1"/>
        <rFont val="Calibri"/>
      </rPr>
      <t>这双</t>
    </r>
    <r>
      <rPr>
        <b/>
        <sz val="11"/>
        <color theme="1"/>
        <rFont val="Calibri"/>
      </rPr>
      <t>鞋</t>
    </r>
    <r>
      <rPr>
        <sz val="11"/>
        <color theme="1"/>
        <rFont val="Calibri"/>
      </rPr>
      <t>很漂亮。</t>
    </r>
  </si>
  <si>
    <t>Zhè shuāng xié hěn piàoliang.</t>
  </si>
  <si>
    <t>Đôi giày này rất đẹp.</t>
  </si>
  <si>
    <t>H3_B5_BG_7.gif</t>
  </si>
  <si>
    <t>H3_B5_7.mp3</t>
  </si>
  <si>
    <t>H3_B5_VD_7.mp3</t>
  </si>
  <si>
    <t>大衣</t>
  </si>
  <si>
    <t>&lt;ruby&gt;大衣&lt;rt&gt;dàyī&lt;/rt&gt;&lt;/ruby&gt;</t>
  </si>
  <si>
    <t>dà yī</t>
  </si>
  <si>
    <t>Áo khoác</t>
  </si>
  <si>
    <r>
      <rPr>
        <sz val="11"/>
        <color theme="1"/>
        <rFont val="Calibri"/>
      </rPr>
      <t>天冷了，你应该穿上</t>
    </r>
    <r>
      <rPr>
        <b/>
        <sz val="11"/>
        <color theme="1"/>
        <rFont val="Calibri"/>
      </rPr>
      <t>大衣</t>
    </r>
    <r>
      <rPr>
        <sz val="11"/>
        <color theme="1"/>
        <rFont val="Calibri"/>
      </rPr>
      <t>。</t>
    </r>
  </si>
  <si>
    <t>Tiān lěng le, nǐ yīnggāi chuān shàng dàyī.</t>
  </si>
  <si>
    <t>Trời lạnh rồi, bạn nên mặc áo khoác vào.</t>
  </si>
  <si>
    <t>H3_B5_BG_8.gif</t>
  </si>
  <si>
    <t>H3_B5_8.mp3</t>
  </si>
  <si>
    <t>H3_B5_VD_8.mp3</t>
  </si>
  <si>
    <t>拍照</t>
  </si>
  <si>
    <t>&lt;ruby&gt;拍照&lt;rt&gt;pāizhào&lt;/rt&gt;&lt;/ruby&gt;</t>
  </si>
  <si>
    <t>pāi zhào</t>
  </si>
  <si>
    <t>Chụp ảnh</t>
  </si>
  <si>
    <t>我们在这里拍张照吧。</t>
  </si>
  <si>
    <t>Wǒmen zài zhèlǐ pāi zhāng zhào ba.</t>
  </si>
  <si>
    <t>Chúng ta chụp một tấm ảnh ở đây đi.</t>
  </si>
  <si>
    <t>H3_B5_BG_9.gif</t>
  </si>
  <si>
    <t>H3_B5_9.mp3</t>
  </si>
  <si>
    <t>H3_B5_VD_9.mp3</t>
  </si>
  <si>
    <t>感兴趣</t>
  </si>
  <si>
    <t>&lt;ruby&gt;感兴趣&lt;rt&gt;gǎn xìngqù&lt;/rt&gt;&lt;/ruby&gt;</t>
  </si>
  <si>
    <t>gǎn xìngqù</t>
  </si>
  <si>
    <t>Có hứng thú, thích</t>
  </si>
  <si>
    <r>
      <rPr>
        <sz val="11"/>
        <color theme="1"/>
        <rFont val="Calibri"/>
      </rPr>
      <t>她对唱歌很</t>
    </r>
    <r>
      <rPr>
        <b/>
        <sz val="11"/>
        <color theme="1"/>
        <rFont val="Calibri"/>
      </rPr>
      <t>感兴趣</t>
    </r>
    <r>
      <rPr>
        <sz val="11"/>
        <color theme="1"/>
        <rFont val="Calibri"/>
      </rPr>
      <t>。</t>
    </r>
  </si>
  <si>
    <t>Tā duì chànggē hěn gǎn xìngqù.</t>
  </si>
  <si>
    <t>Cô ấy rất hứng thú với ca hát.</t>
  </si>
  <si>
    <t>H3_B5_BG_10.gif</t>
  </si>
  <si>
    <t>H3_B5_10.mp3</t>
  </si>
  <si>
    <t>H3_B5_VD_10.mp3</t>
  </si>
  <si>
    <t>照相</t>
  </si>
  <si>
    <t>&lt;ruby&gt;照相&lt;rt&gt;zhàoxiàng&lt;/rt&gt;&lt;/ruby&gt;</t>
  </si>
  <si>
    <t>zhào xiàng</t>
  </si>
  <si>
    <r>
      <rPr>
        <sz val="11"/>
        <color theme="1"/>
        <rFont val="Calibri"/>
      </rPr>
      <t>我们一起</t>
    </r>
    <r>
      <rPr>
        <b/>
        <sz val="11"/>
        <color theme="1"/>
        <rFont val="Calibri"/>
      </rPr>
      <t>照相</t>
    </r>
    <r>
      <rPr>
        <sz val="11"/>
        <color theme="1"/>
        <rFont val="Calibri"/>
      </rPr>
      <t>吧。</t>
    </r>
  </si>
  <si>
    <t>Wǒmen yīqǐ zhàoxiàng ba.</t>
  </si>
  <si>
    <t>Chúng ta cùng nhau chụp ảnh nhé.</t>
  </si>
  <si>
    <t>H3_B5_BG_11.gif</t>
  </si>
  <si>
    <t>H3_B5_11.mp3</t>
  </si>
  <si>
    <t>H3_B5_VD_11.mp3</t>
  </si>
  <si>
    <t>难看</t>
  </si>
  <si>
    <t>&lt;ruby&gt;难看&lt;rt&gt;nánkàn&lt;/rt&gt;&lt;/ruby&gt;</t>
  </si>
  <si>
    <t>nán kàn</t>
  </si>
  <si>
    <t>Xấu xí</t>
  </si>
  <si>
    <r>
      <rPr>
        <sz val="11"/>
        <color theme="1"/>
        <rFont val="Calibri"/>
      </rPr>
      <t>这件衣服真</t>
    </r>
    <r>
      <rPr>
        <b/>
        <sz val="11"/>
        <color theme="1"/>
        <rFont val="Calibri"/>
      </rPr>
      <t>难看</t>
    </r>
    <r>
      <rPr>
        <sz val="11"/>
        <color theme="1"/>
        <rFont val="Calibri"/>
      </rPr>
      <t>。</t>
    </r>
  </si>
  <si>
    <t>Zhè jiàn yīfú zhēn nánkàn.</t>
  </si>
  <si>
    <t>Bộ quần áo này thật xấu xí.</t>
  </si>
  <si>
    <t>H3_B5_BG_12.gif</t>
  </si>
  <si>
    <t>H3_B5_12.mp3</t>
  </si>
  <si>
    <t>H3_B5_VD_12.mp3</t>
  </si>
  <si>
    <t>比较</t>
  </si>
  <si>
    <t>&lt;ruby&gt;比较&lt;rt&gt;bǐ jiào&lt;/rt&gt;&lt;/ruby&gt;</t>
  </si>
  <si>
    <t>bǐ jiào</t>
  </si>
  <si>
    <t xml:space="preserve">Tương đối, khá </t>
  </si>
  <si>
    <r>
      <rPr>
        <sz val="11"/>
        <color theme="1"/>
        <rFont val="Calibri"/>
      </rPr>
      <t>她跑得</t>
    </r>
    <r>
      <rPr>
        <b/>
        <sz val="11"/>
        <color theme="1"/>
        <rFont val="Calibri"/>
      </rPr>
      <t>比较</t>
    </r>
    <r>
      <rPr>
        <sz val="11"/>
        <color theme="1"/>
        <rFont val="Calibri"/>
      </rPr>
      <t>慢。</t>
    </r>
  </si>
  <si>
    <t>Tā pǎo de bǐjiào màn.</t>
  </si>
  <si>
    <t>Cô ấy chạy khá chậm.</t>
  </si>
  <si>
    <t>H3_B5_BG_13.gif</t>
  </si>
  <si>
    <t>H3_B5_13.mp3</t>
  </si>
  <si>
    <t>H3_B5_VD_13.mp3</t>
  </si>
  <si>
    <t>水平</t>
  </si>
  <si>
    <t>&lt;ruby&gt;水平&lt;rt&gt;shuǐpíng&lt;/rt&gt;&lt;/ruby&gt;</t>
  </si>
  <si>
    <t>shuǐpíng</t>
  </si>
  <si>
    <t>Trình độ</t>
  </si>
  <si>
    <r>
      <rPr>
        <sz val="11"/>
        <color theme="1"/>
        <rFont val="Calibri"/>
      </rPr>
      <t>他的汉语</t>
    </r>
    <r>
      <rPr>
        <b/>
        <sz val="11"/>
        <color theme="1"/>
        <rFont val="Calibri"/>
      </rPr>
      <t>水平</t>
    </r>
    <r>
      <rPr>
        <sz val="11"/>
        <color theme="1"/>
        <rFont val="Calibri"/>
      </rPr>
      <t>很好。</t>
    </r>
  </si>
  <si>
    <t>Tā de Hànyǔ shuǐpíng hěn hǎo.</t>
  </si>
  <si>
    <t>Trình độ tiếng Hán của anh ấy rất tốt.</t>
  </si>
  <si>
    <t>H3_B5_BG_14.gif</t>
  </si>
  <si>
    <t>H3_B5_14.mp3</t>
  </si>
  <si>
    <t>H3_B5_VD_14.mp3</t>
  </si>
  <si>
    <t>太阳</t>
  </si>
  <si>
    <t>&lt;ruby&gt;太阳&lt;rt&gt;tàiyáng&lt;/rt&gt;&lt;/ruby&gt;</t>
  </si>
  <si>
    <t>tàiyáng</t>
  </si>
  <si>
    <t>Mặt trời</t>
  </si>
  <si>
    <r>
      <rPr>
        <b/>
        <sz val="11"/>
        <color theme="1"/>
        <rFont val="Calibri"/>
      </rPr>
      <t>太阳</t>
    </r>
    <r>
      <rPr>
        <sz val="11"/>
        <color theme="1"/>
        <rFont val="Calibri"/>
      </rPr>
      <t>已经升得很高了，快起床吧！</t>
    </r>
  </si>
  <si>
    <t>Tàiyáng yǐjīng shēng de hěn gāo le, kuài qǐchuáng ba!</t>
  </si>
  <si>
    <t>Mặt trời lên cao rồi, mau dậy đi.</t>
  </si>
  <si>
    <t>H3_B5_BG_15.gif</t>
  </si>
  <si>
    <t>H3_B5_15.mp3</t>
  </si>
  <si>
    <t>H3_B5_VD_15.mp3</t>
  </si>
  <si>
    <t xml:space="preserve">树 </t>
  </si>
  <si>
    <t>&lt;ruby&gt;树&lt;rt&gt;shù&lt;/rt&gt;&lt;/ruby&gt;</t>
  </si>
  <si>
    <t>shù</t>
  </si>
  <si>
    <t>Cái cây</t>
  </si>
  <si>
    <r>
      <rPr>
        <sz val="11"/>
        <color theme="1"/>
        <rFont val="Calibri"/>
      </rPr>
      <t>公园里有一棵大</t>
    </r>
    <r>
      <rPr>
        <b/>
        <sz val="11"/>
        <color theme="1"/>
        <rFont val="Calibri"/>
      </rPr>
      <t>树</t>
    </r>
    <r>
      <rPr>
        <sz val="11"/>
        <color theme="1"/>
        <rFont val="Calibri"/>
      </rPr>
      <t>。</t>
    </r>
  </si>
  <si>
    <t>Gōngyuán lǐ yǒu yī kē dà shù.</t>
  </si>
  <si>
    <t>Trong công viên có một cái cây to.</t>
  </si>
  <si>
    <t>H3_B5_BG_16.gif</t>
  </si>
  <si>
    <t>H3_B5_16.mp3</t>
  </si>
  <si>
    <t>H3_B5_VD_16.mp3</t>
  </si>
  <si>
    <t xml:space="preserve">干 </t>
  </si>
  <si>
    <t>&lt;ruby&gt;干&lt;rt&gt;gàn&lt;/rt&gt;&lt;/ruby&gt;</t>
  </si>
  <si>
    <t>gān</t>
  </si>
  <si>
    <t>Làm</t>
  </si>
  <si>
    <r>
      <rPr>
        <sz val="11"/>
        <color theme="1"/>
        <rFont val="Calibri"/>
      </rPr>
      <t>他在努力地</t>
    </r>
    <r>
      <rPr>
        <b/>
        <sz val="11"/>
        <color theme="1"/>
        <rFont val="Calibri"/>
      </rPr>
      <t>干</t>
    </r>
    <r>
      <rPr>
        <sz val="11"/>
        <color theme="1"/>
        <rFont val="Calibri"/>
      </rPr>
      <t>活。</t>
    </r>
  </si>
  <si>
    <t>Tā zài nǔlì de gān huó.</t>
  </si>
  <si>
    <t>Anh ấy đang làm việc chăm chỉ.</t>
  </si>
  <si>
    <t>H3_B5_BG_17.gif</t>
  </si>
  <si>
    <t>H3_B5_17.mp3</t>
  </si>
  <si>
    <t>H3_B5_VD_17.mp3</t>
  </si>
  <si>
    <t xml:space="preserve">电 </t>
  </si>
  <si>
    <t>&lt;ruby&gt;电&lt;rt&gt;diàn&lt;/rt&gt;&lt;/ruby&gt;</t>
  </si>
  <si>
    <t>Điện</t>
  </si>
  <si>
    <r>
      <rPr>
        <sz val="11"/>
        <color theme="1"/>
        <rFont val="Calibri"/>
      </rPr>
      <t>停</t>
    </r>
    <r>
      <rPr>
        <b/>
        <sz val="11"/>
        <color theme="1"/>
        <rFont val="Calibri"/>
      </rPr>
      <t>电</t>
    </r>
    <r>
      <rPr>
        <sz val="11"/>
        <color theme="1"/>
        <rFont val="Calibri"/>
      </rPr>
      <t>了。</t>
    </r>
  </si>
  <si>
    <t>Tíng diàn le.</t>
  </si>
  <si>
    <t>Mất điện rồi.</t>
  </si>
  <si>
    <t>H3_B5_BG_18.gif</t>
  </si>
  <si>
    <t>H3_B5_18.mp3</t>
  </si>
  <si>
    <t>H3_B5_VD_18.mp3</t>
  </si>
  <si>
    <t>收到</t>
  </si>
  <si>
    <t>&lt;ruby&gt;收到&lt;rt&gt;shōudào&lt;/rt&gt;&lt;/ruby&gt;</t>
  </si>
  <si>
    <t>shōu dào</t>
  </si>
  <si>
    <t>Nhận được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</si>
  <si>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收到</t>
    </r>
    <r>
      <rPr>
        <sz val="11"/>
        <color theme="1"/>
        <rFont val="Calibri"/>
      </rPr>
      <t>你的邮件了。</t>
    </r>
  </si>
  <si>
    <t>Wǒ shōudào nǐ de yóujiàn le.</t>
  </si>
  <si>
    <t>Tôi đã nhận được email của bạn rồi.</t>
  </si>
  <si>
    <t>H3_B5_BG_19.gif</t>
  </si>
  <si>
    <t>H3_B5_19.mp3</t>
  </si>
  <si>
    <t>H3_B5_VD_19.mp3</t>
  </si>
  <si>
    <t xml:space="preserve">封 </t>
  </si>
  <si>
    <t>&lt;ruby&gt;封&lt;rt&gt;fēng&lt;/rt&gt;&lt;/ruby&gt;</t>
  </si>
  <si>
    <t>fēng</t>
  </si>
  <si>
    <t>Lá (thư-email)</t>
  </si>
  <si>
    <r>
      <rPr>
        <sz val="11"/>
        <color theme="1"/>
        <rFont val="Calibri"/>
      </rPr>
      <t>我收到了一</t>
    </r>
    <r>
      <rPr>
        <b/>
        <sz val="11"/>
        <color theme="1"/>
        <rFont val="Calibri"/>
      </rPr>
      <t>封</t>
    </r>
    <r>
      <rPr>
        <sz val="11"/>
        <color theme="1"/>
        <rFont val="Calibri"/>
      </rPr>
      <t>来自朋友的信。</t>
    </r>
  </si>
  <si>
    <t>Wǒ shōudào le yī fēng láizì péngyǒu de xìn.</t>
  </si>
  <si>
    <t>Tôi đã nhận được một lá thư từ một người bạn.</t>
  </si>
  <si>
    <t>H3_B5_BG_20.gif</t>
  </si>
  <si>
    <t>H3_B5_20.mp3</t>
  </si>
  <si>
    <t>H3_B5_VD_20.mp3</t>
  </si>
  <si>
    <t>邮件</t>
  </si>
  <si>
    <t>&lt;ruby&gt;邮件&lt;rt&gt;yóujiàn&lt;/rt&gt;&lt;/ruby&gt;</t>
  </si>
  <si>
    <t>yóu jiàn</t>
  </si>
  <si>
    <t>Email</t>
  </si>
  <si>
    <r>
      <rPr>
        <sz val="11"/>
        <color theme="1"/>
        <rFont val="Calibri"/>
      </rPr>
      <t>我每天都检查</t>
    </r>
    <r>
      <rPr>
        <b/>
        <sz val="11"/>
        <color theme="1"/>
        <rFont val="Calibri"/>
      </rPr>
      <t>邮件</t>
    </r>
    <r>
      <rPr>
        <sz val="11"/>
        <color theme="1"/>
        <rFont val="Calibri"/>
      </rPr>
      <t>。</t>
    </r>
  </si>
  <si>
    <t>Wǒ měi tiān dōu jiǎnchá yóujiàn.</t>
  </si>
  <si>
    <t>Tôi kiểm tra email mỗi ngày.</t>
  </si>
  <si>
    <t>H3_B5_BG_21.gif</t>
  </si>
  <si>
    <t>H3_B5_21.mp3</t>
  </si>
  <si>
    <t>H3_B5_VD_21.mp3</t>
  </si>
  <si>
    <t>难过</t>
  </si>
  <si>
    <t>&lt;ruby&gt;难过&lt;rt&gt;nánguò&lt;/rt&gt;&lt;/ruby&gt;</t>
  </si>
  <si>
    <t>nánguò</t>
  </si>
  <si>
    <t>Buồn</t>
  </si>
  <si>
    <r>
      <rPr>
        <sz val="11"/>
        <color theme="1"/>
        <rFont val="Calibri"/>
      </rPr>
      <t>我感到很</t>
    </r>
    <r>
      <rPr>
        <b/>
        <sz val="11"/>
        <color theme="1"/>
        <rFont val="Calibri"/>
      </rPr>
      <t>难过</t>
    </r>
    <r>
      <rPr>
        <sz val="11"/>
        <color theme="1"/>
        <rFont val="Calibri"/>
      </rPr>
      <t>。</t>
    </r>
  </si>
  <si>
    <t>Wǒ gǎndào hěn nánguò.</t>
  </si>
  <si>
    <t>Tôi cảm thấy rất buồn.</t>
  </si>
  <si>
    <t>H3_B5_BG_22.gif</t>
  </si>
  <si>
    <t>H3_B5_22.mp3</t>
  </si>
  <si>
    <t>H3_B5_VD_22.mp3</t>
  </si>
  <si>
    <t>哈哈</t>
  </si>
  <si>
    <t>&lt;ruby&gt;哈哈&lt;rt&gt;hāhā&lt;/rt&gt;&lt;/ruby&gt;</t>
  </si>
  <si>
    <t>hā hā</t>
  </si>
  <si>
    <t>Haha (tiếng cười)</t>
  </si>
  <si>
    <r>
      <rPr>
        <sz val="11"/>
        <color theme="1"/>
        <rFont val="Calibri"/>
      </rPr>
      <t>他听了这个笑话，</t>
    </r>
    <r>
      <rPr>
        <b/>
        <sz val="11"/>
        <color theme="1"/>
        <rFont val="Calibri"/>
      </rPr>
      <t>哈哈</t>
    </r>
    <r>
      <rPr>
        <sz val="11"/>
        <color theme="1"/>
        <rFont val="Calibri"/>
      </rPr>
      <t>大笑起来。</t>
    </r>
  </si>
  <si>
    <t>Tā tīng le zhège xiàohua, hāhā dà xiào qǐlai.</t>
  </si>
  <si>
    <t>Anh ấy nghe xong câu chuyện cười này liền phá lên cười haha.</t>
  </si>
  <si>
    <t>H3_B5_BG_23.gif</t>
  </si>
  <si>
    <t>H3_B5_23.mp3</t>
  </si>
  <si>
    <t>H3_B5_VD_23.mp3</t>
  </si>
  <si>
    <t>音乐</t>
  </si>
  <si>
    <t>&lt;ruby&gt;音乐&lt;rt&gt;yīn yuè&lt;/rt&gt;&lt;/ruby&gt;</t>
  </si>
  <si>
    <t>yīn yuè</t>
  </si>
  <si>
    <t>Âm nhạc</t>
  </si>
  <si>
    <r>
      <rPr>
        <sz val="11"/>
        <color theme="1"/>
        <rFont val="Calibri"/>
      </rPr>
      <t>她非常喜欢听中国</t>
    </r>
    <r>
      <rPr>
        <b/>
        <sz val="11"/>
        <color theme="1"/>
        <rFont val="Calibri"/>
      </rPr>
      <t>音乐</t>
    </r>
    <r>
      <rPr>
        <sz val="11"/>
        <color theme="1"/>
        <rFont val="Calibri"/>
      </rPr>
      <t>。</t>
    </r>
  </si>
  <si>
    <t>Tā fēicháng xǐhuan tīng zhōngguó yīnyuè.</t>
  </si>
  <si>
    <t>Cô ấy rất thích nghe nhạc Trung Quốc.</t>
  </si>
  <si>
    <t>H3_B5_BG_24.gif</t>
  </si>
  <si>
    <t>H3_B5_24.mp3</t>
  </si>
  <si>
    <t>H3_B5_VD_24.mp3</t>
  </si>
  <si>
    <t>兴趣</t>
  </si>
  <si>
    <t>&lt;ruby&gt;兴趣&lt;rt&gt;xìngqù&lt;/rt&gt;&lt;/ruby&gt;</t>
  </si>
  <si>
    <t>xìng qù</t>
  </si>
  <si>
    <t>Hứng thú</t>
  </si>
  <si>
    <r>
      <rPr>
        <sz val="11"/>
        <color theme="1"/>
        <rFont val="Calibri"/>
      </rPr>
      <t>我的</t>
    </r>
    <r>
      <rPr>
        <b/>
        <sz val="11"/>
        <color theme="1"/>
        <rFont val="Calibri"/>
      </rPr>
      <t>兴趣</t>
    </r>
    <r>
      <rPr>
        <sz val="11"/>
        <color theme="1"/>
        <rFont val="Calibri"/>
      </rPr>
      <t>是画画。</t>
    </r>
  </si>
  <si>
    <t>Wǒ de xìngqù shì huà huà.</t>
  </si>
  <si>
    <t>Sở thích của tôi là vẽ tranh.</t>
  </si>
  <si>
    <t>H3_B5_BG_25.gif</t>
  </si>
  <si>
    <t>H3_B5_25.mp3</t>
  </si>
  <si>
    <t>H3_B5_VD_25.mp3</t>
  </si>
  <si>
    <t xml:space="preserve">会 </t>
  </si>
  <si>
    <t>Bữa tiệc</t>
  </si>
  <si>
    <r>
      <rPr>
        <sz val="11"/>
        <color theme="1"/>
        <rFont val="Calibri"/>
      </rPr>
      <t>今晚有一个生日</t>
    </r>
    <r>
      <rPr>
        <b/>
        <sz val="11"/>
        <color theme="1"/>
        <rFont val="Calibri"/>
      </rPr>
      <t>会</t>
    </r>
    <r>
      <rPr>
        <sz val="11"/>
        <color theme="1"/>
        <rFont val="Calibri"/>
      </rPr>
      <t>。</t>
    </r>
  </si>
  <si>
    <t>Jīn wǎn yǒu yī gè shēngrì huì.</t>
  </si>
  <si>
    <t>Tối nay có một bữa tiệc sinh nhật.</t>
  </si>
  <si>
    <t>H3_B5_BG_26.gif</t>
  </si>
  <si>
    <t>H3_B5_26.mp3</t>
  </si>
  <si>
    <t>H3_B5_VD_26.mp3</t>
  </si>
  <si>
    <t>结束</t>
  </si>
  <si>
    <t>&lt;ruby&gt;结束&lt;rt&gt;jiéshù&lt;/rt&gt;&lt;/ruby&gt;</t>
  </si>
  <si>
    <t>jiéshù</t>
  </si>
  <si>
    <t>Kết thúc, chấm dứt</t>
  </si>
  <si>
    <r>
      <rPr>
        <sz val="11"/>
        <color theme="1"/>
        <rFont val="Calibri"/>
      </rPr>
      <t>我们的感情已经</t>
    </r>
    <r>
      <rPr>
        <b/>
        <sz val="11"/>
        <color theme="1"/>
        <rFont val="Calibri"/>
      </rPr>
      <t>结束</t>
    </r>
    <r>
      <rPr>
        <sz val="11"/>
        <color theme="1"/>
        <rFont val="Calibri"/>
      </rPr>
      <t>了。</t>
    </r>
  </si>
  <si>
    <t>Wǒmen de gǎnqíng yǐjīng jiéshù le.</t>
  </si>
  <si>
    <t>Cuộc tình của chúng tôi đã kết thúc.</t>
  </si>
  <si>
    <t>H3_B5_BG_27.gif</t>
  </si>
  <si>
    <t>H3_B5_27.mp3</t>
  </si>
  <si>
    <t>H3_B5_VD_27.mp3</t>
  </si>
  <si>
    <t>该</t>
  </si>
  <si>
    <t>&lt;ruby&gt;该&lt;rt&gt;gāi&lt;/rt&gt;&lt;/ruby&gt;</t>
  </si>
  <si>
    <t>gāi</t>
  </si>
  <si>
    <r>
      <rPr>
        <sz val="11"/>
        <color theme="1"/>
        <rFont val="Calibri"/>
      </rPr>
      <t>时间不早了，我们</t>
    </r>
    <r>
      <rPr>
        <b/>
        <sz val="11"/>
        <color theme="1"/>
        <rFont val="Calibri"/>
      </rPr>
      <t>该</t>
    </r>
    <r>
      <rPr>
        <sz val="11"/>
        <color theme="1"/>
        <rFont val="Calibri"/>
      </rPr>
      <t>走了。</t>
    </r>
  </si>
  <si>
    <t>Shíjiān bù zǎo le, wǒmen gāi zǒu le.</t>
  </si>
  <si>
    <t>Trễ rồi, chúng ta nên đi thôi.</t>
  </si>
  <si>
    <t>H3_B6_BG_1.gif</t>
  </si>
  <si>
    <t>H3_B6_1.mp3</t>
  </si>
  <si>
    <t>H3_B6_VD_1.mp3</t>
  </si>
  <si>
    <t>打算</t>
  </si>
  <si>
    <t>&lt;ruby&gt;打算&lt;rt&gt;dǎsuàn&lt;/rt&gt;&lt;/ruby&gt;</t>
  </si>
  <si>
    <t>dǎsuàn</t>
  </si>
  <si>
    <t>Danh từ/Động từ</t>
  </si>
  <si>
    <t>Kế hoạch, dự định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</si>
  <si>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打算</t>
    </r>
    <r>
      <rPr>
        <sz val="11"/>
        <color theme="1"/>
        <rFont val="Calibri"/>
      </rPr>
      <t>去超市买东西。</t>
    </r>
  </si>
  <si>
    <t>Wǒ dǎsuàn qù chāoshì mǎi dōngxī.</t>
  </si>
  <si>
    <t>Tôi dự định đi siêu thị mua đồ.</t>
  </si>
  <si>
    <t>H3_B6_BG_2.gif</t>
  </si>
  <si>
    <t>H3_B6_2.mp3</t>
  </si>
  <si>
    <t>H3_B6_VD_2.mp3</t>
  </si>
  <si>
    <t>69eaebcf073744188a66f3eb</t>
  </si>
  <si>
    <t>高铁</t>
  </si>
  <si>
    <t>&lt;ruby&gt;高铁&lt;rt&gt;gāotiě&lt;/rt&gt;&lt;/ruby&gt;</t>
  </si>
  <si>
    <t>gāo tiě</t>
  </si>
  <si>
    <t>Tàu cao tốc</t>
  </si>
  <si>
    <r>
      <rPr>
        <sz val="11"/>
        <color theme="1"/>
        <rFont val="Calibri"/>
      </rPr>
      <t>我坐</t>
    </r>
    <r>
      <rPr>
        <b/>
        <sz val="11"/>
        <color theme="1"/>
        <rFont val="Calibri"/>
      </rPr>
      <t>高铁</t>
    </r>
    <r>
      <rPr>
        <sz val="11"/>
        <color theme="1"/>
        <rFont val="Calibri"/>
      </rPr>
      <t>去北京。</t>
    </r>
  </si>
  <si>
    <t>Wǒ zuò gāotiě qù běi jīng.</t>
  </si>
  <si>
    <t>Tôi đi Bắc Kinh bằng tàu cao tốc.</t>
  </si>
  <si>
    <t>H3_B6_BG_3.gif</t>
  </si>
  <si>
    <t>H3_B6_3.mp3</t>
  </si>
  <si>
    <t>H3_B6_VD_3.mp3</t>
  </si>
  <si>
    <t xml:space="preserve">行 </t>
  </si>
  <si>
    <t>&lt;ruby&gt;行&lt;rt&gt;xíng&lt;/rt&gt;&lt;/ruby&gt;</t>
  </si>
  <si>
    <t>xíng</t>
  </si>
  <si>
    <t>Làm được/ Tốt</t>
  </si>
  <si>
    <r>
      <rPr>
        <sz val="11"/>
        <color theme="1"/>
        <rFont val="Calibri"/>
      </rPr>
      <t>这个方法</t>
    </r>
    <r>
      <rPr>
        <b/>
        <sz val="11"/>
        <color theme="1"/>
        <rFont val="Calibri"/>
      </rPr>
      <t>行</t>
    </r>
    <r>
      <rPr>
        <sz val="11"/>
        <color theme="1"/>
        <rFont val="Calibri"/>
      </rPr>
      <t>！</t>
    </r>
  </si>
  <si>
    <t>Zhège fāngfă xíng!</t>
  </si>
  <si>
    <t>Phương pháp này được!</t>
  </si>
  <si>
    <t>H3_B6_BG_4.gif</t>
  </si>
  <si>
    <t>H3_B6_4.mp3</t>
  </si>
  <si>
    <t>H3_B6_VD_4.mp3</t>
  </si>
  <si>
    <t>路口</t>
  </si>
  <si>
    <t>&lt;ruby&gt;路口&lt;rt&gt;lùkǒu&lt;/rt&gt;&lt;/ruby&gt;</t>
  </si>
  <si>
    <t>lùkǒu</t>
  </si>
  <si>
    <t>Giao lộ</t>
  </si>
  <si>
    <r>
      <rPr>
        <sz val="11"/>
        <color theme="1"/>
        <rFont val="Calibri"/>
      </rPr>
      <t>咖啡店在</t>
    </r>
    <r>
      <rPr>
        <b/>
        <sz val="11"/>
        <color theme="1"/>
        <rFont val="Calibri"/>
      </rPr>
      <t>路口</t>
    </r>
    <r>
      <rPr>
        <sz val="11"/>
        <color theme="1"/>
        <rFont val="Calibri"/>
      </rPr>
      <t>。</t>
    </r>
  </si>
  <si>
    <t>Kāfēidiàn zài lùkǒu.</t>
  </si>
  <si>
    <t>Quán cà phê ở ngã tư.</t>
  </si>
  <si>
    <t>H3_B6_BG_5.gif</t>
  </si>
  <si>
    <t>H3_B6_5.mp3</t>
  </si>
  <si>
    <t>H3_B6_VD_5.mp3</t>
  </si>
  <si>
    <t>小心</t>
  </si>
  <si>
    <t>&lt;ruby&gt;小心&lt;rt&gt;xiǎoxīn&lt;/rt&gt;&lt;/ruby&gt;</t>
  </si>
  <si>
    <t>xiǎoxīn</t>
  </si>
  <si>
    <t>Cẩn thận</t>
  </si>
  <si>
    <r>
      <rPr>
        <sz val="11"/>
        <color theme="1"/>
        <rFont val="Calibri"/>
      </rPr>
      <t>过马路的时候要</t>
    </r>
    <r>
      <rPr>
        <b/>
        <sz val="11"/>
        <color theme="1"/>
        <rFont val="Calibri"/>
      </rPr>
      <t>小心</t>
    </r>
    <r>
      <rPr>
        <sz val="11"/>
        <color theme="1"/>
        <rFont val="Calibri"/>
      </rPr>
      <t>。</t>
    </r>
  </si>
  <si>
    <t>Guò mǎlù de shíhòu yào xiǎoxīn.</t>
  </si>
  <si>
    <t>Khi qua đường phải cẩn thận.</t>
  </si>
  <si>
    <t>H3_B6_BG_6.gif</t>
  </si>
  <si>
    <t>迟到</t>
  </si>
  <si>
    <t>&lt;ruby&gt;迟到&lt;rt&gt;chídào&lt;/rt&gt;&lt;/ruby&gt;</t>
  </si>
  <si>
    <t>chídào</t>
  </si>
  <si>
    <t>Đến muộn</t>
  </si>
  <si>
    <r>
      <rPr>
        <sz val="11"/>
        <color theme="1"/>
        <rFont val="Calibri"/>
      </rPr>
      <t>路上太堵了，我可能会</t>
    </r>
    <r>
      <rPr>
        <b/>
        <sz val="11"/>
        <color theme="1"/>
        <rFont val="Calibri"/>
      </rPr>
      <t>迟到</t>
    </r>
    <r>
      <rPr>
        <sz val="11"/>
        <color theme="1"/>
        <rFont val="Calibri"/>
      </rPr>
      <t>。</t>
    </r>
  </si>
  <si>
    <t>Lùshàng tài dǔ le, wǒ kěnéng huì chídào.</t>
  </si>
  <si>
    <t>Tắc đường quá, có lẽ tôi sẽ đến muộn.</t>
  </si>
  <si>
    <t>H3_B6_BG_7.gif</t>
  </si>
  <si>
    <t>H3_B6_7.mp3</t>
  </si>
  <si>
    <t>H3_B6_VD_7.mp3</t>
  </si>
  <si>
    <t>红绿灯</t>
  </si>
  <si>
    <t>&lt;ruby&gt;红绿灯&lt;rt&gt;hóng-lǜdēng&lt;/rt&gt;&lt;/ruby&gt;</t>
  </si>
  <si>
    <t>hóng lǜ dēng</t>
  </si>
  <si>
    <t>Đèn giao thông</t>
  </si>
  <si>
    <r>
      <rPr>
        <sz val="11"/>
        <color theme="1"/>
        <rFont val="Calibri"/>
      </rPr>
      <t>过马路时要注意</t>
    </r>
    <r>
      <rPr>
        <b/>
        <sz val="11"/>
        <color theme="1"/>
        <rFont val="Calibri"/>
      </rPr>
      <t>红绿灯</t>
    </r>
    <r>
      <rPr>
        <sz val="11"/>
        <color theme="1"/>
        <rFont val="Calibri"/>
      </rPr>
      <t>。</t>
    </r>
  </si>
  <si>
    <t>Guò mǎlù shí yào zhùyì hónglǜdēng.</t>
  </si>
  <si>
    <t>Khi qua đường phải chú ý đèn giao thông.</t>
  </si>
  <si>
    <t>H3_B6_BG_8.gif</t>
  </si>
  <si>
    <t>H3_B6_8.mp3</t>
  </si>
  <si>
    <t>H3_B6_VD_8.mp3</t>
  </si>
  <si>
    <t>后来</t>
  </si>
  <si>
    <t>&lt;ruby&gt;后来&lt;rt&gt;hòulái&lt;/rt&gt;&lt;/ruby&gt;</t>
  </si>
  <si>
    <t>hòulái</t>
  </si>
  <si>
    <t>Sau này, sau đó</t>
  </si>
  <si>
    <r>
      <rPr>
        <sz val="11"/>
        <color theme="1"/>
        <rFont val="Calibri"/>
      </rPr>
      <t>我孙女以前种在院子里的种子，</t>
    </r>
    <r>
      <rPr>
        <b/>
        <sz val="11"/>
        <color theme="1"/>
        <rFont val="Calibri"/>
      </rPr>
      <t>后来</t>
    </r>
    <r>
      <rPr>
        <sz val="11"/>
        <color theme="1"/>
        <rFont val="Calibri"/>
      </rPr>
      <t>长成了一棵大树。</t>
    </r>
  </si>
  <si>
    <t>Wǒ sūnnǚ yǐqián zhòng zài yuànzi lǐ de zhǒngzi, hòulái zhǎng chéng le yī kē dà shù.</t>
  </si>
  <si>
    <t>Hạt giống được cháu gái tôi trồng ở vườn hồi xưa, sau này đã trở thành một cây to đẹp.</t>
  </si>
  <si>
    <t>H3_B6_BG_9.gif</t>
  </si>
  <si>
    <t>H3_B6_9.mp3</t>
  </si>
  <si>
    <t>H3_B6_VD_9.mp3</t>
  </si>
  <si>
    <t>急</t>
  </si>
  <si>
    <t>&lt;ruby&gt;急&lt;rt&gt;jí&lt;/rt&gt;&lt;/ruby&gt;</t>
  </si>
  <si>
    <t>jí</t>
  </si>
  <si>
    <t>Tính từ/ Động từ</t>
  </si>
  <si>
    <t>Vội vã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</si>
  <si>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急</t>
    </r>
    <r>
      <rPr>
        <sz val="11"/>
        <color theme="1"/>
        <rFont val="Calibri"/>
      </rPr>
      <t>着去上班。</t>
    </r>
  </si>
  <si>
    <t>Tā jí zhe qù shàngbān.</t>
  </si>
  <si>
    <t>Anh ấy vội vã đi làm.</t>
  </si>
  <si>
    <t>H3_B6_BG_10.gif</t>
  </si>
  <si>
    <t>H3_B6_10.mp3</t>
  </si>
  <si>
    <t>H3_B6_VD_10.mp3</t>
  </si>
  <si>
    <t>如果</t>
  </si>
  <si>
    <t>&lt;ruby&gt;如果&lt;rt&gt;rúguǒ&lt;/rt&gt;&lt;/ruby&gt;</t>
  </si>
  <si>
    <t>rúguǒ</t>
  </si>
  <si>
    <t>Nếu</t>
  </si>
  <si>
    <r>
      <rPr>
        <b/>
        <sz val="11"/>
        <color theme="1"/>
        <rFont val="Calibri"/>
      </rPr>
      <t>如果</t>
    </r>
    <r>
      <rPr>
        <sz val="11"/>
        <color theme="1"/>
        <rFont val="Calibri"/>
      </rPr>
      <t>你渴了，就喝点水吧。</t>
    </r>
  </si>
  <si>
    <t>Rúguǒ nǐ kě le, jiù hē diǎn shuǐ ba.</t>
  </si>
  <si>
    <t>Nếu bạn khát, hãy uống một ít nước.</t>
  </si>
  <si>
    <t>H3_B6_BG_11.gif</t>
  </si>
  <si>
    <t>H3_B6_11.mp3</t>
  </si>
  <si>
    <t>H3_B6_VD_11.mp3</t>
  </si>
  <si>
    <t>以前</t>
  </si>
  <si>
    <t>&lt;ruby&gt;以前&lt;rt&gt;yǐqián&lt;/rt&gt;&lt;/ruby&gt;</t>
  </si>
  <si>
    <t>yǐqián</t>
  </si>
  <si>
    <t xml:space="preserve">Trước đây, trước kia </t>
  </si>
  <si>
    <r>
      <rPr>
        <b/>
        <sz val="11"/>
        <color theme="1"/>
        <rFont val="Calibri"/>
      </rPr>
      <t>以前</t>
    </r>
    <r>
      <rPr>
        <sz val="11"/>
        <color theme="1"/>
        <rFont val="Calibri"/>
      </rPr>
      <t>我曾在体育比赛中获得第一名。</t>
    </r>
  </si>
  <si>
    <t>Yǐqián wǒ céng zài tǐyù bǐsài zhōng huòdé dì yī míng.</t>
  </si>
  <si>
    <t>Trước đây tôi từng giành hạng nhất trong cuộc thi thể thao.</t>
  </si>
  <si>
    <t>H3_B6_BG_12.gif</t>
  </si>
  <si>
    <t>H3_B6_12.mp3</t>
  </si>
  <si>
    <t>H3_B6_VD_12.mp3</t>
  </si>
  <si>
    <t>耳机</t>
  </si>
  <si>
    <t>&lt;ruby&gt;耳机&lt;rt&gt;ěrjī&lt;/rt&gt;&lt;/ruby&gt;</t>
  </si>
  <si>
    <t>ěrjī</t>
  </si>
  <si>
    <t>Tai nghe</t>
  </si>
  <si>
    <r>
      <rPr>
        <sz val="11"/>
        <color theme="1"/>
        <rFont val="Calibri"/>
      </rPr>
      <t>我戴上</t>
    </r>
    <r>
      <rPr>
        <b/>
        <sz val="11"/>
        <color theme="1"/>
        <rFont val="Calibri"/>
      </rPr>
      <t>耳机</t>
    </r>
    <r>
      <rPr>
        <sz val="11"/>
        <color theme="1"/>
        <rFont val="Calibri"/>
      </rPr>
      <t>听音乐，不想被打扰。</t>
    </r>
  </si>
  <si>
    <t>Wǒ dài shàng ěrjī tīng yīnyuè, bù xiǎng bèi dărǎo.</t>
  </si>
  <si>
    <t>Tôi đeo tai nghe nghe nhạc, không muốn bị làm phiền.</t>
  </si>
  <si>
    <t>H3_B6_BG_13.gif</t>
  </si>
  <si>
    <t>H3_B6_13.mp3</t>
  </si>
  <si>
    <t>H3_B6_VD_13.mp3</t>
  </si>
  <si>
    <t>充电宝</t>
  </si>
  <si>
    <t>&lt;ruby&gt;充电宝&lt;rt&gt;chōngdiànbǎo&lt;/rt&gt;&lt;/ruby&gt;</t>
  </si>
  <si>
    <t>chōng diàn bǎo</t>
  </si>
  <si>
    <t>Pin dự phòng</t>
  </si>
  <si>
    <r>
      <rPr>
        <sz val="11"/>
        <color theme="1"/>
        <rFont val="Calibri"/>
      </rPr>
      <t>我的手机没电了，我需要用一下你的</t>
    </r>
    <r>
      <rPr>
        <b/>
        <sz val="11"/>
        <color theme="1"/>
        <rFont val="Calibri"/>
      </rPr>
      <t>充电宝</t>
    </r>
    <r>
      <rPr>
        <sz val="11"/>
        <color theme="1"/>
        <rFont val="Calibri"/>
      </rPr>
      <t>。</t>
    </r>
  </si>
  <si>
    <t>Wǒ de shǒujī méi diàn le, wǒ xūyào yòng yíxià nǐ de chōngdiànbǎo.</t>
  </si>
  <si>
    <t>Điện thoại của tôi hết pin rồi, tôi cần dùng pin dự phòng của bạn một chút.</t>
  </si>
  <si>
    <t>H3_B6_BG_14.gif</t>
  </si>
  <si>
    <t>H3_B6_14.mp3</t>
  </si>
  <si>
    <t>H3_B6_VD_14.mp3</t>
  </si>
  <si>
    <t>常用</t>
  </si>
  <si>
    <t>&lt;ruby&gt;常用&lt;rt&gt;cháng yòng&lt;/rt&gt;&lt;/ruby&gt;</t>
  </si>
  <si>
    <t>cháng yòng</t>
  </si>
  <si>
    <t>Thường dùng</t>
  </si>
  <si>
    <r>
      <rPr>
        <sz val="11"/>
        <color theme="1"/>
        <rFont val="Calibri"/>
      </rPr>
      <t>这是一些</t>
    </r>
    <r>
      <rPr>
        <b/>
        <sz val="11"/>
        <color theme="1"/>
        <rFont val="Calibri"/>
      </rPr>
      <t>常用</t>
    </r>
    <r>
      <rPr>
        <sz val="11"/>
        <color theme="1"/>
        <rFont val="Calibri"/>
      </rPr>
      <t>的短语。</t>
    </r>
  </si>
  <si>
    <t>Zhè shì yīxiē chángyòng de duǎn yǔ.</t>
  </si>
  <si>
    <t>Đây là một vài cụm từ thường dùng.</t>
  </si>
  <si>
    <t>H3_B6_BG_15.gif</t>
  </si>
  <si>
    <t>H3_B6_15.mp3</t>
  </si>
  <si>
    <t>H3_B6_VD_15.mp3</t>
  </si>
  <si>
    <t xml:space="preserve">越 </t>
  </si>
  <si>
    <t>&lt;ruby&gt;越&lt;rt&gt;yuè&lt;/rt&gt;&lt;/ruby&gt;</t>
  </si>
  <si>
    <t>Càng</t>
  </si>
  <si>
    <r>
      <rPr>
        <sz val="11"/>
        <color theme="1"/>
        <rFont val="Calibri"/>
      </rPr>
      <t>天气</t>
    </r>
    <r>
      <rPr>
        <b/>
        <sz val="11"/>
        <color theme="1"/>
        <rFont val="Calibri"/>
      </rPr>
      <t>越</t>
    </r>
    <r>
      <rPr>
        <sz val="11"/>
        <color theme="1"/>
        <rFont val="Calibri"/>
      </rPr>
      <t>冷，我越不想起床。</t>
    </r>
  </si>
  <si>
    <t>Tiānqì yuè lěng, wǒ yuè bù xiǎng qǐchuáng.</t>
  </si>
  <si>
    <t>Thời tiết càng lạnh, tôi càng không muốn thức dậy.</t>
  </si>
  <si>
    <t>H3_B6_BG_16.gif</t>
  </si>
  <si>
    <t>H3_B6_16.mp3</t>
  </si>
  <si>
    <t>H3_B6_VD_16.mp3</t>
  </si>
  <si>
    <t>分开</t>
  </si>
  <si>
    <t>&lt;ruby&gt;分开&lt;rt&gt;fēnkāi&lt;/rt&gt;&lt;/ruby&gt;</t>
  </si>
  <si>
    <t>fēn kāi</t>
  </si>
  <si>
    <t>Chia tay</t>
  </si>
  <si>
    <r>
      <rPr>
        <sz val="11"/>
        <color theme="1"/>
        <rFont val="Calibri"/>
      </rPr>
      <t>我们因为性格不合</t>
    </r>
    <r>
      <rPr>
        <b/>
        <sz val="11"/>
        <color theme="1"/>
        <rFont val="Calibri"/>
      </rPr>
      <t>分开</t>
    </r>
    <r>
      <rPr>
        <sz val="11"/>
        <color theme="1"/>
        <rFont val="Calibri"/>
      </rPr>
      <t>了。</t>
    </r>
  </si>
  <si>
    <t>Wǒmen yīnwèi xìnggé bù hé fēnkāi le.</t>
  </si>
  <si>
    <t>Chúng tôi đã chia tay vì tính cách không hợp nhau.</t>
  </si>
  <si>
    <t>H3_B6_BG_17.gif</t>
  </si>
  <si>
    <t>H3_B6_17.mp3</t>
  </si>
  <si>
    <t>H3_B6_VD_17.mp3</t>
  </si>
  <si>
    <t>检查</t>
  </si>
  <si>
    <t>&lt;ruby&gt;检查&lt;rt&gt;jiǎnchá&lt;/rt&gt;&lt;/ruby&gt;</t>
  </si>
  <si>
    <t>jiǎnchá</t>
  </si>
  <si>
    <t>Kiểm tra, khám</t>
  </si>
  <si>
    <r>
      <rPr>
        <sz val="11"/>
        <color theme="1"/>
        <rFont val="Calibri"/>
      </rPr>
      <t>我生病了，今天得去医院</t>
    </r>
    <r>
      <rPr>
        <b/>
        <sz val="11"/>
        <color theme="1"/>
        <rFont val="Calibri"/>
      </rPr>
      <t>检查</t>
    </r>
    <r>
      <rPr>
        <sz val="11"/>
        <color theme="1"/>
        <rFont val="Calibri"/>
      </rPr>
      <t>一下。</t>
    </r>
  </si>
  <si>
    <t>Wǒ shēngbìng le, jīntiān děi qù yīyuàn jiǎnchá yīxià.</t>
  </si>
  <si>
    <t>Tôi bị ốm rồi, hôm nay phải đi bệnh viện khám xem.</t>
  </si>
  <si>
    <t>H3_B6_BG_18.gif</t>
  </si>
  <si>
    <t>H3_B6_18.mp3</t>
  </si>
  <si>
    <t>H3_B6_VD_18.mp3</t>
  </si>
  <si>
    <t>刷</t>
  </si>
  <si>
    <t>&lt;ruby&gt;刷&lt;rt&gt;shuā&lt;/rt&gt;&lt;/ruby&gt;</t>
  </si>
  <si>
    <t>shuā</t>
  </si>
  <si>
    <t>Quét, lướt</t>
  </si>
  <si>
    <r>
      <rPr>
        <sz val="11"/>
        <color theme="1"/>
        <rFont val="Calibri"/>
      </rPr>
      <t>我喜欢躺在沙发上</t>
    </r>
    <r>
      <rPr>
        <b/>
        <sz val="11"/>
        <color theme="1"/>
        <rFont val="Calibri"/>
      </rPr>
      <t>刷</t>
    </r>
    <r>
      <rPr>
        <sz val="11"/>
        <color theme="1"/>
        <rFont val="Calibri"/>
      </rPr>
      <t>手机。</t>
    </r>
  </si>
  <si>
    <t>Wǒ xǐhuān tǎng zài Shāfā shàng shuā shǒujī.</t>
  </si>
  <si>
    <t>Tôi thích nằm trên sofa lướt điện thoại.</t>
  </si>
  <si>
    <t>H3_B6_BG_19.gif</t>
  </si>
  <si>
    <t>H3_B6_19.mp3</t>
  </si>
  <si>
    <t>H3_B6_VD_19.mp3</t>
  </si>
  <si>
    <t>检票</t>
  </si>
  <si>
    <t>&lt;ruby&gt;检票&lt;rt&gt;jiǎnpiào&lt;/rt&gt;&lt;/ruby&gt;</t>
  </si>
  <si>
    <t>jiǎn piào</t>
  </si>
  <si>
    <t>Kiểm tra vé</t>
  </si>
  <si>
    <r>
      <rPr>
        <sz val="11"/>
        <color theme="1"/>
        <rFont val="Calibri"/>
      </rPr>
      <t>请出示您的车票，我们要开始</t>
    </r>
    <r>
      <rPr>
        <b/>
        <sz val="11"/>
        <color theme="1"/>
        <rFont val="Calibri"/>
      </rPr>
      <t>检票</t>
    </r>
    <r>
      <rPr>
        <sz val="11"/>
        <color theme="1"/>
        <rFont val="Calibri"/>
      </rPr>
      <t>了。</t>
    </r>
  </si>
  <si>
    <t>Qǐng chūshì nín de chē piào, wǒmen yào kāishǐ jiǎnpiào le.</t>
  </si>
  <si>
    <t>Vui lòng xuất trình vé của bạn, chúng tôi sắp bắt đầu soát vé rồi.</t>
  </si>
  <si>
    <t>H3_B6_BG_20.gif</t>
  </si>
  <si>
    <t>H3_B6_20.mp3</t>
  </si>
  <si>
    <t>H3_B6_VD_20.mp3</t>
  </si>
  <si>
    <t>电梯</t>
  </si>
  <si>
    <t>&lt;ruby&gt;电梯&lt;rt&gt;diàntī&lt;/rt&gt;&lt;/ruby&gt;</t>
  </si>
  <si>
    <t>diàn tī</t>
  </si>
  <si>
    <t>Thang máy</t>
  </si>
  <si>
    <r>
      <rPr>
        <sz val="11"/>
        <color theme="1"/>
        <rFont val="Calibri"/>
      </rPr>
      <t>我们坐</t>
    </r>
    <r>
      <rPr>
        <b/>
        <sz val="11"/>
        <color theme="1"/>
        <rFont val="Calibri"/>
      </rPr>
      <t>电梯</t>
    </r>
    <r>
      <rPr>
        <sz val="11"/>
        <color theme="1"/>
        <rFont val="Calibri"/>
      </rPr>
      <t>上楼吧。</t>
    </r>
  </si>
  <si>
    <t>Wǒmen zuò diàntī shàng lóu ba.</t>
  </si>
  <si>
    <t>Chúng ta đi thang máy lên lầu đi.</t>
  </si>
  <si>
    <t>H3_B6_BG_21.gif</t>
  </si>
  <si>
    <t>H3_B6_21.mp3</t>
  </si>
  <si>
    <t>H3_B6_VD_21.mp3</t>
  </si>
  <si>
    <t>放假</t>
  </si>
  <si>
    <t>&lt;ruby&gt;放假&lt;rt&gt;fàngjià&lt;/rt&gt;&lt;/ruby&gt;</t>
  </si>
  <si>
    <t>fàng jià</t>
  </si>
  <si>
    <t>Nghỉ phép</t>
  </si>
  <si>
    <r>
      <rPr>
        <sz val="11"/>
        <color theme="1"/>
        <rFont val="Calibri"/>
      </rPr>
      <t>我们明天</t>
    </r>
    <r>
      <rPr>
        <b/>
        <sz val="11"/>
        <color theme="1"/>
        <rFont val="Calibri"/>
      </rPr>
      <t>放假</t>
    </r>
    <r>
      <rPr>
        <sz val="11"/>
        <color theme="1"/>
        <rFont val="Calibri"/>
      </rPr>
      <t>。</t>
    </r>
  </si>
  <si>
    <t>Wǒmen míngtiān fàngjià.</t>
  </si>
  <si>
    <t>Ngày mai chúng tôi được nghỉ.</t>
  </si>
  <si>
    <t>H3_B6_BG_22.gif</t>
  </si>
  <si>
    <t>H3_B6_22.mp3</t>
  </si>
  <si>
    <t>H3_B6_VD_22.mp3</t>
  </si>
  <si>
    <t>沙发</t>
  </si>
  <si>
    <t>&lt;ruby&gt;沙发&lt;rt&gt;Shāfā&lt;/rt&gt;&lt;/ruby&gt;</t>
  </si>
  <si>
    <t>Shāfā</t>
  </si>
  <si>
    <t>Ghế sôpha</t>
  </si>
  <si>
    <r>
      <rPr>
        <sz val="11"/>
        <color theme="1"/>
        <rFont val="Calibri"/>
      </rPr>
      <t>我刚买了这张绿色的</t>
    </r>
    <r>
      <rPr>
        <b/>
        <sz val="11"/>
        <color theme="1"/>
        <rFont val="Calibri"/>
      </rPr>
      <t>沙发</t>
    </r>
    <r>
      <rPr>
        <sz val="11"/>
        <color theme="1"/>
        <rFont val="Calibri"/>
      </rPr>
      <t>。</t>
    </r>
  </si>
  <si>
    <t>Wǒ gāng mǎi le zhè zhāng lǜsè de Shāfā.</t>
  </si>
  <si>
    <t>Tôi vừa mua chiếc ghế sô pha màu xanh này.</t>
  </si>
  <si>
    <t>H3_B6_BG_23.gif</t>
  </si>
  <si>
    <t>H3_B6_23.mp3</t>
  </si>
  <si>
    <t>H3_B6_VD_23.mp3</t>
  </si>
  <si>
    <t>安静</t>
  </si>
  <si>
    <t>&lt;ruby&gt;安静&lt;rt&gt;ānjìng&lt;/rt&gt;&lt;/ruby&gt;</t>
  </si>
  <si>
    <t>ānjìng</t>
  </si>
  <si>
    <t>Yên tĩnh</t>
  </si>
  <si>
    <r>
      <rPr>
        <sz val="11"/>
        <color theme="1"/>
        <rFont val="Calibri"/>
      </rPr>
      <t>他生病了，需要一个</t>
    </r>
    <r>
      <rPr>
        <b/>
        <sz val="11"/>
        <color theme="1"/>
        <rFont val="Calibri"/>
      </rPr>
      <t>安静</t>
    </r>
    <r>
      <rPr>
        <sz val="11"/>
        <color theme="1"/>
        <rFont val="Calibri"/>
      </rPr>
      <t>的环境休息。</t>
    </r>
  </si>
  <si>
    <t>Tā shēngbìng le, xūyào yí ge ānjìng de huánjìng xiūxi.</t>
  </si>
  <si>
    <t>Anh ấy đang bị ốm, cần không gian yên tĩnh để nghỉ ngơi.</t>
  </si>
  <si>
    <t>H3_B6_BG_24.gif</t>
  </si>
  <si>
    <t>H3_B6_24.mp3</t>
  </si>
  <si>
    <t>H3_B6_VD_24.mp3</t>
  </si>
  <si>
    <t>选择</t>
  </si>
  <si>
    <t>&lt;ruby&gt;选择&lt;rt&gt;xuǎnzé&lt;/rt&gt;&lt;/ruby&gt;</t>
  </si>
  <si>
    <t>xuǎnzé</t>
  </si>
  <si>
    <t>Lựa chọn</t>
  </si>
  <si>
    <r>
      <rPr>
        <sz val="11"/>
        <color theme="1"/>
        <rFont val="Calibri"/>
      </rPr>
      <t>在骑自行车和游泳之间，我</t>
    </r>
    <r>
      <rPr>
        <b/>
        <sz val="11"/>
        <color theme="1"/>
        <rFont val="Calibri"/>
      </rPr>
      <t>选择</t>
    </r>
    <r>
      <rPr>
        <sz val="11"/>
        <color theme="1"/>
        <rFont val="Calibri"/>
      </rPr>
      <t>了骑自行车。</t>
    </r>
  </si>
  <si>
    <t>Zài qí zìxíngchē hé yóuyǒng zhī jiān, wǒ xuǎnzé le qí zìxíngchē.</t>
  </si>
  <si>
    <t>Giữa đạp xe và bơi lội thì tôi chọn đạp xe.</t>
  </si>
  <si>
    <t>H3_B6_BG_25.gif</t>
  </si>
  <si>
    <t>H3_B6_25.mp3</t>
  </si>
  <si>
    <t>H3_B6_VD_25.mp3</t>
  </si>
  <si>
    <t>必须</t>
  </si>
  <si>
    <t>&lt;ruby&gt;必须&lt;rt&gt;bìxū&lt;/rt&gt;&lt;/ruby&gt;</t>
  </si>
  <si>
    <t>bìxū</t>
  </si>
  <si>
    <t>Cần phải</t>
  </si>
  <si>
    <r>
      <rPr>
        <sz val="11"/>
        <color theme="1"/>
        <rFont val="Calibri"/>
      </rPr>
      <t>我们</t>
    </r>
    <r>
      <rPr>
        <b/>
        <sz val="11"/>
        <color theme="1"/>
        <rFont val="Calibri"/>
      </rPr>
      <t>必须</t>
    </r>
    <r>
      <rPr>
        <sz val="11"/>
        <color theme="1"/>
        <rFont val="Calibri"/>
      </rPr>
      <t>想办法减少环境污染。</t>
    </r>
  </si>
  <si>
    <t>Wǒmen bìxū xiǎng bànfǎ jiǎnshǎo huánjìng wūrǎn.</t>
  </si>
  <si>
    <t>Chúng ta phải nghĩ cách giảm thiểu ô nhiễm môi trường.</t>
  </si>
  <si>
    <t>H3_B6_BG_26.gif</t>
  </si>
  <si>
    <t>H3_B6_26.mp3</t>
  </si>
  <si>
    <t>H3_B6_VD_26.mp3</t>
  </si>
  <si>
    <t>北京南站</t>
  </si>
  <si>
    <t>&lt;ruby&gt;北京南站&lt;rt&gt;běijīng nánzhàn&lt;/rt&gt;&lt;/ruby&gt;</t>
  </si>
  <si>
    <t>běi jīng nán zhàn</t>
  </si>
  <si>
    <t>Ga Bắc Kinh Nam</t>
  </si>
  <si>
    <r>
      <rPr>
        <sz val="11"/>
        <color theme="1"/>
        <rFont val="Calibri"/>
      </rPr>
      <t>我们去</t>
    </r>
    <r>
      <rPr>
        <b/>
        <sz val="11"/>
        <color theme="1"/>
        <rFont val="Calibri"/>
      </rPr>
      <t>北京南站</t>
    </r>
    <r>
      <rPr>
        <sz val="11"/>
        <color theme="1"/>
        <rFont val="Calibri"/>
      </rPr>
      <t>坐高铁。</t>
    </r>
  </si>
  <si>
    <t>Wǒmen qù běijīngnánzhàn zuò gāotiě.</t>
  </si>
  <si>
    <t>Chúng tôi đến Ga Bắc Kinh Nam để đi tàu cao tốc.</t>
  </si>
  <si>
    <t>H3_B6_BG_27.gif</t>
  </si>
  <si>
    <t>H3_B6_27.mp3</t>
  </si>
  <si>
    <t>H3_B6_VD_27.mp3</t>
  </si>
  <si>
    <t>辆</t>
  </si>
  <si>
    <t>&lt;ruby&gt;辆&lt;rt&gt;liàng&lt;/rt&gt;&lt;/ruby&gt;</t>
  </si>
  <si>
    <t>liàng</t>
  </si>
  <si>
    <t xml:space="preserve">Chiếc (xe) - Lượng từ dành cho xe cộ </t>
  </si>
  <si>
    <r>
      <rPr>
        <sz val="11"/>
        <color theme="1"/>
        <rFont val="Calibri"/>
      </rPr>
      <t>一</t>
    </r>
    <r>
      <rPr>
        <b/>
        <sz val="11"/>
        <color theme="1"/>
        <rFont val="Calibri"/>
      </rPr>
      <t>辆</t>
    </r>
    <r>
      <rPr>
        <sz val="11"/>
        <color theme="1"/>
        <rFont val="Calibri"/>
      </rPr>
      <t>很大的卡车。</t>
    </r>
  </si>
  <si>
    <t>Yí liàng hěn dà de kǎchē.</t>
  </si>
  <si>
    <t>Một chiếc xe tải rất lớn.</t>
  </si>
  <si>
    <t>H3_B7_BG_1.gif</t>
  </si>
  <si>
    <t>H3_B7_1.mp3</t>
  </si>
  <si>
    <t>H3_B7_VD_1.mp3</t>
  </si>
  <si>
    <t>自行车</t>
  </si>
  <si>
    <t>&lt;ruby&gt;自行车&lt;rt&gt;zìxíngchē&lt;/rt&gt;&lt;/ruby&gt;</t>
  </si>
  <si>
    <t>zìxíngchē</t>
  </si>
  <si>
    <t>Xe đạp</t>
  </si>
  <si>
    <r>
      <rPr>
        <sz val="11"/>
        <color theme="1"/>
        <rFont val="Calibri"/>
      </rPr>
      <t>妈妈送给我一辆新</t>
    </r>
    <r>
      <rPr>
        <b/>
        <sz val="11"/>
        <color theme="1"/>
        <rFont val="Calibri"/>
      </rPr>
      <t>自行车</t>
    </r>
    <r>
      <rPr>
        <sz val="11"/>
        <color theme="1"/>
        <rFont val="Calibri"/>
      </rPr>
      <t>。</t>
    </r>
  </si>
  <si>
    <t>Māma sòng gěi wǒ yí liàng xīn zìxíngchē.</t>
  </si>
  <si>
    <t>Mẹ tôi tặng cho tôi một chiếc xe đẹp mới.</t>
  </si>
  <si>
    <t>H3_B7_BG_2.gif</t>
  </si>
  <si>
    <t>H3_B7_2.mp3</t>
  </si>
  <si>
    <t>H3_B7_VD_2.mp3</t>
  </si>
  <si>
    <t>69eaec31073744188a66f3ee</t>
  </si>
  <si>
    <t>旧</t>
  </si>
  <si>
    <t>&lt;ruby&gt;旧&lt;rt&gt;jiù&lt;/rt&gt;&lt;/ruby&gt;</t>
  </si>
  <si>
    <t>Cũ</t>
  </si>
  <si>
    <r>
      <rPr>
        <sz val="11"/>
        <color theme="1"/>
        <rFont val="Calibri"/>
      </rPr>
      <t>: 这本</t>
    </r>
    <r>
      <rPr>
        <b/>
        <sz val="11"/>
        <color theme="1"/>
        <rFont val="Calibri"/>
      </rPr>
      <t>旧</t>
    </r>
    <r>
      <rPr>
        <sz val="11"/>
        <color theme="1"/>
        <rFont val="Calibri"/>
      </rPr>
      <t>书是我的。</t>
    </r>
  </si>
  <si>
    <t>Zhè běn jiù shū shì wǒ de.</t>
  </si>
  <si>
    <t>Quyển sách cũ này là của tôi.</t>
  </si>
  <si>
    <t>H3_B7_BG_3.gif</t>
  </si>
  <si>
    <t>H3_B7_3.mp3</t>
  </si>
  <si>
    <t>H3_B7_VD_3.mp3</t>
  </si>
  <si>
    <t>矮</t>
  </si>
  <si>
    <t>&lt;ruby&gt;矮&lt;rt&gt;ǎi&lt;/rt&gt;&lt;/ruby&gt;</t>
  </si>
  <si>
    <t>ǎi</t>
  </si>
  <si>
    <t>Thấp, lùn</t>
  </si>
  <si>
    <r>
      <rPr>
        <sz val="11"/>
        <color theme="1"/>
        <rFont val="Calibri"/>
      </rPr>
      <t>他的个子很</t>
    </r>
    <r>
      <rPr>
        <b/>
        <sz val="11"/>
        <color theme="1"/>
        <rFont val="Calibri"/>
      </rPr>
      <t>矮</t>
    </r>
    <r>
      <rPr>
        <sz val="11"/>
        <color theme="1"/>
        <rFont val="Calibri"/>
      </rPr>
      <t>。</t>
    </r>
  </si>
  <si>
    <t>Tā de gèzi hěn ǎi.</t>
  </si>
  <si>
    <t>Dáng người của anh ấy rất thấp.</t>
  </si>
  <si>
    <t>H3_B7_BG_4.gif</t>
  </si>
  <si>
    <t>H3_B7_4.mp3</t>
  </si>
  <si>
    <t>H3_B7_VD_4.mp3</t>
  </si>
  <si>
    <r>
      <rPr>
        <sz val="11"/>
        <color theme="1"/>
        <rFont val="Calibri"/>
      </rPr>
      <t>你应该</t>
    </r>
    <r>
      <rPr>
        <b/>
        <sz val="11"/>
        <color theme="1"/>
        <rFont val="Calibri"/>
      </rPr>
      <t>试</t>
    </r>
    <r>
      <rPr>
        <sz val="11"/>
        <color theme="1"/>
        <rFont val="Calibri"/>
      </rPr>
      <t>着学习一项新技能。</t>
    </r>
  </si>
  <si>
    <t>H3_B7_BG_5.gif</t>
  </si>
  <si>
    <t>H3_B7_5.mp3</t>
  </si>
  <si>
    <t>H3_B7_VD_5.mp3</t>
  </si>
  <si>
    <t>黄色</t>
  </si>
  <si>
    <t>&lt;ruby&gt;黄色&lt;rt&gt;huángsè&lt;/rt&gt;&lt;/ruby&gt;</t>
  </si>
  <si>
    <t>huáng sè</t>
  </si>
  <si>
    <t>Màu vàng</t>
  </si>
  <si>
    <r>
      <rPr>
        <sz val="11"/>
        <color theme="1"/>
        <rFont val="Calibri"/>
      </rPr>
      <t>香蕉是</t>
    </r>
    <r>
      <rPr>
        <b/>
        <sz val="11"/>
        <color theme="1"/>
        <rFont val="Calibri"/>
      </rPr>
      <t>黄色</t>
    </r>
    <r>
      <rPr>
        <sz val="11"/>
        <color theme="1"/>
        <rFont val="Calibri"/>
      </rPr>
      <t>的。</t>
    </r>
  </si>
  <si>
    <t>Xiāngjiāo shì huángsè de.</t>
  </si>
  <si>
    <t>Chuối có màu vàng.</t>
  </si>
  <si>
    <t>H3_B7_BG_6.gif</t>
  </si>
  <si>
    <t>H3_B7_6.mp3</t>
  </si>
  <si>
    <t>H3_B7_VD_6.mp3</t>
  </si>
  <si>
    <t>短裤</t>
  </si>
  <si>
    <t>&lt;ruby&gt;短裤&lt;rt&gt;duǎnkù&lt;/rt&gt;&lt;/ruby&gt;</t>
  </si>
  <si>
    <t>duǎn kù</t>
  </si>
  <si>
    <t>Quần short</t>
  </si>
  <si>
    <r>
      <rPr>
        <sz val="11"/>
        <color theme="1"/>
        <rFont val="Calibri"/>
      </rPr>
      <t>夏天我喜欢穿</t>
    </r>
    <r>
      <rPr>
        <b/>
        <sz val="11"/>
        <color theme="1"/>
        <rFont val="Calibri"/>
      </rPr>
      <t>短裤</t>
    </r>
    <r>
      <rPr>
        <sz val="11"/>
        <color theme="1"/>
        <rFont val="Calibri"/>
      </rPr>
      <t>。</t>
    </r>
  </si>
  <si>
    <t>Xiàtiān wǒ xǐhuān chuān duǎnkù.</t>
  </si>
  <si>
    <t>Mùa hè tôi thích mặc quần short.</t>
  </si>
  <si>
    <t>H3_B7_BG_7.gif</t>
  </si>
  <si>
    <t>H3_B7_7.mp3</t>
  </si>
  <si>
    <t>H3_B7_VD_7.mp3</t>
  </si>
  <si>
    <t>大小</t>
  </si>
  <si>
    <t>&lt;ruby&gt;大小&lt;rt&gt;dàxiǎo&lt;/rt&gt;&lt;/ruby&gt;</t>
  </si>
  <si>
    <t>dà xiǎo</t>
  </si>
  <si>
    <t>Kích cỡ</t>
  </si>
  <si>
    <r>
      <rPr>
        <sz val="11"/>
        <color theme="1"/>
        <rFont val="Calibri"/>
      </rPr>
      <t>这两件衣服</t>
    </r>
    <r>
      <rPr>
        <b/>
        <sz val="11"/>
        <color theme="1"/>
        <rFont val="Calibri"/>
      </rPr>
      <t>大小</t>
    </r>
    <r>
      <rPr>
        <sz val="11"/>
        <color theme="1"/>
        <rFont val="Calibri"/>
      </rPr>
      <t>不一样。</t>
    </r>
  </si>
  <si>
    <t>Zhè liǎng jiàn yīfú dàxiǎo bù yīyàng.</t>
  </si>
  <si>
    <t>Kích cỡ của hai bộ quần áo này không giống nhau.</t>
  </si>
  <si>
    <t>H3_B7_BG_8.gif</t>
  </si>
  <si>
    <t>H3_B7_8.mp3</t>
  </si>
  <si>
    <t>H3_B7_VD_8.mp3</t>
  </si>
  <si>
    <t>合适</t>
  </si>
  <si>
    <t>&lt;ruby&gt;合适&lt;rt&gt;héshì&lt;/rt&gt;&lt;/ruby&gt;</t>
  </si>
  <si>
    <t>héshì</t>
  </si>
  <si>
    <t>Thích hợp</t>
  </si>
  <si>
    <r>
      <rPr>
        <sz val="11"/>
        <color theme="1"/>
        <rFont val="Calibri"/>
      </rPr>
      <t>我觉得她是最</t>
    </r>
    <r>
      <rPr>
        <b/>
        <sz val="11"/>
        <color theme="1"/>
        <rFont val="Calibri"/>
      </rPr>
      <t>合适</t>
    </r>
    <r>
      <rPr>
        <sz val="11"/>
        <color theme="1"/>
        <rFont val="Calibri"/>
      </rPr>
      <t>我的人。</t>
    </r>
  </si>
  <si>
    <t>Wǒ juéde tā shì zuì héshì wǒ de rén.</t>
  </si>
  <si>
    <t>Tôi thấy cô ấy là người phù hợp nhất với mình.</t>
  </si>
  <si>
    <t>H3_B7_BG_9.gif</t>
  </si>
  <si>
    <t>H3_B7_9.mp3</t>
  </si>
  <si>
    <t>H3_B7_VD_9.mp3</t>
  </si>
  <si>
    <t>裙子</t>
  </si>
  <si>
    <t>&lt;ruby&gt;裙子&lt;rt&gt;qúnzi&lt;/rt&gt;&lt;/ruby&gt;</t>
  </si>
  <si>
    <t>qúnzi</t>
  </si>
  <si>
    <t>Váy</t>
  </si>
  <si>
    <r>
      <rPr>
        <sz val="11"/>
        <color theme="1"/>
        <rFont val="Calibri"/>
      </rPr>
      <t>这条红</t>
    </r>
    <r>
      <rPr>
        <b/>
        <sz val="11"/>
        <color theme="1"/>
        <rFont val="Calibri"/>
      </rPr>
      <t>裙子</t>
    </r>
    <r>
      <rPr>
        <sz val="11"/>
        <color theme="1"/>
        <rFont val="Calibri"/>
      </rPr>
      <t>真好看。</t>
    </r>
  </si>
  <si>
    <t>Zhè tiáo hóng qúnzi zhēn hǎokàn.</t>
  </si>
  <si>
    <t>Chiếc váy đỏ này thật đẹp.</t>
  </si>
  <si>
    <t>H3_B7_BG_10.gif</t>
  </si>
  <si>
    <t>H3_B7_10.mp3</t>
  </si>
  <si>
    <t>H3_B7_VD_10.mp3</t>
  </si>
  <si>
    <r>
      <rPr>
        <sz val="11"/>
        <color theme="1"/>
        <rFont val="Calibri"/>
      </rPr>
      <t>他比我，谁</t>
    </r>
    <r>
      <rPr>
        <b/>
        <sz val="11"/>
        <color theme="1"/>
        <rFont val="Calibri"/>
      </rPr>
      <t>更</t>
    </r>
    <r>
      <rPr>
        <sz val="11"/>
        <color theme="1"/>
        <rFont val="Calibri"/>
      </rPr>
      <t>厉害？</t>
    </r>
  </si>
  <si>
    <t>H3_B7_BG_11.gif</t>
  </si>
  <si>
    <t>H3_B7_11.mp3</t>
  </si>
  <si>
    <t>H3_B7_VD_11.mp3</t>
  </si>
  <si>
    <t>决定</t>
  </si>
  <si>
    <t>&lt;ruby&gt;决定&lt;rt&gt;juédìng&lt;/rt&gt;&lt;/ruby&gt;</t>
  </si>
  <si>
    <t>juédìng</t>
  </si>
  <si>
    <t>Quyết định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</si>
  <si>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决定</t>
    </r>
    <r>
      <rPr>
        <sz val="11"/>
        <color theme="1"/>
        <rFont val="Calibri"/>
      </rPr>
      <t>每天锻炼身体。</t>
    </r>
  </si>
  <si>
    <t>Tā juédìng měitiān duànliàn shēntǐ.</t>
  </si>
  <si>
    <t>Cô ấy quyết định tập thể dục mỗi ngày.</t>
  </si>
  <si>
    <t>H3_B7_BG_12.gif</t>
  </si>
  <si>
    <t>H3_B7_12.mp3</t>
  </si>
  <si>
    <t>H3_B7_VD_12.mp3</t>
  </si>
  <si>
    <t>西瓜</t>
  </si>
  <si>
    <t>&lt;ruby&gt;西瓜&lt;rt&gt;xīguā&lt;/rt&gt;&lt;/ruby&gt;</t>
  </si>
  <si>
    <t>xīguā</t>
  </si>
  <si>
    <t>Dưa hấu</t>
  </si>
  <si>
    <r>
      <rPr>
        <sz val="11"/>
        <color theme="1"/>
        <rFont val="Calibri"/>
      </rPr>
      <t>这个</t>
    </r>
    <r>
      <rPr>
        <b/>
        <sz val="11"/>
        <color theme="1"/>
        <rFont val="Calibri"/>
      </rPr>
      <t>西瓜</t>
    </r>
    <r>
      <rPr>
        <sz val="11"/>
        <color theme="1"/>
        <rFont val="Calibri"/>
      </rPr>
      <t>很甜。</t>
    </r>
  </si>
  <si>
    <t>Zhège xīguā hěn tián.</t>
  </si>
  <si>
    <t>Quả dưa hấu này rất ngọt</t>
  </si>
  <si>
    <t>H3_B7_BG_13.gif</t>
  </si>
  <si>
    <t>H3_B7_13.mp3</t>
  </si>
  <si>
    <t>H3_B7_VD_13.mp3</t>
  </si>
  <si>
    <t>新鲜</t>
  </si>
  <si>
    <t>&lt;ruby&gt;新鲜&lt;rt&gt;xīnxiān&lt;/rt&gt;&lt;/ruby&gt;</t>
  </si>
  <si>
    <t>xīnxiān</t>
  </si>
  <si>
    <t>Tươi, mới</t>
  </si>
  <si>
    <r>
      <rPr>
        <sz val="11"/>
        <color theme="1"/>
        <rFont val="Calibri"/>
      </rPr>
      <t>水果很</t>
    </r>
    <r>
      <rPr>
        <b/>
        <sz val="11"/>
        <color theme="1"/>
        <rFont val="Calibri"/>
      </rPr>
      <t>新鲜</t>
    </r>
    <r>
      <rPr>
        <sz val="11"/>
        <color theme="1"/>
        <rFont val="Calibri"/>
      </rPr>
      <t>。</t>
    </r>
  </si>
  <si>
    <t>Shuǐguǒ hěn xīnxiān.</t>
  </si>
  <si>
    <t>Trái cây rất tươi.</t>
  </si>
  <si>
    <t>H3_B7_BG_14.gif</t>
  </si>
  <si>
    <t>H3_B7_14.mp3</t>
  </si>
  <si>
    <t>H3_B7_VD_14.mp3</t>
  </si>
  <si>
    <t>甜</t>
  </si>
  <si>
    <t>&lt;ruby&gt;甜&lt;rt&gt;tián&lt;/rt&gt;&lt;/ruby&gt;</t>
  </si>
  <si>
    <t>tián</t>
  </si>
  <si>
    <t>Ngọt</t>
  </si>
  <si>
    <r>
      <rPr>
        <sz val="11"/>
        <color theme="1"/>
        <rFont val="Calibri"/>
      </rPr>
      <t>糖果又</t>
    </r>
    <r>
      <rPr>
        <b/>
        <sz val="11"/>
        <color theme="1"/>
        <rFont val="Calibri"/>
      </rPr>
      <t>甜</t>
    </r>
    <r>
      <rPr>
        <sz val="11"/>
        <color theme="1"/>
        <rFont val="Calibri"/>
      </rPr>
      <t>又好吃。</t>
    </r>
  </si>
  <si>
    <t>Tángguǒ yòu tián yòu hǎo chī.</t>
  </si>
  <si>
    <t>Kẹo vừa ngọt vừa ngon.</t>
  </si>
  <si>
    <t>H3_B7_BG_15.gif</t>
  </si>
  <si>
    <t>H3_B7_15.mp3</t>
  </si>
  <si>
    <t>H3_B7_VD_15.mp3</t>
  </si>
  <si>
    <t>公斤</t>
  </si>
  <si>
    <t>&lt;ruby&gt;公斤&lt;rt&gt;gōngjīn&lt;/rt&gt;&lt;/ruby&gt;</t>
  </si>
  <si>
    <t>gōngjīn</t>
  </si>
  <si>
    <t>kilôgram</t>
  </si>
  <si>
    <r>
      <rPr>
        <sz val="11"/>
        <color theme="1"/>
        <rFont val="Calibri"/>
      </rPr>
      <t>这袋蔬菜重1</t>
    </r>
    <r>
      <rPr>
        <b/>
        <sz val="11"/>
        <color theme="1"/>
        <rFont val="Calibri"/>
      </rPr>
      <t>公斤</t>
    </r>
    <r>
      <rPr>
        <sz val="11"/>
        <color theme="1"/>
        <rFont val="Calibri"/>
      </rPr>
      <t>。</t>
    </r>
  </si>
  <si>
    <t>Zhè dài shūcài zhòng 1 gōngjīn.</t>
  </si>
  <si>
    <t>Túi rau củ này nặng 1kg.</t>
  </si>
  <si>
    <t>H3_B7_BG_16.gif</t>
  </si>
  <si>
    <t>H3_B7_16.mp3</t>
  </si>
  <si>
    <t>H3_B7_VD_16.mp3</t>
  </si>
  <si>
    <t>冰</t>
  </si>
  <si>
    <t>&lt;ruby&gt;冰&lt;rt&gt;bīng&lt;/rt&gt;&lt;/ruby&gt;</t>
  </si>
  <si>
    <t>bīng</t>
  </si>
  <si>
    <t>Động từ/ Danh từ</t>
  </si>
  <si>
    <t>Đóng băng/ Kem</t>
  </si>
  <si>
    <r>
      <rPr>
        <sz val="11"/>
        <color theme="1"/>
        <rFont val="Calibri"/>
      </rPr>
      <t>天气很热，我想吃</t>
    </r>
    <r>
      <rPr>
        <b/>
        <sz val="11"/>
        <color theme="1"/>
        <rFont val="Calibri"/>
      </rPr>
      <t>冰</t>
    </r>
    <r>
      <rPr>
        <sz val="11"/>
        <color theme="1"/>
        <rFont val="Calibri"/>
      </rPr>
      <t>。</t>
    </r>
  </si>
  <si>
    <t>Tiānqì hěn rè, wǒ xiǎng chī bīng.</t>
  </si>
  <si>
    <t>Trời rất nóng, tôi muốn ăn kem.</t>
  </si>
  <si>
    <t>H3_B7_BG_17.gif</t>
  </si>
  <si>
    <t>H3_B7_17.mp3</t>
  </si>
  <si>
    <t>H3_B7_VD_17.mp3</t>
  </si>
  <si>
    <t>极</t>
  </si>
  <si>
    <t>&lt;ruby&gt;极&lt;rt&gt;jí&lt;/rt&gt;&lt;/ruby&gt;</t>
  </si>
  <si>
    <t xml:space="preserve">Cực </t>
  </si>
  <si>
    <r>
      <rPr>
        <sz val="11"/>
        <color theme="1"/>
        <rFont val="Calibri"/>
      </rPr>
      <t>今天天气热</t>
    </r>
    <r>
      <rPr>
        <b/>
        <sz val="11"/>
        <color theme="1"/>
        <rFont val="Calibri"/>
      </rPr>
      <t>极</t>
    </r>
    <r>
      <rPr>
        <sz val="11"/>
        <color theme="1"/>
        <rFont val="Calibri"/>
      </rPr>
      <t>了。</t>
    </r>
  </si>
  <si>
    <t>Jīntiān tiānqì rè jí le.</t>
  </si>
  <si>
    <t>Hôm nay thời tiết nóng cực kỳ.</t>
  </si>
  <si>
    <t>H3_B7_BG_18.gif</t>
  </si>
  <si>
    <t>H3_B7_18.mp3</t>
  </si>
  <si>
    <t>H3_B7_VD_18.mp3</t>
  </si>
  <si>
    <t>Cân</t>
  </si>
  <si>
    <r>
      <rPr>
        <sz val="11"/>
        <color theme="1"/>
        <rFont val="Calibri"/>
      </rPr>
      <t>我要一</t>
    </r>
    <r>
      <rPr>
        <b/>
        <sz val="11"/>
        <color theme="1"/>
        <rFont val="Calibri"/>
      </rPr>
      <t>斤</t>
    </r>
    <r>
      <rPr>
        <sz val="11"/>
        <color theme="1"/>
        <rFont val="Calibri"/>
      </rPr>
      <t>苹果。</t>
    </r>
  </si>
  <si>
    <t>Wǒ yào yī jīn píngguǒ.</t>
  </si>
  <si>
    <t>Tôi muốn một cân táo.</t>
  </si>
  <si>
    <t>H3_B7_BG_19.gif</t>
  </si>
  <si>
    <t>H3_B7_19.mp3</t>
  </si>
  <si>
    <t>H3_B7_VD_19.mp3</t>
  </si>
  <si>
    <t>香蕉</t>
  </si>
  <si>
    <t>&lt;ruby&gt;香蕉&lt;rt&gt;xiāngjiāo&lt;/rt&gt;&lt;/ruby&gt;</t>
  </si>
  <si>
    <t>xiāngjiāo</t>
  </si>
  <si>
    <t>Chuối tiêu</t>
  </si>
  <si>
    <r>
      <rPr>
        <sz val="11"/>
        <color theme="1"/>
        <rFont val="Calibri"/>
      </rPr>
      <t>我很喜欢吃</t>
    </r>
    <r>
      <rPr>
        <b/>
        <sz val="11"/>
        <color theme="1"/>
        <rFont val="Calibri"/>
      </rPr>
      <t>香蕉</t>
    </r>
    <r>
      <rPr>
        <sz val="11"/>
        <color theme="1"/>
        <rFont val="Calibri"/>
      </rPr>
      <t>。</t>
    </r>
  </si>
  <si>
    <t>Wǒ hěn xǐhuan chī xiāngjiāo.</t>
  </si>
  <si>
    <t>Tôi rất thích ăn chuối.</t>
  </si>
  <si>
    <t>H3_B7_BG_20.gif</t>
  </si>
  <si>
    <t>H3_B7_20.mp3</t>
  </si>
  <si>
    <t>H3_B7_VD_20.mp3</t>
  </si>
  <si>
    <t>一共</t>
  </si>
  <si>
    <t>&lt;ruby&gt;一共&lt;rt&gt;yígòng&lt;/rt&gt;&lt;/ruby&gt;</t>
  </si>
  <si>
    <t>yígòng</t>
  </si>
  <si>
    <t>Tổng cộng</t>
  </si>
  <si>
    <r>
      <rPr>
        <sz val="11"/>
        <color theme="1"/>
        <rFont val="Calibri"/>
      </rPr>
      <t>这些东西</t>
    </r>
    <r>
      <rPr>
        <b/>
        <sz val="11"/>
        <color theme="1"/>
        <rFont val="Calibri"/>
      </rPr>
      <t>一共</t>
    </r>
    <r>
      <rPr>
        <sz val="11"/>
        <color theme="1"/>
        <rFont val="Calibri"/>
      </rPr>
      <t>花了八百五十万越南盾。</t>
    </r>
  </si>
  <si>
    <t>Zhèxiē dōngxi yīgòng huā le bābǎi wǔshí wàn Yuènándùn.</t>
  </si>
  <si>
    <t>Chỗ hàng này hết tổng cộng 8 triệu rưỡi.</t>
  </si>
  <si>
    <t>H3_B7_BG_21.gif</t>
  </si>
  <si>
    <t>H3_B7_21.mp3</t>
  </si>
  <si>
    <t>H3_B7_VD_21.mp3</t>
  </si>
  <si>
    <t>毛</t>
  </si>
  <si>
    <t>&lt;ruby&gt;毛&lt;rt&gt;máo&lt;/rt&gt;&lt;/ruby&gt;</t>
  </si>
  <si>
    <t>máo</t>
  </si>
  <si>
    <t>Lông</t>
  </si>
  <si>
    <r>
      <rPr>
        <sz val="11"/>
        <color theme="1"/>
        <rFont val="Calibri"/>
      </rPr>
      <t>这根羽</t>
    </r>
    <r>
      <rPr>
        <b/>
        <sz val="11"/>
        <color theme="1"/>
        <rFont val="Calibri"/>
      </rPr>
      <t>毛</t>
    </r>
    <r>
      <rPr>
        <sz val="11"/>
        <color theme="1"/>
        <rFont val="Calibri"/>
      </rPr>
      <t>的颜色真漂亮。</t>
    </r>
  </si>
  <si>
    <t>Zhè gēn yǔ máo de yánsè zhēn piàoliang.</t>
  </si>
  <si>
    <t>Cái lông vũ này có màu sắc thật đẹp.</t>
  </si>
  <si>
    <t>H3_B7_BG_22.gif</t>
  </si>
  <si>
    <t>H3_B7_22.mp3</t>
  </si>
  <si>
    <t>H3_B7_VD_22.mp3</t>
  </si>
  <si>
    <t>结婚</t>
  </si>
  <si>
    <t>&lt;ruby&gt;结婚&lt;rt&gt;jiéhūn&lt;/rt&gt;&lt;/ruby&gt;</t>
  </si>
  <si>
    <t>jiéhūn</t>
  </si>
  <si>
    <t xml:space="preserve">Kết hôn, cưới </t>
  </si>
  <si>
    <r>
      <rPr>
        <sz val="11"/>
        <color theme="1"/>
        <rFont val="Calibri"/>
      </rPr>
      <t>我打算今年年底</t>
    </r>
    <r>
      <rPr>
        <b/>
        <sz val="11"/>
        <color theme="1"/>
        <rFont val="Calibri"/>
      </rPr>
      <t>结婚</t>
    </r>
    <r>
      <rPr>
        <sz val="11"/>
        <color theme="1"/>
        <rFont val="Calibri"/>
      </rPr>
      <t>。</t>
    </r>
  </si>
  <si>
    <t>Wǒ dǎsuan jīnnián niándǐ jiéhūn.</t>
  </si>
  <si>
    <t>Cuối năm nay tôi sẽ kết hôn.</t>
  </si>
  <si>
    <t>H3_B7_BG_23.gif</t>
  </si>
  <si>
    <t>H3_B7_23.mp3</t>
  </si>
  <si>
    <t>H3_B7_VD_23.mp3</t>
  </si>
  <si>
    <t>不但</t>
  </si>
  <si>
    <t>&lt;ruby&gt;不但&lt;rt&gt;bùdàn...(érqiě...)&lt;/rt&gt;&lt;/ruby&gt;</t>
  </si>
  <si>
    <t>bùdàn...(érqiě...)</t>
  </si>
  <si>
    <t>Không những... (mà còn...)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</si>
  <si>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不但</t>
    </r>
    <r>
      <rPr>
        <sz val="11"/>
        <color theme="1"/>
        <rFont val="Calibri"/>
      </rPr>
      <t>漂亮，而且聪明。</t>
    </r>
  </si>
  <si>
    <t>Tā bùdàn piàoliang, érqiě cōngmíng.</t>
  </si>
  <si>
    <t>Cô ấy không chỉ xinh đẹp mà còn thông minh.</t>
  </si>
  <si>
    <t>H3_B7_BG_24.gif</t>
  </si>
  <si>
    <t>H3_B7_24.mp3</t>
  </si>
  <si>
    <t>H3_B7_VD_24.mp3</t>
  </si>
  <si>
    <t>而且</t>
  </si>
  <si>
    <t>&lt;ruby&gt;而且&lt;rt&gt;(bùdàn...)érqiě...&lt;/rt&gt;&lt;/ruby&gt;</t>
  </si>
  <si>
    <t>(bùdàn...)érqiě...</t>
  </si>
  <si>
    <t>(Không những...) mà còn...</t>
  </si>
  <si>
    <r>
      <rPr>
        <sz val="11"/>
        <color theme="1"/>
        <rFont val="Calibri"/>
      </rPr>
      <t>他不但跑得快，</t>
    </r>
    <r>
      <rPr>
        <b/>
        <sz val="11"/>
        <color theme="1"/>
        <rFont val="Calibri"/>
      </rPr>
      <t>而且</t>
    </r>
    <r>
      <rPr>
        <sz val="11"/>
        <color theme="1"/>
        <rFont val="Calibri"/>
      </rPr>
      <t>游泳很好。</t>
    </r>
  </si>
  <si>
    <t>Tā bùdàn pǎo de kuài, érqiě yóuyǒng hěn hǎo.</t>
  </si>
  <si>
    <t>Anh ấy không chỉ chạy nhanh mà còn bơi giỏi.</t>
  </si>
  <si>
    <t>H3_B7_BG_25.gif</t>
  </si>
  <si>
    <t>H3_B7_25.mp3</t>
  </si>
  <si>
    <t>H3_B7_VD_25.mp3</t>
  </si>
  <si>
    <t>声</t>
  </si>
  <si>
    <t>&lt;ruby&gt;声&lt;rt&gt;shēng&lt;/rt&gt;&lt;/ruby&gt;</t>
  </si>
  <si>
    <t>shēng</t>
  </si>
  <si>
    <t xml:space="preserve">Lượng từ/ Danh từ </t>
  </si>
  <si>
    <t>Âm thanh</t>
  </si>
  <si>
    <r>
      <rPr>
        <sz val="11"/>
        <color theme="1"/>
        <rFont val="Calibri"/>
      </rPr>
      <t>突然传来一</t>
    </r>
    <r>
      <rPr>
        <b/>
        <sz val="11"/>
        <color theme="1"/>
        <rFont val="Calibri"/>
      </rPr>
      <t>声</t>
    </r>
    <r>
      <rPr>
        <sz val="11"/>
        <color theme="1"/>
        <rFont val="Calibri"/>
      </rPr>
      <t>巨响。</t>
    </r>
  </si>
  <si>
    <t>Tūrán chuán lái yī shēng jù xiǎng.</t>
  </si>
  <si>
    <t>Đột nhiên vang lên một tiếng động lớn.</t>
  </si>
  <si>
    <t>H3_B7_BG_26.gif</t>
  </si>
  <si>
    <t>H3_B7_26.mp3</t>
  </si>
  <si>
    <t>H3_B7_VD_26.mp3</t>
  </si>
  <si>
    <t>开机</t>
  </si>
  <si>
    <t>&lt;ruby&gt;开机&lt;rt&gt;kāijī&lt;/rt&gt;&lt;/ruby&gt;</t>
  </si>
  <si>
    <t>kāi jī</t>
  </si>
  <si>
    <t>Mở máy, khởi động máy</t>
  </si>
  <si>
    <r>
      <rPr>
        <sz val="11"/>
        <color theme="1"/>
        <rFont val="Calibri"/>
      </rPr>
      <t>我每天早上第一件事就是</t>
    </r>
    <r>
      <rPr>
        <b/>
        <sz val="11"/>
        <color theme="1"/>
        <rFont val="Calibri"/>
      </rPr>
      <t>开机</t>
    </r>
    <r>
      <rPr>
        <sz val="11"/>
        <color theme="1"/>
        <rFont val="Calibri"/>
      </rPr>
      <t>。</t>
    </r>
  </si>
  <si>
    <t>Wǒ měi tiān zǎoshang dìyī jiàn shì jiù shì kāijī.</t>
  </si>
  <si>
    <t>Việc đầu tiên tôi làm mỗi sáng là bật máy tính.</t>
  </si>
  <si>
    <t>H3_B7_BG_27.gif</t>
  </si>
  <si>
    <t>H3_B7_27.mp3</t>
  </si>
  <si>
    <t>H3_B7_VD_27.mp3</t>
  </si>
  <si>
    <t>最近</t>
  </si>
  <si>
    <t>&lt;ruby&gt;最近&lt;rt&gt;zuìjìn&lt;/rt&gt;&lt;/ruby&gt;</t>
  </si>
  <si>
    <t>zuìjìn</t>
  </si>
  <si>
    <t>Gần đây, mới đây, dạo này</t>
  </si>
  <si>
    <r>
      <rPr>
        <b/>
        <sz val="11"/>
        <color theme="1"/>
        <rFont val="Calibri"/>
      </rPr>
      <t>最近</t>
    </r>
    <r>
      <rPr>
        <sz val="11"/>
        <color theme="1"/>
        <rFont val="Calibri"/>
      </rPr>
      <t>的天气好热。</t>
    </r>
  </si>
  <si>
    <t>Zuìjìn de tiānqì hǎo rè.</t>
  </si>
  <si>
    <t>Thời tiết gần đây thật nóng.</t>
  </si>
  <si>
    <t>H3_B8_BG_1.gif</t>
  </si>
  <si>
    <t>H3_B8_1.mp3</t>
  </si>
  <si>
    <t>H3_B8_VD_1.mp3</t>
  </si>
  <si>
    <t>常</t>
  </si>
  <si>
    <t>&lt;ruby&gt;常&lt;rt&gt;cháng&lt;/rt&gt;&lt;/ruby&gt;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</si>
  <si>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常</t>
    </r>
    <r>
      <rPr>
        <sz val="11"/>
        <color theme="1"/>
        <rFont val="Calibri"/>
      </rPr>
      <t>去图书馆看书。</t>
    </r>
  </si>
  <si>
    <t>Tā cháng qù túshūguǎn kàn shū.</t>
  </si>
  <si>
    <t>Anh ấy thường xuyên đến thư viện đọc sách.</t>
  </si>
  <si>
    <t>H3_B8_BG_2.gif</t>
  </si>
  <si>
    <t>H3_B8_2.mp3</t>
  </si>
  <si>
    <t>H3_B8_VD_2.mp3</t>
  </si>
  <si>
    <t>69eaec31073744188a66f3ed</t>
  </si>
  <si>
    <t>体育馆</t>
  </si>
  <si>
    <t>&lt;ruby&gt;体育馆&lt;rt&gt;Tǐyùguǎn&lt;/rt&gt;&lt;/ruby&gt;</t>
  </si>
  <si>
    <t>Tǐyùguǎn</t>
  </si>
  <si>
    <t>Nhà thi đấu</t>
  </si>
  <si>
    <r>
      <rPr>
        <sz val="11"/>
        <color theme="1"/>
        <rFont val="Calibri"/>
      </rPr>
      <t>明天我会和朋友一起去</t>
    </r>
    <r>
      <rPr>
        <b/>
        <sz val="11"/>
        <color theme="1"/>
        <rFont val="Calibri"/>
      </rPr>
      <t>体育馆</t>
    </r>
    <r>
      <rPr>
        <sz val="11"/>
        <color theme="1"/>
        <rFont val="Calibri"/>
      </rPr>
      <t>。</t>
    </r>
  </si>
  <si>
    <t>Míngtiān wǒ huì hé péngyǒu yīqǐ qù Tǐyùguǎn.</t>
  </si>
  <si>
    <t>Ngày mai tôi sẽ đến nhà thi đấu với bạn bè.</t>
  </si>
  <si>
    <t>H3_B8_BG_3.gif</t>
  </si>
  <si>
    <t>H3_B8_3.mp3</t>
  </si>
  <si>
    <t>H3_B8_VD_3.mp3</t>
  </si>
  <si>
    <t>习惯</t>
  </si>
  <si>
    <t>&lt;ruby&gt;习惯&lt;rt&gt;xíguàn&lt;/rt&gt;&lt;/ruby&gt;</t>
  </si>
  <si>
    <t>xíguàn</t>
  </si>
  <si>
    <t>Quen; Thói quen</t>
  </si>
  <si>
    <r>
      <rPr>
        <sz val="11"/>
        <color theme="1"/>
        <rFont val="Calibri"/>
      </rPr>
      <t>我妹妹有每天早上看书的</t>
    </r>
    <r>
      <rPr>
        <b/>
        <sz val="11"/>
        <color theme="1"/>
        <rFont val="Calibri"/>
      </rPr>
      <t>习惯</t>
    </r>
    <r>
      <rPr>
        <sz val="11"/>
        <color theme="1"/>
        <rFont val="Calibri"/>
      </rPr>
      <t>。</t>
    </r>
  </si>
  <si>
    <t>Wǒ mèimei yǒu měitiān zǎoshang kàn shū de xíguàn.</t>
  </si>
  <si>
    <t>Em gái tôi có thói quen đọc sách vào mỗi sáng.</t>
  </si>
  <si>
    <t>H3_B8_BG_4.gif</t>
  </si>
  <si>
    <t>H3_B8_4.mp3</t>
  </si>
  <si>
    <t>H3_B8_VD_4.mp3</t>
  </si>
  <si>
    <t>胖</t>
  </si>
  <si>
    <t>&lt;ruby&gt;胖&lt;rt&gt;pàng&lt;/rt&gt;&lt;/ruby&gt;</t>
  </si>
  <si>
    <t>pàng</t>
  </si>
  <si>
    <t>Mập, béo</t>
  </si>
  <si>
    <r>
      <rPr>
        <sz val="11"/>
        <color theme="1"/>
        <rFont val="Calibri"/>
      </rPr>
      <t>小明很</t>
    </r>
    <r>
      <rPr>
        <b/>
        <sz val="11"/>
        <color theme="1"/>
        <rFont val="Calibri"/>
      </rPr>
      <t>胖</t>
    </r>
    <r>
      <rPr>
        <sz val="11"/>
        <color theme="1"/>
        <rFont val="Calibri"/>
      </rPr>
      <t>。</t>
    </r>
  </si>
  <si>
    <t>Xiǎomíng hěn pàng.</t>
  </si>
  <si>
    <t>Tiểu Minh rất mập.</t>
  </si>
  <si>
    <t>H3_B8_BG_5.gif</t>
  </si>
  <si>
    <t>H3_B8_5.mp3</t>
  </si>
  <si>
    <t>H3_B8_VD_5.mp3</t>
  </si>
  <si>
    <t>健康</t>
  </si>
  <si>
    <t>&lt;ruby&gt;健康&lt;rt&gt;jiànkāng&lt;/rt&gt;&lt;/ruby&gt;</t>
  </si>
  <si>
    <t>jiàn kāng</t>
  </si>
  <si>
    <t>Khoẻ mạnh</t>
  </si>
  <si>
    <r>
      <rPr>
        <sz val="11"/>
        <color theme="1"/>
        <rFont val="Calibri"/>
      </rPr>
      <t>他身体很</t>
    </r>
    <r>
      <rPr>
        <b/>
        <sz val="11"/>
        <color theme="1"/>
        <rFont val="Calibri"/>
      </rPr>
      <t>健康</t>
    </r>
    <r>
      <rPr>
        <sz val="11"/>
        <color theme="1"/>
        <rFont val="Calibri"/>
      </rPr>
      <t>。</t>
    </r>
  </si>
  <si>
    <t>Tā shēntǐ hěn jiànkāng.</t>
  </si>
  <si>
    <t>Anh ấy rất khỏe mạnh.</t>
  </si>
  <si>
    <t>H3_B8_BG_6.gif</t>
  </si>
  <si>
    <t>H3_B8_6.mp3</t>
  </si>
  <si>
    <t>H3_B8_VD_6.mp3</t>
  </si>
  <si>
    <t>以后</t>
  </si>
  <si>
    <t>&lt;ruby&gt;以后&lt;rt&gt;yǐhòu&lt;/rt&gt;&lt;/ruby&gt;</t>
  </si>
  <si>
    <t>yǐhòu</t>
  </si>
  <si>
    <t>Sau này</t>
  </si>
  <si>
    <r>
      <rPr>
        <b/>
        <sz val="11"/>
        <color theme="1"/>
        <rFont val="Calibri"/>
      </rPr>
      <t>以后</t>
    </r>
    <r>
      <rPr>
        <sz val="11"/>
        <color theme="1"/>
        <rFont val="Calibri"/>
      </rPr>
      <t>我想成为一名医生。</t>
    </r>
  </si>
  <si>
    <t>Yǐhòu wǒ xiǎng chéngwéi yì míng yīshēng.</t>
  </si>
  <si>
    <t>Về sau mình muốn trở thành bác sĩ.</t>
  </si>
  <si>
    <t>H3_B8_BG_7.gif</t>
  </si>
  <si>
    <t>H3_B8_7.mp3</t>
  </si>
  <si>
    <t>H3_B8_VD_7.mp3</t>
  </si>
  <si>
    <t>羽毛球</t>
  </si>
  <si>
    <t>&lt;ruby&gt;羽毛球&lt;rt&gt;yǔmáoqiú&lt;/rt&gt;&lt;/ruby&gt;</t>
  </si>
  <si>
    <t>yǔmáoqiú</t>
  </si>
  <si>
    <t>Cầu lông</t>
  </si>
  <si>
    <r>
      <rPr>
        <sz val="11"/>
        <color theme="1"/>
        <rFont val="Calibri"/>
      </rPr>
      <t>他周末常打</t>
    </r>
    <r>
      <rPr>
        <b/>
        <sz val="11"/>
        <color theme="1"/>
        <rFont val="Calibri"/>
      </rPr>
      <t>羽毛球</t>
    </r>
    <r>
      <rPr>
        <sz val="11"/>
        <color theme="1"/>
        <rFont val="Calibri"/>
      </rPr>
      <t>。</t>
    </r>
  </si>
  <si>
    <t>Tā zhōumò cháng dǎ yǔmáoqiú.</t>
  </si>
  <si>
    <t>Cậu ấy thường chơi cầu lông vào cuối tuần.</t>
  </si>
  <si>
    <t>H3_B8_BG_8.gif</t>
  </si>
  <si>
    <t>H3_B8_8.mp3</t>
  </si>
  <si>
    <t>H3_B8_VD_8.mp3</t>
  </si>
  <si>
    <t>耳朵</t>
  </si>
  <si>
    <t>&lt;ruby&gt;耳朵&lt;rt&gt;ěrduo&lt;/rt&gt;&lt;/ruby&gt;</t>
  </si>
  <si>
    <t>ěrduo</t>
  </si>
  <si>
    <t>Tai</t>
  </si>
  <si>
    <r>
      <rPr>
        <sz val="11"/>
        <color theme="1"/>
        <rFont val="Calibri"/>
      </rPr>
      <t>兔子有一双又长又白的</t>
    </r>
    <r>
      <rPr>
        <b/>
        <sz val="11"/>
        <color theme="1"/>
        <rFont val="Calibri"/>
      </rPr>
      <t>耳朵</t>
    </r>
    <r>
      <rPr>
        <sz val="11"/>
        <color theme="1"/>
        <rFont val="Calibri"/>
      </rPr>
      <t>。</t>
    </r>
  </si>
  <si>
    <t>Tùzi yǒu yī shuāng yòu cháng yòu bái de ěrduo.</t>
  </si>
  <si>
    <t>Con thỏ có đôi tai dài và trắng muốt.</t>
  </si>
  <si>
    <t>H3_B8_BG_9.gif</t>
  </si>
  <si>
    <t>H3_B8_9.mp3</t>
  </si>
  <si>
    <t>H3_B8_VD_9.mp3</t>
  </si>
  <si>
    <t>感冒</t>
  </si>
  <si>
    <t>&lt;ruby&gt;感冒&lt;rt&gt;gǎnmào&lt;/rt&gt;&lt;/ruby&gt;</t>
  </si>
  <si>
    <t>gǎnmào</t>
  </si>
  <si>
    <t>Cảm cúm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</si>
  <si>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感冒</t>
    </r>
    <r>
      <rPr>
        <sz val="11"/>
        <color theme="1"/>
        <rFont val="Calibri"/>
      </rPr>
      <t>了。</t>
    </r>
  </si>
  <si>
    <t>Wǒ gǎn mào le.</t>
  </si>
  <si>
    <t>Tôi bị cảm cúm rồi.</t>
  </si>
  <si>
    <t>H3_B8_BG_10.gif</t>
  </si>
  <si>
    <t>H3_B8_10.mp3</t>
  </si>
  <si>
    <t>H3_B8_VD_10.mp3</t>
  </si>
  <si>
    <t>发烧</t>
  </si>
  <si>
    <t>&lt;ruby&gt;发烧&lt;rt&gt;fāshāo&lt;/rt&gt;&lt;/ruby&gt;</t>
  </si>
  <si>
    <t>fāshāo</t>
  </si>
  <si>
    <t>Bị sốt</t>
  </si>
  <si>
    <r>
      <rPr>
        <sz val="11"/>
        <color theme="1"/>
        <rFont val="Calibri"/>
      </rPr>
      <t>我昨晚</t>
    </r>
    <r>
      <rPr>
        <b/>
        <sz val="11"/>
        <color theme="1"/>
        <rFont val="Calibri"/>
      </rPr>
      <t>发烧</t>
    </r>
    <r>
      <rPr>
        <sz val="11"/>
        <color theme="1"/>
        <rFont val="Calibri"/>
      </rPr>
      <t>了。</t>
    </r>
  </si>
  <si>
    <t>Wǒ zuó wǎn fā shāo le.</t>
  </si>
  <si>
    <t>Tối qua tôi bị sốt.</t>
  </si>
  <si>
    <t>H3_B8_BG_11.gif</t>
  </si>
  <si>
    <t>H3_B8_11.mp3</t>
  </si>
  <si>
    <t>H3_B8_VD_11.mp3</t>
  </si>
  <si>
    <t>低</t>
  </si>
  <si>
    <t>&lt;ruby&gt;低&lt;rt&gt;dì&lt;/rt&gt;&lt;/ruby&gt;</t>
  </si>
  <si>
    <t xml:space="preserve">Thấp </t>
  </si>
  <si>
    <r>
      <rPr>
        <sz val="11"/>
        <color theme="1"/>
        <rFont val="Calibri"/>
      </rPr>
      <t>小女孩坐在高柱子上，而小男孩坐在更</t>
    </r>
    <r>
      <rPr>
        <b/>
        <sz val="11"/>
        <color theme="1"/>
        <rFont val="Calibri"/>
      </rPr>
      <t>低</t>
    </r>
    <r>
      <rPr>
        <sz val="11"/>
        <color theme="1"/>
        <rFont val="Calibri"/>
      </rPr>
      <t>的方块上。</t>
    </r>
  </si>
  <si>
    <t>Xiǎo nǚ hái zuò zài gāo zhù zǐ shàng, ér xiǎo nán hái zuò zài gèng dì de fāng kuài shàng.</t>
  </si>
  <si>
    <t>Cô bé ngồi trên cột cao, còn cậu bé ngồi trên khối thấp hơn.</t>
  </si>
  <si>
    <t>H3_B8_BG_12.gif</t>
  </si>
  <si>
    <t>H3_B8_12.mp3</t>
  </si>
  <si>
    <t>H3_B8_VD_12.mp3</t>
  </si>
  <si>
    <t>关心</t>
  </si>
  <si>
    <t>&lt;ruby&gt;关心&lt;rt&gt;guānxīn&lt;/rt&gt;&lt;/ruby&gt;</t>
  </si>
  <si>
    <t>guānxīn</t>
  </si>
  <si>
    <t>Quan tâm, chú ý</t>
  </si>
  <si>
    <r>
      <rPr>
        <sz val="11"/>
        <color theme="1"/>
        <rFont val="Calibri"/>
      </rPr>
      <t>妈妈</t>
    </r>
    <r>
      <rPr>
        <b/>
        <sz val="11"/>
        <color theme="1"/>
        <rFont val="Calibri"/>
      </rPr>
      <t>关心</t>
    </r>
    <r>
      <rPr>
        <sz val="11"/>
        <color theme="1"/>
        <rFont val="Calibri"/>
      </rPr>
      <t>儿子的学习情况。</t>
    </r>
  </si>
  <si>
    <t>Māmā guānxīn érzi de xuéxí qíngkuàng.</t>
  </si>
  <si>
    <t>Mẹ quan tâm đến tình hình học tâm của con trai.</t>
  </si>
  <si>
    <t>H3_B8_BG_13.gif</t>
  </si>
  <si>
    <t>H3_B8_13.mp3</t>
  </si>
  <si>
    <t>H3_B8_VD_13.mp3</t>
  </si>
  <si>
    <t>注意</t>
  </si>
  <si>
    <t>&lt;ruby&gt;注意&lt;rt&gt;zhù yì&lt;/rt&gt;&lt;/ruby&gt;</t>
  </si>
  <si>
    <t>zhù yì</t>
  </si>
  <si>
    <t>Chú ý</t>
  </si>
  <si>
    <r>
      <rPr>
        <b/>
        <sz val="11"/>
        <color theme="1"/>
        <rFont val="Calibri"/>
      </rPr>
      <t>注意</t>
    </r>
    <r>
      <rPr>
        <sz val="11"/>
        <color theme="1"/>
        <rFont val="Calibri"/>
      </rPr>
      <t>路滑！</t>
    </r>
  </si>
  <si>
    <t>Zhùyì lù huá!</t>
  </si>
  <si>
    <t>Chú ý đường trơn trượt!</t>
  </si>
  <si>
    <t>H3_B8_BG_14.gif</t>
  </si>
  <si>
    <t>H3_B8_14.mp3</t>
  </si>
  <si>
    <t>H3_B8_VD_14.mp3</t>
  </si>
  <si>
    <t>突然</t>
  </si>
  <si>
    <t>&lt;ruby&gt;突然&lt;rt&gt;tū rán&lt;/rt&gt;&lt;/ruby&gt;</t>
  </si>
  <si>
    <t>tū rán</t>
  </si>
  <si>
    <t xml:space="preserve">Đột nhiên, bỗng nhiên, bỗng dưng </t>
  </si>
  <si>
    <r>
      <rPr>
        <sz val="11"/>
        <color theme="1"/>
        <rFont val="Calibri"/>
      </rPr>
      <t>我在散步时，</t>
    </r>
    <r>
      <rPr>
        <b/>
        <sz val="11"/>
        <color theme="1"/>
        <rFont val="Calibri"/>
      </rPr>
      <t>突然</t>
    </r>
    <r>
      <rPr>
        <sz val="11"/>
        <color theme="1"/>
        <rFont val="Calibri"/>
      </rPr>
      <t>下起雨来，还好我带了伞。</t>
    </r>
  </si>
  <si>
    <t>Wǒ zài sàn bù shí，tūrán xià qǐ yǔ lái，hǎo zài wǒ dài le sǎn。</t>
  </si>
  <si>
    <t>Tôi đang đi dạo thì trời đột nhiên mưa, may mà tôi có mang ô.</t>
  </si>
  <si>
    <t>H3_B8_BG_15.gif</t>
  </si>
  <si>
    <t>H3_B8_15.mp3</t>
  </si>
  <si>
    <t>H3_B8_VD_15.mp3</t>
  </si>
  <si>
    <t>住院</t>
  </si>
  <si>
    <t>&lt;ruby&gt;住院&lt;rt&gt;zhùyuàn&lt;/rt&gt;&lt;/ruby&gt;</t>
  </si>
  <si>
    <t>zhù yuàn</t>
  </si>
  <si>
    <t>Nhập viện</t>
  </si>
  <si>
    <r>
      <rPr>
        <sz val="11"/>
        <color theme="1"/>
        <rFont val="Calibri"/>
      </rPr>
      <t>他生病了，需要</t>
    </r>
    <r>
      <rPr>
        <b/>
        <sz val="11"/>
        <color theme="1"/>
        <rFont val="Calibri"/>
      </rPr>
      <t>住院</t>
    </r>
    <r>
      <rPr>
        <sz val="11"/>
        <color theme="1"/>
        <rFont val="Calibri"/>
      </rPr>
      <t>。</t>
    </r>
  </si>
  <si>
    <t>Tā shēngbìng le, xūyào zhùyuàn.</t>
  </si>
  <si>
    <t>Anh ấy bị ốm rồi, cần phải nhập viện.</t>
  </si>
  <si>
    <t>H3_B8_BG_16.gif</t>
  </si>
  <si>
    <t>担心</t>
  </si>
  <si>
    <t>&lt;ruby&gt;担心&lt;rt&gt;dān xīn&lt;/rt&gt;&lt;/ruby&gt;</t>
  </si>
  <si>
    <t>dān xīn</t>
  </si>
  <si>
    <t>Lo lắng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</si>
  <si>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担心</t>
    </r>
    <r>
      <rPr>
        <sz val="11"/>
        <color theme="1"/>
        <rFont val="Calibri"/>
      </rPr>
      <t>自己掉了很多头发。</t>
    </r>
  </si>
  <si>
    <t>Tā dānxīn zìjǐ diào le hěn duō tóufa.</t>
  </si>
  <si>
    <t>Cô ấy lo lắng vì đã rụng rất nhiều tóc.</t>
  </si>
  <si>
    <t>H3_B8_BG_17.gif</t>
  </si>
  <si>
    <t>H3_B8_17.mp3</t>
  </si>
  <si>
    <t>H3_B8_VD_17.mp3</t>
  </si>
  <si>
    <t>腿</t>
  </si>
  <si>
    <t>&lt;ruby&gt;腿&lt;rt&gt;tuǐ&lt;/rt&gt;&lt;/ruby&gt;</t>
  </si>
  <si>
    <t>tuǐ</t>
  </si>
  <si>
    <t>Chân</t>
  </si>
  <si>
    <r>
      <rPr>
        <sz val="11"/>
        <color theme="1"/>
        <rFont val="Calibri"/>
      </rPr>
      <t>他的</t>
    </r>
    <r>
      <rPr>
        <b/>
        <sz val="11"/>
        <color theme="1"/>
        <rFont val="Calibri"/>
      </rPr>
      <t>腿</t>
    </r>
    <r>
      <rPr>
        <sz val="11"/>
        <color theme="1"/>
        <rFont val="Calibri"/>
      </rPr>
      <t>很长。</t>
    </r>
  </si>
  <si>
    <t>Tā de tuǐ hěn cháng.</t>
  </si>
  <si>
    <t>Chân của anh ấy rất dài.</t>
  </si>
  <si>
    <t>H3_B8_BG_18.gif</t>
  </si>
  <si>
    <t>H3_B8_18.mp3</t>
  </si>
  <si>
    <t>H3_B8_VD_18.mp3</t>
  </si>
  <si>
    <t>bìng rén</t>
  </si>
  <si>
    <t>Người bệnh</t>
  </si>
  <si>
    <r>
      <rPr>
        <sz val="11"/>
        <color theme="1"/>
        <rFont val="Calibri"/>
      </rPr>
      <t>医生正在给</t>
    </r>
    <r>
      <rPr>
        <b/>
        <sz val="11"/>
        <color theme="1"/>
        <rFont val="Calibri"/>
      </rPr>
      <t>病人</t>
    </r>
    <r>
      <rPr>
        <sz val="11"/>
        <color theme="1"/>
        <rFont val="Calibri"/>
      </rPr>
      <t>看病。</t>
    </r>
  </si>
  <si>
    <t>Yīshēng zhèngzài gěi bìngrén kànbìng.</t>
  </si>
  <si>
    <t>Bác sĩ đang khám bệnh cho bệnh nhân.</t>
  </si>
  <si>
    <t>H3_B8_BG_19.gif</t>
  </si>
  <si>
    <t>H3_B8_19.mp3</t>
  </si>
  <si>
    <t>H3_B8_VD_19.mp3</t>
  </si>
  <si>
    <t>差不多</t>
  </si>
  <si>
    <t>&lt;ruby&gt;差不多&lt;rt&gt;chàbuduō&lt;/rt&gt;&lt;/ruby&gt;</t>
  </si>
  <si>
    <t>chàbuduō</t>
  </si>
  <si>
    <t>Gần như, hầu như</t>
  </si>
  <si>
    <r>
      <rPr>
        <sz val="11"/>
        <color theme="1"/>
        <rFont val="Calibri"/>
      </rPr>
      <t>这两件衣服的价格</t>
    </r>
    <r>
      <rPr>
        <b/>
        <sz val="11"/>
        <color theme="1"/>
        <rFont val="Calibri"/>
      </rPr>
      <t>差不多</t>
    </r>
    <r>
      <rPr>
        <sz val="11"/>
        <color theme="1"/>
        <rFont val="Calibri"/>
      </rPr>
      <t>高。</t>
    </r>
  </si>
  <si>
    <t>Zhè liǎng jiàn yīfú de jiàgé chàbuduō gāo.</t>
  </si>
  <si>
    <t>Giá của hai bộ quần áo này gần như giống nhau.</t>
  </si>
  <si>
    <t>H3_B8_BG_20.gif</t>
  </si>
  <si>
    <t>H3_B8_20.mp3</t>
  </si>
  <si>
    <t>H3_B8_VD_20.mp3</t>
  </si>
  <si>
    <t>得</t>
  </si>
  <si>
    <t>&lt;ruby&gt;得&lt;rt&gt;de&lt;/rt&gt;&lt;/ruby&gt;</t>
  </si>
  <si>
    <t>Được dùng sau động từ hay tính từ, theo sau 得 là bổ ngữ chỉ kết quả hay mức độ</t>
  </si>
  <si>
    <r>
      <rPr>
        <sz val="11"/>
        <color theme="1"/>
        <rFont val="Calibri"/>
      </rPr>
      <t>她能抬</t>
    </r>
    <r>
      <rPr>
        <b/>
        <sz val="11"/>
        <color theme="1"/>
        <rFont val="Calibri"/>
      </rPr>
      <t>得</t>
    </r>
    <r>
      <rPr>
        <sz val="11"/>
        <color theme="1"/>
        <rFont val="Calibri"/>
      </rPr>
      <t>起这个箱子。</t>
    </r>
  </si>
  <si>
    <t>Tā néng tái de qǐ zhège xiāngzi.</t>
  </si>
  <si>
    <t>Cô ấy có thể nâng được chiếc hộp này.</t>
  </si>
  <si>
    <t>H3_B8_BG_21.gif</t>
  </si>
  <si>
    <t>H3_B8_21.mp3</t>
  </si>
  <si>
    <t>H3_B8_VD_21.mp3</t>
  </si>
  <si>
    <t>开心</t>
  </si>
  <si>
    <t>&lt;ruby&gt;开心&lt;rt&gt;kāixīn&lt;/rt&gt;&lt;/ruby&gt;</t>
  </si>
  <si>
    <t>kāixīn</t>
  </si>
  <si>
    <r>
      <rPr>
        <sz val="11"/>
        <color theme="1"/>
        <rFont val="Calibri"/>
      </rPr>
      <t>滑冰让我很</t>
    </r>
    <r>
      <rPr>
        <b/>
        <sz val="11"/>
        <color theme="1"/>
        <rFont val="Calibri"/>
      </rPr>
      <t>开心</t>
    </r>
    <r>
      <rPr>
        <sz val="11"/>
        <color theme="1"/>
        <rFont val="Calibri"/>
      </rPr>
      <t>。</t>
    </r>
  </si>
  <si>
    <t>Huá bīng ràng wǒ hěn kāixīn.</t>
  </si>
  <si>
    <t>Trượt băng làm tôi vui vẻ.</t>
  </si>
  <si>
    <t>H3_B8_BG_22.gif</t>
  </si>
  <si>
    <t>H3_B8_22.mp3</t>
  </si>
  <si>
    <t>H3_B8_VD_22.mp3</t>
  </si>
  <si>
    <t>出院</t>
  </si>
  <si>
    <t>&lt;ruby&gt;出院&lt;rt&gt;chū yuàn&lt;/rt&gt;&lt;/ruby&gt;</t>
  </si>
  <si>
    <t>chū yuàn</t>
  </si>
  <si>
    <t>Xuất viện</t>
  </si>
  <si>
    <r>
      <rPr>
        <sz val="11"/>
        <color theme="1"/>
        <rFont val="Calibri"/>
      </rPr>
      <t>他的手还没好，所以还不能</t>
    </r>
    <r>
      <rPr>
        <b/>
        <sz val="11"/>
        <color theme="1"/>
        <rFont val="Calibri"/>
      </rPr>
      <t>出院</t>
    </r>
    <r>
      <rPr>
        <sz val="11"/>
        <color theme="1"/>
        <rFont val="Calibri"/>
      </rPr>
      <t>。</t>
    </r>
  </si>
  <si>
    <t>Tā de shǒu hái méi hǎo, suǒyǐ hái bùnéng chūyuàn.</t>
  </si>
  <si>
    <t>Tay anh ấy vẫn chưa khỏi nên chưa thể xuất viện.</t>
  </si>
  <si>
    <t>H3_B8_BG_23.gif</t>
  </si>
  <si>
    <t>H3_B8_23.mp3</t>
  </si>
  <si>
    <t>H3_B8_VD_23.mp3</t>
  </si>
  <si>
    <t xml:space="preserve">Lái (xe), Mở </t>
  </si>
  <si>
    <r>
      <rPr>
        <sz val="11"/>
        <color theme="1"/>
        <rFont val="Calibri"/>
      </rPr>
      <t>早上应该打</t>
    </r>
    <r>
      <rPr>
        <b/>
        <sz val="11"/>
        <color theme="1"/>
        <rFont val="Calibri"/>
      </rPr>
      <t>开</t>
    </r>
    <r>
      <rPr>
        <sz val="11"/>
        <color theme="1"/>
        <rFont val="Calibri"/>
      </rPr>
      <t>窗户。</t>
    </r>
  </si>
  <si>
    <t>H3_B8_BG_24.gif</t>
  </si>
  <si>
    <t>H3_B8_24.mp3</t>
  </si>
  <si>
    <t>H3_B8_VD_24.mp3</t>
  </si>
  <si>
    <t>种</t>
  </si>
  <si>
    <t>&lt;ruby&gt;种&lt;rt&gt;zhǒng&lt;/rt&gt;&lt;/ruby&gt;</t>
  </si>
  <si>
    <t>zhǒng</t>
  </si>
  <si>
    <t>Loại</t>
  </si>
  <si>
    <r>
      <rPr>
        <sz val="11"/>
        <color theme="1"/>
        <rFont val="Calibri"/>
      </rPr>
      <t>我们发现了一</t>
    </r>
    <r>
      <rPr>
        <b/>
        <sz val="11"/>
        <color theme="1"/>
        <rFont val="Calibri"/>
      </rPr>
      <t>种</t>
    </r>
    <r>
      <rPr>
        <sz val="11"/>
        <color theme="1"/>
        <rFont val="Calibri"/>
      </rPr>
      <t>新鱼类。</t>
    </r>
  </si>
  <si>
    <t>Wǒmen fāxiàn le yī zhǒng xīn yúlèi.</t>
  </si>
  <si>
    <t>Chúng tôi đã phát hiện một loài cá mới.</t>
  </si>
  <si>
    <t>H3_B8_BG_25.gif</t>
  </si>
  <si>
    <t>H3_B8_25.mp3</t>
  </si>
  <si>
    <t>H3_B8_VD_25.mp3</t>
  </si>
  <si>
    <t>方法</t>
  </si>
  <si>
    <t>&lt;ruby&gt;方法&lt;rt&gt;fāngfă&lt;/rt&gt;&lt;/ruby&gt;</t>
  </si>
  <si>
    <t>fāngfă</t>
  </si>
  <si>
    <t>Phương pháp, cách thức</t>
  </si>
  <si>
    <r>
      <rPr>
        <sz val="11"/>
        <color theme="1"/>
        <rFont val="Calibri"/>
      </rPr>
      <t>因为有了有效的工作</t>
    </r>
    <r>
      <rPr>
        <b/>
        <sz val="11"/>
        <color theme="1"/>
        <rFont val="Calibri"/>
      </rPr>
      <t>方法</t>
    </r>
    <r>
      <rPr>
        <sz val="11"/>
        <color theme="1"/>
        <rFont val="Calibri"/>
      </rPr>
      <t>，他的工作非常顺利。</t>
    </r>
  </si>
  <si>
    <t>Yīnwèi yǒu le yǒu xiào de gōngzuò fāngfă, tā de gōngzuò fēicháng Shùnlì.</t>
  </si>
  <si>
    <t>Vì có phương pháp làm việc hiệu quả nên công việc của anh ấy rất thuận lợi.</t>
  </si>
  <si>
    <t>H3_B8_BG_26.gif</t>
  </si>
  <si>
    <t>H3_B8_26.mp3</t>
  </si>
  <si>
    <t>H3_B8_VD_26.mp3</t>
  </si>
  <si>
    <t>其他</t>
  </si>
  <si>
    <t>&lt;ruby&gt;其他&lt;rt&gt;qítā&lt;/rt&gt;&lt;/ruby&gt;</t>
  </si>
  <si>
    <t>qítā</t>
  </si>
  <si>
    <r>
      <rPr>
        <sz val="11"/>
        <color theme="1"/>
        <rFont val="Calibri"/>
      </rPr>
      <t>你还有</t>
    </r>
    <r>
      <rPr>
        <b/>
        <sz val="11"/>
        <color theme="1"/>
        <rFont val="Calibri"/>
      </rPr>
      <t>其他</t>
    </r>
    <r>
      <rPr>
        <sz val="11"/>
        <color theme="1"/>
        <rFont val="Calibri"/>
      </rPr>
      <t>问题吗？</t>
    </r>
  </si>
  <si>
    <t>Nǐ hái yǒu qítā wèntí ma?</t>
  </si>
  <si>
    <t>Bạn còn có câu hỏi khác không?</t>
  </si>
  <si>
    <t>H3_B8_BG_27.gif</t>
  </si>
  <si>
    <t>H3_B8_27.mp3</t>
  </si>
  <si>
    <t>H3_B8_VD_27.mp3</t>
  </si>
  <si>
    <t>心里</t>
  </si>
  <si>
    <t>&lt;ruby&gt;心里&lt;rt&gt;xīnlǐ&lt;/rt&gt;&lt;/ruby&gt;</t>
  </si>
  <si>
    <t>xīn lǐ</t>
  </si>
  <si>
    <t>Trong tim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</si>
  <si>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心里</t>
    </r>
    <r>
      <rPr>
        <sz val="11"/>
        <color theme="1"/>
        <rFont val="Calibri"/>
      </rPr>
      <t>很高兴。</t>
    </r>
  </si>
  <si>
    <t>Wǒ xīnlǐ hěn gāoxìng.</t>
  </si>
  <si>
    <t>Trong lòng tôi rất vui.</t>
  </si>
  <si>
    <t>H3_B8_BG_28.gif</t>
  </si>
  <si>
    <t>H3_B8_28.mp3</t>
  </si>
  <si>
    <t>H3_B8_VD_28.mp3</t>
  </si>
  <si>
    <t>校园</t>
  </si>
  <si>
    <t>&lt;ruby&gt;校园&lt;rt&gt;xiàoyuán&lt;/rt&gt;&lt;/ruby&gt;</t>
  </si>
  <si>
    <t>xiàoyuán</t>
  </si>
  <si>
    <t>Khuôn viên trường</t>
  </si>
  <si>
    <r>
      <rPr>
        <sz val="11"/>
        <color theme="1"/>
        <rFont val="Calibri"/>
      </rPr>
      <t>我们的</t>
    </r>
    <r>
      <rPr>
        <b/>
        <sz val="11"/>
        <color theme="1"/>
        <rFont val="Calibri"/>
      </rPr>
      <t>校园</t>
    </r>
    <r>
      <rPr>
        <sz val="11"/>
        <color theme="1"/>
        <rFont val="Calibri"/>
      </rPr>
      <t>非常宽敞。</t>
    </r>
  </si>
  <si>
    <t>Wǒmen de xiàoyuán fēicháng kuān chǎng.</t>
  </si>
  <si>
    <t>Khuôn viên trường tôi rất rộng rãi.</t>
  </si>
  <si>
    <t>H3_B9_BG_1.gif</t>
  </si>
  <si>
    <t>H3_B9_1.mp3</t>
  </si>
  <si>
    <t>H3_B9_VD_1.mp3</t>
  </si>
  <si>
    <t>卡</t>
  </si>
  <si>
    <t>&lt;ruby&gt;卡&lt;rt&gt;kǎ&lt;/rt&gt;&lt;/ruby&gt;</t>
  </si>
  <si>
    <t>kǎ</t>
  </si>
  <si>
    <r>
      <rPr>
        <sz val="11"/>
        <color theme="1"/>
        <rFont val="Calibri"/>
      </rPr>
      <t>我没有现金，只能用</t>
    </r>
    <r>
      <rPr>
        <b/>
        <sz val="11"/>
        <color theme="1"/>
        <rFont val="Calibri"/>
      </rPr>
      <t>卡</t>
    </r>
    <r>
      <rPr>
        <sz val="11"/>
        <color theme="1"/>
        <rFont val="Calibri"/>
      </rPr>
      <t>支付。</t>
    </r>
  </si>
  <si>
    <t>Wǒ méiyǒu Xiànjīn, zhǐnéng yòng kǎ zhī fù.</t>
  </si>
  <si>
    <t>Tôi không có tiền mặt, chỉ có thể thanh toán bằng thẻ.</t>
  </si>
  <si>
    <t>H3_B9_BG_2.gif</t>
  </si>
  <si>
    <t>H3_B9_2.mp3</t>
  </si>
  <si>
    <t>H3_B9_VD_2.mp3</t>
  </si>
  <si>
    <t>69eb3948073744188a66fe6d</t>
  </si>
  <si>
    <t>球场</t>
  </si>
  <si>
    <t>&lt;ruby&gt;球场&lt;rt&gt;qiúchǎng&lt;/rt&gt;&lt;/ruby&gt;</t>
  </si>
  <si>
    <t>qiú chǎng</t>
  </si>
  <si>
    <t>Sân bóng</t>
  </si>
  <si>
    <r>
      <rPr>
        <sz val="11"/>
        <color theme="1"/>
        <rFont val="Calibri"/>
      </rPr>
      <t>我们在</t>
    </r>
    <r>
      <rPr>
        <b/>
        <sz val="11"/>
        <color theme="1"/>
        <rFont val="Calibri"/>
      </rPr>
      <t>球场</t>
    </r>
    <r>
      <rPr>
        <sz val="11"/>
        <color theme="1"/>
        <rFont val="Calibri"/>
      </rPr>
      <t>上踢足球。</t>
    </r>
  </si>
  <si>
    <t>Wǒmen zài qiúchǎng shàng tīzúqiú.</t>
  </si>
  <si>
    <t>Chúng tôi đá bóng trên sân.</t>
  </si>
  <si>
    <t>H3_B9_BG_3.gif</t>
  </si>
  <si>
    <t>H3_B9_3.mp3</t>
  </si>
  <si>
    <t>H3_B9_VD_3.mp3</t>
  </si>
  <si>
    <t>为了</t>
  </si>
  <si>
    <t>&lt;ruby&gt;为了&lt;rt&gt;wèile&lt;/rt&gt;&lt;/ruby&gt;</t>
  </si>
  <si>
    <t>wèile</t>
  </si>
  <si>
    <t>Để, vì</t>
  </si>
  <si>
    <r>
      <rPr>
        <b/>
        <sz val="11"/>
        <color theme="1"/>
        <rFont val="Calibri"/>
      </rPr>
      <t>为了</t>
    </r>
    <r>
      <rPr>
        <sz val="11"/>
        <color theme="1"/>
        <rFont val="Calibri"/>
      </rPr>
      <t>赚点零花钱，他每天帮妈妈打扫房间。</t>
    </r>
  </si>
  <si>
    <t>Wèile zhuàn diǎn línghuāqián, tā měitiān bāng māmā dǎsǎo fángjiān.</t>
  </si>
  <si>
    <t>Để có tiền tiêu vặt, anh ấy giúp mẹ dọn nhà mỗi ngày.</t>
  </si>
  <si>
    <t>H3_B9_BG_4.gif</t>
  </si>
  <si>
    <t>H3_B9_4.mp3</t>
  </si>
  <si>
    <t>H3_B9_VD_4.mp3</t>
  </si>
  <si>
    <t>运动会</t>
  </si>
  <si>
    <t>&lt;ruby&gt;运动会&lt;rt&gt;yùndònghuì&lt;/rt&gt;&lt;/ruby&gt;</t>
  </si>
  <si>
    <t>yùn dòng huì</t>
  </si>
  <si>
    <t>Hội thể thao</t>
  </si>
  <si>
    <r>
      <rPr>
        <sz val="11"/>
        <color theme="1"/>
        <rFont val="Calibri"/>
      </rPr>
      <t>学校每年都举办</t>
    </r>
    <r>
      <rPr>
        <b/>
        <sz val="11"/>
        <color theme="1"/>
        <rFont val="Calibri"/>
      </rPr>
      <t>运动会</t>
    </r>
    <r>
      <rPr>
        <sz val="11"/>
        <color theme="1"/>
        <rFont val="Calibri"/>
      </rPr>
      <t>。</t>
    </r>
  </si>
  <si>
    <t>Xuéxiào měi nián dōu jŭbàn yùndònghuì.</t>
  </si>
  <si>
    <t>Trường học mỗi năm đều tổ chức hội thể thao.</t>
  </si>
  <si>
    <t>H3_B9_BG_5.gif</t>
  </si>
  <si>
    <t>H3_B9_5.mp3</t>
  </si>
  <si>
    <t>H3_B9_VD_5.mp3</t>
  </si>
  <si>
    <t>男生</t>
  </si>
  <si>
    <t>&lt;ruby&gt;男生&lt;rt&gt;nánshēng&lt;/rt&gt;&lt;/ruby&gt;</t>
  </si>
  <si>
    <t>nán shēng</t>
  </si>
  <si>
    <t>Học sinh nam</t>
  </si>
  <si>
    <r>
      <rPr>
        <sz val="11"/>
        <color theme="1"/>
        <rFont val="Calibri"/>
      </rPr>
      <t>那个</t>
    </r>
    <r>
      <rPr>
        <b/>
        <sz val="11"/>
        <color theme="1"/>
        <rFont val="Calibri"/>
      </rPr>
      <t>男生</t>
    </r>
    <r>
      <rPr>
        <sz val="11"/>
        <color theme="1"/>
        <rFont val="Calibri"/>
      </rPr>
      <t>很帅。</t>
    </r>
  </si>
  <si>
    <t>Nàge nánshēng hěn shuài.</t>
  </si>
  <si>
    <t>Cậu học sinh nam kia rất đẹp trai.</t>
  </si>
  <si>
    <t>H3_B9_BG_6.gif</t>
  </si>
  <si>
    <t>H3_B9_6.mp3</t>
  </si>
  <si>
    <t>H3_B9_VD_6.mp3</t>
  </si>
  <si>
    <t>练</t>
  </si>
  <si>
    <t>&lt;ruby&gt;练&lt;rt&gt;liàn&lt;/rt&gt;&lt;/ruby&gt;</t>
  </si>
  <si>
    <t>liàn</t>
  </si>
  <si>
    <t>Luyện tập</t>
  </si>
  <si>
    <r>
      <rPr>
        <sz val="11"/>
        <color theme="1"/>
        <rFont val="Calibri"/>
      </rPr>
      <t>他每天都</t>
    </r>
    <r>
      <rPr>
        <b/>
        <sz val="11"/>
        <color theme="1"/>
        <rFont val="Calibri"/>
      </rPr>
      <t>练</t>
    </r>
    <r>
      <rPr>
        <sz val="11"/>
        <color theme="1"/>
        <rFont val="Calibri"/>
      </rPr>
      <t>功夫。</t>
    </r>
  </si>
  <si>
    <t>Tā měi tiān dōu liàn gōngfū.</t>
  </si>
  <si>
    <t>Anh ấy mỗi ngày đều luyện tập công phu.</t>
  </si>
  <si>
    <t>H3_B9_BG_7.gif</t>
  </si>
  <si>
    <t>H3_B9_7.mp3</t>
  </si>
  <si>
    <t>H3_B9_VD_7.mp3</t>
  </si>
  <si>
    <t>参加</t>
  </si>
  <si>
    <t>&lt;ruby&gt;参加&lt;rt&gt;cān jiā&lt;/rt&gt;&lt;/ruby&gt;</t>
  </si>
  <si>
    <t>cān jiā</t>
  </si>
  <si>
    <t>Tham gia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</si>
  <si>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参加</t>
    </r>
    <r>
      <rPr>
        <sz val="11"/>
        <color theme="1"/>
        <rFont val="Calibri"/>
      </rPr>
      <t>了回收塑料瓶的活动来保护环境。</t>
    </r>
  </si>
  <si>
    <t>Wǒ cānjiā le huíshōu sùliàopíng de huódòng lái bǎohù huánjìng.</t>
  </si>
  <si>
    <t>Tôi tham gia hoạt động tái chế chai nhựa để bảo vệ môi trường.</t>
  </si>
  <si>
    <t>H3_B9_BG_8.gif</t>
  </si>
  <si>
    <t>H3_B9_8.mp3</t>
  </si>
  <si>
    <t>H3_B9_VD_8.mp3</t>
  </si>
  <si>
    <t>网球</t>
  </si>
  <si>
    <t>&lt;ruby&gt;网球&lt;rt&gt;wǎngqiú&lt;/rt&gt;&lt;/ruby&gt;</t>
  </si>
  <si>
    <t>wǎngqiú</t>
  </si>
  <si>
    <t>Quần vợt</t>
  </si>
  <si>
    <r>
      <rPr>
        <sz val="11"/>
        <color theme="1"/>
        <rFont val="Calibri"/>
      </rPr>
      <t>她每天早上打</t>
    </r>
    <r>
      <rPr>
        <b/>
        <sz val="11"/>
        <color theme="1"/>
        <rFont val="Calibri"/>
      </rPr>
      <t>网球</t>
    </r>
    <r>
      <rPr>
        <sz val="11"/>
        <color theme="1"/>
        <rFont val="Calibri"/>
      </rPr>
      <t>。</t>
    </r>
  </si>
  <si>
    <t>Tā měi tiān zǎoshang dǎ wǎngqiú.</t>
  </si>
  <si>
    <t>Cô ấy chơi quần vợt mỗi sáng.</t>
  </si>
  <si>
    <t>H3_B9_BG_9.gif</t>
  </si>
  <si>
    <t>H3_B9_9.mp3</t>
  </si>
  <si>
    <t>H3_B9_VD_9.mp3</t>
  </si>
  <si>
    <t>比赛</t>
  </si>
  <si>
    <t>&lt;ruby&gt;比赛&lt;rt&gt;bǐsài&lt;/rt&gt;&lt;/ruby&gt;</t>
  </si>
  <si>
    <t>bǐ sài</t>
  </si>
  <si>
    <t>Trận đấu/ Thi đấu</t>
  </si>
  <si>
    <r>
      <rPr>
        <sz val="11"/>
        <color theme="1"/>
        <rFont val="Calibri"/>
      </rPr>
      <t>我们去看足球</t>
    </r>
    <r>
      <rPr>
        <b/>
        <sz val="11"/>
        <color theme="1"/>
        <rFont val="Calibri"/>
      </rPr>
      <t>比赛</t>
    </r>
    <r>
      <rPr>
        <sz val="11"/>
        <color theme="1"/>
        <rFont val="Calibri"/>
      </rPr>
      <t>吧。</t>
    </r>
  </si>
  <si>
    <t>Wǒmen qù kàn zúqiú bǐsài ba.</t>
  </si>
  <si>
    <t>Chúng ta đi xem trận đấu bóng đá đi.</t>
  </si>
  <si>
    <t>H3_B9_BG_10.gif</t>
  </si>
  <si>
    <t>H3_B9_10.mp3</t>
  </si>
  <si>
    <t>H3_B9_VD_10.mp3</t>
  </si>
  <si>
    <t>联系</t>
  </si>
  <si>
    <t>&lt;ruby&gt;联系&lt;rt&gt;liánxì&lt;/rt&gt;&lt;/ruby&gt;</t>
  </si>
  <si>
    <t>liánxì</t>
  </si>
  <si>
    <t>Liên hệ</t>
  </si>
  <si>
    <r>
      <rPr>
        <sz val="11"/>
        <color theme="1"/>
        <rFont val="Calibri"/>
      </rPr>
      <t>他正在和客户</t>
    </r>
    <r>
      <rPr>
        <b/>
        <sz val="11"/>
        <color theme="1"/>
        <rFont val="Calibri"/>
      </rPr>
      <t>联系</t>
    </r>
    <r>
      <rPr>
        <sz val="11"/>
        <color theme="1"/>
        <rFont val="Calibri"/>
      </rPr>
      <t>。</t>
    </r>
  </si>
  <si>
    <t>Tā zhèngzài hé kè hù liánxì.</t>
  </si>
  <si>
    <t>Anh ấy đang liên lạc với khách hàng.</t>
  </si>
  <si>
    <t>H3_B9_BG_11.gif</t>
  </si>
  <si>
    <t>H3_B9_11.mp3</t>
  </si>
  <si>
    <t>H3_B9_VD_11.mp3</t>
  </si>
  <si>
    <t>好多</t>
  </si>
  <si>
    <t>&lt;ruby&gt;好多&lt;rt&gt;hǎoduō&lt;/rt&gt;&lt;/ruby&gt;</t>
  </si>
  <si>
    <t>hǎo duō</t>
  </si>
  <si>
    <t xml:space="preserve">Nhiều </t>
  </si>
  <si>
    <r>
      <rPr>
        <sz val="11"/>
        <color theme="1"/>
        <rFont val="Calibri"/>
      </rPr>
      <t>我买了</t>
    </r>
    <r>
      <rPr>
        <b/>
        <sz val="11"/>
        <color theme="1"/>
        <rFont val="Calibri"/>
      </rPr>
      <t>好多</t>
    </r>
    <r>
      <rPr>
        <sz val="11"/>
        <color theme="1"/>
        <rFont val="Calibri"/>
      </rPr>
      <t>书。</t>
    </r>
  </si>
  <si>
    <t>Wǒ mǎi le hǎoduō shū.</t>
  </si>
  <si>
    <t>Tôi đã mua rất nhiều sách.</t>
  </si>
  <si>
    <t>H3_B9_BG_12.gif</t>
  </si>
  <si>
    <t>H3_B9_12.mp3</t>
  </si>
  <si>
    <t>H3_B9_VD_12.mp3</t>
  </si>
  <si>
    <t>几乎</t>
  </si>
  <si>
    <t>&lt;ruby&gt;几乎&lt;rt&gt;jīhū&lt;/rt&gt;&lt;/ruby&gt;</t>
  </si>
  <si>
    <t>jī hū</t>
  </si>
  <si>
    <t>Hầu như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</si>
  <si>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几乎</t>
    </r>
    <r>
      <rPr>
        <sz val="11"/>
        <color theme="1"/>
        <rFont val="Calibri"/>
      </rPr>
      <t>忘了这件事。</t>
    </r>
  </si>
  <si>
    <t>Wǒ jīhū wàng le zhè jiàn shì.</t>
  </si>
  <si>
    <t>Tôi hầu như đã quên mất chuyện này.</t>
  </si>
  <si>
    <t>H3_B9_BG_13.gif</t>
  </si>
  <si>
    <t>H3_B9_13.mp3</t>
  </si>
  <si>
    <t>H3_B9_VD_13.mp3</t>
  </si>
  <si>
    <t>只是</t>
  </si>
  <si>
    <t>&lt;ruby&gt;只是&lt;rt&gt;zhǐshì&lt;/rt&gt;&lt;/ruby&gt;</t>
  </si>
  <si>
    <t>zhǐ shì</t>
  </si>
  <si>
    <t>Chỉ là</t>
  </si>
  <si>
    <r>
      <rPr>
        <sz val="11"/>
        <color theme="1"/>
        <rFont val="Calibri"/>
      </rPr>
      <t>我不是不喜欢你，</t>
    </r>
    <r>
      <rPr>
        <b/>
        <sz val="11"/>
        <color theme="1"/>
        <rFont val="Calibri"/>
      </rPr>
      <t>只是</t>
    </r>
    <r>
      <rPr>
        <sz val="11"/>
        <color theme="1"/>
        <rFont val="Calibri"/>
      </rPr>
      <t>我们不合适。</t>
    </r>
  </si>
  <si>
    <t>Wǒ bù shì bù xǐhuān nǐ, zhǐshì wǒmen bù héshì.</t>
  </si>
  <si>
    <t>Không phải anh không thích em, chỉ là chúng ta không hợp nhau.</t>
  </si>
  <si>
    <t>H3_B9_BG_14.gif</t>
  </si>
  <si>
    <t>H3_B9_14.mp3</t>
  </si>
  <si>
    <t>H3_B9_VD_14.mp3</t>
  </si>
  <si>
    <t>啤酒</t>
  </si>
  <si>
    <t>&lt;ruby&gt;啤酒&lt;rt&gt;píjiǔ&lt;/rt&gt;&lt;/ruby&gt;</t>
  </si>
  <si>
    <t>píjiǔ</t>
  </si>
  <si>
    <t>Bia, rượu bia</t>
  </si>
  <si>
    <r>
      <rPr>
        <sz val="11"/>
        <color theme="1"/>
        <rFont val="Calibri"/>
      </rPr>
      <t>我买了四瓶</t>
    </r>
    <r>
      <rPr>
        <b/>
        <sz val="11"/>
        <color theme="1"/>
        <rFont val="Calibri"/>
      </rPr>
      <t>啤酒</t>
    </r>
    <r>
      <rPr>
        <sz val="11"/>
        <color theme="1"/>
        <rFont val="Calibri"/>
      </rPr>
      <t>。</t>
    </r>
  </si>
  <si>
    <t>Wǒ mǎi le sì píng píjiǔ.</t>
  </si>
  <si>
    <t>Tôi đã mua 4 chai bia.</t>
  </si>
  <si>
    <t>H3_B9_BG_15.gif</t>
  </si>
  <si>
    <t>H3_B9_15.mp3</t>
  </si>
  <si>
    <t>H3_B9_VD_15.mp3</t>
  </si>
  <si>
    <r>
      <rPr>
        <sz val="11"/>
        <color theme="1"/>
        <rFont val="Calibri"/>
      </rPr>
      <t>我晚上八点</t>
    </r>
    <r>
      <rPr>
        <b/>
        <sz val="11"/>
        <color theme="1"/>
        <rFont val="Calibri"/>
      </rPr>
      <t>回</t>
    </r>
    <r>
      <rPr>
        <sz val="11"/>
        <color theme="1"/>
        <rFont val="Calibri"/>
      </rPr>
      <t>家。</t>
    </r>
  </si>
  <si>
    <t>H3_B9_BG_16.gif</t>
  </si>
  <si>
    <t>H3_B9_16.mp3</t>
  </si>
  <si>
    <t>H3_B9_VD_16.mp3</t>
  </si>
  <si>
    <t>紧张</t>
  </si>
  <si>
    <t>&lt;ruby&gt;紧张&lt;rt&gt;jǐnzhāng&lt;/rt&gt;&lt;/ruby&gt;</t>
  </si>
  <si>
    <t>jǐnzhāng</t>
  </si>
  <si>
    <t>Hồi hộp, căng thẳng</t>
  </si>
  <si>
    <r>
      <rPr>
        <sz val="11"/>
        <color theme="1"/>
        <rFont val="Calibri"/>
      </rPr>
      <t>快轮到我面试了，我感到非常</t>
    </r>
    <r>
      <rPr>
        <b/>
        <sz val="11"/>
        <color theme="1"/>
        <rFont val="Calibri"/>
      </rPr>
      <t>紧张</t>
    </r>
    <r>
      <rPr>
        <sz val="11"/>
        <color theme="1"/>
        <rFont val="Calibri"/>
      </rPr>
      <t>。</t>
    </r>
  </si>
  <si>
    <t>Kuài lún dào wǒ miànshi le, wǒ găndào fēicháng jǐnzhāng.</t>
  </si>
  <si>
    <t>Chuẩn bị tới lượt phỏng vấn nên tôi cảm thấy rất căng thẳng</t>
  </si>
  <si>
    <t>H3_B9_BG_17.gif</t>
  </si>
  <si>
    <t>H3_B9_17.mp3</t>
  </si>
  <si>
    <t>H3_B9_VD_17.mp3</t>
  </si>
  <si>
    <t>主要</t>
  </si>
  <si>
    <t>&lt;ruby&gt;主要&lt;rt&gt;zhǔyào&lt;/rt&gt;&lt;/ruby&gt;</t>
  </si>
  <si>
    <t>zhǔ yào</t>
  </si>
  <si>
    <t>Chủ yếu, quan trọng</t>
  </si>
  <si>
    <r>
      <rPr>
        <sz val="11"/>
        <color theme="1"/>
        <rFont val="Calibri"/>
      </rPr>
      <t>我们今天的</t>
    </r>
    <r>
      <rPr>
        <b/>
        <sz val="11"/>
        <color theme="1"/>
        <rFont val="Calibri"/>
      </rPr>
      <t>主要</t>
    </r>
    <r>
      <rPr>
        <sz val="11"/>
        <color theme="1"/>
        <rFont val="Calibri"/>
      </rPr>
      <t>任务是学习中文。</t>
    </r>
  </si>
  <si>
    <t>Wǒmen jīntiān de zhǔyào rènwù shì xuéxí zhōngwén.</t>
  </si>
  <si>
    <t>Nhiệm vụ chủ yếu của chúng ta hôm nay là học tiếng Trung.</t>
  </si>
  <si>
    <t>H3_B9_BG_18.gif</t>
  </si>
  <si>
    <t>H3_B9_18.mp3</t>
  </si>
  <si>
    <t>H3_B9_VD_18.mp3</t>
  </si>
  <si>
    <t>受到</t>
  </si>
  <si>
    <t>&lt;ruby&gt;受到&lt;rt&gt;shòudào&lt;/rt&gt;&lt;/ruby&gt;</t>
  </si>
  <si>
    <t>shòudào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</si>
  <si>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受到</t>
    </r>
    <r>
      <rPr>
        <sz val="11"/>
        <color theme="1"/>
        <rFont val="Calibri"/>
      </rPr>
      <t>了老师的表扬，因为他考了满分。</t>
    </r>
  </si>
  <si>
    <t>Tā shòudào le lǎoshī de biǎoyáng, yīnwèi tā kǎo le măn fēn.</t>
  </si>
  <si>
    <t>Cậu ấy nhận được lời khen từ giáo viên vì đã đạt điểm tuyệt đối.</t>
  </si>
  <si>
    <t>H3_B9_BG_19.gif</t>
  </si>
  <si>
    <t>H3_B9_19.mp3</t>
  </si>
  <si>
    <t>H3_B9_VD_19.mp3</t>
  </si>
  <si>
    <t>影响</t>
  </si>
  <si>
    <t>&lt;ruby&gt;影响&lt;rt&gt;yǐng xiǎng&lt;/rt&gt;&lt;/ruby&gt;</t>
  </si>
  <si>
    <t>yǐng xiǎng</t>
  </si>
  <si>
    <t>Ảnh hưởng</t>
  </si>
  <si>
    <r>
      <rPr>
        <sz val="11"/>
        <color theme="1"/>
        <rFont val="Calibri"/>
      </rPr>
      <t>淋雨会</t>
    </r>
    <r>
      <rPr>
        <b/>
        <sz val="11"/>
        <color theme="1"/>
        <rFont val="Calibri"/>
      </rPr>
      <t>影响</t>
    </r>
    <r>
      <rPr>
        <sz val="11"/>
        <color theme="1"/>
        <rFont val="Calibri"/>
      </rPr>
      <t>健康。</t>
    </r>
  </si>
  <si>
    <t>Lín yǔ huì yǐngxiǎng jiànkāng.</t>
  </si>
  <si>
    <t>Ngấm mưa làm ảnh hưởng đến sức khỏe.</t>
  </si>
  <si>
    <t>H3_B9_BG_20.gif</t>
  </si>
  <si>
    <t>H3_B9_20.mp3</t>
  </si>
  <si>
    <t>H3_B9_VD_20.mp3</t>
  </si>
  <si>
    <t>得分</t>
  </si>
  <si>
    <t>&lt;ruby&gt;得分&lt;rt&gt;défēn&lt;/rt&gt;&lt;/ruby&gt;</t>
  </si>
  <si>
    <t>dé fēn</t>
  </si>
  <si>
    <t>Điểm số</t>
  </si>
  <si>
    <r>
      <rPr>
        <sz val="11"/>
        <color theme="1"/>
        <rFont val="Calibri"/>
      </rPr>
      <t>他在这次考试中</t>
    </r>
    <r>
      <rPr>
        <b/>
        <sz val="11"/>
        <color theme="1"/>
        <rFont val="Calibri"/>
      </rPr>
      <t>得分</t>
    </r>
    <r>
      <rPr>
        <sz val="11"/>
        <color theme="1"/>
        <rFont val="Calibri"/>
      </rPr>
      <t>很高。</t>
    </r>
  </si>
  <si>
    <t>Tā zài zhè cì kǎoshì zhōng défēn hěn gāo.</t>
  </si>
  <si>
    <t>Anh ấy đạt điểm rất cao trong kỳ thi lần này.</t>
  </si>
  <si>
    <t>H3_B9_BG_21.gif</t>
  </si>
  <si>
    <t>H3_B9_21.mp3</t>
  </si>
  <si>
    <t>H3_B9_VD_21.mp3</t>
  </si>
  <si>
    <t>体育</t>
  </si>
  <si>
    <t>&lt;ruby&gt;体育&lt;rt&gt;tǐyù&lt;/rt&gt;&lt;/ruby&gt;</t>
  </si>
  <si>
    <t>tǐ yù</t>
  </si>
  <si>
    <t>Thể thao</t>
  </si>
  <si>
    <r>
      <rPr>
        <sz val="11"/>
        <color theme="1"/>
        <rFont val="Calibri"/>
      </rPr>
      <t>我喜欢</t>
    </r>
    <r>
      <rPr>
        <b/>
        <sz val="11"/>
        <color theme="1"/>
        <rFont val="Calibri"/>
      </rPr>
      <t>体育</t>
    </r>
    <r>
      <rPr>
        <sz val="11"/>
        <color theme="1"/>
        <rFont val="Calibri"/>
      </rPr>
      <t>运动。</t>
    </r>
  </si>
  <si>
    <t>Wǒ xǐhuān tǐyù yùndòng.</t>
  </si>
  <si>
    <t>Tôi thích các môn thể thao.</t>
  </si>
  <si>
    <t>H3_B9_BG_22.gif</t>
  </si>
  <si>
    <t>H3_B9_22.mp3</t>
  </si>
  <si>
    <t>H3_B9_VD_22.mp3</t>
  </si>
  <si>
    <t>世界</t>
  </si>
  <si>
    <t>&lt;ruby&gt;世界&lt;rt&gt;shìjiè&lt;/rt&gt;&lt;/ruby&gt;</t>
  </si>
  <si>
    <t>shìjiè</t>
  </si>
  <si>
    <t>Thế giới</t>
  </si>
  <si>
    <r>
      <rPr>
        <sz val="11"/>
        <color theme="1"/>
        <rFont val="Calibri"/>
      </rPr>
      <t>保护</t>
    </r>
    <r>
      <rPr>
        <b/>
        <sz val="11"/>
        <color theme="1"/>
        <rFont val="Calibri"/>
      </rPr>
      <t>世界</t>
    </r>
    <r>
      <rPr>
        <sz val="11"/>
        <color theme="1"/>
        <rFont val="Calibri"/>
      </rPr>
      <t>和平。</t>
    </r>
  </si>
  <si>
    <t>Bǎohù shìjiè hépíng.</t>
  </si>
  <si>
    <t>Bảo vệ hòa bình thế giới.</t>
  </si>
  <si>
    <t>H3_B9_BG_23.gif</t>
  </si>
  <si>
    <t>H3_B9_23.mp3</t>
  </si>
  <si>
    <t>H3_B9_VD_23.mp3</t>
  </si>
  <si>
    <t>运动员</t>
  </si>
  <si>
    <t>&lt;ruby&gt;运动员&lt;rt&gt;yùndòngyuán&lt;/rt&gt;&lt;/ruby&gt;</t>
  </si>
  <si>
    <t>yùn dòng yuán</t>
  </si>
  <si>
    <t>Vận động viên</t>
  </si>
  <si>
    <r>
      <rPr>
        <sz val="11"/>
        <color theme="1"/>
        <rFont val="Calibri"/>
      </rPr>
      <t>他是一名出色的</t>
    </r>
    <r>
      <rPr>
        <b/>
        <sz val="11"/>
        <color theme="1"/>
        <rFont val="Calibri"/>
      </rPr>
      <t>运动员</t>
    </r>
    <r>
      <rPr>
        <sz val="11"/>
        <color theme="1"/>
        <rFont val="Calibri"/>
      </rPr>
      <t>。</t>
    </r>
  </si>
  <si>
    <t>Tā shì yī míng chūsè de yùndòngyuán.</t>
  </si>
  <si>
    <t>Anh ấy là một vận động viên xuất sắc.</t>
  </si>
  <si>
    <t>H3_B9_BG_24.gif</t>
  </si>
  <si>
    <t>H3_B9_24.mp3</t>
  </si>
  <si>
    <t>H3_B9_VD_24.mp3</t>
  </si>
  <si>
    <t>得到</t>
  </si>
  <si>
    <t>&lt;ruby&gt;得到&lt;rt&gt;dédào&lt;/rt&gt;&lt;/ruby&gt;</t>
  </si>
  <si>
    <t>dédào</t>
  </si>
  <si>
    <t>Được, nhận được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</si>
  <si>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得到</t>
    </r>
    <r>
      <rPr>
        <sz val="11"/>
        <color theme="1"/>
        <rFont val="Calibri"/>
      </rPr>
      <t>了体育比赛的一等奖。</t>
    </r>
  </si>
  <si>
    <t>Wǒ dédào le tǐyù bǐsài de yī děng jiǎng.</t>
  </si>
  <si>
    <t>Tôi đã giành được giải nhất của cuộc thi thể thao.</t>
  </si>
  <si>
    <t>H3_B9_BG_25.gif</t>
  </si>
  <si>
    <t>H3_B9_25.mp3</t>
  </si>
  <si>
    <t>H3_B9_VD_25.mp3</t>
  </si>
  <si>
    <t>成绩</t>
  </si>
  <si>
    <t>&lt;ruby&gt;成绩&lt;rt&gt;chéngjì&lt;/rt&gt;&lt;/ruby&gt;</t>
  </si>
  <si>
    <t>chéngjì</t>
  </si>
  <si>
    <t>Thành tích, kết quả</t>
  </si>
  <si>
    <r>
      <rPr>
        <sz val="11"/>
        <color theme="1"/>
        <rFont val="Calibri"/>
      </rPr>
      <t>他的</t>
    </r>
    <r>
      <rPr>
        <b/>
        <sz val="11"/>
        <color theme="1"/>
        <rFont val="Calibri"/>
      </rPr>
      <t>成绩</t>
    </r>
    <r>
      <rPr>
        <sz val="11"/>
        <color theme="1"/>
        <rFont val="Calibri"/>
      </rPr>
      <t>一直很优秀。</t>
    </r>
  </si>
  <si>
    <t>Tā de chéngjī yīzhí hěn yōuxiù.</t>
  </si>
  <si>
    <t>Thành tích của anh ấy luôn xuất sắc.</t>
  </si>
  <si>
    <t>H3_B9_BG_26.gif</t>
  </si>
  <si>
    <t>H3_B9_26.mp3</t>
  </si>
  <si>
    <t>H3_B9_VD_26.mp3</t>
  </si>
  <si>
    <t>奥运会</t>
  </si>
  <si>
    <t>&lt;ruby&gt;奥运会&lt;rt&gt;àoyùnhuì&lt;/rt&gt;&lt;/ruby&gt;</t>
  </si>
  <si>
    <t>ào yùn huì</t>
  </si>
  <si>
    <t>Thế vận hội</t>
  </si>
  <si>
    <r>
      <rPr>
        <sz val="11"/>
        <color theme="1"/>
        <rFont val="Calibri"/>
      </rPr>
      <t>北京成功举办了2008年</t>
    </r>
    <r>
      <rPr>
        <b/>
        <sz val="11"/>
        <color theme="1"/>
        <rFont val="Calibri"/>
      </rPr>
      <t>奥运会</t>
    </r>
    <r>
      <rPr>
        <sz val="11"/>
        <color theme="1"/>
        <rFont val="Calibri"/>
      </rPr>
      <t>。</t>
    </r>
  </si>
  <si>
    <t>Běi jīng chénggōng jŭbàn le 2008 nián àoyùnhuì.</t>
  </si>
  <si>
    <t>Bắc Kinh đã tổ chức thành công Thế vận hội năm 2008.</t>
  </si>
  <si>
    <t>H3_B9_BG_27.gif</t>
  </si>
  <si>
    <t>H3_B9_27.mp3</t>
  </si>
  <si>
    <t>H3_B9_VD_27.mp3</t>
  </si>
  <si>
    <t>刘长春</t>
  </si>
  <si>
    <t>&lt;ruby&gt;刘长春&lt;rt&gt;liú chángchūn&lt;/rt&gt;&lt;/ruby&gt;</t>
  </si>
  <si>
    <t>liú cháng chūn</t>
  </si>
  <si>
    <t>Lưu Trường Xuân</t>
  </si>
  <si>
    <r>
      <rPr>
        <b/>
        <sz val="11"/>
        <color theme="1"/>
        <rFont val="Calibri"/>
      </rPr>
      <t>刘长春</t>
    </r>
    <r>
      <rPr>
        <sz val="11"/>
        <color theme="1"/>
        <rFont val="Calibri"/>
      </rPr>
      <t>是中国第一位参加奥运会的运动员。</t>
    </r>
  </si>
  <si>
    <t>Liúchángchūn shì Zhōngguó dìyī wèi cānjiā àoyùnhuì de yùndòngyuán.</t>
  </si>
  <si>
    <t>Lưu Trường Xuân là vận động viên đầu tiên của Trung Quốc tham gia Thế vận hội Olympic.</t>
  </si>
  <si>
    <t>H3_B9_BG_28.gif</t>
  </si>
  <si>
    <t>H3_B9_28.mp3</t>
  </si>
  <si>
    <t>H3_B9_VD_28.mp3</t>
  </si>
  <si>
    <t>数学</t>
  </si>
  <si>
    <t>&lt;ruby&gt;数学&lt;rt&gt;shùxué&lt;/rt&gt;&lt;/ruby&gt;</t>
  </si>
  <si>
    <t>shù xué</t>
  </si>
  <si>
    <t>Toán học</t>
  </si>
  <si>
    <r>
      <rPr>
        <sz val="11"/>
        <color theme="1"/>
        <rFont val="Calibri"/>
      </rPr>
      <t>我喜欢学</t>
    </r>
    <r>
      <rPr>
        <b/>
        <sz val="11"/>
        <color theme="1"/>
        <rFont val="Calibri"/>
      </rPr>
      <t>数学</t>
    </r>
    <r>
      <rPr>
        <sz val="11"/>
        <color theme="1"/>
        <rFont val="Calibri"/>
      </rPr>
      <t>。</t>
    </r>
  </si>
  <si>
    <t>Wǒ xǐhuān xué shùxué.</t>
  </si>
  <si>
    <t>Tôi thích học toán.</t>
  </si>
  <si>
    <t>H3_B10_BG_1.gif</t>
  </si>
  <si>
    <t>认真</t>
  </si>
  <si>
    <t>&lt;ruby&gt;认真&lt;rt&gt;rènzhēn&lt;/rt&gt;&lt;/ruby&gt;</t>
  </si>
  <si>
    <t>rèn zhēn</t>
  </si>
  <si>
    <t>Nghiêm túc</t>
  </si>
  <si>
    <r>
      <rPr>
        <sz val="11"/>
        <color theme="1"/>
        <rFont val="Calibri"/>
      </rPr>
      <t>他学习很</t>
    </r>
    <r>
      <rPr>
        <b/>
        <sz val="11"/>
        <color theme="1"/>
        <rFont val="Calibri"/>
      </rPr>
      <t>认真</t>
    </r>
    <r>
      <rPr>
        <sz val="11"/>
        <color theme="1"/>
        <rFont val="Calibri"/>
      </rPr>
      <t>。</t>
    </r>
  </si>
  <si>
    <t>Tā xuéxí hěn rènzhēn.</t>
  </si>
  <si>
    <t>Anh ấy học hành rất nghiêm túc.</t>
  </si>
  <si>
    <t>H3_B10_BG_2.gif</t>
  </si>
  <si>
    <t>H3_B10_2.mp3</t>
  </si>
  <si>
    <t>H3_B10_VD_2.mp3</t>
  </si>
  <si>
    <t>69eb3948073744188a66fe6c</t>
  </si>
  <si>
    <t>笔记</t>
  </si>
  <si>
    <t>&lt;ruby&gt;笔记&lt;rt&gt;bǐjì&lt;/rt&gt;&lt;/ruby&gt;</t>
  </si>
  <si>
    <t>bǐ jì</t>
  </si>
  <si>
    <t>Sổ ghi chép</t>
  </si>
  <si>
    <r>
      <rPr>
        <sz val="11"/>
        <color theme="1"/>
        <rFont val="Calibri"/>
      </rPr>
      <t>他上课总是认真做</t>
    </r>
    <r>
      <rPr>
        <b/>
        <sz val="11"/>
        <color theme="1"/>
        <rFont val="Calibri"/>
      </rPr>
      <t>笔记</t>
    </r>
    <r>
      <rPr>
        <sz val="11"/>
        <color theme="1"/>
        <rFont val="Calibri"/>
      </rPr>
      <t>。</t>
    </r>
  </si>
  <si>
    <t>Tā shàngkè zǒngshì rènzhēn zuò bǐjì.</t>
  </si>
  <si>
    <t>Anh ấy đi học luôn chăm chỉ ghi chép.</t>
  </si>
  <si>
    <t>H3_B10_BG_3.gif</t>
  </si>
  <si>
    <t>H3_B10_3.mp3</t>
  </si>
  <si>
    <t>H3_B10_VD_3.mp3</t>
  </si>
  <si>
    <t>清楚</t>
  </si>
  <si>
    <t>&lt;ruby&gt;清楚&lt;rt&gt;qīng chǔ&lt;/rt&gt;&lt;/ruby&gt;</t>
  </si>
  <si>
    <t>qīng chǔ</t>
  </si>
  <si>
    <t>Rõ ràng</t>
  </si>
  <si>
    <r>
      <rPr>
        <sz val="11"/>
        <color theme="1"/>
        <rFont val="Calibri"/>
      </rPr>
      <t>这个问题已经解释得很</t>
    </r>
    <r>
      <rPr>
        <b/>
        <sz val="11"/>
        <color theme="1"/>
        <rFont val="Calibri"/>
      </rPr>
      <t>清楚</t>
    </r>
    <r>
      <rPr>
        <sz val="11"/>
        <color theme="1"/>
        <rFont val="Calibri"/>
      </rPr>
      <t>了，但她还是不明白。</t>
    </r>
  </si>
  <si>
    <t>Zhège wèntí yǐjīng jiěshì de hěn qīngchǔ le，dàn tā háishì bù míngbai。</t>
  </si>
  <si>
    <t>Vấn đề này đã được nói rất rõ mà cô ấy vẫn không hiểu.</t>
  </si>
  <si>
    <t>H3_B10_BG_4.gif</t>
  </si>
  <si>
    <t>H3_B10_4.mp3</t>
  </si>
  <si>
    <t>H3_B10_VD_4.mp3</t>
  </si>
  <si>
    <t>黑板</t>
  </si>
  <si>
    <t>&lt;ruby&gt;黑板&lt;rt&gt;hēibǎn&lt;/rt&gt;&lt;/ruby&gt;</t>
  </si>
  <si>
    <t>hēibǎn</t>
  </si>
  <si>
    <t>Bảng đen</t>
  </si>
  <si>
    <r>
      <rPr>
        <sz val="11"/>
        <color theme="1"/>
        <rFont val="Calibri"/>
      </rPr>
      <t>大家请看</t>
    </r>
    <r>
      <rPr>
        <b/>
        <sz val="11"/>
        <color theme="1"/>
        <rFont val="Calibri"/>
      </rPr>
      <t>黑板</t>
    </r>
    <r>
      <rPr>
        <sz val="11"/>
        <color theme="1"/>
        <rFont val="Calibri"/>
      </rPr>
      <t>。</t>
    </r>
  </si>
  <si>
    <t>Dàjiā qǐng kàn hēibǎn.</t>
  </si>
  <si>
    <t>Mọi người hãy nhìn lên bảng.</t>
  </si>
  <si>
    <t>H3_B10_BG_5.gif</t>
  </si>
  <si>
    <t>H3_B10_5.mp3</t>
  </si>
  <si>
    <t>H3_B10_VD_5.mp3</t>
  </si>
  <si>
    <t>把</t>
  </si>
  <si>
    <t>&lt;ruby&gt;把&lt;rt&gt;bǎ&lt;/rt&gt;&lt;/ruby&gt;</t>
  </si>
  <si>
    <t>bǎ</t>
  </si>
  <si>
    <t>Dùng để đưa đối tượng (tân ngữ) của động từ lên trước vị trí của nó</t>
  </si>
  <si>
    <r>
      <rPr>
        <sz val="11"/>
        <color theme="1"/>
        <rFont val="Calibri"/>
      </rPr>
      <t>请</t>
    </r>
    <r>
      <rPr>
        <b/>
        <sz val="11"/>
        <color theme="1"/>
        <rFont val="Calibri"/>
      </rPr>
      <t>把</t>
    </r>
    <r>
      <rPr>
        <sz val="11"/>
        <color theme="1"/>
        <rFont val="Calibri"/>
      </rPr>
      <t>门打开。</t>
    </r>
  </si>
  <si>
    <t>Qǐng bǎ mén dǎkāi.</t>
  </si>
  <si>
    <t>Làm ơn mở cửa ra.</t>
  </si>
  <si>
    <t>H3_B10_BG_6.png</t>
  </si>
  <si>
    <t>H3_B10_6.mp3</t>
  </si>
  <si>
    <t>H3_B10_VD_6.mp3</t>
  </si>
  <si>
    <t>作业</t>
  </si>
  <si>
    <t>&lt;ruby&gt;作业&lt;rt&gt;zuòyè&lt;/rt&gt;&lt;/ruby&gt;</t>
  </si>
  <si>
    <t>zuòyè</t>
  </si>
  <si>
    <t>Bài tập về nhà</t>
  </si>
  <si>
    <r>
      <rPr>
        <sz val="11"/>
        <color theme="1"/>
        <rFont val="Calibri"/>
      </rPr>
      <t>你做完</t>
    </r>
    <r>
      <rPr>
        <b/>
        <sz val="11"/>
        <color theme="1"/>
        <rFont val="Calibri"/>
      </rPr>
      <t>作业</t>
    </r>
    <r>
      <rPr>
        <sz val="11"/>
        <color theme="1"/>
        <rFont val="Calibri"/>
      </rPr>
      <t>了吗？</t>
    </r>
  </si>
  <si>
    <t>Nǐ zuòwán zuòyè le ma?</t>
  </si>
  <si>
    <t>Bạn làm xong bài tập chưa?</t>
  </si>
  <si>
    <t>H3_B10_BG_7.gif</t>
  </si>
  <si>
    <t>H3_B10_7.mp3</t>
  </si>
  <si>
    <t>H3_B10_VD_7.mp3</t>
  </si>
  <si>
    <t>遍</t>
  </si>
  <si>
    <t>&lt;ruby&gt;遍&lt;rt&gt;biàn&lt;/rt&gt;&lt;/ruby&gt;</t>
  </si>
  <si>
    <t>biàn</t>
  </si>
  <si>
    <t xml:space="preserve">Lần, lượt (chỉ một hành động từ lúc bắt đầu đến khi kết thúc) </t>
  </si>
  <si>
    <r>
      <rPr>
        <sz val="11"/>
        <color theme="1"/>
        <rFont val="Calibri"/>
      </rPr>
      <t>我已经读了这本书两</t>
    </r>
    <r>
      <rPr>
        <b/>
        <sz val="11"/>
        <color theme="1"/>
        <rFont val="Calibri"/>
      </rPr>
      <t>遍</t>
    </r>
    <r>
      <rPr>
        <sz val="11"/>
        <color theme="1"/>
        <rFont val="Calibri"/>
      </rPr>
      <t>。</t>
    </r>
  </si>
  <si>
    <t>Wǒ yǐjīng dú le zhè běn shū liǎng biàn.</t>
  </si>
  <si>
    <t>Tôi đã đọc cuốn sách hai lần.</t>
  </si>
  <si>
    <t>H3_B10_BG_8.gif</t>
  </si>
  <si>
    <t>H3_B10_8.mp3</t>
  </si>
  <si>
    <t>H3_B10_VD_8.mp3</t>
  </si>
  <si>
    <t>提高</t>
  </si>
  <si>
    <t>&lt;ruby&gt;提高&lt;rt&gt;tí gāo&lt;/rt&gt;&lt;/ruby&gt;</t>
  </si>
  <si>
    <t>tí gāo</t>
  </si>
  <si>
    <t>Nâng cao, tiến bộ</t>
  </si>
  <si>
    <r>
      <rPr>
        <sz val="11"/>
        <color theme="1"/>
        <rFont val="Calibri"/>
      </rPr>
      <t>我们需要</t>
    </r>
    <r>
      <rPr>
        <b/>
        <sz val="11"/>
        <color theme="1"/>
        <rFont val="Calibri"/>
      </rPr>
      <t>提高</t>
    </r>
    <r>
      <rPr>
        <sz val="11"/>
        <color theme="1"/>
        <rFont val="Calibri"/>
      </rPr>
      <t>工作效率。</t>
    </r>
  </si>
  <si>
    <t>Wǒmen xūyào tígāo gōngzuò xiàolǜ.</t>
  </si>
  <si>
    <t>Chúng ta cần nâng cao hiệu suất công việc.</t>
  </si>
  <si>
    <t>H3_B10_BG_9.gif</t>
  </si>
  <si>
    <t>H3_B10_9.mp3</t>
  </si>
  <si>
    <t>H3_B10_VD_9.mp3</t>
  </si>
  <si>
    <t>历史</t>
  </si>
  <si>
    <t>&lt;ruby&gt;历史&lt;rt&gt;lìshǐ&lt;/rt&gt;&lt;/ruby&gt;</t>
  </si>
  <si>
    <t>lì shǐ</t>
  </si>
  <si>
    <t>Lịch sử</t>
  </si>
  <si>
    <r>
      <rPr>
        <sz val="11"/>
        <color theme="1"/>
        <rFont val="Calibri"/>
      </rPr>
      <t>我喜欢读</t>
    </r>
    <r>
      <rPr>
        <b/>
        <sz val="11"/>
        <color theme="1"/>
        <rFont val="Calibri"/>
      </rPr>
      <t>历史</t>
    </r>
    <r>
      <rPr>
        <sz val="11"/>
        <color theme="1"/>
        <rFont val="Calibri"/>
      </rPr>
      <t>书。</t>
    </r>
  </si>
  <si>
    <t>Wǒ xǐhuān dú lìshǐ shū.</t>
  </si>
  <si>
    <t>Tôi thích đọc sách lịch sử.</t>
  </si>
  <si>
    <t>H3_B10_BG_10.gif</t>
  </si>
  <si>
    <t>H3_B10_10.mp3</t>
  </si>
  <si>
    <t>H3_B10_VD_10.mp3</t>
  </si>
  <si>
    <t xml:space="preserve">难 </t>
  </si>
  <si>
    <t>&lt;ruby&gt;难&lt;rt&gt;nán&lt;/rt&gt;&lt;/ruby&gt;</t>
  </si>
  <si>
    <t>Khó</t>
  </si>
  <si>
    <r>
      <rPr>
        <sz val="11"/>
        <color theme="1"/>
        <rFont val="Calibri"/>
      </rPr>
      <t>这道数学题太</t>
    </r>
    <r>
      <rPr>
        <b/>
        <sz val="11"/>
        <color theme="1"/>
        <rFont val="Calibri"/>
      </rPr>
      <t>难</t>
    </r>
    <r>
      <rPr>
        <sz val="11"/>
        <color theme="1"/>
        <rFont val="Calibri"/>
      </rPr>
      <t>了。</t>
    </r>
  </si>
  <si>
    <t>Zhè dào shùxué tí tài nán le.</t>
  </si>
  <si>
    <t>Bài toán này khó quá.</t>
  </si>
  <si>
    <t>H3_B10_BG_11.gif</t>
  </si>
  <si>
    <t>H3_B10_11.mp3</t>
  </si>
  <si>
    <t>H3_B10_VD_11.mp3</t>
  </si>
  <si>
    <t>要求</t>
  </si>
  <si>
    <t>&lt;ruby&gt;要求&lt;rt&gt;yāoqiú&lt;/rt&gt;&lt;/ruby&gt;</t>
  </si>
  <si>
    <t>yāoqiú</t>
  </si>
  <si>
    <t>Yêu cầu</t>
  </si>
  <si>
    <r>
      <rPr>
        <sz val="11"/>
        <color theme="1"/>
        <rFont val="Calibri"/>
      </rPr>
      <t>公司</t>
    </r>
    <r>
      <rPr>
        <b/>
        <sz val="11"/>
        <color theme="1"/>
        <rFont val="Calibri"/>
      </rPr>
      <t>要求</t>
    </r>
    <r>
      <rPr>
        <sz val="11"/>
        <color theme="1"/>
        <rFont val="Calibri"/>
      </rPr>
      <t>员工准时上班。</t>
    </r>
  </si>
  <si>
    <t>Gōngsī yāoqiú yuángōng zhǔnshí shàngbān.</t>
  </si>
  <si>
    <t>Công ty yêu cầu nhân viên đi làm đúng giờ.</t>
  </si>
  <si>
    <t>H3_B10_BG_12.gif</t>
  </si>
  <si>
    <t>H3_B10_12.mp3</t>
  </si>
  <si>
    <t>H3_B10_VD_12.mp3</t>
  </si>
  <si>
    <t>差</t>
  </si>
  <si>
    <t>&lt;ruby&gt;差&lt;rt&gt;chà&lt;/rt&gt;&lt;/ruby&gt;</t>
  </si>
  <si>
    <t>chà</t>
  </si>
  <si>
    <t>Kém, thiếu</t>
  </si>
  <si>
    <r>
      <rPr>
        <sz val="11"/>
        <color theme="1"/>
        <rFont val="Calibri"/>
      </rPr>
      <t>现在是十二点</t>
    </r>
    <r>
      <rPr>
        <b/>
        <sz val="11"/>
        <color theme="1"/>
        <rFont val="Calibri"/>
      </rPr>
      <t>差</t>
    </r>
    <r>
      <rPr>
        <sz val="11"/>
        <color theme="1"/>
        <rFont val="Calibri"/>
      </rPr>
      <t>一刻，男孩担心自己会迟到。</t>
    </r>
  </si>
  <si>
    <t>Xiànzài shì shíèr diǎn chà yí kè, nánhái dānxīn zìjǐ huì chídào.</t>
  </si>
  <si>
    <t>Bây giờ là mười hai giờ kém mười lăm phút, cậu bé lo lắng mình sẽ bị trễ.</t>
  </si>
  <si>
    <t>H3_B10_BG_13.gif</t>
  </si>
  <si>
    <t>H3_B10_13.mp3</t>
  </si>
  <si>
    <t>H3_B10_VD_13.mp3</t>
  </si>
  <si>
    <t>复习</t>
  </si>
  <si>
    <t>&lt;ruby&gt;复习&lt;rt&gt;fùxí&lt;/rt&gt;&lt;/ruby&gt;</t>
  </si>
  <si>
    <t>fùxí</t>
  </si>
  <si>
    <t>Ôn tập</t>
  </si>
  <si>
    <r>
      <rPr>
        <sz val="11"/>
        <color theme="1"/>
        <rFont val="Calibri"/>
      </rPr>
      <t>明天考试，我们一起</t>
    </r>
    <r>
      <rPr>
        <b/>
        <sz val="11"/>
        <color theme="1"/>
        <rFont val="Calibri"/>
      </rPr>
      <t>复习</t>
    </r>
    <r>
      <rPr>
        <sz val="11"/>
        <color theme="1"/>
        <rFont val="Calibri"/>
      </rPr>
      <t>吧！</t>
    </r>
  </si>
  <si>
    <t>Míngtiān kǎoshì, wǒmen yīqǐ fùxí ba!</t>
  </si>
  <si>
    <t>Ngày mai thi rồi, chúng ta cùng ôn tập đi!</t>
  </si>
  <si>
    <t>H3_B10_BG_14.gif</t>
  </si>
  <si>
    <t>H3_B10_14.mp3</t>
  </si>
  <si>
    <t>H3_B10_VD_14.mp3</t>
  </si>
  <si>
    <t>外语</t>
  </si>
  <si>
    <t>&lt;ruby&gt;外语&lt;rt&gt;wàiyǔ&lt;/rt&gt;&lt;/ruby&gt;</t>
  </si>
  <si>
    <t>wài yǔ</t>
  </si>
  <si>
    <t>Ngoại ngữ</t>
  </si>
  <si>
    <r>
      <rPr>
        <sz val="11"/>
        <color theme="1"/>
        <rFont val="Calibri"/>
      </rPr>
      <t>我喜欢学</t>
    </r>
    <r>
      <rPr>
        <b/>
        <sz val="11"/>
        <color theme="1"/>
        <rFont val="Calibri"/>
      </rPr>
      <t>外语</t>
    </r>
    <r>
      <rPr>
        <sz val="11"/>
        <color theme="1"/>
        <rFont val="Calibri"/>
      </rPr>
      <t>。</t>
    </r>
  </si>
  <si>
    <t>Wǒ xǐhuān xué wàiyǔ.</t>
  </si>
  <si>
    <t>Tôi thích học ngoại ngữ.</t>
  </si>
  <si>
    <t>H3_B10_BG_15.gif</t>
  </si>
  <si>
    <t>H3_B10_15.mp3</t>
  </si>
  <si>
    <t>H3_B10_VD_15.mp3</t>
  </si>
  <si>
    <t>当然</t>
  </si>
  <si>
    <t>&lt;ruby&gt;当然&lt;rt&gt;dāngrán&lt;/rt&gt;&lt;/ruby&gt;</t>
  </si>
  <si>
    <t>dāngrán</t>
  </si>
  <si>
    <t xml:space="preserve">Đương nhiên, tất nhiên, dĩ nhiên </t>
  </si>
  <si>
    <r>
      <rPr>
        <sz val="11"/>
        <color theme="1"/>
        <rFont val="Calibri"/>
      </rPr>
      <t>这件衣服很好看，我</t>
    </r>
    <r>
      <rPr>
        <b/>
        <sz val="11"/>
        <color theme="1"/>
        <rFont val="Calibri"/>
      </rPr>
      <t>当然</t>
    </r>
    <r>
      <rPr>
        <sz val="11"/>
        <color theme="1"/>
        <rFont val="Calibri"/>
      </rPr>
      <t>喜欢。</t>
    </r>
  </si>
  <si>
    <t>Zhè jiàn yīfú hěn hǎokàn, wǒ dāngrán xǐhuān.</t>
  </si>
  <si>
    <t>Bộ quần áo này rất đẹp, tất nhiên tôi thích.</t>
  </si>
  <si>
    <t>H3_B10_BG_16.gif</t>
  </si>
  <si>
    <t>H3_B10_16.mp3</t>
  </si>
  <si>
    <t>H3_B10_VD_16.mp3</t>
  </si>
  <si>
    <t>遇到</t>
  </si>
  <si>
    <t>&lt;ruby&gt;遇到&lt;rt&gt;yùdào&lt;/rt&gt;&lt;/ruby&gt;</t>
  </si>
  <si>
    <t>yùdào</t>
  </si>
  <si>
    <t>Tình cờ gặp</t>
  </si>
  <si>
    <r>
      <rPr>
        <sz val="11"/>
        <color theme="1"/>
        <rFont val="Calibri"/>
      </rPr>
      <t>妹妹</t>
    </r>
    <r>
      <rPr>
        <b/>
        <sz val="11"/>
        <color theme="1"/>
        <rFont val="Calibri"/>
      </rPr>
      <t>遇到</t>
    </r>
    <r>
      <rPr>
        <sz val="11"/>
        <color theme="1"/>
        <rFont val="Calibri"/>
      </rPr>
      <t>困难时，哥哥总是帮她。</t>
    </r>
  </si>
  <si>
    <t>Mèimei yùdào kùnnán shí, gēge zǒngshì bāng tā.</t>
  </si>
  <si>
    <t>Em gái gặp phải khó khăn và được anh trai giúp đỡ.</t>
  </si>
  <si>
    <t>H3_B10_BG_17.gif</t>
  </si>
  <si>
    <t>H3_B10_17.mp3</t>
  </si>
  <si>
    <t>H3_B10_VD_17.mp3</t>
  </si>
  <si>
    <t>办公室</t>
  </si>
  <si>
    <t>&lt;ruby&gt;办公室&lt;rt&gt;bàngōngshì&lt;/rt&gt;&lt;/ruby&gt;</t>
  </si>
  <si>
    <t>bàngōngshì</t>
  </si>
  <si>
    <t xml:space="preserve">Văn phòng </t>
  </si>
  <si>
    <r>
      <rPr>
        <b/>
        <sz val="11"/>
        <color theme="1"/>
        <rFont val="Calibri"/>
      </rPr>
      <t>办公室</t>
    </r>
    <r>
      <rPr>
        <sz val="11"/>
        <color theme="1"/>
        <rFont val="Calibri"/>
      </rPr>
      <t>很整洁。</t>
    </r>
  </si>
  <si>
    <t>Bàngōngshì hěn zhěngjié.</t>
  </si>
  <si>
    <t>Văn phòng rất ngăn nắp.</t>
  </si>
  <si>
    <t>H3_B10_BG_18.gif</t>
  </si>
  <si>
    <t>H3_B10_18.mp3</t>
  </si>
  <si>
    <t>H3_B10_VD_18.mp3</t>
  </si>
  <si>
    <t>页</t>
  </si>
  <si>
    <t>&lt;ruby&gt;页&lt;rt&gt;yè&lt;/rt&gt;&lt;/ruby&gt;</t>
  </si>
  <si>
    <t>yè</t>
  </si>
  <si>
    <t>Trang</t>
  </si>
  <si>
    <r>
      <rPr>
        <sz val="11"/>
        <color theme="1"/>
        <rFont val="Calibri"/>
      </rPr>
      <t>这本书有三百</t>
    </r>
    <r>
      <rPr>
        <b/>
        <sz val="11"/>
        <color theme="1"/>
        <rFont val="Calibri"/>
      </rPr>
      <t>页</t>
    </r>
    <r>
      <rPr>
        <sz val="11"/>
        <color theme="1"/>
        <rFont val="Calibri"/>
      </rPr>
      <t>。</t>
    </r>
  </si>
  <si>
    <t>Zhè běn shū yǒu sān bǎi yè.</t>
  </si>
  <si>
    <t>Cuốn sách này có ba trăm trang.</t>
  </si>
  <si>
    <t>H3_B10_BG_19.gif</t>
  </si>
  <si>
    <t>H3_B10_19.mp3</t>
  </si>
  <si>
    <t>H3_B10_VD_19.mp3</t>
  </si>
  <si>
    <t>对话</t>
  </si>
  <si>
    <t>&lt;ruby&gt;对话&lt;rt&gt;duìhuà&lt;/rt&gt;&lt;/ruby&gt;</t>
  </si>
  <si>
    <t>duìhuà</t>
  </si>
  <si>
    <t>Đối thoại, tiếp xúc</t>
  </si>
  <si>
    <r>
      <rPr>
        <sz val="11"/>
        <color theme="1"/>
        <rFont val="Calibri"/>
      </rPr>
      <t>你听到他们父子的</t>
    </r>
    <r>
      <rPr>
        <b/>
        <sz val="11"/>
        <color theme="1"/>
        <rFont val="Calibri"/>
      </rPr>
      <t>对话</t>
    </r>
    <r>
      <rPr>
        <sz val="11"/>
        <color theme="1"/>
        <rFont val="Calibri"/>
      </rPr>
      <t>了吗？</t>
    </r>
  </si>
  <si>
    <t>Nǐ tīng dào tāmen fù zǐ de duìhuà le ma?</t>
  </si>
  <si>
    <t>Bạn nghe thấy cuộc đối thoại giữa hai bố con họ không?</t>
  </si>
  <si>
    <t>H3_B10_BG_20.gif</t>
  </si>
  <si>
    <t>H3_B10_20.mp3</t>
  </si>
  <si>
    <t>H3_B10_VD_20.mp3</t>
  </si>
  <si>
    <t>明白</t>
  </si>
  <si>
    <t>&lt;ruby&gt;明白&lt;rt&gt;míng bái&lt;/rt&gt;&lt;/ruby&gt;</t>
  </si>
  <si>
    <t>míng bái</t>
  </si>
  <si>
    <t xml:space="preserve">Rõ ràng, dễ hiểu </t>
  </si>
  <si>
    <r>
      <rPr>
        <sz val="11"/>
        <color theme="1"/>
        <rFont val="Calibri"/>
      </rPr>
      <t>今天的课程老师讲得很</t>
    </r>
    <r>
      <rPr>
        <b/>
        <sz val="11"/>
        <color theme="1"/>
        <rFont val="Calibri"/>
      </rPr>
      <t>明白</t>
    </r>
    <r>
      <rPr>
        <sz val="11"/>
        <color theme="1"/>
        <rFont val="Calibri"/>
      </rPr>
      <t>。</t>
    </r>
  </si>
  <si>
    <t>Jīntiān de kèchéng lǎoshī jiǎng de hěn míngbai.</t>
  </si>
  <si>
    <t>Bài học hôm nay cô giảng rất dễ hiểu.</t>
  </si>
  <si>
    <t>H3_B10_BG_21.gif</t>
  </si>
  <si>
    <t>H3_B10_21.mp3</t>
  </si>
  <si>
    <t>H3_B10_VD_21.mp3</t>
  </si>
  <si>
    <t>讲</t>
  </si>
  <si>
    <t>&lt;ruby&gt;讲&lt;rt&gt;jiǎng&lt;/rt&gt;&lt;/ruby&gt;</t>
  </si>
  <si>
    <t>jiǎng</t>
  </si>
  <si>
    <t xml:space="preserve">Nói, giải thích </t>
  </si>
  <si>
    <r>
      <rPr>
        <sz val="11"/>
        <color theme="1"/>
        <rFont val="Calibri"/>
      </rPr>
      <t>她在</t>
    </r>
    <r>
      <rPr>
        <b/>
        <sz val="11"/>
        <color theme="1"/>
        <rFont val="Calibri"/>
      </rPr>
      <t>讲</t>
    </r>
    <r>
      <rPr>
        <sz val="11"/>
        <color theme="1"/>
        <rFont val="Calibri"/>
      </rPr>
      <t>自己跳的芭蕾舞。</t>
    </r>
  </si>
  <si>
    <t>Tā zài jiǎng zìjǐ tiào de bālěiwǔ.</t>
  </si>
  <si>
    <t>Cô ấy là nói về vũ điệu ba lê mà vừa nãy cô ấy múa.</t>
  </si>
  <si>
    <t>H3_B10_BG_22.gif</t>
  </si>
  <si>
    <t>H3_B10_22.mp3</t>
  </si>
  <si>
    <t>H3_B10_VD_22.mp3</t>
  </si>
  <si>
    <t>句</t>
  </si>
  <si>
    <t>&lt;ruby&gt;句&lt;rt&gt;jù&lt;/rt&gt;&lt;/ruby&gt;</t>
  </si>
  <si>
    <t>jù</t>
  </si>
  <si>
    <t>Dùng cho các câu</t>
  </si>
  <si>
    <r>
      <rPr>
        <sz val="11"/>
        <color theme="1"/>
        <rFont val="Calibri"/>
      </rPr>
      <t>他说了一</t>
    </r>
    <r>
      <rPr>
        <b/>
        <sz val="11"/>
        <color theme="1"/>
        <rFont val="Calibri"/>
      </rPr>
      <t>句</t>
    </r>
    <r>
      <rPr>
        <sz val="11"/>
        <color theme="1"/>
        <rFont val="Calibri"/>
      </rPr>
      <t>话。</t>
    </r>
  </si>
  <si>
    <t>Tā shuō le yī jù huà.</t>
  </si>
  <si>
    <t>Anh ấy nói một câu.</t>
  </si>
  <si>
    <t>H3_B10_BG_23.gif</t>
  </si>
  <si>
    <t>H3_B10_23.mp3</t>
  </si>
  <si>
    <t>H3_B10_VD_23.mp3</t>
  </si>
  <si>
    <t>句子</t>
  </si>
  <si>
    <t>&lt;ruby&gt;句子&lt;rt&gt;jùzi&lt;/rt&gt;&lt;/ruby&gt;</t>
  </si>
  <si>
    <t>jùzi</t>
  </si>
  <si>
    <t>Câu</t>
  </si>
  <si>
    <r>
      <rPr>
        <sz val="11"/>
        <color theme="1"/>
        <rFont val="Calibri"/>
      </rPr>
      <t>请填上这个</t>
    </r>
    <r>
      <rPr>
        <b/>
        <sz val="11"/>
        <color theme="1"/>
        <rFont val="Calibri"/>
      </rPr>
      <t>句子</t>
    </r>
    <r>
      <rPr>
        <sz val="11"/>
        <color theme="1"/>
        <rFont val="Calibri"/>
      </rPr>
      <t>的空缺。</t>
    </r>
  </si>
  <si>
    <t>Qǐng tián shàng zhè gè jùzi de kòngquē.</t>
  </si>
  <si>
    <t>Điền vào chỗ trống của câu này.</t>
  </si>
  <si>
    <t>H3_B10_BG_24.gif</t>
  </si>
  <si>
    <t>H3_B10_24.mp3</t>
  </si>
  <si>
    <t>H3_B10_VD_24.mp3</t>
  </si>
  <si>
    <t>年级</t>
  </si>
  <si>
    <t>&lt;ruby&gt;年级&lt;rt&gt;niánjí&lt;/rt&gt;&lt;/ruby&gt;</t>
  </si>
  <si>
    <t>nián jí</t>
  </si>
  <si>
    <t>Cấp học</t>
  </si>
  <si>
    <r>
      <rPr>
        <sz val="11"/>
        <color theme="1"/>
        <rFont val="Calibri"/>
      </rPr>
      <t>我弟弟上一</t>
    </r>
    <r>
      <rPr>
        <b/>
        <sz val="11"/>
        <color theme="1"/>
        <rFont val="Calibri"/>
      </rPr>
      <t>年级</t>
    </r>
    <r>
      <rPr>
        <sz val="11"/>
        <color theme="1"/>
        <rFont val="Calibri"/>
      </rPr>
      <t>。</t>
    </r>
  </si>
  <si>
    <t>Wǒ dìdi shàng yī niánjí.</t>
  </si>
  <si>
    <t>Em trai tôi học lớp một.</t>
  </si>
  <si>
    <t>H3_B10_BG_25.gif</t>
  </si>
  <si>
    <t>H3_B10_25.mp3</t>
  </si>
  <si>
    <t>H3_B10_VD_25.mp3</t>
  </si>
  <si>
    <t>后年</t>
  </si>
  <si>
    <t>&lt;ruby&gt;后年&lt;rt&gt;hòunián&lt;/rt&gt;&lt;/ruby&gt;</t>
  </si>
  <si>
    <t>hòu nián</t>
  </si>
  <si>
    <r>
      <rPr>
        <sz val="11"/>
        <color theme="1"/>
        <rFont val="Calibri"/>
      </rPr>
      <t>我们</t>
    </r>
    <r>
      <rPr>
        <b/>
        <sz val="11"/>
        <color theme="1"/>
        <rFont val="Calibri"/>
      </rPr>
      <t>后年</t>
    </r>
    <r>
      <rPr>
        <sz val="11"/>
        <color theme="1"/>
        <rFont val="Calibri"/>
      </rPr>
      <t>毕业。</t>
    </r>
  </si>
  <si>
    <t>Wǒmen hòunián bìyè.</t>
  </si>
  <si>
    <t>Chúng tôi sẽ tốt nghiệp vào năm kia.</t>
  </si>
  <si>
    <t>H3_B10_BG_26.gif</t>
  </si>
  <si>
    <t>H3_B10_26.mp3</t>
  </si>
  <si>
    <t>H3_B10_VD_26.mp3</t>
  </si>
  <si>
    <t>一般</t>
  </si>
  <si>
    <t>&lt;ruby&gt;一般&lt;rt&gt;yìbān&lt;/rt&gt;&lt;/ruby&gt;</t>
  </si>
  <si>
    <t>yìbān</t>
  </si>
  <si>
    <t>Thông thường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</si>
  <si>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一般</t>
    </r>
    <r>
      <rPr>
        <sz val="11"/>
        <color theme="1"/>
        <rFont val="Calibri"/>
      </rPr>
      <t>七点起床。</t>
    </r>
  </si>
  <si>
    <t>Wǒ yībān qī diǎn qǐchuáng.</t>
  </si>
  <si>
    <t>Tôi thường dậy lúc 7 giờ.</t>
  </si>
  <si>
    <t>H3_B10_BG_27.gif</t>
  </si>
  <si>
    <t>H3_B10_27.mp3</t>
  </si>
  <si>
    <t>H3_B10_VD_27.mp3</t>
  </si>
  <si>
    <t>努力</t>
  </si>
  <si>
    <t>&lt;ruby&gt;努力&lt;rt&gt;nǔlì&lt;/rt&gt;&lt;/ruby&gt;</t>
  </si>
  <si>
    <t>nǔ lì</t>
  </si>
  <si>
    <t>Nỗ lực, cố gắng</t>
  </si>
  <si>
    <r>
      <rPr>
        <sz val="11"/>
        <color theme="1"/>
        <rFont val="Calibri"/>
      </rPr>
      <t>为了取得好成绩，他每天都</t>
    </r>
    <r>
      <rPr>
        <b/>
        <sz val="11"/>
        <color theme="1"/>
        <rFont val="Calibri"/>
      </rPr>
      <t>努力</t>
    </r>
    <r>
      <rPr>
        <sz val="11"/>
        <color theme="1"/>
        <rFont val="Calibri"/>
      </rPr>
      <t>学习。</t>
    </r>
  </si>
  <si>
    <t>Wèile qǔ de hǎo chéngjì, tā měi tiān dōu nǔlì xuéxí.</t>
  </si>
  <si>
    <t>Để đạt được thành tích tốt, cậu ấy mỗi ngày đều nỗ lực học tập.</t>
  </si>
  <si>
    <t>H3_B10_BG_28.gif</t>
  </si>
  <si>
    <t>H3_B10_28.mp3</t>
  </si>
  <si>
    <t>H3_B10_VD_28.mp3</t>
  </si>
  <si>
    <t>会议</t>
  </si>
  <si>
    <t>&lt;ruby&gt;会议&lt;rt&gt;huìyì&lt;/rt&gt;&lt;/ruby&gt;</t>
  </si>
  <si>
    <t>huìyì</t>
  </si>
  <si>
    <t>Hội nghị, cuộc họp</t>
  </si>
  <si>
    <r>
      <rPr>
        <sz val="11"/>
        <color theme="1"/>
        <rFont val="Calibri"/>
      </rPr>
      <t>今天我们有一个</t>
    </r>
    <r>
      <rPr>
        <b/>
        <sz val="11"/>
        <color theme="1"/>
        <rFont val="Calibri"/>
      </rPr>
      <t>会议</t>
    </r>
    <r>
      <rPr>
        <sz val="11"/>
        <color theme="1"/>
        <rFont val="Calibri"/>
      </rPr>
      <t>。</t>
    </r>
  </si>
  <si>
    <t>Jīntiān wǒmen yǒu yī gè huìyì.</t>
  </si>
  <si>
    <t>Hôm nay chúng ta có một cuộc họp.</t>
  </si>
  <si>
    <t>H3_B11_BG_1.gif</t>
  </si>
  <si>
    <t>H3_B11_1.mp3</t>
  </si>
  <si>
    <t>H3_B11_VD_1.mp3</t>
  </si>
  <si>
    <t>经理</t>
  </si>
  <si>
    <t>&lt;ruby&gt;经理&lt;rt&gt;jīnglǐ&lt;/rt&gt;&lt;/ruby&gt;</t>
  </si>
  <si>
    <t>jīnglǐ</t>
  </si>
  <si>
    <t xml:space="preserve">Giám đốc </t>
  </si>
  <si>
    <r>
      <rPr>
        <b/>
        <sz val="11"/>
        <color theme="1"/>
        <rFont val="Calibri"/>
      </rPr>
      <t>经理</t>
    </r>
    <r>
      <rPr>
        <sz val="11"/>
        <color theme="1"/>
        <rFont val="Calibri"/>
      </rPr>
      <t>是一个决断的人。</t>
    </r>
  </si>
  <si>
    <t>Jīnglǐ shì yīgè juéduàn de rén.</t>
  </si>
  <si>
    <t>Giám đốc là một người quyết đoán.</t>
  </si>
  <si>
    <t>H3_B11_BG_2.gif</t>
  </si>
  <si>
    <t>H3_B11_2.mp3</t>
  </si>
  <si>
    <t>H3_B11_VD_2.mp3</t>
  </si>
  <si>
    <t>69eb3991073744188a66fe6f</t>
  </si>
  <si>
    <t>开会</t>
  </si>
  <si>
    <t>&lt;ruby&gt;开会&lt;rt&gt;kāihuì&lt;/rt&gt;&lt;/ruby&gt;</t>
  </si>
  <si>
    <t>kāi huì</t>
  </si>
  <si>
    <t>Mở cuộc họp</t>
  </si>
  <si>
    <r>
      <rPr>
        <sz val="11"/>
        <color theme="1"/>
        <rFont val="Calibri"/>
      </rPr>
      <t>我们明天上午九点</t>
    </r>
    <r>
      <rPr>
        <b/>
        <sz val="11"/>
        <color theme="1"/>
        <rFont val="Calibri"/>
      </rPr>
      <t>开会</t>
    </r>
    <r>
      <rPr>
        <sz val="11"/>
        <color theme="1"/>
        <rFont val="Calibri"/>
      </rPr>
      <t>。</t>
    </r>
  </si>
  <si>
    <t>Wǒmen míngtiān shàngwǔ jiǔ diǎn kāihuì.</t>
  </si>
  <si>
    <t>Chúng ta sẽ họp vào lúc 9 giờ sáng mai.</t>
  </si>
  <si>
    <t>H3_B11_BG_3.gif</t>
  </si>
  <si>
    <t>H3_B11_3.mp3</t>
  </si>
  <si>
    <t>H3_B11_VD_3.mp3</t>
  </si>
  <si>
    <t>后天</t>
  </si>
  <si>
    <t>&lt;ruby&gt;后天&lt;rt&gt;hòutiān&lt;/rt&gt;&lt;/ruby&gt;</t>
  </si>
  <si>
    <t>hòu tiān</t>
  </si>
  <si>
    <t>Ngày kia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</si>
  <si>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后天</t>
    </r>
    <r>
      <rPr>
        <sz val="11"/>
        <color theme="1"/>
        <rFont val="Calibri"/>
      </rPr>
      <t>去北京。</t>
    </r>
  </si>
  <si>
    <t>Wǒ hòutiān qù běi jīng.</t>
  </si>
  <si>
    <t>Ngày kia tôi đi Bắc Kinh.</t>
  </si>
  <si>
    <t>H3_B11_BG_4.gif</t>
  </si>
  <si>
    <t>H3_B11_4.mp3</t>
  </si>
  <si>
    <t>H3_B11_VD_4.mp3</t>
  </si>
  <si>
    <t>地点</t>
  </si>
  <si>
    <t>&lt;ruby&gt;地点&lt;rt&gt;dìdiǎn&lt;/rt&gt;&lt;/ruby&gt;</t>
  </si>
  <si>
    <t>dìdiǎn</t>
  </si>
  <si>
    <t>Địa điểm</t>
  </si>
  <si>
    <r>
      <rPr>
        <sz val="11"/>
        <color theme="1"/>
        <rFont val="Calibri"/>
      </rPr>
      <t>我们将前往这些</t>
    </r>
    <r>
      <rPr>
        <b/>
        <sz val="11"/>
        <color theme="1"/>
        <rFont val="Calibri"/>
      </rPr>
      <t>地点</t>
    </r>
    <r>
      <rPr>
        <sz val="11"/>
        <color theme="1"/>
        <rFont val="Calibri"/>
      </rPr>
      <t>。</t>
    </r>
  </si>
  <si>
    <t>Wǒmen jiāng qián wǎng zhèxiē dìdiǎn.</t>
  </si>
  <si>
    <t>Chúng ta sẽ di chuyển đến những địa điểm này.</t>
  </si>
  <si>
    <t>H3_B11_BG_5.gif</t>
  </si>
  <si>
    <t>H3_B11_5.mp3</t>
  </si>
  <si>
    <t>H3_B11_VD_5.mp3</t>
  </si>
  <si>
    <t>室</t>
  </si>
  <si>
    <t>&lt;ruby&gt;室&lt;rt&gt;shì&lt;/rt&gt;&lt;/ruby&gt;</t>
  </si>
  <si>
    <t>Phòng</t>
  </si>
  <si>
    <r>
      <rPr>
        <sz val="11"/>
        <color theme="1"/>
        <rFont val="Calibri"/>
      </rPr>
      <t>这是我的卧</t>
    </r>
    <r>
      <rPr>
        <b/>
        <sz val="11"/>
        <color theme="1"/>
        <rFont val="Calibri"/>
      </rPr>
      <t>室</t>
    </r>
    <r>
      <rPr>
        <sz val="11"/>
        <color theme="1"/>
        <rFont val="Calibri"/>
      </rPr>
      <t>。</t>
    </r>
  </si>
  <si>
    <t>Zhè shì wǒ de wòshì.</t>
  </si>
  <si>
    <t>Đây là phòng ngủ của tôi.</t>
  </si>
  <si>
    <t>H3_B11_BG_6.gif</t>
  </si>
  <si>
    <t>H3_B11_6.mp3</t>
  </si>
  <si>
    <t>H3_B11_VD_6.mp3</t>
  </si>
  <si>
    <t>发</t>
  </si>
  <si>
    <t>&lt;ruby&gt;发&lt;rt&gt;fā&lt;/rt&gt;&lt;/ruby&gt;</t>
  </si>
  <si>
    <t>fā</t>
  </si>
  <si>
    <t>Gửi, gửi đi</t>
  </si>
  <si>
    <r>
      <rPr>
        <sz val="11"/>
        <color theme="1"/>
        <rFont val="Calibri"/>
      </rPr>
      <t>今天公司已经</t>
    </r>
    <r>
      <rPr>
        <b/>
        <sz val="11"/>
        <color theme="1"/>
        <rFont val="Calibri"/>
      </rPr>
      <t>发</t>
    </r>
    <r>
      <rPr>
        <sz val="11"/>
        <color theme="1"/>
        <rFont val="Calibri"/>
      </rPr>
      <t>货了。</t>
    </r>
  </si>
  <si>
    <t>Jīntiān gōngsī yǐjīng fā huò le.</t>
  </si>
  <si>
    <t>Hôm nay công ty đã gửi hàng.</t>
  </si>
  <si>
    <t>H3_B11_BG_7.gif</t>
  </si>
  <si>
    <t>H3_B11_7.mp3</t>
  </si>
  <si>
    <t>H3_B11_VD_7.mp3</t>
  </si>
  <si>
    <t>笔记本</t>
  </si>
  <si>
    <t>&lt;ruby&gt;笔记本&lt;rt&gt;bǐjìběn&lt;/rt&gt;&lt;/ruby&gt;</t>
  </si>
  <si>
    <t>bǐjìběn</t>
  </si>
  <si>
    <t>Máy tính bảng, laptop hoặc sổ ghi chép</t>
  </si>
  <si>
    <r>
      <rPr>
        <sz val="11"/>
        <color theme="1"/>
        <rFont val="Calibri"/>
      </rPr>
      <t>那台</t>
    </r>
    <r>
      <rPr>
        <b/>
        <sz val="11"/>
        <color theme="1"/>
        <rFont val="Calibri"/>
      </rPr>
      <t>笔记本</t>
    </r>
    <r>
      <rPr>
        <sz val="11"/>
        <color theme="1"/>
        <rFont val="Calibri"/>
      </rPr>
      <t>电脑非常贵。</t>
    </r>
  </si>
  <si>
    <t>Nà tái bǐjìběn diànnǎo fēicháng guì.</t>
  </si>
  <si>
    <t>Chiếc laptop đó rất đắt đỏ.</t>
  </si>
  <si>
    <t>H3_B11_BG_8.gif</t>
  </si>
  <si>
    <t>H3_B11_8.mp3</t>
  </si>
  <si>
    <t>H3_B11_VD_8.mp3</t>
  </si>
  <si>
    <t>或者</t>
  </si>
  <si>
    <t>&lt;ruby&gt;或者&lt;rt&gt;huòzhě&lt;/rt&gt;&lt;/ruby&gt;</t>
  </si>
  <si>
    <t>huòzhě</t>
  </si>
  <si>
    <t>Hoặc là</t>
  </si>
  <si>
    <r>
      <rPr>
        <sz val="11"/>
        <color theme="1"/>
        <rFont val="Calibri"/>
      </rPr>
      <t>你穿裙子</t>
    </r>
    <r>
      <rPr>
        <b/>
        <sz val="11"/>
        <color theme="1"/>
        <rFont val="Calibri"/>
      </rPr>
      <t>或者</t>
    </r>
    <r>
      <rPr>
        <sz val="11"/>
        <color theme="1"/>
        <rFont val="Calibri"/>
      </rPr>
      <t>裤子都漂亮。</t>
    </r>
  </si>
  <si>
    <t>Nǐ chuān qúnzi huòzhě kùzi dōu piàoliang.</t>
  </si>
  <si>
    <t>Cậu mặc váy hoặc là quần đều đẹp.</t>
  </si>
  <si>
    <t>H3_B11_BG_9.gif</t>
  </si>
  <si>
    <t>H3_B11_9.mp3</t>
  </si>
  <si>
    <t>H3_B11_VD_9.mp3</t>
  </si>
  <si>
    <t>声音</t>
  </si>
  <si>
    <t>&lt;ruby&gt;声音&lt;rt&gt;shēngyīn&lt;/rt&gt;&lt;/ruby&gt;</t>
  </si>
  <si>
    <t>shēngyīn</t>
  </si>
  <si>
    <t>Âm thanh, tiếng</t>
  </si>
  <si>
    <r>
      <rPr>
        <sz val="11"/>
        <color theme="1"/>
        <rFont val="Calibri"/>
      </rPr>
      <t>远处传来了一阵</t>
    </r>
    <r>
      <rPr>
        <b/>
        <sz val="11"/>
        <color theme="1"/>
        <rFont val="Calibri"/>
      </rPr>
      <t>声音</t>
    </r>
    <r>
      <rPr>
        <sz val="11"/>
        <color theme="1"/>
        <rFont val="Calibri"/>
      </rPr>
      <t>。</t>
    </r>
  </si>
  <si>
    <t>Yuǎnchù chuánlái le yī zhèn shēngyīn.</t>
  </si>
  <si>
    <t>Tiếng động từ xa truyền đến.</t>
  </si>
  <si>
    <t>H3_B11_BG_10.gif</t>
  </si>
  <si>
    <t>H3_B11_10.mp3</t>
  </si>
  <si>
    <t>H3_B11_VD_10.mp3</t>
  </si>
  <si>
    <t>看来</t>
  </si>
  <si>
    <t>&lt;ruby&gt;看来&lt;rt&gt;kànlái&lt;/rt&gt;&lt;/ruby&gt;</t>
  </si>
  <si>
    <t>kàn lái</t>
  </si>
  <si>
    <t>Xem ra</t>
  </si>
  <si>
    <r>
      <rPr>
        <sz val="11"/>
        <color theme="1"/>
        <rFont val="Calibri"/>
      </rPr>
      <t>天阴了，</t>
    </r>
    <r>
      <rPr>
        <b/>
        <sz val="11"/>
        <color theme="1"/>
        <rFont val="Calibri"/>
      </rPr>
      <t>看来</t>
    </r>
    <r>
      <rPr>
        <sz val="11"/>
        <color theme="1"/>
        <rFont val="Calibri"/>
      </rPr>
      <t>要下雨了。</t>
    </r>
  </si>
  <si>
    <t>Tiān yīn le, kànlái yào xiàyǔ le.</t>
  </si>
  <si>
    <t>Trời âm u rồi, xem ra sắp mưa rồi.</t>
  </si>
  <si>
    <t>H3_B11_BG_11.gif</t>
  </si>
  <si>
    <t>H3_B11_11.mp3</t>
  </si>
  <si>
    <t>H3_B11_VD_11.mp3</t>
  </si>
  <si>
    <t>办法</t>
  </si>
  <si>
    <t>&lt;ruby&gt;办法&lt;rt&gt;bànfǎ&lt;/rt&gt;&lt;/ruby&gt;</t>
  </si>
  <si>
    <t>bànfǎ</t>
  </si>
  <si>
    <t>Cách, biện pháp</t>
  </si>
  <si>
    <r>
      <rPr>
        <sz val="11"/>
        <color theme="1"/>
        <rFont val="Calibri"/>
      </rPr>
      <t>他正在想</t>
    </r>
    <r>
      <rPr>
        <b/>
        <sz val="11"/>
        <color theme="1"/>
        <rFont val="Calibri"/>
      </rPr>
      <t>办法</t>
    </r>
    <r>
      <rPr>
        <sz val="11"/>
        <color theme="1"/>
        <rFont val="Calibri"/>
      </rPr>
      <t>降温，因为外面太热了。</t>
    </r>
  </si>
  <si>
    <t>Tā zhèngzài xiǎng bànfǎ jiàngwēn, yīnwèi wàimiàn tài rè le.</t>
  </si>
  <si>
    <t>Anh ấy đang nghĩ cách để hạ nhiệt vì ngoài trời quá nóng.</t>
  </si>
  <si>
    <t>H3_B11_BG_12.gif</t>
  </si>
  <si>
    <t>H3_B11_12.mp3</t>
  </si>
  <si>
    <t>H3_B11_VD_12.mp3</t>
  </si>
  <si>
    <t>解决</t>
  </si>
  <si>
    <t>&lt;ruby&gt;解决&lt;rt&gt;jiějué&lt;/rt&gt;&lt;/ruby&gt;</t>
  </si>
  <si>
    <t>jiějué</t>
  </si>
  <si>
    <t>Giải quyết</t>
  </si>
  <si>
    <r>
      <rPr>
        <sz val="11"/>
        <color theme="1"/>
        <rFont val="Calibri"/>
      </rPr>
      <t>这个问题已经被专家</t>
    </r>
    <r>
      <rPr>
        <b/>
        <sz val="11"/>
        <color theme="1"/>
        <rFont val="Calibri"/>
      </rPr>
      <t>解决</t>
    </r>
    <r>
      <rPr>
        <sz val="11"/>
        <color theme="1"/>
        <rFont val="Calibri"/>
      </rPr>
      <t>了。</t>
    </r>
  </si>
  <si>
    <t>Zhè gè wèntí yǐjīng bèi zhuānjiā jiějué le.</t>
  </si>
  <si>
    <t>Vấn đề đã được giải quyết bởi chuyên gia.</t>
  </si>
  <si>
    <t>H3_B11_BG_13.gif</t>
  </si>
  <si>
    <t>H3_B11_13.mp3</t>
  </si>
  <si>
    <t>H3_B11_VD_13.mp3</t>
  </si>
  <si>
    <t>只能</t>
  </si>
  <si>
    <t>&lt;ruby&gt;只能&lt;rt&gt;zhǐ néng&lt;/rt&gt;&lt;/ruby&gt;</t>
  </si>
  <si>
    <t>zhǐ néng</t>
  </si>
  <si>
    <t>Chỉ có thể</t>
  </si>
  <si>
    <r>
      <rPr>
        <sz val="11"/>
        <color theme="1"/>
        <rFont val="Calibri"/>
      </rPr>
      <t>外面下雨了，我们</t>
    </r>
    <r>
      <rPr>
        <b/>
        <sz val="11"/>
        <color theme="1"/>
        <rFont val="Calibri"/>
      </rPr>
      <t>只能</t>
    </r>
    <r>
      <rPr>
        <sz val="11"/>
        <color theme="1"/>
        <rFont val="Calibri"/>
      </rPr>
      <t>待在家里看电视。</t>
    </r>
  </si>
  <si>
    <t>Wàimiàn xiàyǔ le, wǒmen zhǐnéng dài zài jiā lǐ kàn diànshì.</t>
  </si>
  <si>
    <t>Bên ngoài trời mưa rồi, chúng tôi chỉ có thể ở nhà xem TV.</t>
  </si>
  <si>
    <t>H3_B11_BG_14.gif</t>
  </si>
  <si>
    <t>H3_B11_14.mp3</t>
  </si>
  <si>
    <t>H3_B11_VD_14.mp3</t>
  </si>
  <si>
    <t>别人</t>
  </si>
  <si>
    <t>&lt;ruby&gt;别人&lt;rt&gt;biérén&lt;/rt&gt;&lt;/ruby&gt;</t>
  </si>
  <si>
    <t>biérén</t>
  </si>
  <si>
    <t>Người khác</t>
  </si>
  <si>
    <r>
      <rPr>
        <sz val="11"/>
        <color theme="1"/>
        <rFont val="Calibri"/>
      </rPr>
      <t>把东西捐给</t>
    </r>
    <r>
      <rPr>
        <b/>
        <sz val="11"/>
        <color theme="1"/>
        <rFont val="Calibri"/>
      </rPr>
      <t>别人</t>
    </r>
    <r>
      <rPr>
        <sz val="11"/>
        <color theme="1"/>
        <rFont val="Calibri"/>
      </rPr>
      <t>是一件很有意义的事情。</t>
    </r>
  </si>
  <si>
    <t>Bǎ dōngxi juān gěi biérén shì yī jiàn hěn yǒu yìyì de shìqing.</t>
  </si>
  <si>
    <t>Quyên góp đồ giúp đỡ người khác.</t>
  </si>
  <si>
    <t>H3_B11_BG_15.gif</t>
  </si>
  <si>
    <t>H3_B11_15.mp3</t>
  </si>
  <si>
    <t>H3_B11_VD_15.mp3</t>
  </si>
  <si>
    <t>请假</t>
  </si>
  <si>
    <t>&lt;ruby&gt;请假&lt;rt&gt;qǐngjià&lt;/rt&gt;&lt;/ruby&gt;</t>
  </si>
  <si>
    <t>qǐngjià</t>
  </si>
  <si>
    <t>Xin nghỉ phép</t>
  </si>
  <si>
    <r>
      <rPr>
        <sz val="11"/>
        <color theme="1"/>
        <rFont val="Calibri"/>
      </rPr>
      <t>我因为摔断了手，向公司</t>
    </r>
    <r>
      <rPr>
        <b/>
        <sz val="11"/>
        <color theme="1"/>
        <rFont val="Calibri"/>
      </rPr>
      <t>请假</t>
    </r>
    <r>
      <rPr>
        <sz val="11"/>
        <color theme="1"/>
        <rFont val="Calibri"/>
      </rPr>
      <t>几天。</t>
    </r>
  </si>
  <si>
    <t>Wǒ yīnwèi shuāi duàn le shǒu, xiàng gōngsī qǐngjià jǐ tiān.</t>
  </si>
  <si>
    <t>Tôi xin nghỉ làm vài hôm vì bị gãy tay.</t>
  </si>
  <si>
    <t>H3_B11_BG_16.gif</t>
  </si>
  <si>
    <t>H3_B11_16.mp3</t>
  </si>
  <si>
    <t>H3_B11_VD_16.mp3</t>
  </si>
  <si>
    <t>同事</t>
  </si>
  <si>
    <t>&lt;ruby&gt;同事&lt;rt&gt;tóngshì&lt;/rt&gt;&lt;/ruby&gt;</t>
  </si>
  <si>
    <t>tóngshì</t>
  </si>
  <si>
    <t>Đồng nghiệp</t>
  </si>
  <si>
    <r>
      <rPr>
        <sz val="11"/>
        <color theme="1"/>
        <rFont val="Calibri"/>
      </rPr>
      <t>她是我见过最幽默的</t>
    </r>
    <r>
      <rPr>
        <b/>
        <sz val="11"/>
        <color theme="1"/>
        <rFont val="Calibri"/>
      </rPr>
      <t>同事</t>
    </r>
    <r>
      <rPr>
        <sz val="11"/>
        <color theme="1"/>
        <rFont val="Calibri"/>
      </rPr>
      <t>。</t>
    </r>
  </si>
  <si>
    <t>Tā shì wǒ jiànguo zuì yōumò de tóngshì.</t>
  </si>
  <si>
    <t>Cô ấy là đồng nghiệp hài hước nhất mà tôi từng gặp.</t>
  </si>
  <si>
    <t>H3_B11_BG_17.gif</t>
  </si>
  <si>
    <t>H3_B11_17.mp3</t>
  </si>
  <si>
    <t>H3_B11_VD_17.mp3</t>
  </si>
  <si>
    <t>休假</t>
  </si>
  <si>
    <t>&lt;ruby&gt;休假&lt;rt&gt;xiūjià&lt;/rt&gt;&lt;/ruby&gt;</t>
  </si>
  <si>
    <t>xiū jià</t>
  </si>
  <si>
    <r>
      <rPr>
        <sz val="11"/>
        <color theme="1"/>
        <rFont val="Calibri"/>
      </rPr>
      <t>我下周</t>
    </r>
    <r>
      <rPr>
        <b/>
        <sz val="11"/>
        <color theme="1"/>
        <rFont val="Calibri"/>
      </rPr>
      <t>休假</t>
    </r>
    <r>
      <rPr>
        <sz val="11"/>
        <color theme="1"/>
        <rFont val="Calibri"/>
      </rPr>
      <t>。</t>
    </r>
  </si>
  <si>
    <t>Wǒ xià zhōu xiūjià.</t>
  </si>
  <si>
    <t>Tuần sau tôi nghỉ phép.</t>
  </si>
  <si>
    <t>H3_B11_BG_18.gif</t>
  </si>
  <si>
    <t>怕</t>
  </si>
  <si>
    <t>&lt;ruby&gt;怕&lt;rt&gt;pà&lt;/rt&gt;&lt;/ruby&gt;</t>
  </si>
  <si>
    <t>pà</t>
  </si>
  <si>
    <t>Sợ, sợ hãi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</si>
  <si>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怕</t>
    </r>
    <r>
      <rPr>
        <sz val="11"/>
        <color theme="1"/>
        <rFont val="Calibri"/>
      </rPr>
      <t>黑。</t>
    </r>
  </si>
  <si>
    <t>Wǒ pà hēi.</t>
  </si>
  <si>
    <t>Tôi sợ bóng tối.</t>
  </si>
  <si>
    <t>H3_B11_BG_19.gif</t>
  </si>
  <si>
    <t>H3_B11_19.mp3</t>
  </si>
  <si>
    <t>H3_B11_VD_19.mp3</t>
  </si>
  <si>
    <t>邮箱</t>
  </si>
  <si>
    <t>&lt;ruby&gt;邮箱&lt;rt&gt;yóuxiāng&lt;/rt&gt;&lt;/ruby&gt;</t>
  </si>
  <si>
    <t>yóu xiāng</t>
  </si>
  <si>
    <r>
      <rPr>
        <sz val="11"/>
        <color theme="1"/>
        <rFont val="Calibri"/>
      </rPr>
      <t>请把文件发送到我的</t>
    </r>
    <r>
      <rPr>
        <b/>
        <sz val="11"/>
        <color theme="1"/>
        <rFont val="Calibri"/>
      </rPr>
      <t>邮箱</t>
    </r>
    <r>
      <rPr>
        <sz val="11"/>
        <color theme="1"/>
        <rFont val="Calibri"/>
      </rPr>
      <t>。</t>
    </r>
  </si>
  <si>
    <t>Qǐng bǎ wén jiàn fā sòng dào wǒ de yóuxiāng.</t>
  </si>
  <si>
    <t>Vui lòng gửi tài liệu vào hộp thư của tôi.</t>
  </si>
  <si>
    <t>H3_B11_BG_20.gif</t>
  </si>
  <si>
    <t>H3_B11_20.mp3</t>
  </si>
  <si>
    <t>H3_B11_VD_20.mp3</t>
  </si>
  <si>
    <t>老张</t>
  </si>
  <si>
    <t>&lt;ruby&gt;老张&lt;rt&gt;lǎo zhāng&lt;/rt&gt;&lt;/ruby&gt;</t>
  </si>
  <si>
    <t>lǎo zhāng</t>
  </si>
  <si>
    <t>Ông Trương</t>
  </si>
  <si>
    <r>
      <rPr>
        <b/>
        <sz val="11"/>
        <color theme="1"/>
        <rFont val="Calibri"/>
      </rPr>
      <t>老张</t>
    </r>
    <r>
      <rPr>
        <sz val="11"/>
        <color theme="1"/>
        <rFont val="Calibri"/>
      </rPr>
      <t>是我们公司的经理。</t>
    </r>
  </si>
  <si>
    <t>Lǎozhāng shì wǒmen gōngsī de jīnglǐ.</t>
  </si>
  <si>
    <t>Ông Trương là giám đốc của công ty chúng tôi.</t>
  </si>
  <si>
    <t>H3_B11_BG_21.gif</t>
  </si>
  <si>
    <t>H3_B11_21.mp3</t>
  </si>
  <si>
    <t>H3_B11_VD_21.mp3</t>
  </si>
  <si>
    <t>愿意</t>
  </si>
  <si>
    <t>&lt;ruby&gt;愿意&lt;rt&gt;yuànyì&lt;/rt&gt;&lt;/ruby&gt;</t>
  </si>
  <si>
    <t>yuànyì</t>
  </si>
  <si>
    <t>Muốn</t>
  </si>
  <si>
    <r>
      <rPr>
        <sz val="11"/>
        <color theme="1"/>
        <rFont val="Calibri"/>
      </rPr>
      <t>你</t>
    </r>
    <r>
      <rPr>
        <b/>
        <sz val="11"/>
        <color theme="1"/>
        <rFont val="Calibri"/>
      </rPr>
      <t>愿意</t>
    </r>
    <r>
      <rPr>
        <sz val="11"/>
        <color theme="1"/>
        <rFont val="Calibri"/>
      </rPr>
      <t>和我结婚吗？</t>
    </r>
  </si>
  <si>
    <t>Nǐ yuànyì hé wǒ jiéhūn ma?</t>
  </si>
  <si>
    <t>Em đồng ý lấy anh chứ?</t>
  </si>
  <si>
    <t>H3_B11_BG_22.gif</t>
  </si>
  <si>
    <t>H3_B11_22.mp3</t>
  </si>
  <si>
    <t>H3_B11_VD_22.mp3</t>
  </si>
  <si>
    <t>城市</t>
  </si>
  <si>
    <t>&lt;ruby&gt;城市&lt;rt&gt;chéngshì&lt;/rt&gt;&lt;/ruby&gt;</t>
  </si>
  <si>
    <t>chéngshì</t>
  </si>
  <si>
    <t>Thành phố</t>
  </si>
  <si>
    <r>
      <rPr>
        <sz val="11"/>
        <color theme="1"/>
        <rFont val="Calibri"/>
      </rPr>
      <t>这是我生活的</t>
    </r>
    <r>
      <rPr>
        <b/>
        <sz val="11"/>
        <color theme="1"/>
        <rFont val="Calibri"/>
      </rPr>
      <t>城市</t>
    </r>
    <r>
      <rPr>
        <sz val="11"/>
        <color theme="1"/>
        <rFont val="Calibri"/>
      </rPr>
      <t>。</t>
    </r>
  </si>
  <si>
    <t>Zhè shì wǒ shēnghuó de chéngshì.</t>
  </si>
  <si>
    <t>Đây là thành phố nơi tôi sống.</t>
  </si>
  <si>
    <t>H3_B11_BG_23.gif</t>
  </si>
  <si>
    <t>H3_B11_23.mp3</t>
  </si>
  <si>
    <t>H3_B11_VD_23.mp3</t>
  </si>
  <si>
    <t>离开</t>
  </si>
  <si>
    <t>&lt;ruby&gt;离开&lt;rt&gt;lí kāi&lt;/rt&gt;&lt;/ruby&gt;</t>
  </si>
  <si>
    <t>lí kāi</t>
  </si>
  <si>
    <t xml:space="preserve">Rời khỏi, tách khỏi </t>
  </si>
  <si>
    <r>
      <rPr>
        <sz val="11"/>
        <color theme="1"/>
        <rFont val="Calibri"/>
      </rPr>
      <t>成熟的蝴蝶会</t>
    </r>
    <r>
      <rPr>
        <b/>
        <sz val="11"/>
        <color theme="1"/>
        <rFont val="Calibri"/>
      </rPr>
      <t>离开</t>
    </r>
    <r>
      <rPr>
        <sz val="11"/>
        <color theme="1"/>
        <rFont val="Calibri"/>
      </rPr>
      <t>茧去寻找伴侣。</t>
    </r>
  </si>
  <si>
    <t>Chéngshú de húdié huì líkāi jiǎn qù xúnzhǎo bànlǚ。</t>
  </si>
  <si>
    <t>Bướm trưởng thành sẽ rời khỏi kén để đi tìm bạn đời.</t>
  </si>
  <si>
    <t>H3_B11_BG_24.gif</t>
  </si>
  <si>
    <t>H3_B11_24.mp3</t>
  </si>
  <si>
    <t>H3_B11_VD_24.mp3</t>
  </si>
  <si>
    <t>机会</t>
  </si>
  <si>
    <t>&lt;ruby&gt;机会&lt;rt&gt;jīhuì&lt;/rt&gt;&lt;/ruby&gt;</t>
  </si>
  <si>
    <t>jīhuì</t>
  </si>
  <si>
    <t>Cơ hội</t>
  </si>
  <si>
    <r>
      <rPr>
        <sz val="11"/>
        <color theme="1"/>
        <rFont val="Calibri"/>
      </rPr>
      <t>学习是打开未来更多</t>
    </r>
    <r>
      <rPr>
        <b/>
        <sz val="11"/>
        <color theme="1"/>
        <rFont val="Calibri"/>
      </rPr>
      <t>机会</t>
    </r>
    <r>
      <rPr>
        <sz val="11"/>
        <color theme="1"/>
        <rFont val="Calibri"/>
      </rPr>
      <t>的方式。</t>
    </r>
  </si>
  <si>
    <t>Xuéxí shì dǎkāi wèilái gèng duō jīhuì de fāngshì.</t>
  </si>
  <si>
    <t>học tập là cách để mở ra nhiều cơ hội trong tương lai</t>
  </si>
  <si>
    <t>H3_B11_BG_25.gif</t>
  </si>
  <si>
    <t>H3_B11_25.mp3</t>
  </si>
  <si>
    <t>H3_B11_VD_25.mp3</t>
  </si>
  <si>
    <t>生活</t>
  </si>
  <si>
    <t>&lt;ruby&gt;生活&lt;rt&gt;shēnghuó&lt;/rt&gt;&lt;/ruby&gt;</t>
  </si>
  <si>
    <t>shēnghuó</t>
  </si>
  <si>
    <t>Đời sống, cuộc sống</t>
  </si>
  <si>
    <r>
      <rPr>
        <sz val="11"/>
        <color theme="1"/>
        <rFont val="Calibri"/>
      </rPr>
      <t>他的</t>
    </r>
    <r>
      <rPr>
        <b/>
        <sz val="11"/>
        <color theme="1"/>
        <rFont val="Calibri"/>
      </rPr>
      <t>生活</t>
    </r>
    <r>
      <rPr>
        <sz val="11"/>
        <color theme="1"/>
        <rFont val="Calibri"/>
      </rPr>
      <t>很幸福。</t>
    </r>
  </si>
  <si>
    <t>Tā de shēnghuó hěn xìngfú.</t>
  </si>
  <si>
    <t>Cuộc sống của anh ấy rất hạnh phúc.</t>
  </si>
  <si>
    <t>H3_B11_BG_26.gif</t>
  </si>
  <si>
    <t>H3_B11_26.mp3</t>
  </si>
  <si>
    <t>H3_B11_VD_26.mp3</t>
  </si>
  <si>
    <t>为</t>
  </si>
  <si>
    <t>&lt;ruby&gt;为&lt;rt&gt;wèi&lt;/rt&gt;&lt;/ruby&gt;</t>
  </si>
  <si>
    <t xml:space="preserve">Cho </t>
  </si>
  <si>
    <r>
      <rPr>
        <sz val="11"/>
        <color theme="1"/>
        <rFont val="Calibri"/>
      </rPr>
      <t>这是我</t>
    </r>
    <r>
      <rPr>
        <b/>
        <sz val="11"/>
        <color theme="1"/>
        <rFont val="Calibri"/>
      </rPr>
      <t>为</t>
    </r>
    <r>
      <rPr>
        <sz val="11"/>
        <color theme="1"/>
        <rFont val="Calibri"/>
      </rPr>
      <t>你准备的礼物。</t>
    </r>
  </si>
  <si>
    <t>Zhè shì wǒ wèi nǐ zhǔnbèi de lǐwù.</t>
  </si>
  <si>
    <t>Đây là món quà tôi chuẩn bị cho bạn.</t>
  </si>
  <si>
    <t>H3_B11_BG_27.gif</t>
  </si>
  <si>
    <t>H3_B11_27.mp3</t>
  </si>
  <si>
    <t>H3_B11_VD_27.mp3</t>
  </si>
  <si>
    <t xml:space="preserve">或 </t>
  </si>
  <si>
    <t>&lt;ruby&gt;或&lt;rt&gt;huò&lt;/rt&gt;&lt;/ruby&gt;</t>
  </si>
  <si>
    <t>huò</t>
  </si>
  <si>
    <t>Hoặc, hoặc là</t>
  </si>
  <si>
    <r>
      <rPr>
        <sz val="11"/>
        <color theme="1"/>
        <rFont val="Calibri"/>
      </rPr>
      <t>你想喝茶</t>
    </r>
    <r>
      <rPr>
        <b/>
        <sz val="11"/>
        <color theme="1"/>
        <rFont val="Calibri"/>
      </rPr>
      <t>或</t>
    </r>
    <r>
      <rPr>
        <sz val="11"/>
        <color theme="1"/>
        <rFont val="Calibri"/>
      </rPr>
      <t>咖啡？</t>
    </r>
  </si>
  <si>
    <t>Nǐ xiǎng hē chá huò kāfēi?</t>
  </si>
  <si>
    <t>Bạn muốn uống trà hay cà phê?</t>
  </si>
  <si>
    <t>H3_B11_BG_28.gif</t>
  </si>
  <si>
    <t>H3_B11_28.mp3</t>
  </si>
  <si>
    <t>H3_B11_VD_28.mp3</t>
  </si>
  <si>
    <t>街</t>
  </si>
  <si>
    <t>&lt;ruby&gt;街&lt;rt&gt;jiē&lt;/rt&gt;&lt;/ruby&gt;</t>
  </si>
  <si>
    <t>Đường phố, phố</t>
  </si>
  <si>
    <r>
      <rPr>
        <sz val="11"/>
        <color theme="1"/>
        <rFont val="Calibri"/>
      </rPr>
      <t>我们正在等着过</t>
    </r>
    <r>
      <rPr>
        <b/>
        <sz val="11"/>
        <color theme="1"/>
        <rFont val="Calibri"/>
      </rPr>
      <t>街</t>
    </r>
    <r>
      <rPr>
        <sz val="11"/>
        <color theme="1"/>
        <rFont val="Calibri"/>
      </rPr>
      <t>。</t>
    </r>
  </si>
  <si>
    <t>Wǒmen zhèngzài děng zhe guò jiē.</t>
  </si>
  <si>
    <t>Chúng tôi đang đợi qua đường.</t>
  </si>
  <si>
    <t>H3_B12_BG_1.gif</t>
  </si>
  <si>
    <t>H3_B12_1.mp3</t>
  </si>
  <si>
    <t>H3_B12_VD_1.mp3</t>
  </si>
  <si>
    <t>开花</t>
  </si>
  <si>
    <t>&lt;ruby&gt;开花&lt;rt&gt;kāihuā&lt;/rt&gt;&lt;/ruby&gt;</t>
  </si>
  <si>
    <t>kāi huā</t>
  </si>
  <si>
    <t>Nở hoa</t>
  </si>
  <si>
    <r>
      <rPr>
        <sz val="11"/>
        <color theme="1"/>
        <rFont val="Calibri"/>
      </rPr>
      <t>春天来了，花园里的花都</t>
    </r>
    <r>
      <rPr>
        <b/>
        <sz val="11"/>
        <color theme="1"/>
        <rFont val="Calibri"/>
      </rPr>
      <t>开花</t>
    </r>
    <r>
      <rPr>
        <sz val="11"/>
        <color theme="1"/>
        <rFont val="Calibri"/>
      </rPr>
      <t>了。</t>
    </r>
  </si>
  <si>
    <t>Chūntiān lái le, huāyuán lǐ de huā dōu kāihuā le.</t>
  </si>
  <si>
    <t>Xuân đến rồi, hoa trong vườn đều đã nở cả.</t>
  </si>
  <si>
    <t>H3_B12_BG_2.gif</t>
  </si>
  <si>
    <t>H3_B12_2.mp3</t>
  </si>
  <si>
    <t>H3_B12_VD_2.mp3</t>
  </si>
  <si>
    <t>69eb3991073744188a66fe6e</t>
  </si>
  <si>
    <t>公园</t>
  </si>
  <si>
    <t>&lt;ruby&gt;公园&lt;rt&gt;gōng yuán&lt;/rt&gt;&lt;/ruby&gt;</t>
  </si>
  <si>
    <t>gōng yuán</t>
  </si>
  <si>
    <t>Công viên</t>
  </si>
  <si>
    <r>
      <rPr>
        <sz val="11"/>
        <color theme="1"/>
        <rFont val="Calibri"/>
      </rPr>
      <t>我家附近有一个很漂亮的</t>
    </r>
    <r>
      <rPr>
        <b/>
        <sz val="11"/>
        <color theme="1"/>
        <rFont val="Calibri"/>
      </rPr>
      <t>公园</t>
    </r>
    <r>
      <rPr>
        <sz val="11"/>
        <color theme="1"/>
        <rFont val="Calibri"/>
      </rPr>
      <t>。</t>
    </r>
  </si>
  <si>
    <t>Wǒ jiā fùjìn yǒu yí ge hěn piàoliang de gōngyuán.</t>
  </si>
  <si>
    <t>Gần nhà tôi có công viên rất đẹp.</t>
  </si>
  <si>
    <t>H3_B12_BG_3.gif</t>
  </si>
  <si>
    <t>H3_B12_3.mp3</t>
  </si>
  <si>
    <t>H3_B12_VD_3.mp3</t>
  </si>
  <si>
    <t>船</t>
  </si>
  <si>
    <t>&lt;ruby&gt;船&lt;rt&gt;chuán&lt;/rt&gt;&lt;/ruby&gt;</t>
  </si>
  <si>
    <t>chuán</t>
  </si>
  <si>
    <t>Thuyền, tàu</t>
  </si>
  <si>
    <r>
      <rPr>
        <sz val="11"/>
        <color theme="1"/>
        <rFont val="Calibri"/>
      </rPr>
      <t>渔</t>
    </r>
    <r>
      <rPr>
        <b/>
        <sz val="11"/>
        <color theme="1"/>
        <rFont val="Calibri"/>
      </rPr>
      <t>船</t>
    </r>
    <r>
      <rPr>
        <sz val="11"/>
        <color theme="1"/>
        <rFont val="Calibri"/>
      </rPr>
      <t>正在海上捕鱼。</t>
    </r>
  </si>
  <si>
    <t>Yúchuán zhèngzài hǎi shàng bǔyú.</t>
  </si>
  <si>
    <t>Thuyền cá đang đánh bắt cá trên biển.</t>
  </si>
  <si>
    <t>H3_B12_BG_4.gif</t>
  </si>
  <si>
    <t>H3_B12_4.mp3</t>
  </si>
  <si>
    <t>H3_B12_VD_4.mp3</t>
  </si>
  <si>
    <t>工作日</t>
  </si>
  <si>
    <t>&lt;ruby&gt;工作日&lt;rt&gt;gōngzuòrì&lt;/rt&gt;&lt;/ruby&gt;</t>
  </si>
  <si>
    <t>gōng zuò rì</t>
  </si>
  <si>
    <r>
      <rPr>
        <b/>
        <sz val="11"/>
        <color theme="1"/>
        <rFont val="Calibri"/>
      </rPr>
      <t>工作日</t>
    </r>
    <r>
      <rPr>
        <sz val="11"/>
        <color theme="1"/>
        <rFont val="Calibri"/>
      </rPr>
      <t>我很忙。</t>
    </r>
  </si>
  <si>
    <t>Gōngzuòrì wǒ hěn máng.</t>
  </si>
  <si>
    <t>Tôi rất bận vào ngày làm việc.</t>
  </si>
  <si>
    <t>H3_B12_BG_5.gif</t>
  </si>
  <si>
    <t>地方</t>
  </si>
  <si>
    <t>&lt;ruby&gt;地方&lt;rt&gt;dìfang&lt;/rt&gt;&lt;/ruby&gt;</t>
  </si>
  <si>
    <t>dì fāng</t>
  </si>
  <si>
    <r>
      <rPr>
        <sz val="11"/>
        <color theme="1"/>
        <rFont val="Calibri"/>
      </rPr>
      <t>这是一个美丽的</t>
    </r>
    <r>
      <rPr>
        <b/>
        <sz val="11"/>
        <color theme="1"/>
        <rFont val="Calibri"/>
      </rPr>
      <t>地方</t>
    </r>
    <r>
      <rPr>
        <sz val="11"/>
        <color theme="1"/>
        <rFont val="Calibri"/>
      </rPr>
      <t>。</t>
    </r>
  </si>
  <si>
    <t>Zhè shì yī gè měilì de dìfāng.</t>
  </si>
  <si>
    <t>Đây là một nơi rất đẹp.</t>
  </si>
  <si>
    <t>H3_B12_BG_6.gif</t>
  </si>
  <si>
    <t>刚才</t>
  </si>
  <si>
    <t>&lt;ruby&gt;刚才&lt;rt&gt;gāng cái&lt;/rt&gt;&lt;/ruby&gt;</t>
  </si>
  <si>
    <t>gāng cái</t>
  </si>
  <si>
    <t xml:space="preserve">Lúc nãy, vừa mới 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</si>
  <si>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刚才</t>
    </r>
    <r>
      <rPr>
        <sz val="11"/>
        <color theme="1"/>
        <rFont val="Calibri"/>
      </rPr>
      <t>又种了一棵树。</t>
    </r>
  </si>
  <si>
    <t>Tā gāngcái yòu zhǒng le yì kē shù.</t>
  </si>
  <si>
    <t>Anh ấy vừa trồng thêm một cái cây mới.</t>
  </si>
  <si>
    <t>H3_B12_BG_7.gif</t>
  </si>
  <si>
    <t>H3_B12_7.mp3</t>
  </si>
  <si>
    <t>H3_B12_VD_7.mp3</t>
  </si>
  <si>
    <t>刮</t>
  </si>
  <si>
    <t>&lt;ruby&gt;刮&lt;rt&gt;guā&lt;/rt&gt;&lt;/ruby&gt;</t>
  </si>
  <si>
    <t>guā</t>
  </si>
  <si>
    <t>Thổi</t>
  </si>
  <si>
    <r>
      <rPr>
        <sz val="11"/>
        <color theme="1"/>
        <rFont val="Calibri"/>
      </rPr>
      <t>风</t>
    </r>
    <r>
      <rPr>
        <b/>
        <sz val="11"/>
        <color theme="1"/>
        <rFont val="Calibri"/>
      </rPr>
      <t>刮</t>
    </r>
    <r>
      <rPr>
        <sz val="11"/>
        <color theme="1"/>
        <rFont val="Calibri"/>
      </rPr>
      <t>得很大。</t>
    </r>
  </si>
  <si>
    <t>Fēng guā de hěn dà.</t>
  </si>
  <si>
    <t>Gió thổi rất mạnh.</t>
  </si>
  <si>
    <t>H3_B12_BG_8.gif</t>
  </si>
  <si>
    <t>H3_B12_8.mp3</t>
  </si>
  <si>
    <t>H3_B12_VD_8.mp3</t>
  </si>
  <si>
    <t>风</t>
  </si>
  <si>
    <t>&lt;ruby&gt;风&lt;rt&gt;fēng&lt;/rt&gt;&lt;/ruby&gt;</t>
  </si>
  <si>
    <t>Gió</t>
  </si>
  <si>
    <r>
      <rPr>
        <sz val="11"/>
        <color theme="1"/>
        <rFont val="Calibri"/>
      </rPr>
      <t>今天的</t>
    </r>
    <r>
      <rPr>
        <b/>
        <sz val="11"/>
        <color theme="1"/>
        <rFont val="Calibri"/>
      </rPr>
      <t>风</t>
    </r>
    <r>
      <rPr>
        <sz val="11"/>
        <color theme="1"/>
        <rFont val="Calibri"/>
      </rPr>
      <t>很大。</t>
    </r>
  </si>
  <si>
    <t>Jīntiān de fēng hěn dà.</t>
  </si>
  <si>
    <t>Gió hôm nay rất lớn.</t>
  </si>
  <si>
    <t>H3_B12_BG_9.gif</t>
  </si>
  <si>
    <t>H3_B12_9.mp3</t>
  </si>
  <si>
    <t>H3_B12_VD_9.mp3</t>
  </si>
  <si>
    <t>新闻</t>
  </si>
  <si>
    <t>&lt;ruby&gt;新闻&lt;rt&gt;xīnwén&lt;/rt&gt;&lt;/ruby&gt;</t>
  </si>
  <si>
    <t>xīnwén</t>
  </si>
  <si>
    <t>Tin tức</t>
  </si>
  <si>
    <r>
      <rPr>
        <sz val="11"/>
        <color theme="1"/>
        <rFont val="Calibri"/>
      </rPr>
      <t>你看到最新</t>
    </r>
    <r>
      <rPr>
        <b/>
        <sz val="11"/>
        <color theme="1"/>
        <rFont val="Calibri"/>
      </rPr>
      <t>新闻</t>
    </r>
    <r>
      <rPr>
        <sz val="11"/>
        <color theme="1"/>
        <rFont val="Calibri"/>
      </rPr>
      <t>了吗？</t>
    </r>
  </si>
  <si>
    <t>Nǐ kàndào zuìxīn xīnwén le ma?</t>
  </si>
  <si>
    <t>Bạn thấy tin tức mới nhất chưa?</t>
  </si>
  <si>
    <t>H3_B12_BG_10.gif</t>
  </si>
  <si>
    <t>H3_B12_10.mp3</t>
  </si>
  <si>
    <t>H3_B12_VD_10.mp3</t>
  </si>
  <si>
    <t>伞</t>
  </si>
  <si>
    <t>&lt;ruby&gt;伞&lt;rt&gt;sǎn&lt;/rt&gt;&lt;/ruby&gt;</t>
  </si>
  <si>
    <t>sǎn</t>
  </si>
  <si>
    <t>Ô, dù</t>
  </si>
  <si>
    <r>
      <rPr>
        <sz val="11"/>
        <color theme="1"/>
        <rFont val="Calibri"/>
      </rPr>
      <t>卖给我一把</t>
    </r>
    <r>
      <rPr>
        <b/>
        <sz val="11"/>
        <color theme="1"/>
        <rFont val="Calibri"/>
      </rPr>
      <t>伞</t>
    </r>
    <r>
      <rPr>
        <sz val="11"/>
        <color theme="1"/>
        <rFont val="Calibri"/>
      </rPr>
      <t>吧。</t>
    </r>
  </si>
  <si>
    <t>Mài gěi wǒ yī bǎ sǎn ba.</t>
  </si>
  <si>
    <t>Hãy bán cho tôi một cái ô.</t>
  </si>
  <si>
    <t>H3_B12_BG_11.gif</t>
  </si>
  <si>
    <t>H3_B12_11.mp3</t>
  </si>
  <si>
    <t>H3_B12_VD_11.mp3</t>
  </si>
  <si>
    <t>借</t>
  </si>
  <si>
    <t>&lt;ruby&gt;借&lt;rt&gt;jiè&lt;/rt&gt;&lt;/ruby&gt;</t>
  </si>
  <si>
    <t>jiè</t>
  </si>
  <si>
    <t>Mượn, vay</t>
  </si>
  <si>
    <r>
      <rPr>
        <sz val="11"/>
        <color theme="1"/>
        <rFont val="Calibri"/>
      </rPr>
      <t>他经常从图书馆</t>
    </r>
    <r>
      <rPr>
        <b/>
        <sz val="11"/>
        <color theme="1"/>
        <rFont val="Calibri"/>
      </rPr>
      <t>借</t>
    </r>
    <r>
      <rPr>
        <sz val="11"/>
        <color theme="1"/>
        <rFont val="Calibri"/>
      </rPr>
      <t>书。</t>
    </r>
  </si>
  <si>
    <t>Tā jīngcháng cóng túshūguǎn jiè shū.</t>
  </si>
  <si>
    <t>Anh ấy hay mượn sách của thư viện.</t>
  </si>
  <si>
    <t>H3_B12_BG_12.gif</t>
  </si>
  <si>
    <t>Cái (ô, dao, ghế,...)</t>
  </si>
  <si>
    <r>
      <rPr>
        <sz val="11"/>
        <color theme="1"/>
        <rFont val="Calibri"/>
      </rPr>
      <t>一</t>
    </r>
    <r>
      <rPr>
        <b/>
        <sz val="11"/>
        <color theme="1"/>
        <rFont val="Calibri"/>
      </rPr>
      <t>把</t>
    </r>
    <r>
      <rPr>
        <sz val="11"/>
        <color theme="1"/>
        <rFont val="Calibri"/>
      </rPr>
      <t>椅子。</t>
    </r>
  </si>
  <si>
    <t>Yī bǎ yǐzi.</t>
  </si>
  <si>
    <t>Một cái ghế</t>
  </si>
  <si>
    <t>H3_B12_BG_13.gif</t>
  </si>
  <si>
    <t>H3_B12_13.mp3</t>
  </si>
  <si>
    <t>H3_B12_VD_13.mp3</t>
  </si>
  <si>
    <t>雨衣</t>
  </si>
  <si>
    <t>&lt;ruby&gt;雨衣&lt;rt&gt;yǔyī&lt;/rt&gt;&lt;/ruby&gt;</t>
  </si>
  <si>
    <t>yǔ yī</t>
  </si>
  <si>
    <t>Áo mưa</t>
  </si>
  <si>
    <r>
      <rPr>
        <sz val="11"/>
        <color theme="1"/>
        <rFont val="Calibri"/>
      </rPr>
      <t>天要下雨了，记得带</t>
    </r>
    <r>
      <rPr>
        <b/>
        <sz val="11"/>
        <color theme="1"/>
        <rFont val="Calibri"/>
      </rPr>
      <t>雨衣</t>
    </r>
    <r>
      <rPr>
        <sz val="11"/>
        <color theme="1"/>
        <rFont val="Calibri"/>
      </rPr>
      <t>。</t>
    </r>
  </si>
  <si>
    <t>Tiān yào xiàyǔ le, jìdé dài yǔyī.</t>
  </si>
  <si>
    <t>Trời sắp mưa rồi, nhớ mang áo mưa nhé.</t>
  </si>
  <si>
    <t>H3_B12_BG_14.gif</t>
  </si>
  <si>
    <t>H3_B12_14.mp3</t>
  </si>
  <si>
    <t>H3_B12_VD_14.mp3</t>
  </si>
  <si>
    <t>变</t>
  </si>
  <si>
    <t>&lt;ruby&gt;变&lt;rt&gt;biàn&lt;/rt&gt;&lt;/ruby&gt;</t>
  </si>
  <si>
    <t>Trở thành, trở nên</t>
  </si>
  <si>
    <r>
      <rPr>
        <sz val="11"/>
        <color theme="1"/>
        <rFont val="Calibri"/>
      </rPr>
      <t>秋天来了，树叶</t>
    </r>
    <r>
      <rPr>
        <b/>
        <sz val="11"/>
        <color theme="1"/>
        <rFont val="Calibri"/>
      </rPr>
      <t>变</t>
    </r>
    <r>
      <rPr>
        <sz val="11"/>
        <color theme="1"/>
        <rFont val="Calibri"/>
      </rPr>
      <t>黄了。</t>
    </r>
  </si>
  <si>
    <t>Qiūtiān lái le, shù yè biàn huáng le.</t>
  </si>
  <si>
    <t>Mùa thu đã đến và lá đang chuyển sang màu vàng.</t>
  </si>
  <si>
    <t>H3_B12_BG_15.gif</t>
  </si>
  <si>
    <t>H3_B12_15.mp3</t>
  </si>
  <si>
    <t>H3_B12_VD_15.mp3</t>
  </si>
  <si>
    <t>季节</t>
  </si>
  <si>
    <t>&lt;ruby&gt;季节&lt;rt&gt;jìjié&lt;/rt&gt;&lt;/ruby&gt;</t>
  </si>
  <si>
    <t>jìjié</t>
  </si>
  <si>
    <t>Mùa</t>
  </si>
  <si>
    <r>
      <rPr>
        <sz val="11"/>
        <color theme="1"/>
        <rFont val="Calibri"/>
      </rPr>
      <t>冬天是我最喜欢的</t>
    </r>
    <r>
      <rPr>
        <b/>
        <sz val="11"/>
        <color theme="1"/>
        <rFont val="Calibri"/>
      </rPr>
      <t>季节</t>
    </r>
    <r>
      <rPr>
        <sz val="11"/>
        <color theme="1"/>
        <rFont val="Calibri"/>
      </rPr>
      <t>。</t>
    </r>
  </si>
  <si>
    <t>Dōngtiān shì wǒ zuì xǐhuān de jìjié.</t>
  </si>
  <si>
    <t>Mùa đông là mùa tôi thích nhất.</t>
  </si>
  <si>
    <t>H3_B12_BG_16.gif</t>
  </si>
  <si>
    <t>H3_B12_16.mp3</t>
  </si>
  <si>
    <t>H3_B12_VD_16.mp3</t>
  </si>
  <si>
    <t>变化</t>
  </si>
  <si>
    <t>&lt;ruby&gt;变化&lt;rt&gt;biànhuà&lt;/rt&gt;&lt;/ruby&gt;</t>
  </si>
  <si>
    <t>biànhuà</t>
  </si>
  <si>
    <t>Thay đổi</t>
  </si>
  <si>
    <r>
      <rPr>
        <sz val="11"/>
        <color theme="1"/>
        <rFont val="Calibri"/>
      </rPr>
      <t>才一个月，她</t>
    </r>
    <r>
      <rPr>
        <b/>
        <sz val="11"/>
        <color theme="1"/>
        <rFont val="Calibri"/>
      </rPr>
      <t>变化</t>
    </r>
    <r>
      <rPr>
        <sz val="11"/>
        <color theme="1"/>
        <rFont val="Calibri"/>
      </rPr>
      <t>很大，已经瘦了5公斤。</t>
    </r>
  </si>
  <si>
    <t>Cái yí ge yuè, tā biànhuà hěn dà, yǐjīng shòu le wǔ gōngjīn.</t>
  </si>
  <si>
    <t>Mới 1 tháng mà cô ấy thay đổi thật lớn, đã giảm được tận 5kg rồi.</t>
  </si>
  <si>
    <t>H3_B12_BG_17.gif</t>
  </si>
  <si>
    <t>H3_B12_17.mp3</t>
  </si>
  <si>
    <t>H3_B12_VD_17.mp3</t>
  </si>
  <si>
    <t>冬天</t>
  </si>
  <si>
    <t>&lt;ruby&gt;冬天&lt;rt&gt;dōngtiān&lt;/rt&gt;&lt;/ruby&gt;</t>
  </si>
  <si>
    <t>dōng tiān</t>
  </si>
  <si>
    <t>Mùa đông</t>
  </si>
  <si>
    <r>
      <rPr>
        <sz val="11"/>
        <color theme="1"/>
        <rFont val="Calibri"/>
      </rPr>
      <t>我喜欢</t>
    </r>
    <r>
      <rPr>
        <b/>
        <sz val="11"/>
        <color theme="1"/>
        <rFont val="Calibri"/>
      </rPr>
      <t>冬天</t>
    </r>
    <r>
      <rPr>
        <sz val="11"/>
        <color theme="1"/>
        <rFont val="Calibri"/>
      </rPr>
      <t>，因为可以堆雪人。</t>
    </r>
  </si>
  <si>
    <t>Wǒ xǐhuān dōngtiān, yīnwèi kěyǐ duī xuě rén.</t>
  </si>
  <si>
    <t>Tôi thích mùa đông vì có thể đắp người tuyết.</t>
  </si>
  <si>
    <t>H3_B12_BG_18.gif</t>
  </si>
  <si>
    <t>H3_B12_18.mp3</t>
  </si>
  <si>
    <t>H3_B12_VD_18.mp3</t>
  </si>
  <si>
    <t>常常</t>
  </si>
  <si>
    <t>&lt;ruby&gt;常常&lt;rt&gt;chángcháng&lt;/rt&gt;&lt;/ruby&gt;</t>
  </si>
  <si>
    <t>cháng cháng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</si>
  <si>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常常</t>
    </r>
    <r>
      <rPr>
        <sz val="11"/>
        <color theme="1"/>
        <rFont val="Calibri"/>
      </rPr>
      <t>去图书馆看书。</t>
    </r>
  </si>
  <si>
    <t>Wǒ chángcháng qù túshūguǎn kàn shū.</t>
  </si>
  <si>
    <t>Tôi thường xuyên đến thư viện đọc sách.</t>
  </si>
  <si>
    <t>H3_B12_BG_19.gif</t>
  </si>
  <si>
    <t>H3_B12_19.mp3</t>
  </si>
  <si>
    <t>H3_B12_VD_19.mp3</t>
  </si>
  <si>
    <t>关注</t>
  </si>
  <si>
    <t>&lt;ruby&gt;关注&lt;rt&gt;guānzhù&lt;/rt&gt;&lt;/ruby&gt;</t>
  </si>
  <si>
    <t xml:space="preserve"> guān zhù</t>
  </si>
  <si>
    <t>Quan tâm, để ý</t>
  </si>
  <si>
    <r>
      <rPr>
        <sz val="11"/>
        <color theme="1"/>
        <rFont val="Calibri"/>
      </rPr>
      <t>请</t>
    </r>
    <r>
      <rPr>
        <b/>
        <sz val="11"/>
        <color theme="1"/>
        <rFont val="Calibri"/>
      </rPr>
      <t>关注</t>
    </r>
    <r>
      <rPr>
        <sz val="11"/>
        <color theme="1"/>
        <rFont val="Calibri"/>
      </rPr>
      <t>我们的官方账号。</t>
    </r>
  </si>
  <si>
    <t>Qǐng guānzhù wǒmen de guān fāng zhàng hào.</t>
  </si>
  <si>
    <t>Mời bạn theo dõi tài khoản chính thức của chúng tôi.</t>
  </si>
  <si>
    <t>H3_B12_BG_20.gif</t>
  </si>
  <si>
    <t>H3_B12_20.mp3</t>
  </si>
  <si>
    <t>H3_B12_VD_20.mp3</t>
  </si>
  <si>
    <t>四季</t>
  </si>
  <si>
    <t>&lt;ruby&gt;四季&lt;rt&gt;sìjì&lt;/rt&gt;&lt;/ruby&gt;</t>
  </si>
  <si>
    <t>sìjì</t>
  </si>
  <si>
    <t>Bốn mùa</t>
  </si>
  <si>
    <r>
      <rPr>
        <sz val="11"/>
        <color theme="1"/>
        <rFont val="Calibri"/>
      </rPr>
      <t>我喜欢</t>
    </r>
    <r>
      <rPr>
        <b/>
        <sz val="11"/>
        <color theme="1"/>
        <rFont val="Calibri"/>
      </rPr>
      <t>四季</t>
    </r>
    <r>
      <rPr>
        <sz val="11"/>
        <color theme="1"/>
        <rFont val="Calibri"/>
      </rPr>
      <t>分明的气候。</t>
    </r>
  </si>
  <si>
    <t>Wǒ xǐhuān sìjì fēn míng de Qìhòu.</t>
  </si>
  <si>
    <t>Tôi thích khí hậu có bốn mùa rõ rệt.</t>
  </si>
  <si>
    <t>H3_B12_BG_21.gif</t>
  </si>
  <si>
    <t>H3_B12_21.mp3</t>
  </si>
  <si>
    <t>H3_B12_VD_21.mp3</t>
  </si>
  <si>
    <t>春天</t>
  </si>
  <si>
    <t>&lt;ruby&gt;春天&lt;rt&gt;chūntiān&lt;/rt&gt;&lt;/ruby&gt;</t>
  </si>
  <si>
    <t>chūn tiān</t>
  </si>
  <si>
    <t>Mùa xuân</t>
  </si>
  <si>
    <r>
      <rPr>
        <b/>
        <sz val="11"/>
        <color theme="1"/>
        <rFont val="Calibri"/>
      </rPr>
      <t>春天</t>
    </r>
    <r>
      <rPr>
        <sz val="11"/>
        <color theme="1"/>
        <rFont val="Calibri"/>
      </rPr>
      <t>来了，花儿都开了。</t>
    </r>
  </si>
  <si>
    <t>Chūntiān lái le, huā ér dōu kāi le.</t>
  </si>
  <si>
    <t>Mùa xuân đến rồi, hoa đều đã nở.</t>
  </si>
  <si>
    <t>H3_B12_BG_22.gif</t>
  </si>
  <si>
    <t>H3_B12_22.mp3</t>
  </si>
  <si>
    <t>H3_B12_VD_22.mp3</t>
  </si>
  <si>
    <t>夏天</t>
  </si>
  <si>
    <t>&lt;ruby&gt;夏天&lt;rt&gt;xiàtiān&lt;/rt&gt;&lt;/ruby&gt;</t>
  </si>
  <si>
    <t xml:space="preserve"> xià tiān</t>
  </si>
  <si>
    <t>Mùa hè</t>
  </si>
  <si>
    <r>
      <rPr>
        <sz val="11"/>
        <color theme="1"/>
        <rFont val="Calibri"/>
      </rPr>
      <t>我喜欢</t>
    </r>
    <r>
      <rPr>
        <b/>
        <sz val="11"/>
        <color theme="1"/>
        <rFont val="Calibri"/>
      </rPr>
      <t>夏天</t>
    </r>
    <r>
      <rPr>
        <sz val="11"/>
        <color theme="1"/>
        <rFont val="Calibri"/>
      </rPr>
      <t>，因为可以去海边游泳。</t>
    </r>
  </si>
  <si>
    <t>Wǒ xǐhuān xiàtiān, yīnwèi kěyǐ qù hǎi biān yóuyǒng.</t>
  </si>
  <si>
    <t>Tôi thích mùa hè vì có thể đi biển bơi.</t>
  </si>
  <si>
    <t>H3_B12_BG_23.gif</t>
  </si>
  <si>
    <t>H3_B12_23.mp3</t>
  </si>
  <si>
    <t>H3_B12_VD_23.mp3</t>
  </si>
  <si>
    <t>凉快</t>
  </si>
  <si>
    <t>&lt;ruby&gt;凉快&lt;rt&gt;liángkuài&lt;/rt&gt;&lt;/ruby&gt;</t>
  </si>
  <si>
    <t>liángkuài</t>
  </si>
  <si>
    <t>Mát mẻ</t>
  </si>
  <si>
    <r>
      <rPr>
        <sz val="11"/>
        <color theme="1"/>
        <rFont val="Calibri"/>
      </rPr>
      <t>天气</t>
    </r>
    <r>
      <rPr>
        <b/>
        <sz val="11"/>
        <color theme="1"/>
        <rFont val="Calibri"/>
      </rPr>
      <t>凉快</t>
    </r>
    <r>
      <rPr>
        <sz val="11"/>
        <color theme="1"/>
        <rFont val="Calibri"/>
      </rPr>
      <t>，所以我决定去花园照顾花。</t>
    </r>
  </si>
  <si>
    <t>Tiānqì liángkuài, suǒyǐ wǒ juédìng qù huāyuán zhàogù huā.</t>
  </si>
  <si>
    <t>Thời tiết mát mẻ nên tôi quyết định ra vườn chăm hoa.</t>
  </si>
  <si>
    <t>H3_B12_BG_24.gif</t>
  </si>
  <si>
    <t>H3_B12_24.mp3</t>
  </si>
  <si>
    <t>H3_B12_VD_24.mp3</t>
  </si>
  <si>
    <t>秋天</t>
  </si>
  <si>
    <t>&lt;ruby&gt;秋天&lt;rt&gt;qiūtiān&lt;/rt&gt;&lt;/ruby&gt;</t>
  </si>
  <si>
    <t>qiū tiān</t>
  </si>
  <si>
    <t>Mùa thu</t>
  </si>
  <si>
    <r>
      <rPr>
        <b/>
        <sz val="11"/>
        <color theme="1"/>
        <rFont val="Calibri"/>
      </rPr>
      <t>秋天</t>
    </r>
    <r>
      <rPr>
        <sz val="11"/>
        <color theme="1"/>
        <rFont val="Calibri"/>
      </rPr>
      <t>天气凉爽，树叶变黄了。</t>
    </r>
  </si>
  <si>
    <t>Qiūtiān tiānqì liáng shuǎng, shù yè biàn huáng le.</t>
  </si>
  <si>
    <t>Thời tiết mùa thu mát mẻ, lá cây chuyển sang màu vàng.</t>
  </si>
  <si>
    <t>H3_B12_BG_25.gif</t>
  </si>
  <si>
    <t>H3_B12_25.mp3</t>
  </si>
  <si>
    <t>H3_B12_VD_25.mp3</t>
  </si>
  <si>
    <t>叶子</t>
  </si>
  <si>
    <t>&lt;ruby&gt;叶子&lt;rt&gt;yèzi&lt;/rt&gt;&lt;/ruby&gt;</t>
  </si>
  <si>
    <t>yèzi</t>
  </si>
  <si>
    <t>Lá cây</t>
  </si>
  <si>
    <r>
      <rPr>
        <sz val="11"/>
        <color theme="1"/>
        <rFont val="Calibri"/>
      </rPr>
      <t>这些</t>
    </r>
    <r>
      <rPr>
        <b/>
        <sz val="11"/>
        <color theme="1"/>
        <rFont val="Calibri"/>
      </rPr>
      <t>叶子</t>
    </r>
    <r>
      <rPr>
        <sz val="11"/>
        <color theme="1"/>
        <rFont val="Calibri"/>
      </rPr>
      <t>真美。</t>
    </r>
  </si>
  <si>
    <t>Zhèxiē yèzi zhēn měi.</t>
  </si>
  <si>
    <t>Những chiếc lá này thật đẹp.</t>
  </si>
  <si>
    <t>H3_B12_BG_26.gif</t>
  </si>
  <si>
    <t>H3_B12_26.mp3</t>
  </si>
  <si>
    <t>H3_B12_VD_26.mp3</t>
  </si>
  <si>
    <t>变成</t>
  </si>
  <si>
    <t>&lt;ruby&gt;变成&lt;rt&gt;biànchéng&lt;/rt&gt;&lt;/ruby&gt;</t>
  </si>
  <si>
    <t>biàn chéng</t>
  </si>
  <si>
    <r>
      <rPr>
        <sz val="11"/>
        <color theme="1"/>
        <rFont val="Calibri"/>
      </rPr>
      <t>毛毛虫</t>
    </r>
    <r>
      <rPr>
        <b/>
        <sz val="11"/>
        <color theme="1"/>
        <rFont val="Calibri"/>
      </rPr>
      <t>变成</t>
    </r>
    <r>
      <rPr>
        <sz val="11"/>
        <color theme="1"/>
        <rFont val="Calibri"/>
      </rPr>
      <t>了蝴蝶。</t>
    </r>
  </si>
  <si>
    <t>Máo máo chóng biànchéng le húdié.</t>
  </si>
  <si>
    <t>Sâu bướm đã biến thành bướm.</t>
  </si>
  <si>
    <t>H3_B12_BG_27.gif</t>
  </si>
  <si>
    <t>H3_B12_27.mp3</t>
  </si>
  <si>
    <t>H3_B12_VD_27.mp3</t>
  </si>
  <si>
    <t>请客</t>
  </si>
  <si>
    <t>&lt;ruby&gt;请客&lt;rt&gt;qǐngkè&lt;/rt&gt;&lt;/ruby&gt;</t>
  </si>
  <si>
    <t>qǐng kè</t>
  </si>
  <si>
    <t>Mời</t>
  </si>
  <si>
    <r>
      <rPr>
        <sz val="11"/>
        <color theme="1"/>
        <rFont val="Calibri"/>
      </rPr>
      <t>今天我</t>
    </r>
    <r>
      <rPr>
        <b/>
        <sz val="11"/>
        <color theme="1"/>
        <rFont val="Calibri"/>
      </rPr>
      <t>请客</t>
    </r>
    <r>
      <rPr>
        <sz val="11"/>
        <color theme="1"/>
        <rFont val="Calibri"/>
      </rPr>
      <t>。</t>
    </r>
  </si>
  <si>
    <t>Jīntiān wǒ qǐngkè.</t>
  </si>
  <si>
    <t>Hôm nay tôi đãi.</t>
  </si>
  <si>
    <t>H3_B13_BG_1.gif</t>
  </si>
  <si>
    <t>H3_B13_1.mp3</t>
  </si>
  <si>
    <t>H3_B13_VD_1.mp3</t>
  </si>
  <si>
    <t>南方</t>
  </si>
  <si>
    <t>&lt;ruby&gt;南方&lt;rt&gt;nánfāng&lt;/rt&gt;&lt;/ruby&gt;</t>
  </si>
  <si>
    <t>nán fāng</t>
  </si>
  <si>
    <t>Phía nam</t>
  </si>
  <si>
    <r>
      <rPr>
        <b/>
        <sz val="11"/>
        <color theme="1"/>
        <rFont val="Calibri"/>
      </rPr>
      <t>南方</t>
    </r>
    <r>
      <rPr>
        <sz val="11"/>
        <color theme="1"/>
        <rFont val="Calibri"/>
      </rPr>
      <t>很暖和。</t>
    </r>
  </si>
  <si>
    <t>Nánfāng hěn nuǎnhuo.</t>
  </si>
  <si>
    <t>Phía nam rất ấm áp.</t>
  </si>
  <si>
    <t>H3_B13_BG_2.gif</t>
  </si>
  <si>
    <t>69eb39cf073744188a66fe70</t>
  </si>
  <si>
    <t>北方</t>
  </si>
  <si>
    <t>&lt;ruby&gt;北方&lt;rt&gt;běifāng&lt;/rt&gt;&lt;/ruby&gt;</t>
  </si>
  <si>
    <t>běi fāng</t>
  </si>
  <si>
    <t>Phía bắc</t>
  </si>
  <si>
    <r>
      <rPr>
        <sz val="11"/>
        <color theme="1"/>
        <rFont val="Calibri"/>
      </rPr>
      <t>冬天，</t>
    </r>
    <r>
      <rPr>
        <b/>
        <sz val="11"/>
        <color theme="1"/>
        <rFont val="Calibri"/>
      </rPr>
      <t>北方</t>
    </r>
    <r>
      <rPr>
        <sz val="11"/>
        <color theme="1"/>
        <rFont val="Calibri"/>
      </rPr>
      <t>很冷。</t>
    </r>
  </si>
  <si>
    <t>Dōngtiān, běifāng hěn lěng.</t>
  </si>
  <si>
    <t>Mùa đông, phía bắc rất lạnh.</t>
  </si>
  <si>
    <t>H3_B13_BG_3.gif</t>
  </si>
  <si>
    <t>做法</t>
  </si>
  <si>
    <t>&lt;ruby&gt;做法&lt;rt&gt;zuòfǎ&lt;/rt&gt;&lt;/ruby&gt;</t>
  </si>
  <si>
    <t>zuò fǎ</t>
  </si>
  <si>
    <r>
      <rPr>
        <sz val="11"/>
        <color theme="1"/>
        <rFont val="Calibri"/>
      </rPr>
      <t>这道菜的</t>
    </r>
    <r>
      <rPr>
        <b/>
        <sz val="11"/>
        <color theme="1"/>
        <rFont val="Calibri"/>
      </rPr>
      <t>做法</t>
    </r>
    <r>
      <rPr>
        <sz val="11"/>
        <color theme="1"/>
        <rFont val="Calibri"/>
      </rPr>
      <t>很简单。</t>
    </r>
  </si>
  <si>
    <t>Zhè dào cài de zuòfǎ hěn jiǎndān.</t>
  </si>
  <si>
    <t>Cách làm món ăn này rất đơn giản.</t>
  </si>
  <si>
    <t>H3_B13_BG_4.gif</t>
  </si>
  <si>
    <t>不同</t>
  </si>
  <si>
    <t>&lt;ruby&gt;不同&lt;rt&gt;bù tóng&lt;/rt&gt;&lt;/ruby&gt;</t>
  </si>
  <si>
    <t>bù tóng</t>
  </si>
  <si>
    <t>Khác nhau</t>
  </si>
  <si>
    <r>
      <rPr>
        <sz val="11"/>
        <color theme="1"/>
        <rFont val="Calibri"/>
      </rPr>
      <t>他们用</t>
    </r>
    <r>
      <rPr>
        <b/>
        <sz val="11"/>
        <color theme="1"/>
        <rFont val="Calibri"/>
      </rPr>
      <t>不同</t>
    </r>
    <r>
      <rPr>
        <sz val="11"/>
        <color theme="1"/>
        <rFont val="Calibri"/>
      </rPr>
      <t>的语言交流。</t>
    </r>
  </si>
  <si>
    <t>Tāmen yòng bùtóng de yǔyán jiāoliú.</t>
  </si>
  <si>
    <t>Họ nói chuyện bằng các ngôn ngữ khác nhau.</t>
  </si>
  <si>
    <t>H3_B13_BG_5.gif</t>
  </si>
  <si>
    <t>H3_B13_5.mp3</t>
  </si>
  <si>
    <t>H3_B13_VD_5.mp3</t>
  </si>
  <si>
    <t>加</t>
  </si>
  <si>
    <t>&lt;ruby&gt;加&lt;rt&gt;Jiā&lt;/rt&gt;&lt;/ruby&gt;</t>
  </si>
  <si>
    <t>Jiā</t>
  </si>
  <si>
    <t>Tăng, thêm</t>
  </si>
  <si>
    <r>
      <rPr>
        <sz val="11"/>
        <color theme="1"/>
        <rFont val="Calibri"/>
      </rPr>
      <t>请再给我</t>
    </r>
    <r>
      <rPr>
        <b/>
        <sz val="11"/>
        <color theme="1"/>
        <rFont val="Calibri"/>
      </rPr>
      <t>加</t>
    </r>
    <r>
      <rPr>
        <sz val="11"/>
        <color theme="1"/>
        <rFont val="Calibri"/>
      </rPr>
      <t>三个苹果。</t>
    </r>
  </si>
  <si>
    <t>Qǐng zài gěi wǒ Jiā sān gè píngguǒ.</t>
  </si>
  <si>
    <t>Lấy thêm cho tôi 3 quả táo đi.</t>
  </si>
  <si>
    <t>H3_B13_BG_6.gif</t>
  </si>
  <si>
    <t>H3_B13_6.mp3</t>
  </si>
  <si>
    <t>H3_B13_VD_6.mp3</t>
  </si>
  <si>
    <t>的话</t>
  </si>
  <si>
    <t>&lt;ruby&gt;的话&lt;rt&gt;dehuà&lt;/rt&gt;&lt;/ruby&gt;</t>
  </si>
  <si>
    <t>de huà</t>
  </si>
  <si>
    <t>Đặt cuối câu mệnh đề</t>
  </si>
  <si>
    <r>
      <rPr>
        <sz val="11"/>
        <color theme="1"/>
        <rFont val="Calibri"/>
      </rPr>
      <t>如果你有时间</t>
    </r>
    <r>
      <rPr>
        <b/>
        <sz val="11"/>
        <color theme="1"/>
        <rFont val="Calibri"/>
      </rPr>
      <t>的话</t>
    </r>
    <r>
      <rPr>
        <sz val="11"/>
        <color theme="1"/>
        <rFont val="Calibri"/>
      </rPr>
      <t>，我们一起去看电影吧。</t>
    </r>
  </si>
  <si>
    <t>Rúguǒ nǐ yǒushí jiàn dehuà, wǒmen yīqǐ qù kàn diànyǐng ba.</t>
  </si>
  <si>
    <t>Nếu bạn có thời gian thì chúng ta cùng đi xem phim nhé.</t>
  </si>
  <si>
    <t>H3_B13_BG_7.gif</t>
  </si>
  <si>
    <t>做客</t>
  </si>
  <si>
    <t>&lt;ruby&gt;做客&lt;rt&gt;zuò kè&lt;/rt&gt;&lt;/ruby&gt;</t>
  </si>
  <si>
    <t>zuò kè</t>
  </si>
  <si>
    <t>Làm khách</t>
  </si>
  <si>
    <r>
      <rPr>
        <sz val="11"/>
        <color theme="1"/>
        <rFont val="Calibri"/>
      </rPr>
      <t>我邀请同学来我家</t>
    </r>
    <r>
      <rPr>
        <b/>
        <sz val="11"/>
        <color theme="1"/>
        <rFont val="Calibri"/>
      </rPr>
      <t>做客</t>
    </r>
    <r>
      <rPr>
        <sz val="11"/>
        <color theme="1"/>
        <rFont val="Calibri"/>
      </rPr>
      <t>。</t>
    </r>
  </si>
  <si>
    <t>Wǒ yāoging tóngxué lái wǒ jiā zuòkè.</t>
  </si>
  <si>
    <t>Tôi mời bạn cùng lớp đến nhà làm khách.</t>
  </si>
  <si>
    <t>H3_B13_BG_8.gif</t>
  </si>
  <si>
    <t>H3_B13_8.mp3</t>
  </si>
  <si>
    <t>H3_B13_VD_8.mp3</t>
  </si>
  <si>
    <t>邻居</t>
  </si>
  <si>
    <t>&lt;ruby&gt;邻居&lt;rt&gt;línjū&lt;/rt&gt;&lt;/ruby&gt;</t>
  </si>
  <si>
    <t>línjū</t>
  </si>
  <si>
    <t>Láng giềng</t>
  </si>
  <si>
    <r>
      <rPr>
        <sz val="11"/>
        <color theme="1"/>
        <rFont val="Calibri"/>
      </rPr>
      <t>今天他邀请了</t>
    </r>
    <r>
      <rPr>
        <b/>
        <sz val="11"/>
        <color theme="1"/>
        <rFont val="Calibri"/>
      </rPr>
      <t>邻居</t>
    </r>
    <r>
      <rPr>
        <sz val="11"/>
        <color theme="1"/>
        <rFont val="Calibri"/>
      </rPr>
      <t>过来玩。</t>
    </r>
  </si>
  <si>
    <t>Jīntiān tā yāoqǐng le línjū guòlái wán.</t>
  </si>
  <si>
    <t>Hôm nay anh ấy mời hàng xóm đến chơi.</t>
  </si>
  <si>
    <t>H3_B13_BG_9.gif</t>
  </si>
  <si>
    <t>H3_B13_9.mp3</t>
  </si>
  <si>
    <t>H3_B13_VD_9.mp3</t>
  </si>
  <si>
    <t>放心</t>
  </si>
  <si>
    <t>&lt;ruby&gt;放心&lt;rt&gt;fàngxīn&lt;/rt&gt;&lt;/ruby&gt;</t>
  </si>
  <si>
    <t>fàngxīn</t>
  </si>
  <si>
    <t xml:space="preserve">Yên tâm </t>
  </si>
  <si>
    <r>
      <rPr>
        <sz val="11"/>
        <color theme="1"/>
        <rFont val="Calibri"/>
      </rPr>
      <t>听了儿子的讲述，妈妈也</t>
    </r>
    <r>
      <rPr>
        <b/>
        <sz val="11"/>
        <color theme="1"/>
        <rFont val="Calibri"/>
      </rPr>
      <t>放心</t>
    </r>
    <r>
      <rPr>
        <sz val="11"/>
        <color theme="1"/>
        <rFont val="Calibri"/>
      </rPr>
      <t>了。</t>
    </r>
  </si>
  <si>
    <t>Tīng le érzi de jiǎngshù, māma yě fàngxīn le.</t>
  </si>
  <si>
    <t>Nghe con trai kể, người mẹ cũng yên tâm.</t>
  </si>
  <si>
    <t>H3_B13_BG_10.gif</t>
  </si>
  <si>
    <t>H3_B13_10.mp3</t>
  </si>
  <si>
    <t>H3_B13_VD_10.mp3</t>
  </si>
  <si>
    <t>酒</t>
  </si>
  <si>
    <t>&lt;ruby&gt;酒&lt;rt&gt;jiǔ&lt;/rt&gt;&lt;/ruby&gt;</t>
  </si>
  <si>
    <t>Rượu</t>
  </si>
  <si>
    <r>
      <rPr>
        <sz val="11"/>
        <color theme="1"/>
        <rFont val="Calibri"/>
      </rPr>
      <t>这瓶</t>
    </r>
    <r>
      <rPr>
        <b/>
        <sz val="11"/>
        <color theme="1"/>
        <rFont val="Calibri"/>
      </rPr>
      <t>酒</t>
    </r>
    <r>
      <rPr>
        <sz val="11"/>
        <color theme="1"/>
        <rFont val="Calibri"/>
      </rPr>
      <t>是朋友送的。</t>
    </r>
  </si>
  <si>
    <t>Zhè píng jiǔ shì péngyǒu sòng de.</t>
  </si>
  <si>
    <t>Bình rượu này là do bạn bè tặng.</t>
  </si>
  <si>
    <t>H3_B13_BG_11.gif</t>
  </si>
  <si>
    <t>H3_B13_11.mp3</t>
  </si>
  <si>
    <t>H3_B13_VD_11.mp3</t>
  </si>
  <si>
    <t>放</t>
  </si>
  <si>
    <t>&lt;ruby&gt;放&lt;rt&gt;fàng&lt;/rt&gt;&lt;/ruby&gt;</t>
  </si>
  <si>
    <t>fàng</t>
  </si>
  <si>
    <t>Đặt, thả, để</t>
  </si>
  <si>
    <r>
      <rPr>
        <sz val="11"/>
        <color theme="1"/>
        <rFont val="Calibri"/>
      </rPr>
      <t>请把书</t>
    </r>
    <r>
      <rPr>
        <b/>
        <sz val="11"/>
        <color theme="1"/>
        <rFont val="Calibri"/>
      </rPr>
      <t>放</t>
    </r>
    <r>
      <rPr>
        <sz val="11"/>
        <color theme="1"/>
        <rFont val="Calibri"/>
      </rPr>
      <t>在桌上。</t>
    </r>
  </si>
  <si>
    <t>Qǐng bǎ shū fàng zài zhuō shàng.</t>
  </si>
  <si>
    <t>Xin hãy đặt quyển sách lên bàn.</t>
  </si>
  <si>
    <t>H3_B13_BG_12.gif</t>
  </si>
  <si>
    <t>H3_B13_12.mp3</t>
  </si>
  <si>
    <t>H3_B13_VD_12.mp3</t>
  </si>
  <si>
    <t>客人</t>
  </si>
  <si>
    <t>&lt;ruby&gt;客人&lt;rt&gt;kèrén&lt;/rt&gt;&lt;/ruby&gt;</t>
  </si>
  <si>
    <t>kè rén</t>
  </si>
  <si>
    <t>Khách</t>
  </si>
  <si>
    <r>
      <rPr>
        <sz val="11"/>
        <color theme="1"/>
        <rFont val="Calibri"/>
      </rPr>
      <t>家里来了很多</t>
    </r>
    <r>
      <rPr>
        <b/>
        <sz val="11"/>
        <color theme="1"/>
        <rFont val="Calibri"/>
      </rPr>
      <t>客人</t>
    </r>
    <r>
      <rPr>
        <sz val="11"/>
        <color theme="1"/>
        <rFont val="Calibri"/>
      </rPr>
      <t>。</t>
    </r>
  </si>
  <si>
    <t>Jiā lǐ lái le hěn duō kèrén.</t>
  </si>
  <si>
    <t>Nhà có rất nhiều khách đến chơi.</t>
  </si>
  <si>
    <t>H3_B13_BG_13.gif</t>
  </si>
  <si>
    <t>H3_B13_13.mp3</t>
  </si>
  <si>
    <t>H3_B13_VD_13.mp3</t>
  </si>
  <si>
    <t>晚会</t>
  </si>
  <si>
    <t>&lt;ruby&gt;晚会&lt;rt&gt;wǎnhuì&lt;/rt&gt;&lt;/ruby&gt;</t>
  </si>
  <si>
    <t>wǎn huì</t>
  </si>
  <si>
    <t>Tiệc tối</t>
  </si>
  <si>
    <r>
      <rPr>
        <sz val="11"/>
        <color theme="1"/>
        <rFont val="Calibri"/>
      </rPr>
      <t>我们学校每年都举办新年</t>
    </r>
    <r>
      <rPr>
        <b/>
        <sz val="11"/>
        <color theme="1"/>
        <rFont val="Calibri"/>
      </rPr>
      <t>晚会</t>
    </r>
    <r>
      <rPr>
        <sz val="11"/>
        <color theme="1"/>
        <rFont val="Calibri"/>
      </rPr>
      <t>。</t>
    </r>
  </si>
  <si>
    <t>Wǒmen xuéxiào měi nián dōu jŭbàn xīnnián wǎnhuì.</t>
  </si>
  <si>
    <t>Trường chúng tôi năm nào cũng tổ chức tiệc tối mừng năm mới.</t>
  </si>
  <si>
    <t>H3_B13_BG_14.gif</t>
  </si>
  <si>
    <r>
      <rPr>
        <sz val="11"/>
        <color theme="1"/>
        <rFont val="Calibri"/>
      </rPr>
      <t>他送了我一份</t>
    </r>
    <r>
      <rPr>
        <b/>
        <sz val="11"/>
        <color theme="1"/>
        <rFont val="Calibri"/>
      </rPr>
      <t>礼物</t>
    </r>
    <r>
      <rPr>
        <sz val="11"/>
        <color theme="1"/>
        <rFont val="Calibri"/>
      </rPr>
      <t>。</t>
    </r>
  </si>
  <si>
    <t>H3_B13_BG_15.gif</t>
  </si>
  <si>
    <t>H3_B13_15.mp3</t>
  </si>
  <si>
    <t>H3_B13_VD_15.mp3</t>
  </si>
  <si>
    <t>画家</t>
  </si>
  <si>
    <t>&lt;ruby&gt;画家&lt;rt&gt;huàjiā&lt;/rt&gt;&lt;/ruby&gt;</t>
  </si>
  <si>
    <t>huà jiā</t>
  </si>
  <si>
    <t>Hoạ sĩ</t>
  </si>
  <si>
    <r>
      <rPr>
        <sz val="11"/>
        <color theme="1"/>
        <rFont val="Calibri"/>
      </rPr>
      <t>他是一位著名的</t>
    </r>
    <r>
      <rPr>
        <b/>
        <sz val="11"/>
        <color theme="1"/>
        <rFont val="Calibri"/>
      </rPr>
      <t>画家</t>
    </r>
    <r>
      <rPr>
        <sz val="11"/>
        <color theme="1"/>
        <rFont val="Calibri"/>
      </rPr>
      <t>。</t>
    </r>
  </si>
  <si>
    <t>Tā shì yī wèi zhùmíng de huàjiā.</t>
  </si>
  <si>
    <t>Anh ấy là một họa sĩ nổi tiếng.</t>
  </si>
  <si>
    <t>H3_B13_BG_16.gif</t>
  </si>
  <si>
    <t>H3_B13_16.mp3</t>
  </si>
  <si>
    <t>H3_B13_VD_16.mp3</t>
  </si>
  <si>
    <t>盘子</t>
  </si>
  <si>
    <t>&lt;ruby&gt;盘子&lt;rt&gt;pánzi&lt;/rt&gt;&lt;/ruby&gt;</t>
  </si>
  <si>
    <t>pánzi</t>
  </si>
  <si>
    <t>Đĩa, mâm</t>
  </si>
  <si>
    <r>
      <rPr>
        <sz val="11"/>
        <color theme="1"/>
        <rFont val="Calibri"/>
      </rPr>
      <t>这个</t>
    </r>
    <r>
      <rPr>
        <b/>
        <sz val="11"/>
        <color theme="1"/>
        <rFont val="Calibri"/>
      </rPr>
      <t>盘子</t>
    </r>
    <r>
      <rPr>
        <sz val="11"/>
        <color theme="1"/>
        <rFont val="Calibri"/>
      </rPr>
      <t>是用木头做的。</t>
    </r>
  </si>
  <si>
    <t>Zhè gè pánzi shì yòng mùtou zuò de.</t>
  </si>
  <si>
    <t>Cái đĩa này làm bằng gỗ.</t>
  </si>
  <si>
    <t>H3_B13_BG_17.gif</t>
  </si>
  <si>
    <t>H3_B13_17.mp3</t>
  </si>
  <si>
    <t>H3_B13_VD_17.mp3</t>
  </si>
  <si>
    <t>一边</t>
  </si>
  <si>
    <t>&lt;ruby&gt;一边&lt;rt&gt;yìbiān&lt;/rt&gt;&lt;/ruby&gt;</t>
  </si>
  <si>
    <t>yìbiān</t>
  </si>
  <si>
    <t>Vừa (được dùng để liên kết hai hành động xảy ra cùng lúc)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</si>
  <si>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一边</t>
    </r>
    <r>
      <rPr>
        <sz val="11"/>
        <color theme="1"/>
        <rFont val="Calibri"/>
      </rPr>
      <t>弹吉他，一边唱歌。</t>
    </r>
  </si>
  <si>
    <t>Tā yībiān tán jítā, yībiān chànggē.</t>
  </si>
  <si>
    <t>Cô ấy vừa chơi đàn guitar vừa hát.</t>
  </si>
  <si>
    <t>H3_B13_BG_18.gif</t>
  </si>
  <si>
    <t>H3_B13_18.mp3</t>
  </si>
  <si>
    <t>H3_B13_VD_18.mp3</t>
  </si>
  <si>
    <t>聊天儿</t>
  </si>
  <si>
    <t>&lt;ruby&gt;聊天儿&lt;rt&gt;liáotiānr&lt;/rt&gt;&lt;/ruby&gt;</t>
  </si>
  <si>
    <t>liáo tiān er</t>
  </si>
  <si>
    <t>Trò chuyện</t>
  </si>
  <si>
    <r>
      <rPr>
        <sz val="11"/>
        <color theme="1"/>
        <rFont val="Calibri"/>
      </rPr>
      <t>我们喜欢在一起</t>
    </r>
    <r>
      <rPr>
        <b/>
        <sz val="11"/>
        <color theme="1"/>
        <rFont val="Calibri"/>
      </rPr>
      <t>聊天儿</t>
    </r>
    <r>
      <rPr>
        <sz val="11"/>
        <color theme="1"/>
        <rFont val="Calibri"/>
      </rPr>
      <t>。</t>
    </r>
  </si>
  <si>
    <t>Wǒmen xǐhuān zài yīqǐ liáotiāner.</t>
  </si>
  <si>
    <t>Chúng tôi thích trò chuyện cùng nhau.</t>
  </si>
  <si>
    <t>H3_B13_BG_19.gif</t>
  </si>
  <si>
    <t>H3_B13_19.mp3</t>
  </si>
  <si>
    <t>H3_B13_VD_19.mp3</t>
  </si>
  <si>
    <t>来自</t>
  </si>
  <si>
    <t>&lt;ruby&gt;来自&lt;rt&gt;láizì&lt;/rt&gt;&lt;/ruby&gt;</t>
  </si>
  <si>
    <t>láizì</t>
  </si>
  <si>
    <t>Đến từ</t>
  </si>
  <si>
    <r>
      <rPr>
        <sz val="11"/>
        <color theme="1"/>
        <rFont val="Calibri"/>
      </rPr>
      <t>我的朋友</t>
    </r>
    <r>
      <rPr>
        <b/>
        <sz val="11"/>
        <color theme="1"/>
        <rFont val="Calibri"/>
      </rPr>
      <t>来自</t>
    </r>
    <r>
      <rPr>
        <sz val="11"/>
        <color theme="1"/>
        <rFont val="Calibri"/>
      </rPr>
      <t>英国。</t>
    </r>
  </si>
  <si>
    <t>Wǒ de péngyǒu láizì yīngguó.</t>
  </si>
  <si>
    <t>Bạn tôi đến từ nước Anh.</t>
  </si>
  <si>
    <t>H3_B13_BG_20.gif</t>
  </si>
  <si>
    <t>H3_B13_20.mp3</t>
  </si>
  <si>
    <t>H3_B13_VD_20.mp3</t>
  </si>
  <si>
    <t>夫妻</t>
  </si>
  <si>
    <t>&lt;ruby&gt;夫妻&lt;rt&gt;fūqī&lt;/rt&gt;&lt;/ruby&gt;</t>
  </si>
  <si>
    <t>fū qī</t>
  </si>
  <si>
    <t>Vợ chồng</t>
  </si>
  <si>
    <r>
      <rPr>
        <sz val="11"/>
        <color theme="1"/>
        <rFont val="Calibri"/>
      </rPr>
      <t>他们是一对恩爱的</t>
    </r>
    <r>
      <rPr>
        <b/>
        <sz val="11"/>
        <color theme="1"/>
        <rFont val="Calibri"/>
      </rPr>
      <t>夫妻</t>
    </r>
    <r>
      <rPr>
        <sz val="11"/>
        <color theme="1"/>
        <rFont val="Calibri"/>
      </rPr>
      <t>。</t>
    </r>
  </si>
  <si>
    <t>Tāmen shì yī duì ēn'ài de fūqī.</t>
  </si>
  <si>
    <t>Họ là một cặp vợ chồng ân ái.</t>
  </si>
  <si>
    <t>H3_B13_BG_21.gif</t>
  </si>
  <si>
    <t>H3_B13_21.mp3</t>
  </si>
  <si>
    <t>H3_B13_VD_21.mp3</t>
  </si>
  <si>
    <t>直到</t>
  </si>
  <si>
    <t>&lt;ruby&gt;直到&lt;rt&gt;zhídào&lt;/rt&gt;&lt;/ruby&gt;</t>
  </si>
  <si>
    <t>zhí dào</t>
  </si>
  <si>
    <t>Mãi đến khi</t>
  </si>
  <si>
    <r>
      <rPr>
        <sz val="11"/>
        <color theme="1"/>
        <rFont val="Calibri"/>
      </rPr>
      <t>我昨晚学习</t>
    </r>
    <r>
      <rPr>
        <b/>
        <sz val="11"/>
        <color theme="1"/>
        <rFont val="Calibri"/>
      </rPr>
      <t>直到</t>
    </r>
    <r>
      <rPr>
        <sz val="11"/>
        <color theme="1"/>
        <rFont val="Calibri"/>
      </rPr>
      <t>半夜。</t>
    </r>
  </si>
  <si>
    <t>Wǒ zuó wǎn xuéxí zhídào bànyè.</t>
  </si>
  <si>
    <t>Tối qua tôi học bài mãi đến nửa đêm.</t>
  </si>
  <si>
    <t>H3_B13_BG_22.gif</t>
  </si>
  <si>
    <t>H3_B13_22.mp3</t>
  </si>
  <si>
    <t>H3_B13_VD_22.mp3</t>
  </si>
  <si>
    <t>地图</t>
  </si>
  <si>
    <t>&lt;ruby&gt;地图&lt;rt&gt;dìtú&lt;/rt&gt;&lt;/ruby&gt;</t>
  </si>
  <si>
    <t>dìtú</t>
  </si>
  <si>
    <t>Bản đồ</t>
  </si>
  <si>
    <r>
      <rPr>
        <sz val="11"/>
        <color theme="1"/>
        <rFont val="Calibri"/>
      </rPr>
      <t>去旅行的时候，我会带一张</t>
    </r>
    <r>
      <rPr>
        <b/>
        <sz val="11"/>
        <color theme="1"/>
        <rFont val="Calibri"/>
      </rPr>
      <t>地图</t>
    </r>
    <r>
      <rPr>
        <sz val="11"/>
        <color theme="1"/>
        <rFont val="Calibri"/>
      </rPr>
      <t>。</t>
    </r>
  </si>
  <si>
    <t>Qù lǚxíng de shíhou, wǒ huì dài yì zhāng dìtú.</t>
  </si>
  <si>
    <t>Khi đi du lịch, tôi sẽ mang theo một tấm bản đồ.</t>
  </si>
  <si>
    <t>H3_B13_BG_23.gif</t>
  </si>
  <si>
    <t>H3_B13_23.mp3</t>
  </si>
  <si>
    <t>H3_B13_VD_23.mp3</t>
  </si>
  <si>
    <r>
      <rPr>
        <sz val="11"/>
        <color theme="1"/>
        <rFont val="Calibri"/>
      </rPr>
      <t>现在是下午两</t>
    </r>
    <r>
      <rPr>
        <b/>
        <sz val="11"/>
        <color theme="1"/>
        <rFont val="Calibri"/>
      </rPr>
      <t>点</t>
    </r>
    <r>
      <rPr>
        <sz val="11"/>
        <color theme="1"/>
        <rFont val="Calibri"/>
      </rPr>
      <t>。</t>
    </r>
  </si>
  <si>
    <t>H3_B13_BG_24.gif</t>
  </si>
  <si>
    <t>H3_B13_24.mp3</t>
  </si>
  <si>
    <t>H3_B13_VD_24.mp3</t>
  </si>
  <si>
    <t>感到</t>
  </si>
  <si>
    <t>&lt;ruby&gt;感到&lt;rt&gt;găndào&lt;/rt&gt;&lt;/ruby&gt;</t>
  </si>
  <si>
    <t>găndào</t>
  </si>
  <si>
    <t>Cảm thấy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</si>
  <si>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感到</t>
    </r>
    <r>
      <rPr>
        <sz val="11"/>
        <color theme="1"/>
        <rFont val="Calibri"/>
      </rPr>
      <t>今天的饭菜非常美味。</t>
    </r>
  </si>
  <si>
    <t>Tā găndào jīntiān de fàn cài fēicháng měi wèi.</t>
  </si>
  <si>
    <t>Cô ấy cảm thấy bữa ăn hôm nay rất ngon miệng.</t>
  </si>
  <si>
    <t>H3_B13_BG_25.gif</t>
  </si>
  <si>
    <t>H3_B13_25.mp3</t>
  </si>
  <si>
    <t>H3_B13_VD_25.mp3</t>
  </si>
  <si>
    <t>东方</t>
  </si>
  <si>
    <t>&lt;ruby&gt;东方&lt;rt&gt;dōngfāng&lt;/rt&gt;&lt;/ruby&gt;</t>
  </si>
  <si>
    <t>dōng fāng</t>
  </si>
  <si>
    <t>Phía đông</t>
  </si>
  <si>
    <r>
      <rPr>
        <sz val="11"/>
        <color theme="1"/>
        <rFont val="Calibri"/>
      </rPr>
      <t>太阳从</t>
    </r>
    <r>
      <rPr>
        <b/>
        <sz val="11"/>
        <color theme="1"/>
        <rFont val="Calibri"/>
      </rPr>
      <t>东方</t>
    </r>
    <r>
      <rPr>
        <sz val="11"/>
        <color theme="1"/>
        <rFont val="Calibri"/>
      </rPr>
      <t>升起。</t>
    </r>
  </si>
  <si>
    <t>Tàiyáng cóng dōngfāng shēng qǐ.</t>
  </si>
  <si>
    <t>Mặt trời mọc từ phía đông.</t>
  </si>
  <si>
    <t>H3_B13_BG_26.gif</t>
  </si>
  <si>
    <t>H3_B13_26.mp3</t>
  </si>
  <si>
    <t>H3_B13_VD_26.mp3</t>
  </si>
  <si>
    <t>文化</t>
  </si>
  <si>
    <t>&lt;ruby&gt;文化&lt;rt&gt;wénhuà&lt;/rt&gt;&lt;/ruby&gt;</t>
  </si>
  <si>
    <t>wénhuà</t>
  </si>
  <si>
    <t>Văn hóa</t>
  </si>
  <si>
    <r>
      <rPr>
        <sz val="11"/>
        <color theme="1"/>
        <rFont val="Calibri"/>
      </rPr>
      <t>我对民间</t>
    </r>
    <r>
      <rPr>
        <b/>
        <sz val="11"/>
        <color theme="1"/>
        <rFont val="Calibri"/>
      </rPr>
      <t>文化</t>
    </r>
    <r>
      <rPr>
        <sz val="11"/>
        <color theme="1"/>
        <rFont val="Calibri"/>
      </rPr>
      <t>很感兴趣。</t>
    </r>
  </si>
  <si>
    <t>Wǒ duì mínjiān wénhuà hěn gǎn xìngqù.</t>
  </si>
  <si>
    <t>Tôi rất hứng thú với văn hóa dân gian.</t>
  </si>
  <si>
    <t>H3_B13_BG_27.gif</t>
  </si>
  <si>
    <t>H3_B13_27.mp3</t>
  </si>
  <si>
    <t>H3_B13_VD_27.mp3</t>
  </si>
  <si>
    <t>英国</t>
  </si>
  <si>
    <t>&lt;ruby&gt;英国&lt;rt&gt;yīngguó&lt;/rt&gt;&lt;/ruby&gt;</t>
  </si>
  <si>
    <t>yīng guó</t>
  </si>
  <si>
    <t>Nước Anh</t>
  </si>
  <si>
    <r>
      <rPr>
        <sz val="11"/>
        <color theme="1"/>
        <rFont val="Calibri"/>
      </rPr>
      <t>我哥哥在</t>
    </r>
    <r>
      <rPr>
        <b/>
        <sz val="11"/>
        <color theme="1"/>
        <rFont val="Calibri"/>
      </rPr>
      <t>英国</t>
    </r>
    <r>
      <rPr>
        <sz val="11"/>
        <color theme="1"/>
        <rFont val="Calibri"/>
      </rPr>
      <t>留学。</t>
    </r>
  </si>
  <si>
    <t>Wǒ gēge zài yīngguó liúxué.</t>
  </si>
  <si>
    <t>Anh trai tôi du học ở Anh.</t>
  </si>
  <si>
    <t>H3_B13_BG_28.gif</t>
  </si>
  <si>
    <t>H3_B13_28.mp3</t>
  </si>
  <si>
    <t>H3_B13_VD_28.mp3</t>
  </si>
  <si>
    <t>词典</t>
  </si>
  <si>
    <t>&lt;ruby&gt;词典&lt;rt&gt;cídiǎn&lt;/rt&gt;&lt;/ruby&gt;</t>
  </si>
  <si>
    <t>cídiǎn</t>
  </si>
  <si>
    <t>Từ điển</t>
  </si>
  <si>
    <r>
      <rPr>
        <sz val="11"/>
        <color theme="1"/>
        <rFont val="Calibri"/>
      </rPr>
      <t>这是英 - 越</t>
    </r>
    <r>
      <rPr>
        <b/>
        <sz val="11"/>
        <color theme="1"/>
        <rFont val="Calibri"/>
      </rPr>
      <t>词典</t>
    </r>
    <r>
      <rPr>
        <sz val="11"/>
        <color theme="1"/>
        <rFont val="Calibri"/>
      </rPr>
      <t>。</t>
    </r>
  </si>
  <si>
    <t>Zhè shì Yī - Yuè cídiǎn.</t>
  </si>
  <si>
    <t>Đây là từ điển Anh - Việt.</t>
  </si>
  <si>
    <t>H3_B14_BG_1.gif</t>
  </si>
  <si>
    <t>H3_B14_1.mp3</t>
  </si>
  <si>
    <t>H3_B14_VD_1.mp3</t>
  </si>
  <si>
    <t>最好</t>
  </si>
  <si>
    <t>&lt;ruby&gt;最好&lt;rt&gt;zuìhăo&lt;/rt&gt;&lt;/ruby&gt;</t>
  </si>
  <si>
    <t>zuìhăo</t>
  </si>
  <si>
    <t>tốt nhất</t>
  </si>
  <si>
    <r>
      <rPr>
        <sz val="11"/>
        <color theme="1"/>
        <rFont val="Calibri"/>
      </rPr>
      <t>天气这么冷，</t>
    </r>
    <r>
      <rPr>
        <b/>
        <sz val="11"/>
        <color theme="1"/>
        <rFont val="Calibri"/>
      </rPr>
      <t>最好</t>
    </r>
    <r>
      <rPr>
        <sz val="11"/>
        <color theme="1"/>
        <rFont val="Calibri"/>
      </rPr>
      <t>穿多一点衣服。</t>
    </r>
  </si>
  <si>
    <t>Tiānqì zhème lěng, zuìhăo chuān duō yī diǎn yīfú.</t>
  </si>
  <si>
    <t>Thời tiết lạnh thế này, tốt nhất nên mặc nhiều một chút.</t>
  </si>
  <si>
    <t>H3_B14_BG_2.gif</t>
  </si>
  <si>
    <t>H3_B14_2.mp3</t>
  </si>
  <si>
    <t>H3_B14_VD_2.mp3</t>
  </si>
  <si>
    <t>69eb39cf073744188a66fe71</t>
  </si>
  <si>
    <t>节</t>
  </si>
  <si>
    <t>&lt;ruby&gt;节&lt;rt&gt;jié&lt;/rt&gt;&lt;/ruby&gt;</t>
  </si>
  <si>
    <t>jié</t>
  </si>
  <si>
    <t>tiết (học)</t>
  </si>
  <si>
    <r>
      <rPr>
        <sz val="11"/>
        <color theme="1"/>
        <rFont val="Calibri"/>
      </rPr>
      <t>一</t>
    </r>
    <r>
      <rPr>
        <b/>
        <sz val="11"/>
        <color theme="1"/>
        <rFont val="Calibri"/>
      </rPr>
      <t>节</t>
    </r>
    <r>
      <rPr>
        <sz val="11"/>
        <color theme="1"/>
        <rFont val="Calibri"/>
      </rPr>
      <t>课四十五分钟。</t>
    </r>
  </si>
  <si>
    <t>Yī jié kè sì shí wǔ fēnzhōng.</t>
  </si>
  <si>
    <t>Một tiết học 45 phút.</t>
  </si>
  <si>
    <t>H3_B14_BG_3.gif</t>
  </si>
  <si>
    <t>H3_B14_3.mp3</t>
  </si>
  <si>
    <t>H3_B14_VD_3.mp3</t>
  </si>
  <si>
    <t>图书馆</t>
  </si>
  <si>
    <t>&lt;ruby&gt;图书馆&lt;rt&gt;túshūguǎn&lt;/rt&gt;&lt;/ruby&gt;</t>
  </si>
  <si>
    <t>túshūguǎn</t>
  </si>
  <si>
    <t>Thư viện</t>
  </si>
  <si>
    <r>
      <rPr>
        <sz val="11"/>
        <color theme="1"/>
        <rFont val="Calibri"/>
      </rPr>
      <t>这个城市的</t>
    </r>
    <r>
      <rPr>
        <b/>
        <sz val="11"/>
        <color theme="1"/>
        <rFont val="Calibri"/>
      </rPr>
      <t>图书馆</t>
    </r>
    <r>
      <rPr>
        <sz val="11"/>
        <color theme="1"/>
        <rFont val="Calibri"/>
      </rPr>
      <t>非常有名。</t>
    </r>
  </si>
  <si>
    <t>Zhè gè chéngshì de túshūguǎn fēicháng yǒumíng.</t>
  </si>
  <si>
    <t>Thư viện của thành phố này rất nổi tiếng.</t>
  </si>
  <si>
    <t>H3_B14_BG_4.gif</t>
  </si>
  <si>
    <t>H3_B14_4.mp3</t>
  </si>
  <si>
    <t>H3_B14_VD_4.mp3</t>
  </si>
  <si>
    <t>被</t>
  </si>
  <si>
    <t>&lt;ruby&gt;被&lt;rt&gt;bèi&lt;/rt&gt;&lt;/ruby&gt;</t>
  </si>
  <si>
    <t>bèi</t>
  </si>
  <si>
    <t>Bị (được dùng để chỉ thể bị động)</t>
  </si>
  <si>
    <r>
      <rPr>
        <sz val="11"/>
        <color theme="1"/>
        <rFont val="Calibri"/>
      </rPr>
      <t>她的鼻子</t>
    </r>
    <r>
      <rPr>
        <b/>
        <sz val="11"/>
        <color theme="1"/>
        <rFont val="Calibri"/>
      </rPr>
      <t>被</t>
    </r>
    <r>
      <rPr>
        <sz val="11"/>
        <color theme="1"/>
        <rFont val="Calibri"/>
      </rPr>
      <t>流血了。</t>
    </r>
  </si>
  <si>
    <t>Tā de bízi zài liúxuè le.</t>
  </si>
  <si>
    <t>Cô ấy bị chảy máu mũi rồi.</t>
  </si>
  <si>
    <t>H3_B14_BG_5.gif</t>
  </si>
  <si>
    <t>H3_B14_5.mp3</t>
  </si>
  <si>
    <t>H3_B14_VD_5.mp3</t>
  </si>
  <si>
    <t>名人</t>
  </si>
  <si>
    <t>&lt;ruby&gt;名人&lt;rt&gt;míngrén&lt;/rt&gt;&lt;/ruby&gt;</t>
  </si>
  <si>
    <t>míng rén</t>
  </si>
  <si>
    <t>Người nổi tiếng</t>
  </si>
  <si>
    <r>
      <rPr>
        <sz val="11"/>
        <color theme="1"/>
        <rFont val="Calibri"/>
      </rPr>
      <t>他是一位</t>
    </r>
    <r>
      <rPr>
        <b/>
        <sz val="11"/>
        <color theme="1"/>
        <rFont val="Calibri"/>
      </rPr>
      <t>名人</t>
    </r>
    <r>
      <rPr>
        <sz val="11"/>
        <color theme="1"/>
        <rFont val="Calibri"/>
      </rPr>
      <t>。</t>
    </r>
  </si>
  <si>
    <t>Tā shì yī wèi míngrén.</t>
  </si>
  <si>
    <t>Anh ấy là một người nổi tiếng.</t>
  </si>
  <si>
    <t>H3_B14_BG_6.gif</t>
  </si>
  <si>
    <t>H3_B14_6.mp3</t>
  </si>
  <si>
    <t>H3_B14_VD_6.mp3</t>
  </si>
  <si>
    <t>故事</t>
  </si>
  <si>
    <t>&lt;ruby&gt;故事&lt;rt&gt;gùshì&lt;/rt&gt;&lt;/ruby&gt;</t>
  </si>
  <si>
    <t>gùshì</t>
  </si>
  <si>
    <t>Truyện, câu chuyện</t>
  </si>
  <si>
    <r>
      <rPr>
        <sz val="11"/>
        <color theme="1"/>
        <rFont val="Calibri"/>
      </rPr>
      <t>这个</t>
    </r>
    <r>
      <rPr>
        <b/>
        <sz val="11"/>
        <color theme="1"/>
        <rFont val="Calibri"/>
      </rPr>
      <t>故事</t>
    </r>
    <r>
      <rPr>
        <sz val="11"/>
        <color theme="1"/>
        <rFont val="Calibri"/>
      </rPr>
      <t>很神奇。</t>
    </r>
  </si>
  <si>
    <t>Zhè gè gùshì hěn shénqí.</t>
  </si>
  <si>
    <t>Câu chuyện này rất kỳ diệu.</t>
  </si>
  <si>
    <t>H3_B14_BG_7.gif</t>
  </si>
  <si>
    <t>H3_B14_7.mp3</t>
  </si>
  <si>
    <t>H3_B14_VD_7.mp3</t>
  </si>
  <si>
    <t>然后</t>
  </si>
  <si>
    <t>&lt;ruby&gt;然后&lt;rt&gt;ránhòu&lt;/rt&gt;&lt;/ruby&gt;</t>
  </si>
  <si>
    <t>ránhòu</t>
  </si>
  <si>
    <t>Sau đó</t>
  </si>
  <si>
    <r>
      <rPr>
        <sz val="11"/>
        <color theme="1"/>
        <rFont val="Calibri"/>
      </rPr>
      <t>他先洗手，</t>
    </r>
    <r>
      <rPr>
        <b/>
        <sz val="11"/>
        <color theme="1"/>
        <rFont val="Calibri"/>
      </rPr>
      <t>然后</t>
    </r>
    <r>
      <rPr>
        <sz val="11"/>
        <color theme="1"/>
        <rFont val="Calibri"/>
      </rPr>
      <t>吃饭。</t>
    </r>
  </si>
  <si>
    <t>Tā xiān xǐshǒu, ránhòu chīfàn.</t>
  </si>
  <si>
    <t>Anh ấy rửa tay sạch, sau đó mới bắt đầu ăn cơm.</t>
  </si>
  <si>
    <t>H3_B14_BG_8.gif</t>
  </si>
  <si>
    <t>H3_B14_8.mp3</t>
  </si>
  <si>
    <t>H3_B14_VD_8.mp3</t>
  </si>
  <si>
    <t>报纸</t>
  </si>
  <si>
    <t>&lt;ruby&gt;报纸&lt;rt&gt;bàozhǐ&lt;/rt&gt;&lt;/ruby&gt;</t>
  </si>
  <si>
    <t>bàozhǐ</t>
  </si>
  <si>
    <t>Báo</t>
  </si>
  <si>
    <r>
      <rPr>
        <sz val="11"/>
        <color theme="1"/>
        <rFont val="Calibri"/>
      </rPr>
      <t>我刚买了今天早上的</t>
    </r>
    <r>
      <rPr>
        <b/>
        <sz val="11"/>
        <color theme="1"/>
        <rFont val="Calibri"/>
      </rPr>
      <t>报纸</t>
    </r>
    <r>
      <rPr>
        <sz val="11"/>
        <color theme="1"/>
        <rFont val="Calibri"/>
      </rPr>
      <t>。</t>
    </r>
  </si>
  <si>
    <t>Wǒ gāng mǎi le jīntiān zǎoshang de bàozhǐ.</t>
  </si>
  <si>
    <t>Tôi vừa mua tờ báo sáng nay.</t>
  </si>
  <si>
    <t>H3_B14_BG_9.gif</t>
  </si>
  <si>
    <t>H3_B14_9.mp3</t>
  </si>
  <si>
    <t>H3_B14_VD_9.mp3</t>
  </si>
  <si>
    <t>忘记</t>
  </si>
  <si>
    <t>&lt;ruby&gt;忘记&lt;rt&gt;wàngjì&lt;/rt&gt;&lt;/ruby&gt;</t>
  </si>
  <si>
    <t>wàngjì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</si>
  <si>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忘记</t>
    </r>
    <r>
      <rPr>
        <sz val="11"/>
        <color theme="1"/>
        <rFont val="Calibri"/>
      </rPr>
      <t>了把玩具带到新家。</t>
    </r>
  </si>
  <si>
    <t>Tā wàngjì le bǎ wánjù dài dào xīn jiā.</t>
  </si>
  <si>
    <t>Cô ấy quên không mang đồ chơi đến nhà mới.</t>
  </si>
  <si>
    <t>H3_B14_BG_10.gif</t>
  </si>
  <si>
    <t>H3_B14_10.mp3</t>
  </si>
  <si>
    <t>H3_B14_VD_10.mp3</t>
  </si>
  <si>
    <t>电子书</t>
  </si>
  <si>
    <t>&lt;ruby&gt;电子书&lt;rt&gt;diànzǐshū&lt;/rt&gt;&lt;/ruby&gt;</t>
  </si>
  <si>
    <t>diàn zǐ shū</t>
  </si>
  <si>
    <t>Sách điện tử</t>
  </si>
  <si>
    <r>
      <rPr>
        <sz val="11"/>
        <color theme="1"/>
        <rFont val="Calibri"/>
      </rPr>
      <t>我喜欢在平板电脑上看</t>
    </r>
    <r>
      <rPr>
        <b/>
        <sz val="11"/>
        <color theme="1"/>
        <rFont val="Calibri"/>
      </rPr>
      <t>电子书</t>
    </r>
    <r>
      <rPr>
        <sz val="11"/>
        <color theme="1"/>
        <rFont val="Calibri"/>
      </rPr>
      <t>。</t>
    </r>
  </si>
  <si>
    <t>Wǒ xǐhuān zài píng bǎn diànnǎo shàng kàn diànzǐshū.</t>
  </si>
  <si>
    <t>Tôi thích đọc sách điện tử trên máy tính bảng.</t>
  </si>
  <si>
    <t>H3_B14_BG_11.gif</t>
  </si>
  <si>
    <t>H3_B14_11.mp3</t>
  </si>
  <si>
    <t>H3_B14_VD_11.mp3</t>
  </si>
  <si>
    <t>女生</t>
  </si>
  <si>
    <t>&lt;ruby&gt;女生&lt;rt&gt;nǚshēng&lt;/rt&gt;&lt;/ruby&gt;</t>
  </si>
  <si>
    <t>nǚ shēng</t>
  </si>
  <si>
    <t>Học sinh nữ</t>
  </si>
  <si>
    <r>
      <rPr>
        <sz val="11"/>
        <color theme="1"/>
        <rFont val="Calibri"/>
      </rPr>
      <t>那个</t>
    </r>
    <r>
      <rPr>
        <b/>
        <sz val="11"/>
        <color theme="1"/>
        <rFont val="Calibri"/>
      </rPr>
      <t>女生</t>
    </r>
    <r>
      <rPr>
        <sz val="11"/>
        <color theme="1"/>
        <rFont val="Calibri"/>
      </rPr>
      <t>是我的同学。</t>
    </r>
  </si>
  <si>
    <t>Nàge nǚshēng shì wǒ de tóngxué.</t>
  </si>
  <si>
    <t>Bạn nữ sinh kia là bạn học của tôi.</t>
  </si>
  <si>
    <t>H3_B14_BG_12.gif</t>
  </si>
  <si>
    <t>H3_B14_12.mp3</t>
  </si>
  <si>
    <t>H3_B14_VD_12.mp3</t>
  </si>
  <si>
    <t>表演</t>
  </si>
  <si>
    <t>&lt;ruby&gt;表演&lt;rt&gt;biǎoyǎn&lt;/rt&gt;&lt;/ruby&gt;</t>
  </si>
  <si>
    <t>biǎoyǎn</t>
  </si>
  <si>
    <t>Biểu diễn, trình diễn</t>
  </si>
  <si>
    <r>
      <rPr>
        <sz val="11"/>
        <color theme="1"/>
        <rFont val="Calibri"/>
      </rPr>
      <t>他们正在</t>
    </r>
    <r>
      <rPr>
        <b/>
        <sz val="11"/>
        <color theme="1"/>
        <rFont val="Calibri"/>
      </rPr>
      <t>表演</t>
    </r>
    <r>
      <rPr>
        <sz val="11"/>
        <color theme="1"/>
        <rFont val="Calibri"/>
      </rPr>
      <t>舞狮。</t>
    </r>
  </si>
  <si>
    <t>Tāmen zhèngzài biǎoyǎn wǔ shī.</t>
  </si>
  <si>
    <t>Bọn họ đang biểu diễn múa lân.</t>
  </si>
  <si>
    <t>H3_B14_BG_13.gif</t>
  </si>
  <si>
    <t>H3_B14_13.mp3</t>
  </si>
  <si>
    <t>H3_B14_VD_13.mp3</t>
  </si>
  <si>
    <t>节目</t>
  </si>
  <si>
    <t>&lt;ruby&gt;节目&lt;rt&gt;jiémù&lt;/rt&gt;&lt;/ruby&gt;</t>
  </si>
  <si>
    <t>jiémù</t>
  </si>
  <si>
    <t>Chương trình (truyền hình)</t>
  </si>
  <si>
    <r>
      <rPr>
        <sz val="11"/>
        <color theme="1"/>
        <rFont val="Calibri"/>
      </rPr>
      <t>今天有我喜欢看的</t>
    </r>
    <r>
      <rPr>
        <b/>
        <sz val="11"/>
        <color theme="1"/>
        <rFont val="Calibri"/>
      </rPr>
      <t>节目</t>
    </r>
    <r>
      <rPr>
        <sz val="11"/>
        <color theme="1"/>
        <rFont val="Calibri"/>
      </rPr>
      <t>。</t>
    </r>
  </si>
  <si>
    <t>Jīntiān yǒu wǒ xǐhuan kàn de jiémù.</t>
  </si>
  <si>
    <t>Hôm nay có chương trình mà tôi yêu thích.</t>
  </si>
  <si>
    <t>H3_B14_BG_14.gif</t>
  </si>
  <si>
    <t>H3_B14_14.mp3</t>
  </si>
  <si>
    <t>H3_B14_VD_14.mp3</t>
  </si>
  <si>
    <t>怎么办</t>
  </si>
  <si>
    <t>&lt;ruby&gt;怎么办&lt;rt&gt;zěnme bàn&lt;/rt&gt;&lt;/ruby&gt;</t>
  </si>
  <si>
    <t>zěn me bàn</t>
  </si>
  <si>
    <t>Phải làm sao? (câu hỏi)</t>
  </si>
  <si>
    <r>
      <rPr>
        <sz val="11"/>
        <color theme="1"/>
        <rFont val="Calibri"/>
      </rPr>
      <t>我迷路了，</t>
    </r>
    <r>
      <rPr>
        <b/>
        <sz val="11"/>
        <color theme="1"/>
        <rFont val="Calibri"/>
      </rPr>
      <t>怎么办</t>
    </r>
    <r>
      <rPr>
        <sz val="11"/>
        <color theme="1"/>
        <rFont val="Calibri"/>
      </rPr>
      <t>？</t>
    </r>
  </si>
  <si>
    <t>Wǒ mílù le, zěnmebàn?</t>
  </si>
  <si>
    <t>Tôi bị lạc rồi, phải làm sao bây giờ?</t>
  </si>
  <si>
    <t>H3_B14_BG_15.gif</t>
  </si>
  <si>
    <t>H3_B14_15.mp3</t>
  </si>
  <si>
    <t>H3_B14_VD_15.mp3</t>
  </si>
  <si>
    <t>校长</t>
  </si>
  <si>
    <t>&lt;ruby&gt;校长&lt;rt&gt;xiàozhǎng&lt;/rt&gt;&lt;/ruby&gt;</t>
  </si>
  <si>
    <t>xiàozhǎng</t>
  </si>
  <si>
    <t>Hiệu trưởng</t>
  </si>
  <si>
    <r>
      <rPr>
        <sz val="11"/>
        <color theme="1"/>
        <rFont val="Calibri"/>
      </rPr>
      <t>他是那所著名大学的</t>
    </r>
    <r>
      <rPr>
        <b/>
        <sz val="11"/>
        <color theme="1"/>
        <rFont val="Calibri"/>
      </rPr>
      <t>校长</t>
    </r>
    <r>
      <rPr>
        <sz val="11"/>
        <color theme="1"/>
        <rFont val="Calibri"/>
      </rPr>
      <t>。</t>
    </r>
  </si>
  <si>
    <t>Tā shì nà suǒ zhùmíng dàxué de xiàozhǎng.</t>
  </si>
  <si>
    <t>Anh ấy là hiệu trưởng của trường đại học nổi tiếng.</t>
  </si>
  <si>
    <t>H3_B14_BG_16.gif</t>
  </si>
  <si>
    <t>H3_B14_16.mp3</t>
  </si>
  <si>
    <t>H3_B14_VD_16.mp3</t>
  </si>
  <si>
    <t>面前</t>
  </si>
  <si>
    <t>&lt;ruby&gt;面前&lt;rt&gt;miànqián&lt;/rt&gt;&lt;/ruby&gt;</t>
  </si>
  <si>
    <t>miàn qián</t>
  </si>
  <si>
    <r>
      <rPr>
        <sz val="11"/>
        <color theme="1"/>
        <rFont val="Calibri"/>
      </rPr>
      <t>我的</t>
    </r>
    <r>
      <rPr>
        <b/>
        <sz val="11"/>
        <color theme="1"/>
        <rFont val="Calibri"/>
      </rPr>
      <t>面前</t>
    </r>
    <r>
      <rPr>
        <sz val="11"/>
        <color theme="1"/>
        <rFont val="Calibri"/>
      </rPr>
      <t>有一本书。</t>
    </r>
  </si>
  <si>
    <t>Wǒ de miànqián yǒu yī běn shū.</t>
  </si>
  <si>
    <t>Có một quyển sách ở trước mặt tôi.</t>
  </si>
  <si>
    <t>H3_B14_BG_17.gif</t>
  </si>
  <si>
    <t>H3_B14_17.mp3</t>
  </si>
  <si>
    <t>H3_B14_VD_17.mp3</t>
  </si>
  <si>
    <t>yǒu xiē</t>
  </si>
  <si>
    <t>Có những...</t>
  </si>
  <si>
    <r>
      <rPr>
        <b/>
        <sz val="11"/>
        <color theme="1"/>
        <rFont val="Calibri"/>
      </rPr>
      <t>有些</t>
    </r>
    <r>
      <rPr>
        <sz val="11"/>
        <color theme="1"/>
        <rFont val="Calibri"/>
      </rPr>
      <t>水果是红色的，有些是黄色的。</t>
    </r>
  </si>
  <si>
    <t>Yǒuxiē shuǐguǒ shì hóngsè de, yǒuxiē shì huángsè de.</t>
  </si>
  <si>
    <t>Một vài loại trái cây màu đỏ, một vài loại màu vàng.</t>
  </si>
  <si>
    <t>H3_B14_BG_18.gif</t>
  </si>
  <si>
    <t>H3_B14_18.mp3</t>
  </si>
  <si>
    <t>H3_B14_VD_18.mp3</t>
  </si>
  <si>
    <t>相信</t>
  </si>
  <si>
    <t>&lt;ruby&gt;相信&lt;rt&gt;xiāngxìn&lt;/rt&gt;&lt;/ruby&gt;</t>
  </si>
  <si>
    <t>xiāngxìn</t>
  </si>
  <si>
    <t>Tin, tin tưởng</t>
  </si>
  <si>
    <r>
      <rPr>
        <sz val="11"/>
        <color theme="1"/>
        <rFont val="Calibri"/>
      </rPr>
      <t>我们应该</t>
    </r>
    <r>
      <rPr>
        <b/>
        <sz val="11"/>
        <color theme="1"/>
        <rFont val="Calibri"/>
      </rPr>
      <t>相信</t>
    </r>
    <r>
      <rPr>
        <sz val="11"/>
        <color theme="1"/>
        <rFont val="Calibri"/>
      </rPr>
      <t>科学。</t>
    </r>
  </si>
  <si>
    <t>Wǒmen yīnggāi xiāngxìn kēxué.</t>
  </si>
  <si>
    <t>Chúng ta nên tin vào khoa học.</t>
  </si>
  <si>
    <t>H3_B14_BG_19.gif</t>
  </si>
  <si>
    <t>H3_B14_19.mp3</t>
  </si>
  <si>
    <t>H3_B14_VD_19.mp3</t>
  </si>
  <si>
    <r>
      <rPr>
        <b/>
        <sz val="11"/>
        <color theme="1"/>
        <rFont val="Calibri"/>
      </rPr>
      <t>新年</t>
    </r>
    <r>
      <rPr>
        <sz val="11"/>
        <color theme="1"/>
        <rFont val="Calibri"/>
      </rPr>
      <t>快乐！</t>
    </r>
  </si>
  <si>
    <t>H3_B14_BG_20.gif</t>
  </si>
  <si>
    <t>H3_B14_20.mp3</t>
  </si>
  <si>
    <t>H3_B14_VD_20.mp3</t>
  </si>
  <si>
    <t>班级</t>
  </si>
  <si>
    <t>&lt;ruby&gt;班级&lt;rt&gt;bānjí&lt;/rt&gt;&lt;/ruby&gt;</t>
  </si>
  <si>
    <t>bān jí</t>
  </si>
  <si>
    <t>Cấp lớp học</t>
  </si>
  <si>
    <r>
      <rPr>
        <sz val="11"/>
        <color theme="1"/>
        <rFont val="Calibri"/>
      </rPr>
      <t>我们</t>
    </r>
    <r>
      <rPr>
        <b/>
        <sz val="11"/>
        <color theme="1"/>
        <rFont val="Calibri"/>
      </rPr>
      <t>班级</t>
    </r>
    <r>
      <rPr>
        <sz val="11"/>
        <color theme="1"/>
        <rFont val="Calibri"/>
      </rPr>
      <t>是一个团结的集体。</t>
    </r>
  </si>
  <si>
    <t>Wǒmen bānjí shì yī gè tuán jié de jí tǐ.</t>
  </si>
  <si>
    <t>Lớp học của chúng tôi là một tập thể đoàn kết.</t>
  </si>
  <si>
    <t>H3_B14_BG_21.gif</t>
  </si>
  <si>
    <t>H3_B14_21.mp3</t>
  </si>
  <si>
    <t>H3_B14_VD_21.mp3</t>
  </si>
  <si>
    <t>跳</t>
  </si>
  <si>
    <t>&lt;ruby&gt;跳&lt;rt&gt;tiào&lt;/rt&gt;&lt;/ruby&gt;</t>
  </si>
  <si>
    <t>tiào</t>
  </si>
  <si>
    <t>Nhảy</t>
  </si>
  <si>
    <r>
      <rPr>
        <sz val="11"/>
        <color theme="1"/>
        <rFont val="Calibri"/>
      </rPr>
      <t>小熊猫在床上</t>
    </r>
    <r>
      <rPr>
        <b/>
        <sz val="11"/>
        <color theme="1"/>
        <rFont val="Calibri"/>
      </rPr>
      <t>跳</t>
    </r>
    <r>
      <rPr>
        <sz val="11"/>
        <color theme="1"/>
        <rFont val="Calibri"/>
      </rPr>
      <t>。</t>
    </r>
  </si>
  <si>
    <t>Xiǎo xióngmāo zài chuáng shàng tiào.</t>
  </si>
  <si>
    <t>Gấu trúc nhỏ đang nhảy trên giường.</t>
  </si>
  <si>
    <t>H3_B14_BG_22.gif</t>
  </si>
  <si>
    <t>H3_B14_22.mp3</t>
  </si>
  <si>
    <t>H3_B14_VD_22.mp3</t>
  </si>
  <si>
    <t>留学生</t>
  </si>
  <si>
    <t>&lt;ruby&gt;留学生&lt;rt&gt;liúxuéshēng&lt;/rt&gt;&lt;/ruby&gt;</t>
  </si>
  <si>
    <t xml:space="preserve"> liú xué shēng</t>
  </si>
  <si>
    <t>Du học sinh</t>
  </si>
  <si>
    <r>
      <rPr>
        <sz val="11"/>
        <color theme="1"/>
        <rFont val="Calibri"/>
      </rPr>
      <t>我哥哥是一名在美国的</t>
    </r>
    <r>
      <rPr>
        <b/>
        <sz val="11"/>
        <color theme="1"/>
        <rFont val="Calibri"/>
      </rPr>
      <t>留学生</t>
    </r>
    <r>
      <rPr>
        <sz val="11"/>
        <color theme="1"/>
        <rFont val="Calibri"/>
      </rPr>
      <t>。</t>
    </r>
  </si>
  <si>
    <t>Wǒ gēge shì yī míng zài Měiguó de liúxuéshēng.</t>
  </si>
  <si>
    <t>Anh trai tôi là một du học sinh ở Mỹ.</t>
  </si>
  <si>
    <t>H3_B14_BG_23.gif</t>
  </si>
  <si>
    <t>H3_B14_23.mp3</t>
  </si>
  <si>
    <t>H3_B14_VD_23.mp3</t>
  </si>
  <si>
    <t>最后</t>
  </si>
  <si>
    <t>&lt;ruby&gt;最后&lt;rt&gt;zuì hòu&lt;/rt&gt;&lt;/ruby&gt;</t>
  </si>
  <si>
    <t>zuì hòu</t>
  </si>
  <si>
    <r>
      <rPr>
        <b/>
        <sz val="11"/>
        <color theme="1"/>
        <rFont val="Calibri"/>
      </rPr>
      <t>最后</t>
    </r>
    <r>
      <rPr>
        <sz val="11"/>
        <color theme="1"/>
        <rFont val="Calibri"/>
      </rPr>
      <t>，他终于顺利毕业了！</t>
    </r>
  </si>
  <si>
    <t>Zuìhòu, tā zhōngyú shùnlì bìyè le!</t>
  </si>
  <si>
    <t>Cuối cùng, anh ấy đã thuận lợi tốt nghiệp!</t>
  </si>
  <si>
    <t>H3_B14_BG_24.gif</t>
  </si>
  <si>
    <t>H3_B14_24.mp3</t>
  </si>
  <si>
    <t>H3_B14_VD_24.mp3</t>
  </si>
  <si>
    <t>一块儿</t>
  </si>
  <si>
    <t>&lt;ruby&gt;一块儿&lt;rt&gt;yíkuàir&lt;/rt&gt;&lt;/ruby&gt;</t>
  </si>
  <si>
    <t>yí kuàir</t>
  </si>
  <si>
    <t>Phó từ/ Danh từ</t>
  </si>
  <si>
    <t>Cùng nhau/ Một miếng</t>
  </si>
  <si>
    <r>
      <rPr>
        <sz val="11"/>
        <color theme="1"/>
        <rFont val="Calibri"/>
      </rPr>
      <t>我们</t>
    </r>
    <r>
      <rPr>
        <b/>
        <sz val="11"/>
        <color theme="1"/>
        <rFont val="Calibri"/>
      </rPr>
      <t>一块儿</t>
    </r>
    <r>
      <rPr>
        <sz val="11"/>
        <color theme="1"/>
        <rFont val="Calibri"/>
      </rPr>
      <t>去公园吧。</t>
    </r>
  </si>
  <si>
    <t>Wǒmen yíkuàir qù gōngyuán ba.</t>
  </si>
  <si>
    <t>Chúng ta cùng nhau đi công viên đi.</t>
  </si>
  <si>
    <t>H3_B14_BG_25.gif</t>
  </si>
  <si>
    <t>H3_B14_25.mp3</t>
  </si>
  <si>
    <t>H3_B14_VD_25.mp3</t>
  </si>
  <si>
    <t>网站</t>
  </si>
  <si>
    <t>&lt;ruby&gt;网站&lt;rt&gt;wǎngzhàn&lt;/rt&gt;&lt;/ruby&gt;</t>
  </si>
  <si>
    <t>wǎngzhàn</t>
  </si>
  <si>
    <t>Trang web</t>
  </si>
  <si>
    <r>
      <rPr>
        <sz val="11"/>
        <color theme="1"/>
        <rFont val="Calibri"/>
      </rPr>
      <t>我是在这个</t>
    </r>
    <r>
      <rPr>
        <b/>
        <sz val="11"/>
        <color theme="1"/>
        <rFont val="Calibri"/>
      </rPr>
      <t>网站</t>
    </r>
    <r>
      <rPr>
        <sz val="11"/>
        <color theme="1"/>
        <rFont val="Calibri"/>
      </rPr>
      <t>上找到工作的。</t>
    </r>
  </si>
  <si>
    <t>Wǒ shì zài zhège wǎngzhàn shàng zhǎo dào gōngzuò de.</t>
  </si>
  <si>
    <t>Tôi đã tìm được việc làm trên trang web này.</t>
  </si>
  <si>
    <t>H3_B14_BG_26.gif</t>
  </si>
  <si>
    <t>H3_B14_26.mp3</t>
  </si>
  <si>
    <t>H3_B14_VD_26.mp3</t>
  </si>
  <si>
    <t>视频</t>
  </si>
  <si>
    <t>&lt;ruby&gt;视频&lt;rt&gt;shìpín&lt;/rt&gt;&lt;/ruby&gt;</t>
  </si>
  <si>
    <t>shì pín</t>
  </si>
  <si>
    <t>Video</t>
  </si>
  <si>
    <r>
      <rPr>
        <sz val="11"/>
        <color theme="1"/>
        <rFont val="Calibri"/>
      </rPr>
      <t>我喜欢在手机上看短</t>
    </r>
    <r>
      <rPr>
        <b/>
        <sz val="11"/>
        <color theme="1"/>
        <rFont val="Calibri"/>
      </rPr>
      <t>视频</t>
    </r>
    <r>
      <rPr>
        <sz val="11"/>
        <color theme="1"/>
        <rFont val="Calibri"/>
      </rPr>
      <t>。</t>
    </r>
  </si>
  <si>
    <t>Wǒ xǐhuān zài shǒujī shàng kàn duǎn shìpín.</t>
  </si>
  <si>
    <t>Tôi thích xem các video ngắn trên điện thoại.</t>
  </si>
  <si>
    <t>H3_B14_BG_27.gif</t>
  </si>
  <si>
    <t>H3_B14_27.mp3</t>
  </si>
  <si>
    <t>H3_B14_VD_27.mp3</t>
  </si>
  <si>
    <t>蓝</t>
  </si>
  <si>
    <t>&lt;ruby&gt;蓝&lt;rt&gt;lán&lt;/rt&gt;&lt;/ruby&gt;</t>
  </si>
  <si>
    <t>lán</t>
  </si>
  <si>
    <t>Có màu xanh da trời</t>
  </si>
  <si>
    <r>
      <rPr>
        <sz val="11"/>
        <color theme="1"/>
        <rFont val="Calibri"/>
      </rPr>
      <t>我喜欢这件</t>
    </r>
    <r>
      <rPr>
        <b/>
        <sz val="11"/>
        <color theme="1"/>
        <rFont val="Calibri"/>
      </rPr>
      <t>蓝</t>
    </r>
    <r>
      <rPr>
        <sz val="11"/>
        <color theme="1"/>
        <rFont val="Calibri"/>
      </rPr>
      <t>色的衣服。</t>
    </r>
  </si>
  <si>
    <t>Wǒ xǐhuan zhè jiàn lánsè de yīfú.</t>
  </si>
  <si>
    <t>Dòng suối xanh này thật đẹp.</t>
  </si>
  <si>
    <t>H3_B15_BG_1.gif</t>
  </si>
  <si>
    <t>H3_B15_1.mp3</t>
  </si>
  <si>
    <t>H3_B15_VD_1.mp3</t>
  </si>
  <si>
    <t>段</t>
  </si>
  <si>
    <t>&lt;ruby&gt;段&lt;rt&gt;duàn&lt;/rt&gt;&lt;/ruby&gt;</t>
  </si>
  <si>
    <t>duàn</t>
  </si>
  <si>
    <t>Khoảng, quãng</t>
  </si>
  <si>
    <r>
      <rPr>
        <sz val="11"/>
        <color theme="1"/>
        <rFont val="Calibri"/>
      </rPr>
      <t>他刚捡到了两</t>
    </r>
    <r>
      <rPr>
        <b/>
        <sz val="11"/>
        <color theme="1"/>
        <rFont val="Calibri"/>
      </rPr>
      <t>段</t>
    </r>
    <r>
      <rPr>
        <sz val="11"/>
        <color theme="1"/>
        <rFont val="Calibri"/>
      </rPr>
      <t>木头。</t>
    </r>
  </si>
  <si>
    <t>Tā gāng jiǎn dào le liǎng duàn mùtou.</t>
  </si>
  <si>
    <t>Anh ấy vừa nhặt được hai khúc gỗ này</t>
  </si>
  <si>
    <t>H3_B15_BG_2.gif</t>
  </si>
  <si>
    <t>H3_B15_2.mp3</t>
  </si>
  <si>
    <t>H3_B15_VD_2.mp3</t>
  </si>
  <si>
    <t>69eb3a27073744188a66fe75</t>
  </si>
  <si>
    <t>附近</t>
  </si>
  <si>
    <t>&lt;ruby&gt;附近&lt;rt&gt;fùjìn&lt;/rt&gt;&lt;/ruby&gt;</t>
  </si>
  <si>
    <t>fù jìn</t>
  </si>
  <si>
    <t>Gần đây (địa điểm)</t>
  </si>
  <si>
    <r>
      <rPr>
        <sz val="11"/>
        <color theme="1"/>
        <rFont val="Calibri"/>
      </rPr>
      <t>这</t>
    </r>
    <r>
      <rPr>
        <b/>
        <sz val="11"/>
        <color theme="1"/>
        <rFont val="Calibri"/>
      </rPr>
      <t>附近</t>
    </r>
    <r>
      <rPr>
        <sz val="11"/>
        <color theme="1"/>
        <rFont val="Calibri"/>
      </rPr>
      <t>有超市吗？</t>
    </r>
  </si>
  <si>
    <t>Zhè fùjìn yǒu chāoshì ma?</t>
  </si>
  <si>
    <t>Gần đây có siêu thị không?</t>
  </si>
  <si>
    <t>H3_B15_BG_3.gif</t>
  </si>
  <si>
    <t>H3_B15_3.mp3</t>
  </si>
  <si>
    <t>H3_B15_VD_3.mp3</t>
  </si>
  <si>
    <t>马路</t>
  </si>
  <si>
    <t>&lt;ruby&gt;马路&lt;rt&gt;mǎlù&lt;/rt&gt;&lt;/ruby&gt;</t>
  </si>
  <si>
    <t>mǎ lù</t>
  </si>
  <si>
    <r>
      <rPr>
        <sz val="11"/>
        <color theme="1"/>
        <rFont val="Calibri"/>
      </rPr>
      <t>过</t>
    </r>
    <r>
      <rPr>
        <b/>
        <sz val="11"/>
        <color theme="1"/>
        <rFont val="Calibri"/>
      </rPr>
      <t>马路</t>
    </r>
    <r>
      <rPr>
        <sz val="11"/>
        <color theme="1"/>
        <rFont val="Calibri"/>
      </rPr>
      <t>要小心。</t>
    </r>
  </si>
  <si>
    <t>Guò mǎlù yào xiǎoxīn.</t>
  </si>
  <si>
    <t>Qua đường phải cẩn thận.</t>
  </si>
  <si>
    <t>H3_B15_BG_4.gif</t>
  </si>
  <si>
    <t>H3_B15_4.mp3</t>
  </si>
  <si>
    <t>H3_B15_VD_4.mp3</t>
  </si>
  <si>
    <t>平时</t>
  </si>
  <si>
    <t>&lt;ruby&gt;平时&lt;rt&gt;píngshí&lt;/rt&gt;&lt;/ruby&gt;</t>
  </si>
  <si>
    <t>píngshí</t>
  </si>
  <si>
    <t xml:space="preserve">Bình thường, ngày thường
</t>
  </si>
  <si>
    <r>
      <rPr>
        <b/>
        <sz val="11"/>
        <color theme="1"/>
        <rFont val="Calibri"/>
      </rPr>
      <t>平时</t>
    </r>
    <r>
      <rPr>
        <sz val="11"/>
        <color theme="1"/>
        <rFont val="Calibri"/>
      </rPr>
      <t>我会帮妈妈打扫房子。</t>
    </r>
  </si>
  <si>
    <t>Píngshí wǒ huì bāng māma dǎsǎo fángzi.</t>
  </si>
  <si>
    <t>Bình thường tôi sẽ giúp mẹ dọn dẹp nhà cửa.</t>
  </si>
  <si>
    <t>H3_B15_BG_5.gif</t>
  </si>
  <si>
    <t>H3_B15_5.mp3</t>
  </si>
  <si>
    <t>H3_B15_VD_5.mp3</t>
  </si>
  <si>
    <t>游戏</t>
  </si>
  <si>
    <t>&lt;ruby&gt;游戏&lt;rt&gt;yóuxì&lt;/rt&gt;&lt;/ruby&gt;</t>
  </si>
  <si>
    <t>yóuxì</t>
  </si>
  <si>
    <t>Trò chơi</t>
  </si>
  <si>
    <r>
      <rPr>
        <sz val="11"/>
        <color theme="1"/>
        <rFont val="Calibri"/>
      </rPr>
      <t>弟弟很喜欢玩</t>
    </r>
    <r>
      <rPr>
        <b/>
        <sz val="11"/>
        <color theme="1"/>
        <rFont val="Calibri"/>
      </rPr>
      <t>游戏</t>
    </r>
    <r>
      <rPr>
        <sz val="11"/>
        <color theme="1"/>
        <rFont val="Calibri"/>
      </rPr>
      <t>。</t>
    </r>
  </si>
  <si>
    <t>Dìdi hěn xǐhuān wán yóuxì.</t>
  </si>
  <si>
    <t>Em trai rất thích chơi trò chơi.</t>
  </si>
  <si>
    <t>H3_B15_BG_6.gif</t>
  </si>
  <si>
    <t>H3_B15_6.mp3</t>
  </si>
  <si>
    <t>H3_B15_VD_6.mp3</t>
  </si>
  <si>
    <t>老人</t>
  </si>
  <si>
    <t>&lt;ruby&gt;老人&lt;rt&gt;lǎorén&lt;/rt&gt;&lt;/ruby&gt;</t>
  </si>
  <si>
    <t>lǎo rén</t>
  </si>
  <si>
    <t>Người lớn tuổi</t>
  </si>
  <si>
    <r>
      <rPr>
        <sz val="11"/>
        <color theme="1"/>
        <rFont val="Calibri"/>
      </rPr>
      <t>公园里有很多</t>
    </r>
    <r>
      <rPr>
        <b/>
        <sz val="11"/>
        <color theme="1"/>
        <rFont val="Calibri"/>
      </rPr>
      <t>老人</t>
    </r>
    <r>
      <rPr>
        <sz val="11"/>
        <color theme="1"/>
        <rFont val="Calibri"/>
      </rPr>
      <t>在锻炼身体。</t>
    </r>
  </si>
  <si>
    <t>Gōngyuán lǐ yǒu hěn duō lǎorén zài duànliàn shēntǐ.</t>
  </si>
  <si>
    <t>Trong công viên có rất nhiều người lớn tuổi đang tập thể dục.</t>
  </si>
  <si>
    <t>H3_B15_BG_7.gif</t>
  </si>
  <si>
    <t>H3_B15_7.mp3</t>
  </si>
  <si>
    <t>H3_B15_VD_7.mp3</t>
  </si>
  <si>
    <t>根据</t>
  </si>
  <si>
    <t>&lt;ruby&gt;根据&lt;rt&gt;gēnjù&lt;/rt&gt;&lt;/ruby&gt;</t>
  </si>
  <si>
    <t>gēnjù</t>
  </si>
  <si>
    <t>Căn cứ vào, dựa vào</t>
  </si>
  <si>
    <r>
      <rPr>
        <b/>
        <sz val="11"/>
        <color theme="1"/>
        <rFont val="Calibri"/>
      </rPr>
      <t>根据</t>
    </r>
    <r>
      <rPr>
        <sz val="11"/>
        <color theme="1"/>
        <rFont val="Calibri"/>
      </rPr>
      <t>他的穿着，我能猜到他是客服人员。</t>
    </r>
  </si>
  <si>
    <t>Gēnjù tā de chuānzhuó, wǒ néng cāidào tā shì kèfú rényuán.</t>
  </si>
  <si>
    <t>Căn cứ vào trang phục của anh ấy, tôi có thể đoán anh ấy làm nhân viên chăm sóc khách hàng.</t>
  </si>
  <si>
    <t>H3_B15_BG_8.gif</t>
  </si>
  <si>
    <t>H3_B15_8.mp3</t>
  </si>
  <si>
    <t>H3_B15_VD_8.mp3</t>
  </si>
  <si>
    <t>了解</t>
  </si>
  <si>
    <t>&lt;ruby&gt;了解&lt;rt&gt;liǎojiě&lt;/rt&gt;&lt;/ruby&gt;</t>
  </si>
  <si>
    <t>liǎojiě</t>
  </si>
  <si>
    <t>Hiểu, tìm hiểu</t>
  </si>
  <si>
    <r>
      <rPr>
        <sz val="11"/>
        <color theme="1"/>
        <rFont val="Calibri"/>
      </rPr>
      <t>对这方面，我</t>
    </r>
    <r>
      <rPr>
        <b/>
        <sz val="11"/>
        <color theme="1"/>
        <rFont val="Calibri"/>
      </rPr>
      <t>了解</t>
    </r>
    <r>
      <rPr>
        <sz val="11"/>
        <color theme="1"/>
        <rFont val="Calibri"/>
      </rPr>
      <t>得很清楚。</t>
    </r>
  </si>
  <si>
    <t>Duì zhè fāngmiàn, wǒ liǎojiě de hěn qīngchǔ.</t>
  </si>
  <si>
    <t>Về phương diện này, tôi hiểu rất rõ.</t>
  </si>
  <si>
    <t>H3_B15_BG_9.gif</t>
  </si>
  <si>
    <t>H3_B15_9.mp3</t>
  </si>
  <si>
    <t>H3_B15_VD_9.mp3</t>
  </si>
  <si>
    <t>可是</t>
  </si>
  <si>
    <t>&lt;ruby&gt;可是&lt;rt&gt;kěshi&lt;/rt&gt;&lt;/ruby&gt;</t>
  </si>
  <si>
    <t>kěshi</t>
  </si>
  <si>
    <r>
      <rPr>
        <sz val="11"/>
        <color theme="1"/>
        <rFont val="Calibri"/>
      </rPr>
      <t>我想去旅行，</t>
    </r>
    <r>
      <rPr>
        <b/>
        <sz val="11"/>
        <color theme="1"/>
        <rFont val="Calibri"/>
      </rPr>
      <t>可是</t>
    </r>
    <r>
      <rPr>
        <sz val="11"/>
        <color theme="1"/>
        <rFont val="Calibri"/>
      </rPr>
      <t>没有时间。</t>
    </r>
  </si>
  <si>
    <t>Wǒ xiǎng qù lǚxíng, kěshi méiyǒu shíjiān.</t>
  </si>
  <si>
    <t>Tôi muốn đi du lịch, nhưng không có thời gian.</t>
  </si>
  <si>
    <t>H3_B15_BG_10.gif</t>
  </si>
  <si>
    <t>H3_B15_10.mp3</t>
  </si>
  <si>
    <t>H3_B15_VD_10.mp3</t>
  </si>
  <si>
    <t>以上</t>
  </si>
  <si>
    <t>&lt;ruby&gt;以上&lt;rt&gt;yǐshàng&lt;/rt&gt;&lt;/ruby&gt;</t>
  </si>
  <si>
    <t>yǐ shàng</t>
  </si>
  <si>
    <t>Vượt, hơn</t>
  </si>
  <si>
    <r>
      <rPr>
        <sz val="11"/>
        <color theme="1"/>
        <rFont val="Calibri"/>
      </rPr>
      <t>参加会议的人数在一百人</t>
    </r>
    <r>
      <rPr>
        <b/>
        <sz val="11"/>
        <color theme="1"/>
        <rFont val="Calibri"/>
      </rPr>
      <t>以上</t>
    </r>
    <r>
      <rPr>
        <sz val="11"/>
        <color theme="1"/>
        <rFont val="Calibri"/>
      </rPr>
      <t>。</t>
    </r>
  </si>
  <si>
    <t>Cānjiā huìyì de rén shù zài yī bǎi rén yǐshàng.</t>
  </si>
  <si>
    <t>Số người tham gia cuộc họp là hơn một trăm người.</t>
  </si>
  <si>
    <t>H3_B15_BG_11.gif</t>
  </si>
  <si>
    <t>有名</t>
  </si>
  <si>
    <t>&lt;ruby&gt;有名&lt;rt&gt;yǒumíng&lt;/rt&gt;&lt;/ruby&gt;</t>
  </si>
  <si>
    <t>yǒumíng</t>
  </si>
  <si>
    <t>Có tiếng, nổi tiếng</t>
  </si>
  <si>
    <r>
      <rPr>
        <sz val="11"/>
        <color theme="1"/>
        <rFont val="Calibri"/>
      </rPr>
      <t>长城是中国</t>
    </r>
    <r>
      <rPr>
        <b/>
        <sz val="11"/>
        <color theme="1"/>
        <rFont val="Calibri"/>
      </rPr>
      <t>有名</t>
    </r>
    <r>
      <rPr>
        <sz val="11"/>
        <color theme="1"/>
        <rFont val="Calibri"/>
      </rPr>
      <t>的旅游景点之一。</t>
    </r>
  </si>
  <si>
    <t>Chángchéng shì Zhōngguó yǒumíng de lǚyóu jǐngdiǎn zhī yī.</t>
  </si>
  <si>
    <t>Vạn Lý Trường Thành là một trong những địa điểm du lịch nổi tiếng của Trung Quốc</t>
  </si>
  <si>
    <t>H3_B15_BG_12.gif</t>
  </si>
  <si>
    <t>H3_B15_12.mp3</t>
  </si>
  <si>
    <t>H3_B15_VD_12.mp3</t>
  </si>
  <si>
    <t>景点</t>
  </si>
  <si>
    <t>&lt;ruby&gt;景点&lt;rt&gt;jǐngdiǎn&lt;/rt&gt;&lt;/ruby&gt;</t>
  </si>
  <si>
    <t>jǐng diǎn</t>
  </si>
  <si>
    <t>Điểm tham quan</t>
  </si>
  <si>
    <r>
      <rPr>
        <sz val="11"/>
        <color theme="1"/>
        <rFont val="Calibri"/>
      </rPr>
      <t>长城是一个著名的</t>
    </r>
    <r>
      <rPr>
        <b/>
        <sz val="11"/>
        <color theme="1"/>
        <rFont val="Calibri"/>
      </rPr>
      <t>景点</t>
    </r>
    <r>
      <rPr>
        <sz val="11"/>
        <color theme="1"/>
        <rFont val="Calibri"/>
      </rPr>
      <t>。</t>
    </r>
  </si>
  <si>
    <t>Zhǎng chéng shì yī gè zhùmíng de jǐngdiǎn.</t>
  </si>
  <si>
    <t>Trường Thành là một điểm tham quan nổi tiếng.</t>
  </si>
  <si>
    <t>H3_B15_BG_13.gif</t>
  </si>
  <si>
    <t>H3_B15_13.mp3</t>
  </si>
  <si>
    <t>H3_B15_VD_13.mp3</t>
  </si>
  <si>
    <t>游客</t>
  </si>
  <si>
    <t>&lt;ruby&gt;游客&lt;rt&gt;yóukè&lt;/rt&gt;&lt;/ruby&gt;</t>
  </si>
  <si>
    <t>yóu kè</t>
  </si>
  <si>
    <t>Nhà khách</t>
  </si>
  <si>
    <r>
      <rPr>
        <sz val="11"/>
        <color theme="1"/>
        <rFont val="Calibri"/>
      </rPr>
      <t>长城上有很多</t>
    </r>
    <r>
      <rPr>
        <b/>
        <sz val="11"/>
        <color theme="1"/>
        <rFont val="Calibri"/>
      </rPr>
      <t>游客</t>
    </r>
    <r>
      <rPr>
        <sz val="11"/>
        <color theme="1"/>
        <rFont val="Calibri"/>
      </rPr>
      <t>。</t>
    </r>
  </si>
  <si>
    <t>Zhǎng chéng shàng yǒu hěn duō yóukè.</t>
  </si>
  <si>
    <t>Trên Vạn Lý Trường Thành có rất nhiều du khách.</t>
  </si>
  <si>
    <t>H3_B15_BG_14.gif</t>
  </si>
  <si>
    <t>H3_B15_14.mp3</t>
  </si>
  <si>
    <t>H3_B15_VD_14.mp3</t>
  </si>
  <si>
    <t>外地</t>
  </si>
  <si>
    <t>&lt;ruby&gt;外地&lt;rt&gt;wàidì&lt;/rt&gt;&lt;/ruby&gt;</t>
  </si>
  <si>
    <t>wài dì</t>
  </si>
  <si>
    <t>Nơi bên ngoài</t>
  </si>
  <si>
    <r>
      <rPr>
        <sz val="11"/>
        <color theme="1"/>
        <rFont val="Calibri"/>
      </rPr>
      <t>我要去</t>
    </r>
    <r>
      <rPr>
        <b/>
        <sz val="11"/>
        <color theme="1"/>
        <rFont val="Calibri"/>
      </rPr>
      <t>外地</t>
    </r>
    <r>
      <rPr>
        <sz val="11"/>
        <color theme="1"/>
        <rFont val="Calibri"/>
      </rPr>
      <t>出差。</t>
    </r>
  </si>
  <si>
    <t>Wǒ yào qù wàidì chūchāi.</t>
  </si>
  <si>
    <t>Tôi sắp đi công tác ở tỉnh khác.</t>
  </si>
  <si>
    <t>H3_B15_BG_15.gif</t>
  </si>
  <si>
    <t>H3_B15_15.mp3</t>
  </si>
  <si>
    <t>H3_B15_VD_15.mp3</t>
  </si>
  <si>
    <t>聊</t>
  </si>
  <si>
    <t>&lt;ruby&gt;聊&lt;rt&gt;liáo&lt;/rt&gt;&lt;/ruby&gt;</t>
  </si>
  <si>
    <t xml:space="preserve"> liáo</t>
  </si>
  <si>
    <r>
      <rPr>
        <sz val="11"/>
        <color theme="1"/>
        <rFont val="Calibri"/>
      </rPr>
      <t>我们</t>
    </r>
    <r>
      <rPr>
        <b/>
        <sz val="11"/>
        <color theme="1"/>
        <rFont val="Calibri"/>
      </rPr>
      <t>聊</t>
    </r>
    <r>
      <rPr>
        <sz val="11"/>
        <color theme="1"/>
        <rFont val="Calibri"/>
      </rPr>
      <t>聊天吧。</t>
    </r>
  </si>
  <si>
    <t>Wǒmen liáo liáo tiān ba.</t>
  </si>
  <si>
    <t>Chúng ta trò chuyện một chút đi.</t>
  </si>
  <si>
    <t>H3_B15_BG_16.gif</t>
  </si>
  <si>
    <t>H3_B15_16.mp3</t>
  </si>
  <si>
    <t>H3_B15_VD_16.mp3</t>
  </si>
  <si>
    <t>南京</t>
  </si>
  <si>
    <t>&lt;ruby&gt;南京&lt;rt&gt;nánjīng&lt;/rt&gt;&lt;/ruby&gt;</t>
  </si>
  <si>
    <t>nán jīng</t>
  </si>
  <si>
    <t>Nam Kinh (một thành phố của Trung Quốc)</t>
  </si>
  <si>
    <r>
      <rPr>
        <b/>
        <sz val="11"/>
        <color theme="1"/>
        <rFont val="Calibri"/>
      </rPr>
      <t>南京</t>
    </r>
    <r>
      <rPr>
        <sz val="11"/>
        <color theme="1"/>
        <rFont val="Calibri"/>
      </rPr>
      <t>是一个美丽的城市。</t>
    </r>
  </si>
  <si>
    <t>Nánjīng shì yī gè měilì de chéngshì.</t>
  </si>
  <si>
    <t>Nam Kinh là một thành phố xinh đẹp.</t>
  </si>
  <si>
    <t>H3_B15_BG_17.gif</t>
  </si>
  <si>
    <t>H3_B15_17.mp3</t>
  </si>
  <si>
    <t>H3_B15_VD_17.mp3</t>
  </si>
  <si>
    <t>河</t>
  </si>
  <si>
    <t>&lt;ruby&gt;河&lt;rt&gt;hé&lt;/rt&gt;&lt;/ruby&gt;</t>
  </si>
  <si>
    <t>Con sông</t>
  </si>
  <si>
    <r>
      <rPr>
        <sz val="11"/>
        <color theme="1"/>
        <rFont val="Calibri"/>
      </rPr>
      <t>这条</t>
    </r>
    <r>
      <rPr>
        <b/>
        <sz val="11"/>
        <color theme="1"/>
        <rFont val="Calibri"/>
      </rPr>
      <t>河</t>
    </r>
    <r>
      <rPr>
        <sz val="11"/>
        <color theme="1"/>
        <rFont val="Calibri"/>
      </rPr>
      <t>很长。</t>
    </r>
  </si>
  <si>
    <t>Zhè tiáo hé hěn zhǎng.</t>
  </si>
  <si>
    <t>Con sông này rất dài.</t>
  </si>
  <si>
    <t>H3_B15_BG_18.gif</t>
  </si>
  <si>
    <t>H3_B15_18.mp3</t>
  </si>
  <si>
    <t>H3_B15_VD_18.mp3</t>
  </si>
  <si>
    <t>关系</t>
  </si>
  <si>
    <t>&lt;ruby&gt;关系&lt;rt&gt;guānxì&lt;/rt&gt;&lt;/ruby&gt;</t>
  </si>
  <si>
    <t>guānxì</t>
  </si>
  <si>
    <t>Quan hệ</t>
  </si>
  <si>
    <r>
      <rPr>
        <sz val="11"/>
        <color theme="1"/>
        <rFont val="Calibri"/>
      </rPr>
      <t>他们两个人的</t>
    </r>
    <r>
      <rPr>
        <b/>
        <sz val="11"/>
        <color theme="1"/>
        <rFont val="Calibri"/>
      </rPr>
      <t>关系</t>
    </r>
    <r>
      <rPr>
        <sz val="11"/>
        <color theme="1"/>
        <rFont val="Calibri"/>
      </rPr>
      <t>非常亲密。</t>
    </r>
  </si>
  <si>
    <t>Tāmen liǎng gè rén de guānxì fēicháng qīnmì.</t>
  </si>
  <si>
    <t>Quan hệ của hai người họ rất thắm thiết.</t>
  </si>
  <si>
    <t>H3_B15_BG_19.gif</t>
  </si>
  <si>
    <t>H3_B15_19.mp3</t>
  </si>
  <si>
    <t>H3_B15_VD_19.mp3</t>
  </si>
  <si>
    <t>养</t>
  </si>
  <si>
    <t>&lt;ruby&gt;养&lt;rt&gt;yǎng&lt;/rt&gt;&lt;/ruby&gt;</t>
  </si>
  <si>
    <t>yǎng</t>
  </si>
  <si>
    <t>Nuôi, trồng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</si>
  <si>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养</t>
    </r>
    <r>
      <rPr>
        <sz val="11"/>
        <color theme="1"/>
        <rFont val="Calibri"/>
      </rPr>
      <t>了一只兔子。</t>
    </r>
  </si>
  <si>
    <t>Tā yǎng le yī zhī tù zǐ.</t>
  </si>
  <si>
    <t>Anh ấy nuôi một con thỏ.</t>
  </si>
  <si>
    <t>H3_B15_BG_20.gif</t>
  </si>
  <si>
    <t>H3_B15_20.mp3</t>
  </si>
  <si>
    <t>H3_B15_VD_20.mp3</t>
  </si>
  <si>
    <t>黄河</t>
  </si>
  <si>
    <t>&lt;ruby&gt;黄河&lt;rt&gt;Huáng Hé&lt;/rt&gt;&lt;/ruby&gt;</t>
  </si>
  <si>
    <t>Huáng Hé</t>
  </si>
  <si>
    <t>Hoàng Hà (con sông lớn thứ hai ở Trung Quốc)</t>
  </si>
  <si>
    <r>
      <rPr>
        <b/>
        <sz val="11"/>
        <color theme="1"/>
        <rFont val="Calibri"/>
      </rPr>
      <t>黄河</t>
    </r>
    <r>
      <rPr>
        <sz val="11"/>
        <color theme="1"/>
        <rFont val="Calibri"/>
      </rPr>
      <t>是中国第二长的河流。</t>
    </r>
  </si>
  <si>
    <t>Huánghé shì Zhōngguó dì èr cháng de héliú.</t>
  </si>
  <si>
    <t>Hoàng Hà là con sông dài thứ hai của Trung Quốc.</t>
  </si>
  <si>
    <t>H3_B15_BG_21.gif</t>
  </si>
  <si>
    <t>H3_B15_21.mp3</t>
  </si>
  <si>
    <t>H3_B15_VD_21.mp3</t>
  </si>
  <si>
    <t>西北</t>
  </si>
  <si>
    <t>&lt;ruby&gt;西北&lt;rt&gt;xīběi&lt;/rt&gt;&lt;/ruby&gt;</t>
  </si>
  <si>
    <t>xī běi</t>
  </si>
  <si>
    <t>Phía tây bắc</t>
  </si>
  <si>
    <r>
      <rPr>
        <sz val="11"/>
        <color theme="1"/>
        <rFont val="Calibri"/>
      </rPr>
      <t>我的学校在城市的</t>
    </r>
    <r>
      <rPr>
        <b/>
        <sz val="11"/>
        <color theme="1"/>
        <rFont val="Calibri"/>
      </rPr>
      <t>西北</t>
    </r>
    <r>
      <rPr>
        <sz val="11"/>
        <color theme="1"/>
        <rFont val="Calibri"/>
      </rPr>
      <t>方向。</t>
    </r>
  </si>
  <si>
    <t>Wǒ de xuéxiào zài chéngshì de xīběi fängxiàng.</t>
  </si>
  <si>
    <t>Trường của tôi ở phía tây bắc thành phố.</t>
  </si>
  <si>
    <t>H3_B15_BG_22.gif</t>
  </si>
  <si>
    <t>H3_B15_22.mp3</t>
  </si>
  <si>
    <t>H3_B15_VD_22.mp3</t>
  </si>
  <si>
    <t>经过</t>
  </si>
  <si>
    <t>&lt;ruby&gt;经过&lt;rt&gt;jīngguò&lt;/rt&gt;&lt;/ruby&gt;</t>
  </si>
  <si>
    <t>jīngguò</t>
  </si>
  <si>
    <t>Đi ngang qua</t>
  </si>
  <si>
    <r>
      <rPr>
        <b/>
        <sz val="11"/>
        <color theme="1"/>
        <rFont val="Calibri"/>
      </rPr>
      <t>经过</t>
    </r>
    <r>
      <rPr>
        <sz val="11"/>
        <color theme="1"/>
        <rFont val="Calibri"/>
      </rPr>
      <t>两年，我学会说汉语了。</t>
    </r>
  </si>
  <si>
    <t>Jīngguò liǎng nián, wǒ xuéhuì shuō Hànyǔ le.</t>
  </si>
  <si>
    <t>Trải qua hai năm, tôi đã biết nói tiếng Hán.</t>
  </si>
  <si>
    <t>H3_B15_BG_23.gif</t>
  </si>
  <si>
    <t>H3_B15_23.mp3</t>
  </si>
  <si>
    <t>H3_B15_VD_23.mp3</t>
  </si>
  <si>
    <t>草地</t>
  </si>
  <si>
    <t>&lt;ruby&gt;草地&lt;rt&gt;cǎodì&lt;/rt&gt;&lt;/ruby&gt;</t>
  </si>
  <si>
    <t>cǎo dì</t>
  </si>
  <si>
    <t>Vùng cỏ</t>
  </si>
  <si>
    <r>
      <rPr>
        <sz val="11"/>
        <color theme="1"/>
        <rFont val="Calibri"/>
      </rPr>
      <t>我们在</t>
    </r>
    <r>
      <rPr>
        <b/>
        <sz val="11"/>
        <color theme="1"/>
        <rFont val="Calibri"/>
      </rPr>
      <t>草地</t>
    </r>
    <r>
      <rPr>
        <sz val="11"/>
        <color theme="1"/>
        <rFont val="Calibri"/>
      </rPr>
      <t>上坐着。</t>
    </r>
  </si>
  <si>
    <t>Wǒmen zài cǎodì shàng zuò zhe.</t>
  </si>
  <si>
    <t>Chúng tôi đang ngồi trên bãi cỏ.</t>
  </si>
  <si>
    <t>H3_B15_BG_24.gif</t>
  </si>
  <si>
    <t>H3_B15_24.mp3</t>
  </si>
  <si>
    <t>H3_B15_VD_24.mp3</t>
  </si>
  <si>
    <t>遇见</t>
  </si>
  <si>
    <t>&lt;ruby&gt;遇见&lt;rt&gt;yùjiàn&lt;/rt&gt;&lt;/ruby&gt;</t>
  </si>
  <si>
    <t>yù jiàn</t>
  </si>
  <si>
    <t>Gặp, gặp được</t>
  </si>
  <si>
    <r>
      <rPr>
        <sz val="11"/>
        <color theme="1"/>
        <rFont val="Calibri"/>
      </rPr>
      <t>很高兴在这里</t>
    </r>
    <r>
      <rPr>
        <b/>
        <sz val="11"/>
        <color theme="1"/>
        <rFont val="Calibri"/>
      </rPr>
      <t>遇见</t>
    </r>
    <r>
      <rPr>
        <sz val="11"/>
        <color theme="1"/>
        <rFont val="Calibri"/>
      </rPr>
      <t>你。</t>
    </r>
  </si>
  <si>
    <t>Hěn gāoxìng zài zhèlǐ yùjiàn nǐ.</t>
  </si>
  <si>
    <t>Rất vui được gặp bạn ở đây.</t>
  </si>
  <si>
    <t>H3_B15_BG_25.gif</t>
  </si>
  <si>
    <t>H3_B15_25.mp3</t>
  </si>
  <si>
    <t>H3_B15_VD_25.mp3</t>
  </si>
  <si>
    <t>脏</t>
  </si>
  <si>
    <t>&lt;ruby&gt;脏&lt;rt&gt;zāng&lt;/rt&gt;&lt;/ruby&gt;</t>
  </si>
  <si>
    <t>zāng</t>
  </si>
  <si>
    <t>Bẩn, bẩn thỉu</t>
  </si>
  <si>
    <r>
      <rPr>
        <sz val="11"/>
        <color theme="1"/>
        <rFont val="Calibri"/>
      </rPr>
      <t>衣服都</t>
    </r>
    <r>
      <rPr>
        <b/>
        <sz val="11"/>
        <color theme="1"/>
        <rFont val="Calibri"/>
      </rPr>
      <t>脏</t>
    </r>
    <r>
      <rPr>
        <sz val="11"/>
        <color theme="1"/>
        <rFont val="Calibri"/>
      </rPr>
      <t>了。</t>
    </r>
  </si>
  <si>
    <t>Yīfú dōu zāng le.</t>
  </si>
  <si>
    <t>Quần áo bị bẩn hết rồi.</t>
  </si>
  <si>
    <t>H3_B16_BG_1.gif</t>
  </si>
  <si>
    <t>H3_B16_1.mp3</t>
  </si>
  <si>
    <t>H3_B16_VD_1.mp3</t>
  </si>
  <si>
    <t>可爱</t>
  </si>
  <si>
    <t>&lt;ruby&gt;可爱&lt;rt&gt;kě'ài&lt;/rt&gt;&lt;/ruby&gt;</t>
  </si>
  <si>
    <t>kě'ài</t>
  </si>
  <si>
    <t>Đáng yêu, dễ thương</t>
  </si>
  <si>
    <r>
      <rPr>
        <sz val="11"/>
        <color theme="1"/>
        <rFont val="Calibri"/>
      </rPr>
      <t>这个小女孩真是太</t>
    </r>
    <r>
      <rPr>
        <b/>
        <sz val="11"/>
        <color theme="1"/>
        <rFont val="Calibri"/>
      </rPr>
      <t>可爱</t>
    </r>
    <r>
      <rPr>
        <sz val="11"/>
        <color theme="1"/>
        <rFont val="Calibri"/>
      </rPr>
      <t>了。</t>
    </r>
  </si>
  <si>
    <t>Zhè gè xiǎo nǚhái zhēn shì tài kě’ài le.</t>
  </si>
  <si>
    <t>Cô bé này thật đáng yêu.</t>
  </si>
  <si>
    <t>H3_B16_BG_2.gif</t>
  </si>
  <si>
    <t>H3_B16_2.mp3</t>
  </si>
  <si>
    <t>H3_B16_VD_2.mp3</t>
  </si>
  <si>
    <t>69eb3a27073744188a66fe74</t>
  </si>
  <si>
    <t>&lt;ruby&gt;一会儿&lt;rt&gt;yíhuìr&lt;/rt&gt;&lt;/ruby&gt;</t>
  </si>
  <si>
    <r>
      <rPr>
        <sz val="11"/>
        <color theme="1"/>
        <rFont val="Calibri"/>
      </rPr>
      <t>请等</t>
    </r>
    <r>
      <rPr>
        <b/>
        <sz val="11"/>
        <color theme="1"/>
        <rFont val="Calibri"/>
      </rPr>
      <t>一会儿</t>
    </r>
    <r>
      <rPr>
        <sz val="11"/>
        <color theme="1"/>
        <rFont val="Calibri"/>
      </rPr>
      <t>。</t>
    </r>
  </si>
  <si>
    <t>Xin vui lòng đợi một lát.</t>
  </si>
  <si>
    <t>H3_B16_BG_3.gif</t>
  </si>
  <si>
    <t>H3_B16_3.mp3</t>
  </si>
  <si>
    <t>H3_B16_VD_3.mp3</t>
  </si>
  <si>
    <t>脚</t>
  </si>
  <si>
    <t>&lt;ruby&gt;脚&lt;rt&gt;jiǎo&lt;/rt&gt;&lt;/ruby&gt;</t>
  </si>
  <si>
    <t>jiǎo</t>
  </si>
  <si>
    <t>Bàn chân</t>
  </si>
  <si>
    <r>
      <rPr>
        <sz val="11"/>
        <color theme="1"/>
        <rFont val="Calibri"/>
      </rPr>
      <t>我的</t>
    </r>
    <r>
      <rPr>
        <b/>
        <sz val="11"/>
        <color theme="1"/>
        <rFont val="Calibri"/>
      </rPr>
      <t>脚</t>
    </r>
    <r>
      <rPr>
        <sz val="11"/>
        <color theme="1"/>
        <rFont val="Calibri"/>
      </rPr>
      <t>很大。</t>
    </r>
  </si>
  <si>
    <t>Wǒ de jiǎo hěn dà.</t>
  </si>
  <si>
    <t>Chân của tôi rất to.</t>
  </si>
  <si>
    <t>H3_B16_BG_4.gif</t>
  </si>
  <si>
    <t>H3_B16_4.mp3</t>
  </si>
  <si>
    <t>H3_B16_VD_4.mp3</t>
  </si>
  <si>
    <t>照顾</t>
  </si>
  <si>
    <t>&lt;ruby&gt;照顾、&lt;rt&gt;zhàogù&lt;/rt&gt;&lt;/ruby&gt;</t>
  </si>
  <si>
    <t>zhào gù</t>
  </si>
  <si>
    <t>Chăm sóc</t>
  </si>
  <si>
    <r>
      <rPr>
        <sz val="11"/>
        <color theme="1"/>
        <rFont val="Calibri"/>
      </rPr>
      <t>妈妈在</t>
    </r>
    <r>
      <rPr>
        <b/>
        <sz val="11"/>
        <color theme="1"/>
        <rFont val="Calibri"/>
      </rPr>
      <t>照顾</t>
    </r>
    <r>
      <rPr>
        <sz val="11"/>
        <color theme="1"/>
        <rFont val="Calibri"/>
      </rPr>
      <t>生病的孩子。</t>
    </r>
  </si>
  <si>
    <t>Māma zài zhàogù shēngbìng de háizi.</t>
  </si>
  <si>
    <t>Mẹ đang chăm sóc đứa con bị ốm.</t>
  </si>
  <si>
    <t>H3_B16_BG_5.gif</t>
  </si>
  <si>
    <t>H3_B16_5.mp3</t>
  </si>
  <si>
    <t>H3_B16_VD_5.mp3</t>
  </si>
  <si>
    <r>
      <rPr>
        <sz val="11"/>
        <color theme="1"/>
        <rFont val="Calibri"/>
      </rPr>
      <t>刚才</t>
    </r>
    <r>
      <rPr>
        <b/>
        <sz val="11"/>
        <color theme="1"/>
        <rFont val="Calibri"/>
      </rPr>
      <t>好像</t>
    </r>
    <r>
      <rPr>
        <sz val="11"/>
        <color theme="1"/>
        <rFont val="Calibri"/>
      </rPr>
      <t>有两只大狗走过去了。</t>
    </r>
  </si>
  <si>
    <t>H3_B16_BG_6.gif</t>
  </si>
  <si>
    <t>H3_B16_6.mp3</t>
  </si>
  <si>
    <t>H3_B16_VD_6.mp3</t>
  </si>
  <si>
    <t>认得</t>
  </si>
  <si>
    <t>&lt;ruby&gt;认得&lt;rt&gt;rènde&lt;/rt&gt;&lt;/ruby&gt;</t>
  </si>
  <si>
    <t>rèn de</t>
  </si>
  <si>
    <t>Biết</t>
  </si>
  <si>
    <r>
      <rPr>
        <sz val="11"/>
        <color theme="1"/>
        <rFont val="Calibri"/>
      </rPr>
      <t>你还</t>
    </r>
    <r>
      <rPr>
        <b/>
        <sz val="11"/>
        <color theme="1"/>
        <rFont val="Calibri"/>
      </rPr>
      <t>认得</t>
    </r>
    <r>
      <rPr>
        <sz val="11"/>
        <color theme="1"/>
        <rFont val="Calibri"/>
      </rPr>
      <t>我吗？</t>
    </r>
  </si>
  <si>
    <t>Nǐ huán rènde wǒ ma?</t>
  </si>
  <si>
    <t>Bạn còn nhận ra tôi không?</t>
  </si>
  <si>
    <t>H3_B16_BG_7.gif</t>
  </si>
  <si>
    <t>H3_B16_7.mp3</t>
  </si>
  <si>
    <t>H3_B16_VD_7.mp3</t>
  </si>
  <si>
    <t>周末</t>
  </si>
  <si>
    <t>&lt;ruby&gt;周末&lt;rt&gt;zhōumò&lt;/rt&gt;&lt;/ruby&gt;</t>
  </si>
  <si>
    <t>zhōumò</t>
  </si>
  <si>
    <t>Cuối tuần</t>
  </si>
  <si>
    <r>
      <rPr>
        <b/>
        <sz val="11"/>
        <color theme="1"/>
        <rFont val="Calibri"/>
      </rPr>
      <t>周末</t>
    </r>
    <r>
      <rPr>
        <sz val="11"/>
        <color theme="1"/>
        <rFont val="Calibri"/>
      </rPr>
      <t>你有什么打算？</t>
    </r>
  </si>
  <si>
    <t>Zhōumò nǐ yǒu shénme dǎsuàn?</t>
  </si>
  <si>
    <t>Cuối tuần bạn định làm gì?</t>
  </si>
  <si>
    <t>H3_B16_BG_8.gif</t>
  </si>
  <si>
    <t>H3_B16_8.mp3</t>
  </si>
  <si>
    <t>H3_B16_VD_8.mp3</t>
  </si>
  <si>
    <t>动物园</t>
  </si>
  <si>
    <t>&lt;ruby&gt;动物园&lt;rt&gt;dòngwùyuán&lt;/rt&gt;&lt;/ruby&gt;</t>
  </si>
  <si>
    <t>dòng wù yuán</t>
  </si>
  <si>
    <t>Sở thú</t>
  </si>
  <si>
    <r>
      <rPr>
        <sz val="11"/>
        <color theme="1"/>
        <rFont val="Calibri"/>
      </rPr>
      <t>我们周末去</t>
    </r>
    <r>
      <rPr>
        <b/>
        <sz val="11"/>
        <color theme="1"/>
        <rFont val="Calibri"/>
      </rPr>
      <t>动物园</t>
    </r>
    <r>
      <rPr>
        <sz val="11"/>
        <color theme="1"/>
        <rFont val="Calibri"/>
      </rPr>
      <t>看大熊猫。</t>
    </r>
  </si>
  <si>
    <t>Wǒmen zhōumò qù dòngwùyuán kàn dàxióngmāo.</t>
  </si>
  <si>
    <t>Cuối tuần chúng tôi đi sở thú xem gấu trúc lớn.</t>
  </si>
  <si>
    <t>H3_B16_BG_9.gif</t>
  </si>
  <si>
    <t>H3_B16_9.mp3</t>
  </si>
  <si>
    <t>H3_B16_VD_9.mp3</t>
  </si>
  <si>
    <t>动物</t>
  </si>
  <si>
    <t>&lt;ruby&gt;动物&lt;rt&gt;dòngwù&lt;/rt&gt;&lt;/ruby&gt;</t>
  </si>
  <si>
    <t>dòngwù</t>
  </si>
  <si>
    <t>Động vật</t>
  </si>
  <si>
    <r>
      <rPr>
        <sz val="11"/>
        <color theme="1"/>
        <rFont val="Calibri"/>
      </rPr>
      <t>自然界中有很多种</t>
    </r>
    <r>
      <rPr>
        <b/>
        <sz val="11"/>
        <color theme="1"/>
        <rFont val="Calibri"/>
      </rPr>
      <t>动物</t>
    </r>
    <r>
      <rPr>
        <sz val="11"/>
        <color theme="1"/>
        <rFont val="Calibri"/>
      </rPr>
      <t>。</t>
    </r>
  </si>
  <si>
    <t>Zìránjiè zhōng yǒu hěn duō zhǒng dòngwù.</t>
  </si>
  <si>
    <t>Có rất nhiều loài động vật trong tự nhiên.</t>
  </si>
  <si>
    <t>H3_B16_BG_10.gif</t>
  </si>
  <si>
    <t>H3_B16_10.mp3</t>
  </si>
  <si>
    <t>H3_B16_VD_10.mp3</t>
  </si>
  <si>
    <t>大熊猫</t>
  </si>
  <si>
    <t>&lt;ruby&gt;大熊猫&lt;rt&gt;dàxióngmāo&lt;/rt&gt;&lt;/ruby&gt;</t>
  </si>
  <si>
    <t>dà xióng māo</t>
  </si>
  <si>
    <t>Gấu trúc</t>
  </si>
  <si>
    <r>
      <rPr>
        <b/>
        <sz val="11"/>
        <color theme="1"/>
        <rFont val="Calibri"/>
      </rPr>
      <t>大熊猫</t>
    </r>
    <r>
      <rPr>
        <sz val="11"/>
        <color theme="1"/>
        <rFont val="Calibri"/>
      </rPr>
      <t>是中国的国宝。</t>
    </r>
  </si>
  <si>
    <t>Dàxióngmāo shì Zhōngguó de guóbǎo.</t>
  </si>
  <si>
    <t>Gấu trúc là quốc bảo của Trung Quốc.</t>
  </si>
  <si>
    <t>H3_B16_BG_11.gif</t>
  </si>
  <si>
    <t>H3_B16_11.mp3</t>
  </si>
  <si>
    <t>H3_B16_VD_11.mp3</t>
  </si>
  <si>
    <t>奇怪</t>
  </si>
  <si>
    <t>&lt;ruby&gt;奇怪&lt;rt&gt;qíguài&lt;/rt&gt;&lt;/ruby&gt;</t>
  </si>
  <si>
    <t>qíguài</t>
  </si>
  <si>
    <t>Kỳ lạ, lạ lùng</t>
  </si>
  <si>
    <r>
      <rPr>
        <sz val="11"/>
        <color theme="1"/>
        <rFont val="Calibri"/>
      </rPr>
      <t>他喜欢穿</t>
    </r>
    <r>
      <rPr>
        <b/>
        <sz val="11"/>
        <color theme="1"/>
        <rFont val="Calibri"/>
      </rPr>
      <t>奇怪</t>
    </r>
    <r>
      <rPr>
        <sz val="11"/>
        <color theme="1"/>
        <rFont val="Calibri"/>
      </rPr>
      <t>的衣服。</t>
    </r>
  </si>
  <si>
    <t>Tā xǐhuan chuān qíguài de yīfú.</t>
  </si>
  <si>
    <t>Anh ấy thích mặc quần áo kỳ lạ.</t>
  </si>
  <si>
    <t>H3_B16_BG_12.gif</t>
  </si>
  <si>
    <t>H3_B16_12.mp3</t>
  </si>
  <si>
    <t>H3_B16_VD_12.mp3</t>
  </si>
  <si>
    <t>其实</t>
  </si>
  <si>
    <t>&lt;ruby&gt;其实&lt;rt&gt;qíshí&lt;/rt&gt;&lt;/ruby&gt;</t>
  </si>
  <si>
    <t>qíshí</t>
  </si>
  <si>
    <t>Thực ra</t>
  </si>
  <si>
    <r>
      <rPr>
        <sz val="11"/>
        <color theme="1"/>
        <rFont val="Calibri"/>
      </rPr>
      <t>他看起来很忙，</t>
    </r>
    <r>
      <rPr>
        <b/>
        <sz val="11"/>
        <color theme="1"/>
        <rFont val="Calibri"/>
      </rPr>
      <t>其实</t>
    </r>
    <r>
      <rPr>
        <sz val="11"/>
        <color theme="1"/>
        <rFont val="Calibri"/>
      </rPr>
      <t>他在玩游戏。</t>
    </r>
  </si>
  <si>
    <t>Tā kàn qǐlái hěn máng, qíshí tā zài wán yóuxì.</t>
  </si>
  <si>
    <t>Anh ấy trông có vẻ bận, thực ra anh ấy đang chơi game.</t>
  </si>
  <si>
    <t>H3_B16_BG_13.gif</t>
  </si>
  <si>
    <t>H3_B16_13.mp3</t>
  </si>
  <si>
    <t>H3_B16_VD_13.mp3</t>
  </si>
  <si>
    <t>竹子</t>
  </si>
  <si>
    <t>&lt;ruby&gt;竹子&lt;rt&gt;zhúzi&lt;/rt&gt;&lt;/ruby&gt;</t>
  </si>
  <si>
    <t>zhúzi</t>
  </si>
  <si>
    <t>Cây trúc, cây tre</t>
  </si>
  <si>
    <r>
      <rPr>
        <sz val="11"/>
        <color theme="1"/>
        <rFont val="Calibri"/>
      </rPr>
      <t>大熊猫喜欢吃</t>
    </r>
    <r>
      <rPr>
        <b/>
        <sz val="11"/>
        <color theme="1"/>
        <rFont val="Calibri"/>
      </rPr>
      <t>竹子</t>
    </r>
    <r>
      <rPr>
        <sz val="11"/>
        <color theme="1"/>
        <rFont val="Calibri"/>
      </rPr>
      <t>。</t>
    </r>
  </si>
  <si>
    <t>Dàxióngmāo xǐhuān chī zhúzi.</t>
  </si>
  <si>
    <t>Gấu trúc thích ăn trúc.</t>
  </si>
  <si>
    <t>H3_B16_BG_14.gif</t>
  </si>
  <si>
    <t>H3_B16_14.mp3</t>
  </si>
  <si>
    <t>H3_B16_VD_14.mp3</t>
  </si>
  <si>
    <t>国宝</t>
  </si>
  <si>
    <t>&lt;ruby&gt;国宝&lt;rt&gt;guóbǎo&lt;/rt&gt;&lt;/ruby&gt;</t>
  </si>
  <si>
    <t>guó bǎo</t>
  </si>
  <si>
    <t>Bảo vật quốc gia</t>
  </si>
  <si>
    <r>
      <rPr>
        <sz val="11"/>
        <color theme="1"/>
        <rFont val="Calibri"/>
      </rPr>
      <t>熊猫是中国的</t>
    </r>
    <r>
      <rPr>
        <b/>
        <sz val="11"/>
        <color theme="1"/>
        <rFont val="Calibri"/>
      </rPr>
      <t>国宝</t>
    </r>
    <r>
      <rPr>
        <sz val="11"/>
        <color theme="1"/>
        <rFont val="Calibri"/>
      </rPr>
      <t>。</t>
    </r>
  </si>
  <si>
    <t>Xióngmāo shì Zhōngguó de guóbǎo.</t>
  </si>
  <si>
    <t>H3_B16_BG_15.gif</t>
  </si>
  <si>
    <t>H3_B16_15.mp3</t>
  </si>
  <si>
    <t>H3_B16_VD_15.mp3</t>
  </si>
  <si>
    <t>全</t>
  </si>
  <si>
    <t>&lt;ruby&gt;全&lt;rt&gt;quán&lt;/rt&gt;&lt;/ruby&gt;</t>
  </si>
  <si>
    <t>quán</t>
  </si>
  <si>
    <t>Toàn bộ</t>
  </si>
  <si>
    <r>
      <rPr>
        <sz val="11"/>
        <color theme="1"/>
        <rFont val="Calibri"/>
      </rPr>
      <t>我们</t>
    </r>
    <r>
      <rPr>
        <b/>
        <sz val="11"/>
        <color theme="1"/>
        <rFont val="Calibri"/>
      </rPr>
      <t>全</t>
    </r>
    <r>
      <rPr>
        <sz val="11"/>
        <color theme="1"/>
        <rFont val="Calibri"/>
      </rPr>
      <t>家都喜欢吃饺子。</t>
    </r>
  </si>
  <si>
    <t>Wǒmen quán jiā dōu xǐhuān chī jiǎozi.</t>
  </si>
  <si>
    <t>Cả nhà chúng tôi đều thích ăn sủi cảo.</t>
  </si>
  <si>
    <t>H3_B16_BG_16.gif</t>
  </si>
  <si>
    <t>H3_B16_16.mp3</t>
  </si>
  <si>
    <t>H3_B16_VD_16.mp3</t>
  </si>
  <si>
    <t>野生</t>
  </si>
  <si>
    <t>&lt;ruby&gt;野生&lt;rt&gt;yěshēng&lt;/rt&gt;&lt;/ruby&gt;</t>
  </si>
  <si>
    <t>yě shēng</t>
  </si>
  <si>
    <t>Hoang dã</t>
  </si>
  <si>
    <r>
      <rPr>
        <sz val="11"/>
        <color theme="1"/>
        <rFont val="Calibri"/>
      </rPr>
      <t>森林里有很多</t>
    </r>
    <r>
      <rPr>
        <b/>
        <sz val="11"/>
        <color theme="1"/>
        <rFont val="Calibri"/>
      </rPr>
      <t>野生</t>
    </r>
    <r>
      <rPr>
        <sz val="11"/>
        <color theme="1"/>
        <rFont val="Calibri"/>
      </rPr>
      <t>动物。</t>
    </r>
  </si>
  <si>
    <t>Sēnlín lǐ yǒu hěn duō yěshēng dòngwù.</t>
  </si>
  <si>
    <t>Trong rừng có rất nhiều động vật hoang dã.</t>
  </si>
  <si>
    <t>H3_B16_BG_17.gif</t>
  </si>
  <si>
    <t>H3_B16_17.mp3</t>
  </si>
  <si>
    <t>H3_B16_VD_17.mp3</t>
  </si>
  <si>
    <t>关于</t>
  </si>
  <si>
    <t>&lt;ruby&gt;关于&lt;rt&gt;guānyú&lt;/rt&gt;&lt;/ruby&gt;</t>
  </si>
  <si>
    <t>guānyú</t>
  </si>
  <si>
    <t>Về</t>
  </si>
  <si>
    <r>
      <rPr>
        <sz val="11"/>
        <color theme="1"/>
        <rFont val="Calibri"/>
      </rPr>
      <t>我和同事正在讨论</t>
    </r>
    <r>
      <rPr>
        <b/>
        <sz val="11"/>
        <color theme="1"/>
        <rFont val="Calibri"/>
      </rPr>
      <t>关于</t>
    </r>
    <r>
      <rPr>
        <sz val="11"/>
        <color theme="1"/>
        <rFont val="Calibri"/>
      </rPr>
      <t>新项目的事情。</t>
    </r>
  </si>
  <si>
    <t>Wǒ hé tóngshì zhèngzài tǎolùn guānyú xīn xiàngmù de shìqíng.</t>
  </si>
  <si>
    <t>tôi và đồng nghiệp đang trao đổi về dự án mới</t>
  </si>
  <si>
    <t>H3_B16_BG_18.gif</t>
  </si>
  <si>
    <t>H3_B16_18.mp3</t>
  </si>
  <si>
    <t>H3_B16_VD_18.mp3</t>
  </si>
  <si>
    <t>饱</t>
  </si>
  <si>
    <t>&lt;ruby&gt;饱&lt;rt&gt;bǎo&lt;/rt&gt;&lt;/ruby&gt;</t>
  </si>
  <si>
    <t>bǎo</t>
  </si>
  <si>
    <t>No</t>
  </si>
  <si>
    <r>
      <rPr>
        <sz val="11"/>
        <color theme="1"/>
        <rFont val="Calibri"/>
      </rPr>
      <t>大家都吃得很</t>
    </r>
    <r>
      <rPr>
        <b/>
        <sz val="11"/>
        <color theme="1"/>
        <rFont val="Calibri"/>
      </rPr>
      <t>饱</t>
    </r>
    <r>
      <rPr>
        <sz val="11"/>
        <color theme="1"/>
        <rFont val="Calibri"/>
      </rPr>
      <t>，非常满足。</t>
    </r>
  </si>
  <si>
    <t>Dàjiā dōu chī de hěn bǎo, fēicháng mǎnzú.</t>
  </si>
  <si>
    <t>Mọi người ăn uống no say, rất thỏa mãn.</t>
  </si>
  <si>
    <t>H3_B16_BG_19.gif</t>
  </si>
  <si>
    <t>H3_B16_19.mp3</t>
  </si>
  <si>
    <t>H3_B16_VD_19.mp3</t>
  </si>
  <si>
    <t>Há, mở (miệng)</t>
  </si>
  <si>
    <r>
      <rPr>
        <sz val="11"/>
        <color theme="1"/>
        <rFont val="Calibri"/>
      </rPr>
      <t>他惊讶地</t>
    </r>
    <r>
      <rPr>
        <b/>
        <sz val="11"/>
        <color theme="1"/>
        <rFont val="Calibri"/>
      </rPr>
      <t>张</t>
    </r>
    <r>
      <rPr>
        <sz val="11"/>
        <color theme="1"/>
        <rFont val="Calibri"/>
      </rPr>
      <t>大了嘴巴。</t>
    </r>
  </si>
  <si>
    <t>Tā jīng yà de zhāng dà le zuǐ bā.</t>
  </si>
  <si>
    <t>Anh ấy kinh ngạc há hốc miệng.</t>
  </si>
  <si>
    <t>H3_B16_BG_20.gif</t>
  </si>
  <si>
    <t>H3_B16_20.mp3</t>
  </si>
  <si>
    <t>H3_B16_VD_20.mp3</t>
  </si>
  <si>
    <t>嘴</t>
  </si>
  <si>
    <t>&lt;ruby&gt;嘴&lt;rt&gt;zuǐ&lt;/rt&gt;&lt;/ruby&gt;</t>
  </si>
  <si>
    <t>zuǐ</t>
  </si>
  <si>
    <t>Miệng</t>
  </si>
  <si>
    <r>
      <rPr>
        <sz val="11"/>
        <color theme="1"/>
        <rFont val="Calibri"/>
      </rPr>
      <t>他张开</t>
    </r>
    <r>
      <rPr>
        <b/>
        <sz val="11"/>
        <color theme="1"/>
        <rFont val="Calibri"/>
      </rPr>
      <t>嘴</t>
    </r>
    <r>
      <rPr>
        <sz val="11"/>
        <color theme="1"/>
        <rFont val="Calibri"/>
      </rPr>
      <t>大声说话。</t>
    </r>
  </si>
  <si>
    <t>Tā zhāngkāi zuǐ dàshēng shuōhuà.</t>
  </si>
  <si>
    <t>Anh ấy mở miệng nói rất to.</t>
  </si>
  <si>
    <t>H3_B16_BG_21.gif</t>
  </si>
  <si>
    <t>H3_B16_21.mp3</t>
  </si>
  <si>
    <t>H3_B16_VD_21.mp3</t>
  </si>
  <si>
    <t>身边</t>
  </si>
  <si>
    <t>&lt;ruby&gt;身边&lt;rt&gt;shēnbiān&lt;/rt&gt;&lt;/ruby&gt;</t>
  </si>
  <si>
    <t>shēnbiān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</si>
  <si>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身边</t>
    </r>
    <r>
      <rPr>
        <sz val="11"/>
        <color theme="1"/>
        <rFont val="Calibri"/>
      </rPr>
      <t>是我最好的朋友。</t>
    </r>
  </si>
  <si>
    <t>Wǒ shēnbiān shì wǒ zuìhăo de péngyǒu.</t>
  </si>
  <si>
    <t>Bên cạnh tôi là bạn thân nhất của tôi.</t>
  </si>
  <si>
    <t>H3_B16_BG_22.gif</t>
  </si>
  <si>
    <t>H3_B16_22.mp3</t>
  </si>
  <si>
    <t>H3_B16_VD_22.mp3</t>
  </si>
  <si>
    <t>半天</t>
  </si>
  <si>
    <t>&lt;ruby&gt;半天&lt;rt&gt;bàntiān&lt;/rt&gt;&lt;/ruby&gt;</t>
  </si>
  <si>
    <t>bàn tiān</t>
  </si>
  <si>
    <t>Chỉ một khoảng thời gian dài</t>
  </si>
  <si>
    <r>
      <rPr>
        <sz val="11"/>
        <color theme="1"/>
        <rFont val="Calibri"/>
      </rPr>
      <t>我等了你</t>
    </r>
    <r>
      <rPr>
        <b/>
        <sz val="11"/>
        <color theme="1"/>
        <rFont val="Calibri"/>
      </rPr>
      <t>半天</t>
    </r>
    <r>
      <rPr>
        <sz val="11"/>
        <color theme="1"/>
        <rFont val="Calibri"/>
      </rPr>
      <t>，你怎么才来？</t>
    </r>
  </si>
  <si>
    <t>Wǒ děng le nǐ bàntiān, nǐ zěnme cái lái?</t>
  </si>
  <si>
    <t>Tôi đợi cậu cả buổi, sao bây giờ mới tới?</t>
  </si>
  <si>
    <t>H3_B16_BG_23.gif</t>
  </si>
  <si>
    <t>H3_B16_23.mp3</t>
  </si>
  <si>
    <t>H3_B16_VD_23.mp3</t>
  </si>
  <si>
    <t>脸</t>
  </si>
  <si>
    <t>&lt;ruby&gt;脸&lt;rt&gt;liǎn&lt;/rt&gt;&lt;/ruby&gt;</t>
  </si>
  <si>
    <t>liǎn</t>
  </si>
  <si>
    <t>Mặt, khuôn mặt</t>
  </si>
  <si>
    <r>
      <rPr>
        <sz val="11"/>
        <color theme="1"/>
        <rFont val="Calibri"/>
      </rPr>
      <t>大象的</t>
    </r>
    <r>
      <rPr>
        <b/>
        <sz val="11"/>
        <color theme="1"/>
        <rFont val="Calibri"/>
      </rPr>
      <t>脸</t>
    </r>
    <r>
      <rPr>
        <sz val="11"/>
        <color theme="1"/>
        <rFont val="Calibri"/>
      </rPr>
      <t>上戴着一张红色的面具。</t>
    </r>
  </si>
  <si>
    <t>Dàxiàng de liǎn shàng dàizhe yī zhāng hóngsè de miànjù.</t>
  </si>
  <si>
    <t>Trên mặt của con voi có đeo một cái mặt nạ màu đỏ.</t>
  </si>
  <si>
    <t>H3_B16_BG_24.gif</t>
  </si>
  <si>
    <t>H3_B16_24.mp3</t>
  </si>
  <si>
    <t>H3_B16_VD_24.mp3</t>
  </si>
  <si>
    <t>大人</t>
  </si>
  <si>
    <t>&lt;ruby&gt;大人&lt;rt&gt;dàren&lt;/rt&gt;&lt;/ruby&gt;</t>
  </si>
  <si>
    <t>dà rén</t>
  </si>
  <si>
    <t xml:space="preserve">Người lớn </t>
  </si>
  <si>
    <r>
      <rPr>
        <sz val="11"/>
        <color theme="1"/>
        <rFont val="Calibri"/>
      </rPr>
      <t>小孩子要听</t>
    </r>
    <r>
      <rPr>
        <b/>
        <sz val="11"/>
        <color theme="1"/>
        <rFont val="Calibri"/>
      </rPr>
      <t>大人</t>
    </r>
    <r>
      <rPr>
        <sz val="11"/>
        <color theme="1"/>
        <rFont val="Calibri"/>
      </rPr>
      <t>的话。</t>
    </r>
  </si>
  <si>
    <t>Xiǎo háizi yào tīng dàrén dehuà.</t>
  </si>
  <si>
    <t>Trẻ con phải nghe lời người lớn.</t>
  </si>
  <si>
    <t>H3_B16_BG_25.gif</t>
  </si>
  <si>
    <t>H3_B16_25.mp3</t>
  </si>
  <si>
    <t>H3_B16_VD_25.mp3</t>
  </si>
  <si>
    <t>喜爱</t>
  </si>
  <si>
    <t>&lt;ruby&gt;喜爱&lt;rt&gt;xǐ'ài&lt;/rt&gt;&lt;/ruby&gt;</t>
  </si>
  <si>
    <t>xǐ ài</t>
  </si>
  <si>
    <r>
      <rPr>
        <sz val="11"/>
        <color theme="1"/>
        <rFont val="Calibri"/>
      </rPr>
      <t>我非常</t>
    </r>
    <r>
      <rPr>
        <b/>
        <sz val="11"/>
        <color theme="1"/>
        <rFont val="Calibri"/>
      </rPr>
      <t>喜爱</t>
    </r>
    <r>
      <rPr>
        <sz val="11"/>
        <color theme="1"/>
        <rFont val="Calibri"/>
      </rPr>
      <t>小动物。</t>
    </r>
  </si>
  <si>
    <t>Wǒ fēicháng xǐài xiǎo dòngwù.</t>
  </si>
  <si>
    <t>Tôi rất yêu thích động vật nhỏ.</t>
  </si>
  <si>
    <t>H3_B16_BG_26.gif</t>
  </si>
  <si>
    <t>H3_B16_26.mp3</t>
  </si>
  <si>
    <t>H3_B16_VD_26.mp3</t>
  </si>
  <si>
    <t>向</t>
  </si>
  <si>
    <t>&lt;ruby&gt;向&lt;rt&gt;xiàng&lt;/rt&gt;&lt;/ruby&gt;</t>
  </si>
  <si>
    <t>Đối với, về phía (chỉ hướng của hành động)</t>
  </si>
  <si>
    <r>
      <rPr>
        <sz val="11"/>
        <color theme="1"/>
        <rFont val="Calibri"/>
      </rPr>
      <t>他们</t>
    </r>
    <r>
      <rPr>
        <b/>
        <sz val="11"/>
        <color theme="1"/>
        <rFont val="Calibri"/>
      </rPr>
      <t>向</t>
    </r>
    <r>
      <rPr>
        <sz val="11"/>
        <color theme="1"/>
        <rFont val="Calibri"/>
      </rPr>
      <t>前走。</t>
    </r>
  </si>
  <si>
    <t>Tāmen xiàng qián zǒu.</t>
  </si>
  <si>
    <t>Họ tiến về phía trước.</t>
  </si>
  <si>
    <t>H3_B17_BG_1.gif</t>
  </si>
  <si>
    <t>H3_B17_1.mp3</t>
  </si>
  <si>
    <t>H3_B17_VD_1.mp3</t>
  </si>
  <si>
    <t>楼梯</t>
  </si>
  <si>
    <t>&lt;ruby&gt;楼梯&lt;rt&gt;lóutī&lt;/rt&gt;&lt;/ruby&gt;</t>
  </si>
  <si>
    <t>lóu tī</t>
  </si>
  <si>
    <t>Cầu thang</t>
  </si>
  <si>
    <r>
      <rPr>
        <sz val="11"/>
        <color theme="1"/>
        <rFont val="Calibri"/>
      </rPr>
      <t>我们走</t>
    </r>
    <r>
      <rPr>
        <b/>
        <sz val="11"/>
        <color theme="1"/>
        <rFont val="Calibri"/>
      </rPr>
      <t>楼梯</t>
    </r>
    <r>
      <rPr>
        <sz val="11"/>
        <color theme="1"/>
        <rFont val="Calibri"/>
      </rPr>
      <t>上去吧。</t>
    </r>
  </si>
  <si>
    <t>Wǒmen zǒu lóutī shàngqù ba.</t>
  </si>
  <si>
    <t>Chúng ta đi cầu thang bộ lên đi.</t>
  </si>
  <si>
    <t>H3_B17_BG_2.gif</t>
  </si>
  <si>
    <t>H3_B17_2.mp3</t>
  </si>
  <si>
    <t>H3_B17_VD_2.mp3</t>
  </si>
  <si>
    <t>69eb3a4e073744188a66fe78</t>
  </si>
  <si>
    <t>害怕</t>
  </si>
  <si>
    <t>&lt;ruby&gt;害怕&lt;rt&gt;hàipà&lt;/rt&gt;&lt;/ruby&gt;</t>
  </si>
  <si>
    <t>hài pà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</si>
  <si>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害怕</t>
    </r>
    <r>
      <rPr>
        <sz val="11"/>
        <color theme="1"/>
        <rFont val="Calibri"/>
      </rPr>
      <t>一个人在家。</t>
    </r>
  </si>
  <si>
    <t>Wǒ hàipà yī gèrén zài jiā.</t>
  </si>
  <si>
    <t>Tôi sợ ở nhà một mình.</t>
  </si>
  <si>
    <t>H3_B17_BG_3.gif</t>
  </si>
  <si>
    <t>H3_B17_3.mp3</t>
  </si>
  <si>
    <t>H3_B17_VD_3.mp3</t>
  </si>
  <si>
    <t>生气</t>
  </si>
  <si>
    <t>&lt;ruby&gt;生气&lt;rt&gt;shēng qì&lt;/rt&gt;&lt;/ruby&gt;</t>
  </si>
  <si>
    <t>shēng qì</t>
  </si>
  <si>
    <t>Giận, tức giận</t>
  </si>
  <si>
    <r>
      <rPr>
        <sz val="11"/>
        <color theme="1"/>
        <rFont val="Calibri"/>
      </rPr>
      <t>她的语气中带着一些</t>
    </r>
    <r>
      <rPr>
        <b/>
        <sz val="11"/>
        <color theme="1"/>
        <rFont val="Calibri"/>
      </rPr>
      <t>生气</t>
    </r>
    <r>
      <rPr>
        <sz val="11"/>
        <color theme="1"/>
        <rFont val="Calibri"/>
      </rPr>
      <t>。</t>
    </r>
  </si>
  <si>
    <t>Tā de yǔqì zhōng dàizhe yīxiē shēngqì.</t>
  </si>
  <si>
    <t>Giọng điệu của cô ấy có chút tức giận.</t>
  </si>
  <si>
    <t>H3_B17_BG_4.gif</t>
  </si>
  <si>
    <t>H3_B17_4.mp3</t>
  </si>
  <si>
    <t>H3_B17_VD_4.mp3</t>
  </si>
  <si>
    <t>常见</t>
  </si>
  <si>
    <t>&lt;ruby&gt;常见&lt;rt&gt;cháng jiàn&lt;/rt&gt;&lt;/ruby&gt;</t>
  </si>
  <si>
    <t>cháng jiàn</t>
  </si>
  <si>
    <t>Thường thấy</t>
  </si>
  <si>
    <r>
      <rPr>
        <sz val="11"/>
        <color theme="1"/>
        <rFont val="Calibri"/>
      </rPr>
      <t>这种错误很</t>
    </r>
    <r>
      <rPr>
        <b/>
        <sz val="11"/>
        <color theme="1"/>
        <rFont val="Calibri"/>
      </rPr>
      <t>常见</t>
    </r>
    <r>
      <rPr>
        <sz val="11"/>
        <color theme="1"/>
        <rFont val="Calibri"/>
      </rPr>
      <t>。</t>
    </r>
  </si>
  <si>
    <t>Zhè zhòng cuòwù hěn chángjiàn.</t>
  </si>
  <si>
    <t>Loại lỗi sai này rất thường thấy.</t>
  </si>
  <si>
    <t>H3_B17_BG_5.gif</t>
  </si>
  <si>
    <t>H3_B17_5.mp3</t>
  </si>
  <si>
    <t>H3_B17_VD_5.mp3</t>
  </si>
  <si>
    <t>聪明</t>
  </si>
  <si>
    <t>&lt;ruby&gt;聪明&lt;rt&gt;cōngmíng&lt;/rt&gt;&lt;/ruby&gt;</t>
  </si>
  <si>
    <t>cōng míng</t>
  </si>
  <si>
    <t>Thông minh</t>
  </si>
  <si>
    <r>
      <rPr>
        <sz val="11"/>
        <color theme="1"/>
        <rFont val="Calibri"/>
      </rPr>
      <t>这个孩子很</t>
    </r>
    <r>
      <rPr>
        <b/>
        <sz val="11"/>
        <color theme="1"/>
        <rFont val="Calibri"/>
      </rPr>
      <t>聪明</t>
    </r>
    <r>
      <rPr>
        <sz val="11"/>
        <color theme="1"/>
        <rFont val="Calibri"/>
      </rPr>
      <t>。</t>
    </r>
  </si>
  <si>
    <t>Zhège háizi hěn cōngmíng.</t>
  </si>
  <si>
    <t>Đứa trẻ này rất thông minh.</t>
  </si>
  <si>
    <t>H3_B17_BG_6.gif</t>
  </si>
  <si>
    <t>H3_B17_6.mp3</t>
  </si>
  <si>
    <t>H3_B17_VD_6.mp3</t>
  </si>
  <si>
    <r>
      <rPr>
        <sz val="11"/>
        <color theme="1"/>
        <rFont val="Calibri"/>
      </rPr>
      <t>这道题做</t>
    </r>
    <r>
      <rPr>
        <b/>
        <sz val="11"/>
        <color theme="1"/>
        <rFont val="Calibri"/>
      </rPr>
      <t>错</t>
    </r>
    <r>
      <rPr>
        <sz val="11"/>
        <color theme="1"/>
        <rFont val="Calibri"/>
      </rPr>
      <t>了。</t>
    </r>
  </si>
  <si>
    <t>H3_B17_BG_7.gif</t>
  </si>
  <si>
    <t>H3_B17_7.mp3</t>
  </si>
  <si>
    <t>H3_B17_VD_7.mp3</t>
  </si>
  <si>
    <t>认为</t>
  </si>
  <si>
    <t>&lt;ruby&gt;认为&lt;rt&gt;rènwéi&lt;/rt&gt;&lt;/ruby&gt;</t>
  </si>
  <si>
    <t>rènwéi</t>
  </si>
  <si>
    <t>Cho rằng</t>
  </si>
  <si>
    <r>
      <rPr>
        <sz val="11"/>
        <color theme="1"/>
        <rFont val="Calibri"/>
      </rPr>
      <t>人们</t>
    </r>
    <r>
      <rPr>
        <b/>
        <sz val="11"/>
        <color theme="1"/>
        <rFont val="Calibri"/>
      </rPr>
      <t>认为</t>
    </r>
    <r>
      <rPr>
        <sz val="11"/>
        <color theme="1"/>
        <rFont val="Calibri"/>
      </rPr>
      <t>新年买盐会带来好运。</t>
    </r>
  </si>
  <si>
    <t>Rénmen rènwéi xīnnián mǎi yán huì dàilái hǎo yùn.</t>
  </si>
  <si>
    <t>Người ta cho rằng, mua muối đầu năm có thể sẽ gặp may mắn.</t>
  </si>
  <si>
    <t>H3_B17_BG_8.gif</t>
  </si>
  <si>
    <t>H3_B17_8.mp3</t>
  </si>
  <si>
    <t>H3_B17_VD_8.mp3</t>
  </si>
  <si>
    <t>到处</t>
  </si>
  <si>
    <t>&lt;ruby&gt;到处&lt;rt&gt;Dàochù&lt;/rt&gt;&lt;/ruby&gt;</t>
  </si>
  <si>
    <t>Dàochù</t>
  </si>
  <si>
    <t>Khắp nơi, đâu đâu</t>
  </si>
  <si>
    <r>
      <rPr>
        <b/>
        <sz val="11"/>
        <color theme="1"/>
        <rFont val="Calibri"/>
      </rPr>
      <t>到处</t>
    </r>
    <r>
      <rPr>
        <sz val="11"/>
        <color theme="1"/>
        <rFont val="Calibri"/>
      </rPr>
      <t>都是车。</t>
    </r>
  </si>
  <si>
    <t>Dàochù dōu shì chē.</t>
  </si>
  <si>
    <t>Khắp nơi đều là xe.</t>
  </si>
  <si>
    <t>H3_B17_BG_9.gif</t>
  </si>
  <si>
    <t>H3_B17_9.mp3</t>
  </si>
  <si>
    <t>H3_B17_VD_9.mp3</t>
  </si>
  <si>
    <t>继续</t>
  </si>
  <si>
    <t>&lt;ruby&gt;继续&lt;rt&gt;jìxù&lt;/rt&gt;&lt;/ruby&gt;</t>
  </si>
  <si>
    <t>jìxù</t>
  </si>
  <si>
    <t>Tiếp tục</t>
  </si>
  <si>
    <r>
      <rPr>
        <sz val="11"/>
        <color theme="1"/>
        <rFont val="Calibri"/>
      </rPr>
      <t>尽管我已经吃药了，但咳嗽还是</t>
    </r>
    <r>
      <rPr>
        <b/>
        <sz val="11"/>
        <color theme="1"/>
        <rFont val="Calibri"/>
      </rPr>
      <t>继续</t>
    </r>
    <r>
      <rPr>
        <sz val="11"/>
        <color theme="1"/>
        <rFont val="Calibri"/>
      </rPr>
      <t>。</t>
    </r>
  </si>
  <si>
    <t>Jǐnguǎn wǒ yǐjīng chī yào le, dàn késou háishì jìxù.</t>
  </si>
  <si>
    <t>cơn ho của tôi vẫn tiếp tục dù đã uống thuốc.</t>
  </si>
  <si>
    <t>H3_B17_BG_10.gif</t>
  </si>
  <si>
    <t>同意</t>
  </si>
  <si>
    <t>&lt;ruby&gt;同意&lt;rt&gt;tóngyì&lt;/rt&gt;&lt;/ruby&gt;</t>
  </si>
  <si>
    <t>tóngyì</t>
  </si>
  <si>
    <t>Đồng ý, tán thành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</si>
  <si>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同意</t>
    </r>
    <r>
      <rPr>
        <sz val="11"/>
        <color theme="1"/>
        <rFont val="Calibri"/>
      </rPr>
      <t>我的意见。</t>
    </r>
  </si>
  <si>
    <t>Tā tóngyì wǒ de yìjiàn.</t>
  </si>
  <si>
    <t>Anh ấy đồng ý với ý kiến của tôi.</t>
  </si>
  <si>
    <t>H3_B17_BG_11.gif</t>
  </si>
  <si>
    <t>H3_B17_11.mp3</t>
  </si>
  <si>
    <t>H3_B17_VD_11.mp3</t>
  </si>
  <si>
    <t>可</t>
  </si>
  <si>
    <t>&lt;ruby&gt;可&lt;rt&gt;kě&lt;/rt&gt;&lt;/ruby&gt;</t>
  </si>
  <si>
    <r>
      <rPr>
        <sz val="11"/>
        <color theme="1"/>
        <rFont val="Calibri"/>
      </rPr>
      <t>这件衣服好是好，</t>
    </r>
    <r>
      <rPr>
        <b/>
        <sz val="11"/>
        <color theme="1"/>
        <rFont val="Calibri"/>
      </rPr>
      <t>可</t>
    </r>
    <r>
      <rPr>
        <sz val="11"/>
        <color theme="1"/>
        <rFont val="Calibri"/>
      </rPr>
      <t>太贵了。</t>
    </r>
  </si>
  <si>
    <t>Zhè jiàn yīfú hǎo shì hǎo, kě tài guì le.</t>
  </si>
  <si>
    <t>Cái áo này đẹp thì đẹp thật, nhưng đắt quá.</t>
  </si>
  <si>
    <t>H3_B17_BG_12.gif</t>
  </si>
  <si>
    <t>H3_B17_12.mp3</t>
  </si>
  <si>
    <t>H3_B17_VD_12.mp3</t>
  </si>
  <si>
    <t>屋子</t>
  </si>
  <si>
    <t>&lt;ruby&gt;屋子&lt;rt&gt;wūzi&lt;/rt&gt;&lt;/ruby&gt;</t>
  </si>
  <si>
    <t>wū zi</t>
  </si>
  <si>
    <t>Căn phòng</t>
  </si>
  <si>
    <r>
      <rPr>
        <sz val="11"/>
        <color theme="1"/>
        <rFont val="Calibri"/>
      </rPr>
      <t>这间</t>
    </r>
    <r>
      <rPr>
        <b/>
        <sz val="11"/>
        <color theme="1"/>
        <rFont val="Calibri"/>
      </rPr>
      <t>屋子</t>
    </r>
    <r>
      <rPr>
        <sz val="11"/>
        <color theme="1"/>
        <rFont val="Calibri"/>
      </rPr>
      <t>很干净。</t>
    </r>
  </si>
  <si>
    <t>Zhè jiàn wūzi hěn gānjìng.</t>
  </si>
  <si>
    <t>Căn phòng này rất sạch sẽ.</t>
  </si>
  <si>
    <t>H3_B17_BG_13.gif</t>
  </si>
  <si>
    <t>H3_B17_13.mp3</t>
  </si>
  <si>
    <t>H3_B17_VD_13.mp3</t>
  </si>
  <si>
    <t>有关</t>
  </si>
  <si>
    <t>&lt;ruby&gt;有关&lt;rt&gt;yŏuguān&lt;/rt&gt;&lt;/ruby&gt;</t>
  </si>
  <si>
    <t>yŏuguān</t>
  </si>
  <si>
    <t>Có liên quan</t>
  </si>
  <si>
    <r>
      <rPr>
        <sz val="11"/>
        <color theme="1"/>
        <rFont val="Calibri"/>
      </rPr>
      <t>这本书的内容和历史</t>
    </r>
    <r>
      <rPr>
        <b/>
        <sz val="11"/>
        <color theme="1"/>
        <rFont val="Calibri"/>
      </rPr>
      <t>有关</t>
    </r>
    <r>
      <rPr>
        <sz val="11"/>
        <color theme="1"/>
        <rFont val="Calibri"/>
      </rPr>
      <t>。</t>
    </r>
  </si>
  <si>
    <t>Zhè běn shū de nèiróng hé lìshǐ yŏuguān.</t>
  </si>
  <si>
    <t>Nội dung của cuốn sách này có liên quan đến lịch sử.</t>
  </si>
  <si>
    <t>H3_B17_BG_14.gif</t>
  </si>
  <si>
    <t>H3_B17_14.mp3</t>
  </si>
  <si>
    <t>H3_B17_VD_14.mp3</t>
  </si>
  <si>
    <t>关机</t>
  </si>
  <si>
    <t>&lt;ruby&gt;关机&lt;rt&gt;guānjī&lt;/rt&gt;&lt;/ruby&gt;</t>
  </si>
  <si>
    <t>guān jī</t>
  </si>
  <si>
    <t>Tắt (điện thoại)</t>
  </si>
  <si>
    <r>
      <rPr>
        <sz val="11"/>
        <color theme="1"/>
        <rFont val="Calibri"/>
      </rPr>
      <t>睡觉前请</t>
    </r>
    <r>
      <rPr>
        <b/>
        <sz val="11"/>
        <color theme="1"/>
        <rFont val="Calibri"/>
      </rPr>
      <t>关机</t>
    </r>
    <r>
      <rPr>
        <sz val="11"/>
        <color theme="1"/>
        <rFont val="Calibri"/>
      </rPr>
      <t>。</t>
    </r>
  </si>
  <si>
    <t>Shuìjiào qián qǐng guānjī.</t>
  </si>
  <si>
    <t>Vui lòng tắt máy trước khi đi ngủ.</t>
  </si>
  <si>
    <t>H3_B17_BG_15.gif</t>
  </si>
  <si>
    <t>H3_B17_15.mp3</t>
  </si>
  <si>
    <t>H3_B17_VD_15.mp3</t>
  </si>
  <si>
    <t>前天</t>
  </si>
  <si>
    <t>&lt;ruby&gt;前天&lt;rt&gt;qiántiān&lt;/rt&gt;&lt;/ruby&gt;</t>
  </si>
  <si>
    <t>qián tiān</t>
  </si>
  <si>
    <t>Hôm kia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</si>
  <si>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前天</t>
    </r>
    <r>
      <rPr>
        <sz val="11"/>
        <color theme="1"/>
        <rFont val="Calibri"/>
      </rPr>
      <t>去看电影了。</t>
    </r>
  </si>
  <si>
    <t>Wǒ qiántiān qù kàn diànyǐng le.</t>
  </si>
  <si>
    <t>Tôi đã đi xem phim vào hôm kia.</t>
  </si>
  <si>
    <t>H3_B17_BG_16.gif</t>
  </si>
  <si>
    <t>H3_B17_16.mp3</t>
  </si>
  <si>
    <t>H3_B17_VD_16.mp3</t>
  </si>
  <si>
    <t>留学</t>
  </si>
  <si>
    <t>&lt;ruby&gt;留学&lt;rt&gt;liú xué&lt;/rt&gt;&lt;/ruby&gt;</t>
  </si>
  <si>
    <t>liú xué</t>
  </si>
  <si>
    <t>Du học</t>
  </si>
  <si>
    <r>
      <rPr>
        <sz val="11"/>
        <color theme="1"/>
        <rFont val="Calibri"/>
      </rPr>
      <t>我快要去美国</t>
    </r>
    <r>
      <rPr>
        <b/>
        <sz val="11"/>
        <color theme="1"/>
        <rFont val="Calibri"/>
      </rPr>
      <t>留学</t>
    </r>
    <r>
      <rPr>
        <sz val="11"/>
        <color theme="1"/>
        <rFont val="Calibri"/>
      </rPr>
      <t>了。</t>
    </r>
  </si>
  <si>
    <t>Wǒ kuàiyào qù Měiguó liúxué le.</t>
  </si>
  <si>
    <t>Tôi sắp đi du học ở Mỹ.</t>
  </si>
  <si>
    <t>H3_B17_BG_17.gif</t>
  </si>
  <si>
    <t>H3_B17_17.mp3</t>
  </si>
  <si>
    <t>H3_B17_VD_17.mp3</t>
  </si>
  <si>
    <t>国家</t>
  </si>
  <si>
    <t>&lt;ruby&gt;国家&lt;rt&gt;guójiā&lt;/rt&gt;&lt;/ruby&gt;</t>
  </si>
  <si>
    <t>guójiā</t>
  </si>
  <si>
    <t>Đất nước, quốc gia</t>
  </si>
  <si>
    <r>
      <rPr>
        <sz val="11"/>
        <color theme="1"/>
        <rFont val="Calibri"/>
      </rPr>
      <t>中国是一个幅员辽阔的</t>
    </r>
    <r>
      <rPr>
        <b/>
        <sz val="11"/>
        <color theme="1"/>
        <rFont val="Calibri"/>
      </rPr>
      <t>国家</t>
    </r>
    <r>
      <rPr>
        <sz val="11"/>
        <color theme="1"/>
        <rFont val="Calibri"/>
      </rPr>
      <t>。</t>
    </r>
  </si>
  <si>
    <t>Zhōngguó shì yī gè fúyuán liáokuò de guójiā.</t>
  </si>
  <si>
    <t>Trung Quốc là một quốc gia rộng lớn</t>
  </si>
  <si>
    <t>H3_B17_BG_18.gif</t>
  </si>
  <si>
    <t>H3_B17_18.mp3</t>
  </si>
  <si>
    <t>H3_B17_VD_18.mp3</t>
  </si>
  <si>
    <t>比如</t>
  </si>
  <si>
    <t>&lt;ruby&gt;比如&lt;rt&gt;bǐrú&lt;/rt&gt;&lt;/ruby&gt;</t>
  </si>
  <si>
    <t>bǐrú</t>
  </si>
  <si>
    <t>Ví dụ, chẳng hạn</t>
  </si>
  <si>
    <r>
      <rPr>
        <sz val="11"/>
        <color theme="1"/>
        <rFont val="Calibri"/>
      </rPr>
      <t>我喜欢吃水果，</t>
    </r>
    <r>
      <rPr>
        <b/>
        <sz val="11"/>
        <color theme="1"/>
        <rFont val="Calibri"/>
      </rPr>
      <t>比如</t>
    </r>
    <r>
      <rPr>
        <sz val="11"/>
        <color theme="1"/>
        <rFont val="Calibri"/>
      </rPr>
      <t>苹果和葡萄。</t>
    </r>
  </si>
  <si>
    <t>Wǒ xǐhuān chī shuǐguǒ, bǐrú píngguǒ hé pútao.</t>
  </si>
  <si>
    <t>Tôi thích ăn trái cây, chẳng hạn như táo và nho.</t>
  </si>
  <si>
    <t>H3_B17_BG_19.gif</t>
  </si>
  <si>
    <t>H3_B17_19.mp3</t>
  </si>
  <si>
    <t>H3_B17_VD_19.mp3</t>
  </si>
  <si>
    <t>查</t>
  </si>
  <si>
    <t>&lt;ruby&gt;查&lt;rt&gt;chá&lt;/rt&gt;&lt;/ruby&gt;</t>
  </si>
  <si>
    <t>Kiểm tra</t>
  </si>
  <si>
    <r>
      <rPr>
        <sz val="11"/>
        <color theme="1"/>
        <rFont val="Calibri"/>
      </rPr>
      <t>老师在</t>
    </r>
    <r>
      <rPr>
        <b/>
        <sz val="11"/>
        <color theme="1"/>
        <rFont val="Calibri"/>
      </rPr>
      <t>查</t>
    </r>
    <r>
      <rPr>
        <sz val="11"/>
        <color theme="1"/>
        <rFont val="Calibri"/>
      </rPr>
      <t>学生的作业。</t>
    </r>
  </si>
  <si>
    <t>Lǎoshī zài chá xuésheng de zuòyè.</t>
  </si>
  <si>
    <t>Giáo viên đang kiểm tra bài tập của học sinh.</t>
  </si>
  <si>
    <t>H3_B17_BG_20.gif</t>
  </si>
  <si>
    <t>H3_B17_20.mp3</t>
  </si>
  <si>
    <t>H3_B17_VD_20.mp3</t>
  </si>
  <si>
    <t>有用</t>
  </si>
  <si>
    <t>&lt;ruby&gt;有用&lt;rt&gt;yǒuyòng&lt;/rt&gt;&lt;/ruby&gt;</t>
  </si>
  <si>
    <t>yǒu yòng</t>
  </si>
  <si>
    <t>Hữu dụng</t>
  </si>
  <si>
    <r>
      <rPr>
        <sz val="11"/>
        <color theme="1"/>
        <rFont val="Calibri"/>
      </rPr>
      <t>这本书很</t>
    </r>
    <r>
      <rPr>
        <b/>
        <sz val="11"/>
        <color theme="1"/>
        <rFont val="Calibri"/>
      </rPr>
      <t>有用</t>
    </r>
    <r>
      <rPr>
        <sz val="11"/>
        <color theme="1"/>
        <rFont val="Calibri"/>
      </rPr>
      <t>。</t>
    </r>
  </si>
  <si>
    <t>Zhè běn shū hěn yǒuyòng.</t>
  </si>
  <si>
    <t>Quyển sách này rất hữu dụng.</t>
  </si>
  <si>
    <t>H3_B17_BG_21.gif</t>
  </si>
  <si>
    <t>H3_B17_21.mp3</t>
  </si>
  <si>
    <t>H3_B17_VD_21.mp3</t>
  </si>
  <si>
    <t>容易</t>
  </si>
  <si>
    <t>&lt;ruby&gt;容易&lt;rt&gt;róngyì&lt;/rt&gt;&lt;/ruby&gt;</t>
  </si>
  <si>
    <t>róngyì</t>
  </si>
  <si>
    <t>Dễ, dễ dàng</t>
  </si>
  <si>
    <r>
      <rPr>
        <sz val="11"/>
        <color theme="1"/>
        <rFont val="Calibri"/>
      </rPr>
      <t>学汉语并不</t>
    </r>
    <r>
      <rPr>
        <b/>
        <sz val="11"/>
        <color theme="1"/>
        <rFont val="Calibri"/>
      </rPr>
      <t>容易</t>
    </r>
    <r>
      <rPr>
        <sz val="11"/>
        <color theme="1"/>
        <rFont val="Calibri"/>
      </rPr>
      <t>。</t>
    </r>
  </si>
  <si>
    <t>Xué hànyǔ bìng bù róngyì.</t>
  </si>
  <si>
    <t>Học tiếng Trung không hề dễ dàng.</t>
  </si>
  <si>
    <t>H3_B17_BG_22.gif</t>
  </si>
  <si>
    <t>H3_B17_22.mp3</t>
  </si>
  <si>
    <t>H3_B17_VD_22.mp3</t>
  </si>
  <si>
    <t>回答</t>
  </si>
  <si>
    <t>&lt;ruby&gt;回答&lt;rt&gt;huídá&lt;/rt&gt;&lt;/ruby&gt;</t>
  </si>
  <si>
    <t>huídá</t>
  </si>
  <si>
    <t>Trả lời</t>
  </si>
  <si>
    <r>
      <rPr>
        <sz val="11"/>
        <color theme="1"/>
        <rFont val="Calibri"/>
      </rPr>
      <t>你快</t>
    </r>
    <r>
      <rPr>
        <b/>
        <sz val="11"/>
        <color theme="1"/>
        <rFont val="Calibri"/>
      </rPr>
      <t>回答</t>
    </r>
    <r>
      <rPr>
        <sz val="11"/>
        <color theme="1"/>
        <rFont val="Calibri"/>
      </rPr>
      <t>我的问题吧。</t>
    </r>
  </si>
  <si>
    <t>Nǐ kuài huídá wǒ de wèntí ba.</t>
  </si>
  <si>
    <t>Bạn trả lời câu hỏi của tôi nhanh lên.</t>
  </si>
  <si>
    <t>H3_B17_BG_23.gif</t>
  </si>
  <si>
    <t>H3_B17_23.mp3</t>
  </si>
  <si>
    <t>H3_B17_VD_23.mp3</t>
  </si>
  <si>
    <t>方向</t>
  </si>
  <si>
    <t>&lt;ruby&gt;方向&lt;rt&gt;fängxiàng&lt;/rt&gt;&lt;/ruby&gt;</t>
  </si>
  <si>
    <t>fängxiàng</t>
  </si>
  <si>
    <t>Phương hướng, sự định hướng</t>
  </si>
  <si>
    <r>
      <rPr>
        <sz val="11"/>
        <color theme="1"/>
        <rFont val="Calibri"/>
      </rPr>
      <t>我迷路了，不知道</t>
    </r>
    <r>
      <rPr>
        <b/>
        <sz val="11"/>
        <color theme="1"/>
        <rFont val="Calibri"/>
      </rPr>
      <t>方向</t>
    </r>
    <r>
      <rPr>
        <sz val="11"/>
        <color theme="1"/>
        <rFont val="Calibri"/>
      </rPr>
      <t>在哪里。</t>
    </r>
  </si>
  <si>
    <t>Wǒ mílù le, bù zhīdào fängxiàng zài nǎlǐ.</t>
  </si>
  <si>
    <t>Tôi bị lạc, không biết phương hướng ở đâu.</t>
  </si>
  <si>
    <t>H3_B17_BG_24.gif</t>
  </si>
  <si>
    <t>H3_B17_24.mp3</t>
  </si>
  <si>
    <t>H3_B17_VD_24.mp3</t>
  </si>
  <si>
    <t>只有</t>
  </si>
  <si>
    <t>&lt;ruby&gt;只有&lt;rt&gt;zhǐyǒu&lt;/rt&gt;&lt;/ruby&gt;</t>
  </si>
  <si>
    <t>zhǐyǒu</t>
  </si>
  <si>
    <t xml:space="preserve">Chỉ có  </t>
  </si>
  <si>
    <r>
      <rPr>
        <b/>
        <sz val="11"/>
        <color theme="1"/>
        <rFont val="Calibri"/>
      </rPr>
      <t>只有</t>
    </r>
    <r>
      <rPr>
        <sz val="11"/>
        <color theme="1"/>
        <rFont val="Calibri"/>
      </rPr>
      <t>努力学习，才能取得好成绩。</t>
    </r>
  </si>
  <si>
    <t>Zhǐyǒu nǔlì xuéxí, cái néng qǔ de hǎo chéngjì.</t>
  </si>
  <si>
    <t>Chỉ có nỗ lực học tập, mới có thể đạt được thành tích tốt.</t>
  </si>
  <si>
    <t>H3_B17_BG_25.gif</t>
  </si>
  <si>
    <t>H3_B17_25.mp3</t>
  </si>
  <si>
    <t>H3_B17_VD_25.mp3</t>
  </si>
  <si>
    <t>真正</t>
  </si>
  <si>
    <t>&lt;ruby&gt;真正&lt;rt&gt;zhēnzhèng&lt;/rt&gt;&lt;/ruby&gt;</t>
  </si>
  <si>
    <t>zhēnzhèng</t>
  </si>
  <si>
    <t>Thật sự</t>
  </si>
  <si>
    <r>
      <rPr>
        <sz val="11"/>
        <color theme="1"/>
        <rFont val="Calibri"/>
      </rPr>
      <t>也许他</t>
    </r>
    <r>
      <rPr>
        <b/>
        <sz val="11"/>
        <color theme="1"/>
        <rFont val="Calibri"/>
      </rPr>
      <t>真正</t>
    </r>
    <r>
      <rPr>
        <sz val="11"/>
        <color theme="1"/>
        <rFont val="Calibri"/>
      </rPr>
      <t>因为熬夜复习而感到疲惫。</t>
    </r>
  </si>
  <si>
    <t>Yěxǔ tā zhēnzhèng yīnwèi áoyè fùxí ér gǎndào píbèi.</t>
  </si>
  <si>
    <t>Có lẽ cậu ấy thật sự mệt mỏi vì thức đêm để ôn thi.</t>
  </si>
  <si>
    <t>H3_B17_BG_26.gif</t>
  </si>
  <si>
    <t>H3_B17_26.mp3</t>
  </si>
  <si>
    <t>H3_B17_VD_26.mp3</t>
  </si>
  <si>
    <t>难题</t>
  </si>
  <si>
    <t>&lt;ruby&gt;难题&lt;rt&gt;nántí&lt;/rt&gt;&lt;/ruby&gt;</t>
  </si>
  <si>
    <t>nán tí</t>
  </si>
  <si>
    <t>Câu hỏi khó</t>
  </si>
  <si>
    <r>
      <rPr>
        <sz val="11"/>
        <color theme="1"/>
        <rFont val="Calibri"/>
      </rPr>
      <t>我遇到了一个</t>
    </r>
    <r>
      <rPr>
        <b/>
        <sz val="11"/>
        <color theme="1"/>
        <rFont val="Calibri"/>
      </rPr>
      <t>难题</t>
    </r>
    <r>
      <rPr>
        <sz val="11"/>
        <color theme="1"/>
        <rFont val="Calibri"/>
      </rPr>
      <t>。</t>
    </r>
  </si>
  <si>
    <t>Wǒ yùdào le yī gè nántí.</t>
  </si>
  <si>
    <t>Tôi gặp phải một vấn đề nan giải.</t>
  </si>
  <si>
    <t>H3_B17_BG_27.gif</t>
  </si>
  <si>
    <t>H3_B17_27.mp3</t>
  </si>
  <si>
    <t>H3_B17_VD_27.mp3</t>
  </si>
  <si>
    <t>怎样</t>
  </si>
  <si>
    <t>&lt;ruby&gt;怎样&lt;rt&gt;zěnyàng&lt;/rt&gt;&lt;/ruby&gt;</t>
  </si>
  <si>
    <t>zěn yàng</t>
  </si>
  <si>
    <t>Như thế nào (câu hỏi)</t>
  </si>
  <si>
    <r>
      <rPr>
        <sz val="11"/>
        <color theme="1"/>
        <rFont val="Calibri"/>
      </rPr>
      <t>我们</t>
    </r>
    <r>
      <rPr>
        <b/>
        <sz val="11"/>
        <color theme="1"/>
        <rFont val="Calibri"/>
      </rPr>
      <t>怎样</t>
    </r>
    <r>
      <rPr>
        <sz val="11"/>
        <color theme="1"/>
        <rFont val="Calibri"/>
      </rPr>
      <t>去学校？</t>
    </r>
  </si>
  <si>
    <t>Wǒmen zěnyàng qù xuéxiào?</t>
  </si>
  <si>
    <t>Chúng ta đến trường bằng cách nào?</t>
  </si>
  <si>
    <t>H3_B18_BG_1.gif</t>
  </si>
  <si>
    <t>H3_B18_1.mp3</t>
  </si>
  <si>
    <t>H3_B18_VD_1.mp3</t>
  </si>
  <si>
    <t>过节</t>
  </si>
  <si>
    <t>&lt;ruby&gt;过节&lt;rt&gt;guòjié&lt;/rt&gt;&lt;/ruby&gt;</t>
  </si>
  <si>
    <t>guò jié</t>
  </si>
  <si>
    <r>
      <rPr>
        <sz val="11"/>
        <color theme="1"/>
        <rFont val="Calibri"/>
      </rPr>
      <t>快</t>
    </r>
    <r>
      <rPr>
        <b/>
        <sz val="11"/>
        <color theme="1"/>
        <rFont val="Calibri"/>
      </rPr>
      <t>过节</t>
    </r>
    <r>
      <rPr>
        <sz val="11"/>
        <color theme="1"/>
        <rFont val="Calibri"/>
      </rPr>
      <t>了，家家户户都挂上了红灯笼。</t>
    </r>
  </si>
  <si>
    <t>Kuài guòjié le, jiā jiā hù hù dōu guà shàng le hóng dēng lóng.</t>
  </si>
  <si>
    <t>Sắp đến lễ rồi, nhà nhà đều treo đèn lồng đỏ.</t>
  </si>
  <si>
    <t>H3_B18_BG_2.gif</t>
  </si>
  <si>
    <t>H3_B18_2.mp3</t>
  </si>
  <si>
    <t>H3_B18_VD_2.mp3</t>
  </si>
  <si>
    <t>69eb3a4e073744188a66fe77</t>
  </si>
  <si>
    <t>Lễ (hội)</t>
  </si>
  <si>
    <r>
      <rPr>
        <sz val="11"/>
        <color theme="1"/>
        <rFont val="Calibri"/>
      </rPr>
      <t>春</t>
    </r>
    <r>
      <rPr>
        <b/>
        <sz val="11"/>
        <color theme="1"/>
        <rFont val="Calibri"/>
      </rPr>
      <t>节</t>
    </r>
    <r>
      <rPr>
        <sz val="11"/>
        <color theme="1"/>
        <rFont val="Calibri"/>
      </rPr>
      <t>是中国最重要的节日。</t>
    </r>
  </si>
  <si>
    <t>Chūnjié shì Zhōngguó zuì zhòngyào de jiérì.</t>
  </si>
  <si>
    <t>Tết Nguyên Đán là ngày lễ quan trọng nhất của Trung Quốc.</t>
  </si>
  <si>
    <t>H3_B18_BG_3.gif</t>
  </si>
  <si>
    <t>H3_B18_3.mp3</t>
  </si>
  <si>
    <t>H3_B18_VD_3.mp3</t>
  </si>
  <si>
    <t>节日</t>
  </si>
  <si>
    <t>&lt;ruby&gt;节日&lt;rt&gt;jiérì&lt;/rt&gt;&lt;/ruby&gt;</t>
  </si>
  <si>
    <t>jiérì</t>
  </si>
  <si>
    <t>Ngày lễ</t>
  </si>
  <si>
    <r>
      <rPr>
        <sz val="11"/>
        <color theme="1"/>
        <rFont val="Calibri"/>
      </rPr>
      <t>春节是一个重要的</t>
    </r>
    <r>
      <rPr>
        <b/>
        <sz val="11"/>
        <color theme="1"/>
        <rFont val="Calibri"/>
      </rPr>
      <t>节日</t>
    </r>
    <r>
      <rPr>
        <sz val="11"/>
        <color theme="1"/>
        <rFont val="Calibri"/>
      </rPr>
      <t>。</t>
    </r>
  </si>
  <si>
    <t>Chūnjié shì yī gè zhòngyào de jiérì.</t>
  </si>
  <si>
    <t>Tết là một ngày lễ quan trọng.</t>
  </si>
  <si>
    <t>H3_B18_BG_4.gif</t>
  </si>
  <si>
    <t>H3_B18_4.mp3</t>
  </si>
  <si>
    <t>H3_B18_VD_4.mp3</t>
  </si>
  <si>
    <t>联欢</t>
  </si>
  <si>
    <t>&lt;ruby&gt;联欢&lt;rt&gt;liánhuān&lt;/rt&gt;&lt;/ruby&gt;</t>
  </si>
  <si>
    <t>lián huān</t>
  </si>
  <si>
    <t>Liên hoan</t>
  </si>
  <si>
    <r>
      <rPr>
        <sz val="11"/>
        <color theme="1"/>
        <rFont val="Calibri"/>
      </rPr>
      <t>同学们正在一起</t>
    </r>
    <r>
      <rPr>
        <b/>
        <sz val="11"/>
        <color theme="1"/>
        <rFont val="Calibri"/>
      </rPr>
      <t>联欢</t>
    </r>
    <r>
      <rPr>
        <sz val="11"/>
        <color theme="1"/>
        <rFont val="Calibri"/>
      </rPr>
      <t>。</t>
    </r>
  </si>
  <si>
    <t>Tóngxué men zhèngzài yīqǐ liánhuān.</t>
  </si>
  <si>
    <t>Các bạn học đang cùng nhau liên hoan.</t>
  </si>
  <si>
    <t>H3_B18_BG_5.gif</t>
  </si>
  <si>
    <t>H3_B18_5.mp3</t>
  </si>
  <si>
    <t>H3_B18_VD_5.mp3</t>
  </si>
  <si>
    <t>大概</t>
  </si>
  <si>
    <t>&lt;ruby&gt;大概&lt;rt&gt;dàgài&lt;/rt&gt;&lt;/ruby&gt;</t>
  </si>
  <si>
    <t>dàgài</t>
  </si>
  <si>
    <t>Khoảng chừng, có lẽ</t>
  </si>
  <si>
    <r>
      <rPr>
        <sz val="11"/>
        <color theme="1"/>
        <rFont val="Calibri"/>
      </rPr>
      <t>这部电影</t>
    </r>
    <r>
      <rPr>
        <b/>
        <sz val="11"/>
        <color theme="1"/>
        <rFont val="Calibri"/>
      </rPr>
      <t>大概</t>
    </r>
    <r>
      <rPr>
        <sz val="11"/>
        <color theme="1"/>
        <rFont val="Calibri"/>
      </rPr>
      <t>会很好看。</t>
    </r>
  </si>
  <si>
    <t>Zhè bù diànyǐng dàgài huì hěn hǎokàn.</t>
  </si>
  <si>
    <t>Phim này chắc sẽ hay lắm đây.</t>
  </si>
  <si>
    <t>H3_B18_BG_6.gif</t>
  </si>
  <si>
    <t>H3_B18_6.mp3</t>
  </si>
  <si>
    <t>H3_B18_VD_6.mp3</t>
  </si>
  <si>
    <t>春节</t>
  </si>
  <si>
    <t>&lt;ruby&gt;春节&lt;rt&gt;chūnjié&lt;/rt&gt;&lt;/ruby&gt;</t>
  </si>
  <si>
    <t>chūn jié</t>
  </si>
  <si>
    <t>Tết</t>
  </si>
  <si>
    <r>
      <rPr>
        <b/>
        <sz val="11"/>
        <color theme="1"/>
        <rFont val="Calibri"/>
      </rPr>
      <t>春节</t>
    </r>
    <r>
      <rPr>
        <sz val="11"/>
        <color theme="1"/>
        <rFont val="Calibri"/>
      </rPr>
      <t>到了，家家户户都贴春联。</t>
    </r>
  </si>
  <si>
    <t>Chūnjié dào le, jiā jiā hù hù dōu tiē chūn lián.</t>
  </si>
  <si>
    <t>Tết đến rồi, nhà nhà đều dán câu đối Tết.</t>
  </si>
  <si>
    <t>H3_B18_BG_7.gif</t>
  </si>
  <si>
    <t>H3_B18_7.mp3</t>
  </si>
  <si>
    <t>H3_B18_VD_7.mp3</t>
  </si>
  <si>
    <t>阿姨</t>
  </si>
  <si>
    <t>&lt;ruby&gt;阿姨&lt;rt&gt;āyí&lt;/rt&gt;&lt;/ruby&gt;</t>
  </si>
  <si>
    <t>āyí</t>
  </si>
  <si>
    <t>Dì, cô</t>
  </si>
  <si>
    <r>
      <rPr>
        <sz val="11"/>
        <color theme="1"/>
        <rFont val="Calibri"/>
      </rPr>
      <t>我的</t>
    </r>
    <r>
      <rPr>
        <b/>
        <sz val="11"/>
        <color theme="1"/>
        <rFont val="Calibri"/>
      </rPr>
      <t>阿姨</t>
    </r>
    <r>
      <rPr>
        <sz val="11"/>
        <color theme="1"/>
        <rFont val="Calibri"/>
      </rPr>
      <t>看起来有点不开心。</t>
    </r>
  </si>
  <si>
    <t>Wǒ de āyí kàn qǐlái yǒudiǎn bù kāixīn.</t>
  </si>
  <si>
    <t>Trông dì tôi không được vui lắm.</t>
  </si>
  <si>
    <t>H3_B18_BG_8.gif</t>
  </si>
  <si>
    <t>H3_B18_8.mp3</t>
  </si>
  <si>
    <t>H3_B18_VD_8.mp3</t>
  </si>
  <si>
    <t>叔叔</t>
  </si>
  <si>
    <t>&lt;ruby&gt;叔叔&lt;rt&gt;shūshu&lt;/rt&gt;&lt;/ruby&gt;</t>
  </si>
  <si>
    <t>shūshu</t>
  </si>
  <si>
    <t>Chú</t>
  </si>
  <si>
    <r>
      <rPr>
        <b/>
        <sz val="11"/>
        <color theme="1"/>
        <rFont val="Calibri"/>
      </rPr>
      <t>叔叔</t>
    </r>
    <r>
      <rPr>
        <sz val="11"/>
        <color theme="1"/>
        <rFont val="Calibri"/>
      </rPr>
      <t>是我爸爸的朋友。</t>
    </r>
  </si>
  <si>
    <t>Shūshu shì wǒ bàba de péngyǒu.</t>
  </si>
  <si>
    <t>Chú ấy là bạn của bố tôi.</t>
  </si>
  <si>
    <t>H3_B18_BG_9.gif</t>
  </si>
  <si>
    <t>H3_B18_9.mp3</t>
  </si>
  <si>
    <t>H3_B18_VD_9.mp3</t>
  </si>
  <si>
    <t>收</t>
  </si>
  <si>
    <t>&lt;ruby&gt;收&lt;rt&gt;shōu&lt;/rt&gt;&lt;/ruby&gt;</t>
  </si>
  <si>
    <t>shōu</t>
  </si>
  <si>
    <t>Nhận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</si>
  <si>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收</t>
    </r>
    <r>
      <rPr>
        <sz val="11"/>
        <color theme="1"/>
        <rFont val="Calibri"/>
      </rPr>
      <t>养了两个孤儿。</t>
    </r>
  </si>
  <si>
    <t>Tā shōu yǎng le liǎng gè gū ér.</t>
  </si>
  <si>
    <t>Cô ấy đã nhận nuôi hai đứa trẻ mồ côi.</t>
  </si>
  <si>
    <t>H3_B18_BG_10.gif</t>
  </si>
  <si>
    <t>H3_B18_10.mp3</t>
  </si>
  <si>
    <t>H3_B18_VD_10.mp3</t>
  </si>
  <si>
    <t>总</t>
  </si>
  <si>
    <t>&lt;ruby&gt;总&lt;rt&gt;zǒng&lt;/rt&gt;&lt;/ruby&gt;</t>
  </si>
  <si>
    <t>zǒng</t>
  </si>
  <si>
    <t>Luôn luôn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</si>
  <si>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总</t>
    </r>
    <r>
      <rPr>
        <sz val="11"/>
        <color theme="1"/>
        <rFont val="Calibri"/>
      </rPr>
      <t>是忘记带钥匙。</t>
    </r>
  </si>
  <si>
    <t>Tā zǒngshì wàngjì dài yàoshi.</t>
  </si>
  <si>
    <t>Anh ấy luôn luôn quên mang chìa khóa.</t>
  </si>
  <si>
    <t>H3_B18_BG_11.gif</t>
  </si>
  <si>
    <t>H3_B18_11.mp3</t>
  </si>
  <si>
    <t>H3_B18_VD_11.mp3</t>
  </si>
  <si>
    <t>起</t>
  </si>
  <si>
    <t>&lt;ruby&gt;起&lt;rt&gt;qǐ&lt;/rt&gt;&lt;/ruby&gt;</t>
  </si>
  <si>
    <t>qǐ</t>
  </si>
  <si>
    <t>Vụ (việc)</t>
  </si>
  <si>
    <r>
      <rPr>
        <sz val="11"/>
        <color theme="1"/>
        <rFont val="Calibri"/>
      </rPr>
      <t>这是一</t>
    </r>
    <r>
      <rPr>
        <b/>
        <sz val="11"/>
        <color theme="1"/>
        <rFont val="Calibri"/>
      </rPr>
      <t>起</t>
    </r>
    <r>
      <rPr>
        <sz val="11"/>
        <color theme="1"/>
        <rFont val="Calibri"/>
      </rPr>
      <t>严重的事故。</t>
    </r>
  </si>
  <si>
    <t>Zhè shì yīqǐ yánzhòng de shì gù.</t>
  </si>
  <si>
    <t>Đây là một vụ tai nạn nghiêm trọng.</t>
  </si>
  <si>
    <t>H3_B18_BG_12.gif</t>
  </si>
  <si>
    <t>H3_B18_12.mp3</t>
  </si>
  <si>
    <t>H3_B18_VD_12.mp3</t>
  </si>
  <si>
    <t>见面</t>
  </si>
  <si>
    <t>&lt;ruby&gt;见面&lt;rt&gt;jiànmiàn&lt;/rt&gt;&lt;/ruby&gt;</t>
  </si>
  <si>
    <t>jiànmiàn</t>
  </si>
  <si>
    <t xml:space="preserve">Gặp mặt, gặp nhau </t>
  </si>
  <si>
    <r>
      <rPr>
        <sz val="11"/>
        <color theme="1"/>
        <rFont val="Calibri"/>
      </rPr>
      <t>这是我们第一次</t>
    </r>
    <r>
      <rPr>
        <b/>
        <sz val="11"/>
        <color theme="1"/>
        <rFont val="Calibri"/>
      </rPr>
      <t>见面</t>
    </r>
    <r>
      <rPr>
        <sz val="11"/>
        <color theme="1"/>
        <rFont val="Calibri"/>
      </rPr>
      <t>。</t>
    </r>
  </si>
  <si>
    <t>Zhè shì wǒmen dì yī cì jiànmiàn.</t>
  </si>
  <si>
    <t>Đây là lần đầu chúng tôi gặp nhau.</t>
  </si>
  <si>
    <t>H3_B18_BG_13.gif</t>
  </si>
  <si>
    <t>H3_B18_13.mp3</t>
  </si>
  <si>
    <t>H3_B18_VD_13.mp3</t>
  </si>
  <si>
    <t>矿泉水</t>
  </si>
  <si>
    <t>&lt;ruby&gt;矿泉水&lt;rt&gt;kuàngquánshuǐ&lt;/rt&gt;&lt;/ruby&gt;</t>
  </si>
  <si>
    <t>kuàngquánshuǐ</t>
  </si>
  <si>
    <t>Nước suối</t>
  </si>
  <si>
    <r>
      <rPr>
        <sz val="11"/>
        <color theme="1"/>
        <rFont val="Calibri"/>
      </rPr>
      <t>我不喜欢碳酸饮料，我更喜欢喝</t>
    </r>
    <r>
      <rPr>
        <b/>
        <sz val="11"/>
        <color theme="1"/>
        <rFont val="Calibri"/>
      </rPr>
      <t>矿泉水</t>
    </r>
    <r>
      <rPr>
        <sz val="11"/>
        <color theme="1"/>
        <rFont val="Calibri"/>
      </rPr>
      <t>。</t>
    </r>
  </si>
  <si>
    <t>Wǒ bù xǐhuān tàn suān yǐnliào, wǒ gèng xǐhuān hē kuàngquánshuǐ.</t>
  </si>
  <si>
    <t>Tôi không thích đồ uống có ga, tôi thích uống nước suối hơn.</t>
  </si>
  <si>
    <t>H3_B18_BG_14.gif</t>
  </si>
  <si>
    <t>H3_B18_14.mp3</t>
  </si>
  <si>
    <t>H3_B18_VD_14.mp3</t>
  </si>
  <si>
    <t>刚刚</t>
  </si>
  <si>
    <t>&lt;ruby&gt;刚刚&lt;rt&gt;gānggāng&lt;/rt&gt;&lt;/ruby&gt;</t>
  </si>
  <si>
    <t>gāng gāng</t>
  </si>
  <si>
    <t>Vừa mới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</si>
  <si>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刚刚</t>
    </r>
    <r>
      <rPr>
        <sz val="11"/>
        <color theme="1"/>
        <rFont val="Calibri"/>
      </rPr>
      <t>到。</t>
    </r>
  </si>
  <si>
    <t>Wǒ gānggāng dào.</t>
  </si>
  <si>
    <t>Tôi vừa mới đến.</t>
  </si>
  <si>
    <t>H3_B18_BG_15.gif</t>
  </si>
  <si>
    <t>H3_B18_15.mp3</t>
  </si>
  <si>
    <t>H3_B18_VD_15.mp3</t>
  </si>
  <si>
    <t>出发</t>
  </si>
  <si>
    <t>&lt;ruby&gt;出发&lt;rt&gt;chūfā&lt;/rt&gt;&lt;/ruby&gt;</t>
  </si>
  <si>
    <t>chūfā</t>
  </si>
  <si>
    <t>Xuất phát, khởi hành</t>
  </si>
  <si>
    <r>
      <rPr>
        <sz val="11"/>
        <color theme="1"/>
        <rFont val="Calibri"/>
      </rPr>
      <t>我们正从公园</t>
    </r>
    <r>
      <rPr>
        <b/>
        <sz val="11"/>
        <color theme="1"/>
        <rFont val="Calibri"/>
      </rPr>
      <t>出发</t>
    </r>
    <r>
      <rPr>
        <sz val="11"/>
        <color theme="1"/>
        <rFont val="Calibri"/>
      </rPr>
      <t>去学校。</t>
    </r>
  </si>
  <si>
    <t>Wǒmen zhèng cóng gōngyuán chūfā qù xuéxiào.</t>
  </si>
  <si>
    <t>Chúng tôi đang xuất phát từ công viên về trường.</t>
  </si>
  <si>
    <t>H3_B18_BG_16.gif</t>
  </si>
  <si>
    <t>H3_B18_16.mp3</t>
  </si>
  <si>
    <t>H3_B18_VD_16.mp3</t>
  </si>
  <si>
    <t>不久</t>
  </si>
  <si>
    <t>&lt;ruby&gt;不久&lt;rt&gt;bùjiǔ&lt;/rt&gt;&lt;/ruby&gt;</t>
  </si>
  <si>
    <t>bù jiǔ</t>
  </si>
  <si>
    <t>Không lâu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</si>
  <si>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不久</t>
    </r>
    <r>
      <rPr>
        <sz val="11"/>
        <color theme="1"/>
        <rFont val="Calibri"/>
      </rPr>
      <t>就会回来。</t>
    </r>
  </si>
  <si>
    <t>Tā bùjiǔ jiù huì huílái.</t>
  </si>
  <si>
    <t>Anh ấy sẽ sớm quay lại thôi.</t>
  </si>
  <si>
    <t>H3_B18_BG_17.gif</t>
  </si>
  <si>
    <t>H3_B18_17.mp3</t>
  </si>
  <si>
    <t>H3_B18_VD_17.mp3</t>
  </si>
  <si>
    <t>发生</t>
  </si>
  <si>
    <t>&lt;ruby&gt;发生&lt;rt&gt;Fāshēng&lt;/rt&gt;&lt;/ruby&gt;</t>
  </si>
  <si>
    <t>Fāshēng</t>
  </si>
  <si>
    <t>Xảy ra</t>
  </si>
  <si>
    <r>
      <rPr>
        <b/>
        <sz val="11"/>
        <color theme="1"/>
        <rFont val="Calibri"/>
      </rPr>
      <t>发生</t>
    </r>
    <r>
      <rPr>
        <sz val="11"/>
        <color theme="1"/>
        <rFont val="Calibri"/>
      </rPr>
      <t>了什么事情，让天气越来越热？</t>
    </r>
  </si>
  <si>
    <t>Fāshēng le shénme shìqing, ràng tiānqì yuè lái yuè rè?</t>
  </si>
  <si>
    <t>Xảy ra chuyện gì mà thời tiết ngày càng nóng lên vậy?</t>
  </si>
  <si>
    <t>H3_B18_BG_18.gif</t>
  </si>
  <si>
    <t>刚</t>
  </si>
  <si>
    <t>&lt;ruby&gt;刚&lt;rt&gt;gāng&lt;/rt&gt;&lt;/ruby&gt;</t>
  </si>
  <si>
    <t>gāng</t>
  </si>
  <si>
    <t>Vừa, vừa mới</t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</si>
  <si>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刚</t>
    </r>
    <r>
      <rPr>
        <sz val="11"/>
        <color theme="1"/>
        <rFont val="Calibri"/>
      </rPr>
      <t>开始学习魔术。</t>
    </r>
  </si>
  <si>
    <t>Tā gāng kāishǐ xuéxí mó shù.</t>
  </si>
  <si>
    <t>Anh ấy vừa mới bắt đầu học ảo thuật.</t>
  </si>
  <si>
    <t>H3_B18_BG_19.gif</t>
  </si>
  <si>
    <t>H3_B18_19.mp3</t>
  </si>
  <si>
    <t>H3_B18_VD_19.mp3</t>
  </si>
  <si>
    <t>只要</t>
  </si>
  <si>
    <t>&lt;ruby&gt;只要&lt;rt&gt;zhǐyào&lt;/rt&gt;&lt;/ruby&gt;</t>
  </si>
  <si>
    <t>zhǐyào</t>
  </si>
  <si>
    <t>Chỉ cần, miễn là</t>
  </si>
  <si>
    <r>
      <rPr>
        <b/>
        <sz val="11"/>
        <color theme="1"/>
        <rFont val="Calibri"/>
      </rPr>
      <t>只要</t>
    </r>
    <r>
      <rPr>
        <sz val="11"/>
        <color theme="1"/>
        <rFont val="Calibri"/>
      </rPr>
      <t>你努力，就一定能成功。</t>
    </r>
  </si>
  <si>
    <t>Zhǐyào nǐ nǔlì, jiù yídìng néng chénggōng.</t>
  </si>
  <si>
    <t>Chỉ cần bạn nỗ lực, nhất định sẽ thành công.</t>
  </si>
  <si>
    <t>H3_B18_BG_20.gif</t>
  </si>
  <si>
    <t>H3_B18_20.mp3</t>
  </si>
  <si>
    <t>H3_B18_VD_20.mp3</t>
  </si>
  <si>
    <t>学期</t>
  </si>
  <si>
    <t>&lt;ruby&gt;学期&lt;rt&gt;xuéqī&lt;/rt&gt;&lt;/ruby&gt;</t>
  </si>
  <si>
    <t>xuéqī</t>
  </si>
  <si>
    <t>Học kỳ</t>
  </si>
  <si>
    <r>
      <rPr>
        <sz val="11"/>
        <color theme="1"/>
        <rFont val="Calibri"/>
      </rPr>
      <t>新</t>
    </r>
    <r>
      <rPr>
        <b/>
        <sz val="11"/>
        <color theme="1"/>
        <rFont val="Calibri"/>
      </rPr>
      <t>学期</t>
    </r>
    <r>
      <rPr>
        <sz val="11"/>
        <color theme="1"/>
        <rFont val="Calibri"/>
      </rPr>
      <t>要努力，不能像上个学期那样懒惰。</t>
    </r>
  </si>
  <si>
    <t>Xīn xuéqī yào nǔlì, bù néng xiàng shàng gè xuéqī nàyàng lǎn duò.</t>
  </si>
  <si>
    <t>Học kỳ mới phải cố gắng, không thể lười biếng như kỳ trước được.</t>
  </si>
  <si>
    <t>H3_B18_BG_21.gif</t>
  </si>
  <si>
    <t>H3_B18_21.mp3</t>
  </si>
  <si>
    <t>H3_B18_VD_21.mp3</t>
  </si>
  <si>
    <t>毕业</t>
  </si>
  <si>
    <t>&lt;ruby&gt;毕业&lt;rt&gt;bì yè&lt;/rt&gt;&lt;/ruby&gt;</t>
  </si>
  <si>
    <t xml:space="preserve">bì yè
</t>
  </si>
  <si>
    <t>Tốt nghiệp</t>
  </si>
  <si>
    <r>
      <rPr>
        <sz val="11"/>
        <color theme="1"/>
        <rFont val="Calibri"/>
      </rPr>
      <t>她明年就要大学</t>
    </r>
    <r>
      <rPr>
        <b/>
        <sz val="11"/>
        <color theme="1"/>
        <rFont val="Calibri"/>
      </rPr>
      <t>毕业</t>
    </r>
    <r>
      <rPr>
        <sz val="11"/>
        <color theme="1"/>
        <rFont val="Calibri"/>
      </rPr>
      <t>了。</t>
    </r>
  </si>
  <si>
    <t>Tā míngnián jiù yào dàxué bìyè le.</t>
  </si>
  <si>
    <t>Năm sau cô ấy sẽ tốt nghiệp đại học.</t>
  </si>
  <si>
    <t>H3_B18_BG_22.gif</t>
  </si>
  <si>
    <t>H3_B18_22.mp3</t>
  </si>
  <si>
    <t>H3_B18_VD_22.mp3</t>
  </si>
  <si>
    <t>出生</t>
  </si>
  <si>
    <t>&lt;ruby&gt;出生&lt;rt&gt;chūshēng&lt;/rt&gt;&lt;/ruby&gt;</t>
  </si>
  <si>
    <t>chūshēng</t>
  </si>
  <si>
    <t>Ra đời, sinh ra</t>
  </si>
  <si>
    <r>
      <rPr>
        <sz val="11"/>
        <color theme="1"/>
        <rFont val="Calibri"/>
      </rPr>
      <t>那个宝宝</t>
    </r>
    <r>
      <rPr>
        <b/>
        <sz val="11"/>
        <color theme="1"/>
        <rFont val="Calibri"/>
      </rPr>
      <t>出生</t>
    </r>
    <r>
      <rPr>
        <sz val="11"/>
        <color theme="1"/>
        <rFont val="Calibri"/>
      </rPr>
      <t>在除夕夜。</t>
    </r>
  </si>
  <si>
    <t>Nàge bǎo bǎo chūshēng zài chúxi yè.</t>
  </si>
  <si>
    <t>Đứa bé đó được sinh ra vào đêm giao thừa.</t>
  </si>
  <si>
    <t>H3_B18_BG_23.gif</t>
  </si>
  <si>
    <t>H3_B18_23.mp3</t>
  </si>
  <si>
    <t>H3_B18_VD_23.mp3</t>
  </si>
  <si>
    <r>
      <rPr>
        <b/>
        <sz val="11"/>
        <color theme="1"/>
        <rFont val="Calibri"/>
      </rPr>
      <t>过去</t>
    </r>
    <r>
      <rPr>
        <sz val="11"/>
        <color theme="1"/>
        <rFont val="Calibri"/>
      </rPr>
      <t>我不喜欢吃蔬菜，现在我每天吃很多。</t>
    </r>
  </si>
  <si>
    <t>H3_B18_BG_24.gif</t>
  </si>
  <si>
    <t>H3_B18_24.mp3</t>
  </si>
  <si>
    <t>H3_B18_VD_24.mp3</t>
  </si>
  <si>
    <t>懂得</t>
  </si>
  <si>
    <t>&lt;ruby&gt;懂得&lt;rt&gt;dǒngde&lt;/rt&gt;&lt;/ruby&gt;</t>
  </si>
  <si>
    <t>dǒng de</t>
  </si>
  <si>
    <t>Hiểu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</si>
  <si>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懂得</t>
    </r>
    <r>
      <rPr>
        <sz val="11"/>
        <color theme="1"/>
        <rFont val="Calibri"/>
      </rPr>
      <t>你的意思。</t>
    </r>
  </si>
  <si>
    <t>Wǒ dǒngde nǐ de yìsi.</t>
  </si>
  <si>
    <t>Tôi hiểu ý của bạn.</t>
  </si>
  <si>
    <t>H3_B18_BG_25.gif</t>
  </si>
  <si>
    <t>H3_B18_25.mp3</t>
  </si>
  <si>
    <t>H3_B18_VD_25.mp3</t>
  </si>
  <si>
    <t>坚持</t>
  </si>
  <si>
    <t>&lt;ruby&gt;坚持&lt;rt&gt;jiānchí&lt;/rt&gt;&lt;/ruby&gt;</t>
  </si>
  <si>
    <t>jiānchí</t>
  </si>
  <si>
    <t>Kiên trì, khăng khăng giữ</t>
  </si>
  <si>
    <r>
      <rPr>
        <sz val="11"/>
        <color theme="1"/>
        <rFont val="Calibri"/>
      </rPr>
      <t>他每天</t>
    </r>
    <r>
      <rPr>
        <b/>
        <sz val="11"/>
        <color theme="1"/>
        <rFont val="Calibri"/>
      </rPr>
      <t>坚持</t>
    </r>
    <r>
      <rPr>
        <sz val="11"/>
        <color theme="1"/>
        <rFont val="Calibri"/>
      </rPr>
      <t>练武。</t>
    </r>
  </si>
  <si>
    <t>Tā měi tiān jiānchí liàn wǔ.</t>
  </si>
  <si>
    <t>Anh ấy kiên trì tập võ mỗi ngày.</t>
  </si>
  <si>
    <t>H3_B18_BG_26.gif</t>
  </si>
  <si>
    <t>H3_B18_26.mp3</t>
  </si>
  <si>
    <t>H3_B18_VD_26.mp3</t>
  </si>
  <si>
    <t>完成</t>
  </si>
  <si>
    <t>&lt;ruby&gt;完成&lt;rt&gt;wán chéng&lt;/rt&gt;&lt;/ruby&gt;</t>
  </si>
  <si>
    <t>wán chéng</t>
  </si>
  <si>
    <t>Hoàn thành</t>
  </si>
  <si>
    <r>
      <rPr>
        <sz val="11"/>
        <color theme="1"/>
        <rFont val="Calibri"/>
      </rPr>
      <t>我已经</t>
    </r>
    <r>
      <rPr>
        <b/>
        <sz val="11"/>
        <color theme="1"/>
        <rFont val="Calibri"/>
      </rPr>
      <t>完成</t>
    </r>
    <r>
      <rPr>
        <sz val="11"/>
        <color theme="1"/>
        <rFont val="Calibri"/>
      </rPr>
      <t>了考试。</t>
    </r>
  </si>
  <si>
    <t>Wǒ yǐjīng wánchéng le kǎoshì.</t>
  </si>
  <si>
    <t>Tôi hoàn thành xong bài kiểm tra rồi.</t>
  </si>
  <si>
    <t>H3_B18_BG_27.gif</t>
  </si>
  <si>
    <t>H3_B18_27.mp3</t>
  </si>
  <si>
    <t>H3_B18_VD_27.mp3</t>
  </si>
  <si>
    <t>目标</t>
  </si>
  <si>
    <t>&lt;ruby&gt;目标&lt;rt&gt;mùbiāo&lt;/rt&gt;&lt;/ruby&gt;</t>
  </si>
  <si>
    <t>mùbiāo</t>
  </si>
  <si>
    <t>Mục tiêu</t>
  </si>
  <si>
    <r>
      <rPr>
        <sz val="11"/>
        <color theme="1"/>
        <rFont val="Calibri"/>
      </rPr>
      <t>她在这次比赛中完成了自己的</t>
    </r>
    <r>
      <rPr>
        <b/>
        <sz val="11"/>
        <color theme="1"/>
        <rFont val="Calibri"/>
      </rPr>
      <t>目标</t>
    </r>
    <r>
      <rPr>
        <sz val="11"/>
        <color theme="1"/>
        <rFont val="Calibri"/>
      </rPr>
      <t>。</t>
    </r>
  </si>
  <si>
    <t>Tā zài zhè cì bǐsài zhōng wánchéng le zìjǐ de mùbiāo.</t>
  </si>
  <si>
    <t>Cô ấy đã hoàn thành mục tiêu trong cuộc thi lần này.</t>
  </si>
  <si>
    <t>H3_B18_BG_28.gif</t>
  </si>
  <si>
    <t>H3_B18_28.mp3</t>
  </si>
  <si>
    <t>H3_B18_VD_28.mp3</t>
  </si>
  <si>
    <t>发展</t>
  </si>
  <si>
    <t>&lt;ruby&gt;发展&lt;rt&gt;Fāzhǎn&lt;/rt&gt;&lt;/ruby&gt;</t>
  </si>
  <si>
    <t>Fāzhǎn</t>
  </si>
  <si>
    <t>Phát triển</t>
  </si>
  <si>
    <r>
      <rPr>
        <sz val="11"/>
        <color theme="1"/>
        <rFont val="Calibri"/>
      </rPr>
      <t>城市</t>
    </r>
    <r>
      <rPr>
        <b/>
        <sz val="11"/>
        <color theme="1"/>
        <rFont val="Calibri"/>
      </rPr>
      <t>发展</t>
    </r>
    <r>
      <rPr>
        <sz val="11"/>
        <color theme="1"/>
        <rFont val="Calibri"/>
      </rPr>
      <t>得很快。</t>
    </r>
  </si>
  <si>
    <t>Chéngshì fāzhǎn de hěn kuài.</t>
  </si>
  <si>
    <t>Thành phố phát triển rất nhanh.</t>
  </si>
  <si>
    <t>H3_B18_BG_29.gif</t>
  </si>
  <si>
    <t>H3_B18_29.mp3</t>
  </si>
  <si>
    <t>H3_B18_VD_29.mp3</t>
  </si>
  <si>
    <r>
      <rPr>
        <sz val="11"/>
        <color theme="1"/>
        <rFont val="Calibri"/>
      </rPr>
      <t xml:space="preserve"> 他们一家准备去</t>
    </r>
    <r>
      <rPr>
        <b/>
        <sz val="11"/>
        <color theme="1"/>
        <rFont val="Calibri"/>
      </rPr>
      <t>旅游</t>
    </r>
    <r>
      <rPr>
        <sz val="11"/>
        <color theme="1"/>
        <rFont val="Calibri"/>
      </rPr>
      <t>。</t>
    </r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</si>
  <si>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觉得</t>
    </r>
    <r>
      <rPr>
        <sz val="11"/>
        <color theme="1"/>
        <rFont val="Calibri"/>
      </rPr>
      <t>很难理解。</t>
    </r>
  </si>
  <si>
    <t>H2_B1_BG-02.gif</t>
  </si>
  <si>
    <r>
      <rPr>
        <sz val="11"/>
        <color theme="1"/>
        <rFont val="Calibri"/>
      </rPr>
      <t>这个苹果</t>
    </r>
    <r>
      <rPr>
        <b/>
        <sz val="11"/>
        <color theme="1"/>
        <rFont val="Calibri"/>
      </rPr>
      <t>最</t>
    </r>
    <r>
      <rPr>
        <sz val="11"/>
        <color theme="1"/>
        <rFont val="Calibri"/>
      </rPr>
      <t>大。</t>
    </r>
  </si>
  <si>
    <r>
      <rPr>
        <b/>
        <sz val="10"/>
        <color theme="1"/>
        <rFont val="Calibri"/>
      </rPr>
      <t>为什么</t>
    </r>
    <r>
      <rPr>
        <sz val="10"/>
        <color theme="1"/>
        <rFont val="Calibri"/>
      </rPr>
      <t>他们笑得这么开心？</t>
    </r>
  </si>
  <si>
    <t>cũng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</si>
  <si>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也</t>
    </r>
    <r>
      <rPr>
        <sz val="11"/>
        <color theme="1"/>
        <rFont val="Calibri"/>
      </rPr>
      <t>有跟你一样的玩具。</t>
    </r>
  </si>
  <si>
    <t>Wǒ yě yǒu gēn nǐ yíyàng de wánjù.</t>
  </si>
  <si>
    <t>Tôi cũng có đồ chơi giống của bạn.</t>
  </si>
  <si>
    <t>H2_B1_BG-05.gif</t>
  </si>
  <si>
    <r>
      <rPr>
        <sz val="11"/>
        <color theme="1"/>
        <rFont val="Calibri"/>
      </rPr>
      <t>他每天都</t>
    </r>
    <r>
      <rPr>
        <b/>
        <sz val="11"/>
        <color theme="1"/>
        <rFont val="Calibri"/>
      </rPr>
      <t>运动</t>
    </r>
    <r>
      <rPr>
        <sz val="11"/>
        <color theme="1"/>
        <rFont val="Calibri"/>
      </rPr>
      <t>。</t>
    </r>
  </si>
  <si>
    <t>踢足球</t>
  </si>
  <si>
    <t>&lt;ruby&gt;踢足球&lt;rt&gt;tī zúqiú&lt;/rt&gt;&lt;/ruby&gt;</t>
  </si>
  <si>
    <t>tī zúqiú</t>
  </si>
  <si>
    <t>đá bóng</t>
  </si>
  <si>
    <r>
      <rPr>
        <sz val="11"/>
        <color theme="1"/>
        <rFont val="Calibri"/>
      </rPr>
      <t>他喜欢</t>
    </r>
    <r>
      <rPr>
        <b/>
        <sz val="11"/>
        <color theme="1"/>
        <rFont val="Calibri"/>
      </rPr>
      <t>踢足球</t>
    </r>
    <r>
      <rPr>
        <sz val="11"/>
        <color theme="1"/>
        <rFont val="Calibri"/>
      </rPr>
      <t>。</t>
    </r>
  </si>
  <si>
    <t>Anh ấy thích chơi đá bóng.</t>
  </si>
  <si>
    <t>H2_B1_BG-07.gif</t>
  </si>
  <si>
    <t>&lt;ruby&gt;一起&lt;rt&gt;yìqǐ&lt;/rt&gt;&lt;/ruby&gt;</t>
  </si>
  <si>
    <t>yìqǐ</t>
  </si>
  <si>
    <t>cùng</t>
  </si>
  <si>
    <r>
      <rPr>
        <sz val="11"/>
        <color theme="1"/>
        <rFont val="Calibri"/>
      </rPr>
      <t xml:space="preserve"> 我们</t>
    </r>
    <r>
      <rPr>
        <b/>
        <sz val="11"/>
        <color theme="1"/>
        <rFont val="Calibri"/>
      </rPr>
      <t>一起</t>
    </r>
    <r>
      <rPr>
        <sz val="11"/>
        <color theme="1"/>
        <rFont val="Calibri"/>
      </rPr>
      <t>洗碗。</t>
    </r>
  </si>
  <si>
    <t>Wǒmen yìqǐ xǐ wǎn.</t>
  </si>
  <si>
    <t>Chúng tôi cùng nhau rửa bát.</t>
  </si>
  <si>
    <t>H2_B1_BG-08.gif</t>
  </si>
  <si>
    <t xml:space="preserve">Trợ động từ 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</si>
  <si>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要</t>
    </r>
    <r>
      <rPr>
        <sz val="11"/>
        <color theme="1"/>
        <rFont val="Calibri"/>
      </rPr>
      <t>吃这个菜。</t>
    </r>
  </si>
  <si>
    <t>H2_B1_BG-09.gif</t>
  </si>
  <si>
    <r>
      <rPr>
        <sz val="11"/>
        <color theme="1"/>
        <rFont val="Calibri"/>
      </rPr>
      <t>我刚买了一条</t>
    </r>
    <r>
      <rPr>
        <b/>
        <sz val="11"/>
        <color theme="1"/>
        <rFont val="Calibri"/>
      </rPr>
      <t>新</t>
    </r>
    <r>
      <rPr>
        <sz val="11"/>
        <color theme="1"/>
        <rFont val="Calibri"/>
      </rPr>
      <t>裙子。</t>
    </r>
  </si>
  <si>
    <t>H2_B1_BG-10.gif</t>
  </si>
  <si>
    <r>
      <rPr>
        <b/>
        <sz val="11"/>
        <color theme="1"/>
        <rFont val="Calibri"/>
      </rPr>
      <t>它</t>
    </r>
    <r>
      <rPr>
        <sz val="11"/>
        <color theme="1"/>
        <rFont val="Calibri"/>
      </rPr>
      <t>看起来很可怕。</t>
    </r>
  </si>
  <si>
    <t>H2_B1_BG-11.gif</t>
  </si>
  <si>
    <r>
      <rPr>
        <sz val="11"/>
        <color theme="1"/>
        <rFont val="Calibri"/>
      </rPr>
      <t xml:space="preserve"> 她的</t>
    </r>
    <r>
      <rPr>
        <b/>
        <sz val="11"/>
        <color theme="1"/>
        <rFont val="Calibri"/>
      </rPr>
      <t>眼睛</t>
    </r>
    <r>
      <rPr>
        <sz val="11"/>
        <color theme="1"/>
        <rFont val="Calibri"/>
      </rPr>
      <t>很漂亮。</t>
    </r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</si>
  <si>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生病</t>
    </r>
    <r>
      <rPr>
        <sz val="11"/>
        <color theme="1"/>
        <rFont val="Calibri"/>
      </rPr>
      <t>了。</t>
    </r>
  </si>
  <si>
    <t>H2_B2_BG-01.gif</t>
  </si>
  <si>
    <r>
      <rPr>
        <sz val="11"/>
        <color rgb="FF000000"/>
        <rFont val="Calibri"/>
      </rPr>
      <t>我要吃</t>
    </r>
    <r>
      <rPr>
        <b/>
        <sz val="11"/>
        <color rgb="FF000000"/>
        <rFont val="Calibri"/>
      </rPr>
      <t>药</t>
    </r>
    <r>
      <rPr>
        <sz val="11"/>
        <color rgb="FF000000"/>
        <rFont val="Calibri"/>
      </rPr>
      <t>才能快点好起来。</t>
    </r>
  </si>
  <si>
    <t>H2_B2_BG-02.gif</t>
  </si>
  <si>
    <t>sức khỏe, cơ thể</t>
  </si>
  <si>
    <r>
      <rPr>
        <sz val="11"/>
        <color rgb="FF000000"/>
        <rFont val="Calibri"/>
      </rPr>
      <t xml:space="preserve"> 她的</t>
    </r>
    <r>
      <rPr>
        <b/>
        <sz val="11"/>
        <color rgb="FF000000"/>
        <rFont val="Calibri"/>
      </rPr>
      <t>身体</t>
    </r>
    <r>
      <rPr>
        <sz val="11"/>
        <color rgb="FF000000"/>
        <rFont val="Calibri"/>
      </rPr>
      <t>很好。</t>
    </r>
  </si>
  <si>
    <t>Tā de shēntǐ hěn hǎo.</t>
  </si>
  <si>
    <t>Sức khỏe của cô ấy rất tốt.</t>
  </si>
  <si>
    <t>H2_B2_BG-03.gif</t>
  </si>
  <si>
    <t>xuất viện</t>
  </si>
  <si>
    <r>
      <rPr>
        <sz val="11"/>
        <color rgb="FF000000"/>
        <rFont val="Calibri"/>
      </rPr>
      <t>他的手还没好，所以还不能</t>
    </r>
    <r>
      <rPr>
        <b/>
        <sz val="11"/>
        <color rgb="FF000000"/>
        <rFont val="Calibri"/>
      </rPr>
      <t>出院</t>
    </r>
    <r>
      <rPr>
        <sz val="11"/>
        <color rgb="FF000000"/>
        <rFont val="Calibri"/>
      </rPr>
      <t>。</t>
    </r>
  </si>
  <si>
    <t>H2_B2_BG-04.gif</t>
  </si>
  <si>
    <r>
      <rPr>
        <sz val="11"/>
        <color rgb="FF000000"/>
        <rFont val="Calibri"/>
      </rPr>
      <t xml:space="preserve"> 这座楼太</t>
    </r>
    <r>
      <rPr>
        <b/>
        <sz val="11"/>
        <color rgb="FF000000"/>
        <rFont val="Calibri"/>
      </rPr>
      <t>高</t>
    </r>
    <r>
      <rPr>
        <sz val="11"/>
        <color rgb="FF000000"/>
        <rFont val="Calibri"/>
      </rPr>
      <t>了！</t>
    </r>
  </si>
  <si>
    <t>mét</t>
  </si>
  <si>
    <r>
      <rPr>
        <sz val="10"/>
        <color rgb="FF0E0E0E"/>
        <rFont val="Arial"/>
      </rPr>
      <t>东方明珠塔的高度是468</t>
    </r>
    <r>
      <rPr>
        <b/>
        <sz val="10"/>
        <color rgb="FF0E0E0E"/>
        <rFont val="Arial"/>
      </rPr>
      <t>米</t>
    </r>
    <r>
      <rPr>
        <sz val="10"/>
        <color rgb="FF0E0E0E"/>
        <rFont val="Arial"/>
      </rPr>
      <t>。</t>
    </r>
  </si>
  <si>
    <t>H2_B2_BG-06.gif</t>
  </si>
  <si>
    <r>
      <rPr>
        <sz val="10"/>
        <color rgb="FF0E0E0E"/>
        <rFont val="Calibri"/>
      </rPr>
      <t>我打算去海边旅行，好好</t>
    </r>
    <r>
      <rPr>
        <b/>
        <sz val="10"/>
        <color rgb="FF0E0E0E"/>
        <rFont val="Calibri"/>
      </rPr>
      <t>休息</t>
    </r>
    <r>
      <rPr>
        <sz val="10"/>
        <color rgb="FF0E0E0E"/>
        <rFont val="Calibri"/>
      </rPr>
      <t>一下。</t>
    </r>
  </si>
  <si>
    <t>H2_B2_BG-07.gif</t>
  </si>
  <si>
    <r>
      <rPr>
        <sz val="11"/>
        <color rgb="FF000000"/>
        <rFont val="Calibri"/>
      </rPr>
      <t>他今天很</t>
    </r>
    <r>
      <rPr>
        <b/>
        <sz val="11"/>
        <color rgb="FF000000"/>
        <rFont val="Calibri"/>
      </rPr>
      <t>忙</t>
    </r>
    <r>
      <rPr>
        <sz val="11"/>
        <color rgb="FF000000"/>
        <rFont val="Calibri"/>
      </rPr>
      <t>。</t>
    </r>
  </si>
  <si>
    <t>H2_B2_BG-08.gif</t>
  </si>
  <si>
    <r>
      <rPr>
        <sz val="11"/>
        <color rgb="FF000000"/>
        <rFont val="Calibri"/>
      </rPr>
      <t>我</t>
    </r>
    <r>
      <rPr>
        <b/>
        <sz val="11"/>
        <color rgb="FF000000"/>
        <rFont val="Calibri"/>
      </rPr>
      <t>每天</t>
    </r>
    <r>
      <rPr>
        <sz val="11"/>
        <color rgb="FF000000"/>
        <rFont val="Calibri"/>
      </rPr>
      <t>都运动。</t>
    </r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</si>
  <si>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早上</t>
    </r>
    <r>
      <rPr>
        <sz val="11"/>
        <color rgb="FF000000"/>
        <rFont val="Calibri"/>
      </rPr>
      <t>经常煮粥。</t>
    </r>
  </si>
  <si>
    <t>H2_B2_BG-10.gif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</si>
  <si>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跑步</t>
    </r>
    <r>
      <rPr>
        <sz val="11"/>
        <color rgb="FF000000"/>
        <rFont val="Calibri"/>
      </rPr>
      <t>跑得很快。</t>
    </r>
  </si>
  <si>
    <r>
      <rPr>
        <sz val="11"/>
        <color rgb="FF000000"/>
        <rFont val="Calibri"/>
      </rPr>
      <t>我今天</t>
    </r>
    <r>
      <rPr>
        <b/>
        <sz val="11"/>
        <color rgb="FF000000"/>
        <rFont val="Calibri"/>
      </rPr>
      <t>起床</t>
    </r>
    <r>
      <rPr>
        <sz val="11"/>
        <color rgb="FF000000"/>
        <rFont val="Calibri"/>
      </rPr>
      <t>很早。</t>
    </r>
  </si>
  <si>
    <t>H2_B2_BG-12.gif</t>
  </si>
  <si>
    <t>出</t>
  </si>
  <si>
    <t>&lt;ruby&gt;出&lt;rt&gt;chū&lt;/rt&gt;&lt;/ruby&gt;</t>
  </si>
  <si>
    <t>chū</t>
  </si>
  <si>
    <t>ra, ra ngoài</t>
  </si>
  <si>
    <r>
      <rPr>
        <sz val="11"/>
        <color rgb="FF000000"/>
        <rFont val="Calibri"/>
      </rPr>
      <t xml:space="preserve"> 她刚</t>
    </r>
    <r>
      <rPr>
        <b/>
        <sz val="11"/>
        <color rgb="FF000000"/>
        <rFont val="Calibri"/>
      </rPr>
      <t>出</t>
    </r>
    <r>
      <rPr>
        <sz val="11"/>
        <color rgb="FF000000"/>
        <rFont val="Calibri"/>
      </rPr>
      <t>门，天就下雨了。</t>
    </r>
  </si>
  <si>
    <t>Tā gāng chūmén, tiān jiù xiàyǔ le.</t>
  </si>
  <si>
    <t>Cô ấy vừa ra ngoài thì trời mưa.</t>
  </si>
  <si>
    <t>H2_B2_BG-13.gif</t>
  </si>
  <si>
    <r>
      <rPr>
        <sz val="11"/>
        <color rgb="FF000000"/>
        <rFont val="Calibri"/>
      </rPr>
      <t>我不</t>
    </r>
    <r>
      <rPr>
        <b/>
        <sz val="11"/>
        <color rgb="FF000000"/>
        <rFont val="Calibri"/>
      </rPr>
      <t>知道</t>
    </r>
    <r>
      <rPr>
        <sz val="11"/>
        <color rgb="FF000000"/>
        <rFont val="Calibri"/>
      </rPr>
      <t>她们在说什么。</t>
    </r>
  </si>
  <si>
    <t>H2_B2_BG-14.gif</t>
  </si>
  <si>
    <r>
      <rPr>
        <sz val="10"/>
        <color rgb="FF0E0E0E"/>
        <rFont val="Arial"/>
      </rPr>
      <t>你有</t>
    </r>
    <r>
      <rPr>
        <b/>
        <sz val="10"/>
        <color rgb="FF0E0E0E"/>
        <rFont val="Arial"/>
      </rPr>
      <t>时间</t>
    </r>
    <r>
      <rPr>
        <sz val="10"/>
        <color rgb="FF0E0E0E"/>
        <rFont val="Arial"/>
      </rPr>
      <t>陪我去图书馆吗？</t>
    </r>
  </si>
  <si>
    <t>H2_B2_BG-15.gif</t>
  </si>
  <si>
    <r>
      <rPr>
        <sz val="11"/>
        <color theme="1"/>
        <rFont val="Calibri"/>
      </rPr>
      <t>这块</t>
    </r>
    <r>
      <rPr>
        <b/>
        <sz val="11"/>
        <color theme="1"/>
        <rFont val="Calibri"/>
      </rPr>
      <t>手表</t>
    </r>
    <r>
      <rPr>
        <sz val="11"/>
        <color theme="1"/>
        <rFont val="Calibri"/>
      </rPr>
      <t>非常贵。</t>
    </r>
  </si>
  <si>
    <t>báo</t>
  </si>
  <si>
    <r>
      <rPr>
        <sz val="11"/>
        <color rgb="FF000000"/>
        <rFont val="Calibri"/>
      </rPr>
      <t>我刚买了今天早上的</t>
    </r>
    <r>
      <rPr>
        <b/>
        <sz val="11"/>
        <color rgb="FF000000"/>
        <rFont val="Calibri"/>
      </rPr>
      <t>报纸</t>
    </r>
    <r>
      <rPr>
        <sz val="11"/>
        <color rgb="FF000000"/>
        <rFont val="Calibri"/>
      </rPr>
      <t>。</t>
    </r>
  </si>
  <si>
    <t>H2_B3_BG-02.gif</t>
  </si>
  <si>
    <r>
      <rPr>
        <sz val="11"/>
        <color rgb="FF000000"/>
        <rFont val="Calibri"/>
      </rPr>
      <t>我想尝</t>
    </r>
    <r>
      <rPr>
        <b/>
        <sz val="11"/>
        <color rgb="FF000000"/>
        <rFont val="Calibri"/>
      </rPr>
      <t>一下</t>
    </r>
    <r>
      <rPr>
        <sz val="11"/>
        <color rgb="FF000000"/>
        <rFont val="Calibri"/>
      </rPr>
      <t>这个菜。</t>
    </r>
  </si>
  <si>
    <t>H2_B3_BG-03.gif</t>
  </si>
  <si>
    <r>
      <rPr>
        <sz val="11"/>
        <color rgb="FF000000"/>
        <rFont val="Calibri"/>
      </rPr>
      <t>我每天早上都会喝</t>
    </r>
    <r>
      <rPr>
        <b/>
        <sz val="11"/>
        <color rgb="FF000000"/>
        <rFont val="Calibri"/>
      </rPr>
      <t>牛奶</t>
    </r>
    <r>
      <rPr>
        <sz val="11"/>
        <color rgb="FF000000"/>
        <rFont val="Calibri"/>
      </rPr>
      <t>。</t>
    </r>
  </si>
  <si>
    <t>H2_B3_BG-04.gif</t>
  </si>
  <si>
    <t>粉色</t>
  </si>
  <si>
    <t>&lt;ruby&gt;粉色&lt;rt&gt;fěnsè&lt;/rt&gt;&lt;/ruby&gt;</t>
  </si>
  <si>
    <t>fěnsè</t>
  </si>
  <si>
    <t>màu hồng</t>
  </si>
  <si>
    <r>
      <rPr>
        <sz val="11"/>
        <color rgb="FF000000"/>
        <rFont val="Calibri"/>
      </rPr>
      <t>我打算送给她这件</t>
    </r>
    <r>
      <rPr>
        <b/>
        <sz val="11"/>
        <color rgb="FF000000"/>
        <rFont val="Calibri"/>
      </rPr>
      <t>粉色</t>
    </r>
    <r>
      <rPr>
        <sz val="11"/>
        <color rgb="FF000000"/>
        <rFont val="Calibri"/>
      </rPr>
      <t>的衣服。</t>
    </r>
  </si>
  <si>
    <t>Wǒ dǎsuàn sòng gěi tā zhè jiàn fěnsè de yīfu.</t>
  </si>
  <si>
    <t>Tôi định tặng cho cô ấy chiếc áo màu hồng này.</t>
  </si>
  <si>
    <t>H2_B3_BG-05.gif</t>
  </si>
  <si>
    <t>粉</t>
  </si>
  <si>
    <t>&lt;ruby&gt;粉&lt;rt&gt;fěn&lt;/rt&gt;&lt;/ruby&gt;</t>
  </si>
  <si>
    <t>fěn</t>
  </si>
  <si>
    <t>có màu hồng</t>
  </si>
  <si>
    <r>
      <rPr>
        <sz val="11"/>
        <color rgb="FF000000"/>
        <rFont val="Calibri"/>
      </rPr>
      <t>那片</t>
    </r>
    <r>
      <rPr>
        <b/>
        <sz val="11"/>
        <color rgb="FF000000"/>
        <rFont val="Calibri"/>
      </rPr>
      <t>粉</t>
    </r>
    <r>
      <rPr>
        <sz val="11"/>
        <color rgb="FF000000"/>
        <rFont val="Calibri"/>
      </rPr>
      <t>红色的云真的很漂亮。</t>
    </r>
  </si>
  <si>
    <t>Nà piàn fěnhóngsè de yún zhēn de hěn piàoliang.</t>
  </si>
  <si>
    <t>Đám mây hồng phấn đó thật đẹp.</t>
  </si>
  <si>
    <t>H2_B3_BG-06.gif</t>
  </si>
  <si>
    <r>
      <rPr>
        <sz val="11"/>
        <color rgb="FF000000"/>
        <rFont val="Calibri"/>
      </rPr>
      <t>那些灯笼有很多不同的</t>
    </r>
    <r>
      <rPr>
        <b/>
        <sz val="11"/>
        <color rgb="FF000000"/>
        <rFont val="Calibri"/>
      </rPr>
      <t>颜色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</si>
  <si>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这朵花是鲜艳的</t>
    </r>
    <r>
      <rPr>
        <b/>
        <sz val="11"/>
        <color rgb="FF000000"/>
        <rFont val="Calibri"/>
      </rPr>
      <t>红色</t>
    </r>
    <r>
      <rPr>
        <sz val="11"/>
        <color rgb="FF000000"/>
        <rFont val="Calibri"/>
      </rPr>
      <t>。</t>
    </r>
  </si>
  <si>
    <t>红</t>
  </si>
  <si>
    <t>&lt;ruby&gt;红&lt;rt&gt;hóng&lt;/rt&gt;&lt;/ruby&gt;</t>
  </si>
  <si>
    <t>hóng</t>
  </si>
  <si>
    <t>có màu đỏ</t>
  </si>
  <si>
    <r>
      <rPr>
        <b/>
        <sz val="11"/>
        <color rgb="FF000000"/>
        <rFont val="Calibri"/>
      </rPr>
      <t>红</t>
    </r>
    <r>
      <rPr>
        <sz val="11"/>
        <color rgb="FF000000"/>
        <rFont val="Calibri"/>
      </rPr>
      <t>色的水果可以增强免疫力</t>
    </r>
  </si>
  <si>
    <t>Hóngsè de shuǐguǒ kěyǐ zēngqiáng miǎnyìlì.</t>
  </si>
  <si>
    <t>Những loại trái cây màu đỏ giúp tăng cường miễn dịch.</t>
  </si>
  <si>
    <t>H2_B3_BG-09.gif</t>
  </si>
  <si>
    <t>千</t>
  </si>
  <si>
    <t>&lt;ruby&gt;千&lt;rt&gt;qiān&lt;/rt&gt;&lt;/ruby&gt;</t>
  </si>
  <si>
    <t>qiān</t>
  </si>
  <si>
    <t>nghìn</t>
  </si>
  <si>
    <r>
      <rPr>
        <sz val="11"/>
        <color rgb="FF000000"/>
        <rFont val="Calibri"/>
      </rPr>
      <t>这块手表的价格是一</t>
    </r>
    <r>
      <rPr>
        <b/>
        <sz val="12"/>
        <color rgb="FF000000"/>
        <rFont val="Calibri"/>
      </rPr>
      <t>千</t>
    </r>
    <r>
      <rPr>
        <sz val="11"/>
        <color rgb="FF000000"/>
        <rFont val="Calibri"/>
      </rPr>
      <t>元。</t>
    </r>
  </si>
  <si>
    <t>Zhè kuài shǒubiǎo de jiàgé shì yìqiān yuán.</t>
  </si>
  <si>
    <t>Chiếc đồng hồ này có giá 1 nghìn tệ.</t>
  </si>
  <si>
    <t>H2_B3_BG-10.gif</t>
  </si>
  <si>
    <r>
      <rPr>
        <sz val="11"/>
        <color rgb="FF000000"/>
        <rFont val="Calibri"/>
      </rPr>
      <t>他们都是</t>
    </r>
    <r>
      <rPr>
        <b/>
        <sz val="11"/>
        <color rgb="FF000000"/>
        <rFont val="Calibri"/>
      </rPr>
      <t>送</t>
    </r>
    <r>
      <rPr>
        <sz val="11"/>
        <color rgb="FF000000"/>
        <rFont val="Calibri"/>
      </rPr>
      <t>快递的人员。</t>
    </r>
  </si>
  <si>
    <r>
      <rPr>
        <sz val="11"/>
        <color rgb="FF000000"/>
        <rFont val="Calibri"/>
      </rPr>
      <t>这个</t>
    </r>
    <r>
      <rPr>
        <b/>
        <sz val="11"/>
        <color rgb="FF000000"/>
        <rFont val="Calibri"/>
      </rPr>
      <t>房间</t>
    </r>
    <r>
      <rPr>
        <sz val="11"/>
        <color rgb="FF000000"/>
        <rFont val="Calibri"/>
      </rPr>
      <t>非常整洁。</t>
    </r>
  </si>
  <si>
    <t>H2_B3_BG-12.gif</t>
  </si>
  <si>
    <r>
      <rPr>
        <sz val="11"/>
        <color rgb="FF000000"/>
        <rFont val="Calibri"/>
      </rPr>
      <t>这是我的</t>
    </r>
    <r>
      <rPr>
        <b/>
        <sz val="11"/>
        <color rgb="FF000000"/>
        <rFont val="Calibri"/>
      </rPr>
      <t>丈夫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</si>
  <si>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我坐在他</t>
    </r>
    <r>
      <rPr>
        <b/>
        <sz val="11"/>
        <color rgb="FF000000"/>
        <rFont val="Calibri"/>
      </rPr>
      <t>旁边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</si>
  <si>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这颗钻石</t>
    </r>
    <r>
      <rPr>
        <b/>
        <sz val="11"/>
        <color rgb="FF000000"/>
        <rFont val="Calibri"/>
      </rPr>
      <t>真</t>
    </r>
    <r>
      <rPr>
        <sz val="11"/>
        <color rgb="FF000000"/>
        <rFont val="Calibri"/>
      </rPr>
      <t>漂亮。</t>
    </r>
  </si>
  <si>
    <t>H2_B3_BG-15.gif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</si>
  <si>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左边</t>
    </r>
    <r>
      <rPr>
        <sz val="11"/>
        <color rgb="FF000000"/>
        <rFont val="Calibri"/>
      </rPr>
      <t>就是超市。</t>
    </r>
  </si>
  <si>
    <r>
      <rPr>
        <sz val="11"/>
        <color theme="1"/>
        <rFont val="Calibri"/>
      </rPr>
      <t>这个</t>
    </r>
    <r>
      <rPr>
        <b/>
        <sz val="11"/>
        <color theme="1"/>
        <rFont val="Calibri"/>
      </rPr>
      <t>生日</t>
    </r>
    <r>
      <rPr>
        <sz val="11"/>
        <color theme="1"/>
        <rFont val="Calibri"/>
      </rPr>
      <t>蛋糕又漂亮又好吃。</t>
    </r>
  </si>
  <si>
    <r>
      <rPr>
        <sz val="11"/>
        <color rgb="FF000000"/>
        <rFont val="Calibri"/>
      </rPr>
      <t>祝你生日</t>
    </r>
    <r>
      <rPr>
        <b/>
        <sz val="11"/>
        <color rgb="FF000000"/>
        <rFont val="Calibri"/>
      </rPr>
      <t>快乐</t>
    </r>
    <r>
      <rPr>
        <sz val="11"/>
        <color rgb="FF000000"/>
        <rFont val="Calibri"/>
      </rPr>
      <t>！</t>
    </r>
  </si>
  <si>
    <t>(được dùng sau động từ) cho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</si>
  <si>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给</t>
    </r>
    <r>
      <rPr>
        <sz val="11"/>
        <color rgb="FF000000"/>
        <rFont val="Calibri"/>
      </rPr>
      <t>了我一个梨。</t>
    </r>
  </si>
  <si>
    <t>Tā gěi le wǒ yí gè lí.</t>
  </si>
  <si>
    <t>Anh ấy cho tôi một quả lê.</t>
  </si>
  <si>
    <t>H2_B4_BG-03.gif</t>
  </si>
  <si>
    <r>
      <rPr>
        <sz val="11"/>
        <color rgb="FF000000"/>
        <rFont val="Calibri"/>
      </rPr>
      <t>等一下，我</t>
    </r>
    <r>
      <rPr>
        <b/>
        <sz val="11"/>
        <color rgb="FF000000"/>
        <rFont val="Calibri"/>
      </rPr>
      <t>接</t>
    </r>
    <r>
      <rPr>
        <sz val="11"/>
        <color rgb="FF000000"/>
        <rFont val="Calibri"/>
      </rPr>
      <t>个电话。</t>
    </r>
  </si>
  <si>
    <r>
      <rPr>
        <b/>
        <sz val="11"/>
        <color rgb="FF000000"/>
        <rFont val="Calibri"/>
      </rPr>
      <t>晚上</t>
    </r>
    <r>
      <rPr>
        <sz val="11"/>
        <color rgb="FF000000"/>
        <rFont val="Calibri"/>
      </rPr>
      <t>的星星特别亮。</t>
    </r>
  </si>
  <si>
    <t>H2_B4_BG-05.gif</t>
  </si>
  <si>
    <t>hỏi</t>
  </si>
  <si>
    <r>
      <rPr>
        <sz val="11"/>
        <color rgb="FF000000"/>
        <rFont val="Calibri"/>
      </rPr>
      <t>如果不明白，就</t>
    </r>
    <r>
      <rPr>
        <b/>
        <sz val="11"/>
        <color rgb="FF000000"/>
        <rFont val="Calibri"/>
      </rPr>
      <t>问</t>
    </r>
    <r>
      <rPr>
        <sz val="11"/>
        <color rgb="FF000000"/>
        <rFont val="Calibri"/>
      </rPr>
      <t>老师吧。</t>
    </r>
  </si>
  <si>
    <t>Rúguǒ bù míngbai, jiù wèn lǎoshī ba.</t>
  </si>
  <si>
    <t>Nếu không hiểu, hãy hỏi giáo viên.</t>
  </si>
  <si>
    <t>H2_B4_BG-06.gif</t>
  </si>
  <si>
    <r>
      <rPr>
        <sz val="11"/>
        <color rgb="FF000000"/>
        <rFont val="Calibri"/>
      </rPr>
      <t>这件衣服</t>
    </r>
    <r>
      <rPr>
        <b/>
        <sz val="11"/>
        <color rgb="FF000000"/>
        <rFont val="Calibri"/>
      </rPr>
      <t>非常</t>
    </r>
    <r>
      <rPr>
        <sz val="11"/>
        <color rgb="FF000000"/>
        <rFont val="Calibri"/>
      </rPr>
      <t>漂亮。</t>
    </r>
  </si>
  <si>
    <t>H2_B4_BG-07.gif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</si>
  <si>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开始</t>
    </r>
    <r>
      <rPr>
        <sz val="11"/>
        <color rgb="FF000000"/>
        <rFont val="Calibri"/>
      </rPr>
      <t>准备晚饭了。</t>
    </r>
  </si>
  <si>
    <r>
      <rPr>
        <sz val="11"/>
        <color rgb="FF000000"/>
        <rFont val="Calibri"/>
      </rPr>
      <t>太阳</t>
    </r>
    <r>
      <rPr>
        <b/>
        <sz val="11"/>
        <color rgb="FF000000"/>
        <rFont val="Calibri"/>
      </rPr>
      <t>已经</t>
    </r>
    <r>
      <rPr>
        <sz val="11"/>
        <color rgb="FF000000"/>
        <rFont val="Calibri"/>
      </rPr>
      <t>下山了。</t>
    </r>
  </si>
  <si>
    <r>
      <rPr>
        <sz val="11"/>
        <color rgb="FF000000"/>
        <rFont val="Calibri"/>
      </rPr>
      <t>这条围巾很</t>
    </r>
    <r>
      <rPr>
        <b/>
        <sz val="11"/>
        <color rgb="FF000000"/>
        <rFont val="Calibri"/>
      </rPr>
      <t>长</t>
    </r>
    <r>
      <rPr>
        <sz val="11"/>
        <color rgb="FF000000"/>
        <rFont val="Calibri"/>
      </rPr>
      <t>。</t>
    </r>
  </si>
  <si>
    <t>两</t>
  </si>
  <si>
    <t>&lt;ruby&gt;两&lt;rt&gt;liǎng&lt;/rt&gt;&lt;/ruby&gt;</t>
  </si>
  <si>
    <t>liǎng</t>
  </si>
  <si>
    <t>hai</t>
  </si>
  <si>
    <r>
      <rPr>
        <sz val="10"/>
        <color theme="1"/>
        <rFont val="Arial"/>
      </rPr>
      <t>我有</t>
    </r>
    <r>
      <rPr>
        <b/>
        <sz val="10"/>
        <color theme="1"/>
        <rFont val="Arial"/>
      </rPr>
      <t>两</t>
    </r>
    <r>
      <rPr>
        <sz val="10"/>
        <color theme="1"/>
        <rFont val="Arial"/>
      </rPr>
      <t>个哥哥。</t>
    </r>
  </si>
  <si>
    <t>Wǒ yǒu liǎng gè gēge.</t>
  </si>
  <si>
    <t>Tôi có hai anh trai.</t>
  </si>
  <si>
    <t>H2_B4_BG-11.gif</t>
  </si>
  <si>
    <t>帮</t>
  </si>
  <si>
    <t>giúp, giúp đỡ</t>
  </si>
  <si>
    <r>
      <rPr>
        <sz val="10"/>
        <color theme="1"/>
        <rFont val="Arial"/>
      </rPr>
      <t>她在</t>
    </r>
    <r>
      <rPr>
        <b/>
        <sz val="10"/>
        <color theme="1"/>
        <rFont val="Arial"/>
      </rPr>
      <t>帮</t>
    </r>
    <r>
      <rPr>
        <sz val="10"/>
        <color theme="1"/>
        <rFont val="Arial"/>
      </rPr>
      <t>老太太过马路。</t>
    </r>
  </si>
  <si>
    <t>Tā zài bāng lǎo tàitai guò mǎlù.</t>
  </si>
  <si>
    <t>Cô ấy đang giúp bà cụ qua đường.</t>
  </si>
  <si>
    <t>H2_B4_BG-12.gif</t>
  </si>
  <si>
    <r>
      <rPr>
        <sz val="11"/>
        <color rgb="FF000000"/>
        <rFont val="Calibri"/>
      </rPr>
      <t>我来</t>
    </r>
    <r>
      <rPr>
        <b/>
        <sz val="11"/>
        <color rgb="FF000000"/>
        <rFont val="Calibri"/>
      </rPr>
      <t>介绍</t>
    </r>
    <r>
      <rPr>
        <sz val="11"/>
        <color rgb="FF000000"/>
        <rFont val="Calibri"/>
      </rPr>
      <t>一下我的朋友吧。</t>
    </r>
  </si>
  <si>
    <r>
      <rPr>
        <sz val="10"/>
        <color theme="1"/>
        <rFont val="Calibri"/>
      </rPr>
      <t>这个公寓从</t>
    </r>
    <r>
      <rPr>
        <b/>
        <sz val="10"/>
        <color theme="1"/>
        <rFont val="Calibri"/>
      </rPr>
      <t>外面</t>
    </r>
    <r>
      <rPr>
        <sz val="10"/>
        <color theme="1"/>
        <rFont val="Calibri"/>
      </rPr>
      <t>看起来非常坚固。</t>
    </r>
  </si>
  <si>
    <r>
      <rPr>
        <sz val="10"/>
        <color theme="1"/>
        <rFont val="Calibri"/>
      </rPr>
      <t>我正在</t>
    </r>
    <r>
      <rPr>
        <b/>
        <sz val="10"/>
        <color theme="1"/>
        <rFont val="Calibri"/>
      </rPr>
      <t>准备</t>
    </r>
    <r>
      <rPr>
        <sz val="10"/>
        <color theme="1"/>
        <rFont val="Calibri"/>
      </rPr>
      <t>明天的考试。</t>
    </r>
  </si>
  <si>
    <r>
      <rPr>
        <sz val="10"/>
        <color theme="1"/>
        <rFont val="Calibri"/>
      </rPr>
      <t>电影马上</t>
    </r>
    <r>
      <rPr>
        <b/>
        <sz val="10"/>
        <color theme="1"/>
        <rFont val="Calibri"/>
      </rPr>
      <t>就</t>
    </r>
    <r>
      <rPr>
        <sz val="10"/>
        <color theme="1"/>
        <rFont val="Calibri"/>
      </rPr>
      <t>要开始了。</t>
    </r>
  </si>
  <si>
    <t>được dùng ở cuối câu để chỉ sự thương lượng, lời đề nghị, thỉnh cầu hay mệnh lệnh</t>
  </si>
  <si>
    <r>
      <rPr>
        <sz val="10"/>
        <color theme="1"/>
        <rFont val="Calibri"/>
      </rPr>
      <t>我们早点出发</t>
    </r>
    <r>
      <rPr>
        <b/>
        <sz val="10"/>
        <color theme="1"/>
        <rFont val="Calibri"/>
      </rPr>
      <t>吧</t>
    </r>
    <r>
      <rPr>
        <sz val="10"/>
        <color theme="1"/>
        <rFont val="Calibri"/>
      </rPr>
      <t>。</t>
    </r>
  </si>
  <si>
    <t>Wǒmen zǎodiǎn chūfā ba.</t>
  </si>
  <si>
    <t>Chúng ta xuất phát sớm một chút nhé.</t>
  </si>
  <si>
    <t>H2_B5_BG-04.gif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</si>
  <si>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对</t>
    </r>
    <r>
      <rPr>
        <sz val="10"/>
        <color theme="1"/>
        <rFont val="Calibri"/>
      </rPr>
      <t>这份工作很有信心。</t>
    </r>
  </si>
  <si>
    <t>H2_B5_BG-05.gif</t>
  </si>
  <si>
    <t>sau này</t>
  </si>
  <si>
    <r>
      <rPr>
        <b/>
        <sz val="10"/>
        <color theme="1"/>
        <rFont val="Calibri"/>
      </rPr>
      <t>以后</t>
    </r>
    <r>
      <rPr>
        <sz val="10"/>
        <color theme="1"/>
        <rFont val="Calibri"/>
      </rPr>
      <t>我想成为一名医生。</t>
    </r>
  </si>
  <si>
    <t>H2_B5_BG-06.gif</t>
  </si>
  <si>
    <r>
      <rPr>
        <sz val="10"/>
        <color theme="1"/>
        <rFont val="Calibri"/>
      </rPr>
      <t>我期中</t>
    </r>
    <r>
      <rPr>
        <b/>
        <sz val="10"/>
        <color theme="1"/>
        <rFont val="Calibri"/>
      </rPr>
      <t>考试</t>
    </r>
    <r>
      <rPr>
        <sz val="10"/>
        <color theme="1"/>
        <rFont val="Calibri"/>
      </rPr>
      <t>没考好。</t>
    </r>
  </si>
  <si>
    <r>
      <rPr>
        <sz val="10"/>
        <color theme="1"/>
        <rFont val="Calibri"/>
      </rPr>
      <t>我不太喜欢吃</t>
    </r>
    <r>
      <rPr>
        <b/>
        <sz val="10"/>
        <color theme="1"/>
        <rFont val="Calibri"/>
      </rPr>
      <t>鱼</t>
    </r>
    <r>
      <rPr>
        <sz val="10"/>
        <color theme="1"/>
        <rFont val="Calibri"/>
      </rPr>
      <t>。</t>
    </r>
  </si>
  <si>
    <r>
      <rPr>
        <sz val="10"/>
        <color theme="1"/>
        <rFont val="Calibri"/>
      </rPr>
      <t>那</t>
    </r>
    <r>
      <rPr>
        <b/>
        <sz val="10"/>
        <color theme="1"/>
        <rFont val="Calibri"/>
      </rPr>
      <t>件</t>
    </r>
    <r>
      <rPr>
        <sz val="10"/>
        <color theme="1"/>
        <rFont val="Calibri"/>
      </rPr>
      <t>衣服有点宽。</t>
    </r>
  </si>
  <si>
    <t>H2_B5_BG-09.gif</t>
  </si>
  <si>
    <r>
      <rPr>
        <sz val="10"/>
        <color theme="1"/>
        <rFont val="Calibri"/>
      </rPr>
      <t>这顿饭做得</t>
    </r>
    <r>
      <rPr>
        <b/>
        <sz val="10"/>
        <color theme="1"/>
        <rFont val="Calibri"/>
      </rPr>
      <t>还</t>
    </r>
    <r>
      <rPr>
        <sz val="10"/>
        <color theme="1"/>
        <rFont val="Calibri"/>
      </rPr>
      <t>可以。</t>
    </r>
  </si>
  <si>
    <t>H2_B5_BG-10.gif</t>
  </si>
  <si>
    <r>
      <rPr>
        <sz val="10"/>
        <color theme="1"/>
        <rFont val="Calibri"/>
      </rPr>
      <t>他说他</t>
    </r>
    <r>
      <rPr>
        <b/>
        <sz val="10"/>
        <color theme="1"/>
        <rFont val="Calibri"/>
      </rPr>
      <t>可以</t>
    </r>
    <r>
      <rPr>
        <sz val="10"/>
        <color theme="1"/>
        <rFont val="Calibri"/>
      </rPr>
      <t>帮忙。</t>
    </r>
  </si>
  <si>
    <t>H2_B5_BG-11.gif</t>
  </si>
  <si>
    <r>
      <rPr>
        <sz val="10"/>
        <color theme="1"/>
        <rFont val="Calibri"/>
      </rPr>
      <t>你做得</t>
    </r>
    <r>
      <rPr>
        <b/>
        <sz val="10"/>
        <color theme="1"/>
        <rFont val="Calibri"/>
      </rPr>
      <t>不错</t>
    </r>
    <r>
      <rPr>
        <sz val="10"/>
        <color theme="1"/>
        <rFont val="Calibri"/>
      </rPr>
      <t>！</t>
    </r>
  </si>
  <si>
    <r>
      <rPr>
        <sz val="10"/>
        <color theme="1"/>
        <rFont val="Calibri"/>
      </rPr>
      <t>我早上经常喝</t>
    </r>
    <r>
      <rPr>
        <b/>
        <sz val="10"/>
        <color theme="1"/>
        <rFont val="Calibri"/>
      </rPr>
      <t>咖啡</t>
    </r>
    <r>
      <rPr>
        <sz val="10"/>
        <color theme="1"/>
        <rFont val="Calibri"/>
      </rPr>
      <t>。</t>
    </r>
  </si>
  <si>
    <r>
      <rPr>
        <sz val="10"/>
        <color theme="1"/>
        <rFont val="Calibri"/>
      </rPr>
      <t>这个汉字的</t>
    </r>
    <r>
      <rPr>
        <b/>
        <sz val="10"/>
        <color theme="1"/>
        <rFont val="Calibri"/>
      </rPr>
      <t>意思</t>
    </r>
    <r>
      <rPr>
        <sz val="10"/>
        <color theme="1"/>
        <rFont val="Calibri"/>
      </rPr>
      <t>是什么？</t>
    </r>
  </si>
  <si>
    <t>门</t>
  </si>
  <si>
    <t>cửa, cổng</t>
  </si>
  <si>
    <r>
      <rPr>
        <sz val="10"/>
        <color theme="1"/>
        <rFont val="Calibri"/>
      </rPr>
      <t>我已经把</t>
    </r>
    <r>
      <rPr>
        <b/>
        <sz val="10"/>
        <color theme="1"/>
        <rFont val="Calibri"/>
      </rPr>
      <t>门</t>
    </r>
    <r>
      <rPr>
        <sz val="10"/>
        <color theme="1"/>
        <rFont val="Calibri"/>
      </rPr>
      <t>关上了。</t>
    </r>
  </si>
  <si>
    <t>Wǒ yǐjīng bǎ mén guān shàng le.</t>
  </si>
  <si>
    <t>Tôi đã đóng cửa lại.</t>
  </si>
  <si>
    <t>H2_B6_BG-01.gif</t>
  </si>
  <si>
    <r>
      <rPr>
        <sz val="10"/>
        <color theme="1"/>
        <rFont val="Calibri"/>
      </rPr>
      <t>我们在室</t>
    </r>
    <r>
      <rPr>
        <b/>
        <sz val="10"/>
        <color theme="1"/>
        <rFont val="Calibri"/>
      </rPr>
      <t>外</t>
    </r>
    <r>
      <rPr>
        <sz val="10"/>
        <color theme="1"/>
        <rFont val="Calibri"/>
      </rPr>
      <t>运动。</t>
    </r>
  </si>
  <si>
    <t>H2_B6_BG-02.gif</t>
  </si>
  <si>
    <t>xe đạp</t>
  </si>
  <si>
    <r>
      <rPr>
        <sz val="10"/>
        <color theme="1"/>
        <rFont val="Calibri"/>
      </rPr>
      <t>妈妈送给我一辆新</t>
    </r>
    <r>
      <rPr>
        <b/>
        <sz val="10"/>
        <color theme="1"/>
        <rFont val="Calibri"/>
      </rPr>
      <t>自行车</t>
    </r>
    <r>
      <rPr>
        <sz val="10"/>
        <color theme="1"/>
        <rFont val="Calibri"/>
      </rPr>
      <t>。</t>
    </r>
  </si>
  <si>
    <t>H2_B6_BG-03.gif</t>
  </si>
  <si>
    <r>
      <rPr>
        <sz val="10"/>
        <color theme="1"/>
        <rFont val="Calibri"/>
      </rPr>
      <t>这袋蔬菜重1</t>
    </r>
    <r>
      <rPr>
        <b/>
        <sz val="10"/>
        <color theme="1"/>
        <rFont val="Calibri"/>
      </rPr>
      <t>公斤</t>
    </r>
    <r>
      <rPr>
        <sz val="10"/>
        <color theme="1"/>
        <rFont val="Calibri"/>
      </rPr>
      <t>。</t>
    </r>
  </si>
  <si>
    <t>H2_B6_BG-04.gif</t>
  </si>
  <si>
    <r>
      <rPr>
        <sz val="10"/>
        <color theme="1"/>
        <rFont val="Calibri"/>
      </rPr>
      <t>我很喜欢和</t>
    </r>
    <r>
      <rPr>
        <b/>
        <sz val="10"/>
        <color theme="1"/>
        <rFont val="Calibri"/>
      </rPr>
      <t>姐姐</t>
    </r>
    <r>
      <rPr>
        <sz val="10"/>
        <color theme="1"/>
        <rFont val="Calibri"/>
      </rPr>
      <t>聊天。</t>
    </r>
  </si>
  <si>
    <t>H2_B6_BG-05.gif</t>
  </si>
  <si>
    <t>羊肉</t>
  </si>
  <si>
    <t>&lt;ruby&gt;羊肉&lt;rt&gt;yángròu&lt;/rt&gt;&lt;/ruby&gt;</t>
  </si>
  <si>
    <t>yángròu</t>
  </si>
  <si>
    <t>thịt dê/cừu</t>
  </si>
  <si>
    <r>
      <rPr>
        <sz val="10"/>
        <color theme="1"/>
        <rFont val="Calibri"/>
      </rPr>
      <t>我从来没吃过</t>
    </r>
    <r>
      <rPr>
        <b/>
        <sz val="10"/>
        <color theme="1"/>
        <rFont val="Calibri"/>
      </rPr>
      <t>羊肉</t>
    </r>
    <r>
      <rPr>
        <sz val="10"/>
        <color theme="1"/>
        <rFont val="Calibri"/>
      </rPr>
      <t>。</t>
    </r>
  </si>
  <si>
    <t>Wǒ cónglái méi chī guò yángròu.</t>
  </si>
  <si>
    <t>Tôi chưa ăn thịt dê bao giờ.</t>
  </si>
  <si>
    <t>H2_B6_BG-06.gif</t>
  </si>
  <si>
    <t>ngon</t>
  </si>
  <si>
    <r>
      <rPr>
        <sz val="10"/>
        <color theme="1"/>
        <rFont val="Calibri"/>
      </rPr>
      <t>这碗面条真</t>
    </r>
    <r>
      <rPr>
        <b/>
        <sz val="10"/>
        <color theme="1"/>
        <rFont val="Calibri"/>
      </rPr>
      <t>好吃</t>
    </r>
    <r>
      <rPr>
        <sz val="10"/>
        <color theme="1"/>
        <rFont val="Calibri"/>
      </rPr>
      <t>！</t>
    </r>
  </si>
  <si>
    <t>Zhè wǎn miàntiáo zhēn hǎochī!</t>
  </si>
  <si>
    <t>Món mì này rất ngon.</t>
  </si>
  <si>
    <t>H2_B6_BG-07.gif</t>
  </si>
  <si>
    <t>面条</t>
  </si>
  <si>
    <t>&lt;ruby&gt;面条&lt;rt&gt;miàntiáo&lt;/rt&gt;&lt;/ruby&gt;</t>
  </si>
  <si>
    <t>miàntiáo</t>
  </si>
  <si>
    <t>mì sợi</t>
  </si>
  <si>
    <r>
      <rPr>
        <sz val="10"/>
        <color theme="1"/>
        <rFont val="Calibri"/>
      </rPr>
      <t>我喜欢吃</t>
    </r>
    <r>
      <rPr>
        <b/>
        <sz val="10"/>
        <color theme="1"/>
        <rFont val="Calibri"/>
      </rPr>
      <t>面条</t>
    </r>
    <r>
      <rPr>
        <sz val="10"/>
        <color theme="1"/>
        <rFont val="Calibri"/>
      </rPr>
      <t>。</t>
    </r>
  </si>
  <si>
    <t>Wǒ xǐhuan chī miàntiáo.</t>
  </si>
  <si>
    <t>H2_B6_BG-08.gif</t>
  </si>
  <si>
    <t>打篮球</t>
  </si>
  <si>
    <t>&lt;ruby&gt;打篮球&lt;rt&gt;dǎ lánqiú&lt;/rt&gt;&lt;/ruby&gt;</t>
  </si>
  <si>
    <t>dǎ lánqiú</t>
  </si>
  <si>
    <t>chơi bóng rổ</t>
  </si>
  <si>
    <r>
      <rPr>
        <sz val="10"/>
        <color theme="1"/>
        <rFont val="Calibri"/>
      </rPr>
      <t>他放学后喜欢</t>
    </r>
    <r>
      <rPr>
        <b/>
        <sz val="10"/>
        <color theme="1"/>
        <rFont val="Calibri"/>
      </rPr>
      <t>打篮球</t>
    </r>
    <r>
      <rPr>
        <sz val="10"/>
        <color theme="1"/>
        <rFont val="Calibri"/>
      </rPr>
      <t>。</t>
    </r>
  </si>
  <si>
    <t>Tā fàngxué hòu xǐhuan dǎ lánqiú.</t>
  </si>
  <si>
    <t>Anh ấy thích chơi bóng rổ sau giờ học.</t>
  </si>
  <si>
    <t>H2_B6_BG-09.gif</t>
  </si>
  <si>
    <r>
      <rPr>
        <sz val="10"/>
        <color theme="1"/>
        <rFont val="Calibri"/>
      </rPr>
      <t>我周末经常去</t>
    </r>
    <r>
      <rPr>
        <b/>
        <sz val="10"/>
        <color theme="1"/>
        <rFont val="Calibri"/>
      </rPr>
      <t>游泳</t>
    </r>
    <r>
      <rPr>
        <sz val="10"/>
        <color theme="1"/>
        <rFont val="Calibri"/>
      </rPr>
      <t>。</t>
    </r>
  </si>
  <si>
    <r>
      <rPr>
        <sz val="10"/>
        <color theme="1"/>
        <rFont val="Calibri"/>
      </rPr>
      <t>她</t>
    </r>
    <r>
      <rPr>
        <b/>
        <sz val="10"/>
        <color theme="1"/>
        <rFont val="Calibri"/>
      </rPr>
      <t>因为</t>
    </r>
    <r>
      <rPr>
        <sz val="10"/>
        <color theme="1"/>
        <rFont val="Calibri"/>
      </rPr>
      <t>生病，所以没去上班。</t>
    </r>
  </si>
  <si>
    <r>
      <rPr>
        <sz val="10"/>
        <color theme="1"/>
        <rFont val="Calibri"/>
      </rPr>
      <t>我喜欢看书，</t>
    </r>
    <r>
      <rPr>
        <b/>
        <sz val="10"/>
        <color theme="1"/>
        <rFont val="Calibri"/>
      </rPr>
      <t>所以</t>
    </r>
    <r>
      <rPr>
        <sz val="10"/>
        <color theme="1"/>
        <rFont val="Calibri"/>
      </rPr>
      <t>去了图书馆。</t>
    </r>
  </si>
  <si>
    <r>
      <rPr>
        <sz val="10"/>
        <color theme="1"/>
        <rFont val="Calibri"/>
      </rPr>
      <t>你</t>
    </r>
    <r>
      <rPr>
        <b/>
        <sz val="10"/>
        <color theme="1"/>
        <rFont val="Calibri"/>
      </rPr>
      <t>经常</t>
    </r>
    <r>
      <rPr>
        <sz val="10"/>
        <color theme="1"/>
        <rFont val="Calibri"/>
      </rPr>
      <t>打羽毛球吗？</t>
    </r>
  </si>
  <si>
    <r>
      <rPr>
        <sz val="10"/>
        <color theme="1"/>
        <rFont val="Calibri"/>
      </rPr>
      <t>学生们已经离开了</t>
    </r>
    <r>
      <rPr>
        <b/>
        <sz val="10"/>
        <color theme="1"/>
        <rFont val="Calibri"/>
      </rPr>
      <t>教室</t>
    </r>
    <r>
      <rPr>
        <sz val="10"/>
        <color theme="1"/>
        <rFont val="Calibri"/>
      </rPr>
      <t>。</t>
    </r>
  </si>
  <si>
    <r>
      <rPr>
        <sz val="10"/>
        <color theme="1"/>
        <rFont val="Calibri"/>
      </rPr>
      <t>我及时到达了</t>
    </r>
    <r>
      <rPr>
        <b/>
        <sz val="10"/>
        <color theme="1"/>
        <rFont val="Calibri"/>
      </rPr>
      <t>机场</t>
    </r>
    <r>
      <rPr>
        <sz val="10"/>
        <color theme="1"/>
        <rFont val="Calibri"/>
      </rPr>
      <t>办理手续。</t>
    </r>
  </si>
  <si>
    <t>路</t>
  </si>
  <si>
    <t>lù</t>
  </si>
  <si>
    <t>đường, lối đi</t>
  </si>
  <si>
    <r>
      <rPr>
        <sz val="10"/>
        <color theme="1"/>
        <rFont val="Calibri"/>
      </rPr>
      <t>这条</t>
    </r>
    <r>
      <rPr>
        <b/>
        <sz val="10"/>
        <color theme="1"/>
        <rFont val="Calibri"/>
      </rPr>
      <t>路</t>
    </r>
    <r>
      <rPr>
        <sz val="10"/>
        <color theme="1"/>
        <rFont val="Calibri"/>
      </rPr>
      <t>很宽。</t>
    </r>
  </si>
  <si>
    <t>Zhè tiáo lù hěn kuān.</t>
  </si>
  <si>
    <t>Con đường này rộng quá.</t>
  </si>
  <si>
    <t>H2_B7_BG-03.gif</t>
  </si>
  <si>
    <r>
      <rPr>
        <sz val="10"/>
        <color theme="1"/>
        <rFont val="Calibri"/>
      </rPr>
      <t>那栋大楼是我的</t>
    </r>
    <r>
      <rPr>
        <b/>
        <sz val="10"/>
        <color theme="1"/>
        <rFont val="Calibri"/>
      </rPr>
      <t>公司</t>
    </r>
    <r>
      <rPr>
        <sz val="10"/>
        <color theme="1"/>
        <rFont val="Calibri"/>
      </rPr>
      <t>。</t>
    </r>
  </si>
  <si>
    <t>H2_B7_BG-04.gif</t>
  </si>
  <si>
    <t>公共汽车</t>
  </si>
  <si>
    <t>&lt;ruby&gt;公共汽车&lt;rt&gt;gōnggòng qìchē&lt;/rt&gt;&lt;/ruby&gt;</t>
  </si>
  <si>
    <t>gōnggòng qìchē</t>
  </si>
  <si>
    <t>xe buýt</t>
  </si>
  <si>
    <r>
      <rPr>
        <sz val="10"/>
        <color theme="1"/>
        <rFont val="Calibri"/>
      </rPr>
      <t>我经常坐</t>
    </r>
    <r>
      <rPr>
        <b/>
        <sz val="10"/>
        <color theme="1"/>
        <rFont val="Calibri"/>
      </rPr>
      <t>公共汽车</t>
    </r>
    <r>
      <rPr>
        <sz val="10"/>
        <color theme="1"/>
        <rFont val="Calibri"/>
      </rPr>
      <t>去上学。</t>
    </r>
  </si>
  <si>
    <t>Wǒ jīngcháng zuò gōnggòng qìchē qù shàngxué.</t>
  </si>
  <si>
    <t>Tôi thường đi học bằng xe buýt.</t>
  </si>
  <si>
    <t>H2_B7_BG-05.gif</t>
  </si>
  <si>
    <r>
      <rPr>
        <sz val="10"/>
        <color theme="1"/>
        <rFont val="Calibri"/>
      </rPr>
      <t>会议持续了一个</t>
    </r>
    <r>
      <rPr>
        <b/>
        <sz val="10"/>
        <color theme="1"/>
        <rFont val="Calibri"/>
      </rPr>
      <t>小时</t>
    </r>
    <r>
      <rPr>
        <sz val="10"/>
        <color theme="1"/>
        <rFont val="Calibri"/>
      </rPr>
      <t>。</t>
    </r>
  </si>
  <si>
    <t>H2_B7_BG-06.gif</t>
  </si>
  <si>
    <t>慢</t>
  </si>
  <si>
    <t>chậm</t>
  </si>
  <si>
    <r>
      <rPr>
        <sz val="10"/>
        <color theme="1"/>
        <rFont val="Calibri"/>
      </rPr>
      <t>这只蜗牛爬得很</t>
    </r>
    <r>
      <rPr>
        <b/>
        <sz val="10"/>
        <color theme="1"/>
        <rFont val="Calibri"/>
      </rPr>
      <t>慢</t>
    </r>
    <r>
      <rPr>
        <sz val="10"/>
        <color theme="1"/>
        <rFont val="Calibri"/>
      </rPr>
      <t>。</t>
    </r>
  </si>
  <si>
    <t>Zhè zhī wōniú pá de hěn màn.</t>
  </si>
  <si>
    <t>Con ốc sên này bò thật chậm</t>
  </si>
  <si>
    <t>H2_B7_BG-07.gif</t>
  </si>
  <si>
    <r>
      <rPr>
        <sz val="10"/>
        <color theme="1"/>
        <rFont val="Calibri"/>
      </rPr>
      <t>他跑得很</t>
    </r>
    <r>
      <rPr>
        <b/>
        <sz val="10"/>
        <color theme="1"/>
        <rFont val="Calibri"/>
      </rPr>
      <t>快</t>
    </r>
    <r>
      <rPr>
        <sz val="10"/>
        <color theme="1"/>
        <rFont val="Calibri"/>
      </rPr>
      <t>。</t>
    </r>
  </si>
  <si>
    <r>
      <rPr>
        <sz val="10"/>
        <color theme="1"/>
        <rFont val="Calibri"/>
      </rPr>
      <t>我回老家</t>
    </r>
    <r>
      <rPr>
        <b/>
        <sz val="10"/>
        <color theme="1"/>
        <rFont val="Calibri"/>
      </rPr>
      <t>过</t>
    </r>
    <r>
      <rPr>
        <sz val="10"/>
        <color theme="1"/>
        <rFont val="Calibri"/>
      </rPr>
      <t>年，和家人一起庆祝。</t>
    </r>
  </si>
  <si>
    <r>
      <rPr>
        <sz val="10"/>
        <color theme="1"/>
        <rFont val="Calibri"/>
      </rPr>
      <t>我们</t>
    </r>
    <r>
      <rPr>
        <b/>
        <sz val="10"/>
        <color theme="1"/>
        <rFont val="Calibri"/>
      </rPr>
      <t>走</t>
    </r>
    <r>
      <rPr>
        <sz val="10"/>
        <color theme="1"/>
        <rFont val="Calibri"/>
      </rPr>
      <t>路去学校吧。</t>
    </r>
  </si>
  <si>
    <r>
      <rPr>
        <sz val="10"/>
        <color theme="1"/>
        <rFont val="Calibri"/>
      </rPr>
      <t>他们</t>
    </r>
    <r>
      <rPr>
        <b/>
        <sz val="10"/>
        <color theme="1"/>
        <rFont val="Calibri"/>
      </rPr>
      <t>到</t>
    </r>
    <r>
      <rPr>
        <sz val="10"/>
        <color theme="1"/>
        <rFont val="Calibri"/>
      </rPr>
      <t>饭馆吃饭。</t>
    </r>
  </si>
  <si>
    <t>H2_B7_BG-11.gif</t>
  </si>
  <si>
    <r>
      <rPr>
        <sz val="10"/>
        <color theme="1"/>
        <rFont val="Calibri"/>
      </rPr>
      <t>公司</t>
    </r>
    <r>
      <rPr>
        <b/>
        <sz val="10"/>
        <color theme="1"/>
        <rFont val="Calibri"/>
      </rPr>
      <t>离</t>
    </r>
    <r>
      <rPr>
        <sz val="10"/>
        <color theme="1"/>
        <rFont val="Calibri"/>
      </rPr>
      <t>地铁站很近。</t>
    </r>
  </si>
  <si>
    <r>
      <rPr>
        <sz val="10"/>
        <color theme="1"/>
        <rFont val="Calibri"/>
      </rPr>
      <t>我家离学校很</t>
    </r>
    <r>
      <rPr>
        <b/>
        <sz val="10"/>
        <color theme="1"/>
        <rFont val="Calibri"/>
      </rPr>
      <t>远</t>
    </r>
    <r>
      <rPr>
        <sz val="10"/>
        <color theme="1"/>
        <rFont val="Calibri"/>
      </rPr>
      <t>。</t>
    </r>
  </si>
  <si>
    <r>
      <rPr>
        <sz val="11"/>
        <color theme="1"/>
        <rFont val="Calibri"/>
      </rPr>
      <t>我们</t>
    </r>
    <r>
      <rPr>
        <b/>
        <sz val="11"/>
        <color theme="1"/>
        <rFont val="Calibri"/>
      </rPr>
      <t>再</t>
    </r>
    <r>
      <rPr>
        <sz val="11"/>
        <color theme="1"/>
        <rFont val="Calibri"/>
      </rPr>
      <t>听一遍这首音乐。</t>
    </r>
  </si>
  <si>
    <t>H2_B8_BG-01.gif</t>
  </si>
  <si>
    <r>
      <rPr>
        <sz val="11"/>
        <color rgb="FF000000"/>
        <rFont val="Calibri"/>
      </rPr>
      <t>老师</t>
    </r>
    <r>
      <rPr>
        <b/>
        <sz val="11"/>
        <color rgb="FF000000"/>
        <rFont val="Calibri"/>
      </rPr>
      <t>让</t>
    </r>
    <r>
      <rPr>
        <sz val="11"/>
        <color rgb="FF000000"/>
        <rFont val="Calibri"/>
      </rPr>
      <t>我去办公室。</t>
    </r>
  </si>
  <si>
    <r>
      <rPr>
        <b/>
        <sz val="11"/>
        <color rgb="FF000000"/>
        <rFont val="Calibri"/>
      </rPr>
      <t>告诉</t>
    </r>
    <r>
      <rPr>
        <sz val="11"/>
        <color rgb="FF000000"/>
        <rFont val="Calibri"/>
      </rPr>
      <t>我你的地址。</t>
    </r>
  </si>
  <si>
    <r>
      <rPr>
        <sz val="11"/>
        <color rgb="FF000000"/>
        <rFont val="Calibri"/>
      </rPr>
      <t>我在车站</t>
    </r>
    <r>
      <rPr>
        <b/>
        <sz val="11"/>
        <color rgb="FF000000"/>
        <rFont val="Calibri"/>
      </rPr>
      <t>等</t>
    </r>
    <r>
      <rPr>
        <sz val="11"/>
        <color rgb="FF000000"/>
        <rFont val="Calibri"/>
      </rPr>
      <t>车。</t>
    </r>
  </si>
  <si>
    <r>
      <rPr>
        <sz val="11"/>
        <color rgb="FF000000"/>
        <rFont val="Calibri"/>
      </rPr>
      <t>我正在</t>
    </r>
    <r>
      <rPr>
        <b/>
        <sz val="11"/>
        <color rgb="FF000000"/>
        <rFont val="Calibri"/>
      </rPr>
      <t>找</t>
    </r>
    <r>
      <rPr>
        <sz val="11"/>
        <color rgb="FF000000"/>
        <rFont val="Calibri"/>
      </rPr>
      <t>钥匙。</t>
    </r>
  </si>
  <si>
    <t>H2_B8_BG-05.gif</t>
  </si>
  <si>
    <r>
      <rPr>
        <sz val="11"/>
        <color theme="1"/>
        <rFont val="Calibri"/>
      </rPr>
      <t>他讲述了</t>
    </r>
    <r>
      <rPr>
        <b/>
        <sz val="11"/>
        <color theme="1"/>
        <rFont val="Calibri"/>
      </rPr>
      <t>事情</t>
    </r>
    <r>
      <rPr>
        <sz val="11"/>
        <color theme="1"/>
        <rFont val="Calibri"/>
      </rPr>
      <t>的经过。</t>
    </r>
  </si>
  <si>
    <r>
      <rPr>
        <b/>
        <sz val="11"/>
        <color theme="1"/>
        <rFont val="Calibri"/>
      </rPr>
      <t>服务员</t>
    </r>
    <r>
      <rPr>
        <sz val="11"/>
        <color theme="1"/>
        <rFont val="Calibri"/>
      </rPr>
      <t>给我们上菜。</t>
    </r>
  </si>
  <si>
    <t>H2_B8_BG-07.gif</t>
  </si>
  <si>
    <t>白</t>
  </si>
  <si>
    <t>&lt;ruby&gt;白&lt;rt&gt;bái&lt;/rt&gt;&lt;/ruby&gt;</t>
  </si>
  <si>
    <t>bái</t>
  </si>
  <si>
    <t>có màu trắng</t>
  </si>
  <si>
    <r>
      <rPr>
        <sz val="11"/>
        <color theme="1"/>
        <rFont val="Calibri"/>
      </rPr>
      <t>屋顶上铺满了</t>
    </r>
    <r>
      <rPr>
        <b/>
        <sz val="11"/>
        <color theme="1"/>
        <rFont val="Calibri"/>
      </rPr>
      <t>白</t>
    </r>
    <r>
      <rPr>
        <sz val="11"/>
        <color theme="1"/>
        <rFont val="Calibri"/>
      </rPr>
      <t>色的雪。</t>
    </r>
  </si>
  <si>
    <t>Wūdǐng shàng pūmǎn le báisè de xuě.</t>
  </si>
  <si>
    <t>Mái nhà phủ đầy tuyết trắng.</t>
  </si>
  <si>
    <t>H2_B8_BG-08.gif</t>
  </si>
  <si>
    <t>黑</t>
  </si>
  <si>
    <t>&lt;ruby&gt;黑&lt;rt&gt;hēi&lt;/rt&gt;&lt;/ruby&gt;</t>
  </si>
  <si>
    <t>hēi</t>
  </si>
  <si>
    <t>có màu đen</t>
  </si>
  <si>
    <r>
      <rPr>
        <sz val="10"/>
        <color theme="1"/>
        <rFont val="Arial"/>
      </rPr>
      <t>烧过的木头变</t>
    </r>
    <r>
      <rPr>
        <b/>
        <sz val="10"/>
        <color theme="1"/>
        <rFont val="Arial"/>
      </rPr>
      <t>黑</t>
    </r>
    <r>
      <rPr>
        <sz val="10"/>
        <color theme="1"/>
        <rFont val="Arial"/>
      </rPr>
      <t>了。</t>
    </r>
  </si>
  <si>
    <t>Shāo guò de mùtou biàn hēi le.</t>
  </si>
  <si>
    <t>Củi cháy rồi trở nên đen.</t>
  </si>
  <si>
    <t>H2_B8_BG-09.gif</t>
  </si>
  <si>
    <r>
      <rPr>
        <sz val="11"/>
        <color theme="1"/>
        <rFont val="Calibri"/>
      </rPr>
      <t>那颗宝石非常</t>
    </r>
    <r>
      <rPr>
        <b/>
        <sz val="11"/>
        <color theme="1"/>
        <rFont val="Calibri"/>
      </rPr>
      <t>贵</t>
    </r>
    <r>
      <rPr>
        <sz val="11"/>
        <color theme="1"/>
        <rFont val="Calibri"/>
      </rPr>
      <t>。</t>
    </r>
  </si>
  <si>
    <t>H2_B8_BG-10.gif</t>
  </si>
  <si>
    <r>
      <rPr>
        <sz val="11"/>
        <color theme="1"/>
        <rFont val="Calibri"/>
      </rPr>
      <t>这道题做</t>
    </r>
    <r>
      <rPr>
        <b/>
        <sz val="11"/>
        <color theme="1"/>
        <rFont val="Calibri"/>
      </rPr>
      <t>错</t>
    </r>
    <r>
      <rPr>
        <sz val="11"/>
        <color theme="1"/>
        <rFont val="Calibri"/>
      </rPr>
      <t>了。</t>
    </r>
  </si>
  <si>
    <r>
      <rPr>
        <sz val="11"/>
        <color theme="1"/>
        <rFont val="Calibri"/>
      </rPr>
      <t>他</t>
    </r>
    <r>
      <rPr>
        <b/>
        <sz val="11"/>
        <color theme="1"/>
        <rFont val="Calibri"/>
      </rPr>
      <t>从</t>
    </r>
    <r>
      <rPr>
        <sz val="11"/>
        <color theme="1"/>
        <rFont val="Calibri"/>
      </rPr>
      <t>学校回家很快。</t>
    </r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</si>
  <si>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跳舞</t>
    </r>
    <r>
      <rPr>
        <sz val="11"/>
        <color theme="1"/>
        <rFont val="Calibri"/>
      </rPr>
      <t>跳得很漂亮。</t>
    </r>
  </si>
  <si>
    <t>第一</t>
  </si>
  <si>
    <t>&lt;ruby&gt;第一&lt;rt&gt;dì yī&lt;/rt&gt;&lt;/ruby&gt;</t>
  </si>
  <si>
    <t>dì yī</t>
  </si>
  <si>
    <t>thứ nhất, đầu tiên</t>
  </si>
  <si>
    <r>
      <rPr>
        <sz val="11"/>
        <color theme="1"/>
        <rFont val="Calibri"/>
      </rPr>
      <t>我是</t>
    </r>
    <r>
      <rPr>
        <b/>
        <sz val="11"/>
        <color theme="1"/>
        <rFont val="Calibri"/>
      </rPr>
      <t>第一</t>
    </r>
    <r>
      <rPr>
        <sz val="11"/>
        <color theme="1"/>
        <rFont val="Calibri"/>
      </rPr>
      <t>个到公司的。</t>
    </r>
  </si>
  <si>
    <t>Wǒ shì dì yī gè dào gōngsī de.</t>
  </si>
  <si>
    <t>Tôi là người đến công ty đầu tiên.</t>
  </si>
  <si>
    <t>H2_B9_BG-04.gif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</si>
  <si>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希望</t>
    </r>
    <r>
      <rPr>
        <sz val="11"/>
        <color theme="1"/>
        <rFont val="Calibri"/>
      </rPr>
      <t>成为优秀的学生。</t>
    </r>
  </si>
  <si>
    <r>
      <rPr>
        <sz val="11"/>
        <color theme="1"/>
        <rFont val="Calibri"/>
      </rPr>
      <t>公司最近出现了一些经济</t>
    </r>
    <r>
      <rPr>
        <b/>
        <sz val="11"/>
        <color theme="1"/>
        <rFont val="Calibri"/>
      </rPr>
      <t>问题</t>
    </r>
    <r>
      <rPr>
        <sz val="11"/>
        <color theme="1"/>
        <rFont val="Calibri"/>
      </rPr>
      <t>。</t>
    </r>
  </si>
  <si>
    <t>H2_B9_BG-06.gif</t>
  </si>
  <si>
    <t>hoan nghênh</t>
  </si>
  <si>
    <r>
      <rPr>
        <sz val="11"/>
        <color theme="1"/>
        <rFont val="Calibri"/>
      </rPr>
      <t>他们站在门口</t>
    </r>
    <r>
      <rPr>
        <b/>
        <sz val="11"/>
        <color theme="1"/>
        <rFont val="Calibri"/>
      </rPr>
      <t>欢迎</t>
    </r>
    <r>
      <rPr>
        <sz val="11"/>
        <color theme="1"/>
        <rFont val="Calibri"/>
      </rPr>
      <t>客人。</t>
    </r>
  </si>
  <si>
    <t>H2_B9_BG-07.gif</t>
  </si>
  <si>
    <r>
      <rPr>
        <sz val="11"/>
        <color theme="1"/>
        <rFont val="Calibri"/>
      </rPr>
      <t>我从星期一到星期五都要</t>
    </r>
    <r>
      <rPr>
        <b/>
        <sz val="11"/>
        <color theme="1"/>
        <rFont val="Calibri"/>
      </rPr>
      <t>上班</t>
    </r>
    <r>
      <rPr>
        <sz val="11"/>
        <color theme="1"/>
        <rFont val="Calibri"/>
      </rPr>
      <t>。</t>
    </r>
  </si>
  <si>
    <t>H2_B9_BG-08.gif</t>
  </si>
  <si>
    <r>
      <rPr>
        <sz val="11"/>
        <color theme="1"/>
        <rFont val="Calibri"/>
      </rPr>
      <t>我</t>
    </r>
    <r>
      <rPr>
        <b/>
        <sz val="11"/>
        <color theme="1"/>
        <rFont val="Calibri"/>
      </rPr>
      <t>懂</t>
    </r>
    <r>
      <rPr>
        <sz val="11"/>
        <color theme="1"/>
        <rFont val="Calibri"/>
      </rPr>
      <t>老师说的话了。</t>
    </r>
  </si>
  <si>
    <r>
      <rPr>
        <sz val="11"/>
        <color theme="1"/>
        <rFont val="Calibri"/>
      </rPr>
      <t>她已经吃</t>
    </r>
    <r>
      <rPr>
        <b/>
        <sz val="11"/>
        <color theme="1"/>
        <rFont val="Calibri"/>
      </rPr>
      <t>完</t>
    </r>
    <r>
      <rPr>
        <sz val="11"/>
        <color theme="1"/>
        <rFont val="Calibri"/>
      </rPr>
      <t>了。</t>
    </r>
  </si>
  <si>
    <t>题</t>
  </si>
  <si>
    <t>tí</t>
  </si>
  <si>
    <t>câu hỏi</t>
  </si>
  <si>
    <r>
      <rPr>
        <sz val="11"/>
        <color theme="1"/>
        <rFont val="Calibri"/>
      </rPr>
      <t>这道</t>
    </r>
    <r>
      <rPr>
        <b/>
        <sz val="11"/>
        <color theme="1"/>
        <rFont val="Calibri"/>
      </rPr>
      <t>题</t>
    </r>
    <r>
      <rPr>
        <sz val="11"/>
        <color theme="1"/>
        <rFont val="Calibri"/>
      </rPr>
      <t>的答案是什么？</t>
    </r>
  </si>
  <si>
    <t>Zhè dào tí de dá’àn shì shénme?</t>
  </si>
  <si>
    <t>Đáp án của câu hỏi này là gì?</t>
  </si>
  <si>
    <t>H2_B9_BG-11.gif</t>
  </si>
  <si>
    <r>
      <rPr>
        <sz val="11"/>
        <color theme="1"/>
        <rFont val="Calibri"/>
      </rPr>
      <t>我最喜欢数学</t>
    </r>
    <r>
      <rPr>
        <b/>
        <sz val="11"/>
        <color theme="1"/>
        <rFont val="Calibri"/>
      </rPr>
      <t>课</t>
    </r>
    <r>
      <rPr>
        <sz val="11"/>
        <color theme="1"/>
        <rFont val="Calibri"/>
      </rPr>
      <t>。</t>
    </r>
  </si>
  <si>
    <t>H2_B10_BG-01.gif</t>
  </si>
  <si>
    <t>giúp ích, giúp đỡ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</si>
  <si>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帮助</t>
    </r>
    <r>
      <rPr>
        <sz val="11"/>
        <color theme="1"/>
        <rFont val="Calibri"/>
      </rPr>
      <t>奶奶过马路。</t>
    </r>
  </si>
  <si>
    <t>H2_B10_BG-02.gif</t>
  </si>
  <si>
    <r>
      <rPr>
        <sz val="11"/>
        <color rgb="FF000000"/>
        <rFont val="Calibri"/>
      </rPr>
      <t>你</t>
    </r>
    <r>
      <rPr>
        <b/>
        <sz val="11"/>
        <color rgb="FF000000"/>
        <rFont val="Calibri"/>
      </rPr>
      <t>别</t>
    </r>
    <r>
      <rPr>
        <sz val="11"/>
        <color rgb="FF000000"/>
        <rFont val="Calibri"/>
      </rPr>
      <t>送花了，我不收。</t>
    </r>
  </si>
  <si>
    <r>
      <rPr>
        <sz val="11"/>
        <color rgb="FF000000"/>
        <rFont val="Calibri"/>
      </rPr>
      <t>我很爱我的</t>
    </r>
    <r>
      <rPr>
        <b/>
        <sz val="11"/>
        <color rgb="FF000000"/>
        <rFont val="Calibri"/>
      </rPr>
      <t>哥哥</t>
    </r>
    <r>
      <rPr>
        <sz val="11"/>
        <color rgb="FF000000"/>
        <rFont val="Calibri"/>
      </rPr>
      <t>。</t>
    </r>
  </si>
  <si>
    <t>H2_B10_BG-04.gif</t>
  </si>
  <si>
    <r>
      <rPr>
        <sz val="11"/>
        <color rgb="FF000000"/>
        <rFont val="Calibri"/>
      </rPr>
      <t>我刚买了六个</t>
    </r>
    <r>
      <rPr>
        <b/>
        <sz val="11"/>
        <color rgb="FF000000"/>
        <rFont val="Calibri"/>
      </rPr>
      <t>鸡蛋</t>
    </r>
    <r>
      <rPr>
        <sz val="11"/>
        <color rgb="FF000000"/>
        <rFont val="Calibri"/>
      </rPr>
      <t>。</t>
    </r>
  </si>
  <si>
    <t>H2_B10_BG-05.gif</t>
  </si>
  <si>
    <t>dưa hấu</t>
  </si>
  <si>
    <r>
      <rPr>
        <sz val="11"/>
        <color rgb="FF000000"/>
        <rFont val="Calibri"/>
      </rPr>
      <t>这个</t>
    </r>
    <r>
      <rPr>
        <b/>
        <sz val="11"/>
        <color rgb="FF000000"/>
        <rFont val="Calibri"/>
      </rPr>
      <t>西瓜</t>
    </r>
    <r>
      <rPr>
        <sz val="11"/>
        <color rgb="FF000000"/>
        <rFont val="Calibri"/>
      </rPr>
      <t>很甜。</t>
    </r>
  </si>
  <si>
    <t>H2_B10_BG-06.gif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</si>
  <si>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正在</t>
    </r>
    <r>
      <rPr>
        <sz val="11"/>
        <color rgb="FF000000"/>
        <rFont val="Calibri"/>
      </rPr>
      <t>做饭。</t>
    </r>
  </si>
  <si>
    <t>H2_B10_BG-07.gif</t>
  </si>
  <si>
    <r>
      <rPr>
        <sz val="11"/>
        <color rgb="FF000000"/>
        <rFont val="Calibri"/>
      </rPr>
      <t>妈妈给我买了新</t>
    </r>
    <r>
      <rPr>
        <b/>
        <sz val="11"/>
        <color rgb="FF000000"/>
        <rFont val="Calibri"/>
      </rPr>
      <t>手机</t>
    </r>
    <r>
      <rPr>
        <sz val="11"/>
        <color rgb="FF000000"/>
        <rFont val="Calibri"/>
      </rPr>
      <t>。</t>
    </r>
  </si>
  <si>
    <t>H2_B10_BG-08.gif</t>
  </si>
  <si>
    <r>
      <rPr>
        <sz val="11"/>
        <color rgb="FF000000"/>
        <rFont val="Calibri"/>
      </rPr>
      <t>我每天</t>
    </r>
    <r>
      <rPr>
        <b/>
        <sz val="11"/>
        <color rgb="FF000000"/>
        <rFont val="Calibri"/>
      </rPr>
      <t>洗</t>
    </r>
    <r>
      <rPr>
        <sz val="11"/>
        <color rgb="FF000000"/>
        <rFont val="Calibri"/>
      </rPr>
      <t>衣服。</t>
    </r>
  </si>
  <si>
    <t>唱歌</t>
  </si>
  <si>
    <t>&lt;ruby&gt;唱歌&lt;rt&gt;chàng gē&lt;/rt&gt;&lt;/ruby&gt;</t>
  </si>
  <si>
    <t>chàng gē</t>
  </si>
  <si>
    <t>hát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</si>
  <si>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唱歌</t>
    </r>
    <r>
      <rPr>
        <sz val="11"/>
        <color theme="1"/>
        <rFont val="Calibri"/>
      </rPr>
      <t>唱得很好。</t>
    </r>
  </si>
  <si>
    <t>Tā chànggē chàng de hěn hǎo.</t>
  </si>
  <si>
    <t>H2_B11_BG-01.gif</t>
  </si>
  <si>
    <r>
      <rPr>
        <sz val="11"/>
        <color rgb="FF000000"/>
        <rFont val="Calibri"/>
      </rPr>
      <t>班里有很多</t>
    </r>
    <r>
      <rPr>
        <b/>
        <sz val="11"/>
        <color rgb="FF000000"/>
        <rFont val="Calibri"/>
      </rPr>
      <t>男</t>
    </r>
    <r>
      <rPr>
        <sz val="11"/>
        <color rgb="FF000000"/>
        <rFont val="Calibri"/>
      </rPr>
      <t>同学。</t>
    </r>
  </si>
  <si>
    <t>H2_B11_BG-02.gif</t>
  </si>
  <si>
    <r>
      <rPr>
        <sz val="11"/>
        <color rgb="FF000000"/>
        <rFont val="Calibri"/>
      </rPr>
      <t>那个</t>
    </r>
    <r>
      <rPr>
        <b/>
        <sz val="11"/>
        <color rgb="FF000000"/>
        <rFont val="Calibri"/>
      </rPr>
      <t>女</t>
    </r>
    <r>
      <rPr>
        <sz val="11"/>
        <color rgb="FF000000"/>
        <rFont val="Calibri"/>
      </rPr>
      <t>孩子跳舞跳得很漂亮。</t>
    </r>
  </si>
  <si>
    <t>H2_B11_BG-03.gif</t>
  </si>
  <si>
    <r>
      <rPr>
        <b/>
        <sz val="11"/>
        <color rgb="FF000000"/>
        <rFont val="Calibri"/>
      </rPr>
      <t>孩子</t>
    </r>
    <r>
      <rPr>
        <sz val="11"/>
        <color rgb="FF000000"/>
        <rFont val="Calibri"/>
      </rPr>
      <t>们正在看电视。</t>
    </r>
  </si>
  <si>
    <t>H2_B11_BG-04.gif</t>
  </si>
  <si>
    <r>
      <rPr>
        <b/>
        <sz val="11"/>
        <color rgb="FF000000"/>
        <rFont val="Calibri"/>
      </rPr>
      <t>右边</t>
    </r>
    <r>
      <rPr>
        <sz val="11"/>
        <color rgb="FF000000"/>
        <rFont val="Calibri"/>
      </rPr>
      <t>有声音。</t>
    </r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</si>
  <si>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比</t>
    </r>
    <r>
      <rPr>
        <sz val="11"/>
        <color rgb="FF000000"/>
        <rFont val="Calibri"/>
      </rPr>
      <t>我画得好。</t>
    </r>
  </si>
  <si>
    <r>
      <rPr>
        <sz val="10"/>
        <color theme="1"/>
        <rFont val="Arial"/>
      </rPr>
      <t>这件衣服很</t>
    </r>
    <r>
      <rPr>
        <b/>
        <sz val="10"/>
        <color theme="1"/>
        <rFont val="Arial"/>
      </rPr>
      <t>便宜</t>
    </r>
    <r>
      <rPr>
        <sz val="10"/>
        <color theme="1"/>
        <rFont val="Arial"/>
      </rPr>
      <t>。</t>
    </r>
  </si>
  <si>
    <t>H2_B11_BG-07.gif</t>
  </si>
  <si>
    <r>
      <rPr>
        <sz val="11"/>
        <color rgb="FF000000"/>
        <rFont val="Calibri"/>
      </rPr>
      <t>他们</t>
    </r>
    <r>
      <rPr>
        <b/>
        <sz val="11"/>
        <color rgb="FF000000"/>
        <rFont val="Calibri"/>
      </rPr>
      <t>说话</t>
    </r>
    <r>
      <rPr>
        <sz val="11"/>
        <color rgb="FF000000"/>
        <rFont val="Calibri"/>
      </rPr>
      <t>说得很开心。</t>
    </r>
  </si>
  <si>
    <t>H2_B11_BG-08.gif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</si>
  <si>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可能</t>
    </r>
    <r>
      <rPr>
        <sz val="11"/>
        <color rgb="FF000000"/>
        <rFont val="Calibri"/>
      </rPr>
      <t>受伤了，需要帮助。</t>
    </r>
  </si>
  <si>
    <r>
      <rPr>
        <b/>
        <sz val="11"/>
        <color rgb="FF000000"/>
        <rFont val="Calibri"/>
      </rPr>
      <t>去年</t>
    </r>
    <r>
      <rPr>
        <sz val="11"/>
        <color rgb="FF000000"/>
        <rFont val="Calibri"/>
      </rPr>
      <t>我家去旅游了。</t>
    </r>
  </si>
  <si>
    <t>H2_B11_BG-10.gif</t>
  </si>
  <si>
    <r>
      <rPr>
        <sz val="11"/>
        <color rgb="FF000000"/>
        <rFont val="Calibri"/>
      </rPr>
      <t>我</t>
    </r>
    <r>
      <rPr>
        <b/>
        <sz val="11"/>
        <color rgb="FF000000"/>
        <rFont val="Calibri"/>
      </rPr>
      <t>姓</t>
    </r>
    <r>
      <rPr>
        <sz val="11"/>
        <color rgb="FF000000"/>
        <rFont val="Calibri"/>
      </rPr>
      <t>王。</t>
    </r>
  </si>
  <si>
    <t>được dùng sau động từ hay tính từ, theo sau 得 là bổ ngữ chỉ kết quả hay mức độ</t>
  </si>
  <si>
    <r>
      <rPr>
        <sz val="11"/>
        <color theme="1"/>
        <rFont val="Calibri"/>
      </rPr>
      <t>她能抬</t>
    </r>
    <r>
      <rPr>
        <b/>
        <sz val="11"/>
        <color theme="1"/>
        <rFont val="Calibri"/>
      </rPr>
      <t>得</t>
    </r>
    <r>
      <rPr>
        <sz val="11"/>
        <color theme="1"/>
        <rFont val="Calibri"/>
      </rPr>
      <t>起这个箱子。</t>
    </r>
  </si>
  <si>
    <t>H2_B12_BG-01.gif</t>
  </si>
  <si>
    <r>
      <rPr>
        <sz val="11"/>
        <color rgb="FF000000"/>
        <rFont val="Calibri"/>
      </rPr>
      <t>我</t>
    </r>
    <r>
      <rPr>
        <b/>
        <sz val="11"/>
        <color rgb="FF000000"/>
        <rFont val="Calibri"/>
      </rPr>
      <t>妻子</t>
    </r>
    <r>
      <rPr>
        <sz val="11"/>
        <color rgb="FF000000"/>
        <rFont val="Calibri"/>
      </rPr>
      <t>很喜欢做饭。</t>
    </r>
  </si>
  <si>
    <r>
      <rPr>
        <sz val="11"/>
        <color rgb="FF000000"/>
        <rFont val="Calibri"/>
      </rPr>
      <t>墙上有一层厚厚的</t>
    </r>
    <r>
      <rPr>
        <b/>
        <sz val="11"/>
        <color rgb="FF000000"/>
        <rFont val="Calibri"/>
      </rPr>
      <t>雪</t>
    </r>
    <r>
      <rPr>
        <sz val="11"/>
        <color rgb="FF000000"/>
        <rFont val="Calibri"/>
      </rPr>
      <t>。</t>
    </r>
  </si>
  <si>
    <t>H2_B12_BG-03.gif</t>
  </si>
  <si>
    <t>零</t>
  </si>
  <si>
    <t>&lt;ruby&gt;零&lt;rt&gt;líng&lt;/rt&gt;&lt;/ruby&gt;</t>
  </si>
  <si>
    <t>líng</t>
  </si>
  <si>
    <t>số không</t>
  </si>
  <si>
    <t>这次考试我得了零分。</t>
  </si>
  <si>
    <t>Zhè cì kǎoshì wǒ dé le líng fēn.</t>
  </si>
  <si>
    <t>Bài kiểm tra lần này tôi được không điểm.</t>
  </si>
  <si>
    <t>H2_B12_BG-04.gif</t>
  </si>
  <si>
    <t>度</t>
  </si>
  <si>
    <t>&lt;ruby&gt;度&lt;rt&gt;dù&lt;/rt&gt;&lt;/ruby&gt;</t>
  </si>
  <si>
    <t>dù</t>
  </si>
  <si>
    <t>độ (đơn vị đo nhiệt độ)</t>
  </si>
  <si>
    <r>
      <rPr>
        <sz val="11"/>
        <color rgb="FF000000"/>
        <rFont val="Calibri"/>
      </rPr>
      <t>温度计显示零</t>
    </r>
    <r>
      <rPr>
        <b/>
        <sz val="11"/>
        <color rgb="FF000000"/>
        <rFont val="Calibri"/>
      </rPr>
      <t>度</t>
    </r>
    <r>
      <rPr>
        <sz val="11"/>
        <color rgb="FF000000"/>
        <rFont val="Calibri"/>
      </rPr>
      <t xml:space="preserve">。 </t>
    </r>
  </si>
  <si>
    <t>Wēndùjì xiǎnshì líng dù.</t>
  </si>
  <si>
    <t>Nhiệt kế hiển thị 0 độ.</t>
  </si>
  <si>
    <t>H2_B12_BG-05.gif</t>
  </si>
  <si>
    <r>
      <rPr>
        <sz val="11"/>
        <color rgb="FF000000"/>
        <rFont val="Calibri"/>
      </rPr>
      <t>他正在</t>
    </r>
    <r>
      <rPr>
        <b/>
        <sz val="11"/>
        <color rgb="FF000000"/>
        <rFont val="Calibri"/>
      </rPr>
      <t>穿</t>
    </r>
    <r>
      <rPr>
        <sz val="11"/>
        <color rgb="FF000000"/>
        <rFont val="Calibri"/>
      </rPr>
      <t>外套。</t>
    </r>
  </si>
  <si>
    <t>H2_B12_BG-06.gif</t>
  </si>
  <si>
    <r>
      <rPr>
        <sz val="11"/>
        <color rgb="FF000000"/>
        <rFont val="Calibri"/>
      </rPr>
      <t>他们已经</t>
    </r>
    <r>
      <rPr>
        <b/>
        <sz val="11"/>
        <color rgb="FF000000"/>
        <rFont val="Calibri"/>
      </rPr>
      <t>进</t>
    </r>
    <r>
      <rPr>
        <sz val="11"/>
        <color rgb="FF000000"/>
        <rFont val="Calibri"/>
      </rPr>
      <t>会议室了。</t>
    </r>
  </si>
  <si>
    <r>
      <rPr>
        <sz val="11"/>
        <color rgb="FF000000"/>
        <rFont val="Calibri"/>
      </rPr>
      <t>我和</t>
    </r>
    <r>
      <rPr>
        <b/>
        <sz val="11"/>
        <color rgb="FF000000"/>
        <rFont val="Calibri"/>
      </rPr>
      <t>弟弟</t>
    </r>
    <r>
      <rPr>
        <sz val="11"/>
        <color rgb="FF000000"/>
        <rFont val="Calibri"/>
      </rPr>
      <t>经常一起打篮球。</t>
    </r>
  </si>
  <si>
    <t>H2_B12_BG-08.gif</t>
  </si>
  <si>
    <t>近</t>
  </si>
  <si>
    <t>gần</t>
  </si>
  <si>
    <t>老鼠离蛇很近。</t>
  </si>
  <si>
    <t>Lǎoshǔ lí shé hěn jìn.</t>
  </si>
  <si>
    <t>Con chuột ở rất gần con rắn.</t>
  </si>
  <si>
    <t>H2_B12_BG-09.gif</t>
  </si>
  <si>
    <r>
      <rPr>
        <sz val="11"/>
        <color rgb="FF000000"/>
        <rFont val="Calibri"/>
      </rPr>
      <t>他受伤了，</t>
    </r>
    <r>
      <rPr>
        <b/>
        <sz val="11"/>
        <color rgb="FF000000"/>
        <rFont val="Calibri"/>
      </rPr>
      <t>手</t>
    </r>
    <r>
      <rPr>
        <sz val="11"/>
        <color rgb="FF000000"/>
        <rFont val="Calibri"/>
      </rPr>
      <t>很疼。</t>
    </r>
  </si>
  <si>
    <t>铅笔</t>
  </si>
  <si>
    <t>&lt;ruby&gt;铅笔&lt;rt&gt;qiānbǐ&lt;/rt&gt;&lt;/ruby&gt;</t>
  </si>
  <si>
    <t>qiānbǐ</t>
  </si>
  <si>
    <t>bút chì</t>
  </si>
  <si>
    <r>
      <rPr>
        <sz val="11"/>
        <color rgb="FF000000"/>
        <rFont val="Calibri"/>
      </rPr>
      <t>妈妈刚给我买了这支</t>
    </r>
    <r>
      <rPr>
        <b/>
        <sz val="11"/>
        <color rgb="FF000000"/>
        <rFont val="Calibri"/>
      </rPr>
      <t>铅笔</t>
    </r>
    <r>
      <rPr>
        <sz val="11"/>
        <color rgb="FF000000"/>
        <rFont val="Calibri"/>
      </rPr>
      <t>。</t>
    </r>
  </si>
  <si>
    <t>Māma gāng gěi wǒ mǎi le zhè zhī qiānbǐ.</t>
  </si>
  <si>
    <t>Mẹ mới mua cho tôi cái bút chì này.</t>
  </si>
  <si>
    <t>H2_B13_BG-04.gif</t>
  </si>
  <si>
    <r>
      <rPr>
        <sz val="11"/>
        <color rgb="FF000000"/>
        <rFont val="Calibri"/>
      </rPr>
      <t>我们</t>
    </r>
    <r>
      <rPr>
        <b/>
        <sz val="11"/>
        <color rgb="FF000000"/>
        <rFont val="Calibri"/>
      </rPr>
      <t>班</t>
    </r>
    <r>
      <rPr>
        <sz val="11"/>
        <color rgb="FF000000"/>
        <rFont val="Calibri"/>
      </rPr>
      <t>有十个人。</t>
    </r>
  </si>
  <si>
    <t>&lt;ruby&gt;长&lt;rt&gt;zhǎng&lt;/rt&gt;&lt;/ruby&gt;</t>
  </si>
  <si>
    <t>zhǎng</t>
  </si>
  <si>
    <t>sinh ra, mọc</t>
  </si>
  <si>
    <r>
      <rPr>
        <sz val="11"/>
        <color rgb="FF000000"/>
        <rFont val="Calibri"/>
      </rPr>
      <t>那块地</t>
    </r>
    <r>
      <rPr>
        <b/>
        <sz val="11"/>
        <color rgb="FF000000"/>
        <rFont val="Calibri"/>
      </rPr>
      <t>长</t>
    </r>
    <r>
      <rPr>
        <sz val="11"/>
        <color rgb="FF000000"/>
        <rFont val="Calibri"/>
      </rPr>
      <t>出了很多奇特的花。</t>
    </r>
  </si>
  <si>
    <t>Nà kuài dì zhǎng chū le hěn duō qítè de huā.</t>
  </si>
  <si>
    <t>Mảnh đất đó mọc lên rất nhiều loài hoa lạ.</t>
  </si>
  <si>
    <t>H2_B13_BG-06.gif</t>
  </si>
  <si>
    <t>笑</t>
  </si>
  <si>
    <t>cười</t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</si>
  <si>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笑</t>
    </r>
    <r>
      <rPr>
        <sz val="11"/>
        <color rgb="FF000000"/>
        <rFont val="Calibri"/>
      </rPr>
      <t>得很开心。</t>
    </r>
  </si>
  <si>
    <t>Tā xiào de hěn kāixīn.</t>
  </si>
  <si>
    <t>Cô ấy cười rất hạnh phúc.</t>
  </si>
  <si>
    <t>H2_B13_BG-07.gif</t>
  </si>
  <si>
    <t>宾馆</t>
  </si>
  <si>
    <t>&lt;ruby&gt;宾馆&lt;rt&gt;bīnguǎn&lt;/rt&gt;&lt;/ruby&gt;</t>
  </si>
  <si>
    <t>bīnguǎn</t>
  </si>
  <si>
    <t>khách sạn</t>
  </si>
  <si>
    <r>
      <rPr>
        <sz val="11"/>
        <color rgb="FF000000"/>
        <rFont val="Calibri"/>
      </rPr>
      <t>我们住在市中心的一家</t>
    </r>
    <r>
      <rPr>
        <b/>
        <sz val="11"/>
        <color rgb="FF000000"/>
        <rFont val="Calibri"/>
      </rPr>
      <t>宾馆</t>
    </r>
    <r>
      <rPr>
        <sz val="11"/>
        <color rgb="FF000000"/>
        <rFont val="Calibri"/>
      </rPr>
      <t>。</t>
    </r>
  </si>
  <si>
    <t>Wǒmen zhù zài shì zhōngxīn de yī jiā bīnguǎn.</t>
  </si>
  <si>
    <t>Chúng tôi ở tại một khách sạn ở trung tâm thành phố.</t>
  </si>
  <si>
    <t>H2_B13_BG-08.gif</t>
  </si>
  <si>
    <t>thẳng</t>
  </si>
  <si>
    <r>
      <rPr>
        <sz val="11"/>
        <color rgb="FF000000"/>
        <rFont val="Calibri"/>
      </rPr>
      <t>这条路</t>
    </r>
    <r>
      <rPr>
        <b/>
        <sz val="11"/>
        <color rgb="FF000000"/>
        <rFont val="Calibri"/>
      </rPr>
      <t>一直</t>
    </r>
    <r>
      <rPr>
        <sz val="11"/>
        <color rgb="FF000000"/>
        <rFont val="Calibri"/>
      </rPr>
      <t>通向大海。</t>
    </r>
  </si>
  <si>
    <t>H2_B13_BG-09.gif</t>
  </si>
  <si>
    <t>giao lộ</t>
  </si>
  <si>
    <t>咖啡店在路口。</t>
  </si>
  <si>
    <t xml:space="preserve">Quán cà phê ở ngã tư. </t>
  </si>
  <si>
    <t>H2_B13_BG-11.gif</t>
  </si>
  <si>
    <r>
      <rPr>
        <sz val="11"/>
        <color rgb="FF000000"/>
        <rFont val="Calibri"/>
      </rPr>
      <t>妈妈讲的故事很</t>
    </r>
    <r>
      <rPr>
        <b/>
        <sz val="11"/>
        <color rgb="FF000000"/>
        <rFont val="Calibri"/>
      </rPr>
      <t>有意思</t>
    </r>
    <r>
      <rPr>
        <sz val="11"/>
        <color rgb="FF000000"/>
        <rFont val="Calibri"/>
      </rPr>
      <t>。</t>
    </r>
  </si>
  <si>
    <r>
      <rPr>
        <sz val="10"/>
        <color theme="1"/>
        <rFont val="Arial"/>
      </rPr>
      <t>我喜欢唱歌，</t>
    </r>
    <r>
      <rPr>
        <b/>
        <sz val="10"/>
        <color theme="1"/>
        <rFont val="Arial"/>
      </rPr>
      <t>但是</t>
    </r>
    <r>
      <rPr>
        <sz val="10"/>
        <color theme="1"/>
        <rFont val="Arial"/>
      </rPr>
      <t>唱得不好听。</t>
    </r>
  </si>
  <si>
    <r>
      <rPr>
        <b/>
        <sz val="11"/>
        <color rgb="FF000000"/>
        <rFont val="Calibri"/>
      </rPr>
      <t>虽然</t>
    </r>
    <r>
      <rPr>
        <sz val="11"/>
        <color rgb="FF000000"/>
        <rFont val="Calibri"/>
      </rPr>
      <t>下雨了，但是我还是去上学。</t>
    </r>
  </si>
  <si>
    <t>玩儿</t>
  </si>
  <si>
    <t>&lt;ruby&gt;玩儿&lt;rt&gt;wánr&lt;/rt&gt;&lt;/ruby&gt;</t>
  </si>
  <si>
    <t>wánr</t>
  </si>
  <si>
    <t>chơi, chơi đùa</t>
  </si>
  <si>
    <r>
      <rPr>
        <sz val="11"/>
        <color rgb="FF000000"/>
        <rFont val="Calibri"/>
      </rPr>
      <t>孩子们喜欢</t>
    </r>
    <r>
      <rPr>
        <b/>
        <sz val="11"/>
        <color rgb="FF000000"/>
        <rFont val="Calibri"/>
      </rPr>
      <t>玩儿</t>
    </r>
    <r>
      <rPr>
        <sz val="11"/>
        <color rgb="FF000000"/>
        <rFont val="Calibri"/>
      </rPr>
      <t>跷跷板。</t>
    </r>
  </si>
  <si>
    <t>Háizimen xǐhuan wánr qiàoqiàobǎn.</t>
  </si>
  <si>
    <t>Trẻ em thích chơi bập bênh.</t>
  </si>
  <si>
    <t>H2_B14_BG-05.gif</t>
  </si>
  <si>
    <r>
      <rPr>
        <sz val="11"/>
        <color rgb="FF000000"/>
        <rFont val="Calibri"/>
      </rPr>
      <t>天气终于</t>
    </r>
    <r>
      <rPr>
        <b/>
        <sz val="11"/>
        <color rgb="FF000000"/>
        <rFont val="Calibri"/>
      </rPr>
      <t>晴</t>
    </r>
    <r>
      <rPr>
        <sz val="11"/>
        <color rgb="FF000000"/>
        <rFont val="Calibri"/>
      </rPr>
      <t>了。</t>
    </r>
  </si>
  <si>
    <t>百</t>
  </si>
  <si>
    <t>&lt;ruby&gt;百&lt;rt&gt;bǎi&lt;/rt&gt;&lt;/ruby&gt;</t>
  </si>
  <si>
    <t>bǎi</t>
  </si>
  <si>
    <t>một trăm, trăm</t>
  </si>
  <si>
    <r>
      <rPr>
        <sz val="11"/>
        <color rgb="FF000000"/>
        <rFont val="Calibri"/>
      </rPr>
      <t>这是一</t>
    </r>
    <r>
      <rPr>
        <b/>
        <sz val="11"/>
        <color rgb="FF000000"/>
        <rFont val="Calibri"/>
      </rPr>
      <t>百</t>
    </r>
    <r>
      <rPr>
        <sz val="11"/>
        <color rgb="FF000000"/>
        <rFont val="Calibri"/>
      </rPr>
      <t>块钱。</t>
    </r>
  </si>
  <si>
    <t>Zhè shì yìbǎi kuài qián.</t>
  </si>
  <si>
    <t>Đây là 100 tệ.</t>
  </si>
  <si>
    <t>H2_B14_BG-07.gif</t>
  </si>
  <si>
    <r>
      <rPr>
        <sz val="11"/>
        <color theme="1"/>
        <rFont val="Calibri"/>
      </rPr>
      <t>今天是二月十</t>
    </r>
    <r>
      <rPr>
        <b/>
        <sz val="11"/>
        <color theme="1"/>
        <rFont val="Calibri"/>
      </rPr>
      <t>日</t>
    </r>
    <r>
      <rPr>
        <sz val="11"/>
        <color theme="1"/>
        <rFont val="Calibri"/>
      </rPr>
      <t>。</t>
    </r>
  </si>
  <si>
    <t>H2_B15_BG-01.gif</t>
  </si>
  <si>
    <r>
      <rPr>
        <b/>
        <sz val="11"/>
        <color rgb="FF000000"/>
        <rFont val="Calibri"/>
      </rPr>
      <t>新年</t>
    </r>
    <r>
      <rPr>
        <sz val="11"/>
        <color rgb="FF000000"/>
        <rFont val="Calibri"/>
      </rPr>
      <t>快乐！</t>
    </r>
  </si>
  <si>
    <r>
      <rPr>
        <sz val="11"/>
        <color rgb="FF000000"/>
        <rFont val="Calibri"/>
      </rPr>
      <t>我买了两张今晚的电影</t>
    </r>
    <r>
      <rPr>
        <b/>
        <sz val="11"/>
        <color rgb="FF000000"/>
        <rFont val="Calibri"/>
      </rPr>
      <t>票</t>
    </r>
    <r>
      <rPr>
        <sz val="11"/>
        <color rgb="FF000000"/>
        <rFont val="Calibri"/>
      </rPr>
      <t>。</t>
    </r>
  </si>
  <si>
    <t>火车站</t>
  </si>
  <si>
    <t>&lt;ruby&gt;火车站&lt;rt&gt;huǒchēzhàn&lt;/rt&gt;&lt;/ruby&gt;</t>
  </si>
  <si>
    <t>huǒchēzhàn</t>
  </si>
  <si>
    <t>ga tàu hỏa</t>
  </si>
  <si>
    <r>
      <rPr>
        <sz val="11"/>
        <color rgb="FF000000"/>
        <rFont val="Calibri"/>
      </rPr>
      <t>我刚到</t>
    </r>
    <r>
      <rPr>
        <b/>
        <sz val="11"/>
        <color rgb="FF000000"/>
        <rFont val="Calibri"/>
      </rPr>
      <t>火车站</t>
    </r>
    <r>
      <rPr>
        <sz val="11"/>
        <color rgb="FF000000"/>
        <rFont val="Calibri"/>
      </rPr>
      <t>。</t>
    </r>
  </si>
  <si>
    <t>Wǒ gāng dào huǒchēzhàn.</t>
  </si>
  <si>
    <t>Tôi vừa đến ga tàu hỏa rồi.</t>
  </si>
  <si>
    <t>H2_B15_BG-04.gif</t>
  </si>
  <si>
    <r>
      <rPr>
        <b/>
        <sz val="11"/>
        <color rgb="FF000000"/>
        <rFont val="Calibri"/>
      </rPr>
      <t>大家</t>
    </r>
    <r>
      <rPr>
        <sz val="11"/>
        <color rgb="FF000000"/>
        <rFont val="Calibri"/>
      </rPr>
      <t>一起看电视，很开心。</t>
    </r>
  </si>
  <si>
    <t>H2_B15_BG-05.gif</t>
  </si>
  <si>
    <r>
      <rPr>
        <sz val="11"/>
        <color rgb="FF000000"/>
        <rFont val="Calibri"/>
      </rPr>
      <t>他比我，谁</t>
    </r>
    <r>
      <rPr>
        <b/>
        <sz val="11"/>
        <color rgb="FF000000"/>
        <rFont val="Calibri"/>
      </rPr>
      <t>更</t>
    </r>
    <r>
      <rPr>
        <sz val="11"/>
        <color rgb="FF000000"/>
        <rFont val="Calibri"/>
      </rPr>
      <t>厉害？</t>
    </r>
  </si>
  <si>
    <r>
      <rPr>
        <sz val="11"/>
        <color rgb="FF000000"/>
        <rFont val="Calibri"/>
      </rPr>
      <t>我送给</t>
    </r>
    <r>
      <rPr>
        <b/>
        <sz val="11"/>
        <color rgb="FF000000"/>
        <rFont val="Calibri"/>
      </rPr>
      <t>妹妹</t>
    </r>
    <r>
      <rPr>
        <sz val="11"/>
        <color rgb="FF000000"/>
        <rFont val="Calibri"/>
      </rPr>
      <t>一份生日礼物。</t>
    </r>
  </si>
  <si>
    <t>H2_B15_BG-07.gif</t>
  </si>
  <si>
    <r>
      <rPr>
        <sz val="11"/>
        <color rgb="FF000000"/>
        <rFont val="Times New Roman"/>
      </rPr>
      <t>上午还是晴天，中午却</t>
    </r>
    <r>
      <rPr>
        <b/>
        <sz val="11"/>
        <color rgb="FF000000"/>
        <rFont val="Times New Roman"/>
      </rPr>
      <t>阴</t>
    </r>
    <r>
      <rPr>
        <sz val="11"/>
        <color rgb="FF000000"/>
        <rFont val="Times New Roman"/>
      </rPr>
      <t>得厉害。</t>
    </r>
  </si>
  <si>
    <t>H3_B14_BG-08.gif</t>
  </si>
  <si>
    <t>H3_B2_BG-08.gif</t>
  </si>
  <si>
    <t>ném, vứt</t>
  </si>
  <si>
    <t>H4_B14_BG-20.png</t>
  </si>
  <si>
    <t>B14_20.mp3</t>
  </si>
  <si>
    <t>B14_VD_20.mp3</t>
  </si>
  <si>
    <t>số</t>
  </si>
  <si>
    <t>H4_B16_BG-11.png</t>
  </si>
  <si>
    <t>B16_11.mp3</t>
  </si>
  <si>
    <t>B16_VD_11.mp3</t>
  </si>
  <si>
    <t>最重要的是多喝热水，这样感冒才能快点好。</t>
  </si>
  <si>
    <t>H3_B8_BG-09.gif</t>
  </si>
  <si>
    <t>H3_B1_BG-04.gif</t>
  </si>
  <si>
    <t>H3_B1-04.mp3</t>
  </si>
  <si>
    <t>H3_B12_BG-08.gif</t>
  </si>
  <si>
    <t>H3_B13_BG-11.gif</t>
  </si>
  <si>
    <t>H3_B9_BG-11.gif</t>
  </si>
  <si>
    <t>H3_B19_BG-03.gif</t>
  </si>
  <si>
    <t>H3_B19_3.mp3</t>
  </si>
  <si>
    <t>H3_B19_VD_3.mp3</t>
  </si>
  <si>
    <t>H3_B16_BG-14.gif</t>
  </si>
  <si>
    <t>H3_B4_BG-06.gif</t>
  </si>
  <si>
    <t>H3_B12_BG-07.gif</t>
  </si>
  <si>
    <t>H3_B1_BG-11.gif</t>
  </si>
  <si>
    <t>H3_B1-11.mp3</t>
  </si>
  <si>
    <t>H3_B14_BG-15.gif</t>
  </si>
  <si>
    <t>H3_B4_BG-11.gif</t>
  </si>
  <si>
    <t>H3_B4_BG-14.gif</t>
  </si>
  <si>
    <t>H3_B17_BG-16.gif</t>
  </si>
  <si>
    <t>H3_B3_BG-06.gif</t>
  </si>
  <si>
    <t xml:space="preserve"> 服务 </t>
  </si>
  <si>
    <t>H3_B11_BG-04.gif</t>
  </si>
  <si>
    <t>H3_B11_BG-05.gif</t>
  </si>
  <si>
    <t>H3_B20_BG-12.gif</t>
  </si>
  <si>
    <t>H3_B20_12.mp3</t>
  </si>
  <si>
    <t>H3_B20_VD_12.mp3</t>
  </si>
  <si>
    <t>H3_B8_BG-15.gif</t>
  </si>
  <si>
    <t>H4_B6_BG-03.png</t>
  </si>
  <si>
    <t>B6_3.mp3</t>
  </si>
  <si>
    <t>B6_VD_3.mp3</t>
  </si>
  <si>
    <t>H3_B5_BG-05.gif</t>
  </si>
  <si>
    <t>H3_B19_BG-08.gif</t>
  </si>
  <si>
    <t>H3_B19_8.mp3</t>
  </si>
  <si>
    <t>H3_B19_VD_8.mp3</t>
  </si>
  <si>
    <t>H3_B3_BG-15.gif</t>
  </si>
  <si>
    <t>H3_B14_BG-16.gif</t>
  </si>
  <si>
    <t>chúng ta, chúng mình</t>
  </si>
  <si>
    <t>H4_B3_BG30.png</t>
  </si>
  <si>
    <t>B3_30.mp3</t>
  </si>
  <si>
    <t>B3_VD_30.mp3</t>
  </si>
  <si>
    <t>H3_B10_BG-06.gif</t>
  </si>
  <si>
    <t>rất</t>
  </si>
  <si>
    <t>H4_B3_BG21.png</t>
  </si>
  <si>
    <t>B3_21.mp3</t>
  </si>
  <si>
    <t>B3_VD_21.mp3</t>
  </si>
  <si>
    <t>H3_B11_BG-03.gif</t>
  </si>
  <si>
    <t>H3_B11_BG-02.gif</t>
  </si>
  <si>
    <t>H3_B14_BG-04.gif</t>
  </si>
  <si>
    <t>nhà vệ sinh</t>
  </si>
  <si>
    <t>H4_B14_BG-23.png</t>
  </si>
  <si>
    <t>B14_23.mp3</t>
  </si>
  <si>
    <t>B14_VD_23.mp3</t>
  </si>
  <si>
    <t>H3_B14_BG-01.gif</t>
  </si>
  <si>
    <t>H3_B20_BG-11.gif</t>
  </si>
  <si>
    <t>H3_B20_11.mp3</t>
  </si>
  <si>
    <t>H3_B20_VD_11.mp3</t>
  </si>
  <si>
    <t>H3_B7_BG-03.gif</t>
  </si>
  <si>
    <t>Zhǐ</t>
  </si>
  <si>
    <t>giấy</t>
  </si>
  <si>
    <t>H4_B7-BG-15.png</t>
  </si>
  <si>
    <t>B7_15.mp3</t>
  </si>
  <si>
    <t>B7_VD_15.mp3</t>
  </si>
  <si>
    <t>H3_B12_BG-13.gif</t>
  </si>
  <si>
    <t>ý định, ý kiến</t>
  </si>
  <si>
    <t>H4_B9_BG-31.png</t>
  </si>
  <si>
    <t>B9_31.mp3</t>
  </si>
  <si>
    <t>B9_VD_31.mp3</t>
  </si>
  <si>
    <t>H3_B10_BG-05.gif</t>
  </si>
  <si>
    <t>H3_B14_BG-07.gif</t>
  </si>
  <si>
    <t>H3_B9_BG-06.gif</t>
  </si>
  <si>
    <t>H3_B7_BG-11.gif</t>
  </si>
  <si>
    <t>H3_B12_BG-09.gif</t>
  </si>
  <si>
    <t>H3_B6_BG-07.gif</t>
  </si>
  <si>
    <t>H3_B9_BG-03.gif</t>
  </si>
  <si>
    <t>H3_B12_BG-10.gif</t>
  </si>
  <si>
    <t>H3_B7_BG-04.gif</t>
  </si>
  <si>
    <t>H3_B15_BG-12.gif</t>
  </si>
  <si>
    <t>H3_B9_BG-10.gif</t>
  </si>
  <si>
    <t>H3_B14_BG-02.gif</t>
  </si>
  <si>
    <t>H3_B8_BG-01.gif</t>
  </si>
  <si>
    <t>nói chung, tóm lại</t>
  </si>
  <si>
    <t>H5_B34_BG-20.png</t>
  </si>
  <si>
    <t>B34_20.mp3</t>
  </si>
  <si>
    <t>B34_VD_20.mp3</t>
  </si>
  <si>
    <t>H3_B13_BG-01.gif</t>
  </si>
  <si>
    <t>H3_B6_BG-10.gif</t>
  </si>
  <si>
    <t>H3_B7_BG-05.gif</t>
  </si>
  <si>
    <t>H3_B9_BG-08.gif</t>
  </si>
  <si>
    <t>H3_B15_BG-02.gif</t>
  </si>
  <si>
    <t>H3_B12_BG-01.gif</t>
  </si>
  <si>
    <t>H3_B20_BG-01.gif</t>
  </si>
  <si>
    <t>H3_B20_1.mp3</t>
  </si>
  <si>
    <t>H3_B20_VD_1.mp3</t>
  </si>
  <si>
    <t>H3_B6_BG-11.gif</t>
  </si>
  <si>
    <t>H3_B11_BG-15.gif</t>
  </si>
  <si>
    <t>H3_B1_BG-02.gif</t>
  </si>
  <si>
    <t>H3_B1-02.mp3</t>
  </si>
  <si>
    <t>H3_B3_BG-02.gif</t>
  </si>
  <si>
    <t>H3_B7_BG-08.gif</t>
  </si>
  <si>
    <t>H3_B17_BG-03.gif</t>
  </si>
  <si>
    <t>H3_B16_BG-02.gif</t>
  </si>
  <si>
    <t>H3_B7_BG-02.gif</t>
  </si>
  <si>
    <t>H3_B16_BG-16.gif</t>
  </si>
  <si>
    <t>H4_B5_BG8.png</t>
  </si>
  <si>
    <t>B5_8.mp3</t>
  </si>
  <si>
    <t>B5_VD_8.mp3</t>
  </si>
  <si>
    <t>H3_B8_BG-03.gif</t>
  </si>
  <si>
    <t>H3_B17_BG-06.gif</t>
  </si>
  <si>
    <t>H3_B17_BG-08.gif</t>
  </si>
  <si>
    <t>H3_B2_BG-13.gif</t>
  </si>
  <si>
    <t>H3_B10_BG-07.gif</t>
  </si>
  <si>
    <t>H3_B10_BG-02.gif</t>
  </si>
  <si>
    <t>thích hợp</t>
  </si>
  <si>
    <t>H4_B15_BG-28.png</t>
  </si>
  <si>
    <t>B15_28.mp3</t>
  </si>
  <si>
    <t>B14_VD_28.mp3</t>
  </si>
  <si>
    <t>H3_B5_BG-11.gif</t>
  </si>
  <si>
    <t>H3_B17_BG-05.gif</t>
  </si>
  <si>
    <t>H3_B3_BG-04.gif</t>
  </si>
  <si>
    <t>H3_B3_BG-05.gif</t>
  </si>
  <si>
    <t>H3_B14_BG-17.gif</t>
  </si>
  <si>
    <t>H3_B17_BG-02.gif</t>
  </si>
  <si>
    <t>lông</t>
  </si>
  <si>
    <t>H4_B17_BG-22.png</t>
  </si>
  <si>
    <t>B17_22.mp3</t>
  </si>
  <si>
    <t>B17_VD_22.mp3</t>
  </si>
  <si>
    <t>H3_B7_BG-06.gif</t>
  </si>
  <si>
    <t>H3_B18_BG-10.gif</t>
  </si>
  <si>
    <t>H3_B18_BG-11.gif</t>
  </si>
  <si>
    <t xml:space="preserve">最近的天气好热。 </t>
  </si>
  <si>
    <t xml:space="preserve"> Thời tiết gần đây thật nóng.</t>
  </si>
  <si>
    <t>H3_B5_BG-12.gif</t>
  </si>
  <si>
    <t>nhà thi đấu</t>
  </si>
  <si>
    <t>H4_B3_BG34.png</t>
  </si>
  <si>
    <t>B3_34.mp3</t>
  </si>
  <si>
    <t>B3_VD_34.mp3</t>
  </si>
  <si>
    <t>H3_B11_BG-20.gif</t>
  </si>
  <si>
    <t xml:space="preserve">Tiểu Minh rất mập. </t>
  </si>
  <si>
    <t>H3_B2_BG-07.gif</t>
  </si>
  <si>
    <t>cầu lông</t>
  </si>
  <si>
    <t>H4B19-28.png</t>
  </si>
  <si>
    <t>B19_28.mp3</t>
  </si>
  <si>
    <t>B19_VD_28.mp3</t>
  </si>
  <si>
    <t>H3_B19_BG-01.gif</t>
  </si>
  <si>
    <t>H3_B19_1.mp3</t>
  </si>
  <si>
    <t>H3_B19_VD_1.mp3</t>
  </si>
  <si>
    <t xml:space="preserve">Tôi bị cảm cúm rồi. </t>
  </si>
  <si>
    <t>H3_B5_BG-04.gif</t>
  </si>
  <si>
    <t>H3_B5_BG-01.gif</t>
  </si>
  <si>
    <t>thấp</t>
  </si>
  <si>
    <t>H4_B10_BG-05.png</t>
  </si>
  <si>
    <t>B10_5.mp3</t>
  </si>
  <si>
    <t>B10_VD_5.mp3</t>
  </si>
  <si>
    <t>H3_B20_BG-02.gif</t>
  </si>
  <si>
    <t>H3_B20_2.mp3</t>
  </si>
  <si>
    <t>H3_B20_VD_2.mp3</t>
  </si>
  <si>
    <t>H3_B15_BG-10.gif</t>
  </si>
  <si>
    <t>H3_B6_BG-02.gif</t>
  </si>
  <si>
    <t>H3_B9_BG-07.gif</t>
  </si>
  <si>
    <t>H3_B2_BG-01.gif</t>
  </si>
  <si>
    <t>gần như, hầu như</t>
  </si>
  <si>
    <t>H4_B2_BG2.png</t>
  </si>
  <si>
    <t>B2_2.mp3</t>
  </si>
  <si>
    <t>B2_VD_2.mp3</t>
  </si>
  <si>
    <t>H4_B13_BG-08.png</t>
  </si>
  <si>
    <t>B13_8.mp3</t>
  </si>
  <si>
    <t>B13_VD_8.mp3</t>
  </si>
  <si>
    <t>H1_B13_BG-12.gif</t>
  </si>
  <si>
    <t>H3_B18_BG-07.gif</t>
  </si>
  <si>
    <t>phương pháp, cách thức</t>
  </si>
  <si>
    <t>H4_B4_BG7.png</t>
  </si>
  <si>
    <t>B4_7.mp3</t>
  </si>
  <si>
    <t>B4_VD_7.mp3</t>
  </si>
  <si>
    <t>H3_B15_BG-07.gif</t>
  </si>
  <si>
    <t>khuôn viên trường</t>
  </si>
  <si>
    <t>H4_B2_BG34.png</t>
  </si>
  <si>
    <t>B2_34.mp3</t>
  </si>
  <si>
    <t>B2_VD_34.mp3</t>
  </si>
  <si>
    <t>H3_B17_BG-11.gif</t>
  </si>
  <si>
    <t>H3_B9_BG-12.gif</t>
  </si>
  <si>
    <t>quần vợt</t>
  </si>
  <si>
    <t>H4_B9_BG-19.png</t>
  </si>
  <si>
    <t>B9_19.mp3</t>
  </si>
  <si>
    <t>B9_VD_19.mp3</t>
  </si>
  <si>
    <t>liên hệ</t>
  </si>
  <si>
    <t>H4_B2_BG18.png</t>
  </si>
  <si>
    <t>B2_18.mp3</t>
  </si>
  <si>
    <t>B2_VD_18.mp3</t>
  </si>
  <si>
    <t>H3_B11_BG-06.gif</t>
  </si>
  <si>
    <t>H1_B10_BG-08.gif</t>
  </si>
  <si>
    <t>hồi hộp, căng thẳng</t>
  </si>
  <si>
    <t>H4_B3_BG11.png</t>
  </si>
  <si>
    <t>B3_11.mp3</t>
  </si>
  <si>
    <t>B3_VD_11.mp3</t>
  </si>
  <si>
    <t>nhận được</t>
  </si>
  <si>
    <t>H4_B5_BG21.png</t>
  </si>
  <si>
    <t>B5_21.mp3</t>
  </si>
  <si>
    <t>B5_VD_21.mp3</t>
  </si>
  <si>
    <t>H3_B9_BG-13.gif</t>
  </si>
  <si>
    <t>H3_B15_BG-18.gif</t>
  </si>
  <si>
    <t>được, nhận được</t>
  </si>
  <si>
    <t>H4_B8_BG-33.png</t>
  </si>
  <si>
    <t>B8_33.mp3</t>
  </si>
  <si>
    <t>B8_VD_33.mp3</t>
  </si>
  <si>
    <t>H3_B20_BG-04.gif</t>
  </si>
  <si>
    <t>H3_B20_4.mp3</t>
  </si>
  <si>
    <t>H3_B20_VD_4.mp3</t>
  </si>
  <si>
    <t>H3_B6_BG-04.gif</t>
  </si>
  <si>
    <t>H3_B12_BG-14.gif</t>
  </si>
  <si>
    <t>H3_B2_BG-16.gif</t>
  </si>
  <si>
    <t>H3_B1_BG-05.gif</t>
  </si>
  <si>
    <t>H3_B1-05.mp3</t>
  </si>
  <si>
    <t>(chỉ một hành động từ lúc bắt đầu đến khi kết thúc) lần, lượt</t>
  </si>
  <si>
    <t>H4_B13_BG-12.png</t>
  </si>
  <si>
    <t>B13_12.mp3</t>
  </si>
  <si>
    <t>B13_VD_12.mp3</t>
  </si>
  <si>
    <t>H3_B15_BG-03.gif</t>
  </si>
  <si>
    <t>H3_B15_BG-09.gif</t>
  </si>
  <si>
    <t>H3_B7_BG-12.gif</t>
  </si>
  <si>
    <t>H3_B1_BG-06.gif</t>
  </si>
  <si>
    <t>H3_B1-06.mp3</t>
  </si>
  <si>
    <t>H3_B5_BG-07.gif</t>
  </si>
  <si>
    <t>H3_B13_BG-05.gif</t>
  </si>
  <si>
    <t>H3_B2_BG-12.gif</t>
  </si>
  <si>
    <t>&lt;ruby&gt;页&lt;rt&gt;nan&lt;/rt&gt;&lt;/ruby&gt;</t>
  </si>
  <si>
    <t>trang</t>
  </si>
  <si>
    <t>H4_B11_BG-28.png</t>
  </si>
  <si>
    <t>B11_28.mp3</t>
  </si>
  <si>
    <t>B11_VD_28.mp3</t>
  </si>
  <si>
    <t>đối thoại, tiếp xúc</t>
  </si>
  <si>
    <t>H4_B20_BG-09.png</t>
  </si>
  <si>
    <t>B20_9.mp3</t>
  </si>
  <si>
    <t>B20_VD_9.mp3</t>
  </si>
  <si>
    <t>H3_B6_BG-09.gif</t>
  </si>
  <si>
    <t>H3_B6_BG-08.gif</t>
  </si>
  <si>
    <t>H3_B15_BG-06.gif</t>
  </si>
  <si>
    <t>H3_B13_BG-08.gif</t>
  </si>
  <si>
    <t>H3_B11_BG-14.gif</t>
  </si>
  <si>
    <t>H3_B2_BG-11.gif</t>
  </si>
  <si>
    <t>địa điểm</t>
  </si>
  <si>
    <t>H4_B18_BG-27.png</t>
  </si>
  <si>
    <t>B18_27.mp3</t>
  </si>
  <si>
    <t>B18_VD_27.mp3</t>
  </si>
  <si>
    <t>H3_B15_BG-08.gif</t>
  </si>
  <si>
    <t>H3_B11_BG-08.gif</t>
  </si>
  <si>
    <t>H3_B3_BG-17.gif</t>
  </si>
  <si>
    <t>H3_B14_BG-14.gif</t>
  </si>
  <si>
    <t>H3_B17_BG-04.gif</t>
  </si>
  <si>
    <t>H3_B20_BG-14.gif</t>
  </si>
  <si>
    <t>H3_B20_14.mp3</t>
  </si>
  <si>
    <t>H3_B20_VD_14.mp3</t>
  </si>
  <si>
    <t>H3_B16_BG-05.gif</t>
  </si>
  <si>
    <t>H3_B17_BG-01.gif</t>
  </si>
  <si>
    <t>H3_B7_BG-01.gif</t>
  </si>
  <si>
    <t>H3_B13_BG-09.gif</t>
  </si>
  <si>
    <t>H3_B16_BG-01.gif</t>
  </si>
  <si>
    <t>H3_B6_BG-03.gif</t>
  </si>
  <si>
    <t>H3_B18_BG-16.gif</t>
  </si>
  <si>
    <t>H3_B13_BG-12.gif</t>
  </si>
  <si>
    <t>H3_B5_BG-02.gif</t>
  </si>
  <si>
    <t>đường phố, phố</t>
  </si>
  <si>
    <t>H4_B2_BG32.png</t>
  </si>
  <si>
    <t>B2_32.mp3</t>
  </si>
  <si>
    <t>B2_VD_32.mp3</t>
  </si>
  <si>
    <t>H3_B6_BG-12.gif</t>
  </si>
  <si>
    <t>H3_B19_BG-12.gif</t>
  </si>
  <si>
    <t>H3_B19_12.mp3</t>
  </si>
  <si>
    <t>H3_B19_VD_12.mp3</t>
  </si>
  <si>
    <t>H3_B6_BG-05.gif</t>
  </si>
  <si>
    <t>H3_B15_BG-13.gif</t>
  </si>
  <si>
    <t>H3_B2_BG-17.gif</t>
  </si>
  <si>
    <t>H3_B11_BG-12.gif</t>
  </si>
  <si>
    <t>trở thành, trở nên</t>
  </si>
  <si>
    <t>H4_B1_BG-21.png</t>
  </si>
  <si>
    <t>B1-21.mp3</t>
  </si>
  <si>
    <t>B1_VD_21.mp3</t>
  </si>
  <si>
    <t>H3_B5_BG-06.gif</t>
  </si>
  <si>
    <t>H3_B8_BG-07.gif</t>
  </si>
  <si>
    <t>mát mẻ</t>
  </si>
  <si>
    <t>H4_B17_BG-01.png</t>
  </si>
  <si>
    <t>B17_1.mp3</t>
  </si>
  <si>
    <t>B17_VD_1.mp3</t>
  </si>
  <si>
    <t>lá cây</t>
  </si>
  <si>
    <t>H4_B12_BG-20.png</t>
  </si>
  <si>
    <t>B12_20.mp3</t>
  </si>
  <si>
    <t>B12_VD_20.mp3</t>
  </si>
  <si>
    <t>khác nhau</t>
  </si>
  <si>
    <t>H4_B2_BG30.png</t>
  </si>
  <si>
    <t>B2_30.mp3</t>
  </si>
  <si>
    <t>B2_VD_30.mp3</t>
  </si>
  <si>
    <t>tăng, thêm</t>
  </si>
  <si>
    <t>H4_B7-BG-35.png</t>
  </si>
  <si>
    <t>B7_35.mp3</t>
  </si>
  <si>
    <t>B7_VD_35.mp3</t>
  </si>
  <si>
    <t>làm khách</t>
  </si>
  <si>
    <t>H4_B5_BG23.png</t>
  </si>
  <si>
    <t>B5_23.mp3</t>
  </si>
  <si>
    <t>B5_VD_23.mp3</t>
  </si>
  <si>
    <t>H3_B17_BG-09.gif</t>
  </si>
  <si>
    <t>H3_B9_BG-05.gif</t>
  </si>
  <si>
    <t>H3_B3_BG-16.gif</t>
  </si>
  <si>
    <t>H3_B14_BG-09.gif</t>
  </si>
  <si>
    <t>H3_B13_BG-06.gif</t>
  </si>
  <si>
    <t>đến từ</t>
  </si>
  <si>
    <t>H4_B13_BG-11.png</t>
  </si>
  <si>
    <t>B13_11.mp3</t>
  </si>
  <si>
    <t>B13_VD_11.mp3</t>
  </si>
  <si>
    <t>H3_B1_BG-10.gif</t>
  </si>
  <si>
    <t>H3_B1-10.mp3</t>
  </si>
  <si>
    <t>cảm thấy</t>
  </si>
  <si>
    <t>H4_B2_BG31.png</t>
  </si>
  <si>
    <t>B2_31.mp3</t>
  </si>
  <si>
    <t>B2_VD_31.mp3</t>
  </si>
  <si>
    <t>H3_B15_BG-21.gif</t>
  </si>
  <si>
    <t>H3_B11_BG-01.gif</t>
  </si>
  <si>
    <t>H4_B1_BG-18.png</t>
  </si>
  <si>
    <t>B1-18.mp3</t>
  </si>
  <si>
    <t>B1_VD_18.mp3</t>
  </si>
  <si>
    <t>H4_B12_BG-23.png</t>
  </si>
  <si>
    <t>B12_23.mp3</t>
  </si>
  <si>
    <t>B12_VD_23.mp3</t>
  </si>
  <si>
    <t>H3_B11_BG-11.gif</t>
  </si>
  <si>
    <t>H3_B20_BG-09.gif</t>
  </si>
  <si>
    <t>H3_B20_9.mp3</t>
  </si>
  <si>
    <t>H3_B20_VD_9.mp3</t>
  </si>
  <si>
    <t>H3_B14_BG-13.gif</t>
  </si>
  <si>
    <t>H3_B14_BG-03.gif</t>
  </si>
  <si>
    <t>她忘记了把玩具带到新家。</t>
  </si>
  <si>
    <t>H3_B11_BG-16.gif</t>
  </si>
  <si>
    <t>biểu diễn, trình diễn</t>
  </si>
  <si>
    <t>H4_B13_BG-05.png</t>
  </si>
  <si>
    <t>B13_5.mp3</t>
  </si>
  <si>
    <t>B13_VD_5.mp3</t>
  </si>
  <si>
    <t>H3_B14_BG-06.gif</t>
  </si>
  <si>
    <t>H3_B13_BG-13.gif</t>
  </si>
  <si>
    <t>H3_B18_BG-14.gif</t>
  </si>
  <si>
    <t>H3_B9_BG-04.gif</t>
  </si>
  <si>
    <t>trang web</t>
  </si>
  <si>
    <t>H4_B18_BG-30.png</t>
  </si>
  <si>
    <t>B18_30.mp3</t>
  </si>
  <si>
    <t>B18_VD_30.mp3</t>
  </si>
  <si>
    <t>H3_B19_BG-05.gif</t>
  </si>
  <si>
    <t>H3_B19_5.mp3</t>
  </si>
  <si>
    <t>H3_B19_VD_5.mp3</t>
  </si>
  <si>
    <t>H3_B18_BG-06.gif</t>
  </si>
  <si>
    <t xml:space="preserve">bình thường, ngày thường
</t>
  </si>
  <si>
    <t>H4_B2_BG20.png</t>
  </si>
  <si>
    <t>B2_20.mp3</t>
  </si>
  <si>
    <t>B2_VD_20.mp3</t>
  </si>
  <si>
    <t>H3_B1_BG-07.gif</t>
  </si>
  <si>
    <t>H3_B1-07.mp3</t>
  </si>
  <si>
    <t>H3_B17_BG-12.gif</t>
  </si>
  <si>
    <t>H3_B9_BG-09.gif</t>
  </si>
  <si>
    <t>H4_B9_BG-12.png</t>
  </si>
  <si>
    <t>B9_12.mp3</t>
  </si>
  <si>
    <t>B9_VD_12.mp3</t>
  </si>
  <si>
    <t>H3_B18_BG-12.gif</t>
  </si>
  <si>
    <t>H3_B16_BG-04.gif</t>
  </si>
  <si>
    <t>nuôi, trồng</t>
  </si>
  <si>
    <t>H5_B36_BG-01.png</t>
  </si>
  <si>
    <t>B36_1.mp3</t>
  </si>
  <si>
    <t>B36_VD_1.mp3</t>
  </si>
  <si>
    <t>H3_B19_BG-11.gif</t>
  </si>
  <si>
    <t>H3_B19_11.mp3</t>
  </si>
  <si>
    <t>H3_B19_VD_11.mp3</t>
  </si>
  <si>
    <t>H3_B19_BG-14.gif</t>
  </si>
  <si>
    <t>H3_B19_14.mp3</t>
  </si>
  <si>
    <t>H3_B19_VD_14.mp3</t>
  </si>
  <si>
    <t>bẩn, bẩn thỉu</t>
  </si>
  <si>
    <t>H4_B14_BG-24.png</t>
  </si>
  <si>
    <t>B14_24.mp3</t>
  </si>
  <si>
    <t>B14_VD_24.mp3</t>
  </si>
  <si>
    <t>H3_B16_BG-10.gif</t>
  </si>
  <si>
    <t>H3_B2_BG-03.gif</t>
  </si>
  <si>
    <t>照顾、</t>
  </si>
  <si>
    <t>H3_B1_BG-01.gif</t>
  </si>
  <si>
    <t>H3_B1-01.mp3</t>
  </si>
  <si>
    <t>H3_B18_BG-03.gif</t>
  </si>
  <si>
    <t>H3_B18_BG-05.gif</t>
  </si>
  <si>
    <t>H3_B2_BG-18.gif</t>
  </si>
  <si>
    <t>cây trúc, cây tre</t>
  </si>
  <si>
    <t>H5_B14_BG-05.png</t>
  </si>
  <si>
    <t>B14_5.mp3</t>
  </si>
  <si>
    <t>B14_VD_5.mp3</t>
  </si>
  <si>
    <t>H3_B18_BG-15.gif</t>
  </si>
  <si>
    <t>H3_B17_BG-14.gif</t>
  </si>
  <si>
    <t>H3_B18_BG-02.gif</t>
  </si>
  <si>
    <t xml:space="preserve">bên cạnh
</t>
  </si>
  <si>
    <t>H4_B2_BG33.png</t>
  </si>
  <si>
    <t>B2_33.mp3</t>
  </si>
  <si>
    <t>B2_VD_33.mp3</t>
  </si>
  <si>
    <t>H3_B19_BG-02.gif</t>
  </si>
  <si>
    <t>H3_B19_2.mp3</t>
  </si>
  <si>
    <t>H3_B19_VD_2.mp3</t>
  </si>
  <si>
    <t>H3_B18_BG-08.gif</t>
  </si>
  <si>
    <t>H3_B12_BG-03.gif</t>
  </si>
  <si>
    <t>H3_B16_BG-03.gif</t>
  </si>
  <si>
    <t>khắp nơi, đâu đâu</t>
  </si>
  <si>
    <t>H4_B8_BG-03.png</t>
  </si>
  <si>
    <t>B8_3.mp3</t>
  </si>
  <si>
    <t>B8_VD_3.mp3</t>
  </si>
  <si>
    <t>tiếp tục</t>
  </si>
  <si>
    <t>H4_B13_BG-26.png</t>
  </si>
  <si>
    <t>B13_26.mp3</t>
  </si>
  <si>
    <t>B13_VD_26.mp3</t>
  </si>
  <si>
    <t>H3_B18_BG-13.gif</t>
  </si>
  <si>
    <t>có liên quan</t>
  </si>
  <si>
    <t>H4_B8_BG-36.png</t>
  </si>
  <si>
    <t>B8_36.mp3</t>
  </si>
  <si>
    <t>B8_VD_36.mp3</t>
  </si>
  <si>
    <t>H3_B15_BG-01.gif</t>
  </si>
  <si>
    <t>H3_B18_BG-17.gif</t>
  </si>
  <si>
    <t>ví dụ, chẳng hạn</t>
  </si>
  <si>
    <t>H4_B10_BG-01.png</t>
  </si>
  <si>
    <t>B10_1.mp3</t>
  </si>
  <si>
    <t>B10_VD_1.mp3</t>
  </si>
  <si>
    <t>Dễ dàng, dễ</t>
  </si>
  <si>
    <t>H3_B2_BG-05.gif</t>
  </si>
  <si>
    <t>H3_B4_BG-12.gif</t>
  </si>
  <si>
    <t>phương hướng, sự định hướng</t>
  </si>
  <si>
    <t>H4_B10_BG-15.png</t>
  </si>
  <si>
    <t>B10_15.mp3</t>
  </si>
  <si>
    <t>B10_VD_15.mp3</t>
  </si>
  <si>
    <t>H3_B20_BG-06.gif</t>
  </si>
  <si>
    <t>H3_B20_6.mp3</t>
  </si>
  <si>
    <t>H3_B20_VD_6.mp3</t>
  </si>
  <si>
    <t>H3_B15_BG-16.gif</t>
  </si>
  <si>
    <t>khoảng chừng, có lẽ</t>
  </si>
  <si>
    <t>H4_B13_BG-10.png</t>
  </si>
  <si>
    <t>B13_10.mp3</t>
  </si>
  <si>
    <t>B13_VD_10.mp3</t>
  </si>
  <si>
    <t>H3_B14_BG-12.gif</t>
  </si>
  <si>
    <t>H3_B14_BG-11.gif</t>
  </si>
  <si>
    <t>nhận</t>
  </si>
  <si>
    <t>H4_B18_BG-21.png</t>
  </si>
  <si>
    <t>B18_21.mp3</t>
  </si>
  <si>
    <t>B18_VD_21.mp3</t>
  </si>
  <si>
    <t>vụ (việc)</t>
  </si>
  <si>
    <t>H5_B25_BG35.png</t>
  </si>
  <si>
    <t>B25_35.mp3</t>
  </si>
  <si>
    <t>B25_VD_35.mp3</t>
  </si>
  <si>
    <t>H3_B8_BG-04.gif</t>
  </si>
  <si>
    <t>nước suối</t>
  </si>
  <si>
    <t>H4_B18_BG-18.png</t>
  </si>
  <si>
    <t>B18_18.mp3</t>
  </si>
  <si>
    <t>B18_VD_18.mp3</t>
  </si>
  <si>
    <t>xuất phát, khởi hành</t>
  </si>
  <si>
    <t>H4_B20_BG-11.png</t>
  </si>
  <si>
    <t>B20_11.mp3</t>
  </si>
  <si>
    <t>B20_VD_11.mp3</t>
  </si>
  <si>
    <t>xảy ra</t>
  </si>
  <si>
    <t>H4_B8_BG-07.png</t>
  </si>
  <si>
    <t>B8_7.mp3</t>
  </si>
  <si>
    <t>B8_VD_7.mp3</t>
  </si>
  <si>
    <t>H4_B1_BG-28.png</t>
  </si>
  <si>
    <t>B1-28.mp3</t>
  </si>
  <si>
    <t>B1_VD_28.mp3</t>
  </si>
  <si>
    <t>chỉ cần, miễn là</t>
  </si>
  <si>
    <t>H4_B8_BG-31.png</t>
  </si>
  <si>
    <t>B8_31.mp3</t>
  </si>
  <si>
    <t>B8_VD_31.mp3</t>
  </si>
  <si>
    <t>học kỳ</t>
  </si>
  <si>
    <t>H4B19-01.pngpng</t>
  </si>
  <si>
    <t>B19_1.mp3</t>
  </si>
  <si>
    <t>B19_VD_1.mp3</t>
  </si>
  <si>
    <t>&lt;ruby&gt;毕业&lt;rt&gt;bì yè
&lt;/rt&gt;&lt;/ruby&gt;</t>
  </si>
  <si>
    <t>tốt nghiêp</t>
  </si>
  <si>
    <t>H4_B2_BG1.png</t>
  </si>
  <si>
    <t>B2_1.mp3</t>
  </si>
  <si>
    <t>B2_VD_1.mp3</t>
  </si>
  <si>
    <t>ra đời, sinh ra</t>
  </si>
  <si>
    <t>H4B19-02.pngpng</t>
  </si>
  <si>
    <t>B19_2.mp3</t>
  </si>
  <si>
    <t>B19_VD_2.mp3</t>
  </si>
  <si>
    <t>kiên trì, khăng khăng giữ</t>
  </si>
  <si>
    <t>H4_B9_BG-05.png</t>
  </si>
  <si>
    <t>B9_5.mp3</t>
  </si>
  <si>
    <t>B9_VD_5.mp3</t>
  </si>
  <si>
    <t>H3_B15_BG-05.gif</t>
  </si>
  <si>
    <t>mục tiêu</t>
  </si>
  <si>
    <t>H5_B23_BG-10.png</t>
  </si>
  <si>
    <t>B23_10.mp3</t>
  </si>
  <si>
    <t>B23_VD_10.mp3</t>
  </si>
  <si>
    <t>phát triển</t>
  </si>
  <si>
    <t>H4_B10_BG-06.png</t>
  </si>
  <si>
    <t>B10_6.mp3</t>
  </si>
  <si>
    <t>B10_VD_6.mp3</t>
  </si>
  <si>
    <r>
      <rPr>
        <b/>
        <sz val="10"/>
        <color theme="1"/>
        <rFont val="Calibri"/>
      </rPr>
      <t>周末</t>
    </r>
    <r>
      <rPr>
        <sz val="10"/>
        <color theme="1"/>
        <rFont val="Calibri"/>
      </rPr>
      <t>你有什么打算？</t>
    </r>
  </si>
  <si>
    <r>
      <rPr>
        <sz val="10"/>
        <color theme="1"/>
        <rFont val="Calibri"/>
      </rPr>
      <t>我</t>
    </r>
    <r>
      <rPr>
        <b/>
        <sz val="10"/>
        <color theme="1"/>
        <rFont val="Calibri"/>
      </rPr>
      <t>打算</t>
    </r>
    <r>
      <rPr>
        <sz val="10"/>
        <color theme="1"/>
        <rFont val="Calibri"/>
      </rPr>
      <t>去超市买东西。</t>
    </r>
  </si>
  <si>
    <t>&lt;ruby&gt;一直&lt;rt&gt;yīzhí&lt;/rt&gt;&lt;/ruby&gt;</t>
  </si>
  <si>
    <t>yīzhí</t>
  </si>
  <si>
    <t xml:space="preserve">Suốt, liên tục 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</si>
  <si>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一直</t>
    </r>
    <r>
      <rPr>
        <sz val="10"/>
        <color theme="1"/>
        <rFont val="Calibri"/>
      </rPr>
      <t>梦想去全世界旅游。</t>
    </r>
  </si>
  <si>
    <t>Tā yīzhí mèngxiǎng qù quán shìjiè lǚyóu.</t>
  </si>
  <si>
    <t>Anh ấy luôn mơ ước được đi du lịch vòng quanh thế giới.</t>
  </si>
  <si>
    <t>H3_B1_BG-03.gif</t>
  </si>
  <si>
    <t>H3_B1-03.mp3</t>
  </si>
  <si>
    <r>
      <rPr>
        <sz val="10"/>
        <color theme="1"/>
        <rFont val="Calibri"/>
      </rPr>
      <t>别</t>
    </r>
    <r>
      <rPr>
        <b/>
        <sz val="10"/>
        <color theme="1"/>
        <rFont val="Calibri"/>
      </rPr>
      <t>着急</t>
    </r>
    <r>
      <rPr>
        <sz val="10"/>
        <color theme="1"/>
        <rFont val="Calibri"/>
      </rPr>
      <t>，慢慢走。</t>
    </r>
  </si>
  <si>
    <r>
      <rPr>
        <sz val="10"/>
        <color theme="1"/>
        <rFont val="Calibri"/>
      </rPr>
      <t>你做完</t>
    </r>
    <r>
      <rPr>
        <b/>
        <sz val="10"/>
        <color theme="1"/>
        <rFont val="Calibri"/>
      </rPr>
      <t>作业</t>
    </r>
    <r>
      <rPr>
        <sz val="10"/>
        <color theme="1"/>
        <rFont val="Calibri"/>
      </rPr>
      <t>了吗？</t>
    </r>
  </si>
  <si>
    <r>
      <rPr>
        <sz val="10"/>
        <color theme="1"/>
        <rFont val="Calibri"/>
      </rPr>
      <t>明天考试，我们一起</t>
    </r>
    <r>
      <rPr>
        <b/>
        <sz val="10"/>
        <color theme="1"/>
        <rFont val="Calibri"/>
      </rPr>
      <t>复习</t>
    </r>
    <r>
      <rPr>
        <sz val="10"/>
        <color theme="1"/>
        <rFont val="Calibri"/>
      </rPr>
      <t>吧！</t>
    </r>
  </si>
  <si>
    <r>
      <rPr>
        <sz val="10"/>
        <color theme="1"/>
        <rFont val="Calibri"/>
      </rPr>
      <t>弟弟很喜欢玩</t>
    </r>
    <r>
      <rPr>
        <b/>
        <sz val="10"/>
        <color theme="1"/>
        <rFont val="Calibri"/>
      </rPr>
      <t>游戏</t>
    </r>
    <r>
      <rPr>
        <sz val="10"/>
        <color theme="1"/>
        <rFont val="Calibri"/>
      </rPr>
      <t>。</t>
    </r>
  </si>
  <si>
    <t>南(方)</t>
  </si>
  <si>
    <t>&lt;ruby&gt;南(方)&lt;rt&gt;nánfāng&lt;/rt&gt;&lt;/ruby&gt;</t>
  </si>
  <si>
    <t>nánfāng</t>
  </si>
  <si>
    <t>Miền Nam, phía Nam</t>
  </si>
  <si>
    <r>
      <rPr>
        <sz val="10"/>
        <color theme="1"/>
        <rFont val="Calibri"/>
      </rPr>
      <t>我去过中国的</t>
    </r>
    <r>
      <rPr>
        <b/>
        <sz val="10"/>
        <color theme="1"/>
        <rFont val="Calibri"/>
      </rPr>
      <t>南方</t>
    </r>
    <r>
      <rPr>
        <sz val="10"/>
        <color theme="1"/>
        <rFont val="Calibri"/>
      </rPr>
      <t>。</t>
    </r>
  </si>
  <si>
    <t>Wǒ qùguò Zhōngguó de nánfāng.</t>
  </si>
  <si>
    <t>Tôi đã từng đến miền Nam Trung Quốc.</t>
  </si>
  <si>
    <t>H3_B1_BG-08.gif</t>
  </si>
  <si>
    <t>H3_B1-08.mp3</t>
  </si>
  <si>
    <t>北(方)</t>
  </si>
  <si>
    <t>&lt;ruby&gt;北(方)&lt;rt&gt;běifāng&lt;/rt&gt;&lt;/ruby&gt;</t>
  </si>
  <si>
    <t>běifāng</t>
  </si>
  <si>
    <t>Miền Bắc, phía Bắc</t>
  </si>
  <si>
    <r>
      <rPr>
        <b/>
        <sz val="10"/>
        <color theme="1"/>
        <rFont val="Calibri"/>
      </rPr>
      <t>北方</t>
    </r>
    <r>
      <rPr>
        <sz val="10"/>
        <color theme="1"/>
        <rFont val="Calibri"/>
      </rPr>
      <t>的冬天很冷。</t>
    </r>
  </si>
  <si>
    <t>H3_B1_BG-09.gif</t>
  </si>
  <si>
    <t>H3_B1-09.mp3</t>
  </si>
  <si>
    <r>
      <rPr>
        <sz val="10"/>
        <color theme="1"/>
        <rFont val="Calibri"/>
      </rPr>
      <t>去旅行的时候，我会带一张</t>
    </r>
    <r>
      <rPr>
        <b/>
        <sz val="10"/>
        <color theme="1"/>
        <rFont val="Calibri"/>
      </rPr>
      <t>地图</t>
    </r>
    <r>
      <rPr>
        <sz val="10"/>
        <color theme="1"/>
        <rFont val="Calibri"/>
      </rPr>
      <t>。</t>
    </r>
  </si>
  <si>
    <r>
      <rPr>
        <sz val="10"/>
        <color rgb="FF0E0E0E"/>
        <rFont val="Calibri"/>
      </rPr>
      <t>她</t>
    </r>
    <r>
      <rPr>
        <b/>
        <sz val="10"/>
        <color rgb="FF0E0E0E"/>
        <rFont val="Calibri"/>
      </rPr>
      <t>带</t>
    </r>
    <r>
      <rPr>
        <sz val="10"/>
        <color rgb="FF0E0E0E"/>
        <rFont val="Calibri"/>
      </rPr>
      <t>了一箱书和玩具去学校。</t>
    </r>
  </si>
  <si>
    <t>搬</t>
  </si>
  <si>
    <t>Chuyển, dọn, dời</t>
  </si>
  <si>
    <r>
      <rPr>
        <sz val="10"/>
        <color theme="1"/>
        <rFont val="Calibri"/>
      </rPr>
      <t>我们下个月要</t>
    </r>
    <r>
      <rPr>
        <b/>
        <sz val="10"/>
        <color theme="1"/>
        <rFont val="Calibri"/>
      </rPr>
      <t>搬</t>
    </r>
    <r>
      <rPr>
        <sz val="10"/>
        <color theme="1"/>
        <rFont val="Calibri"/>
      </rPr>
      <t>家。</t>
    </r>
  </si>
  <si>
    <t>Wǒmen xià gè yuè yào bānjiā.</t>
  </si>
  <si>
    <t>Tháng sau chúng tôi sẽ chuyển nhà.</t>
  </si>
  <si>
    <t>H3_B1_BG-12.gif</t>
  </si>
  <si>
    <t>H3_B1-12.mp3</t>
  </si>
  <si>
    <r>
      <rPr>
        <sz val="10"/>
        <color theme="1"/>
        <rFont val="Calibri"/>
      </rPr>
      <t>我喜欢吃</t>
    </r>
    <r>
      <rPr>
        <b/>
        <sz val="10"/>
        <color theme="1"/>
        <rFont val="Calibri"/>
      </rPr>
      <t>面包</t>
    </r>
    <r>
      <rPr>
        <sz val="10"/>
        <color theme="1"/>
        <rFont val="Calibri"/>
      </rPr>
      <t>和牛奶。</t>
    </r>
  </si>
  <si>
    <t>H3_B1_BG-13.gif</t>
  </si>
  <si>
    <t>H3_B1-13.mp3</t>
  </si>
  <si>
    <r>
      <rPr>
        <sz val="10"/>
        <color theme="1"/>
        <rFont val="Calibri"/>
      </rPr>
      <t>我喜欢</t>
    </r>
    <r>
      <rPr>
        <b/>
        <sz val="10"/>
        <color theme="1"/>
        <rFont val="Calibri"/>
      </rPr>
      <t>跟</t>
    </r>
    <r>
      <rPr>
        <sz val="10"/>
        <color theme="1"/>
        <rFont val="Calibri"/>
      </rPr>
      <t>朋友一起出去玩儿。</t>
    </r>
  </si>
  <si>
    <r>
      <rPr>
        <sz val="10"/>
        <color theme="1"/>
        <rFont val="Calibri"/>
      </rPr>
      <t>他的</t>
    </r>
    <r>
      <rPr>
        <b/>
        <sz val="10"/>
        <color theme="1"/>
        <rFont val="Calibri"/>
      </rPr>
      <t>腿</t>
    </r>
    <r>
      <rPr>
        <sz val="10"/>
        <color theme="1"/>
        <rFont val="Calibri"/>
      </rPr>
      <t>很长。</t>
    </r>
  </si>
  <si>
    <r>
      <rPr>
        <sz val="10"/>
        <color theme="1"/>
        <rFont val="Calibri"/>
      </rPr>
      <t>我的肩膀很</t>
    </r>
    <r>
      <rPr>
        <b/>
        <sz val="10"/>
        <color theme="1"/>
        <rFont val="Calibri"/>
      </rPr>
      <t>疼</t>
    </r>
    <r>
      <rPr>
        <sz val="10"/>
        <color theme="1"/>
        <rFont val="Calibri"/>
      </rPr>
      <t>。</t>
    </r>
  </si>
  <si>
    <r>
      <rPr>
        <sz val="10"/>
        <color theme="1"/>
        <rFont val="Calibri"/>
      </rPr>
      <t>我的</t>
    </r>
    <r>
      <rPr>
        <b/>
        <sz val="10"/>
        <color theme="1"/>
        <rFont val="Calibri"/>
      </rPr>
      <t>脚</t>
    </r>
    <r>
      <rPr>
        <sz val="10"/>
        <color theme="1"/>
        <rFont val="Calibri"/>
      </rPr>
      <t>很大。</t>
    </r>
  </si>
  <si>
    <t>树</t>
  </si>
  <si>
    <t>Cây</t>
  </si>
  <si>
    <r>
      <rPr>
        <sz val="10"/>
        <color theme="1"/>
        <rFont val="Calibri"/>
      </rPr>
      <t>我喜欢这棵</t>
    </r>
    <r>
      <rPr>
        <b/>
        <sz val="10"/>
        <color theme="1"/>
        <rFont val="Calibri"/>
      </rPr>
      <t>树</t>
    </r>
    <r>
      <rPr>
        <sz val="10"/>
        <color theme="1"/>
        <rFont val="Calibri"/>
      </rPr>
      <t>。</t>
    </r>
  </si>
  <si>
    <t>Wǒ xǐhuān zhè kē shù.</t>
  </si>
  <si>
    <t>Tôi thích cái cây này.</t>
  </si>
  <si>
    <t>H3_B2_BG-04.gif</t>
  </si>
  <si>
    <r>
      <rPr>
        <sz val="10"/>
        <color theme="1"/>
        <rFont val="Calibri"/>
      </rPr>
      <t>学汉语并不</t>
    </r>
    <r>
      <rPr>
        <b/>
        <sz val="10"/>
        <color theme="1"/>
        <rFont val="Calibri"/>
      </rPr>
      <t>容易</t>
    </r>
    <r>
      <rPr>
        <sz val="10"/>
        <color theme="1"/>
        <rFont val="Calibri"/>
      </rPr>
      <t>。</t>
    </r>
  </si>
  <si>
    <t>难</t>
  </si>
  <si>
    <t xml:space="preserve">Khó, khó khăn </t>
  </si>
  <si>
    <r>
      <rPr>
        <sz val="10"/>
        <color theme="1"/>
        <rFont val="Calibri"/>
      </rPr>
      <t>这个问题很</t>
    </r>
    <r>
      <rPr>
        <b/>
        <sz val="10"/>
        <color theme="1"/>
        <rFont val="Calibri"/>
      </rPr>
      <t>难</t>
    </r>
    <r>
      <rPr>
        <sz val="10"/>
        <color theme="1"/>
        <rFont val="Calibri"/>
      </rPr>
      <t>。</t>
    </r>
  </si>
  <si>
    <t>Zhè gè wèntí hěn nán</t>
  </si>
  <si>
    <t>Câu hỏi này rất khó.</t>
  </si>
  <si>
    <t>H3_B2_BG-06.gif</t>
  </si>
  <si>
    <r>
      <rPr>
        <sz val="10"/>
        <color theme="1"/>
        <rFont val="Calibri"/>
      </rPr>
      <t>小明很</t>
    </r>
    <r>
      <rPr>
        <b/>
        <sz val="10"/>
        <color theme="1"/>
        <rFont val="Calibri"/>
      </rPr>
      <t>胖</t>
    </r>
    <r>
      <rPr>
        <sz val="10"/>
        <color theme="1"/>
        <rFont val="Calibri"/>
      </rPr>
      <t xml:space="preserve">。 </t>
    </r>
  </si>
  <si>
    <r>
      <rPr>
        <sz val="10"/>
        <color theme="1"/>
        <rFont val="Calibri"/>
      </rPr>
      <t>她</t>
    </r>
    <r>
      <rPr>
        <b/>
        <sz val="10"/>
        <color theme="1"/>
        <rFont val="Calibri"/>
      </rPr>
      <t>瘦</t>
    </r>
    <r>
      <rPr>
        <sz val="10"/>
        <color theme="1"/>
        <rFont val="Calibri"/>
      </rPr>
      <t>了很多。</t>
    </r>
  </si>
  <si>
    <t>太太</t>
  </si>
  <si>
    <t>&lt;ruby&gt;太太&lt;rt&gt;tàitai&lt;/rt&gt;&lt;/ruby&gt;</t>
  </si>
  <si>
    <t>tàitai</t>
  </si>
  <si>
    <t xml:space="preserve">Vợ, phu nhân </t>
  </si>
  <si>
    <r>
      <rPr>
        <b/>
        <sz val="10"/>
        <color theme="1"/>
        <rFont val="Calibri"/>
      </rPr>
      <t>太太</t>
    </r>
    <r>
      <rPr>
        <sz val="10"/>
        <color theme="1"/>
        <rFont val="Calibri"/>
      </rPr>
      <t>很漂亮。</t>
    </r>
  </si>
  <si>
    <t>Tàitai hěn piàoliang</t>
  </si>
  <si>
    <t xml:space="preserve">Phu nhân rất xinh đẹp. </t>
  </si>
  <si>
    <t>H3_B2_BG-09.gif</t>
  </si>
  <si>
    <t>秘书</t>
  </si>
  <si>
    <t>&lt;ruby&gt;秘书&lt;rt&gt;mìshū&lt;/rt&gt;&lt;/ruby&gt;</t>
  </si>
  <si>
    <t>mìshū</t>
  </si>
  <si>
    <t>Thư ký</t>
  </si>
  <si>
    <r>
      <rPr>
        <sz val="10"/>
        <color theme="1"/>
        <rFont val="Calibri"/>
      </rPr>
      <t>她是一个很有经验的</t>
    </r>
    <r>
      <rPr>
        <b/>
        <sz val="10"/>
        <color theme="1"/>
        <rFont val="Calibri"/>
      </rPr>
      <t>秘书</t>
    </r>
    <r>
      <rPr>
        <sz val="10"/>
        <color theme="1"/>
        <rFont val="Calibri"/>
      </rPr>
      <t>。</t>
    </r>
  </si>
  <si>
    <t>Tā shì yīgè hěn yǒu jīngyàn de mìshū.</t>
  </si>
  <si>
    <t>Cô ấy là một thư ký rất có kinh nghiệm.</t>
  </si>
  <si>
    <t>H3_B2_BG-10.gif</t>
  </si>
  <si>
    <r>
      <rPr>
        <b/>
        <sz val="10"/>
        <color theme="1"/>
        <rFont val="Calibri"/>
      </rPr>
      <t>经理</t>
    </r>
    <r>
      <rPr>
        <sz val="10"/>
        <color theme="1"/>
        <rFont val="Calibri"/>
      </rPr>
      <t>是一个决断的人。</t>
    </r>
  </si>
  <si>
    <r>
      <rPr>
        <b/>
        <sz val="10"/>
        <color theme="1"/>
        <rFont val="Calibri"/>
      </rPr>
      <t>办公室</t>
    </r>
    <r>
      <rPr>
        <sz val="10"/>
        <color theme="1"/>
        <rFont val="Calibri"/>
      </rPr>
      <t>很整洁。</t>
    </r>
  </si>
  <si>
    <r>
      <rPr>
        <sz val="10"/>
        <color theme="1"/>
        <rFont val="Calibri"/>
      </rPr>
      <t>一</t>
    </r>
    <r>
      <rPr>
        <b/>
        <sz val="10"/>
        <color theme="1"/>
        <rFont val="Calibri"/>
      </rPr>
      <t>辆</t>
    </r>
    <r>
      <rPr>
        <sz val="10"/>
        <color theme="1"/>
        <rFont val="Calibri"/>
      </rPr>
      <t>很大的卡车。</t>
    </r>
  </si>
  <si>
    <r>
      <rPr>
        <sz val="10"/>
        <color theme="1"/>
        <rFont val="Calibri"/>
      </rPr>
      <t>这是一栋高</t>
    </r>
    <r>
      <rPr>
        <b/>
        <sz val="10"/>
        <color theme="1"/>
        <rFont val="Calibri"/>
      </rPr>
      <t>楼</t>
    </r>
    <r>
      <rPr>
        <sz val="10"/>
        <color theme="1"/>
        <rFont val="Calibri"/>
      </rPr>
      <t>。</t>
    </r>
  </si>
  <si>
    <t>Cầm, lấy</t>
  </si>
  <si>
    <r>
      <rPr>
        <sz val="10"/>
        <color theme="1"/>
        <rFont val="Calibri"/>
      </rPr>
      <t>小男孩</t>
    </r>
    <r>
      <rPr>
        <b/>
        <sz val="10"/>
        <color theme="1"/>
        <rFont val="Calibri"/>
      </rPr>
      <t>拿</t>
    </r>
    <r>
      <rPr>
        <sz val="10"/>
        <color theme="1"/>
        <rFont val="Calibri"/>
      </rPr>
      <t>着一串香肠。</t>
    </r>
  </si>
  <si>
    <t>Xiǎo nánhái názhe yī chuàn  xiāngcháng.</t>
  </si>
  <si>
    <t>Cậu bé đang cầm một xiên xúc xích.</t>
  </si>
  <si>
    <t>H3_B2_BG-15.gif</t>
  </si>
  <si>
    <r>
      <rPr>
        <sz val="10"/>
        <color theme="1"/>
        <rFont val="Calibri"/>
      </rPr>
      <t>一</t>
    </r>
    <r>
      <rPr>
        <b/>
        <sz val="10"/>
        <color theme="1"/>
        <rFont val="Calibri"/>
      </rPr>
      <t>把</t>
    </r>
    <r>
      <rPr>
        <sz val="10"/>
        <color theme="1"/>
        <rFont val="Calibri"/>
      </rPr>
      <t xml:space="preserve">椅子。 </t>
    </r>
  </si>
  <si>
    <r>
      <rPr>
        <sz val="10"/>
        <color theme="1"/>
        <rFont val="Calibri"/>
      </rPr>
      <t>卖给我一把</t>
    </r>
    <r>
      <rPr>
        <b/>
        <sz val="10"/>
        <color theme="1"/>
        <rFont val="Calibri"/>
      </rPr>
      <t>伞</t>
    </r>
    <r>
      <rPr>
        <sz val="10"/>
        <color theme="1"/>
        <rFont val="Calibri"/>
      </rPr>
      <t>吧。</t>
    </r>
  </si>
  <si>
    <r>
      <rPr>
        <sz val="10"/>
        <color theme="1"/>
        <rFont val="Calibri"/>
      </rPr>
      <t>他看起来很忙，</t>
    </r>
    <r>
      <rPr>
        <b/>
        <sz val="10"/>
        <color theme="1"/>
        <rFont val="Calibri"/>
      </rPr>
      <t>其实</t>
    </r>
    <r>
      <rPr>
        <sz val="10"/>
        <color theme="1"/>
        <rFont val="Calibri"/>
      </rPr>
      <t>他在玩游戏。</t>
    </r>
  </si>
  <si>
    <t>爬山</t>
  </si>
  <si>
    <t>&lt;ruby&gt;爬山&lt;rt&gt;páshān&lt;/rt&gt;&lt;/ruby&gt;</t>
  </si>
  <si>
    <t>páshān</t>
  </si>
  <si>
    <t>Leo núi</t>
  </si>
  <si>
    <r>
      <rPr>
        <sz val="10"/>
        <color theme="1"/>
        <rFont val="Calibri"/>
      </rPr>
      <t>他的爱好是</t>
    </r>
    <r>
      <rPr>
        <b/>
        <sz val="10"/>
        <color theme="1"/>
        <rFont val="Calibri"/>
      </rPr>
      <t>爬山</t>
    </r>
    <r>
      <rPr>
        <sz val="10"/>
        <color theme="1"/>
        <rFont val="Calibri"/>
      </rPr>
      <t xml:space="preserve">。 </t>
    </r>
  </si>
  <si>
    <t>Tā de àihào shì páshān.</t>
  </si>
  <si>
    <t>Sở thích của anh ấy là leo núi.</t>
  </si>
  <si>
    <t>H3_B3_BG-01.gif</t>
  </si>
  <si>
    <r>
      <rPr>
        <sz val="10"/>
        <color theme="1"/>
        <rFont val="Calibri"/>
      </rPr>
      <t>过马路的时候要</t>
    </r>
    <r>
      <rPr>
        <b/>
        <sz val="10"/>
        <color theme="1"/>
        <rFont val="Calibri"/>
      </rPr>
      <t>小心</t>
    </r>
    <r>
      <rPr>
        <sz val="10"/>
        <color theme="1"/>
        <rFont val="Calibri"/>
      </rPr>
      <t>。</t>
    </r>
  </si>
  <si>
    <r>
      <rPr>
        <sz val="10"/>
        <color theme="1"/>
        <rFont val="Calibri"/>
      </rPr>
      <t>我怎么会不</t>
    </r>
    <r>
      <rPr>
        <b/>
        <sz val="10"/>
        <color theme="1"/>
        <rFont val="Calibri"/>
      </rPr>
      <t>记得</t>
    </r>
    <r>
      <rPr>
        <sz val="10"/>
        <color theme="1"/>
        <rFont val="Calibri"/>
      </rPr>
      <t>这件事呢？</t>
    </r>
  </si>
  <si>
    <r>
      <rPr>
        <sz val="10"/>
        <color theme="1"/>
        <rFont val="Calibri"/>
      </rPr>
      <t>水果很</t>
    </r>
    <r>
      <rPr>
        <b/>
        <sz val="10"/>
        <color theme="1"/>
        <rFont val="Calibri"/>
      </rPr>
      <t>新鲜</t>
    </r>
    <r>
      <rPr>
        <sz val="10"/>
        <color theme="1"/>
        <rFont val="Calibri"/>
      </rPr>
      <t xml:space="preserve">。 </t>
    </r>
  </si>
  <si>
    <r>
      <rPr>
        <sz val="10"/>
        <color theme="1"/>
        <rFont val="Calibri"/>
      </rPr>
      <t>糖果又</t>
    </r>
    <r>
      <rPr>
        <b/>
        <sz val="10"/>
        <color theme="1"/>
        <rFont val="Calibri"/>
      </rPr>
      <t>甜</t>
    </r>
    <r>
      <rPr>
        <sz val="10"/>
        <color theme="1"/>
        <rFont val="Calibri"/>
      </rPr>
      <t>又好吃。</t>
    </r>
  </si>
  <si>
    <r>
      <rPr>
        <sz val="10"/>
        <color theme="1"/>
        <rFont val="Calibri"/>
      </rPr>
      <t>这瓶</t>
    </r>
    <r>
      <rPr>
        <b/>
        <sz val="10"/>
        <color theme="1"/>
        <rFont val="Calibri"/>
      </rPr>
      <t>饮料</t>
    </r>
    <r>
      <rPr>
        <sz val="10"/>
        <color theme="1"/>
        <rFont val="Calibri"/>
      </rPr>
      <t>很好喝。</t>
    </r>
  </si>
  <si>
    <r>
      <rPr>
        <sz val="10"/>
        <color theme="1"/>
        <rFont val="Calibri"/>
      </rPr>
      <t>这朵</t>
    </r>
    <r>
      <rPr>
        <b/>
        <sz val="10"/>
        <color theme="1"/>
        <rFont val="Calibri"/>
      </rPr>
      <t>花</t>
    </r>
    <r>
      <rPr>
        <sz val="10"/>
        <color theme="1"/>
        <rFont val="Calibri"/>
      </rPr>
      <t>很漂亮。</t>
    </r>
  </si>
  <si>
    <t>绿</t>
  </si>
  <si>
    <t>&lt;ruby&gt;绿&lt;rt&gt;lǜ&lt;/rt&gt;&lt;/ruby&gt;</t>
  </si>
  <si>
    <t>lǜ</t>
  </si>
  <si>
    <t>Màu xanh lá cây</t>
  </si>
  <si>
    <r>
      <rPr>
        <sz val="10"/>
        <color theme="1"/>
        <rFont val="Calibri"/>
      </rPr>
      <t>这棵树的叶子是</t>
    </r>
    <r>
      <rPr>
        <b/>
        <sz val="10"/>
        <color theme="1"/>
        <rFont val="Calibri"/>
      </rPr>
      <t>绿</t>
    </r>
    <r>
      <rPr>
        <sz val="10"/>
        <color theme="1"/>
        <rFont val="Calibri"/>
      </rPr>
      <t>色的。</t>
    </r>
  </si>
  <si>
    <t>Zhè kē shù de yèzi shì lǜsè de.</t>
  </si>
  <si>
    <t>Lá của cái cây này có màu xanh.</t>
  </si>
  <si>
    <t>H3_B3_BG-08.gif</t>
  </si>
  <si>
    <r>
      <rPr>
        <sz val="10"/>
        <color theme="1"/>
        <rFont val="Calibri"/>
      </rPr>
      <t>你要咖啡</t>
    </r>
    <r>
      <rPr>
        <b/>
        <sz val="10"/>
        <color theme="1"/>
        <rFont val="Calibri"/>
      </rPr>
      <t>还是</t>
    </r>
    <r>
      <rPr>
        <sz val="10"/>
        <color theme="1"/>
        <rFont val="Calibri"/>
      </rPr>
      <t>茶？</t>
    </r>
  </si>
  <si>
    <r>
      <rPr>
        <sz val="10"/>
        <color theme="1"/>
        <rFont val="Calibri"/>
      </rPr>
      <t>小孩子觉得很</t>
    </r>
    <r>
      <rPr>
        <b/>
        <sz val="10"/>
        <color theme="1"/>
        <rFont val="Calibri"/>
      </rPr>
      <t>舒服</t>
    </r>
    <r>
      <rPr>
        <sz val="10"/>
        <color theme="1"/>
        <rFont val="Calibri"/>
      </rPr>
      <t xml:space="preserve">。 </t>
    </r>
  </si>
  <si>
    <r>
      <rPr>
        <sz val="10"/>
        <color theme="1"/>
        <rFont val="Calibri"/>
      </rPr>
      <t>她买了一</t>
    </r>
    <r>
      <rPr>
        <b/>
        <sz val="10"/>
        <color theme="1"/>
        <rFont val="Calibri"/>
      </rPr>
      <t>条</t>
    </r>
    <r>
      <rPr>
        <sz val="10"/>
        <color theme="1"/>
        <rFont val="Calibri"/>
      </rPr>
      <t>裙子。</t>
    </r>
  </si>
  <si>
    <r>
      <rPr>
        <sz val="10"/>
        <color theme="1"/>
        <rFont val="Calibri"/>
      </rPr>
      <t>他买了一条</t>
    </r>
    <r>
      <rPr>
        <b/>
        <sz val="10"/>
        <color theme="1"/>
        <rFont val="Calibri"/>
      </rPr>
      <t>裤子</t>
    </r>
    <r>
      <rPr>
        <sz val="10"/>
        <color theme="1"/>
        <rFont val="Calibri"/>
      </rPr>
      <t>。</t>
    </r>
  </si>
  <si>
    <t>衬衫</t>
  </si>
  <si>
    <t>&lt;ruby&gt;衬衫&lt;rt&gt;chènshān&lt;/rt&gt;&lt;/ruby&gt;</t>
  </si>
  <si>
    <t>chènshān</t>
  </si>
  <si>
    <t>Áo sơ mi</t>
  </si>
  <si>
    <r>
      <rPr>
        <sz val="10"/>
        <color theme="1"/>
        <rFont val="Calibri"/>
      </rPr>
      <t>他穿了一件白</t>
    </r>
    <r>
      <rPr>
        <b/>
        <sz val="10"/>
        <color theme="1"/>
        <rFont val="Calibri"/>
      </rPr>
      <t>衬衫</t>
    </r>
    <r>
      <rPr>
        <sz val="10"/>
        <color theme="1"/>
        <rFont val="Calibri"/>
      </rPr>
      <t>。</t>
    </r>
  </si>
  <si>
    <t>Tā chuān le yī jiàn bái chènshān.</t>
  </si>
  <si>
    <t>Anh ấy mặc một chiếc áo sơ mi trắng.</t>
  </si>
  <si>
    <t>H3_B3_BG-13.gif</t>
  </si>
  <si>
    <r>
      <rPr>
        <sz val="10"/>
        <color theme="1"/>
        <rFont val="Calibri"/>
      </rPr>
      <t>我只有一百</t>
    </r>
    <r>
      <rPr>
        <b/>
        <sz val="10"/>
        <color theme="1"/>
        <rFont val="Calibri"/>
      </rPr>
      <t>元</t>
    </r>
    <r>
      <rPr>
        <sz val="10"/>
        <color theme="1"/>
        <rFont val="Calibri"/>
      </rPr>
      <t>。</t>
    </r>
  </si>
  <si>
    <t>H3_B3_BG-14.gif</t>
  </si>
  <si>
    <r>
      <rPr>
        <sz val="10"/>
        <color theme="1"/>
        <rFont val="Calibri"/>
      </rPr>
      <t>这只鸡</t>
    </r>
    <r>
      <rPr>
        <b/>
        <sz val="10"/>
        <color theme="1"/>
        <rFont val="Calibri"/>
      </rPr>
      <t>只</t>
    </r>
    <r>
      <rPr>
        <sz val="10"/>
        <color theme="1"/>
        <rFont val="Calibri"/>
      </rPr>
      <t>吃玉米，不吃其他食物。</t>
    </r>
  </si>
  <si>
    <r>
      <rPr>
        <sz val="10"/>
        <color theme="1"/>
        <rFont val="Calibri"/>
      </rPr>
      <t>请把书</t>
    </r>
    <r>
      <rPr>
        <b/>
        <sz val="10"/>
        <color theme="1"/>
        <rFont val="Calibri"/>
      </rPr>
      <t>放</t>
    </r>
    <r>
      <rPr>
        <sz val="10"/>
        <color theme="1"/>
        <rFont val="Calibri"/>
      </rPr>
      <t>在桌上。</t>
    </r>
  </si>
  <si>
    <r>
      <rPr>
        <sz val="10"/>
        <color theme="1"/>
        <rFont val="Calibri"/>
      </rPr>
      <t>你穿裙子</t>
    </r>
    <r>
      <rPr>
        <b/>
        <sz val="10"/>
        <color theme="1"/>
        <rFont val="Calibri"/>
      </rPr>
      <t>或者</t>
    </r>
    <r>
      <rPr>
        <sz val="10"/>
        <color theme="1"/>
        <rFont val="Calibri"/>
      </rPr>
      <t>裤子都漂亮。</t>
    </r>
  </si>
  <si>
    <t xml:space="preserve">年级 </t>
  </si>
  <si>
    <t>&lt;ruby&gt;年级 &lt;rt&gt;niánjí&lt;/rt&gt;&lt;/ruby&gt;</t>
  </si>
  <si>
    <t>niánjí</t>
  </si>
  <si>
    <t>Năm học</t>
  </si>
  <si>
    <r>
      <rPr>
        <sz val="11"/>
        <color theme="1"/>
        <rFont val="Calibri"/>
      </rPr>
      <t>我们一</t>
    </r>
    <r>
      <rPr>
        <b/>
        <sz val="11"/>
        <color theme="1"/>
        <rFont val="Calibri"/>
      </rPr>
      <t>年级</t>
    </r>
    <r>
      <rPr>
        <sz val="11"/>
        <color theme="1"/>
        <rFont val="Calibri"/>
      </rPr>
      <t>的学生。</t>
    </r>
  </si>
  <si>
    <t>Wǒmen yī niánjí de xuéshēng.</t>
  </si>
  <si>
    <t>Chúng tôi là học sinh lớp một.</t>
  </si>
  <si>
    <t>H3_B4_BG-01.gif</t>
  </si>
  <si>
    <t xml:space="preserve">聪明 </t>
  </si>
  <si>
    <t>&lt;ruby&gt;聪明 &lt;rt&gt;cōngmíng&lt;/rt&gt;&lt;/ruby&gt;</t>
  </si>
  <si>
    <t>cōngmíng</t>
  </si>
  <si>
    <r>
      <rPr>
        <sz val="10"/>
        <color theme="1"/>
        <rFont val="Calibri"/>
      </rPr>
      <t>她很</t>
    </r>
    <r>
      <rPr>
        <b/>
        <sz val="10"/>
        <color theme="1"/>
        <rFont val="Calibri"/>
      </rPr>
      <t>聪明</t>
    </r>
    <r>
      <rPr>
        <sz val="10"/>
        <color theme="1"/>
        <rFont val="Calibri"/>
      </rPr>
      <t>，成绩很好。</t>
    </r>
  </si>
  <si>
    <t>Tā hěn cōngmíng, chéngjì hěn hǎo.</t>
  </si>
  <si>
    <t>Cô ấy rất thông minh, thành tích rất tốt.</t>
  </si>
  <si>
    <t>H3_B4_BG-02.gif</t>
  </si>
  <si>
    <t xml:space="preserve">热情 </t>
  </si>
  <si>
    <t>&lt;ruby&gt;热情 &lt;rt&gt;rèqíng&lt;/rt&gt;&lt;/ruby&gt;</t>
  </si>
  <si>
    <t>rèqíng</t>
  </si>
  <si>
    <r>
      <rPr>
        <sz val="10"/>
        <color theme="1"/>
        <rFont val="Calibri"/>
      </rPr>
      <t>她是一个</t>
    </r>
    <r>
      <rPr>
        <b/>
        <sz val="10"/>
        <color theme="1"/>
        <rFont val="Calibri"/>
      </rPr>
      <t>热情</t>
    </r>
    <r>
      <rPr>
        <sz val="10"/>
        <color theme="1"/>
        <rFont val="Calibri"/>
      </rPr>
      <t>的人。</t>
    </r>
  </si>
  <si>
    <t>Tā shì yīgè rèqíng de rén.</t>
  </si>
  <si>
    <t>Cô ấy là một người nhiệt tình.</t>
  </si>
  <si>
    <t>H3_B4_BG-03.gif</t>
  </si>
  <si>
    <t xml:space="preserve">努力 </t>
  </si>
  <si>
    <t>&lt;ruby&gt;努力 &lt;rt&gt;nǔlì&lt;/rt&gt;&lt;/ruby&gt;</t>
  </si>
  <si>
    <t>nǔlì</t>
  </si>
  <si>
    <t>Nỗ lực</t>
  </si>
  <si>
    <r>
      <rPr>
        <sz val="10"/>
        <color theme="1"/>
        <rFont val="Calibri"/>
      </rPr>
      <t>她很</t>
    </r>
    <r>
      <rPr>
        <b/>
        <sz val="10"/>
        <color theme="1"/>
        <rFont val="Calibri"/>
      </rPr>
      <t>努力</t>
    </r>
    <r>
      <rPr>
        <sz val="10"/>
        <color theme="1"/>
        <rFont val="Calibri"/>
      </rPr>
      <t>，学习很进步。</t>
    </r>
  </si>
  <si>
    <t>Tā hěn nǔlì, xuéxí hěn jìnbù.</t>
  </si>
  <si>
    <t>Cô ấy rất nỗ lực, học tập tiến bộ rất nhiều.</t>
  </si>
  <si>
    <t>H3_B4_BG-04.gif</t>
  </si>
  <si>
    <t xml:space="preserve">总是 </t>
  </si>
  <si>
    <t>&lt;ruby&gt;总是 &lt;rt&gt;zǒngshì&lt;/rt&gt;&lt;/ruby&gt;</t>
  </si>
  <si>
    <t>zǒngshì</t>
  </si>
  <si>
    <r>
      <rPr>
        <sz val="11"/>
        <color theme="1"/>
        <rFont val="Calibri"/>
      </rPr>
      <t>她</t>
    </r>
    <r>
      <rPr>
        <b/>
        <sz val="11"/>
        <color theme="1"/>
        <rFont val="Calibri"/>
      </rPr>
      <t>总是</t>
    </r>
    <r>
      <rPr>
        <sz val="11"/>
        <color theme="1"/>
        <rFont val="Calibri"/>
      </rPr>
      <t>很开心。</t>
    </r>
  </si>
  <si>
    <t>Tā zǒng shì hěn kāixīn.</t>
  </si>
  <si>
    <t>Cô ấy luôn rất vui vẻ.</t>
  </si>
  <si>
    <t>H3_B4_BG-05.gif</t>
  </si>
  <si>
    <r>
      <rPr>
        <b/>
        <sz val="11"/>
        <color theme="1"/>
        <rFont val="Calibri"/>
      </rPr>
      <t>年轻</t>
    </r>
    <r>
      <rPr>
        <sz val="11"/>
        <color theme="1"/>
        <rFont val="Calibri"/>
      </rPr>
      <t>人总是充满希望和梦想。</t>
    </r>
  </si>
  <si>
    <t xml:space="preserve">认真 </t>
  </si>
  <si>
    <t>&lt;ruby&gt;认真 &lt;rt&gt;rènzhēn&lt;/rt&gt;&lt;/ruby&gt;</t>
  </si>
  <si>
    <t>rènzhēn</t>
  </si>
  <si>
    <t>Chăm chỉ, nghiêm túc</t>
  </si>
  <si>
    <r>
      <rPr>
        <sz val="10"/>
        <color theme="1"/>
        <rFont val="Calibri"/>
      </rPr>
      <t>他很</t>
    </r>
    <r>
      <rPr>
        <b/>
        <sz val="10"/>
        <color theme="1"/>
        <rFont val="Calibri"/>
      </rPr>
      <t>认真</t>
    </r>
    <r>
      <rPr>
        <sz val="10"/>
        <color theme="1"/>
        <rFont val="Calibri"/>
      </rPr>
      <t>学习。</t>
    </r>
  </si>
  <si>
    <t>Tā hěn rènzhēn xuéxí.</t>
  </si>
  <si>
    <t>Anh ấy học rất nghiêm túc.</t>
  </si>
  <si>
    <t>H3_B4_BG-07.gif</t>
  </si>
  <si>
    <t xml:space="preserve">客人 </t>
  </si>
  <si>
    <t>&lt;ruby&gt;客人 &lt;rt&gt;kèrén&lt;/rt&gt;&lt;/ruby&gt;</t>
  </si>
  <si>
    <t>kèrén</t>
  </si>
  <si>
    <r>
      <rPr>
        <sz val="10"/>
        <color theme="1"/>
        <rFont val="Calibri"/>
      </rPr>
      <t>他是我的</t>
    </r>
    <r>
      <rPr>
        <b/>
        <sz val="10"/>
        <color theme="1"/>
        <rFont val="Calibri"/>
      </rPr>
      <t>客人</t>
    </r>
    <r>
      <rPr>
        <sz val="10"/>
        <color theme="1"/>
        <rFont val="Calibri"/>
      </rPr>
      <t>。</t>
    </r>
  </si>
  <si>
    <t>Tā shì wǒ de kèrén.</t>
  </si>
  <si>
    <t>Anh ấy là khách của tôi.</t>
  </si>
  <si>
    <t>H3_B4_BG-08.gif</t>
  </si>
  <si>
    <t xml:space="preserve">比赛 </t>
  </si>
  <si>
    <t>&lt;ruby&gt;比赛 &lt;rt&gt;bǐsài&lt;/rt&gt;&lt;/ruby&gt;</t>
  </si>
  <si>
    <t>bǐsài</t>
  </si>
  <si>
    <t>Cuộc thi, trận đấu</t>
  </si>
  <si>
    <r>
      <rPr>
        <sz val="11"/>
        <color theme="1"/>
        <rFont val="Calibri"/>
      </rPr>
      <t>我们正在参加</t>
    </r>
    <r>
      <rPr>
        <b/>
        <sz val="11"/>
        <color theme="1"/>
        <rFont val="Calibri"/>
      </rPr>
      <t>比赛</t>
    </r>
    <r>
      <rPr>
        <sz val="11"/>
        <color theme="1"/>
        <rFont val="Calibri"/>
      </rPr>
      <t>。</t>
    </r>
  </si>
  <si>
    <t>Wǒmen zhèngzài cānjiā bǐsài.</t>
  </si>
  <si>
    <t>Chúng tôi đang tham gia cuộc thi.</t>
  </si>
  <si>
    <t>H3_B4_BG-09.gif</t>
  </si>
  <si>
    <t xml:space="preserve">照片 </t>
  </si>
  <si>
    <t>&lt;ruby&gt;照片 &lt;rt&gt;zhàopiàn&lt;/rt&gt;&lt;/ruby&gt;</t>
  </si>
  <si>
    <t>zhàopiàn</t>
  </si>
  <si>
    <r>
      <rPr>
        <sz val="10"/>
        <color theme="1"/>
        <rFont val="Calibri"/>
      </rPr>
      <t>这张</t>
    </r>
    <r>
      <rPr>
        <b/>
        <sz val="10"/>
        <color theme="1"/>
        <rFont val="Calibri"/>
      </rPr>
      <t>照片</t>
    </r>
    <r>
      <rPr>
        <sz val="10"/>
        <color theme="1"/>
        <rFont val="Calibri"/>
      </rPr>
      <t>真美。</t>
    </r>
  </si>
  <si>
    <t>Zhè zhāng zhàopiàn zhēn měi.</t>
  </si>
  <si>
    <t>Bức ảnh này thật đẹp.</t>
  </si>
  <si>
    <t>H3_B4_BG-10.gif</t>
  </si>
  <si>
    <r>
      <rPr>
        <sz val="11"/>
        <color theme="1"/>
        <rFont val="Calibri"/>
      </rPr>
      <t>这个地方</t>
    </r>
    <r>
      <rPr>
        <b/>
        <sz val="11"/>
        <color theme="1"/>
        <rFont val="Calibri"/>
      </rPr>
      <t>又</t>
    </r>
    <r>
      <rPr>
        <sz val="11"/>
        <color theme="1"/>
        <rFont val="Calibri"/>
      </rPr>
      <t>安静</t>
    </r>
    <r>
      <rPr>
        <b/>
        <sz val="11"/>
        <color theme="1"/>
        <rFont val="Calibri"/>
      </rPr>
      <t>又</t>
    </r>
    <r>
      <rPr>
        <sz val="11"/>
        <color theme="1"/>
        <rFont val="Calibri"/>
      </rPr>
      <t>漂亮。</t>
    </r>
  </si>
  <si>
    <r>
      <rPr>
        <sz val="10"/>
        <color theme="1"/>
        <rFont val="Calibri"/>
      </rPr>
      <t>你快</t>
    </r>
    <r>
      <rPr>
        <b/>
        <sz val="10"/>
        <color theme="1"/>
        <rFont val="Calibri"/>
      </rPr>
      <t>回答</t>
    </r>
    <r>
      <rPr>
        <sz val="10"/>
        <color theme="1"/>
        <rFont val="Calibri"/>
      </rPr>
      <t>我的问题吧。</t>
    </r>
  </si>
  <si>
    <r>
      <rPr>
        <sz val="11"/>
        <color theme="1"/>
        <rFont val="Calibri"/>
      </rPr>
      <t>警察正在</t>
    </r>
    <r>
      <rPr>
        <b/>
        <sz val="11"/>
        <color theme="1"/>
        <rFont val="Calibri"/>
      </rPr>
      <t>站</t>
    </r>
    <r>
      <rPr>
        <sz val="11"/>
        <color theme="1"/>
        <rFont val="Calibri"/>
      </rPr>
      <t>着观察。</t>
    </r>
  </si>
  <si>
    <r>
      <rPr>
        <sz val="10"/>
        <color theme="1"/>
        <rFont val="Calibri"/>
      </rPr>
      <t>我好</t>
    </r>
    <r>
      <rPr>
        <b/>
        <sz val="10"/>
        <color theme="1"/>
        <rFont val="Calibri"/>
      </rPr>
      <t>饿</t>
    </r>
    <r>
      <rPr>
        <sz val="10"/>
        <color theme="1"/>
        <rFont val="Calibri"/>
      </rPr>
      <t>!</t>
    </r>
  </si>
  <si>
    <t xml:space="preserve">超市 </t>
  </si>
  <si>
    <t>&lt;ruby&gt;超市 &lt;rt&gt;chāoshì&lt;/rt&gt;&lt;/ruby&gt;</t>
  </si>
  <si>
    <r>
      <rPr>
        <sz val="10"/>
        <color theme="1"/>
        <rFont val="Calibri"/>
      </rPr>
      <t>这个</t>
    </r>
    <r>
      <rPr>
        <b/>
        <sz val="10"/>
        <color theme="1"/>
        <rFont val="Calibri"/>
      </rPr>
      <t>超市</t>
    </r>
    <r>
      <rPr>
        <sz val="10"/>
        <color theme="1"/>
        <rFont val="Calibri"/>
      </rPr>
      <t>真的很大。</t>
    </r>
  </si>
  <si>
    <t>Zhège chāoshì zhēn de hěn dà.</t>
  </si>
  <si>
    <t>Siêu thị này thật to.</t>
  </si>
  <si>
    <t>H3_B4_BG-15.gif</t>
  </si>
  <si>
    <t xml:space="preserve">鸡蛋 </t>
  </si>
  <si>
    <t>&lt;ruby&gt;鸡蛋 &lt;rt&gt;jīdàn&lt;/rt&gt;&lt;/ruby&gt;</t>
  </si>
  <si>
    <t>Trứng gà</t>
  </si>
  <si>
    <r>
      <rPr>
        <sz val="10"/>
        <color theme="1"/>
        <rFont val="Calibri"/>
      </rPr>
      <t>我买了一打</t>
    </r>
    <r>
      <rPr>
        <b/>
        <sz val="10"/>
        <color theme="1"/>
        <rFont val="Calibri"/>
      </rPr>
      <t>鸡蛋</t>
    </r>
    <r>
      <rPr>
        <sz val="10"/>
        <color theme="1"/>
        <rFont val="Calibri"/>
      </rPr>
      <t>。</t>
    </r>
  </si>
  <si>
    <t>Wǒ mǎi le yī dǎ jīdàn.</t>
  </si>
  <si>
    <t>Tôi mua một chục trứng.</t>
  </si>
  <si>
    <t>H3_B4_BG-16.gif</t>
  </si>
  <si>
    <r>
      <rPr>
        <sz val="10"/>
        <color theme="1"/>
        <rFont val="Calibri"/>
      </rPr>
      <t>我昨晚</t>
    </r>
    <r>
      <rPr>
        <b/>
        <sz val="10"/>
        <color theme="1"/>
        <rFont val="Calibri"/>
      </rPr>
      <t>发烧</t>
    </r>
    <r>
      <rPr>
        <sz val="10"/>
        <color theme="1"/>
        <rFont val="Calibri"/>
      </rPr>
      <t>了。</t>
    </r>
  </si>
  <si>
    <r>
      <rPr>
        <sz val="10"/>
        <color theme="1"/>
        <rFont val="Calibri"/>
      </rPr>
      <t>这是我</t>
    </r>
    <r>
      <rPr>
        <b/>
        <sz val="10"/>
        <color theme="1"/>
        <rFont val="Calibri"/>
      </rPr>
      <t>为</t>
    </r>
    <r>
      <rPr>
        <sz val="10"/>
        <color theme="1"/>
        <rFont val="Calibri"/>
      </rPr>
      <t>你准备的礼物。</t>
    </r>
  </si>
  <si>
    <t>&lt;ruby&gt;照顾&lt;rt&gt;zhàogù&lt;/rt&gt;&lt;/ruby&gt;</t>
  </si>
  <si>
    <t>zhàogù</t>
  </si>
  <si>
    <r>
      <rPr>
        <sz val="10"/>
        <color theme="1"/>
        <rFont val="Calibri"/>
      </rPr>
      <t>她生病了，妈妈在</t>
    </r>
    <r>
      <rPr>
        <b/>
        <sz val="10"/>
        <color theme="1"/>
        <rFont val="Calibri"/>
      </rPr>
      <t>照顾</t>
    </r>
    <r>
      <rPr>
        <sz val="10"/>
        <color theme="1"/>
        <rFont val="Calibri"/>
      </rPr>
      <t>她。</t>
    </r>
  </si>
  <si>
    <t>Tā shēng bìng le, māmā zài zhàogù tā.</t>
  </si>
  <si>
    <t>Cô ấy bị ốm, mẹ đang chăm sóc cô ấy.</t>
  </si>
  <si>
    <t>H3_B5_BG-03.gif</t>
  </si>
  <si>
    <r>
      <rPr>
        <sz val="10"/>
        <color theme="1"/>
        <rFont val="Calibri"/>
      </rPr>
      <t>我</t>
    </r>
    <r>
      <rPr>
        <b/>
        <sz val="10"/>
        <color theme="1"/>
        <rFont val="Calibri"/>
      </rPr>
      <t>感冒</t>
    </r>
    <r>
      <rPr>
        <sz val="10"/>
        <color theme="1"/>
        <rFont val="Calibri"/>
      </rPr>
      <t>了。</t>
    </r>
  </si>
  <si>
    <r>
      <rPr>
        <sz val="10"/>
        <color theme="1"/>
        <rFont val="Calibri"/>
      </rPr>
      <t>这个是</t>
    </r>
    <r>
      <rPr>
        <b/>
        <sz val="10"/>
        <color theme="1"/>
        <rFont val="Calibri"/>
      </rPr>
      <t>用</t>
    </r>
    <r>
      <rPr>
        <sz val="10"/>
        <color theme="1"/>
        <rFont val="Calibri"/>
      </rPr>
      <t>什么做的？</t>
    </r>
  </si>
  <si>
    <r>
      <rPr>
        <sz val="10"/>
        <color theme="1"/>
        <rFont val="Calibri"/>
      </rPr>
      <t>冬天是我最喜欢的</t>
    </r>
    <r>
      <rPr>
        <b/>
        <sz val="10"/>
        <color theme="1"/>
        <rFont val="Calibri"/>
      </rPr>
      <t>季节</t>
    </r>
    <r>
      <rPr>
        <sz val="10"/>
        <color theme="1"/>
        <rFont val="Calibri"/>
      </rPr>
      <t>。</t>
    </r>
  </si>
  <si>
    <r>
      <rPr>
        <sz val="10"/>
        <color theme="1"/>
        <rFont val="Calibri"/>
      </rPr>
      <t>这件衣服很好看，我</t>
    </r>
    <r>
      <rPr>
        <b/>
        <sz val="10"/>
        <color theme="1"/>
        <rFont val="Calibri"/>
      </rPr>
      <t>当然</t>
    </r>
    <r>
      <rPr>
        <sz val="10"/>
        <color theme="1"/>
        <rFont val="Calibri"/>
      </rPr>
      <t>喜欢。</t>
    </r>
  </si>
  <si>
    <t>春</t>
  </si>
  <si>
    <t>&lt;ruby&gt;春&lt;rt&gt;chūn&lt;/rt&gt;&lt;/ruby&gt;</t>
  </si>
  <si>
    <t>chūn</t>
  </si>
  <si>
    <r>
      <rPr>
        <b/>
        <sz val="10"/>
        <color theme="1"/>
        <rFont val="Calibri"/>
      </rPr>
      <t>春</t>
    </r>
    <r>
      <rPr>
        <sz val="10"/>
        <color theme="1"/>
        <rFont val="Calibri"/>
      </rPr>
      <t>天到了，花儿开了。</t>
    </r>
  </si>
  <si>
    <t>Chūntiān dào le, huā'r kāi le.</t>
  </si>
  <si>
    <t>Mùa xuân đến rồi, hoa nở rồi.</t>
  </si>
  <si>
    <t>H3_B5_BG-08.gif</t>
  </si>
  <si>
    <t>草</t>
  </si>
  <si>
    <t>&lt;ruby&gt;草&lt;rt&gt;cǎo&lt;/rt&gt;&lt;/ruby&gt;</t>
  </si>
  <si>
    <t>cǎo</t>
  </si>
  <si>
    <t>Cỏ</t>
  </si>
  <si>
    <r>
      <rPr>
        <sz val="10"/>
        <color theme="1"/>
        <rFont val="Calibri"/>
      </rPr>
      <t>公园里的</t>
    </r>
    <r>
      <rPr>
        <b/>
        <sz val="10"/>
        <color theme="1"/>
        <rFont val="Calibri"/>
      </rPr>
      <t>草</t>
    </r>
    <r>
      <rPr>
        <sz val="10"/>
        <color theme="1"/>
        <rFont val="Calibri"/>
      </rPr>
      <t>非常绿。</t>
    </r>
  </si>
  <si>
    <t>Gōngyuán lǐ de cǎo fēicháng lǜ.</t>
  </si>
  <si>
    <t>Cỏ trong công viên rất xanh.</t>
  </si>
  <si>
    <t>H3_B5_BG-09.gif</t>
  </si>
  <si>
    <t>夏</t>
  </si>
  <si>
    <t>&lt;ruby&gt;夏&lt;rt&gt;xià&lt;/rt&gt;&lt;/ruby&gt;</t>
  </si>
  <si>
    <r>
      <rPr>
        <b/>
        <sz val="10"/>
        <color theme="1"/>
        <rFont val="Calibri"/>
      </rPr>
      <t>夏</t>
    </r>
    <r>
      <rPr>
        <sz val="10"/>
        <color theme="1"/>
        <rFont val="Calibri"/>
      </rPr>
      <t>天的蝉非常吵。</t>
    </r>
  </si>
  <si>
    <t>Xiàtiān de chán fēicháng chǎo.</t>
  </si>
  <si>
    <t>Những con ve vào mùa hè rất ồn ào.</t>
  </si>
  <si>
    <t>H3_B5_BG-10.gif</t>
  </si>
  <si>
    <r>
      <rPr>
        <sz val="10"/>
        <color theme="1"/>
        <rFont val="Calibri"/>
      </rPr>
      <t>这条红</t>
    </r>
    <r>
      <rPr>
        <b/>
        <sz val="10"/>
        <color theme="1"/>
        <rFont val="Calibri"/>
      </rPr>
      <t>裙子</t>
    </r>
    <r>
      <rPr>
        <sz val="10"/>
        <color theme="1"/>
        <rFont val="Calibri"/>
      </rPr>
      <t>真好看。</t>
    </r>
  </si>
  <si>
    <t>越</t>
  </si>
  <si>
    <r>
      <rPr>
        <sz val="10"/>
        <color theme="1"/>
        <rFont val="Calibri"/>
      </rPr>
      <t>天气</t>
    </r>
    <r>
      <rPr>
        <b/>
        <sz val="10"/>
        <color theme="1"/>
        <rFont val="Calibri"/>
      </rPr>
      <t>越</t>
    </r>
    <r>
      <rPr>
        <sz val="10"/>
        <color theme="1"/>
        <rFont val="Calibri"/>
      </rPr>
      <t>冷，我</t>
    </r>
    <r>
      <rPr>
        <b/>
        <sz val="10"/>
        <color theme="1"/>
        <rFont val="Calibri"/>
      </rPr>
      <t>越</t>
    </r>
    <r>
      <rPr>
        <sz val="10"/>
        <color theme="1"/>
        <rFont val="Calibri"/>
      </rPr>
      <t>喜欢吃火锅。</t>
    </r>
  </si>
  <si>
    <t>Tiānqì yuè lěng, wǒ yuè xǐhuān chī huǒguō.</t>
  </si>
  <si>
    <t>Thời tiết càng lạnh, tôi càng thích ăn lẩu.</t>
  </si>
  <si>
    <t>H3_B5_BG-13.gif</t>
  </si>
  <si>
    <t>眼镜</t>
  </si>
  <si>
    <t>&lt;ruby&gt;眼镜&lt;rt&gt;yǎnjìng&lt;/rt&gt;&lt;/ruby&gt;</t>
  </si>
  <si>
    <t>yǎnjìng</t>
  </si>
  <si>
    <t xml:space="preserve">Mắt kính </t>
  </si>
  <si>
    <r>
      <rPr>
        <sz val="10"/>
        <color theme="1"/>
        <rFont val="Calibri"/>
      </rPr>
      <t>做实验时一定要戴上防护</t>
    </r>
    <r>
      <rPr>
        <b/>
        <sz val="10"/>
        <color theme="1"/>
        <rFont val="Calibri"/>
      </rPr>
      <t>眼镜</t>
    </r>
    <r>
      <rPr>
        <sz val="10"/>
        <color theme="1"/>
        <rFont val="Calibri"/>
      </rPr>
      <t>。</t>
    </r>
  </si>
  <si>
    <t>Zài zuò shíyàn shí yīdìng yào dài shàng fánghù yǎnjìng。</t>
  </si>
  <si>
    <t>Lúc làm thí nghiệm thì phải đeo kính bảo hộ.</t>
  </si>
  <si>
    <t>H3_B6_BG-01.gif</t>
  </si>
  <si>
    <r>
      <rPr>
        <sz val="10"/>
        <color theme="1"/>
        <rFont val="Calibri"/>
      </rPr>
      <t>我在散步时，</t>
    </r>
    <r>
      <rPr>
        <b/>
        <sz val="10"/>
        <color theme="1"/>
        <rFont val="Calibri"/>
      </rPr>
      <t>突然</t>
    </r>
    <r>
      <rPr>
        <sz val="10"/>
        <color theme="1"/>
        <rFont val="Calibri"/>
      </rPr>
      <t>下起雨来，还好我带了伞。</t>
    </r>
  </si>
  <si>
    <r>
      <rPr>
        <sz val="10"/>
        <color theme="1"/>
        <rFont val="Calibri"/>
      </rPr>
      <t>成熟的蝴蝶会</t>
    </r>
    <r>
      <rPr>
        <b/>
        <sz val="10"/>
        <color theme="1"/>
        <rFont val="Calibri"/>
      </rPr>
      <t>离开</t>
    </r>
    <r>
      <rPr>
        <sz val="10"/>
        <color theme="1"/>
        <rFont val="Calibri"/>
      </rPr>
      <t>茧去寻找伴侣。</t>
    </r>
  </si>
  <si>
    <r>
      <rPr>
        <sz val="10"/>
        <color theme="1"/>
        <rFont val="Calibri"/>
      </rPr>
      <t xml:space="preserve"> 这个问题已经解释得很</t>
    </r>
    <r>
      <rPr>
        <b/>
        <sz val="10"/>
        <color theme="1"/>
        <rFont val="Calibri"/>
      </rPr>
      <t>清楚</t>
    </r>
    <r>
      <rPr>
        <sz val="10"/>
        <color theme="1"/>
        <rFont val="Calibri"/>
      </rPr>
      <t>了，但她还是不明白。</t>
    </r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</si>
  <si>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刚才</t>
    </r>
    <r>
      <rPr>
        <sz val="10"/>
        <color theme="1"/>
        <rFont val="Calibri"/>
      </rPr>
      <t>又种了一棵树。</t>
    </r>
  </si>
  <si>
    <r>
      <rPr>
        <sz val="10"/>
        <color theme="1"/>
        <rFont val="Calibri"/>
      </rPr>
      <t>小女孩</t>
    </r>
    <r>
      <rPr>
        <b/>
        <sz val="10"/>
        <color theme="1"/>
        <rFont val="Calibri"/>
      </rPr>
      <t>帮忙</t>
    </r>
    <r>
      <rPr>
        <sz val="10"/>
        <color theme="1"/>
        <rFont val="Calibri"/>
      </rPr>
      <t>老太太过马路。</t>
    </r>
  </si>
  <si>
    <r>
      <rPr>
        <sz val="10"/>
        <color theme="1"/>
        <rFont val="Calibri"/>
      </rPr>
      <t>我家人</t>
    </r>
    <r>
      <rPr>
        <b/>
        <sz val="10"/>
        <color theme="1"/>
        <rFont val="Calibri"/>
      </rPr>
      <t>特别</t>
    </r>
    <r>
      <rPr>
        <sz val="10"/>
        <color theme="1"/>
        <rFont val="Calibri"/>
      </rPr>
      <t>喜欢看电影，尤其是喜剧片。</t>
    </r>
  </si>
  <si>
    <r>
      <rPr>
        <sz val="10"/>
        <color theme="1"/>
        <rFont val="Calibri"/>
      </rPr>
      <t>她在</t>
    </r>
    <r>
      <rPr>
        <b/>
        <sz val="10"/>
        <color theme="1"/>
        <rFont val="Calibri"/>
      </rPr>
      <t>讲</t>
    </r>
    <r>
      <rPr>
        <sz val="10"/>
        <color theme="1"/>
        <rFont val="Calibri"/>
      </rPr>
      <t>自己跳的芭蕾舞。</t>
    </r>
  </si>
  <si>
    <r>
      <rPr>
        <sz val="10"/>
        <color theme="1"/>
        <rFont val="Calibri"/>
      </rPr>
      <t>今天的课程老师讲得很</t>
    </r>
    <r>
      <rPr>
        <b/>
        <sz val="10"/>
        <color theme="1"/>
        <rFont val="Calibri"/>
      </rPr>
      <t>明白</t>
    </r>
    <r>
      <rPr>
        <sz val="10"/>
        <color theme="1"/>
        <rFont val="Calibri"/>
      </rPr>
      <t>。</t>
    </r>
  </si>
  <si>
    <r>
      <rPr>
        <sz val="10"/>
        <color theme="1"/>
        <rFont val="Calibri"/>
      </rPr>
      <t>我每天坚持</t>
    </r>
    <r>
      <rPr>
        <b/>
        <sz val="10"/>
        <color theme="1"/>
        <rFont val="Calibri"/>
      </rPr>
      <t>锻炼</t>
    </r>
    <r>
      <rPr>
        <sz val="10"/>
        <color theme="1"/>
        <rFont val="Calibri"/>
      </rPr>
      <t>身体。</t>
    </r>
  </si>
  <si>
    <r>
      <rPr>
        <sz val="10"/>
        <color theme="1"/>
        <rFont val="Calibri"/>
      </rPr>
      <t>她非常喜欢听中国</t>
    </r>
    <r>
      <rPr>
        <b/>
        <sz val="10"/>
        <color theme="1"/>
        <rFont val="Calibri"/>
      </rPr>
      <t>音乐</t>
    </r>
    <r>
      <rPr>
        <sz val="10"/>
        <color theme="1"/>
        <rFont val="Calibri"/>
      </rPr>
      <t>。</t>
    </r>
  </si>
  <si>
    <r>
      <rPr>
        <sz val="10"/>
        <color theme="1"/>
        <rFont val="Calibri"/>
      </rPr>
      <t>我家附近有一个很漂亮的</t>
    </r>
    <r>
      <rPr>
        <b/>
        <sz val="10"/>
        <color theme="1"/>
        <rFont val="Calibri"/>
      </rPr>
      <t>公园</t>
    </r>
    <r>
      <rPr>
        <sz val="10"/>
        <color theme="1"/>
        <rFont val="Calibri"/>
      </rPr>
      <t>。</t>
    </r>
  </si>
  <si>
    <t>聊天（儿）</t>
  </si>
  <si>
    <t>&lt;ruby&gt;聊天（儿）&lt;rt&gt;liáo tiān (r)&lt;/rt&gt;&lt;/ruby&gt;</t>
  </si>
  <si>
    <t>liáo tiān (r)</t>
  </si>
  <si>
    <t xml:space="preserve">Nói chuyện, tán gẫu </t>
  </si>
  <si>
    <r>
      <rPr>
        <sz val="10"/>
        <color theme="1"/>
        <rFont val="Calibri"/>
      </rPr>
      <t>他们</t>
    </r>
    <r>
      <rPr>
        <b/>
        <sz val="10"/>
        <color theme="1"/>
        <rFont val="Calibri"/>
      </rPr>
      <t>聊天</t>
    </r>
    <r>
      <rPr>
        <sz val="10"/>
        <color theme="1"/>
        <rFont val="Calibri"/>
      </rPr>
      <t>聊得非常热闹。</t>
    </r>
  </si>
  <si>
    <t>Tāmen liáotiān liáo de fēicháng rènào.</t>
  </si>
  <si>
    <t>Họ đang nói chuyện rất sôi nổi.</t>
  </si>
  <si>
    <t>H3_B6_BG-13.gif</t>
  </si>
  <si>
    <t>睡着</t>
  </si>
  <si>
    <t>&lt;ruby&gt;睡着&lt;rt&gt;shuì zháo&lt;/rt&gt;&lt;/ruby&gt;</t>
  </si>
  <si>
    <t>shuì zháo</t>
  </si>
  <si>
    <t xml:space="preserve">Ngủ thiếp, ngủ được </t>
  </si>
  <si>
    <r>
      <rPr>
        <sz val="10"/>
        <color theme="1"/>
        <rFont val="Calibri"/>
      </rPr>
      <t>他学习的时候不小心</t>
    </r>
    <r>
      <rPr>
        <b/>
        <sz val="10"/>
        <color theme="1"/>
        <rFont val="Calibri"/>
      </rPr>
      <t>睡着</t>
    </r>
    <r>
      <rPr>
        <sz val="10"/>
        <color theme="1"/>
        <rFont val="Calibri"/>
      </rPr>
      <t>了。</t>
    </r>
  </si>
  <si>
    <t>Tā xuéxí de shíhou bù xiǎoxīn shuìzháo le.</t>
  </si>
  <si>
    <t>Anh ấy đang học bài mà bỗng dưng ngủ thiếp đi.</t>
  </si>
  <si>
    <t>H3_B6_BG-14.gif</t>
  </si>
  <si>
    <t xml:space="preserve">Càng, hơn nữa </t>
  </si>
  <si>
    <r>
      <rPr>
        <sz val="10"/>
        <color theme="1"/>
        <rFont val="Calibri"/>
      </rPr>
      <t>经常锻炼身体会</t>
    </r>
    <r>
      <rPr>
        <b/>
        <sz val="10"/>
        <color theme="1"/>
        <rFont val="Calibri"/>
      </rPr>
      <t>更</t>
    </r>
    <r>
      <rPr>
        <sz val="10"/>
        <color theme="1"/>
        <rFont val="Calibri"/>
      </rPr>
      <t>健康。</t>
    </r>
  </si>
  <si>
    <t>Jīngcháng duànliàn shēntǐ huì gèng jiànkāng.</t>
  </si>
  <si>
    <t>Chăm chỉ tập thể dục sẽ càng khỏe mạnh hơn.</t>
  </si>
  <si>
    <t>H3_B6_BG-15.gif</t>
  </si>
  <si>
    <r>
      <rPr>
        <sz val="10"/>
        <color theme="1"/>
        <rFont val="Calibri"/>
      </rPr>
      <t>她是我见过最幽默的</t>
    </r>
    <r>
      <rPr>
        <b/>
        <sz val="10"/>
        <color theme="1"/>
        <rFont val="Calibri"/>
      </rPr>
      <t>同事</t>
    </r>
    <r>
      <rPr>
        <sz val="10"/>
        <color theme="1"/>
        <rFont val="Calibri"/>
      </rPr>
      <t>。</t>
    </r>
  </si>
  <si>
    <r>
      <rPr>
        <b/>
        <sz val="10"/>
        <color theme="1"/>
        <rFont val="Calibri"/>
      </rPr>
      <t>以前</t>
    </r>
    <r>
      <rPr>
        <sz val="10"/>
        <color theme="1"/>
        <rFont val="Calibri"/>
      </rPr>
      <t>我曾在体育比赛中获得第一名。</t>
    </r>
  </si>
  <si>
    <r>
      <rPr>
        <sz val="10"/>
        <color theme="1"/>
        <rFont val="Calibri"/>
      </rPr>
      <t>她在离家很近的</t>
    </r>
    <r>
      <rPr>
        <b/>
        <sz val="10"/>
        <color theme="1"/>
        <rFont val="Calibri"/>
      </rPr>
      <t>银行</t>
    </r>
    <r>
      <rPr>
        <sz val="10"/>
        <color theme="1"/>
        <rFont val="Calibri"/>
      </rPr>
      <t>工作。</t>
    </r>
  </si>
  <si>
    <r>
      <rPr>
        <sz val="10"/>
        <color theme="1"/>
        <rFont val="Calibri"/>
      </rPr>
      <t>我们好</t>
    </r>
    <r>
      <rPr>
        <b/>
        <sz val="10"/>
        <color theme="1"/>
        <rFont val="Calibri"/>
      </rPr>
      <t>久</t>
    </r>
    <r>
      <rPr>
        <sz val="10"/>
        <color theme="1"/>
        <rFont val="Calibri"/>
      </rPr>
      <t>没见面了。</t>
    </r>
  </si>
  <si>
    <r>
      <rPr>
        <sz val="10"/>
        <color theme="1"/>
        <rFont val="Calibri"/>
      </rPr>
      <t xml:space="preserve"> 她对唱歌很</t>
    </r>
    <r>
      <rPr>
        <b/>
        <sz val="10"/>
        <color theme="1"/>
        <rFont val="Calibri"/>
      </rPr>
      <t>感兴趣</t>
    </r>
    <r>
      <rPr>
        <sz val="10"/>
        <color theme="1"/>
        <rFont val="Calibri"/>
      </rPr>
      <t>。</t>
    </r>
  </si>
  <si>
    <r>
      <rPr>
        <sz val="10"/>
        <color theme="1"/>
        <rFont val="Calibri"/>
      </rPr>
      <t>我打算今年年底</t>
    </r>
    <r>
      <rPr>
        <b/>
        <sz val="10"/>
        <color theme="1"/>
        <rFont val="Calibri"/>
      </rPr>
      <t>结婚</t>
    </r>
    <r>
      <rPr>
        <sz val="10"/>
        <color theme="1"/>
        <rFont val="Calibri"/>
      </rPr>
      <t>。</t>
    </r>
  </si>
  <si>
    <t xml:space="preserve">Hoan nghênh, chào mừng </t>
  </si>
  <si>
    <r>
      <rPr>
        <sz val="10"/>
        <color theme="1"/>
        <rFont val="Calibri"/>
      </rPr>
      <t>他们正在唱歌，</t>
    </r>
    <r>
      <rPr>
        <b/>
        <sz val="10"/>
        <color theme="1"/>
        <rFont val="Calibri"/>
      </rPr>
      <t>欢迎</t>
    </r>
    <r>
      <rPr>
        <sz val="10"/>
        <color theme="1"/>
        <rFont val="Calibri"/>
      </rPr>
      <t>大家来这里。</t>
    </r>
  </si>
  <si>
    <t>Tāmen zhèngzài chànggē, huānyíng dàjiā lái zhèlǐ.</t>
  </si>
  <si>
    <t>Họ đang hát để chào đón mọi người tới đây.</t>
  </si>
  <si>
    <t>H3_B7_BG-07.gif</t>
  </si>
  <si>
    <r>
      <rPr>
        <sz val="10"/>
        <color theme="1"/>
        <rFont val="Calibri"/>
      </rPr>
      <t>路上太堵了，我可能会</t>
    </r>
    <r>
      <rPr>
        <b/>
        <sz val="10"/>
        <color theme="1"/>
        <rFont val="Calibri"/>
      </rPr>
      <t>迟到</t>
    </r>
    <r>
      <rPr>
        <sz val="10"/>
        <color theme="1"/>
        <rFont val="Calibri"/>
      </rPr>
      <t>。</t>
    </r>
  </si>
  <si>
    <t xml:space="preserve">Một nửa, rưỡi </t>
  </si>
  <si>
    <r>
      <rPr>
        <sz val="10"/>
        <color theme="1"/>
        <rFont val="Calibri"/>
      </rPr>
      <t>现在是八点</t>
    </r>
    <r>
      <rPr>
        <b/>
        <sz val="10"/>
        <color theme="1"/>
        <rFont val="Calibri"/>
      </rPr>
      <t>半</t>
    </r>
    <r>
      <rPr>
        <sz val="10"/>
        <color theme="1"/>
        <rFont val="Calibri"/>
      </rPr>
      <t>，小女孩去学校。</t>
    </r>
  </si>
  <si>
    <t>H3_B7_BG-09.gif</t>
  </si>
  <si>
    <t>Đón, nhận</t>
  </si>
  <si>
    <r>
      <rPr>
        <sz val="10"/>
        <color theme="1"/>
        <rFont val="Calibri"/>
      </rPr>
      <t>小心，快</t>
    </r>
    <r>
      <rPr>
        <b/>
        <sz val="10"/>
        <color theme="1"/>
        <rFont val="Calibri"/>
      </rPr>
      <t>接</t>
    </r>
    <r>
      <rPr>
        <sz val="10"/>
        <color theme="1"/>
        <rFont val="Calibri"/>
      </rPr>
      <t>住球！</t>
    </r>
  </si>
  <si>
    <t>Xiǎoxīn, kuài jiēzhù qiú!</t>
  </si>
  <si>
    <t>Cẩn thận, mau đỡ bóng!</t>
  </si>
  <si>
    <t>H3_B7_BG-10.gif</t>
  </si>
  <si>
    <r>
      <rPr>
        <sz val="10"/>
        <color theme="1"/>
        <rFont val="Calibri"/>
      </rPr>
      <t>现在是七点一</t>
    </r>
    <r>
      <rPr>
        <b/>
        <sz val="10"/>
        <color theme="1"/>
        <rFont val="Calibri"/>
      </rPr>
      <t>刻</t>
    </r>
    <r>
      <rPr>
        <sz val="10"/>
        <color theme="1"/>
        <rFont val="Calibri"/>
      </rPr>
      <t>，女孩刚起床，非常开心。</t>
    </r>
  </si>
  <si>
    <r>
      <rPr>
        <sz val="10"/>
        <color theme="1"/>
        <rFont val="Calibri"/>
      </rPr>
      <t>现在是十二点</t>
    </r>
    <r>
      <rPr>
        <b/>
        <sz val="10"/>
        <color theme="1"/>
        <rFont val="Calibri"/>
      </rPr>
      <t>差</t>
    </r>
    <r>
      <rPr>
        <sz val="10"/>
        <color theme="1"/>
        <rFont val="Calibri"/>
      </rPr>
      <t>一刻，男孩担心自己会迟到。</t>
    </r>
  </si>
  <si>
    <r>
      <rPr>
        <sz val="10"/>
        <color theme="1"/>
        <rFont val="Calibri"/>
      </rPr>
      <t>她对这道菜不太</t>
    </r>
    <r>
      <rPr>
        <b/>
        <sz val="10"/>
        <color theme="1"/>
        <rFont val="Calibri"/>
      </rPr>
      <t>满意</t>
    </r>
    <r>
      <rPr>
        <sz val="10"/>
        <color theme="1"/>
        <rFont val="Calibri"/>
      </rPr>
      <t>。</t>
    </r>
  </si>
  <si>
    <t xml:space="preserve">害怕 </t>
  </si>
  <si>
    <t>&lt;ruby&gt;害怕 &lt;rt&gt;hàipà&lt;/rt&gt;&lt;/ruby&gt;</t>
  </si>
  <si>
    <t>hàipà</t>
  </si>
  <si>
    <t xml:space="preserve">Sợ hãi, sợ </t>
  </si>
  <si>
    <r>
      <rPr>
        <sz val="10"/>
        <color theme="1"/>
        <rFont val="Calibri"/>
      </rPr>
      <t xml:space="preserve"> 她晚上很</t>
    </r>
    <r>
      <rPr>
        <b/>
        <sz val="10"/>
        <color theme="1"/>
        <rFont val="Calibri"/>
      </rPr>
      <t>害怕</t>
    </r>
    <r>
      <rPr>
        <sz val="10"/>
        <color theme="1"/>
        <rFont val="Calibri"/>
      </rPr>
      <t>一个人睡，因为总是做恶梦。</t>
    </r>
  </si>
  <si>
    <t>Tā wǎnshang hěn hàipà yí ge rén shuì, yīnwèi zǒng shì zuò èmèng.</t>
  </si>
  <si>
    <t>Cô ấy rất sợ ngủ một mình vào buổi tối vì thường gặp ác mộng.</t>
  </si>
  <si>
    <t>H3_B8_BG-02.gif</t>
  </si>
  <si>
    <r>
      <rPr>
        <sz val="10"/>
        <color theme="1"/>
        <rFont val="Calibri"/>
      </rPr>
      <t xml:space="preserve"> 他生病了，需要一个</t>
    </r>
    <r>
      <rPr>
        <b/>
        <sz val="10"/>
        <color theme="1"/>
        <rFont val="Calibri"/>
      </rPr>
      <t>安静</t>
    </r>
    <r>
      <rPr>
        <sz val="10"/>
        <color theme="1"/>
        <rFont val="Calibri"/>
      </rPr>
      <t>的环境休息。</t>
    </r>
  </si>
  <si>
    <r>
      <rPr>
        <sz val="10"/>
        <color theme="1"/>
        <rFont val="Calibri"/>
      </rPr>
      <t>这是我们第一次</t>
    </r>
    <r>
      <rPr>
        <b/>
        <sz val="10"/>
        <color theme="1"/>
        <rFont val="Calibri"/>
      </rPr>
      <t>见面</t>
    </r>
    <r>
      <rPr>
        <sz val="10"/>
        <color theme="1"/>
        <rFont val="Calibri"/>
      </rPr>
      <t>。</t>
    </r>
  </si>
  <si>
    <t>老</t>
  </si>
  <si>
    <t>&lt;ruby&gt;老&lt;rt&gt;lǎo&lt;/rt&gt;&lt;/ruby&gt;</t>
  </si>
  <si>
    <t>lǎo</t>
  </si>
  <si>
    <t>Già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</si>
  <si>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老</t>
    </r>
    <r>
      <rPr>
        <sz val="10"/>
        <color theme="1"/>
        <rFont val="Calibri"/>
      </rPr>
      <t>了，身体也不像以前那么好了。</t>
    </r>
  </si>
  <si>
    <t>Tā lǎo le, shēntǐ yě bù xiàng yǐqián nàme hǎo le.</t>
  </si>
  <si>
    <t>Ông ấy già rồi nên sức khỏe cũng không tốt như trước.</t>
  </si>
  <si>
    <t>H3_B8_BG-05.gif</t>
  </si>
  <si>
    <t xml:space="preserve">几乎 </t>
  </si>
  <si>
    <t>&lt;ruby&gt;几乎 &lt;rt&gt;jīhū&lt;/rt&gt;&lt;/ruby&gt;</t>
  </si>
  <si>
    <t>jīhū</t>
  </si>
  <si>
    <t xml:space="preserve">Hầu như, gần như 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</si>
  <si>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几乎</t>
    </r>
    <r>
      <rPr>
        <sz val="10"/>
        <color theme="1"/>
        <rFont val="Calibri"/>
      </rPr>
      <t>会做所有的中国菜。</t>
    </r>
  </si>
  <si>
    <t>Tā jīhū huì zuò suǒyǒu de zhōngguó cài.</t>
  </si>
  <si>
    <t>Anh ấy gần như biết nấu tất cả các món Trung.</t>
  </si>
  <si>
    <t>H3_B8_BG-06.gif</t>
  </si>
  <si>
    <r>
      <rPr>
        <sz val="10"/>
        <color theme="1"/>
        <rFont val="Calibri"/>
      </rPr>
      <t>才一个月，她</t>
    </r>
    <r>
      <rPr>
        <b/>
        <sz val="10"/>
        <color theme="1"/>
        <rFont val="Calibri"/>
      </rPr>
      <t>变化</t>
    </r>
    <r>
      <rPr>
        <sz val="10"/>
        <color theme="1"/>
        <rFont val="Calibri"/>
      </rPr>
      <t>很大，已经瘦了5公斤。</t>
    </r>
  </si>
  <si>
    <t xml:space="preserve">健康 </t>
  </si>
  <si>
    <t>&lt;ruby&gt;健康 &lt;rt&gt;jiànkāng&lt;/rt&gt;&lt;/ruby&gt;</t>
  </si>
  <si>
    <t>jiànkāng</t>
  </si>
  <si>
    <t>Sức khỏe</t>
  </si>
  <si>
    <r>
      <rPr>
        <sz val="10"/>
        <color theme="1"/>
        <rFont val="Calibri"/>
      </rPr>
      <t>医生提醒大家要注意</t>
    </r>
    <r>
      <rPr>
        <b/>
        <sz val="10"/>
        <color theme="1"/>
        <rFont val="Calibri"/>
      </rPr>
      <t>健康</t>
    </r>
    <r>
      <rPr>
        <sz val="10"/>
        <color theme="1"/>
        <rFont val="Calibri"/>
      </rPr>
      <t>。</t>
    </r>
  </si>
  <si>
    <t>Yīshēng tíxǐng dàjiā yào zhùyì jiànkāng.</t>
  </si>
  <si>
    <t>Bác sĩ nhắc nhở mọi người nên giữ gìn sức khỏe.</t>
  </si>
  <si>
    <t>H3_B8_BG-08.gif</t>
  </si>
  <si>
    <t xml:space="preserve">电梯 </t>
  </si>
  <si>
    <t>&lt;ruby&gt;电梯 &lt;rt&gt;diàntī&lt;/rt&gt;&lt;/ruby&gt;</t>
  </si>
  <si>
    <t>diàntī</t>
  </si>
  <si>
    <r>
      <rPr>
        <sz val="10"/>
        <color theme="1"/>
        <rFont val="Calibri"/>
      </rPr>
      <t>我家的</t>
    </r>
    <r>
      <rPr>
        <b/>
        <sz val="10"/>
        <color theme="1"/>
        <rFont val="Calibri"/>
      </rPr>
      <t>电梯</t>
    </r>
    <r>
      <rPr>
        <sz val="10"/>
        <color theme="1"/>
        <rFont val="Calibri"/>
      </rPr>
      <t>坏了，所以只能走楼梯。</t>
    </r>
  </si>
  <si>
    <t>Wǒ jiā de diàntī huài le, suǒyǐ zhǐ néng zǒu lóutī.</t>
  </si>
  <si>
    <t>Thang máy nhà tôi bị hỏng nên phải đi thang bộ.</t>
  </si>
  <si>
    <t>H3_B8_BG-10.gif</t>
  </si>
  <si>
    <t>层</t>
  </si>
  <si>
    <r>
      <rPr>
        <sz val="10"/>
        <color theme="1"/>
        <rFont val="Calibri"/>
      </rPr>
      <t>我住的楼有20</t>
    </r>
    <r>
      <rPr>
        <b/>
        <sz val="10"/>
        <color theme="1"/>
        <rFont val="Calibri"/>
      </rPr>
      <t>层</t>
    </r>
    <r>
      <rPr>
        <sz val="10"/>
        <color theme="1"/>
        <rFont val="Calibri"/>
      </rPr>
      <t>。</t>
    </r>
  </si>
  <si>
    <t>Wǒ zhù de lóu yǒu èrshí céng.</t>
  </si>
  <si>
    <t>Tòa nhà nơi tôi ở có 20 tầng.</t>
  </si>
  <si>
    <t>H3_B8_BG-11.gif</t>
  </si>
  <si>
    <t>熊猫</t>
  </si>
  <si>
    <t>&lt;ruby&gt;熊猫&lt;rt&gt;xióngmāo&lt;/rt&gt;&lt;/ruby&gt;</t>
  </si>
  <si>
    <t>xióngmāo</t>
  </si>
  <si>
    <r>
      <rPr>
        <sz val="10"/>
        <color theme="1"/>
        <rFont val="Calibri"/>
      </rPr>
      <t>我非常喜欢</t>
    </r>
    <r>
      <rPr>
        <b/>
        <sz val="10"/>
        <color theme="1"/>
        <rFont val="Calibri"/>
      </rPr>
      <t>熊猫</t>
    </r>
    <r>
      <rPr>
        <sz val="10"/>
        <color theme="1"/>
        <rFont val="Calibri"/>
      </rPr>
      <t>。</t>
    </r>
  </si>
  <si>
    <t>Wǒ fēicháng xǐhuan xióngmāo.</t>
  </si>
  <si>
    <t>Tôi rất thích gấu trúc.</t>
  </si>
  <si>
    <t>H3_B8_BG-12.gif</t>
  </si>
  <si>
    <t xml:space="preserve">可乐 </t>
  </si>
  <si>
    <t>&lt;ruby&gt;可乐 &lt;rt&gt;kělè&lt;/rt&gt;&lt;/ruby&gt;</t>
  </si>
  <si>
    <t>kělè</t>
  </si>
  <si>
    <t>Nước ngọt có ga (cola)</t>
  </si>
  <si>
    <r>
      <rPr>
        <sz val="10"/>
        <color theme="1"/>
        <rFont val="Calibri"/>
      </rPr>
      <t>我最喜欢喝的饮料是</t>
    </r>
    <r>
      <rPr>
        <b/>
        <sz val="10"/>
        <color theme="1"/>
        <rFont val="Calibri"/>
      </rPr>
      <t>可乐</t>
    </r>
    <r>
      <rPr>
        <sz val="10"/>
        <color theme="1"/>
        <rFont val="Calibri"/>
      </rPr>
      <t>。</t>
    </r>
  </si>
  <si>
    <t>Wǒ zuì xǐhuan hē de yǐnliào shì kělè.</t>
  </si>
  <si>
    <t>Đồ uống mà tôi thích nhất là coca.</t>
  </si>
  <si>
    <t>H3_B8_BG-13.gif</t>
  </si>
  <si>
    <t xml:space="preserve">一会儿 </t>
  </si>
  <si>
    <t>&lt;ruby&gt;一会儿 &lt;rt&gt;yíhuìr&lt;/rt&gt;&lt;/ruby&gt;</t>
  </si>
  <si>
    <t>yíhuìr</t>
  </si>
  <si>
    <t xml:space="preserve">Một lát, chốc lát </t>
  </si>
  <si>
    <r>
      <rPr>
        <sz val="10"/>
        <color theme="1"/>
        <rFont val="Calibri"/>
      </rPr>
      <t>爸爸让我再等</t>
    </r>
    <r>
      <rPr>
        <b/>
        <sz val="10"/>
        <color theme="1"/>
        <rFont val="Calibri"/>
      </rPr>
      <t>一会儿</t>
    </r>
    <r>
      <rPr>
        <sz val="10"/>
        <color theme="1"/>
        <rFont val="Calibri"/>
      </rPr>
      <t>，他就带我去公园。</t>
    </r>
  </si>
  <si>
    <t>Bàba ràng wǒ zài děng yí huìr, tā jiù dài wǒ qù gōngyuán.</t>
  </si>
  <si>
    <t>Bố tôi bảo tôi đợi một lát nữa rồi ông ấy sẽ đưa tôi đi công viên.</t>
  </si>
  <si>
    <t>H3_B8_BG-14.gif</t>
  </si>
  <si>
    <r>
      <rPr>
        <sz val="10"/>
        <color theme="1"/>
        <rFont val="Calibri"/>
      </rPr>
      <t>我</t>
    </r>
    <r>
      <rPr>
        <b/>
        <sz val="10"/>
        <color theme="1"/>
        <rFont val="Calibri"/>
      </rPr>
      <t>马上</t>
    </r>
    <r>
      <rPr>
        <sz val="10"/>
        <color theme="1"/>
        <rFont val="Calibri"/>
      </rPr>
      <t>就起床。</t>
    </r>
  </si>
  <si>
    <r>
      <rPr>
        <sz val="10"/>
        <color theme="1"/>
        <rFont val="Calibri"/>
      </rPr>
      <t>我想去</t>
    </r>
    <r>
      <rPr>
        <b/>
        <sz val="10"/>
        <color theme="1"/>
        <rFont val="Calibri"/>
      </rPr>
      <t>洗手间</t>
    </r>
    <r>
      <rPr>
        <sz val="10"/>
        <color theme="1"/>
        <rFont val="Calibri"/>
      </rPr>
      <t>。</t>
    </r>
  </si>
  <si>
    <t>Lại</t>
  </si>
  <si>
    <r>
      <rPr>
        <sz val="10"/>
        <color theme="1"/>
        <rFont val="Calibri"/>
      </rPr>
      <t>她</t>
    </r>
    <r>
      <rPr>
        <b/>
        <sz val="10"/>
        <color theme="1"/>
        <rFont val="Calibri"/>
      </rPr>
      <t>又</t>
    </r>
    <r>
      <rPr>
        <sz val="10"/>
        <color theme="1"/>
        <rFont val="Calibri"/>
      </rPr>
      <t>不会做这道题了。</t>
    </r>
  </si>
  <si>
    <t>Tā yòu bú huì zuò zhè dào tí le.</t>
  </si>
  <si>
    <t>Cô ấy lại không biết làm bài này.</t>
  </si>
  <si>
    <t>H3_B8_BG-17.gif</t>
  </si>
  <si>
    <r>
      <rPr>
        <sz val="10"/>
        <color theme="1"/>
        <rFont val="Calibri"/>
      </rPr>
      <t>我最近在学习</t>
    </r>
    <r>
      <rPr>
        <b/>
        <sz val="10"/>
        <color theme="1"/>
        <rFont val="Calibri"/>
      </rPr>
      <t>中文</t>
    </r>
    <r>
      <rPr>
        <sz val="10"/>
        <color theme="1"/>
        <rFont val="Calibri"/>
      </rPr>
      <t>。</t>
    </r>
  </si>
  <si>
    <t>H3_B9_BG-01.gif</t>
  </si>
  <si>
    <t xml:space="preserve">Lớp </t>
  </si>
  <si>
    <r>
      <rPr>
        <sz val="10"/>
        <color theme="1"/>
        <rFont val="Calibri"/>
      </rPr>
      <t>我们</t>
    </r>
    <r>
      <rPr>
        <b/>
        <sz val="10"/>
        <color theme="1"/>
        <rFont val="Calibri"/>
      </rPr>
      <t>班</t>
    </r>
    <r>
      <rPr>
        <sz val="10"/>
        <color theme="1"/>
        <rFont val="Calibri"/>
      </rPr>
      <t>有10个人。</t>
    </r>
  </si>
  <si>
    <t>Wǒmen bān yǒu shí ge rén.</t>
  </si>
  <si>
    <t>H3_B9_BG-02.gif</t>
  </si>
  <si>
    <r>
      <rPr>
        <sz val="10"/>
        <color theme="1"/>
        <rFont val="Calibri"/>
      </rPr>
      <t>你的手链和我的一模</t>
    </r>
    <r>
      <rPr>
        <b/>
        <sz val="10"/>
        <color theme="1"/>
        <rFont val="Calibri"/>
      </rPr>
      <t>一样</t>
    </r>
    <r>
      <rPr>
        <sz val="10"/>
        <color theme="1"/>
        <rFont val="Calibri"/>
      </rPr>
      <t>。</t>
    </r>
  </si>
  <si>
    <r>
      <rPr>
        <b/>
        <sz val="10"/>
        <color theme="1"/>
        <rFont val="Calibri"/>
      </rPr>
      <t>最后</t>
    </r>
    <r>
      <rPr>
        <sz val="10"/>
        <color theme="1"/>
        <rFont val="Calibri"/>
      </rPr>
      <t>，他终于顺利毕业了！</t>
    </r>
  </si>
  <si>
    <r>
      <rPr>
        <sz val="10"/>
        <color theme="1"/>
        <rFont val="Calibri"/>
      </rPr>
      <t>听了儿子的讲述，妈妈也</t>
    </r>
    <r>
      <rPr>
        <b/>
        <sz val="10"/>
        <color theme="1"/>
        <rFont val="Calibri"/>
      </rPr>
      <t>放心</t>
    </r>
    <r>
      <rPr>
        <sz val="10"/>
        <color theme="1"/>
        <rFont val="Calibri"/>
      </rPr>
      <t>了。</t>
    </r>
  </si>
  <si>
    <r>
      <rPr>
        <sz val="10"/>
        <color theme="1"/>
        <rFont val="Calibri"/>
      </rPr>
      <t>我</t>
    </r>
    <r>
      <rPr>
        <b/>
        <sz val="10"/>
        <color theme="1"/>
        <rFont val="Calibri"/>
      </rPr>
      <t>一定</t>
    </r>
    <r>
      <rPr>
        <sz val="10"/>
        <color theme="1"/>
        <rFont val="Calibri"/>
      </rPr>
      <t>会努力学习的。</t>
    </r>
  </si>
  <si>
    <r>
      <rPr>
        <sz val="10"/>
        <color theme="1"/>
        <rFont val="Calibri"/>
      </rPr>
      <t>她</t>
    </r>
    <r>
      <rPr>
        <b/>
        <sz val="10"/>
        <color theme="1"/>
        <rFont val="Calibri"/>
      </rPr>
      <t>担心</t>
    </r>
    <r>
      <rPr>
        <sz val="10"/>
        <color theme="1"/>
        <rFont val="Calibri"/>
      </rPr>
      <t>自己掉了很多头发。</t>
    </r>
  </si>
  <si>
    <r>
      <rPr>
        <sz val="10"/>
        <color theme="1"/>
        <rFont val="Calibri"/>
      </rPr>
      <t xml:space="preserve"> 她跑得</t>
    </r>
    <r>
      <rPr>
        <b/>
        <sz val="10"/>
        <color theme="1"/>
        <rFont val="Calibri"/>
      </rPr>
      <t>比较</t>
    </r>
    <r>
      <rPr>
        <sz val="10"/>
        <color theme="1"/>
        <rFont val="Calibri"/>
      </rPr>
      <t>慢。</t>
    </r>
  </si>
  <si>
    <r>
      <rPr>
        <sz val="10"/>
        <color theme="1"/>
        <rFont val="Calibri"/>
      </rPr>
      <t>对这方面，我</t>
    </r>
    <r>
      <rPr>
        <b/>
        <sz val="10"/>
        <color theme="1"/>
        <rFont val="Calibri"/>
      </rPr>
      <t>了解</t>
    </r>
    <r>
      <rPr>
        <sz val="10"/>
        <color theme="1"/>
        <rFont val="Calibri"/>
      </rPr>
      <t>得很清楚。</t>
    </r>
  </si>
  <si>
    <r>
      <rPr>
        <sz val="10"/>
        <color theme="1"/>
        <rFont val="Calibri"/>
      </rPr>
      <t>他已经</t>
    </r>
    <r>
      <rPr>
        <b/>
        <sz val="10"/>
        <color theme="1"/>
        <rFont val="Calibri"/>
      </rPr>
      <t>先</t>
    </r>
    <r>
      <rPr>
        <sz val="10"/>
        <color theme="1"/>
        <rFont val="Calibri"/>
      </rPr>
      <t>到达终点了。</t>
    </r>
  </si>
  <si>
    <r>
      <rPr>
        <b/>
        <sz val="10"/>
        <color theme="1"/>
        <rFont val="Calibri"/>
      </rPr>
      <t>中间</t>
    </r>
    <r>
      <rPr>
        <sz val="10"/>
        <color theme="1"/>
        <rFont val="Calibri"/>
      </rPr>
      <t>是这场比赛的获胜者。</t>
    </r>
  </si>
  <si>
    <r>
      <rPr>
        <sz val="10"/>
        <color theme="1"/>
        <rFont val="Calibri"/>
      </rPr>
      <t>我</t>
    </r>
    <r>
      <rPr>
        <b/>
        <sz val="10"/>
        <color theme="1"/>
        <rFont val="Calibri"/>
      </rPr>
      <t>参加</t>
    </r>
    <r>
      <rPr>
        <sz val="10"/>
        <color theme="1"/>
        <rFont val="Calibri"/>
      </rPr>
      <t>了回收塑料瓶的活动来保护环境。</t>
    </r>
  </si>
  <si>
    <r>
      <rPr>
        <sz val="10"/>
        <color theme="1"/>
        <rFont val="Calibri"/>
      </rPr>
      <t xml:space="preserve"> 淋雨会</t>
    </r>
    <r>
      <rPr>
        <b/>
        <sz val="10"/>
        <color theme="1"/>
        <rFont val="Calibri"/>
      </rPr>
      <t>影响</t>
    </r>
    <r>
      <rPr>
        <sz val="10"/>
        <color theme="1"/>
        <rFont val="Calibri"/>
      </rPr>
      <t>健康。</t>
    </r>
  </si>
  <si>
    <r>
      <rPr>
        <sz val="11"/>
        <color theme="1"/>
        <rFont val="Calibri"/>
      </rPr>
      <t>哥哥的</t>
    </r>
    <r>
      <rPr>
        <b/>
        <sz val="11"/>
        <color theme="1"/>
        <rFont val="Calibri"/>
      </rPr>
      <t>个子</t>
    </r>
    <r>
      <rPr>
        <sz val="11"/>
        <color theme="1"/>
        <rFont val="Calibri"/>
      </rPr>
      <t>很高。</t>
    </r>
  </si>
  <si>
    <r>
      <rPr>
        <sz val="11"/>
        <color theme="1"/>
        <rFont val="Calibri"/>
      </rPr>
      <t>他的个子很</t>
    </r>
    <r>
      <rPr>
        <b/>
        <sz val="11"/>
        <color theme="1"/>
        <rFont val="Calibri"/>
      </rPr>
      <t>矮</t>
    </r>
    <r>
      <rPr>
        <sz val="11"/>
        <color theme="1"/>
        <rFont val="Calibri"/>
      </rPr>
      <t>。</t>
    </r>
  </si>
  <si>
    <t xml:space="preserve">方便 </t>
  </si>
  <si>
    <t>&lt;ruby&gt;方便 &lt;rt&gt;fāngbiàn&lt;/rt&gt;&lt;/ruby&gt;</t>
  </si>
  <si>
    <t>fāngbiàn</t>
  </si>
  <si>
    <t>Thuận tiện</t>
  </si>
  <si>
    <r>
      <rPr>
        <sz val="11"/>
        <color theme="1"/>
        <rFont val="Calibri"/>
      </rPr>
      <t>坐公共汽车去学校非常</t>
    </r>
    <r>
      <rPr>
        <b/>
        <sz val="11"/>
        <color theme="1"/>
        <rFont val="Calibri"/>
      </rPr>
      <t>方便</t>
    </r>
    <r>
      <rPr>
        <sz val="11"/>
        <color theme="1"/>
        <rFont val="Calibri"/>
      </rPr>
      <t>。</t>
    </r>
  </si>
  <si>
    <t>Zuò gōnggòng qìchē qù xuéxiào fēicháng fāngbiàn.</t>
  </si>
  <si>
    <t>Đến trường bằng xe buýt rất là thuận tiện.</t>
  </si>
  <si>
    <t>H3_B10_BG-03.gif</t>
  </si>
  <si>
    <t xml:space="preserve">自行车 </t>
  </si>
  <si>
    <t>&lt;ruby&gt;自行车 &lt;rt&gt;zìxíngchē&lt;/rt&gt;&lt;/ruby&gt;</t>
  </si>
  <si>
    <r>
      <rPr>
        <sz val="11"/>
        <color theme="1"/>
        <rFont val="Calibri"/>
      </rPr>
      <t>他每天骑</t>
    </r>
    <r>
      <rPr>
        <b/>
        <sz val="11"/>
        <color theme="1"/>
        <rFont val="Calibri"/>
      </rPr>
      <t>自行车</t>
    </r>
    <r>
      <rPr>
        <sz val="11"/>
        <color theme="1"/>
        <rFont val="Calibri"/>
      </rPr>
      <t>上课。</t>
    </r>
  </si>
  <si>
    <t>Tā měitiān qí zìxíngchē shàngkè.</t>
  </si>
  <si>
    <t>Anh ấy đi học bằng xe đạp mỗi ngày.</t>
  </si>
  <si>
    <t>H3_B10_BG-04.gif</t>
  </si>
  <si>
    <r>
      <rPr>
        <sz val="11"/>
        <color theme="1"/>
        <rFont val="Calibri"/>
      </rPr>
      <t>我学会了</t>
    </r>
    <r>
      <rPr>
        <b/>
        <sz val="11"/>
        <color theme="1"/>
        <rFont val="Calibri"/>
      </rPr>
      <t>骑</t>
    </r>
    <r>
      <rPr>
        <sz val="11"/>
        <color theme="1"/>
        <rFont val="Calibri"/>
      </rPr>
      <t>马。</t>
    </r>
  </si>
  <si>
    <r>
      <rPr>
        <sz val="11"/>
        <color theme="1"/>
        <rFont val="Calibri"/>
      </rPr>
      <t>你想</t>
    </r>
    <r>
      <rPr>
        <b/>
        <sz val="11"/>
        <color theme="1"/>
        <rFont val="Calibri"/>
      </rPr>
      <t>换</t>
    </r>
    <r>
      <rPr>
        <sz val="11"/>
        <color theme="1"/>
        <rFont val="Calibri"/>
      </rPr>
      <t>一件衣服吗？</t>
    </r>
  </si>
  <si>
    <r>
      <rPr>
        <sz val="11"/>
        <color theme="1"/>
        <rFont val="Calibri"/>
      </rPr>
      <t>: 这本</t>
    </r>
    <r>
      <rPr>
        <b/>
        <sz val="11"/>
        <color theme="1"/>
        <rFont val="Calibri"/>
      </rPr>
      <t>旧</t>
    </r>
    <r>
      <rPr>
        <sz val="11"/>
        <color theme="1"/>
        <rFont val="Calibri"/>
      </rPr>
      <t>书是我的。</t>
    </r>
  </si>
  <si>
    <t xml:space="preserve">体育 </t>
  </si>
  <si>
    <t>&lt;ruby&gt;体育 &lt;rt&gt;tǐyù&lt;/rt&gt;&lt;/ruby&gt;</t>
  </si>
  <si>
    <t>tǐyù</t>
  </si>
  <si>
    <t>Môn thể dục</t>
  </si>
  <si>
    <r>
      <rPr>
        <sz val="11"/>
        <color theme="1"/>
        <rFont val="Calibri"/>
      </rPr>
      <t>我每天都喜欢做</t>
    </r>
    <r>
      <rPr>
        <b/>
        <sz val="11"/>
        <color theme="1"/>
        <rFont val="Calibri"/>
      </rPr>
      <t>体育</t>
    </r>
    <r>
      <rPr>
        <sz val="11"/>
        <color theme="1"/>
        <rFont val="Calibri"/>
      </rPr>
      <t>锻炼。</t>
    </r>
  </si>
  <si>
    <t>Wǒ měitiān dōu xǐhuan zuò tǐyù duànliàn.</t>
  </si>
  <si>
    <t>Tôi thích tập thể dục mỗi ngày.</t>
  </si>
  <si>
    <t>H3_B10_BG-08.gif</t>
  </si>
  <si>
    <t xml:space="preserve">历史 </t>
  </si>
  <si>
    <t>&lt;ruby&gt;历史 &lt;rt&gt;lìshǐ&lt;/rt&gt;&lt;/ruby&gt;</t>
  </si>
  <si>
    <t>lìshǐ</t>
  </si>
  <si>
    <t>Môn lịch sử</t>
  </si>
  <si>
    <r>
      <rPr>
        <sz val="11"/>
        <color theme="1"/>
        <rFont val="Calibri"/>
      </rPr>
      <t>他对</t>
    </r>
    <r>
      <rPr>
        <b/>
        <sz val="11"/>
        <color theme="1"/>
        <rFont val="Calibri"/>
      </rPr>
      <t>历史</t>
    </r>
    <r>
      <rPr>
        <sz val="11"/>
        <color theme="1"/>
        <rFont val="Calibri"/>
      </rPr>
      <t>很感兴趣。</t>
    </r>
  </si>
  <si>
    <t>Tā duì lìshǐ hěn gǎn xìngqù.</t>
  </si>
  <si>
    <t>Anh ấy rất hứng thú với lịch sử.</t>
  </si>
  <si>
    <t>H3_B10_BG-09.gif</t>
  </si>
  <si>
    <t xml:space="preserve">数学 </t>
  </si>
  <si>
    <t>&lt;ruby&gt;数学 &lt;rt&gt;shùxué&lt;/rt&gt;&lt;/ruby&gt;</t>
  </si>
  <si>
    <t>shùxué</t>
  </si>
  <si>
    <t>Môn toán học</t>
  </si>
  <si>
    <r>
      <rPr>
        <sz val="11"/>
        <color theme="1"/>
        <rFont val="Calibri"/>
      </rPr>
      <t>我最喜欢的课程是</t>
    </r>
    <r>
      <rPr>
        <b/>
        <sz val="11"/>
        <color theme="1"/>
        <rFont val="Calibri"/>
      </rPr>
      <t>数学</t>
    </r>
    <r>
      <rPr>
        <sz val="11"/>
        <color theme="1"/>
        <rFont val="Calibri"/>
      </rPr>
      <t>。</t>
    </r>
  </si>
  <si>
    <t>Wǒ zuì xǐhuan de kèchéng shì shùxué.</t>
  </si>
  <si>
    <t>Môn học yêu thích nhất của tôi là toán học.</t>
  </si>
  <si>
    <t>H3_B10_BG-10.gif</t>
  </si>
  <si>
    <t xml:space="preserve">地方 </t>
  </si>
  <si>
    <t>&lt;ruby&gt;地方 &lt;rt&gt;dìfāng&lt;/rt&gt;&lt;/ruby&gt;</t>
  </si>
  <si>
    <t>dìfāng</t>
  </si>
  <si>
    <t>Địa điểm, nơi</t>
  </si>
  <si>
    <r>
      <rPr>
        <sz val="11"/>
        <color theme="1"/>
        <rFont val="Calibri"/>
      </rPr>
      <t xml:space="preserve"> 这个</t>
    </r>
    <r>
      <rPr>
        <b/>
        <sz val="11"/>
        <color theme="1"/>
        <rFont val="Calibri"/>
      </rPr>
      <t>地方</t>
    </r>
    <r>
      <rPr>
        <sz val="11"/>
        <color theme="1"/>
        <rFont val="Calibri"/>
      </rPr>
      <t>是我的学校。</t>
    </r>
  </si>
  <si>
    <t>Zhège dìfang shì wǒ de xuéxiào.</t>
  </si>
  <si>
    <t>Nơi này là trường học của tôi.</t>
  </si>
  <si>
    <t>H3_B10_BG-11.gif</t>
  </si>
  <si>
    <t xml:space="preserve">中介 </t>
  </si>
  <si>
    <t>&lt;ruby&gt;中介 &lt;rt&gt;zhōngjiè&lt;/rt&gt;&lt;/ruby&gt;</t>
  </si>
  <si>
    <t>zhōngjiè</t>
  </si>
  <si>
    <t>Trung gian, môi giới</t>
  </si>
  <si>
    <r>
      <rPr>
        <sz val="11"/>
        <color theme="1"/>
        <rFont val="Calibri"/>
      </rPr>
      <t>我通过</t>
    </r>
    <r>
      <rPr>
        <b/>
        <sz val="11"/>
        <color theme="1"/>
        <rFont val="Calibri"/>
      </rPr>
      <t>中介</t>
    </r>
    <r>
      <rPr>
        <sz val="11"/>
        <color theme="1"/>
        <rFont val="Calibri"/>
      </rPr>
      <t>租了一套房子。</t>
    </r>
  </si>
  <si>
    <t>Wǒ tōngguò zhōngjiè zū le yí tào fángzi.</t>
  </si>
  <si>
    <t>Tôi đã thuê một căn nhà thông qua trung gian.</t>
  </si>
  <si>
    <t>H3_B10_BG-12.gif</t>
  </si>
  <si>
    <t xml:space="preserve">主要 </t>
  </si>
  <si>
    <t>&lt;ruby&gt;主要 &lt;rt&gt;zhǔyào&lt;/rt&gt;&lt;/ruby&gt;</t>
  </si>
  <si>
    <t>zhǔyào</t>
  </si>
  <si>
    <t>Chính, chủ yếu</t>
  </si>
  <si>
    <r>
      <rPr>
        <sz val="11"/>
        <color theme="1"/>
        <rFont val="Calibri"/>
      </rPr>
      <t>我记下了</t>
    </r>
    <r>
      <rPr>
        <b/>
        <sz val="11"/>
        <color theme="1"/>
        <rFont val="Calibri"/>
      </rPr>
      <t>主要</t>
    </r>
    <r>
      <rPr>
        <sz val="11"/>
        <color theme="1"/>
        <rFont val="Calibri"/>
      </rPr>
      <t>的知识点。</t>
    </r>
  </si>
  <si>
    <t>Wǒ jì xià le zhǔyào de zhīshìdiǎn.</t>
  </si>
  <si>
    <t>Tôi ghi lại những kiến thức chính.</t>
  </si>
  <si>
    <t>H3_B10_BG-13.gif</t>
  </si>
  <si>
    <t xml:space="preserve">环境 </t>
  </si>
  <si>
    <t>&lt;ruby&gt;环境 &lt;rt&gt;huánjìng&lt;/rt&gt;&lt;/ruby&gt;</t>
  </si>
  <si>
    <t>huánjìng</t>
  </si>
  <si>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>环境</t>
    </r>
    <r>
      <rPr>
        <sz val="11"/>
        <color theme="1"/>
        <rFont val="Calibri"/>
      </rPr>
      <t>污染越来越严重了。</t>
    </r>
  </si>
  <si>
    <t>Huánjìng wūrǎn yuè lái yuè yánzhòng le.</t>
  </si>
  <si>
    <t>Môi trường ngày càng bị ô nhiễm nặng nề.</t>
  </si>
  <si>
    <t>H3_B10_BG-14.gif</t>
  </si>
  <si>
    <t xml:space="preserve">附近 </t>
  </si>
  <si>
    <t>&lt;ruby&gt;附近 &lt;rt&gt;fùjìn&lt;/rt&gt;&lt;/ruby&gt;</t>
  </si>
  <si>
    <t>fùjìn</t>
  </si>
  <si>
    <t>Gần đây</t>
  </si>
  <si>
    <r>
      <rPr>
        <sz val="11"/>
        <color theme="1"/>
        <rFont val="Calibri"/>
      </rPr>
      <t>我学校</t>
    </r>
    <r>
      <rPr>
        <b/>
        <sz val="11"/>
        <color theme="1"/>
        <rFont val="Calibri"/>
      </rPr>
      <t>附近</t>
    </r>
    <r>
      <rPr>
        <sz val="11"/>
        <color theme="1"/>
        <rFont val="Calibri"/>
      </rPr>
      <t>有一个公交车站。</t>
    </r>
  </si>
  <si>
    <t>Wǒ xuéxiào fùjìn yǒu yí ge gōngjiāo chēzhàn.</t>
  </si>
  <si>
    <t>Gần trường tôi có trạm dừng xe buýt.</t>
  </si>
  <si>
    <t>H3_B10_BG-15.gif</t>
  </si>
  <si>
    <r>
      <rPr>
        <sz val="11"/>
        <color rgb="FF000000"/>
        <rFont val="Calibri"/>
      </rPr>
      <t>这是英 - 越</t>
    </r>
    <r>
      <rPr>
        <b/>
        <sz val="11"/>
        <color rgb="FF000000"/>
        <rFont val="Calibri"/>
      </rPr>
      <t>词典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</si>
  <si>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屋里有盏漂亮的</t>
    </r>
    <r>
      <rPr>
        <b/>
        <sz val="11"/>
        <color rgb="FF000000"/>
        <rFont val="Calibri"/>
      </rPr>
      <t>灯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</si>
  <si>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我家刚买了一台新</t>
    </r>
    <r>
      <rPr>
        <b/>
        <sz val="11"/>
        <color rgb="FF000000"/>
        <rFont val="Calibri"/>
      </rPr>
      <t>空调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</si>
  <si>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我刚买了一</t>
    </r>
    <r>
      <rPr>
        <b/>
        <sz val="11"/>
        <color rgb="FF000000"/>
        <rFont val="Calibri"/>
      </rPr>
      <t>双</t>
    </r>
    <r>
      <rPr>
        <sz val="11"/>
        <color rgb="FF000000"/>
        <rFont val="Calibri"/>
      </rPr>
      <t>新凉鞋。</t>
    </r>
  </si>
  <si>
    <r>
      <rPr>
        <sz val="11"/>
        <color rgb="FF000000"/>
        <rFont val="Calibri"/>
      </rPr>
      <t>这双</t>
    </r>
    <r>
      <rPr>
        <b/>
        <sz val="11"/>
        <color rgb="FF000000"/>
        <rFont val="Calibri"/>
      </rPr>
      <t>筷子</t>
    </r>
    <r>
      <rPr>
        <sz val="11"/>
        <color rgb="FF000000"/>
        <rFont val="Calibri"/>
      </rPr>
      <t>很漂亮。</t>
    </r>
  </si>
  <si>
    <r>
      <rPr>
        <sz val="11"/>
        <color rgb="FF000000"/>
        <rFont val="Calibri"/>
      </rPr>
      <t>我买了四瓶</t>
    </r>
    <r>
      <rPr>
        <b/>
        <sz val="11"/>
        <color rgb="FF000000"/>
        <rFont val="Calibri"/>
      </rPr>
      <t>啤酒</t>
    </r>
    <r>
      <rPr>
        <sz val="11"/>
        <color rgb="FF000000"/>
        <rFont val="Calibri"/>
      </rPr>
      <t>。</t>
    </r>
  </si>
  <si>
    <t>瓶子</t>
  </si>
  <si>
    <t>&lt;ruby&gt;瓶子&lt;rt&gt;píngzi&lt;/rt&gt;&lt;/ruby&gt;</t>
  </si>
  <si>
    <t>píngzi</t>
  </si>
  <si>
    <t>Lọ, bình</t>
  </si>
  <si>
    <r>
      <rPr>
        <b/>
        <sz val="11"/>
        <color rgb="FF000000"/>
        <rFont val="Calibri"/>
      </rPr>
      <t>瓶子</t>
    </r>
    <r>
      <rPr>
        <sz val="11"/>
        <color rgb="FF000000"/>
        <rFont val="Calibri"/>
      </rPr>
      <t>里还有很多糖果。</t>
    </r>
  </si>
  <si>
    <t>Píngzi lǐ hái yǒu hěn duō tángguǒ.</t>
  </si>
  <si>
    <t>Trong lọ còn rất nhiều bánh.</t>
  </si>
  <si>
    <t>H3_B11_BG-07.gif</t>
  </si>
  <si>
    <r>
      <rPr>
        <sz val="11"/>
        <color rgb="FF000000"/>
        <rFont val="Calibri"/>
      </rPr>
      <t>那台</t>
    </r>
    <r>
      <rPr>
        <b/>
        <sz val="11"/>
        <color rgb="FF000000"/>
        <rFont val="Calibri"/>
      </rPr>
      <t>笔记本</t>
    </r>
    <r>
      <rPr>
        <sz val="11"/>
        <color rgb="FF000000"/>
        <rFont val="Calibri"/>
      </rPr>
      <t>电脑非常贵。</t>
    </r>
  </si>
  <si>
    <t>&lt;ruby&gt;电脑&lt;rt&gt;diànnǎo&lt;/rt&gt;&lt;/ruby&gt;</t>
  </si>
  <si>
    <t>diànnǎo</t>
  </si>
  <si>
    <t>Máy tính (dùng để chỉ tất cả các loại)</t>
  </si>
  <si>
    <r>
      <rPr>
        <b/>
        <sz val="11"/>
        <color rgb="FF000000"/>
        <rFont val="Calibri"/>
      </rPr>
      <t>电脑</t>
    </r>
    <r>
      <rPr>
        <sz val="11"/>
        <color rgb="FF000000"/>
        <rFont val="Calibri"/>
      </rPr>
      <t>的种类非常多。</t>
    </r>
  </si>
  <si>
    <t>Diànnǎo de zhǒnglèi fēicháng duō.</t>
  </si>
  <si>
    <t>Máy tính có rất nhiều loại.</t>
  </si>
  <si>
    <t>H3_B11_BG-09.gif</t>
  </si>
  <si>
    <t>电子邮件</t>
  </si>
  <si>
    <t>&lt;ruby&gt;电子邮件&lt;rt&gt;diànzǐ yóujiàn&lt;/rt&gt;&lt;/ruby&gt;</t>
  </si>
  <si>
    <t>diànzǐ yóujiàn</t>
  </si>
  <si>
    <r>
      <rPr>
        <sz val="11"/>
        <color rgb="FF000000"/>
        <rFont val="Calibri"/>
      </rPr>
      <t>我刚收到一封</t>
    </r>
    <r>
      <rPr>
        <b/>
        <sz val="11"/>
        <color rgb="FF000000"/>
        <rFont val="Calibri"/>
      </rPr>
      <t>电子邮件</t>
    </r>
    <r>
      <rPr>
        <sz val="11"/>
        <color rgb="FF000000"/>
        <rFont val="Calibri"/>
      </rPr>
      <t>。</t>
    </r>
  </si>
  <si>
    <t>Wǒ gāng shōudào yī fēng diànzǐ yóujiàn.</t>
  </si>
  <si>
    <t>Tôi vừa nhận được một e-mail.</t>
  </si>
  <si>
    <t>H3_B11_BG-10.gif</t>
  </si>
  <si>
    <r>
      <rPr>
        <sz val="11"/>
        <color rgb="FF000000"/>
        <rFont val="Calibri"/>
      </rPr>
      <t>这个城市的</t>
    </r>
    <r>
      <rPr>
        <b/>
        <sz val="11"/>
        <color rgb="FF000000"/>
        <rFont val="Calibri"/>
      </rPr>
      <t>图书馆</t>
    </r>
    <r>
      <rPr>
        <sz val="11"/>
        <color rgb="FF000000"/>
        <rFont val="Calibri"/>
      </rPr>
      <t>非常有名。</t>
    </r>
  </si>
  <si>
    <r>
      <rPr>
        <sz val="11"/>
        <color rgb="FF000000"/>
        <rFont val="Calibri"/>
      </rPr>
      <t>他经常从图书馆</t>
    </r>
    <r>
      <rPr>
        <b/>
        <sz val="11"/>
        <color rgb="FF000000"/>
        <rFont val="Calibri"/>
      </rPr>
      <t>借</t>
    </r>
    <r>
      <rPr>
        <sz val="11"/>
        <color rgb="FF000000"/>
        <rFont val="Calibri"/>
      </rPr>
      <t>书。</t>
    </r>
  </si>
  <si>
    <r>
      <rPr>
        <sz val="11"/>
        <color rgb="FF000000"/>
        <rFont val="Calibri"/>
      </rPr>
      <t>他已经把钱</t>
    </r>
    <r>
      <rPr>
        <b/>
        <sz val="11"/>
        <color rgb="FF000000"/>
        <rFont val="Calibri"/>
      </rPr>
      <t>还</t>
    </r>
    <r>
      <rPr>
        <sz val="11"/>
        <color rgb="FF000000"/>
        <rFont val="Calibri"/>
      </rPr>
      <t>给我了。</t>
    </r>
  </si>
  <si>
    <t>Tā yǐjīng bǎ qián huán gěi wǒ le.</t>
  </si>
  <si>
    <t>Anh ấy đã trả tiền cho tôi.</t>
  </si>
  <si>
    <t>H3_B11_BG-13.gif</t>
  </si>
  <si>
    <r>
      <rPr>
        <sz val="11"/>
        <color rgb="FF000000"/>
        <rFont val="Calibri"/>
      </rPr>
      <t>今天我们有一个</t>
    </r>
    <r>
      <rPr>
        <b/>
        <sz val="11"/>
        <color rgb="FF000000"/>
        <rFont val="Calibri"/>
      </rPr>
      <t>会议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</si>
  <si>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我们的感情已经</t>
    </r>
    <r>
      <rPr>
        <b/>
        <sz val="11"/>
        <color rgb="FF000000"/>
        <rFont val="Calibri"/>
      </rPr>
      <t>结束</t>
    </r>
    <r>
      <rPr>
        <sz val="11"/>
        <color rgb="FF000000"/>
        <rFont val="Calibri"/>
      </rPr>
      <t>了。</t>
    </r>
  </si>
  <si>
    <t>关</t>
  </si>
  <si>
    <t>Tắt, đóng</t>
  </si>
  <si>
    <r>
      <rPr>
        <sz val="11"/>
        <color rgb="FF000000"/>
        <rFont val="Calibri"/>
      </rPr>
      <t>进房间的时候记得</t>
    </r>
    <r>
      <rPr>
        <b/>
        <sz val="11"/>
        <color rgb="FF000000"/>
        <rFont val="Calibri"/>
      </rPr>
      <t>关</t>
    </r>
    <r>
      <rPr>
        <sz val="11"/>
        <color rgb="FF000000"/>
        <rFont val="Calibri"/>
      </rPr>
      <t>门。</t>
    </r>
  </si>
  <si>
    <t>Jìn fángjiān de shíhou jìdé guānmén.</t>
  </si>
  <si>
    <t>Vào phòng nhớ đóng cửa.</t>
  </si>
  <si>
    <t>H3_B11_BG-17.gif</t>
  </si>
  <si>
    <r>
      <rPr>
        <sz val="10"/>
        <color theme="1"/>
        <rFont val="Arial"/>
      </rPr>
      <t>我每天坐</t>
    </r>
    <r>
      <rPr>
        <b/>
        <sz val="10"/>
        <color theme="1"/>
        <rFont val="Arial"/>
      </rPr>
      <t>地铁</t>
    </r>
    <r>
      <rPr>
        <sz val="10"/>
        <color theme="1"/>
        <rFont val="Arial"/>
      </rPr>
      <t>去上班。</t>
    </r>
  </si>
  <si>
    <t>Miếng, ngụm, hớp</t>
  </si>
  <si>
    <r>
      <rPr>
        <sz val="11"/>
        <color rgb="FF000000"/>
        <rFont val="Calibri"/>
      </rPr>
      <t>她分给我一</t>
    </r>
    <r>
      <rPr>
        <b/>
        <sz val="11"/>
        <color rgb="FF000000"/>
        <rFont val="Calibri"/>
      </rPr>
      <t>口</t>
    </r>
    <r>
      <rPr>
        <sz val="11"/>
        <color rgb="FF000000"/>
        <rFont val="Calibri"/>
      </rPr>
      <t>蛋糕。</t>
    </r>
  </si>
  <si>
    <t>Tā fēn gěi wǒ yī kǒu dàngāo.</t>
  </si>
  <si>
    <t>Cô ấy cho tôi một miếng bánh ngọt.</t>
  </si>
  <si>
    <t>H3_B11_BG-19.gif</t>
  </si>
  <si>
    <r>
      <rPr>
        <sz val="11"/>
        <color rgb="FF000000"/>
        <rFont val="Calibri"/>
      </rPr>
      <t>我妹妹有每天早上看书的</t>
    </r>
    <r>
      <rPr>
        <b/>
        <sz val="11"/>
        <color rgb="FF000000"/>
        <rFont val="Calibri"/>
      </rPr>
      <t>习惯</t>
    </r>
    <r>
      <rPr>
        <sz val="11"/>
        <color rgb="FF000000"/>
        <rFont val="Calibri"/>
      </rPr>
      <t>。</t>
    </r>
  </si>
  <si>
    <r>
      <rPr>
        <b/>
        <sz val="11"/>
        <color rgb="FF000000"/>
        <rFont val="Calibri"/>
      </rPr>
      <t>太阳</t>
    </r>
    <r>
      <rPr>
        <sz val="11"/>
        <color rgb="FF000000"/>
        <rFont val="Calibri"/>
      </rPr>
      <t>已经升得很高了，快起床吧！</t>
    </r>
  </si>
  <si>
    <t>西</t>
  </si>
  <si>
    <t>&lt;ruby&gt;西&lt;rt&gt;xī&lt;/rt&gt;&lt;/ruby&gt;</t>
  </si>
  <si>
    <t>xī</t>
  </si>
  <si>
    <t>Phía tây, hướng tây</t>
  </si>
  <si>
    <r>
      <rPr>
        <sz val="11"/>
        <color rgb="FF000000"/>
        <rFont val="Calibri"/>
      </rPr>
      <t>太阳慢慢地向</t>
    </r>
    <r>
      <rPr>
        <b/>
        <sz val="11"/>
        <color rgb="FF000000"/>
        <rFont val="Calibri"/>
      </rPr>
      <t>西</t>
    </r>
    <r>
      <rPr>
        <sz val="11"/>
        <color rgb="FF000000"/>
        <rFont val="Calibri"/>
      </rPr>
      <t>落下。</t>
    </r>
  </si>
  <si>
    <t>Tàiyáng mànmàn de xiàng xī luòxià.</t>
  </si>
  <si>
    <t>Mặt trời lặn dần về phía tây.</t>
  </si>
  <si>
    <t>H3_B12_BG-02.gif</t>
  </si>
  <si>
    <r>
      <rPr>
        <sz val="11"/>
        <color rgb="FF000000"/>
        <rFont val="Calibri"/>
      </rPr>
      <t>她的语气中带着一些</t>
    </r>
    <r>
      <rPr>
        <b/>
        <sz val="11"/>
        <color rgb="FF000000"/>
        <rFont val="Calibri"/>
      </rPr>
      <t>生气</t>
    </r>
    <r>
      <rPr>
        <sz val="11"/>
        <color rgb="FF000000"/>
        <rFont val="Calibri"/>
      </rPr>
      <t>。</t>
    </r>
  </si>
  <si>
    <t>行李箱</t>
  </si>
  <si>
    <t>&lt;ruby&gt;行李箱&lt;rt&gt;xínglixiāng&lt;/rt&gt;&lt;/ruby&gt;</t>
  </si>
  <si>
    <t>xínglixiāng</t>
  </si>
  <si>
    <t>Hành lý, vali</t>
  </si>
  <si>
    <r>
      <rPr>
        <b/>
        <sz val="11"/>
        <color rgb="FF000000"/>
        <rFont val="Calibri"/>
      </rPr>
      <t>行李箱</t>
    </r>
    <r>
      <rPr>
        <sz val="11"/>
        <color rgb="FF000000"/>
        <rFont val="Calibri"/>
      </rPr>
      <t>里已经没有空位了。</t>
    </r>
  </si>
  <si>
    <t>Xínglǐxiāng lǐ yǐjīng méiyǒu kōngwèi le.</t>
  </si>
  <si>
    <t>Trong vali không còn chỗ trống nữa.</t>
  </si>
  <si>
    <t>H3_B12_BG-04.gif</t>
  </si>
  <si>
    <r>
      <rPr>
        <sz val="11"/>
        <color rgb="FF000000"/>
        <rFont val="Calibri"/>
      </rPr>
      <t>我非常爱</t>
    </r>
    <r>
      <rPr>
        <b/>
        <sz val="11"/>
        <color rgb="FF000000"/>
        <rFont val="Calibri"/>
      </rPr>
      <t>自己</t>
    </r>
  </si>
  <si>
    <r>
      <rPr>
        <sz val="11"/>
        <color rgb="FF000000"/>
        <rFont val="Calibri"/>
      </rPr>
      <t>这个</t>
    </r>
    <r>
      <rPr>
        <b/>
        <sz val="11"/>
        <color rgb="FF000000"/>
        <rFont val="Calibri"/>
      </rPr>
      <t>包</t>
    </r>
    <r>
      <rPr>
        <sz val="11"/>
        <color rgb="FF000000"/>
        <rFont val="Calibri"/>
      </rPr>
      <t>非常时尚。</t>
    </r>
  </si>
  <si>
    <r>
      <rPr>
        <sz val="11"/>
        <color rgb="FF000000"/>
        <rFont val="Calibri"/>
      </rPr>
      <t>我</t>
    </r>
    <r>
      <rPr>
        <b/>
        <sz val="11"/>
        <color rgb="FF000000"/>
        <rFont val="Calibri"/>
      </rPr>
      <t>发现</t>
    </r>
    <r>
      <rPr>
        <sz val="11"/>
        <color rgb="FF000000"/>
        <rFont val="Calibri"/>
      </rPr>
      <t>这棵树长得更高了。</t>
    </r>
  </si>
  <si>
    <r>
      <rPr>
        <sz val="11"/>
        <color rgb="FF000000"/>
        <rFont val="Calibri"/>
      </rPr>
      <t>我已经申请了新的</t>
    </r>
    <r>
      <rPr>
        <b/>
        <sz val="11"/>
        <color rgb="FF000000"/>
        <rFont val="Calibri"/>
      </rPr>
      <t>护照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</si>
  <si>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飞机快要</t>
    </r>
    <r>
      <rPr>
        <b/>
        <sz val="11"/>
        <color rgb="FF000000"/>
        <rFont val="Calibri"/>
      </rPr>
      <t>起飞</t>
    </r>
    <r>
      <rPr>
        <sz val="11"/>
        <color rgb="FF000000"/>
        <rFont val="Calibri"/>
      </rPr>
      <t>了。</t>
    </r>
  </si>
  <si>
    <r>
      <rPr>
        <sz val="11"/>
        <color rgb="FF000000"/>
        <rFont val="Calibri"/>
      </rPr>
      <t>出租车</t>
    </r>
    <r>
      <rPr>
        <b/>
        <sz val="11"/>
        <color rgb="FF000000"/>
        <rFont val="Calibri"/>
      </rPr>
      <t>司机</t>
    </r>
    <r>
      <rPr>
        <sz val="11"/>
        <color rgb="FF000000"/>
        <rFont val="Calibri"/>
      </rPr>
      <t>开车很稳。</t>
    </r>
  </si>
  <si>
    <t>教</t>
  </si>
  <si>
    <t>&lt;ruby&gt;教&lt;rt&gt;jiāo&lt;/rt&gt;&lt;/ruby&gt;</t>
  </si>
  <si>
    <t>jiāo</t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</si>
  <si>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教</t>
    </r>
    <r>
      <rPr>
        <sz val="11"/>
        <color rgb="FF000000"/>
        <rFont val="Calibri"/>
      </rPr>
      <t>我跳舞。</t>
    </r>
  </si>
  <si>
    <t>Tā jiāo wǒ tiàowǔ.</t>
  </si>
  <si>
    <t>Cô ấy dạy tôi múa.</t>
  </si>
  <si>
    <t>H3_B12_BG-11.gif</t>
  </si>
  <si>
    <r>
      <rPr>
        <sz val="11"/>
        <color rgb="FF000000"/>
        <rFont val="Calibri"/>
      </rPr>
      <t>我</t>
    </r>
    <r>
      <rPr>
        <b/>
        <sz val="11"/>
        <color rgb="FF000000"/>
        <rFont val="Calibri"/>
      </rPr>
      <t>画</t>
    </r>
    <r>
      <rPr>
        <sz val="11"/>
        <color rgb="FF000000"/>
        <rFont val="Calibri"/>
      </rPr>
      <t>了一幅风景画。</t>
    </r>
  </si>
  <si>
    <r>
      <rPr>
        <sz val="10"/>
        <color rgb="FF0E0E0E"/>
        <rFont val="Calibri"/>
      </rPr>
      <t>我</t>
    </r>
    <r>
      <rPr>
        <b/>
        <sz val="10"/>
        <color rgb="FF0E0E0E"/>
        <rFont val="Calibri"/>
      </rPr>
      <t>需要</t>
    </r>
    <r>
      <rPr>
        <sz val="10"/>
        <color rgb="FF0E0E0E"/>
        <rFont val="Calibri"/>
      </rPr>
      <t>一杯奶茶。</t>
    </r>
  </si>
  <si>
    <r>
      <rPr>
        <sz val="11"/>
        <color rgb="FF000000"/>
        <rFont val="Calibri"/>
      </rPr>
      <t>大家请看</t>
    </r>
    <r>
      <rPr>
        <b/>
        <sz val="11"/>
        <color rgb="FF000000"/>
        <rFont val="Calibri"/>
      </rPr>
      <t>黑板</t>
    </r>
    <r>
      <rPr>
        <sz val="11"/>
        <color rgb="FF000000"/>
        <rFont val="Calibri"/>
      </rPr>
      <t>。</t>
    </r>
  </si>
  <si>
    <r>
      <rPr>
        <sz val="10"/>
        <color rgb="FF000000"/>
        <rFont val="Calibri"/>
      </rPr>
      <t>雨</t>
    </r>
    <r>
      <rPr>
        <b/>
        <sz val="10"/>
        <color rgb="FF000000"/>
        <rFont val="Calibri"/>
      </rPr>
      <t>终于</t>
    </r>
    <r>
      <rPr>
        <sz val="10"/>
        <color rgb="FF000000"/>
        <rFont val="Calibri"/>
      </rPr>
      <t>停了，我们可以出去玩了！</t>
    </r>
  </si>
  <si>
    <r>
      <rPr>
        <sz val="11"/>
        <color rgb="FF000000"/>
        <rFont val="Calibri"/>
      </rPr>
      <t>我</t>
    </r>
    <r>
      <rPr>
        <b/>
        <sz val="11"/>
        <color rgb="FF000000"/>
        <rFont val="Calibri"/>
      </rPr>
      <t>爷爷</t>
    </r>
    <r>
      <rPr>
        <sz val="11"/>
        <color rgb="FF000000"/>
        <rFont val="Calibri"/>
      </rPr>
      <t>今年已经85岁了。</t>
    </r>
  </si>
  <si>
    <r>
      <rPr>
        <sz val="11"/>
        <color rgb="FF000000"/>
        <rFont val="Calibri"/>
      </rPr>
      <t>他送了我一份</t>
    </r>
    <r>
      <rPr>
        <b/>
        <sz val="11"/>
        <color rgb="FF000000"/>
        <rFont val="Calibri"/>
      </rPr>
      <t>礼物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</si>
  <si>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我</t>
    </r>
    <r>
      <rPr>
        <b/>
        <sz val="11"/>
        <color rgb="FF000000"/>
        <rFont val="Calibri"/>
      </rPr>
      <t>奶奶</t>
    </r>
    <r>
      <rPr>
        <sz val="11"/>
        <color rgb="FF000000"/>
        <rFont val="Calibri"/>
      </rPr>
      <t>非常善良。</t>
    </r>
  </si>
  <si>
    <r>
      <rPr>
        <sz val="11"/>
        <color rgb="FF000000"/>
        <rFont val="Calibri"/>
      </rPr>
      <t>妹妹</t>
    </r>
    <r>
      <rPr>
        <b/>
        <sz val="11"/>
        <color rgb="FF000000"/>
        <rFont val="Calibri"/>
      </rPr>
      <t>遇到</t>
    </r>
    <r>
      <rPr>
        <sz val="11"/>
        <color rgb="FF000000"/>
        <rFont val="Calibri"/>
      </rPr>
      <t>困难时，哥哥总是帮她。</t>
    </r>
  </si>
  <si>
    <r>
      <rPr>
        <sz val="11"/>
        <color rgb="FF000000"/>
        <rFont val="Times New Roman"/>
      </rPr>
      <t xml:space="preserve">Vừa </t>
    </r>
    <r>
      <rPr>
        <i/>
        <sz val="11"/>
        <color rgb="FF000000"/>
        <rFont val="Times New Roman"/>
      </rPr>
      <t>(được dùng để liên kết hai hành động xảy ra cùng lúc)</t>
    </r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</si>
  <si>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一边</t>
    </r>
    <r>
      <rPr>
        <sz val="11"/>
        <color rgb="FF000000"/>
        <rFont val="Calibri"/>
      </rPr>
      <t>弹吉他，</t>
    </r>
    <r>
      <rPr>
        <b/>
        <sz val="11"/>
        <color rgb="FF000000"/>
        <rFont val="Calibri"/>
      </rPr>
      <t>一边</t>
    </r>
    <r>
      <rPr>
        <sz val="11"/>
        <color rgb="FF000000"/>
        <rFont val="Calibri"/>
      </rPr>
      <t>唱歌。</t>
    </r>
  </si>
  <si>
    <r>
      <rPr>
        <b/>
        <sz val="10"/>
        <color rgb="FF000000"/>
        <rFont val="Calibri"/>
      </rPr>
      <t>过去</t>
    </r>
    <r>
      <rPr>
        <sz val="10"/>
        <color rgb="FF000000"/>
        <rFont val="Calibri"/>
      </rPr>
      <t>我不喜欢吃蔬菜，现在我每天吃很多。</t>
    </r>
  </si>
  <si>
    <r>
      <rPr>
        <sz val="10"/>
        <color rgb="FF000000"/>
        <rFont val="Calibri"/>
      </rPr>
      <t>我</t>
    </r>
    <r>
      <rPr>
        <b/>
        <sz val="10"/>
        <color rgb="FF000000"/>
        <rFont val="Calibri"/>
      </rPr>
      <t>一般</t>
    </r>
    <r>
      <rPr>
        <sz val="10"/>
        <color rgb="FF000000"/>
        <rFont val="Calibri"/>
      </rPr>
      <t>七点起床。</t>
    </r>
  </si>
  <si>
    <r>
      <rPr>
        <sz val="11"/>
        <color rgb="FF000000"/>
        <rFont val="Calibri"/>
      </rPr>
      <t>你</t>
    </r>
    <r>
      <rPr>
        <b/>
        <sz val="11"/>
        <color rgb="FF000000"/>
        <rFont val="Calibri"/>
      </rPr>
      <t>愿意</t>
    </r>
    <r>
      <rPr>
        <sz val="11"/>
        <color rgb="FF000000"/>
        <rFont val="Calibri"/>
      </rPr>
      <t>和我结婚吗？</t>
    </r>
  </si>
  <si>
    <t>起来</t>
  </si>
  <si>
    <t>&lt;ruby&gt;起来&lt;rt&gt;qǐlai&lt;/rt&gt;&lt;/ruby&gt;</t>
  </si>
  <si>
    <t>qǐlai</t>
  </si>
  <si>
    <r>
      <rPr>
        <i/>
        <sz val="11"/>
        <color rgb="FF000000"/>
        <rFont val="Times New Roman"/>
      </rPr>
      <t xml:space="preserve">(chỉ sự di chuyển hướng lên) </t>
    </r>
    <r>
      <rPr>
        <sz val="11"/>
        <color rgb="FF000000"/>
        <rFont val="Times New Roman"/>
      </rPr>
      <t>Lên</t>
    </r>
  </si>
  <si>
    <r>
      <rPr>
        <sz val="11"/>
        <color rgb="FF000000"/>
        <rFont val="Calibri"/>
      </rPr>
      <t>我</t>
    </r>
    <r>
      <rPr>
        <b/>
        <sz val="11"/>
        <color rgb="FF000000"/>
        <rFont val="Calibri"/>
      </rPr>
      <t>起来</t>
    </r>
    <r>
      <rPr>
        <sz val="11"/>
        <color rgb="FF000000"/>
        <rFont val="Calibri"/>
      </rPr>
      <t>给老人让座。</t>
    </r>
  </si>
  <si>
    <t>Wǒ qǐlái gěi lǎorén ràng zuò.</t>
  </si>
  <si>
    <t>Tôi đứng dậy nhường chỗ cho người già.</t>
  </si>
  <si>
    <t>H3_B13_BG-10.gif</t>
  </si>
  <si>
    <r>
      <rPr>
        <sz val="10"/>
        <color rgb="FF000000"/>
        <rFont val="Calibri"/>
      </rPr>
      <t>你</t>
    </r>
    <r>
      <rPr>
        <b/>
        <sz val="10"/>
        <color rgb="FF000000"/>
        <rFont val="Calibri"/>
      </rPr>
      <t>应该</t>
    </r>
    <r>
      <rPr>
        <sz val="10"/>
        <color rgb="FF000000"/>
        <rFont val="Calibri"/>
      </rPr>
      <t>早点休息，不要太累了。</t>
    </r>
  </si>
  <si>
    <r>
      <rPr>
        <sz val="10"/>
        <color rgb="FF000000"/>
        <rFont val="Calibri"/>
      </rPr>
      <t>他的</t>
    </r>
    <r>
      <rPr>
        <b/>
        <sz val="10"/>
        <color rgb="FF000000"/>
        <rFont val="Calibri"/>
      </rPr>
      <t>生活</t>
    </r>
    <r>
      <rPr>
        <sz val="10"/>
        <color rgb="FF000000"/>
        <rFont val="Calibri"/>
      </rPr>
      <t>很幸福。</t>
    </r>
  </si>
  <si>
    <r>
      <rPr>
        <sz val="11"/>
        <color rgb="FF000000"/>
        <rFont val="Calibri"/>
      </rPr>
      <t>他是那所著名大学的</t>
    </r>
    <r>
      <rPr>
        <b/>
        <sz val="11"/>
        <color rgb="FF000000"/>
        <rFont val="Calibri"/>
      </rPr>
      <t>校长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</si>
  <si>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他饿</t>
    </r>
    <r>
      <rPr>
        <b/>
        <sz val="11"/>
        <color rgb="FF000000"/>
        <rFont val="Calibri"/>
      </rPr>
      <t>坏</t>
    </r>
    <r>
      <rPr>
        <sz val="11"/>
        <color rgb="FF000000"/>
        <rFont val="Calibri"/>
      </rPr>
      <t>了，什么都想吃。</t>
    </r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</si>
  <si>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经常</t>
    </r>
    <r>
      <rPr>
        <sz val="11"/>
        <color rgb="FF000000"/>
        <rFont val="Calibri"/>
      </rPr>
      <t>打篮球。</t>
    </r>
  </si>
  <si>
    <t>Tā jīngcháng dǎ lánqiú.</t>
  </si>
  <si>
    <t>Anh ấy thường xuyên chơi bóng rổ.</t>
  </si>
  <si>
    <t>H3_B13_BG-15.gif</t>
  </si>
  <si>
    <r>
      <rPr>
        <sz val="11"/>
        <color rgb="FF000000"/>
        <rFont val="Calibri"/>
      </rPr>
      <t>她把房间</t>
    </r>
    <r>
      <rPr>
        <b/>
        <sz val="11"/>
        <color rgb="FF000000"/>
        <rFont val="Calibri"/>
      </rPr>
      <t>打扫</t>
    </r>
    <r>
      <rPr>
        <sz val="11"/>
        <color rgb="FF000000"/>
        <rFont val="Calibri"/>
      </rPr>
      <t>得很干净。</t>
    </r>
  </si>
  <si>
    <r>
      <rPr>
        <sz val="11"/>
        <color rgb="FF000000"/>
        <rFont val="Calibri"/>
      </rPr>
      <t>他在吃饭前把手洗得很</t>
    </r>
    <r>
      <rPr>
        <b/>
        <sz val="11"/>
        <color rgb="FF000000"/>
        <rFont val="Calibri"/>
      </rPr>
      <t>干净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</si>
  <si>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他先洗手，</t>
    </r>
    <r>
      <rPr>
        <b/>
        <sz val="11"/>
        <color rgb="FF000000"/>
        <rFont val="Calibri"/>
      </rPr>
      <t>然后</t>
    </r>
    <r>
      <rPr>
        <sz val="11"/>
        <color rgb="FF000000"/>
        <rFont val="Calibri"/>
      </rPr>
      <t>吃饭。</t>
    </r>
  </si>
  <si>
    <r>
      <rPr>
        <b/>
        <sz val="11"/>
        <color rgb="FF000000"/>
        <rFont val="Calibri"/>
      </rPr>
      <t>冰箱</t>
    </r>
    <r>
      <rPr>
        <sz val="11"/>
        <color rgb="FF000000"/>
        <rFont val="Calibri"/>
      </rPr>
      <t>里剩下不多的食物。</t>
    </r>
  </si>
  <si>
    <t>洗澡</t>
  </si>
  <si>
    <t>&lt;ruby&gt;洗澡&lt;rt&gt;xǐ zǎo&lt;/rt&gt;&lt;/ruby&gt;</t>
  </si>
  <si>
    <t>xǐ zǎo</t>
  </si>
  <si>
    <t>Tắm, tắm rửa</t>
  </si>
  <si>
    <r>
      <rPr>
        <sz val="11"/>
        <color rgb="FF000000"/>
        <rFont val="Calibri"/>
      </rPr>
      <t>我每天都有</t>
    </r>
    <r>
      <rPr>
        <b/>
        <sz val="11"/>
        <color rgb="FF000000"/>
        <rFont val="Calibri"/>
      </rPr>
      <t>洗澡</t>
    </r>
    <r>
      <rPr>
        <sz val="11"/>
        <color rgb="FF000000"/>
        <rFont val="Calibri"/>
      </rPr>
      <t>的习惯。</t>
    </r>
  </si>
  <si>
    <t>Wǒ měitiān dōu yǒu xǐzǎo de xíguàn.</t>
  </si>
  <si>
    <t>Tôi có thói quen tắm rửa mỗi ngày.</t>
  </si>
  <si>
    <t>H3_B14_BG-05.gif</t>
  </si>
  <si>
    <r>
      <rPr>
        <sz val="11"/>
        <color rgb="FF000000"/>
        <rFont val="Calibri"/>
      </rPr>
      <t>今天有我喜欢看的</t>
    </r>
    <r>
      <rPr>
        <b/>
        <sz val="11"/>
        <color rgb="FF000000"/>
        <rFont val="Calibri"/>
      </rPr>
      <t>节目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</si>
  <si>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今晚的</t>
    </r>
    <r>
      <rPr>
        <b/>
        <sz val="11"/>
        <color rgb="FF000000"/>
        <rFont val="Calibri"/>
      </rPr>
      <t>月亮</t>
    </r>
    <r>
      <rPr>
        <sz val="11"/>
        <color rgb="FF000000"/>
        <rFont val="Calibri"/>
      </rPr>
      <t>真亮啊！</t>
    </r>
  </si>
  <si>
    <r>
      <rPr>
        <sz val="11"/>
        <color rgb="FF000000"/>
        <rFont val="Calibri"/>
      </rPr>
      <t>他高兴得</t>
    </r>
    <r>
      <rPr>
        <b/>
        <sz val="11"/>
        <color rgb="FF000000"/>
        <rFont val="Calibri"/>
      </rPr>
      <t>像</t>
    </r>
    <r>
      <rPr>
        <sz val="11"/>
        <color rgb="FF000000"/>
        <rFont val="Calibri"/>
      </rPr>
      <t>个孩子一样。</t>
    </r>
  </si>
  <si>
    <r>
      <rPr>
        <sz val="11"/>
        <color rgb="FF000000"/>
        <rFont val="Calibri"/>
      </rPr>
      <t>这个</t>
    </r>
    <r>
      <rPr>
        <b/>
        <sz val="11"/>
        <color rgb="FF000000"/>
        <rFont val="Calibri"/>
      </rPr>
      <t>盘子</t>
    </r>
    <r>
      <rPr>
        <sz val="11"/>
        <color rgb="FF000000"/>
        <rFont val="Calibri"/>
      </rPr>
      <t>是用木头做的。</t>
    </r>
  </si>
  <si>
    <t>刮风</t>
  </si>
  <si>
    <t>&lt;ruby&gt;刮风&lt;rt&gt;guā fēng&lt;/rt&gt;&lt;/ruby&gt;</t>
  </si>
  <si>
    <t>guā fēng</t>
  </si>
  <si>
    <t>Nổi gió</t>
  </si>
  <si>
    <r>
      <rPr>
        <b/>
        <sz val="11"/>
        <color rgb="FF000000"/>
        <rFont val="Calibri"/>
      </rPr>
      <t>刮风</t>
    </r>
    <r>
      <rPr>
        <sz val="11"/>
        <color rgb="FF000000"/>
        <rFont val="Calibri"/>
      </rPr>
      <t>了，我们可以去放风筝。</t>
    </r>
  </si>
  <si>
    <t>Guāfēng le, wǒmen kěyǐ qù fàng fēngzheng.</t>
  </si>
  <si>
    <t>Có gió rồi chúng ta đi thả diều đi.</t>
  </si>
  <si>
    <t>H3_B14_BG-10.gif</t>
  </si>
  <si>
    <r>
      <rPr>
        <b/>
        <sz val="11"/>
        <color rgb="FF000000"/>
        <rFont val="Calibri"/>
      </rPr>
      <t>叔叔</t>
    </r>
    <r>
      <rPr>
        <sz val="11"/>
        <color rgb="FF000000"/>
        <rFont val="Calibri"/>
      </rPr>
      <t>是我爸爸的朋友。</t>
    </r>
  </si>
  <si>
    <r>
      <rPr>
        <sz val="11"/>
        <color rgb="FF000000"/>
        <rFont val="Calibri"/>
      </rPr>
      <t>我的</t>
    </r>
    <r>
      <rPr>
        <b/>
        <sz val="11"/>
        <color rgb="FF000000"/>
        <rFont val="Calibri"/>
      </rPr>
      <t>阿姨</t>
    </r>
    <r>
      <rPr>
        <sz val="11"/>
        <color rgb="FF000000"/>
        <rFont val="Calibri"/>
      </rPr>
      <t>看起来有点不开心。</t>
    </r>
  </si>
  <si>
    <r>
      <rPr>
        <sz val="11"/>
        <color rgb="FF000000"/>
        <rFont val="Calibri"/>
      </rPr>
      <t>这个</t>
    </r>
    <r>
      <rPr>
        <b/>
        <sz val="11"/>
        <color rgb="FF000000"/>
        <rFont val="Calibri"/>
      </rPr>
      <t>故事</t>
    </r>
    <r>
      <rPr>
        <sz val="11"/>
        <color rgb="FF000000"/>
        <rFont val="Calibri"/>
      </rPr>
      <t>很神奇。</t>
    </r>
  </si>
  <si>
    <r>
      <rPr>
        <sz val="11"/>
        <color rgb="FF000000"/>
        <rFont val="Calibri"/>
      </rPr>
      <t>远处传来了一阵</t>
    </r>
    <r>
      <rPr>
        <b/>
        <sz val="11"/>
        <color rgb="FF000000"/>
        <rFont val="Calibri"/>
      </rPr>
      <t>声音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</si>
  <si>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请给我看一下</t>
    </r>
    <r>
      <rPr>
        <b/>
        <sz val="11"/>
        <color rgb="FF000000"/>
        <rFont val="Calibri"/>
      </rPr>
      <t>菜单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</si>
  <si>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这个内容比较</t>
    </r>
    <r>
      <rPr>
        <b/>
        <sz val="11"/>
        <color rgb="FF000000"/>
        <rFont val="Calibri"/>
      </rPr>
      <t>简单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</si>
  <si>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我很喜欢吃</t>
    </r>
    <r>
      <rPr>
        <b/>
        <sz val="11"/>
        <color rgb="FF000000"/>
        <rFont val="Calibri"/>
      </rPr>
      <t>香蕉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</si>
  <si>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我快要去美国</t>
    </r>
    <r>
      <rPr>
        <b/>
        <sz val="11"/>
        <color rgb="FF000000"/>
        <rFont val="Calibri"/>
      </rPr>
      <t>留学</t>
    </r>
    <r>
      <rPr>
        <sz val="11"/>
        <color rgb="FF000000"/>
        <rFont val="Calibri"/>
      </rPr>
      <t>了。</t>
    </r>
  </si>
  <si>
    <r>
      <rPr>
        <sz val="11"/>
        <color rgb="FF000000"/>
        <rFont val="Calibri"/>
      </rPr>
      <t>他的汉语</t>
    </r>
    <r>
      <rPr>
        <b/>
        <sz val="11"/>
        <color rgb="FF000000"/>
        <rFont val="Calibri"/>
      </rPr>
      <t>水平</t>
    </r>
    <r>
      <rPr>
        <sz val="11"/>
        <color rgb="FF000000"/>
        <rFont val="Calibri"/>
      </rPr>
      <t>很好。</t>
    </r>
  </si>
  <si>
    <r>
      <rPr>
        <sz val="11"/>
        <color rgb="FF000000"/>
        <rFont val="Calibri"/>
      </rPr>
      <t xml:space="preserve"> 我们需要</t>
    </r>
    <r>
      <rPr>
        <b/>
        <sz val="11"/>
        <color rgb="FF000000"/>
        <rFont val="Calibri"/>
      </rPr>
      <t>提高</t>
    </r>
    <r>
      <rPr>
        <sz val="11"/>
        <color rgb="FF000000"/>
        <rFont val="Calibri"/>
      </rPr>
      <t>工作效率。</t>
    </r>
  </si>
  <si>
    <t>练习</t>
  </si>
  <si>
    <t>&lt;ruby&gt;练习&lt;rt&gt;liànxí&lt;/rt&gt;&lt;/ruby&gt;</t>
  </si>
  <si>
    <t>liànxí</t>
  </si>
  <si>
    <t>Bài tập</t>
  </si>
  <si>
    <r>
      <rPr>
        <sz val="11"/>
        <color rgb="FF000000"/>
        <rFont val="Calibri"/>
      </rPr>
      <t>她正在</t>
    </r>
    <r>
      <rPr>
        <b/>
        <sz val="11"/>
        <color rgb="FF000000"/>
        <rFont val="Calibri"/>
      </rPr>
      <t>练习</t>
    </r>
    <r>
      <rPr>
        <sz val="11"/>
        <color rgb="FF000000"/>
        <rFont val="Calibri"/>
      </rPr>
      <t>写作文。</t>
    </r>
  </si>
  <si>
    <t>Tā zhèngzài liànxí xiě zuòwén.</t>
  </si>
  <si>
    <t>Cô ấy đang tập viết văn.</t>
  </si>
  <si>
    <t>H3_B15_BG-04.gif</t>
  </si>
  <si>
    <r>
      <rPr>
        <sz val="11"/>
        <color rgb="FF000000"/>
        <rFont val="Calibri"/>
      </rPr>
      <t>我已经</t>
    </r>
    <r>
      <rPr>
        <b/>
        <sz val="11"/>
        <color rgb="FF000000"/>
        <rFont val="Calibri"/>
      </rPr>
      <t>完成</t>
    </r>
    <r>
      <rPr>
        <sz val="11"/>
        <color rgb="FF000000"/>
        <rFont val="Calibri"/>
      </rPr>
      <t>了考试。</t>
    </r>
  </si>
  <si>
    <r>
      <rPr>
        <sz val="11"/>
        <color rgb="FF000000"/>
        <rFont val="Calibri"/>
      </rPr>
      <t>请填上这个</t>
    </r>
    <r>
      <rPr>
        <b/>
        <sz val="11"/>
        <color rgb="FF000000"/>
        <rFont val="Calibri"/>
      </rPr>
      <t>句子</t>
    </r>
    <r>
      <rPr>
        <sz val="11"/>
        <color rgb="FF000000"/>
        <rFont val="Calibri"/>
      </rPr>
      <t>的空缺。</t>
    </r>
  </si>
  <si>
    <r>
      <rPr>
        <sz val="11"/>
        <color rgb="FF000000"/>
        <rFont val="Calibri"/>
      </rPr>
      <t>你还有</t>
    </r>
    <r>
      <rPr>
        <b/>
        <sz val="11"/>
        <color rgb="FF000000"/>
        <rFont val="Calibri"/>
      </rPr>
      <t>其他</t>
    </r>
    <r>
      <rPr>
        <sz val="11"/>
        <color rgb="FF000000"/>
        <rFont val="Calibri"/>
      </rPr>
      <t>问题吗？</t>
    </r>
  </si>
  <si>
    <r>
      <rPr>
        <sz val="11"/>
        <color rgb="FF000000"/>
        <rFont val="Calibri"/>
      </rPr>
      <t>今天公司已经</t>
    </r>
    <r>
      <rPr>
        <b/>
        <sz val="11"/>
        <color rgb="FF000000"/>
        <rFont val="Calibri"/>
      </rPr>
      <t>发</t>
    </r>
    <r>
      <rPr>
        <sz val="11"/>
        <color rgb="FF000000"/>
        <rFont val="Calibri"/>
      </rPr>
      <t>货了。</t>
    </r>
  </si>
  <si>
    <r>
      <rPr>
        <sz val="11"/>
        <color rgb="FF000000"/>
        <rFont val="Calibri"/>
      </rPr>
      <t>公司</t>
    </r>
    <r>
      <rPr>
        <b/>
        <sz val="11"/>
        <color rgb="FF000000"/>
        <rFont val="Calibri"/>
      </rPr>
      <t>要求</t>
    </r>
    <r>
      <rPr>
        <sz val="11"/>
        <color rgb="FF000000"/>
        <rFont val="Calibri"/>
      </rPr>
      <t>员工准时上班。</t>
    </r>
  </si>
  <si>
    <r>
      <rPr>
        <b/>
        <sz val="11"/>
        <color rgb="FF000000"/>
        <rFont val="Calibri"/>
      </rPr>
      <t>注意</t>
    </r>
    <r>
      <rPr>
        <sz val="11"/>
        <color rgb="FF000000"/>
        <rFont val="Calibri"/>
      </rPr>
      <t>路滑！</t>
    </r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</si>
  <si>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上网</t>
    </r>
    <r>
      <rPr>
        <sz val="11"/>
        <color rgb="FF000000"/>
        <rFont val="Calibri"/>
      </rPr>
      <t>查资料。</t>
    </r>
  </si>
  <si>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除了</t>
    </r>
    <r>
      <rPr>
        <sz val="11"/>
        <color rgb="FF000000"/>
        <rFont val="Calibri"/>
      </rPr>
      <t>奶茶，我不喜欢喝别的。</t>
    </r>
  </si>
  <si>
    <r>
      <rPr>
        <sz val="11"/>
        <color rgb="FF000000"/>
        <rFont val="Calibri"/>
      </rPr>
      <t>你看到最新</t>
    </r>
    <r>
      <rPr>
        <b/>
        <sz val="11"/>
        <color rgb="FF000000"/>
        <rFont val="Calibri"/>
      </rPr>
      <t>新闻</t>
    </r>
    <r>
      <rPr>
        <sz val="11"/>
        <color rgb="FF000000"/>
        <rFont val="Calibri"/>
      </rPr>
      <t>了吗？</t>
    </r>
  </si>
  <si>
    <t>Tốn, tiêu tốn</t>
  </si>
  <si>
    <r>
      <rPr>
        <sz val="11"/>
        <color rgb="FF000000"/>
        <rFont val="Calibri"/>
      </rPr>
      <t>这朵</t>
    </r>
    <r>
      <rPr>
        <b/>
        <sz val="11"/>
        <color rgb="FF000000"/>
        <rFont val="Calibri"/>
      </rPr>
      <t>花</t>
    </r>
    <r>
      <rPr>
        <sz val="11"/>
        <color rgb="FF000000"/>
        <rFont val="Calibri"/>
      </rPr>
      <t>真漂亮。</t>
    </r>
  </si>
  <si>
    <t>Zhè duǒ huā zhēn piàoliang.</t>
  </si>
  <si>
    <t>Bông hoa này thật đẹp.</t>
  </si>
  <si>
    <t>H3_B15_BG-14.gif</t>
  </si>
  <si>
    <t>极 (了)</t>
  </si>
  <si>
    <t>&lt;ruby&gt;极 (了)&lt;rt&gt;jí (le)&lt;/rt&gt;&lt;/ruby&gt;</t>
  </si>
  <si>
    <t>jí (le)</t>
  </si>
  <si>
    <t>Hết sức, cực kỳ</t>
  </si>
  <si>
    <r>
      <rPr>
        <sz val="11"/>
        <color rgb="FF000000"/>
        <rFont val="Calibri"/>
      </rPr>
      <t>这件衣服漂亮</t>
    </r>
    <r>
      <rPr>
        <b/>
        <sz val="11"/>
        <color rgb="FF000000"/>
        <rFont val="Calibri"/>
      </rPr>
      <t>极了</t>
    </r>
    <r>
      <rPr>
        <sz val="11"/>
        <color rgb="FF000000"/>
        <rFont val="Calibri"/>
      </rPr>
      <t>！</t>
    </r>
  </si>
  <si>
    <t>Zhè jiàn yīfu piàoliang jí le!</t>
  </si>
  <si>
    <t>Chiếc áo này đẹp quá!</t>
  </si>
  <si>
    <t>H3_B15_BG-15.gif</t>
  </si>
  <si>
    <r>
      <rPr>
        <sz val="11"/>
        <color rgb="FF000000"/>
        <rFont val="Calibri"/>
      </rPr>
      <t>春节是一个重要的</t>
    </r>
    <r>
      <rPr>
        <b/>
        <sz val="11"/>
        <color rgb="FF000000"/>
        <rFont val="Calibri"/>
      </rPr>
      <t>节日</t>
    </r>
    <r>
      <rPr>
        <sz val="11"/>
        <color rgb="FF000000"/>
        <rFont val="Calibri"/>
      </rPr>
      <t>。</t>
    </r>
  </si>
  <si>
    <t>举行</t>
  </si>
  <si>
    <t>&lt;ruby&gt;举行&lt;rt&gt;jǔxíng&lt;/rt&gt;&lt;/ruby&gt;</t>
  </si>
  <si>
    <t>jǔxíng</t>
  </si>
  <si>
    <r>
      <rPr>
        <sz val="11"/>
        <color rgb="FF000000"/>
        <rFont val="Times New Roman"/>
      </rPr>
      <t>Tổ chức</t>
    </r>
    <r>
      <rPr>
        <i/>
        <sz val="11"/>
        <color rgb="FF000000"/>
        <rFont val="Times New Roman"/>
      </rPr>
      <t xml:space="preserve"> (hội họp, thi đấu...)</t>
    </r>
  </si>
  <si>
    <r>
      <rPr>
        <sz val="11"/>
        <color rgb="FF000000"/>
        <rFont val="Calibri"/>
      </rPr>
      <t>城市在新年期间</t>
    </r>
    <r>
      <rPr>
        <b/>
        <sz val="11"/>
        <color rgb="FF000000"/>
        <rFont val="Calibri"/>
      </rPr>
      <t>举行</t>
    </r>
    <r>
      <rPr>
        <sz val="11"/>
        <color rgb="FF000000"/>
        <rFont val="Calibri"/>
      </rPr>
      <t>赛龙舟比赛。</t>
    </r>
  </si>
  <si>
    <t>Chéngshì zài xīnnián qījiān jǔxíng sài lóngzhōu bǐsài.</t>
  </si>
  <si>
    <t>Thành phố tổ chức cuộc thi chèo thuyền nhân dịp năm mới.</t>
  </si>
  <si>
    <t>H3_B15_BG-17.gif</t>
  </si>
  <si>
    <r>
      <rPr>
        <sz val="11"/>
        <color rgb="FF000000"/>
        <rFont val="Calibri"/>
      </rPr>
      <t>保护</t>
    </r>
    <r>
      <rPr>
        <b/>
        <sz val="11"/>
        <color rgb="FF000000"/>
        <rFont val="Calibri"/>
      </rPr>
      <t>世界</t>
    </r>
    <r>
      <rPr>
        <sz val="11"/>
        <color rgb="FF000000"/>
        <rFont val="Calibri"/>
      </rPr>
      <t>和平。</t>
    </r>
  </si>
  <si>
    <t>街道</t>
  </si>
  <si>
    <t>&lt;ruby&gt;街道&lt;rt&gt;jiēdào&lt;/rt&gt;&lt;/ruby&gt;</t>
  </si>
  <si>
    <t>jiēdào</t>
  </si>
  <si>
    <t>Đường, đường phố</t>
  </si>
  <si>
    <r>
      <rPr>
        <sz val="11"/>
        <color rgb="FF000000"/>
        <rFont val="Calibri"/>
      </rPr>
      <t>这条</t>
    </r>
    <r>
      <rPr>
        <b/>
        <sz val="11"/>
        <color rgb="FF000000"/>
        <rFont val="Calibri"/>
      </rPr>
      <t>街道</t>
    </r>
    <r>
      <rPr>
        <sz val="11"/>
        <color rgb="FF000000"/>
        <rFont val="Calibri"/>
      </rPr>
      <t>很安静。</t>
    </r>
  </si>
  <si>
    <t>Zhè tiáo jiēdào hěn ānjìng.</t>
  </si>
  <si>
    <t>Con đường này rất yên tĩnh.</t>
  </si>
  <si>
    <t>H3_B15_BG-19.gif</t>
  </si>
  <si>
    <t>各</t>
  </si>
  <si>
    <t>&lt;ruby&gt;各&lt;rt&gt;gè&lt;/rt&gt;&lt;/ruby&gt;</t>
  </si>
  <si>
    <r>
      <rPr>
        <b/>
        <sz val="10"/>
        <color rgb="FF0E0E0E"/>
        <rFont val="Arial"/>
      </rPr>
      <t>各</t>
    </r>
    <r>
      <rPr>
        <sz val="10"/>
        <color rgb="FF0E0E0E"/>
        <rFont val="Arial"/>
      </rPr>
      <t>种水果都很好吃。</t>
    </r>
  </si>
  <si>
    <t>Gèzhǒng shuǐguǒ dōu hěn hǎochī.</t>
  </si>
  <si>
    <t>Các loại trái cây đều rất ngon.</t>
  </si>
  <si>
    <t>H3_B15_BG-20.gif</t>
  </si>
  <si>
    <r>
      <rPr>
        <sz val="11"/>
        <color rgb="FF000000"/>
        <rFont val="Calibri"/>
      </rPr>
      <t>我对民间</t>
    </r>
    <r>
      <rPr>
        <b/>
        <sz val="11"/>
        <color rgb="FF000000"/>
        <rFont val="Calibri"/>
      </rPr>
      <t>文化</t>
    </r>
    <r>
      <rPr>
        <sz val="11"/>
        <color rgb="FF000000"/>
        <rFont val="Calibri"/>
      </rPr>
      <t>很感兴趣。</t>
    </r>
  </si>
  <si>
    <r>
      <rPr>
        <sz val="11"/>
        <color rgb="FF000000"/>
        <rFont val="Times New Roman"/>
      </rPr>
      <t>这是我生活的</t>
    </r>
    <r>
      <rPr>
        <b/>
        <sz val="11"/>
        <color rgb="FF000000"/>
        <rFont val="Times New Roman"/>
      </rPr>
      <t>城市</t>
    </r>
    <r>
      <rPr>
        <sz val="11"/>
        <color rgb="FF000000"/>
        <rFont val="Times New Roman"/>
      </rPr>
      <t>。</t>
    </r>
  </si>
  <si>
    <r>
      <rPr>
        <b/>
        <sz val="11"/>
        <color rgb="FF000000"/>
        <rFont val="Times New Roman"/>
      </rPr>
      <t>如果</t>
    </r>
    <r>
      <rPr>
        <sz val="11"/>
        <color rgb="FF000000"/>
        <rFont val="Times New Roman"/>
      </rPr>
      <t>你渴了，就喝点水吧。</t>
    </r>
  </si>
  <si>
    <r>
      <rPr>
        <sz val="11"/>
        <color rgb="FF000000"/>
        <rFont val="Times New Roman"/>
      </rPr>
      <t>人们</t>
    </r>
    <r>
      <rPr>
        <b/>
        <sz val="11"/>
        <color rgb="FF000000"/>
        <rFont val="Times New Roman"/>
      </rPr>
      <t>认为</t>
    </r>
    <r>
      <rPr>
        <sz val="11"/>
        <color rgb="FF000000"/>
        <rFont val="Times New Roman"/>
      </rPr>
      <t>新年买盐会带来好运。</t>
    </r>
  </si>
  <si>
    <r>
      <rPr>
        <sz val="11"/>
        <color rgb="FF000000"/>
        <rFont val="Times New Roman"/>
      </rPr>
      <t>他们两个人的</t>
    </r>
    <r>
      <rPr>
        <b/>
        <sz val="11"/>
        <color rgb="FF000000"/>
        <rFont val="Times New Roman"/>
      </rPr>
      <t>关系</t>
    </r>
    <r>
      <rPr>
        <sz val="11"/>
        <color rgb="FF000000"/>
        <rFont val="Times New Roman"/>
      </rPr>
      <t>非常亲密。</t>
    </r>
  </si>
  <si>
    <r>
      <rPr>
        <sz val="11"/>
        <color rgb="FF000000"/>
        <rFont val="Times New Roman"/>
      </rPr>
      <t>把东西捐给</t>
    </r>
    <r>
      <rPr>
        <b/>
        <sz val="11"/>
        <color rgb="FF000000"/>
        <rFont val="Times New Roman"/>
      </rPr>
      <t>别人</t>
    </r>
    <r>
      <rPr>
        <sz val="11"/>
        <color rgb="FF000000"/>
        <rFont val="Times New Roman"/>
      </rPr>
      <t>是一件很有意义的事情。</t>
    </r>
  </si>
  <si>
    <t>词语</t>
  </si>
  <si>
    <t>&lt;ruby&gt;词语&lt;rt&gt;cíyǔ&lt;/rt&gt;&lt;/ruby&gt;</t>
  </si>
  <si>
    <t>cíyǔ</t>
  </si>
  <si>
    <t>Từ ngữ</t>
  </si>
  <si>
    <r>
      <rPr>
        <sz val="11"/>
        <color rgb="FF000000"/>
        <rFont val="Times New Roman"/>
      </rPr>
      <t>我学到了很多新的</t>
    </r>
    <r>
      <rPr>
        <b/>
        <sz val="11"/>
        <color rgb="FF000000"/>
        <rFont val="Times New Roman"/>
      </rPr>
      <t>词语</t>
    </r>
    <r>
      <rPr>
        <sz val="11"/>
        <color rgb="FF000000"/>
        <rFont val="Times New Roman"/>
      </rPr>
      <t>。</t>
    </r>
  </si>
  <si>
    <t>Wǒ xué dào le hěn duō xīn de cíyǔ.</t>
  </si>
  <si>
    <t>Tôi học được rất nhiều từ ngữ mới.</t>
  </si>
  <si>
    <t>H3_B16_BG-06.gif</t>
  </si>
  <si>
    <t>皮鞋</t>
  </si>
  <si>
    <t>&lt;ruby&gt;皮鞋&lt;rt&gt;píxié&lt;/rt&gt;&lt;/ruby&gt;</t>
  </si>
  <si>
    <t>píxié</t>
  </si>
  <si>
    <t>Giày da</t>
  </si>
  <si>
    <r>
      <rPr>
        <sz val="11"/>
        <color rgb="FF000000"/>
        <rFont val="Times New Roman"/>
      </rPr>
      <t>最近</t>
    </r>
    <r>
      <rPr>
        <b/>
        <sz val="11"/>
        <color rgb="FF000000"/>
        <rFont val="Times New Roman"/>
      </rPr>
      <t>皮鞋</t>
    </r>
    <r>
      <rPr>
        <sz val="11"/>
        <color rgb="FF000000"/>
        <rFont val="Times New Roman"/>
      </rPr>
      <t>特别流行。</t>
    </r>
  </si>
  <si>
    <t>Zuìjìn píxié tèbié liúxíng.</t>
  </si>
  <si>
    <t>Dạo này giày da rất thịnh hành.</t>
  </si>
  <si>
    <t>H3_B16_BG-07.gif</t>
  </si>
  <si>
    <t>帽子</t>
  </si>
  <si>
    <t>&lt;ruby&gt;帽子&lt;rt&gt;màozi&lt;/rt&gt;&lt;/ruby&gt;</t>
  </si>
  <si>
    <t>màozi</t>
  </si>
  <si>
    <t>Mũ, nón</t>
  </si>
  <si>
    <r>
      <rPr>
        <sz val="11"/>
        <color rgb="FF000000"/>
        <rFont val="Times New Roman"/>
      </rPr>
      <t>我刚买了一顶新</t>
    </r>
    <r>
      <rPr>
        <b/>
        <sz val="11"/>
        <color rgb="FF000000"/>
        <rFont val="Times New Roman"/>
      </rPr>
      <t>帽子</t>
    </r>
    <r>
      <rPr>
        <sz val="11"/>
        <color rgb="FF000000"/>
        <rFont val="Times New Roman"/>
      </rPr>
      <t>。</t>
    </r>
  </si>
  <si>
    <t>Wǒ gāng mǎi le yī dǐng xīn màozi.</t>
  </si>
  <si>
    <t>Tôi vừa mua một chiếc mũ mới.</t>
  </si>
  <si>
    <t>H3_B16_BG-08.gif</t>
  </si>
  <si>
    <t>Trưởng thành, lớn lên</t>
  </si>
  <si>
    <r>
      <rPr>
        <sz val="11"/>
        <color rgb="FF000000"/>
        <rFont val="Times New Roman"/>
      </rPr>
      <t>好久不见，你看起来</t>
    </r>
    <r>
      <rPr>
        <b/>
        <sz val="11"/>
        <color rgb="FF000000"/>
        <rFont val="Times New Roman"/>
      </rPr>
      <t>长</t>
    </r>
    <r>
      <rPr>
        <sz val="11"/>
        <color rgb="FF000000"/>
        <rFont val="Times New Roman"/>
      </rPr>
      <t>大了不少。</t>
    </r>
  </si>
  <si>
    <t>Hǎojiǔ bùjiàn, nǐ kàn qǐlái zhǎng dà le bù shǎo.</t>
  </si>
  <si>
    <t>Lâu rồi không gặp, trông cậu nhìn trưởng thành hơn xưa nhỉ.</t>
  </si>
  <si>
    <t>H3_B16_BG-09.gif</t>
  </si>
  <si>
    <r>
      <rPr>
        <sz val="11"/>
        <color rgb="FF000000"/>
        <rFont val="Times New Roman"/>
      </rPr>
      <t>这个小女孩真是太</t>
    </r>
    <r>
      <rPr>
        <b/>
        <sz val="11"/>
        <color rgb="FF000000"/>
        <rFont val="Times New Roman"/>
      </rPr>
      <t>可爱</t>
    </r>
    <r>
      <rPr>
        <sz val="11"/>
        <color rgb="FF000000"/>
        <rFont val="Times New Roman"/>
      </rPr>
      <t>了。</t>
    </r>
  </si>
  <si>
    <r>
      <rPr>
        <sz val="11"/>
        <color rgb="FF000000"/>
        <rFont val="Times New Roman"/>
      </rPr>
      <t>我的身高是一</t>
    </r>
    <r>
      <rPr>
        <b/>
        <sz val="11"/>
        <color rgb="FF000000"/>
        <rFont val="Times New Roman"/>
      </rPr>
      <t>米</t>
    </r>
    <r>
      <rPr>
        <sz val="11"/>
        <color rgb="FF000000"/>
        <rFont val="Times New Roman"/>
      </rPr>
      <t>八。</t>
    </r>
  </si>
  <si>
    <t>Wǒ de shēngāo shì yī mǐ bā.</t>
  </si>
  <si>
    <t>Tôi cao 1m8.</t>
  </si>
  <si>
    <t>H3_B16_BG-11.gif</t>
  </si>
  <si>
    <t>Kilogram</t>
  </si>
  <si>
    <r>
      <rPr>
        <sz val="11"/>
        <color rgb="FF000000"/>
        <rFont val="Times New Roman"/>
      </rPr>
      <t>这个柚子差不多有一</t>
    </r>
    <r>
      <rPr>
        <b/>
        <sz val="11"/>
        <color rgb="FF000000"/>
        <rFont val="Times New Roman"/>
      </rPr>
      <t>公斤</t>
    </r>
    <r>
      <rPr>
        <sz val="11"/>
        <color rgb="FF000000"/>
        <rFont val="Times New Roman"/>
      </rPr>
      <t>重。</t>
    </r>
  </si>
  <si>
    <t>Zhè gè yòuzi chàbuduō yǒu yī gōngjīn zhòng.</t>
  </si>
  <si>
    <t>Quả bưởi này này nặng gần 1kg.</t>
  </si>
  <si>
    <t>H3_B16_BG-12.gif</t>
  </si>
  <si>
    <t>鼻子</t>
  </si>
  <si>
    <t>&lt;ruby&gt;鼻子&lt;rt&gt;bízi&lt;/rt&gt;&lt;/ruby&gt;</t>
  </si>
  <si>
    <t>bízi</t>
  </si>
  <si>
    <t>Mũi</t>
  </si>
  <si>
    <r>
      <rPr>
        <sz val="11"/>
        <color rgb="FF000000"/>
        <rFont val="Times New Roman"/>
      </rPr>
      <t>她的</t>
    </r>
    <r>
      <rPr>
        <b/>
        <sz val="11"/>
        <color rgb="FF000000"/>
        <rFont val="Times New Roman"/>
      </rPr>
      <t>鼻子</t>
    </r>
    <r>
      <rPr>
        <sz val="11"/>
        <color rgb="FF000000"/>
        <rFont val="Times New Roman"/>
      </rPr>
      <t>又高又挺。</t>
    </r>
  </si>
  <si>
    <t>Tā de bízi yòu gāo yòu tǐng.</t>
  </si>
  <si>
    <t>Mũi của cô ấy rất cao.</t>
  </si>
  <si>
    <t>H3_B16_BG-13.gif</t>
  </si>
  <si>
    <r>
      <rPr>
        <sz val="11"/>
        <color rgb="FF000000"/>
        <rFont val="Times New Roman"/>
      </rPr>
      <t>她的</t>
    </r>
    <r>
      <rPr>
        <b/>
        <sz val="11"/>
        <color rgb="FF000000"/>
        <rFont val="Times New Roman"/>
      </rPr>
      <t>头发</t>
    </r>
    <r>
      <rPr>
        <sz val="11"/>
        <color rgb="FF000000"/>
        <rFont val="Times New Roman"/>
      </rPr>
      <t>又长又顺。</t>
    </r>
  </si>
  <si>
    <t>刷牙</t>
  </si>
  <si>
    <t>&lt;ruby&gt;刷牙&lt;rt&gt;shuā yá&lt;/rt&gt;&lt;/ruby&gt;</t>
  </si>
  <si>
    <t>shuā yá</t>
  </si>
  <si>
    <t>Chải răng</t>
  </si>
  <si>
    <r>
      <rPr>
        <sz val="11"/>
        <color rgb="FF000000"/>
        <rFont val="Times New Roman"/>
      </rPr>
      <t>我每天早晚都会</t>
    </r>
    <r>
      <rPr>
        <b/>
        <sz val="11"/>
        <color rgb="FF000000"/>
        <rFont val="Times New Roman"/>
      </rPr>
      <t>刷牙</t>
    </r>
    <r>
      <rPr>
        <sz val="11"/>
        <color rgb="FF000000"/>
        <rFont val="Times New Roman"/>
      </rPr>
      <t>。</t>
    </r>
  </si>
  <si>
    <t>Wǒ měitiān zǎo wǎn dū huì shuāyá.</t>
  </si>
  <si>
    <t>Tôi đánh răng hai lần mỗi ngày.</t>
  </si>
  <si>
    <t>H3_B16_BG-15.gif</t>
  </si>
  <si>
    <r>
      <rPr>
        <sz val="11"/>
        <color rgb="FF000000"/>
        <rFont val="Times New Roman"/>
      </rPr>
      <t>我生病了，今天得去医院</t>
    </r>
    <r>
      <rPr>
        <b/>
        <sz val="11"/>
        <color rgb="FF000000"/>
        <rFont val="Times New Roman"/>
      </rPr>
      <t>检查</t>
    </r>
    <r>
      <rPr>
        <sz val="11"/>
        <color rgb="FF000000"/>
        <rFont val="Times New Roman"/>
      </rPr>
      <t>一下。</t>
    </r>
  </si>
  <si>
    <r>
      <rPr>
        <sz val="11"/>
        <color rgb="FF000000"/>
        <rFont val="Calibri"/>
      </rPr>
      <t>我因为摔断了手，向公司</t>
    </r>
    <r>
      <rPr>
        <b/>
        <sz val="11"/>
        <color rgb="FF000000"/>
        <rFont val="Calibri"/>
      </rPr>
      <t>请假</t>
    </r>
    <r>
      <rPr>
        <sz val="11"/>
        <color rgb="FF000000"/>
        <rFont val="Calibri"/>
      </rPr>
      <t>几天。</t>
    </r>
  </si>
  <si>
    <r>
      <rPr>
        <sz val="11"/>
        <color rgb="FF000000"/>
        <rFont val="Calibri"/>
      </rPr>
      <t>这些东西</t>
    </r>
    <r>
      <rPr>
        <b/>
        <sz val="11"/>
        <color rgb="FF000000"/>
        <rFont val="Calibri"/>
      </rPr>
      <t>一共</t>
    </r>
    <r>
      <rPr>
        <sz val="11"/>
        <color rgb="FF000000"/>
        <rFont val="Calibri"/>
      </rPr>
      <t>花了八百五十万越南盾。</t>
    </r>
  </si>
  <si>
    <r>
      <rPr>
        <sz val="11"/>
        <color rgb="FF000000"/>
        <rFont val="Calibri"/>
      </rPr>
      <t>我孙女以前种在院子里的种子，</t>
    </r>
    <r>
      <rPr>
        <b/>
        <sz val="11"/>
        <color rgb="FF000000"/>
        <rFont val="Calibri"/>
      </rPr>
      <t>后来</t>
    </r>
    <r>
      <rPr>
        <sz val="11"/>
        <color rgb="FF000000"/>
        <rFont val="Calibri"/>
      </rPr>
      <t>长成了一棵大树。</t>
    </r>
  </si>
  <si>
    <r>
      <rPr>
        <sz val="11"/>
        <color rgb="FF000000"/>
        <rFont val="Calibri"/>
      </rPr>
      <t>他正在想</t>
    </r>
    <r>
      <rPr>
        <b/>
        <sz val="11"/>
        <color rgb="FF000000"/>
        <rFont val="Calibri"/>
      </rPr>
      <t>办法</t>
    </r>
    <r>
      <rPr>
        <sz val="11"/>
        <color rgb="FF000000"/>
        <rFont val="Calibri"/>
      </rPr>
      <t>降温，因为外面太热了。</t>
    </r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</si>
  <si>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决定</t>
    </r>
    <r>
      <rPr>
        <sz val="11"/>
        <color rgb="FF000000"/>
        <rFont val="Calibri"/>
      </rPr>
      <t>每天锻炼身体。</t>
    </r>
  </si>
  <si>
    <r>
      <rPr>
        <sz val="11"/>
        <color rgb="FF000000"/>
        <rFont val="Calibri"/>
      </rPr>
      <t>在骑自行车和游泳之间，我</t>
    </r>
    <r>
      <rPr>
        <b/>
        <sz val="11"/>
        <color rgb="FF000000"/>
        <rFont val="Calibri"/>
      </rPr>
      <t>选择</t>
    </r>
    <r>
      <rPr>
        <sz val="11"/>
        <color rgb="FF000000"/>
        <rFont val="Calibri"/>
      </rPr>
      <t>了骑自行车。</t>
    </r>
  </si>
  <si>
    <t>冬（天）</t>
  </si>
  <si>
    <t>&lt;ruby&gt;冬（天）&lt;rt&gt;dōng (tiān)&lt;/rt&gt;&lt;/ruby&gt;</t>
  </si>
  <si>
    <t>dōng (tiān)</t>
  </si>
  <si>
    <t>(Mùa) đông</t>
  </si>
  <si>
    <r>
      <rPr>
        <sz val="11"/>
        <color rgb="FF000000"/>
        <rFont val="Calibri"/>
      </rPr>
      <t>北京的</t>
    </r>
    <r>
      <rPr>
        <b/>
        <sz val="11"/>
        <color rgb="FF000000"/>
        <rFont val="Calibri"/>
      </rPr>
      <t>冬天</t>
    </r>
    <r>
      <rPr>
        <sz val="11"/>
        <color rgb="FF000000"/>
        <rFont val="Calibri"/>
      </rPr>
      <t>比我想象的要冷。</t>
    </r>
  </si>
  <si>
    <t>Běijīng de dōngtiān bǐ wǒ xiǎngxiàng de yào lěng.</t>
  </si>
  <si>
    <t>Mùa đông ở Bắc Kinh lạnh hơn tôi nghĩ.</t>
  </si>
  <si>
    <t>H3_B17_BG-07.gif</t>
  </si>
  <si>
    <r>
      <rPr>
        <sz val="11"/>
        <color rgb="FF000000"/>
        <rFont val="Calibri"/>
      </rPr>
      <t>我们</t>
    </r>
    <r>
      <rPr>
        <b/>
        <sz val="11"/>
        <color rgb="FF000000"/>
        <rFont val="Calibri"/>
      </rPr>
      <t>必须</t>
    </r>
    <r>
      <rPr>
        <sz val="11"/>
        <color rgb="FF000000"/>
        <rFont val="Calibri"/>
      </rPr>
      <t>想办法减少环境污染。</t>
    </r>
  </si>
  <si>
    <r>
      <rPr>
        <sz val="10"/>
        <color theme="1"/>
        <rFont val="Arial"/>
      </rPr>
      <t>今天他邀请了</t>
    </r>
    <r>
      <rPr>
        <b/>
        <sz val="10"/>
        <color theme="1"/>
        <rFont val="Arial"/>
      </rPr>
      <t>邻居</t>
    </r>
    <r>
      <rPr>
        <sz val="10"/>
        <color theme="1"/>
        <rFont val="Arial"/>
      </rPr>
      <t>过来玩。</t>
    </r>
  </si>
  <si>
    <r>
      <rPr>
        <sz val="11"/>
        <color rgb="FF000000"/>
        <rFont val="Calibri"/>
      </rPr>
      <t>她的</t>
    </r>
    <r>
      <rPr>
        <b/>
        <sz val="11"/>
        <color rgb="FF000000"/>
        <rFont val="Calibri"/>
      </rPr>
      <t>爱好</t>
    </r>
    <r>
      <rPr>
        <sz val="11"/>
        <color rgb="FF000000"/>
        <rFont val="Calibri"/>
      </rPr>
      <t>是购物。</t>
    </r>
  </si>
  <si>
    <r>
      <rPr>
        <b/>
        <sz val="11"/>
        <color rgb="FF000000"/>
        <rFont val="Calibri"/>
      </rPr>
      <t>为了</t>
    </r>
    <r>
      <rPr>
        <sz val="11"/>
        <color rgb="FF000000"/>
        <rFont val="Calibri"/>
      </rPr>
      <t>赚点零花钱，他每天帮妈妈打扫房间。</t>
    </r>
  </si>
  <si>
    <r>
      <rPr>
        <b/>
        <sz val="11"/>
        <color rgb="FF000000"/>
        <rFont val="Calibri"/>
      </rPr>
      <t>根据</t>
    </r>
    <r>
      <rPr>
        <sz val="11"/>
        <color rgb="FF000000"/>
        <rFont val="Calibri"/>
      </rPr>
      <t>他的穿着，我能猜到他是客服人员。</t>
    </r>
  </si>
  <si>
    <t>情况</t>
  </si>
  <si>
    <t>&lt;ruby&gt;情况&lt;rt&gt;qíngkuàng&lt;/rt&gt;&lt;/ruby&gt;</t>
  </si>
  <si>
    <t>qíngkuàng</t>
  </si>
  <si>
    <t>Tình hình, tình trạng</t>
  </si>
  <si>
    <r>
      <rPr>
        <sz val="11"/>
        <color rgb="FF000000"/>
        <rFont val="Calibri"/>
      </rPr>
      <t>我们需要进一步了解</t>
    </r>
    <r>
      <rPr>
        <b/>
        <sz val="11"/>
        <color rgb="FF000000"/>
        <rFont val="Calibri"/>
      </rPr>
      <t>情况</t>
    </r>
    <r>
      <rPr>
        <sz val="11"/>
        <color rgb="FF000000"/>
        <rFont val="Calibri"/>
      </rPr>
      <t>。</t>
    </r>
  </si>
  <si>
    <t>Wǒmen xūyào jìnyībù liǎojiě qíngkuàng.</t>
  </si>
  <si>
    <t>Chúng tôi cần hiểu thêm về tình hình.</t>
  </si>
  <si>
    <t>H3_B17_BG-13.gif</t>
  </si>
  <si>
    <r>
      <rPr>
        <sz val="11"/>
        <color rgb="FF000000"/>
        <rFont val="Calibri"/>
      </rPr>
      <t>大家都吃得很</t>
    </r>
    <r>
      <rPr>
        <b/>
        <sz val="11"/>
        <color rgb="FF000000"/>
        <rFont val="Calibri"/>
      </rPr>
      <t>饱</t>
    </r>
    <r>
      <rPr>
        <sz val="11"/>
        <color rgb="FF000000"/>
        <rFont val="Calibri"/>
      </rPr>
      <t>，非常满足。</t>
    </r>
  </si>
  <si>
    <r>
      <rPr>
        <sz val="11"/>
        <color rgb="FF000000"/>
        <rFont val="Calibri"/>
      </rPr>
      <t>请张开</t>
    </r>
    <r>
      <rPr>
        <b/>
        <sz val="11"/>
        <color rgb="FF000000"/>
        <rFont val="Calibri"/>
      </rPr>
      <t>口</t>
    </r>
    <r>
      <rPr>
        <sz val="11"/>
        <color rgb="FF000000"/>
        <rFont val="Calibri"/>
      </rPr>
      <t>我看看。</t>
    </r>
  </si>
  <si>
    <t>Qǐng zhāngkāi kǒu wǒ kànkan.</t>
  </si>
  <si>
    <t>Hãy mở miệng ra cho tôi xem.</t>
  </si>
  <si>
    <t>H3_B17_BG-15.gif</t>
  </si>
  <si>
    <r>
      <rPr>
        <sz val="11"/>
        <color rgb="FF000000"/>
        <rFont val="Calibri"/>
      </rPr>
      <t>半天没喝水，</t>
    </r>
    <r>
      <rPr>
        <b/>
        <sz val="11"/>
        <color rgb="FF000000"/>
        <rFont val="Calibri"/>
      </rPr>
      <t>渴</t>
    </r>
    <r>
      <rPr>
        <sz val="11"/>
        <color rgb="FF000000"/>
        <rFont val="Calibri"/>
      </rPr>
      <t>极了。</t>
    </r>
  </si>
  <si>
    <t>&lt;ruby&gt;只&lt;rt&gt;zhī&lt;/rt&gt;&lt;/ruby&gt;</t>
  </si>
  <si>
    <t>zhī</t>
  </si>
  <si>
    <r>
      <rPr>
        <i/>
        <sz val="10"/>
        <color theme="1"/>
        <rFont val="Times New Roman"/>
      </rPr>
      <t xml:space="preserve">(được dùng cho động vật) </t>
    </r>
    <r>
      <rPr>
        <sz val="10"/>
        <color theme="1"/>
        <rFont val="Times New Roman"/>
      </rPr>
      <t>Con</t>
    </r>
  </si>
  <si>
    <r>
      <rPr>
        <sz val="11"/>
        <color rgb="FF000000"/>
        <rFont val="Calibri"/>
      </rPr>
      <t>这</t>
    </r>
    <r>
      <rPr>
        <b/>
        <sz val="11"/>
        <color rgb="FF000000"/>
        <rFont val="Calibri"/>
      </rPr>
      <t>只</t>
    </r>
    <r>
      <rPr>
        <sz val="11"/>
        <color rgb="FF000000"/>
        <rFont val="Calibri"/>
      </rPr>
      <t>鸟有一身黄色的羽毛。</t>
    </r>
  </si>
  <si>
    <t>Zhè zhī niǎo yǒu yī shēn huángsè de yǔmáo.</t>
  </si>
  <si>
    <t>Con chim này có bộ lông màu vàng</t>
  </si>
  <si>
    <t>H3_B18_BG-01.gif</t>
  </si>
  <si>
    <r>
      <rPr>
        <sz val="11"/>
        <color rgb="FF000000"/>
        <rFont val="Calibri"/>
      </rPr>
      <t>他张开</t>
    </r>
    <r>
      <rPr>
        <b/>
        <sz val="11"/>
        <color rgb="FF000000"/>
        <rFont val="Calibri"/>
      </rPr>
      <t>嘴</t>
    </r>
    <r>
      <rPr>
        <sz val="11"/>
        <color rgb="FF000000"/>
        <rFont val="Calibri"/>
      </rPr>
      <t>大声说话。</t>
    </r>
  </si>
  <si>
    <r>
      <rPr>
        <sz val="11"/>
        <color rgb="FF000000"/>
        <rFont val="Calibri"/>
      </rPr>
      <t>自然界中有很多种</t>
    </r>
    <r>
      <rPr>
        <b/>
        <sz val="11"/>
        <color rgb="FF000000"/>
        <rFont val="Calibri"/>
      </rPr>
      <t>动物</t>
    </r>
    <r>
      <rPr>
        <sz val="11"/>
        <color rgb="FF000000"/>
        <rFont val="Calibri"/>
      </rPr>
      <t>。</t>
    </r>
  </si>
  <si>
    <t>特点</t>
  </si>
  <si>
    <t>&lt;ruby&gt;特点&lt;rt&gt;tèdiǎn&lt;/rt&gt;&lt;/ruby&gt;</t>
  </si>
  <si>
    <t>tèdiǎn</t>
  </si>
  <si>
    <t>Đặc điểm</t>
  </si>
  <si>
    <r>
      <rPr>
        <sz val="11"/>
        <color rgb="FF000000"/>
        <rFont val="Calibri"/>
      </rPr>
      <t>售货员正在介绍产品的</t>
    </r>
    <r>
      <rPr>
        <b/>
        <sz val="11"/>
        <color rgb="FF000000"/>
        <rFont val="Calibri"/>
      </rPr>
      <t>特点</t>
    </r>
    <r>
      <rPr>
        <sz val="11"/>
        <color rgb="FF000000"/>
        <rFont val="Calibri"/>
      </rPr>
      <t>。</t>
    </r>
  </si>
  <si>
    <t>Shòuhuòyuán zhèngzài jièshào chǎnpǐn de tèdiǎn.</t>
  </si>
  <si>
    <t>nhân viên bán hàng đang giới thiệu đặc điểm của sản phẩm</t>
  </si>
  <si>
    <t>H3_B18_BG-04.gif</t>
  </si>
  <si>
    <r>
      <rPr>
        <sz val="11"/>
        <color rgb="FF000000"/>
        <rFont val="Calibri"/>
      </rPr>
      <t>他喜欢穿</t>
    </r>
    <r>
      <rPr>
        <b/>
        <sz val="11"/>
        <color rgb="FF000000"/>
        <rFont val="Calibri"/>
      </rPr>
      <t>奇怪</t>
    </r>
    <r>
      <rPr>
        <sz val="11"/>
        <color rgb="FF000000"/>
        <rFont val="Calibri"/>
      </rPr>
      <t>的衣服。</t>
    </r>
  </si>
  <si>
    <r>
      <rPr>
        <sz val="11"/>
        <color rgb="FF000000"/>
        <rFont val="Calibri"/>
      </rPr>
      <t>他刚捡到了两</t>
    </r>
    <r>
      <rPr>
        <b/>
        <sz val="11"/>
        <color rgb="FF000000"/>
        <rFont val="Calibri"/>
      </rPr>
      <t>段</t>
    </r>
    <r>
      <rPr>
        <sz val="11"/>
        <color rgb="FF000000"/>
        <rFont val="Calibri"/>
      </rPr>
      <t>木头。</t>
    </r>
  </si>
  <si>
    <r>
      <rPr>
        <sz val="11"/>
        <color rgb="FF000000"/>
        <rFont val="Calibri"/>
      </rPr>
      <t>我们发现了一</t>
    </r>
    <r>
      <rPr>
        <b/>
        <sz val="11"/>
        <color rgb="FF000000"/>
        <rFont val="Calibri"/>
      </rPr>
      <t>种</t>
    </r>
    <r>
      <rPr>
        <sz val="11"/>
        <color rgb="FF000000"/>
        <rFont val="Calibri"/>
      </rPr>
      <t>新鱼类。</t>
    </r>
  </si>
  <si>
    <r>
      <rPr>
        <sz val="10"/>
        <color theme="1"/>
        <rFont val="Times New Roman"/>
      </rPr>
      <t xml:space="preserve">Đối với, về phía </t>
    </r>
    <r>
      <rPr>
        <i/>
        <sz val="10"/>
        <color theme="1"/>
        <rFont val="Times New Roman"/>
      </rPr>
      <t>(chỉ hướng của hành động)</t>
    </r>
  </si>
  <si>
    <r>
      <rPr>
        <sz val="11"/>
        <color rgb="FF000000"/>
        <rFont val="Calibri"/>
      </rPr>
      <t>他们</t>
    </r>
    <r>
      <rPr>
        <b/>
        <sz val="11"/>
        <color rgb="FF000000"/>
        <rFont val="Calibri"/>
      </rPr>
      <t>向</t>
    </r>
    <r>
      <rPr>
        <sz val="11"/>
        <color rgb="FF000000"/>
        <rFont val="Calibri"/>
      </rPr>
      <t>前走。</t>
    </r>
  </si>
  <si>
    <t>万</t>
  </si>
  <si>
    <t>Vạn, mười nghìn</t>
  </si>
  <si>
    <r>
      <rPr>
        <sz val="11"/>
        <color rgb="FF000000"/>
        <rFont val="Calibri"/>
      </rPr>
      <t>家里有一</t>
    </r>
    <r>
      <rPr>
        <b/>
        <sz val="11"/>
        <color rgb="FF000000"/>
        <rFont val="Calibri"/>
      </rPr>
      <t>万</t>
    </r>
    <r>
      <rPr>
        <sz val="11"/>
        <color rgb="FF000000"/>
        <rFont val="Calibri"/>
      </rPr>
      <t>块钱。</t>
    </r>
  </si>
  <si>
    <t>Jiālǐ yǒu yī wàn kuài qián.</t>
  </si>
  <si>
    <t>Trong nhà có vạn tệ.</t>
  </si>
  <si>
    <t>H3_B18_BG-09.gif</t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</si>
  <si>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不但</t>
    </r>
    <r>
      <rPr>
        <sz val="11"/>
        <color rgb="FF000000"/>
        <rFont val="Calibri"/>
      </rPr>
      <t>漂亮，而且聪明。</t>
    </r>
  </si>
  <si>
    <r>
      <rPr>
        <sz val="11"/>
        <color rgb="FF000000"/>
        <rFont val="Calibri"/>
      </rPr>
      <t>他不但跑得快，</t>
    </r>
    <r>
      <rPr>
        <b/>
        <sz val="11"/>
        <color rgb="FF000000"/>
        <rFont val="Calibri"/>
      </rPr>
      <t>而且</t>
    </r>
    <r>
      <rPr>
        <sz val="11"/>
        <color rgb="FF000000"/>
        <rFont val="Calibri"/>
      </rPr>
      <t>游泳很好。</t>
    </r>
  </si>
  <si>
    <r>
      <rPr>
        <sz val="11"/>
        <color rgb="FF000000"/>
        <rFont val="Calibri"/>
      </rPr>
      <t>长城是中国</t>
    </r>
    <r>
      <rPr>
        <b/>
        <sz val="11"/>
        <color rgb="FF000000"/>
        <rFont val="Calibri"/>
      </rPr>
      <t>有名</t>
    </r>
    <r>
      <rPr>
        <sz val="11"/>
        <color rgb="FF000000"/>
        <rFont val="Calibri"/>
      </rPr>
      <t>的旅游景点之一。</t>
    </r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</si>
  <si>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同意</t>
    </r>
    <r>
      <rPr>
        <sz val="11"/>
        <color rgb="FF000000"/>
        <rFont val="Calibri"/>
      </rPr>
      <t>我的意见。</t>
    </r>
  </si>
  <si>
    <r>
      <rPr>
        <sz val="11"/>
        <color rgb="FF000000"/>
        <rFont val="Calibri"/>
      </rPr>
      <t>我们应该</t>
    </r>
    <r>
      <rPr>
        <b/>
        <sz val="11"/>
        <color rgb="FF000000"/>
        <rFont val="Calibri"/>
      </rPr>
      <t>相信</t>
    </r>
    <r>
      <rPr>
        <sz val="11"/>
        <color rgb="FF000000"/>
        <rFont val="Calibri"/>
      </rPr>
      <t>科学。</t>
    </r>
  </si>
  <si>
    <r>
      <rPr>
        <sz val="11"/>
        <color rgb="FF000000"/>
        <rFont val="Calibri"/>
      </rPr>
      <t>我和同事正在讨论</t>
    </r>
    <r>
      <rPr>
        <b/>
        <sz val="11"/>
        <color rgb="FF000000"/>
        <rFont val="Calibri"/>
      </rPr>
      <t>关于</t>
    </r>
    <r>
      <rPr>
        <sz val="11"/>
        <color rgb="FF000000"/>
        <rFont val="Calibri"/>
      </rPr>
      <t>新项目的事情。</t>
    </r>
  </si>
  <si>
    <r>
      <rPr>
        <sz val="11"/>
        <color rgb="FF000000"/>
        <rFont val="Calibri"/>
      </rPr>
      <t>学习是打开未来更多</t>
    </r>
    <r>
      <rPr>
        <b/>
        <sz val="11"/>
        <color rgb="FF000000"/>
        <rFont val="Calibri"/>
      </rPr>
      <t>机会</t>
    </r>
    <r>
      <rPr>
        <sz val="11"/>
        <color rgb="FF000000"/>
        <rFont val="Calibri"/>
      </rPr>
      <t>的方式。</t>
    </r>
  </si>
  <si>
    <r>
      <rPr>
        <sz val="11"/>
        <color rgb="FF000000"/>
        <rFont val="Calibri"/>
      </rPr>
      <t>中国是一个幅员辽阔的</t>
    </r>
    <r>
      <rPr>
        <b/>
        <sz val="11"/>
        <color rgb="FF000000"/>
        <rFont val="Calibri"/>
      </rPr>
      <t>国家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</si>
  <si>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 xml:space="preserve"> 她高兴</t>
    </r>
    <r>
      <rPr>
        <b/>
        <sz val="11"/>
        <color rgb="FF000000"/>
        <rFont val="Calibri"/>
      </rPr>
      <t>地</t>
    </r>
    <r>
      <rPr>
        <sz val="11"/>
        <color rgb="FF000000"/>
        <rFont val="Calibri"/>
      </rPr>
      <t>笑着。</t>
    </r>
  </si>
  <si>
    <r>
      <rPr>
        <sz val="11"/>
        <color rgb="FF000000"/>
        <rFont val="Calibri"/>
      </rPr>
      <t>兔子有一双又长又白的</t>
    </r>
    <r>
      <rPr>
        <b/>
        <sz val="11"/>
        <color rgb="FF000000"/>
        <rFont val="Calibri"/>
      </rPr>
      <t>耳朵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</si>
  <si>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大象的</t>
    </r>
    <r>
      <rPr>
        <b/>
        <sz val="11"/>
        <color rgb="FF000000"/>
        <rFont val="Calibri"/>
      </rPr>
      <t>脸</t>
    </r>
    <r>
      <rPr>
        <sz val="11"/>
        <color rgb="FF000000"/>
        <rFont val="Calibri"/>
      </rPr>
      <t>上戴着一张红色的面具。</t>
    </r>
  </si>
  <si>
    <r>
      <rPr>
        <sz val="11"/>
        <color rgb="FF000000"/>
        <rFont val="Calibri"/>
      </rPr>
      <t>这件衣服太</t>
    </r>
    <r>
      <rPr>
        <b/>
        <sz val="11"/>
        <color rgb="FF000000"/>
        <rFont val="Calibri"/>
      </rPr>
      <t>短</t>
    </r>
    <r>
      <rPr>
        <sz val="11"/>
        <color rgb="FF000000"/>
        <rFont val="Calibri"/>
      </rPr>
      <t>，不合适。</t>
    </r>
  </si>
  <si>
    <t>马</t>
  </si>
  <si>
    <r>
      <rPr>
        <sz val="11"/>
        <color rgb="FF000000"/>
        <rFont val="Calibri"/>
      </rPr>
      <t>这匹</t>
    </r>
    <r>
      <rPr>
        <b/>
        <sz val="11"/>
        <color rgb="FF000000"/>
        <rFont val="Calibri"/>
      </rPr>
      <t>马</t>
    </r>
    <r>
      <rPr>
        <sz val="11"/>
        <color rgb="FF000000"/>
        <rFont val="Calibri"/>
      </rPr>
      <t>跑得很快。</t>
    </r>
  </si>
  <si>
    <t>Zhè pǐ mǎ pǎo de hěn kuài.</t>
  </si>
  <si>
    <t>Con ngựa này chạy rất nhanh.</t>
  </si>
  <si>
    <t>H3_B19_BG-04.gif</t>
  </si>
  <si>
    <t>H3_B19_4.mp3</t>
  </si>
  <si>
    <t>H3_B19_VD_4.mp3</t>
  </si>
  <si>
    <r>
      <rPr>
        <sz val="11"/>
        <color rgb="FF000000"/>
        <rFont val="Calibri"/>
      </rPr>
      <t>我喜欢这件</t>
    </r>
    <r>
      <rPr>
        <b/>
        <sz val="11"/>
        <color rgb="FF000000"/>
        <rFont val="Calibri"/>
      </rPr>
      <t>蓝</t>
    </r>
    <r>
      <rPr>
        <sz val="11"/>
        <color rgb="FF000000"/>
        <rFont val="Calibri"/>
      </rPr>
      <t>色的衣服。</t>
    </r>
  </si>
  <si>
    <t>秋（天）</t>
  </si>
  <si>
    <t>&lt;ruby&gt;秋（天）&lt;rt&gt;qiū (tiān)&lt;/rt&gt;&lt;/ruby&gt;</t>
  </si>
  <si>
    <t>qiū (tiān)</t>
  </si>
  <si>
    <t>(Mùa) thu</t>
  </si>
  <si>
    <r>
      <rPr>
        <b/>
        <sz val="11"/>
        <color rgb="FF000000"/>
        <rFont val="Calibri"/>
      </rPr>
      <t>秋天</t>
    </r>
    <r>
      <rPr>
        <sz val="11"/>
        <color rgb="FF000000"/>
        <rFont val="Calibri"/>
      </rPr>
      <t>的景色真浪漫。</t>
    </r>
  </si>
  <si>
    <t>Qiūtiān de jǐngsè zhēn làngmàn.</t>
  </si>
  <si>
    <t>Khung cảnh mùa thu thật lãng mạn.</t>
  </si>
  <si>
    <t>H3_B19_BG-06.gif</t>
  </si>
  <si>
    <t>H3_B19_6.mp3</t>
  </si>
  <si>
    <t>H3_B19_VD_6.mp3</t>
  </si>
  <si>
    <r>
      <rPr>
        <sz val="11"/>
        <color rgb="FF000000"/>
        <rFont val="Calibri"/>
      </rPr>
      <t>这种</t>
    </r>
    <r>
      <rPr>
        <b/>
        <sz val="11"/>
        <color rgb="FF000000"/>
        <rFont val="Calibri"/>
      </rPr>
      <t>鸟</t>
    </r>
    <r>
      <rPr>
        <sz val="11"/>
        <color rgb="FF000000"/>
        <rFont val="Calibri"/>
      </rPr>
      <t>很少见。</t>
    </r>
  </si>
  <si>
    <r>
      <rPr>
        <i/>
        <sz val="10"/>
        <color theme="1"/>
        <rFont val="Times New Roman"/>
      </rPr>
      <t xml:space="preserve">(được dùng cho các vật phẳng như giấy, bức ảnh...) </t>
    </r>
    <r>
      <rPr>
        <sz val="10"/>
        <color theme="1"/>
        <rFont val="Times New Roman"/>
      </rPr>
      <t>Tờ, tấm</t>
    </r>
  </si>
  <si>
    <r>
      <rPr>
        <sz val="11"/>
        <color rgb="FF000000"/>
        <rFont val="Calibri"/>
      </rPr>
      <t>黑板上有三</t>
    </r>
    <r>
      <rPr>
        <b/>
        <sz val="11"/>
        <color rgb="FF000000"/>
        <rFont val="Calibri"/>
      </rPr>
      <t>张</t>
    </r>
    <r>
      <rPr>
        <sz val="11"/>
        <color rgb="FF000000"/>
        <rFont val="Calibri"/>
      </rPr>
      <t>纸。</t>
    </r>
  </si>
  <si>
    <r>
      <rPr>
        <i/>
        <sz val="10"/>
        <color theme="1"/>
        <rFont val="Times New Roman"/>
      </rPr>
      <t>(được dùng cho người, hàm ý kính trọng)</t>
    </r>
    <r>
      <rPr>
        <sz val="10"/>
        <color theme="1"/>
        <rFont val="Times New Roman"/>
      </rPr>
      <t xml:space="preserve"> Vị</t>
    </r>
  </si>
  <si>
    <r>
      <rPr>
        <sz val="11"/>
        <color rgb="FF000000"/>
        <rFont val="Calibri"/>
      </rPr>
      <t>请两</t>
    </r>
    <r>
      <rPr>
        <b/>
        <sz val="11"/>
        <color rgb="FF000000"/>
        <rFont val="Calibri"/>
      </rPr>
      <t>位</t>
    </r>
    <r>
      <rPr>
        <sz val="11"/>
        <color rgb="FF000000"/>
        <rFont val="Calibri"/>
      </rPr>
      <t>坐这里！</t>
    </r>
  </si>
  <si>
    <r>
      <rPr>
        <sz val="11"/>
        <color rgb="FF000000"/>
        <rFont val="Calibri"/>
      </rPr>
      <t>今年我回老家</t>
    </r>
    <r>
      <rPr>
        <b/>
        <sz val="11"/>
        <color rgb="FF000000"/>
        <rFont val="Calibri"/>
      </rPr>
      <t>过</t>
    </r>
    <r>
      <rPr>
        <sz val="11"/>
        <color rgb="FF000000"/>
        <rFont val="Calibri"/>
      </rPr>
      <t>年，和父母一起庆祝。</t>
    </r>
  </si>
  <si>
    <t>Jīnnián wǒ huí lǎojiā guònián, hé fùmǔ yīqǐ qìngzhù.</t>
  </si>
  <si>
    <t>Năm nay tôi về quê đón tết cùng bố mẹ.</t>
  </si>
  <si>
    <t>H3_B19_BG-10.gif</t>
  </si>
  <si>
    <t>H3_B19_10.mp3</t>
  </si>
  <si>
    <t>H3_B19_VD_10.mp3</t>
  </si>
  <si>
    <r>
      <rPr>
        <sz val="10"/>
        <color theme="1"/>
        <rFont val="Times New Roman"/>
      </rPr>
      <t xml:space="preserve">Hoàng Hà </t>
    </r>
    <r>
      <rPr>
        <i/>
        <sz val="10"/>
        <color theme="1"/>
        <rFont val="Times New Roman"/>
      </rPr>
      <t>(con sông lớn thứ hai ở Trung Quốc)</t>
    </r>
  </si>
  <si>
    <r>
      <rPr>
        <b/>
        <sz val="11"/>
        <color rgb="FF000000"/>
        <rFont val="Calibri"/>
      </rPr>
      <t>黄河</t>
    </r>
    <r>
      <rPr>
        <sz val="11"/>
        <color rgb="FF000000"/>
        <rFont val="Calibri"/>
      </rPr>
      <t>是中国第二长的河流。</t>
    </r>
  </si>
  <si>
    <r>
      <rPr>
        <sz val="11"/>
        <color rgb="FF000000"/>
        <rFont val="Calibri"/>
      </rPr>
      <t>渔</t>
    </r>
    <r>
      <rPr>
        <b/>
        <sz val="11"/>
        <color rgb="FF000000"/>
        <rFont val="Calibri"/>
      </rPr>
      <t>船</t>
    </r>
    <r>
      <rPr>
        <sz val="11"/>
        <color rgb="FF000000"/>
        <rFont val="Calibri"/>
      </rPr>
      <t>正在海上捕鱼。</t>
    </r>
  </si>
  <si>
    <t>哭</t>
  </si>
  <si>
    <t>&lt;ruby&gt;哭&lt;rt&gt;kū&lt;/rt&gt;&lt;/ruby&gt;</t>
  </si>
  <si>
    <t>kū</t>
  </si>
  <si>
    <t>Khóc</t>
  </si>
  <si>
    <r>
      <rPr>
        <sz val="11"/>
        <color rgb="FF000000"/>
        <rFont val="Calibri"/>
      </rPr>
      <t>孩子因为摔倒了而</t>
    </r>
    <r>
      <rPr>
        <b/>
        <sz val="11"/>
        <color rgb="FF000000"/>
        <rFont val="Calibri"/>
      </rPr>
      <t>哭</t>
    </r>
    <r>
      <rPr>
        <sz val="11"/>
        <color rgb="FF000000"/>
        <rFont val="Calibri"/>
      </rPr>
      <t>了。</t>
    </r>
  </si>
  <si>
    <t>Háizi yīnwèi shuāidǎo le ér kū le.</t>
  </si>
  <si>
    <t>Đứa trẻ khóc vì bị ngã.</t>
  </si>
  <si>
    <t>H3_B19_BG-13.gif</t>
  </si>
  <si>
    <t>H3_B19_13.mp3</t>
  </si>
  <si>
    <t>H3_B19_VD_13.mp3</t>
  </si>
  <si>
    <r>
      <rPr>
        <b/>
        <sz val="11"/>
        <color rgb="FF000000"/>
        <rFont val="Calibri"/>
      </rPr>
      <t>经过</t>
    </r>
    <r>
      <rPr>
        <sz val="11"/>
        <color rgb="FF000000"/>
        <rFont val="Calibri"/>
      </rPr>
      <t>两年，我学会说汉语了。</t>
    </r>
  </si>
  <si>
    <r>
      <rPr>
        <sz val="11"/>
        <color rgb="FF000000"/>
        <rFont val="Calibri"/>
      </rPr>
      <t>我感到很</t>
    </r>
    <r>
      <rPr>
        <b/>
        <sz val="11"/>
        <color rgb="FF000000"/>
        <rFont val="Calibri"/>
      </rPr>
      <t>难过</t>
    </r>
    <r>
      <rPr>
        <sz val="11"/>
        <color rgb="FF000000"/>
        <rFont val="Calibri"/>
      </rPr>
      <t>。</t>
    </r>
  </si>
  <si>
    <r>
      <rPr>
        <sz val="11"/>
        <color rgb="FF000000"/>
        <rFont val="Calibri"/>
      </rPr>
      <t>妈妈</t>
    </r>
    <r>
      <rPr>
        <b/>
        <sz val="11"/>
        <color rgb="FF000000"/>
        <rFont val="Calibri"/>
      </rPr>
      <t>关心</t>
    </r>
    <r>
      <rPr>
        <sz val="11"/>
        <color rgb="FF000000"/>
        <rFont val="Calibri"/>
      </rPr>
      <t>儿子的学习情况。</t>
    </r>
  </si>
  <si>
    <t>只有...才...</t>
  </si>
  <si>
    <t>&lt;ruby&gt;只有...才...&lt;rt&gt;zhǐyǒu...cái...&lt;/rt&gt;&lt;/ruby&gt;</t>
  </si>
  <si>
    <t>zhǐyǒu...cái...</t>
  </si>
  <si>
    <t>Chỉ có...mới....</t>
  </si>
  <si>
    <r>
      <rPr>
        <b/>
        <sz val="11"/>
        <color rgb="FF000000"/>
        <rFont val="Calibri"/>
      </rPr>
      <t>只有</t>
    </r>
    <r>
      <rPr>
        <sz val="11"/>
        <color rgb="FF000000"/>
        <rFont val="Calibri"/>
      </rPr>
      <t>消防车</t>
    </r>
    <r>
      <rPr>
        <b/>
        <sz val="11"/>
        <color rgb="FF000000"/>
        <rFont val="Calibri"/>
      </rPr>
      <t>才</t>
    </r>
    <r>
      <rPr>
        <sz val="11"/>
        <color rgb="FF000000"/>
        <rFont val="Calibri"/>
      </rPr>
      <t>能扑灭这场大火。</t>
    </r>
  </si>
  <si>
    <t>Zhǐyǒu xiāofángchē cáinéng pūmiè zhè chǎng dàhuǒ.</t>
  </si>
  <si>
    <t>Chỉ có xe cứu hỏa mới có thể dập được đám lửa lớn này.</t>
  </si>
  <si>
    <t>H3_B20_BG-03.gif</t>
  </si>
  <si>
    <t>H3_B20_3.mp3</t>
  </si>
  <si>
    <t>H3_B20_VD_3.mp3</t>
  </si>
  <si>
    <r>
      <rPr>
        <sz val="11"/>
        <color rgb="FF000000"/>
        <rFont val="Calibri"/>
      </rPr>
      <t>他的</t>
    </r>
    <r>
      <rPr>
        <b/>
        <sz val="11"/>
        <color rgb="FF000000"/>
        <rFont val="Calibri"/>
      </rPr>
      <t>成绩</t>
    </r>
    <r>
      <rPr>
        <sz val="11"/>
        <color rgb="FF000000"/>
        <rFont val="Calibri"/>
      </rPr>
      <t>一直很优秀。</t>
    </r>
  </si>
  <si>
    <r>
      <rPr>
        <sz val="11"/>
        <color rgb="FF000000"/>
        <rFont val="Calibri"/>
      </rPr>
      <t>你应该</t>
    </r>
    <r>
      <rPr>
        <b/>
        <sz val="11"/>
        <color rgb="FF000000"/>
        <rFont val="Calibri"/>
      </rPr>
      <t>试</t>
    </r>
    <r>
      <rPr>
        <sz val="11"/>
        <color rgb="FF000000"/>
        <rFont val="Calibri"/>
      </rPr>
      <t>着学习一项新技能。</t>
    </r>
  </si>
  <si>
    <r>
      <rPr>
        <sz val="11"/>
        <color rgb="FF000000"/>
        <rFont val="Calibri"/>
      </rPr>
      <t>也许他</t>
    </r>
    <r>
      <rPr>
        <b/>
        <sz val="11"/>
        <color rgb="FF000000"/>
        <rFont val="Calibri"/>
      </rPr>
      <t>真正</t>
    </r>
    <r>
      <rPr>
        <sz val="11"/>
        <color rgb="FF000000"/>
        <rFont val="Calibri"/>
      </rPr>
      <t>因为熬夜复习而感到疲惫。</t>
    </r>
  </si>
  <si>
    <t>多么</t>
  </si>
  <si>
    <t>&lt;ruby&gt;多么&lt;rt&gt;duōme&lt;/rt&gt;&lt;/ruby&gt;</t>
  </si>
  <si>
    <t>duōme</t>
  </si>
  <si>
    <r>
      <rPr>
        <i/>
        <sz val="10"/>
        <color theme="1"/>
        <rFont val="Times New Roman"/>
      </rPr>
      <t xml:space="preserve">(mức độ tương đối cao) </t>
    </r>
    <r>
      <rPr>
        <sz val="10"/>
        <color theme="1"/>
        <rFont val="Times New Roman"/>
      </rPr>
      <t>mấy, bao nhiêu</t>
    </r>
  </si>
  <si>
    <r>
      <rPr>
        <sz val="11"/>
        <color rgb="FF000000"/>
        <rFont val="Calibri"/>
      </rPr>
      <t>无论天气</t>
    </r>
    <r>
      <rPr>
        <b/>
        <sz val="11"/>
        <color rgb="FF000000"/>
        <rFont val="Calibri"/>
      </rPr>
      <t>多么</t>
    </r>
    <r>
      <rPr>
        <sz val="11"/>
        <color rgb="FF000000"/>
        <rFont val="Calibri"/>
      </rPr>
      <t>冷，我都会去放风筝。</t>
    </r>
  </si>
  <si>
    <t>Wúlùn tiānqì duōme lěng, wǒ dōu huì qù fàng fēngzheng.</t>
  </si>
  <si>
    <t>Dù trời có lạnh đến mấy, tôi vẫn sẽ đi thả diều.</t>
  </si>
  <si>
    <t>H3_B20_BG-07.gif</t>
  </si>
  <si>
    <t>H3_B20_7.mp3</t>
  </si>
  <si>
    <t>H3_B20_VD_7.mp3</t>
  </si>
  <si>
    <t>照相机</t>
  </si>
  <si>
    <t>&lt;ruby&gt;照相机&lt;rt&gt;zhàoxiàngjī&lt;/rt&gt;&lt;/ruby&gt;</t>
  </si>
  <si>
    <t>zhàoxiàngjī</t>
  </si>
  <si>
    <t>Máy chụp ảnh</t>
  </si>
  <si>
    <r>
      <rPr>
        <sz val="11"/>
        <color rgb="FF000000"/>
        <rFont val="Calibri"/>
      </rPr>
      <t>爸爸送了我一台新的</t>
    </r>
    <r>
      <rPr>
        <b/>
        <sz val="11"/>
        <color rgb="FF000000"/>
        <rFont val="Calibri"/>
      </rPr>
      <t>照相机</t>
    </r>
    <r>
      <rPr>
        <sz val="11"/>
        <color rgb="FF000000"/>
        <rFont val="Calibri"/>
      </rPr>
      <t>。</t>
    </r>
  </si>
  <si>
    <t>Bàba sòng le wǒ yī tái xīn de zhàoxiàngjī.</t>
  </si>
  <si>
    <t>Bố tặng tôi một chiếc máy ảnh mới.</t>
  </si>
  <si>
    <t>H3_B20_BG-08.gif</t>
  </si>
  <si>
    <t>H3_B20_8.mp3</t>
  </si>
  <si>
    <t>H3_B20_VD_8.mp3</t>
  </si>
  <si>
    <r>
      <rPr>
        <sz val="10"/>
        <color theme="1"/>
        <rFont val="Times New Roman"/>
      </rPr>
      <t xml:space="preserve">Bị </t>
    </r>
    <r>
      <rPr>
        <i/>
        <sz val="10"/>
        <color theme="1"/>
        <rFont val="Times New Roman"/>
      </rPr>
      <t>(được dùng để chỉ thể bị động)</t>
    </r>
  </si>
  <si>
    <r>
      <rPr>
        <sz val="11"/>
        <color rgb="FF000000"/>
        <rFont val="Calibri"/>
      </rPr>
      <t>她的鼻子</t>
    </r>
    <r>
      <rPr>
        <b/>
        <sz val="11"/>
        <color rgb="FF000000"/>
        <rFont val="Calibri"/>
      </rPr>
      <t>被</t>
    </r>
    <r>
      <rPr>
        <sz val="11"/>
        <color rgb="FF000000"/>
        <rFont val="Calibri"/>
      </rPr>
      <t>流血了。</t>
    </r>
  </si>
  <si>
    <t>东</t>
  </si>
  <si>
    <t>&lt;ruby&gt;东&lt;rt&gt;dōng&lt;/rt&gt;&lt;/ruby&gt;</t>
  </si>
  <si>
    <t>dōng</t>
  </si>
  <si>
    <r>
      <rPr>
        <sz val="11"/>
        <color rgb="FF000000"/>
        <rFont val="Calibri"/>
      </rPr>
      <t>太阳从</t>
    </r>
    <r>
      <rPr>
        <b/>
        <sz val="11"/>
        <color rgb="FF000000"/>
        <rFont val="Calibri"/>
      </rPr>
      <t>东</t>
    </r>
    <r>
      <rPr>
        <sz val="11"/>
        <color rgb="FF000000"/>
        <rFont val="Calibri"/>
      </rPr>
      <t>边升起。</t>
    </r>
  </si>
  <si>
    <t>Tàiyáng cóng dōngbiān shēngqǐ.</t>
  </si>
  <si>
    <t>H3_B20_BG-10.gif</t>
  </si>
  <si>
    <t>H3_B20_10.mp3</t>
  </si>
  <si>
    <t>H3_B20_VD_10.mp3</t>
  </si>
  <si>
    <r>
      <rPr>
        <sz val="11"/>
        <color rgb="FF000000"/>
        <rFont val="Calibri"/>
      </rPr>
      <t>他用</t>
    </r>
    <r>
      <rPr>
        <b/>
        <sz val="11"/>
        <color rgb="FF000000"/>
        <rFont val="Calibri"/>
      </rPr>
      <t>信用卡</t>
    </r>
    <r>
      <rPr>
        <sz val="11"/>
        <color rgb="FF000000"/>
        <rFont val="Calibri"/>
      </rPr>
      <t>支付了账单。</t>
    </r>
  </si>
  <si>
    <r>
      <rPr>
        <sz val="11"/>
        <color rgb="FF000000"/>
        <rFont val="Calibri"/>
      </rPr>
      <t>桌子上有三只</t>
    </r>
    <r>
      <rPr>
        <b/>
        <sz val="11"/>
        <color rgb="FF000000"/>
        <rFont val="Calibri"/>
      </rPr>
      <t>碗</t>
    </r>
    <r>
      <rPr>
        <sz val="11"/>
        <color rgb="FF000000"/>
        <rFont val="Calibri"/>
      </rPr>
      <t>。</t>
    </r>
  </si>
  <si>
    <t>Phân biệt</t>
  </si>
  <si>
    <r>
      <rPr>
        <sz val="11"/>
        <color rgb="FF000000"/>
        <rFont val="Calibri"/>
      </rPr>
      <t>请</t>
    </r>
    <r>
      <rPr>
        <b/>
        <sz val="11"/>
        <color rgb="FF000000"/>
        <rFont val="Calibri"/>
      </rPr>
      <t>分</t>
    </r>
    <r>
      <rPr>
        <sz val="11"/>
        <color rgb="FF000000"/>
        <rFont val="Calibri"/>
      </rPr>
      <t>清这些颜色。</t>
    </r>
  </si>
  <si>
    <t>Qǐng fēnqīng zhèxiē yánsè.</t>
  </si>
  <si>
    <t>Xin phân biệt các màu sắc này.</t>
  </si>
  <si>
    <t>H3_B20_BG-13.gif</t>
  </si>
  <si>
    <t>H3_B20_13.mp3</t>
  </si>
  <si>
    <t>H3_B20_VD_13.mp3</t>
  </si>
  <si>
    <r>
      <rPr>
        <sz val="11"/>
        <color rgb="FF000000"/>
        <rFont val="Calibri"/>
      </rPr>
      <t>这个问题已经被专家</t>
    </r>
    <r>
      <rPr>
        <b/>
        <sz val="11"/>
        <color rgb="FF000000"/>
        <rFont val="Calibri"/>
      </rPr>
      <t>解决</t>
    </r>
    <r>
      <rPr>
        <sz val="11"/>
        <color rgb="FF000000"/>
        <rFont val="Calibri"/>
      </rPr>
      <t>了。</t>
    </r>
  </si>
  <si>
    <t xml:space="preserve">STT </t>
  </si>
  <si>
    <t>爱情</t>
  </si>
  <si>
    <t>&lt;ruby&gt;爱情&lt;rt&gt;àiqíng&lt;/rt&gt;&lt;/ruby&gt;</t>
  </si>
  <si>
    <t>àiqíng</t>
  </si>
  <si>
    <t>tình yêu (giữa nam và nữ</t>
  </si>
  <si>
    <r>
      <rPr>
        <sz val="11"/>
        <color theme="1"/>
        <rFont val="Times New Roman"/>
      </rPr>
      <t>他们之间的</t>
    </r>
    <r>
      <rPr>
        <b/>
        <sz val="11"/>
        <color theme="1"/>
        <rFont val="Times New Roman"/>
      </rPr>
      <t>爱情</t>
    </r>
    <r>
      <rPr>
        <sz val="11"/>
        <color theme="1"/>
        <rFont val="Times New Roman"/>
      </rPr>
      <t>充满了甜蜜和关怀。</t>
    </r>
  </si>
  <si>
    <t>Tình yêu giữa họ tràn đầy sự ngọt ngào và quan tâm.</t>
  </si>
  <si>
    <t>H4_B1_BG-01.png</t>
  </si>
  <si>
    <t>B1-1.mp3</t>
  </si>
  <si>
    <t>B1_VD_1.mp3</t>
  </si>
  <si>
    <t>感动</t>
  </si>
  <si>
    <t>&lt;ruby&gt;感动&lt;rt&gt;gǎndòng&lt;/rt&gt;&lt;/ruby&gt;</t>
  </si>
  <si>
    <t>gǎndòng</t>
  </si>
  <si>
    <t>cảm động, làm xúc động</t>
  </si>
  <si>
    <r>
      <rPr>
        <sz val="11"/>
        <color theme="1"/>
        <rFont val="Times New Roman"/>
      </rPr>
      <t>她为朋友的关心深深</t>
    </r>
    <r>
      <rPr>
        <b/>
        <sz val="11"/>
        <color theme="1"/>
        <rFont val="Times New Roman"/>
      </rPr>
      <t>感动</t>
    </r>
    <r>
      <rPr>
        <sz val="11"/>
        <color theme="1"/>
        <rFont val="Times New Roman"/>
      </rPr>
      <t>。</t>
    </r>
  </si>
  <si>
    <t>Cô ấy vô cùng cảm động trước sự quan tâm của bạn mình.</t>
  </si>
  <si>
    <t>H4_B1_BG-02.png</t>
  </si>
  <si>
    <t>B1-2.mp3</t>
  </si>
  <si>
    <t>B1_VD_2.mp3</t>
  </si>
  <si>
    <t>互相</t>
  </si>
  <si>
    <t>&lt;ruby&gt;互相&lt;rt&gt;hùxiāng&lt;/rt&gt;&lt;/ruby&gt;</t>
  </si>
  <si>
    <t>hùxiāng</t>
  </si>
  <si>
    <t>lẫn nhau, qua lại</t>
  </si>
  <si>
    <r>
      <rPr>
        <sz val="11"/>
        <color theme="1"/>
        <rFont val="Times New Roman"/>
      </rPr>
      <t>他们在困难时</t>
    </r>
    <r>
      <rPr>
        <b/>
        <sz val="11"/>
        <color theme="1"/>
        <rFont val="Times New Roman"/>
      </rPr>
      <t>互相</t>
    </r>
    <r>
      <rPr>
        <sz val="11"/>
        <color theme="1"/>
        <rFont val="Times New Roman"/>
      </rPr>
      <t>帮助，关系更加亲密。</t>
    </r>
  </si>
  <si>
    <t>Họ giúp đỡ lẫn nhau trong lúc khó khăn, mối quan hệ trở nên thân thiết hơn.</t>
  </si>
  <si>
    <t>H4_B1_BG-03.png</t>
  </si>
  <si>
    <t>B1-3.mp3</t>
  </si>
  <si>
    <t>B1_VD_3.mp3</t>
  </si>
  <si>
    <t>开玩笑</t>
  </si>
  <si>
    <t>&lt;ruby&gt;开玩笑&lt;rt&gt;kāi wánxiào&lt;/rt&gt;&lt;/ruby&gt;</t>
  </si>
  <si>
    <t>kāi wánxiào</t>
  </si>
  <si>
    <t>nói đùa, đùa</t>
  </si>
  <si>
    <r>
      <rPr>
        <sz val="11"/>
        <color theme="1"/>
        <rFont val="Times New Roman"/>
      </rPr>
      <t>她喜欢跟朋友</t>
    </r>
    <r>
      <rPr>
        <b/>
        <sz val="11"/>
        <color theme="1"/>
        <rFont val="Times New Roman"/>
      </rPr>
      <t>开玩笑</t>
    </r>
    <r>
      <rPr>
        <sz val="11"/>
        <color theme="1"/>
        <rFont val="Times New Roman"/>
      </rPr>
      <t>。</t>
    </r>
  </si>
  <si>
    <t>Cô ấy thích đùa giỡn với bạn bè.</t>
  </si>
  <si>
    <t>H4_B1_BG-04.png</t>
  </si>
  <si>
    <t>B1-4.mp3</t>
  </si>
  <si>
    <t>B1_VD_4.mp3</t>
  </si>
  <si>
    <t>浪漫</t>
  </si>
  <si>
    <t>&lt;ruby&gt;浪漫&lt;rt&gt;làngmàn&lt;/rt&gt;&lt;/ruby&gt;</t>
  </si>
  <si>
    <t>làngmàn</t>
  </si>
  <si>
    <t>lãng mạn</t>
  </si>
  <si>
    <r>
      <rPr>
        <sz val="11"/>
        <color theme="1"/>
        <rFont val="Times New Roman"/>
      </rPr>
      <t>他们的爱情非常</t>
    </r>
    <r>
      <rPr>
        <b/>
        <sz val="11"/>
        <color theme="1"/>
        <rFont val="Times New Roman"/>
      </rPr>
      <t>浪漫</t>
    </r>
    <r>
      <rPr>
        <sz val="11"/>
        <color theme="1"/>
        <rFont val="Times New Roman"/>
      </rPr>
      <t>。</t>
    </r>
  </si>
  <si>
    <t>Tình yêu của họ rất lãng mạn.</t>
  </si>
  <si>
    <t>H4_B1_BG-05.png</t>
  </si>
  <si>
    <t>B1-5.mp3</t>
  </si>
  <si>
    <t>B1_VD_5.mp3</t>
  </si>
  <si>
    <t>俩</t>
  </si>
  <si>
    <t>&lt;ruby&gt;俩&lt;rt&gt;liǎ&lt;/rt&gt;&lt;/ruby&gt;</t>
  </si>
  <si>
    <t>liǎ</t>
  </si>
  <si>
    <t xml:space="preserve">hai
</t>
  </si>
  <si>
    <r>
      <rPr>
        <sz val="11"/>
        <color theme="1"/>
        <rFont val="Times New Roman"/>
      </rPr>
      <t>她们</t>
    </r>
    <r>
      <rPr>
        <b/>
        <sz val="11"/>
        <color theme="1"/>
        <rFont val="Times New Roman"/>
      </rPr>
      <t>俩</t>
    </r>
    <r>
      <rPr>
        <sz val="11"/>
        <color theme="1"/>
        <rFont val="Times New Roman"/>
      </rPr>
      <t>是最好的朋友，总是在一起。</t>
    </r>
  </si>
  <si>
    <t>Hai người họ là những người bạn thân nhất, luôn ở bên nhau.</t>
  </si>
  <si>
    <t>H4_B1_BG-06.png</t>
  </si>
  <si>
    <t>B1-6.mp3</t>
  </si>
  <si>
    <t>B1_VD_6.mp3</t>
  </si>
  <si>
    <t>脾气</t>
  </si>
  <si>
    <t>&lt;ruby&gt;脾气&lt;rt&gt;píqi&lt;/rt&gt;&lt;/ruby&gt;</t>
  </si>
  <si>
    <t>píqi</t>
  </si>
  <si>
    <t>tính tình, tính khí</t>
  </si>
  <si>
    <r>
      <rPr>
        <sz val="11"/>
        <color theme="1"/>
        <rFont val="Times New Roman"/>
      </rPr>
      <t>她的</t>
    </r>
    <r>
      <rPr>
        <b/>
        <sz val="11"/>
        <color theme="1"/>
        <rFont val="Times New Roman"/>
      </rPr>
      <t>脾气</t>
    </r>
    <r>
      <rPr>
        <sz val="11"/>
        <color theme="1"/>
        <rFont val="Times New Roman"/>
      </rPr>
      <t>很好，总是耐心地回答客户的问题。</t>
    </r>
  </si>
  <si>
    <t>Cô ấy có tính khí rất tốt, luôn kiên nhẫn trả lời câu hỏi của khách hàng.</t>
  </si>
  <si>
    <t>H4_B1_BG-07.png</t>
  </si>
  <si>
    <t>B1-7.mp3</t>
  </si>
  <si>
    <t>B1_VD_7.mp3</t>
  </si>
  <si>
    <t>缺点</t>
  </si>
  <si>
    <t>&lt;ruby&gt;缺点&lt;rt&gt;quēdiăn&lt;/rt&gt;&lt;/ruby&gt;</t>
  </si>
  <si>
    <t>quēdiăn</t>
  </si>
  <si>
    <t>khuyết diểm, thiếu sót</t>
  </si>
  <si>
    <r>
      <rPr>
        <sz val="11"/>
        <color theme="1"/>
        <rFont val="Times New Roman"/>
      </rPr>
      <t>每个人都有</t>
    </r>
    <r>
      <rPr>
        <b/>
        <sz val="11"/>
        <color theme="1"/>
        <rFont val="Times New Roman"/>
      </rPr>
      <t>缺点</t>
    </r>
    <r>
      <rPr>
        <sz val="11"/>
        <color theme="1"/>
        <rFont val="Times New Roman"/>
      </rPr>
      <t>。</t>
    </r>
  </si>
  <si>
    <t>Mỗi người đều có khuyết điểm.</t>
  </si>
  <si>
    <t>H4_B1_BG-08.png</t>
  </si>
  <si>
    <t>B1-8.mp3</t>
  </si>
  <si>
    <t>B1_VD_8.mp3</t>
  </si>
  <si>
    <t>深</t>
  </si>
  <si>
    <t>&lt;ruby&gt;深&lt;rt&gt;shēn&lt;/rt&gt;&lt;/ruby&gt;</t>
  </si>
  <si>
    <t>shēn</t>
  </si>
  <si>
    <t>sâu, (tình cảm) sâu sắc</t>
  </si>
  <si>
    <r>
      <rPr>
        <sz val="11"/>
        <color theme="1"/>
        <rFont val="Times New Roman"/>
      </rPr>
      <t>他们的友谊非常</t>
    </r>
    <r>
      <rPr>
        <b/>
        <sz val="11"/>
        <color theme="1"/>
        <rFont val="Times New Roman"/>
      </rPr>
      <t>深</t>
    </r>
    <r>
      <rPr>
        <sz val="11"/>
        <color theme="1"/>
        <rFont val="Times New Roman"/>
      </rPr>
      <t>，让人感到羡慕。</t>
    </r>
  </si>
  <si>
    <t>Tình bạn của họ rất sâu sắc, khiến người khác ngưỡng mộ.</t>
  </si>
  <si>
    <t>H4_B1_BG-09.png</t>
  </si>
  <si>
    <t>B1-9.mp3</t>
  </si>
  <si>
    <t>B1_VD_9.mp3</t>
  </si>
  <si>
    <t>cuộc sống; sống</t>
  </si>
  <si>
    <r>
      <rPr>
        <sz val="11"/>
        <color theme="1"/>
        <rFont val="Times New Roman"/>
      </rPr>
      <t>她喜欢种树，</t>
    </r>
    <r>
      <rPr>
        <b/>
        <sz val="11"/>
        <color theme="1"/>
        <rFont val="Times New Roman"/>
      </rPr>
      <t>生活</t>
    </r>
    <r>
      <rPr>
        <sz val="11"/>
        <color theme="1"/>
        <rFont val="Times New Roman"/>
      </rPr>
      <t>很快乐。</t>
    </r>
  </si>
  <si>
    <t>Cô ấy thích trồng cây, cuộc sống rất vui vẻ.</t>
  </si>
  <si>
    <t>H4_B1_BG-10.png</t>
  </si>
  <si>
    <t>B1-10.mp3</t>
  </si>
  <si>
    <t>B1_VD_10.mp3</t>
  </si>
  <si>
    <t>适合</t>
  </si>
  <si>
    <t>&lt;ruby&gt;适合&lt;rt&gt;Shìhé
&lt;/rt&gt;&lt;/ruby&gt;</t>
  </si>
  <si>
    <t xml:space="preserve">Shìhé
</t>
  </si>
  <si>
    <t>phù hợp</t>
  </si>
  <si>
    <r>
      <rPr>
        <sz val="11"/>
        <color theme="1"/>
        <rFont val="Times New Roman"/>
      </rPr>
      <t>这个拼图</t>
    </r>
    <r>
      <rPr>
        <b/>
        <sz val="11"/>
        <color theme="1"/>
        <rFont val="Times New Roman"/>
      </rPr>
      <t>适合</t>
    </r>
    <r>
      <rPr>
        <sz val="11"/>
        <color theme="1"/>
        <rFont val="Times New Roman"/>
      </rPr>
      <t>用来锻炼逻辑思维能力。</t>
    </r>
  </si>
  <si>
    <t>Trò chơi xếp hình này phù hợp để rèn luyện khả năng tư duy logic.</t>
  </si>
  <si>
    <t>H4_B1_BG-11.png</t>
  </si>
  <si>
    <t>B1-11.mp3</t>
  </si>
  <si>
    <t>B1_VD_11.mp3</t>
  </si>
  <si>
    <t>熟悉</t>
  </si>
  <si>
    <t>&lt;ruby&gt;熟悉&lt;rt&gt;Shúxi&lt;/rt&gt;&lt;/ruby&gt;</t>
  </si>
  <si>
    <t>Shúxi</t>
  </si>
  <si>
    <t>hiểu rõ, quen thuộc</t>
  </si>
  <si>
    <r>
      <rPr>
        <sz val="11"/>
        <color theme="1"/>
        <rFont val="Times New Roman"/>
      </rPr>
      <t>这是我外公的家，我对这个地方很</t>
    </r>
    <r>
      <rPr>
        <b/>
        <sz val="11"/>
        <color theme="1"/>
        <rFont val="Times New Roman"/>
      </rPr>
      <t>熟悉</t>
    </r>
    <r>
      <rPr>
        <sz val="11"/>
        <color theme="1"/>
        <rFont val="Times New Roman"/>
      </rPr>
      <t>。</t>
    </r>
  </si>
  <si>
    <t>Đây là nhà của ông ngoại tôi và tôi rất quen thuộc với nơi này.</t>
  </si>
  <si>
    <t>H4_B1_BG-12.png</t>
  </si>
  <si>
    <t>B1-12.mp3</t>
  </si>
  <si>
    <t>B1_VD_12.mp3</t>
  </si>
  <si>
    <t>羡慕</t>
  </si>
  <si>
    <t>&lt;ruby&gt;羡慕&lt;rt&gt;xiànmù&lt;/rt&gt;&lt;/ruby&gt;</t>
  </si>
  <si>
    <t>xiànmù</t>
  </si>
  <si>
    <t>ước ao, ngưỡng mộ</t>
  </si>
  <si>
    <r>
      <rPr>
        <sz val="11"/>
        <color theme="1"/>
        <rFont val="Times New Roman"/>
      </rPr>
      <t>小女孩很</t>
    </r>
    <r>
      <rPr>
        <b/>
        <sz val="11"/>
        <color theme="1"/>
        <rFont val="Times New Roman"/>
      </rPr>
      <t>羡慕</t>
    </r>
    <r>
      <rPr>
        <sz val="11"/>
        <color theme="1"/>
        <rFont val="Times New Roman"/>
      </rPr>
      <t>医生的工作。</t>
    </r>
  </si>
  <si>
    <t>Cô bé rất ngưỡng mộ công việc của bác sĩ.</t>
  </si>
  <si>
    <t>H4_B1_BG-13.png</t>
  </si>
  <si>
    <t>B1-13.mp3</t>
  </si>
  <si>
    <t>B1_VD_13.mp3</t>
  </si>
  <si>
    <t>幸福</t>
  </si>
  <si>
    <t>&lt;ruby&gt;幸福&lt;rt&gt;xìngfú&lt;/rt&gt;&lt;/ruby&gt;</t>
  </si>
  <si>
    <t>xìngfú</t>
  </si>
  <si>
    <t>hạnh phúc</t>
  </si>
  <si>
    <r>
      <rPr>
        <sz val="11"/>
        <color theme="1"/>
        <rFont val="Times New Roman"/>
      </rPr>
      <t>我希望我的家人都</t>
    </r>
    <r>
      <rPr>
        <b/>
        <sz val="11"/>
        <color theme="1"/>
        <rFont val="Times New Roman"/>
      </rPr>
      <t>幸福</t>
    </r>
    <r>
      <rPr>
        <sz val="11"/>
        <color theme="1"/>
        <rFont val="Times New Roman"/>
      </rPr>
      <t>。</t>
    </r>
  </si>
  <si>
    <t>Tôi hy vọng gia đình tôi đều hạnh phúc.</t>
  </si>
  <si>
    <t>H4_B1_BG-14.png</t>
  </si>
  <si>
    <t>B1-14.mp3</t>
  </si>
  <si>
    <t>B1_VD_14.mp3</t>
  </si>
  <si>
    <t>性格</t>
  </si>
  <si>
    <t>&lt;ruby&gt;性格&lt;rt&gt;xìnggé&lt;/rt&gt;&lt;/ruby&gt;</t>
  </si>
  <si>
    <t>xìnggé</t>
  </si>
  <si>
    <t>tính cách, tính nết</t>
  </si>
  <si>
    <r>
      <rPr>
        <sz val="11"/>
        <color theme="1"/>
        <rFont val="Times New Roman"/>
      </rPr>
      <t>他的</t>
    </r>
    <r>
      <rPr>
        <b/>
        <sz val="11"/>
        <color theme="1"/>
        <rFont val="Times New Roman"/>
      </rPr>
      <t>性格</t>
    </r>
    <r>
      <rPr>
        <sz val="11"/>
        <color theme="1"/>
        <rFont val="Times New Roman"/>
      </rPr>
      <t>像天气一样，时晴时雨。</t>
    </r>
  </si>
  <si>
    <t>Tính cách của anh ấy giống như thời tiết, lúc thì nắng, lúc thì mưa.</t>
  </si>
  <si>
    <t>H4_B1_BG-15.png</t>
  </si>
  <si>
    <t>B1-15.mp3</t>
  </si>
  <si>
    <t>B1_VD_15.mp3</t>
  </si>
  <si>
    <t>印象</t>
  </si>
  <si>
    <t>&lt;ruby&gt;印象&lt;rt&gt;Yìnxiàng&lt;/rt&gt;&lt;/ruby&gt;</t>
  </si>
  <si>
    <t>Yìnxiàng</t>
  </si>
  <si>
    <t>ấn tượng</t>
  </si>
  <si>
    <r>
      <rPr>
        <sz val="11"/>
        <color theme="1"/>
        <rFont val="Times New Roman"/>
      </rPr>
      <t>这幅画给我留下了很深的</t>
    </r>
    <r>
      <rPr>
        <b/>
        <sz val="11"/>
        <color theme="1"/>
        <rFont val="Times New Roman"/>
      </rPr>
      <t>印象</t>
    </r>
    <r>
      <rPr>
        <sz val="11"/>
        <color theme="1"/>
        <rFont val="Times New Roman"/>
      </rPr>
      <t>。</t>
    </r>
  </si>
  <si>
    <t>Bức tranh này để lại cho tôi ấn tượng rất sâu sắc.</t>
  </si>
  <si>
    <t>H4_B1_BG-16.png</t>
  </si>
  <si>
    <t>B1-16.mp3</t>
  </si>
  <si>
    <t>B1_VD_16.mp3</t>
  </si>
  <si>
    <t>幽默</t>
  </si>
  <si>
    <t>&lt;ruby&gt;幽默&lt;rt&gt;yōumò&lt;/rt&gt;&lt;/ruby&gt;</t>
  </si>
  <si>
    <t>yōumò</t>
  </si>
  <si>
    <t>hóm hỉnh, khôi hài</t>
  </si>
  <si>
    <r>
      <rPr>
        <sz val="11"/>
        <color theme="1"/>
        <rFont val="Times New Roman"/>
      </rPr>
      <t>她是个很</t>
    </r>
    <r>
      <rPr>
        <b/>
        <sz val="11"/>
        <color theme="1"/>
        <rFont val="Times New Roman"/>
      </rPr>
      <t>幽默</t>
    </r>
    <r>
      <rPr>
        <sz val="11"/>
        <color theme="1"/>
        <rFont val="Times New Roman"/>
      </rPr>
      <t>的人。</t>
    </r>
  </si>
  <si>
    <t>Cô ấy là một người rất hóm hỉnh.</t>
  </si>
  <si>
    <t>H4_B1_BG-17.png</t>
  </si>
  <si>
    <t>B1-17.mp3</t>
  </si>
  <si>
    <t>B1_VD_17.mp3</t>
  </si>
  <si>
    <r>
      <rPr>
        <sz val="11"/>
        <color theme="1"/>
        <rFont val="Times New Roman"/>
      </rPr>
      <t>天气这么冷，</t>
    </r>
    <r>
      <rPr>
        <b/>
        <sz val="11"/>
        <color theme="1"/>
        <rFont val="Times New Roman"/>
      </rPr>
      <t>最好</t>
    </r>
    <r>
      <rPr>
        <sz val="11"/>
        <color theme="1"/>
        <rFont val="Times New Roman"/>
      </rPr>
      <t>穿多一点衣服。</t>
    </r>
  </si>
  <si>
    <t>亮</t>
  </si>
  <si>
    <t>&lt;ruby&gt;亮&lt;rt&gt;liàng&lt;/rt&gt;&lt;/ruby&gt;</t>
  </si>
  <si>
    <t>chiếu sáng, tỏa sáng</t>
  </si>
  <si>
    <r>
      <rPr>
        <sz val="11"/>
        <color theme="1"/>
        <rFont val="Times New Roman"/>
      </rPr>
      <t>太阳很</t>
    </r>
    <r>
      <rPr>
        <b/>
        <sz val="11"/>
        <color theme="1"/>
        <rFont val="Times New Roman"/>
      </rPr>
      <t>亮</t>
    </r>
    <r>
      <rPr>
        <sz val="11"/>
        <color theme="1"/>
        <rFont val="Times New Roman"/>
      </rPr>
      <t>，照亮了整个天空。</t>
    </r>
  </si>
  <si>
    <t>Mặt trời rất sáng, chiếu sáng toàn bộ bầu trời.</t>
  </si>
  <si>
    <t>H4_B1_BG-19.png</t>
  </si>
  <si>
    <t>B1-19.mp3</t>
  </si>
  <si>
    <t>B1_VD_19.mp3</t>
  </si>
  <si>
    <t>星星</t>
  </si>
  <si>
    <t>&lt;ruby&gt;星星&lt;rt&gt;Xīngxing&lt;/rt&gt;&lt;/ruby&gt;</t>
  </si>
  <si>
    <t>Xīngxing</t>
  </si>
  <si>
    <t>ngôi sao</t>
  </si>
  <si>
    <r>
      <rPr>
        <sz val="11"/>
        <color theme="1"/>
        <rFont val="Times New Roman"/>
      </rPr>
      <t>天上的</t>
    </r>
    <r>
      <rPr>
        <b/>
        <sz val="11"/>
        <color theme="1"/>
        <rFont val="Times New Roman"/>
      </rPr>
      <t>星星</t>
    </r>
    <r>
      <rPr>
        <sz val="11"/>
        <color theme="1"/>
        <rFont val="Times New Roman"/>
      </rPr>
      <t>一闪一闪的，真美丽！</t>
    </r>
  </si>
  <si>
    <t>Những ngôi sao trên trời lấp lánh, thật đẹp!</t>
  </si>
  <si>
    <t>H4_B1_BG-20.png</t>
  </si>
  <si>
    <t>B1-20.mp3</t>
  </si>
  <si>
    <t>B1_VD_20.mp3</t>
  </si>
  <si>
    <r>
      <rPr>
        <sz val="11"/>
        <color rgb="FF000000"/>
        <rFont val="Times New Roman"/>
      </rPr>
      <t>秋天来了，树叶</t>
    </r>
    <r>
      <rPr>
        <b/>
        <sz val="11"/>
        <color rgb="FF000000"/>
        <rFont val="Times New Roman"/>
      </rPr>
      <t>变</t>
    </r>
    <r>
      <rPr>
        <sz val="11"/>
        <color rgb="FF000000"/>
        <rFont val="Times New Roman"/>
      </rPr>
      <t>黄了。</t>
    </r>
  </si>
  <si>
    <t>普通</t>
  </si>
  <si>
    <t>&lt;ruby&gt;普通&lt;rt&gt;pǔtōng&lt;/rt&gt;&lt;/ruby&gt;</t>
  </si>
  <si>
    <t>pǔtōng</t>
  </si>
  <si>
    <t>bình thường, phổ thông</t>
  </si>
  <si>
    <r>
      <rPr>
        <sz val="11"/>
        <color theme="1"/>
        <rFont val="Times New Roman"/>
      </rPr>
      <t>这些车看起来很</t>
    </r>
    <r>
      <rPr>
        <b/>
        <sz val="11"/>
        <color theme="1"/>
        <rFont val="Times New Roman"/>
      </rPr>
      <t>普通</t>
    </r>
    <r>
      <rPr>
        <sz val="11"/>
        <color theme="1"/>
        <rFont val="Times New Roman"/>
      </rPr>
      <t>。</t>
    </r>
  </si>
  <si>
    <t>Những chiếc xe này trông rất bình thường.</t>
  </si>
  <si>
    <t>H4_B1_BG-22.png</t>
  </si>
  <si>
    <t>B1-22.mp3</t>
  </si>
  <si>
    <t>B1_VD_22.mp3</t>
  </si>
  <si>
    <t>新鲜感</t>
  </si>
  <si>
    <t>&lt;ruby&gt;新鲜感&lt;rt&gt;Xīnxiān gǎn&lt;/rt&gt;&lt;/ruby&gt;</t>
  </si>
  <si>
    <t>Xīnxiān gǎn</t>
  </si>
  <si>
    <t>cảm giác mới mẻ</t>
  </si>
  <si>
    <r>
      <rPr>
        <sz val="11"/>
        <color theme="1"/>
        <rFont val="Times New Roman"/>
      </rPr>
      <t>他对新事物总是充满了</t>
    </r>
    <r>
      <rPr>
        <b/>
        <sz val="11"/>
        <color theme="1"/>
        <rFont val="Times New Roman"/>
      </rPr>
      <t>新鲜感</t>
    </r>
    <r>
      <rPr>
        <sz val="11"/>
        <color theme="1"/>
        <rFont val="Times New Roman"/>
      </rPr>
      <t>和好奇心。</t>
    </r>
  </si>
  <si>
    <t>Cậu ấy luôn tràn đầy cảm giác mới mẻ và tò mò đối với những điều mới lạ.</t>
  </si>
  <si>
    <t>H4_B1_BG-23.png</t>
  </si>
  <si>
    <t>B1-23.mp3</t>
  </si>
  <si>
    <t>B1_VD_23.mp3</t>
  </si>
  <si>
    <t>吸引</t>
  </si>
  <si>
    <t>&lt;ruby&gt;吸引&lt;rt&gt;Xīyǐn&lt;/rt&gt;&lt;/ruby&gt;</t>
  </si>
  <si>
    <t>Xīyǐn</t>
  </si>
  <si>
    <t>thu hút, hấp dẫn</t>
  </si>
  <si>
    <r>
      <rPr>
        <sz val="11"/>
        <color theme="1"/>
        <rFont val="Times New Roman"/>
      </rPr>
      <t>美丽的花</t>
    </r>
    <r>
      <rPr>
        <b/>
        <sz val="11"/>
        <color theme="1"/>
        <rFont val="Times New Roman"/>
      </rPr>
      <t>吸引</t>
    </r>
    <r>
      <rPr>
        <sz val="11"/>
        <color theme="1"/>
        <rFont val="Times New Roman"/>
      </rPr>
      <t>了很多蝴蝶。</t>
    </r>
  </si>
  <si>
    <t>Những bông hoa xinh đẹp đã thu hút rất nhiều bướm.</t>
  </si>
  <si>
    <t>H4_B1_BG-24.png</t>
  </si>
  <si>
    <t>B1-24.mp3</t>
  </si>
  <si>
    <t>B1_VD_24.mp3</t>
  </si>
  <si>
    <t>祝</t>
  </si>
  <si>
    <t>&lt;ruby&gt;祝&lt;rt&gt;zhù&lt;/rt&gt;&lt;/ruby&gt;</t>
  </si>
  <si>
    <t>chúc</t>
  </si>
  <si>
    <r>
      <rPr>
        <b/>
        <sz val="11"/>
        <color rgb="FF0E0E0E"/>
        <rFont val="Times New Roman"/>
      </rPr>
      <t>祝</t>
    </r>
    <r>
      <rPr>
        <sz val="11"/>
        <color rgb="FF0E0E0E"/>
        <rFont val="Times New Roman"/>
      </rPr>
      <t>你生日快乐！</t>
    </r>
  </si>
  <si>
    <t>Chúc bạn sinh nhật vui vẻ!</t>
  </si>
  <si>
    <t>H4_B1_BG-25.png</t>
  </si>
  <si>
    <t>B1-25.mp3</t>
  </si>
  <si>
    <t>B1_VD_25.mp3</t>
  </si>
  <si>
    <t>不仅</t>
  </si>
  <si>
    <t>&lt;ruby&gt;不仅&lt;rt&gt;bùjĭn&lt;/rt&gt;&lt;/ruby&gt;</t>
  </si>
  <si>
    <t>bùjĭn</t>
  </si>
  <si>
    <t xml:space="preserve">không những, chẳng những
</t>
  </si>
  <si>
    <r>
      <rPr>
        <sz val="11"/>
        <color theme="1"/>
        <rFont val="Times New Roman"/>
      </rPr>
      <t>他</t>
    </r>
    <r>
      <rPr>
        <b/>
        <sz val="11"/>
        <color theme="1"/>
        <rFont val="Times New Roman"/>
      </rPr>
      <t>不仅</t>
    </r>
    <r>
      <rPr>
        <sz val="11"/>
        <color theme="1"/>
        <rFont val="Times New Roman"/>
      </rPr>
      <t>聪明，还很努力。</t>
    </r>
  </si>
  <si>
    <t>Anh ấy không chỉ thông minh mà còn rất chăm chỉ.</t>
  </si>
  <si>
    <t>H4_B1_BG-26.png</t>
  </si>
  <si>
    <t>B1-26.mp3</t>
  </si>
  <si>
    <t>B1_VD_26.mp3</t>
  </si>
  <si>
    <t>法律</t>
  </si>
  <si>
    <t>&lt;ruby&gt;法律&lt;rt&gt;fǎlǜ&lt;/rt&gt;&lt;/ruby&gt;</t>
  </si>
  <si>
    <t>fǎlǜ</t>
  </si>
  <si>
    <t>pháp luật, luật</t>
  </si>
  <si>
    <r>
      <rPr>
        <sz val="11"/>
        <color theme="1"/>
        <rFont val="Times New Roman"/>
      </rPr>
      <t>我们应该遵守</t>
    </r>
    <r>
      <rPr>
        <b/>
        <sz val="11"/>
        <color theme="1"/>
        <rFont val="Times New Roman"/>
      </rPr>
      <t>法律</t>
    </r>
    <r>
      <rPr>
        <sz val="11"/>
        <color theme="1"/>
        <rFont val="Times New Roman"/>
      </rPr>
      <t>。</t>
    </r>
  </si>
  <si>
    <t>Chúng ta nên tuân thủ pháp luật.</t>
  </si>
  <si>
    <t>H4_B1_BG-27.png</t>
  </si>
  <si>
    <t>B1-27.mp3</t>
  </si>
  <si>
    <t>B1_VD_27.mp3</t>
  </si>
  <si>
    <r>
      <rPr>
        <sz val="11"/>
        <color rgb="FF0E0E0E"/>
        <rFont val="Times New Roman"/>
      </rPr>
      <t>他</t>
    </r>
    <r>
      <rPr>
        <b/>
        <sz val="11"/>
        <color rgb="FF0E0E0E"/>
        <rFont val="Times New Roman"/>
      </rPr>
      <t>刚</t>
    </r>
    <r>
      <rPr>
        <sz val="11"/>
        <color rgb="FF0E0E0E"/>
        <rFont val="Times New Roman"/>
      </rPr>
      <t>开始学习魔术。</t>
    </r>
  </si>
  <si>
    <t>共同</t>
  </si>
  <si>
    <t>&lt;ruby&gt;共同&lt;rt&gt;gòngtóng&lt;/rt&gt;&lt;/ruby&gt;</t>
  </si>
  <si>
    <t>gòngtóng</t>
  </si>
  <si>
    <t>chung, cùng</t>
  </si>
  <si>
    <r>
      <rPr>
        <sz val="11"/>
        <color theme="1"/>
        <rFont val="Times New Roman"/>
      </rPr>
      <t>他们有</t>
    </r>
    <r>
      <rPr>
        <b/>
        <sz val="11"/>
        <color theme="1"/>
        <rFont val="Times New Roman"/>
      </rPr>
      <t>共同</t>
    </r>
    <r>
      <rPr>
        <sz val="11"/>
        <color theme="1"/>
        <rFont val="Times New Roman"/>
      </rPr>
      <t>的兴趣爱好。</t>
    </r>
  </si>
  <si>
    <t>Bọn họ có sở thích chung.</t>
  </si>
  <si>
    <t>H4_B1_BG-29.png</t>
  </si>
  <si>
    <t>B1-29.mp3</t>
  </si>
  <si>
    <t>B1_VD_29.mp3</t>
  </si>
  <si>
    <t>够</t>
  </si>
  <si>
    <t>&lt;ruby&gt;够&lt;rt&gt;gòu&lt;/rt&gt;&lt;/ruby&gt;</t>
  </si>
  <si>
    <t>gòu</t>
  </si>
  <si>
    <t>đủ</t>
  </si>
  <si>
    <r>
      <rPr>
        <sz val="11"/>
        <color theme="1"/>
        <rFont val="Times New Roman"/>
      </rPr>
      <t>这个小孩的钱</t>
    </r>
    <r>
      <rPr>
        <b/>
        <sz val="11"/>
        <color theme="1"/>
        <rFont val="Times New Roman"/>
      </rPr>
      <t>够</t>
    </r>
    <r>
      <rPr>
        <sz val="11"/>
        <color theme="1"/>
        <rFont val="Times New Roman"/>
      </rPr>
      <t>买火车票吗？</t>
    </r>
  </si>
  <si>
    <t>Số tiền của đứa trẻ này có đủ để mua vé tàu không?</t>
  </si>
  <si>
    <t>H4_B1_BG-30.png</t>
  </si>
  <si>
    <t>B1-30.mp3</t>
  </si>
  <si>
    <t>B1_VD_30.mp3</t>
  </si>
  <si>
    <t>即使</t>
  </si>
  <si>
    <t>&lt;ruby&gt;即使&lt;rt&gt;jíshǐ&lt;/rt&gt;&lt;/ruby&gt;</t>
  </si>
  <si>
    <t>jíshǐ</t>
  </si>
  <si>
    <t>cho dù</t>
  </si>
  <si>
    <r>
      <rPr>
        <b/>
        <sz val="11"/>
        <color theme="1"/>
        <rFont val="Times New Roman"/>
      </rPr>
      <t>即使</t>
    </r>
    <r>
      <rPr>
        <sz val="11"/>
        <color theme="1"/>
        <rFont val="Times New Roman"/>
      </rPr>
      <t>下雨，她每天都要上课。</t>
    </r>
  </si>
  <si>
    <t>Dù trời mưa nhưng hàng ngày cô ấy vẫn phải đến lớp.</t>
  </si>
  <si>
    <t>H4_B1_BG-31.png</t>
  </si>
  <si>
    <t>B1-31.mp3</t>
  </si>
  <si>
    <t>B1_VD_31.mp3</t>
  </si>
  <si>
    <t>加班</t>
  </si>
  <si>
    <t>&lt;ruby&gt;加班&lt;rt&gt;jiā bān&lt;/rt&gt;&lt;/ruby&gt;</t>
  </si>
  <si>
    <t>jiā bān</t>
  </si>
  <si>
    <t>tăng ca, làm thêm giờ</t>
  </si>
  <si>
    <r>
      <rPr>
        <sz val="11"/>
        <color theme="1"/>
        <rFont val="Times New Roman"/>
      </rPr>
      <t>他每天都要</t>
    </r>
    <r>
      <rPr>
        <b/>
        <sz val="11"/>
        <color theme="1"/>
        <rFont val="Times New Roman"/>
      </rPr>
      <t>加班</t>
    </r>
    <r>
      <rPr>
        <sz val="11"/>
        <color theme="1"/>
        <rFont val="Times New Roman"/>
      </rPr>
      <t>到很晚。</t>
    </r>
  </si>
  <si>
    <t>Anh ấy mỗi ngày đều phải tăng ca đến rất muộn.</t>
  </si>
  <si>
    <t>H4_B1_BG-32.png</t>
  </si>
  <si>
    <t>B1-32.mp3</t>
  </si>
  <si>
    <t>B1_VD_32.mp3</t>
  </si>
  <si>
    <t>接受</t>
  </si>
  <si>
    <t>&lt;ruby&gt;接受&lt;rt&gt;jiēshòu&lt;/rt&gt;&lt;/ruby&gt;</t>
  </si>
  <si>
    <t>jiēshòu</t>
  </si>
  <si>
    <t xml:space="preserve">chấp nhận
</t>
  </si>
  <si>
    <r>
      <rPr>
        <sz val="11"/>
        <color theme="1"/>
        <rFont val="Times New Roman"/>
      </rPr>
      <t>她</t>
    </r>
    <r>
      <rPr>
        <b/>
        <sz val="11"/>
        <color theme="1"/>
        <rFont val="Times New Roman"/>
      </rPr>
      <t>接受</t>
    </r>
    <r>
      <rPr>
        <sz val="11"/>
        <color theme="1"/>
        <rFont val="Times New Roman"/>
      </rPr>
      <t>了他送的礼物。</t>
    </r>
  </si>
  <si>
    <t>Cô ấy đã nhận món quà mà anh ấy tặng.</t>
  </si>
  <si>
    <t>H4_B1_BG-33.png</t>
  </si>
  <si>
    <t>B1-33.mp3</t>
  </si>
  <si>
    <t>B1_VD_33.mp3</t>
  </si>
  <si>
    <t>原因</t>
  </si>
  <si>
    <t>&lt;ruby&gt;原因&lt;rt&gt;yuányīn&lt;/rt&gt;&lt;/ruby&gt;</t>
  </si>
  <si>
    <t>yuányīn</t>
  </si>
  <si>
    <t>nguyên nhân</t>
  </si>
  <si>
    <r>
      <rPr>
        <sz val="11"/>
        <color theme="1"/>
        <rFont val="Times New Roman"/>
      </rPr>
      <t>他生气的</t>
    </r>
    <r>
      <rPr>
        <b/>
        <sz val="11"/>
        <color theme="1"/>
        <rFont val="Times New Roman"/>
      </rPr>
      <t>原因</t>
    </r>
    <r>
      <rPr>
        <sz val="11"/>
        <color theme="1"/>
        <rFont val="Times New Roman"/>
      </rPr>
      <t>是什么？</t>
    </r>
  </si>
  <si>
    <t>Lý do anh ấy tức giận là gì?</t>
  </si>
  <si>
    <t>H4_B1_BG-34.png</t>
  </si>
  <si>
    <t>B1-34.mp3</t>
  </si>
  <si>
    <t>B1_VD_34.mp3</t>
  </si>
  <si>
    <t>自然</t>
  </si>
  <si>
    <t>&lt;ruby&gt;自然&lt;rt&gt;zìrán&lt;/rt&gt;&lt;/ruby&gt;</t>
  </si>
  <si>
    <t>zìrán</t>
  </si>
  <si>
    <t>đương nhiên, hiển nhiên</t>
  </si>
  <si>
    <r>
      <rPr>
        <sz val="11"/>
        <color theme="1"/>
        <rFont val="Times New Roman"/>
      </rPr>
      <t>她笑得很</t>
    </r>
    <r>
      <rPr>
        <b/>
        <sz val="11"/>
        <color theme="1"/>
        <rFont val="Times New Roman"/>
      </rPr>
      <t>自然</t>
    </r>
    <r>
      <rPr>
        <sz val="11"/>
        <color theme="1"/>
        <rFont val="Times New Roman"/>
      </rPr>
      <t>。</t>
    </r>
  </si>
  <si>
    <t>Cô ấy cười rất tự nhiên.</t>
  </si>
  <si>
    <t>H4_B1_BG-35.png</t>
  </si>
  <si>
    <t>B1-35.mp3</t>
  </si>
  <si>
    <t>B1_VD_35.mp3</t>
  </si>
  <si>
    <t>从来</t>
  </si>
  <si>
    <t>&lt;ruby&gt;从来&lt;rt&gt;cónglái&lt;/rt&gt;&lt;/ruby&gt;</t>
  </si>
  <si>
    <t>cónglái</t>
  </si>
  <si>
    <t>từ trước đến nay, từ trước đến giờ</t>
  </si>
  <si>
    <r>
      <rPr>
        <sz val="11"/>
        <color theme="1"/>
        <rFont val="Times New Roman"/>
      </rPr>
      <t>我</t>
    </r>
    <r>
      <rPr>
        <b/>
        <sz val="11"/>
        <color theme="1"/>
        <rFont val="Times New Roman"/>
      </rPr>
      <t>从来</t>
    </r>
    <r>
      <rPr>
        <sz val="11"/>
        <color theme="1"/>
        <rFont val="Times New Roman"/>
      </rPr>
      <t>没有滑过冰。</t>
    </r>
  </si>
  <si>
    <t>Từ trước đến nay, tôi chưa bao giờ trượt băng.</t>
  </si>
  <si>
    <t>H4_B1_BG-36.png</t>
  </si>
  <si>
    <t>B1-36.mp3</t>
  </si>
  <si>
    <t>B1_VD_36.mp3</t>
  </si>
  <si>
    <r>
      <rPr>
        <sz val="11"/>
        <color rgb="FF000000"/>
        <rFont val="Times New Roman"/>
      </rPr>
      <t>她明年就要大学</t>
    </r>
    <r>
      <rPr>
        <b/>
        <sz val="11"/>
        <color rgb="FF000000"/>
        <rFont val="Times New Roman"/>
      </rPr>
      <t>毕业</t>
    </r>
    <r>
      <rPr>
        <sz val="11"/>
        <color rgb="FF000000"/>
        <rFont val="Times New Roman"/>
      </rPr>
      <t>了。</t>
    </r>
  </si>
  <si>
    <r>
      <rPr>
        <sz val="11"/>
        <color theme="1"/>
        <rFont val="Times New Roman"/>
      </rPr>
      <t>这两件衣服的价格</t>
    </r>
    <r>
      <rPr>
        <b/>
        <sz val="11"/>
        <color theme="1"/>
        <rFont val="Times New Roman"/>
      </rPr>
      <t>差不多</t>
    </r>
    <r>
      <rPr>
        <sz val="11"/>
        <color theme="1"/>
        <rFont val="Times New Roman"/>
      </rPr>
      <t>。</t>
    </r>
  </si>
  <si>
    <t>重新</t>
  </si>
  <si>
    <t>&lt;ruby&gt;重新&lt;rt&gt;chóngxīn&lt;/rt&gt;&lt;/ruby&gt;</t>
  </si>
  <si>
    <t>chóngxīn</t>
  </si>
  <si>
    <t>lần nữa, lại một lần nữa</t>
  </si>
  <si>
    <r>
      <rPr>
        <sz val="11"/>
        <color rgb="FF000000"/>
        <rFont val="Times New Roman"/>
      </rPr>
      <t>他们</t>
    </r>
    <r>
      <rPr>
        <b/>
        <sz val="11"/>
        <color rgb="FF000000"/>
        <rFont val="Times New Roman"/>
      </rPr>
      <t>重新</t>
    </r>
    <r>
      <rPr>
        <sz val="11"/>
        <color rgb="FF000000"/>
        <rFont val="Times New Roman"/>
      </rPr>
      <t>分类了一次垃圾。</t>
    </r>
  </si>
  <si>
    <t>Họ phân loại rác lại một lần nữa</t>
  </si>
  <si>
    <t>H4_B2_BG3.png</t>
  </si>
  <si>
    <t>B2_3.mp3</t>
  </si>
  <si>
    <t>B2_VD_3.mp3</t>
  </si>
  <si>
    <t>当</t>
  </si>
  <si>
    <t>&lt;ruby&gt;当&lt;rt&gt;dāng&lt;/rt&gt;&lt;/ruby&gt;</t>
  </si>
  <si>
    <t>dāng</t>
  </si>
  <si>
    <t>khi</t>
  </si>
  <si>
    <r>
      <rPr>
        <b/>
        <sz val="11"/>
        <color rgb="FF000000"/>
        <rFont val="Times New Roman"/>
      </rPr>
      <t>当</t>
    </r>
    <r>
      <rPr>
        <sz val="11"/>
        <color rgb="FF000000"/>
        <rFont val="Times New Roman"/>
      </rPr>
      <t>打雷的时候，不要站在避雷针附近。</t>
    </r>
  </si>
  <si>
    <t>Khi có sấm sét, không được đứng gần cột thu lôi.</t>
  </si>
  <si>
    <t>H4_B2_BG4.png</t>
  </si>
  <si>
    <t>B2_4.mp3</t>
  </si>
  <si>
    <t>B2_VD_4.mp3</t>
  </si>
  <si>
    <t>短信</t>
  </si>
  <si>
    <t>&lt;ruby&gt;短信&lt;rt&gt;duănxìn&lt;/rt&gt;&lt;/ruby&gt;</t>
  </si>
  <si>
    <t>duănxìn</t>
  </si>
  <si>
    <t>tin nhắn</t>
  </si>
  <si>
    <r>
      <rPr>
        <sz val="11"/>
        <color rgb="FF000000"/>
        <rFont val="Times New Roman"/>
      </rPr>
      <t>今天我收到了很多好朋友发来的</t>
    </r>
    <r>
      <rPr>
        <b/>
        <sz val="11"/>
        <color rgb="FF000000"/>
        <rFont val="Times New Roman"/>
      </rPr>
      <t>短信</t>
    </r>
    <r>
      <rPr>
        <sz val="11"/>
        <color rgb="FF000000"/>
        <rFont val="Times New Roman"/>
      </rPr>
      <t>。</t>
    </r>
  </si>
  <si>
    <t>Hôm nay tôi nhận được rất nhiều tin nhắn mà bạn thân gửi.</t>
  </si>
  <si>
    <t>H4_B2_BG5.png</t>
  </si>
  <si>
    <t>B2_5.mp3</t>
  </si>
  <si>
    <t>B2_VD_5.mp3</t>
  </si>
  <si>
    <t>而</t>
  </si>
  <si>
    <t>&lt;ruby&gt;而&lt;rt&gt;ér
&lt;/rt&gt;&lt;/ruby&gt;</t>
  </si>
  <si>
    <t xml:space="preserve">ér
</t>
  </si>
  <si>
    <t>(chỉ sự tương phản) trong khi đó, mà</t>
  </si>
  <si>
    <r>
      <rPr>
        <sz val="11"/>
        <color theme="1"/>
        <rFont val="Times New Roman"/>
      </rPr>
      <t>我喜欢踢足球，</t>
    </r>
    <r>
      <rPr>
        <b/>
        <sz val="11"/>
        <color theme="1"/>
        <rFont val="Times New Roman"/>
      </rPr>
      <t>而</t>
    </r>
    <r>
      <rPr>
        <sz val="11"/>
        <color theme="1"/>
        <rFont val="Times New Roman"/>
      </rPr>
      <t>我的朋友却喜欢打羽毛球。</t>
    </r>
  </si>
  <si>
    <t>Tôi thích chơi đá bóng, mà bạn tôi lại thích chơi cầu lông.</t>
  </si>
  <si>
    <t>H4_B2_BG6.png</t>
  </si>
  <si>
    <t>B2_6.mp3</t>
  </si>
  <si>
    <t>B2_VD_6.mp3</t>
  </si>
  <si>
    <t>丰富</t>
  </si>
  <si>
    <t>&lt;ruby&gt;丰富&lt;rt&gt;fēngfù&lt;/rt&gt;&lt;/ruby&gt;</t>
  </si>
  <si>
    <t>fēngfù</t>
  </si>
  <si>
    <t xml:space="preserve">Động từ
</t>
  </si>
  <si>
    <t>làm phong phú</t>
  </si>
  <si>
    <r>
      <rPr>
        <sz val="11"/>
        <color theme="1"/>
        <rFont val="Times New Roman"/>
      </rPr>
      <t>玩积木不仅可以</t>
    </r>
    <r>
      <rPr>
        <b/>
        <sz val="11"/>
        <color theme="1"/>
        <rFont val="Times New Roman"/>
      </rPr>
      <t>丰富</t>
    </r>
    <r>
      <rPr>
        <sz val="11"/>
        <color theme="1"/>
        <rFont val="Times New Roman"/>
      </rPr>
      <t>孩子的想象力，还能培养他们的动手能力。</t>
    </r>
  </si>
  <si>
    <t>Chơi xếp hình không chỉ làm phong phú trí tưởng tượng của trẻ mà còn rèn luyện khả năng thực hành của chúng.</t>
  </si>
  <si>
    <t>H4_B2_BG7.png</t>
  </si>
  <si>
    <t>B2_7.mp3</t>
  </si>
  <si>
    <t>B2_VD_7.mp3</t>
  </si>
  <si>
    <t>逛</t>
  </si>
  <si>
    <t>&lt;ruby&gt;逛&lt;rt&gt;guàng&lt;/rt&gt;&lt;/ruby&gt;</t>
  </si>
  <si>
    <t>guàng</t>
  </si>
  <si>
    <t>đi dạo</t>
  </si>
  <si>
    <r>
      <rPr>
        <sz val="11"/>
        <color rgb="FF000000"/>
        <rFont val="Times New Roman"/>
      </rPr>
      <t>他正在</t>
    </r>
    <r>
      <rPr>
        <b/>
        <sz val="11"/>
        <color rgb="FF000000"/>
        <rFont val="Times New Roman"/>
      </rPr>
      <t>街</t>
    </r>
    <r>
      <rPr>
        <sz val="11"/>
        <color rgb="FF000000"/>
        <rFont val="Times New Roman"/>
      </rPr>
      <t>上逛。</t>
    </r>
  </si>
  <si>
    <t>Anh ấy đang đi dạo phố.</t>
  </si>
  <si>
    <t>H4_B2_BG8.png</t>
  </si>
  <si>
    <t>B2_8.mp3</t>
  </si>
  <si>
    <t>B2_VD_8.mp3</t>
  </si>
  <si>
    <r>
      <rPr>
        <sz val="11"/>
        <color rgb="FF000000"/>
        <rFont val="Times New Roman"/>
      </rPr>
      <t>刚才</t>
    </r>
    <r>
      <rPr>
        <b/>
        <sz val="11"/>
        <color rgb="FF000000"/>
        <rFont val="Times New Roman"/>
      </rPr>
      <t>好像</t>
    </r>
    <r>
      <rPr>
        <sz val="11"/>
        <color rgb="FF000000"/>
        <rFont val="Times New Roman"/>
      </rPr>
      <t>有两只大狗走过去了。</t>
    </r>
  </si>
  <si>
    <t>及时</t>
  </si>
  <si>
    <t>&lt;ruby&gt;及时&lt;rt&gt;jíshí&lt;/rt&gt;&lt;/ruby&gt;</t>
  </si>
  <si>
    <t>jíshí</t>
  </si>
  <si>
    <t>đúng lúc, kịp thời</t>
  </si>
  <si>
    <r>
      <rPr>
        <sz val="11"/>
        <color rgb="FF000000"/>
        <rFont val="Times New Roman"/>
      </rPr>
      <t>幸好我</t>
    </r>
    <r>
      <rPr>
        <b/>
        <sz val="11"/>
        <color rgb="FF000000"/>
        <rFont val="Times New Roman"/>
      </rPr>
      <t>及时</t>
    </r>
    <r>
      <rPr>
        <sz val="11"/>
        <color rgb="FF000000"/>
        <rFont val="Times New Roman"/>
      </rPr>
      <t>赶到了上班的地方。</t>
    </r>
  </si>
  <si>
    <t>May mà tôi đến kịp giờ làm.</t>
  </si>
  <si>
    <t>H4_B2_BG10.png</t>
  </si>
  <si>
    <t>B2_10.mp3</t>
  </si>
  <si>
    <t>B2_VD_10.mp3</t>
  </si>
  <si>
    <t>交</t>
  </si>
  <si>
    <t>&lt;ruby&gt;交&lt;rt&gt;jiāo&lt;/rt&gt;&lt;/ruby&gt;</t>
  </si>
  <si>
    <t>kết giao</t>
  </si>
  <si>
    <r>
      <rPr>
        <sz val="11"/>
        <color rgb="FF000000"/>
        <rFont val="Times New Roman"/>
      </rPr>
      <t>两条路在这里</t>
    </r>
    <r>
      <rPr>
        <b/>
        <sz val="11"/>
        <color rgb="FF000000"/>
        <rFont val="Times New Roman"/>
      </rPr>
      <t>交</t>
    </r>
    <r>
      <rPr>
        <sz val="11"/>
        <color rgb="FF000000"/>
        <rFont val="Times New Roman"/>
      </rPr>
      <t>叉。</t>
    </r>
  </si>
  <si>
    <t>Hai con đường giao nhau.</t>
  </si>
  <si>
    <t>H4_B2_BG11.png</t>
  </si>
  <si>
    <t>B2_11.mp3</t>
  </si>
  <si>
    <t>B2_VD_11.mp3</t>
  </si>
  <si>
    <t>交流</t>
  </si>
  <si>
    <t>&lt;ruby&gt;交流&lt;rt&gt;jiāoliú&lt;/rt&gt;&lt;/ruby&gt;</t>
  </si>
  <si>
    <t>jiāoliú</t>
  </si>
  <si>
    <t>giao lưu, trao đổi</t>
  </si>
  <si>
    <r>
      <rPr>
        <sz val="11"/>
        <color rgb="FF000000"/>
        <rFont val="Times New Roman"/>
      </rPr>
      <t>他们正在愉快地</t>
    </r>
    <r>
      <rPr>
        <b/>
        <sz val="11"/>
        <color rgb="FF000000"/>
        <rFont val="Times New Roman"/>
      </rPr>
      <t>交流</t>
    </r>
    <r>
      <rPr>
        <sz val="11"/>
        <color rgb="FF000000"/>
        <rFont val="Times New Roman"/>
      </rPr>
      <t>。</t>
    </r>
  </si>
  <si>
    <t>Họ đang giao lưu rất vui vẻ.</t>
  </si>
  <si>
    <t>H4_B2_BG12.png</t>
  </si>
  <si>
    <t>B2_12.mp3</t>
  </si>
  <si>
    <t>B2_VD_12.mp3</t>
  </si>
  <si>
    <t>尽管</t>
  </si>
  <si>
    <t>&lt;ruby&gt;尽管&lt;rt&gt;jǐnguǎn&lt;/rt&gt;&lt;/ruby&gt;</t>
  </si>
  <si>
    <t>jǐnguǎn</t>
  </si>
  <si>
    <t>cho dù, măc dù</t>
  </si>
  <si>
    <r>
      <rPr>
        <b/>
        <sz val="11"/>
        <color rgb="FF000000"/>
        <rFont val="Times New Roman"/>
      </rPr>
      <t>尽管</t>
    </r>
    <r>
      <rPr>
        <sz val="11"/>
        <color rgb="FF000000"/>
        <rFont val="Times New Roman"/>
      </rPr>
      <t>我很努力复习，也没能拿到最高分。</t>
    </r>
  </si>
  <si>
    <t>Cho dù tôi ôn tập chăm chỉ cỡ nào cũng không được điểm cao nhất.</t>
  </si>
  <si>
    <t>H4_B2_BG13.png</t>
  </si>
  <si>
    <t>B2_13.mp3</t>
  </si>
  <si>
    <t>B2_VD_13.mp3</t>
  </si>
  <si>
    <t>镜子</t>
  </si>
  <si>
    <t>&lt;ruby&gt;镜子&lt;rt&gt;jìngzi&lt;/rt&gt;&lt;/ruby&gt;</t>
  </si>
  <si>
    <t>jìngzi</t>
  </si>
  <si>
    <t>gương, gương soi</t>
  </si>
  <si>
    <r>
      <rPr>
        <sz val="11"/>
        <color rgb="FF000000"/>
        <rFont val="Times New Roman"/>
      </rPr>
      <t>她对着</t>
    </r>
    <r>
      <rPr>
        <b/>
        <sz val="11"/>
        <color rgb="FF000000"/>
        <rFont val="Times New Roman"/>
      </rPr>
      <t>镜子</t>
    </r>
    <r>
      <rPr>
        <sz val="11"/>
        <color rgb="FF000000"/>
        <rFont val="Times New Roman"/>
      </rPr>
      <t>欣赏自己新买的裙子。</t>
    </r>
  </si>
  <si>
    <t>Cô ấy soi gương ngắm nhìn chiếc váy mới mua.</t>
  </si>
  <si>
    <t>H4_B2_BG14.png</t>
  </si>
  <si>
    <t>B2_14.mp3</t>
  </si>
  <si>
    <t>B2_VD_14.mp3</t>
  </si>
  <si>
    <t>聚会</t>
  </si>
  <si>
    <t>&lt;ruby&gt;聚会&lt;rt&gt;jùhui&lt;/rt&gt;&lt;/ruby&gt;</t>
  </si>
  <si>
    <t>jùhui</t>
  </si>
  <si>
    <t>gặp gỡ; cuộc họp mật</t>
  </si>
  <si>
    <r>
      <rPr>
        <sz val="11"/>
        <color rgb="FF000000"/>
        <rFont val="Times New Roman"/>
      </rPr>
      <t>今天是圣诞节，所以我们决定举办一次</t>
    </r>
    <r>
      <rPr>
        <b/>
        <sz val="11"/>
        <color rgb="FF000000"/>
        <rFont val="Times New Roman"/>
      </rPr>
      <t>聚会</t>
    </r>
    <r>
      <rPr>
        <sz val="11"/>
        <color rgb="FF000000"/>
        <rFont val="Times New Roman"/>
      </rPr>
      <t>来庆祝。</t>
    </r>
  </si>
  <si>
    <t>Hôm nay là giáng sinh nên chúng tôi quyết định tổ chức một cuộc họp mặt ăn mừng ngày lễ này.</t>
  </si>
  <si>
    <t>H4_B2_BG15.png</t>
  </si>
  <si>
    <t>B2_15.mp3</t>
  </si>
  <si>
    <t>B2_VD_15.mp3</t>
  </si>
  <si>
    <t>困难</t>
  </si>
  <si>
    <t>&lt;ruby&gt;困难&lt;rt&gt;kùnnan&lt;/rt&gt;&lt;/ruby&gt;</t>
  </si>
  <si>
    <t>kùnnan</t>
  </si>
  <si>
    <t xml:space="preserve">Danh từ
</t>
  </si>
  <si>
    <t>khó khăn</t>
  </si>
  <si>
    <r>
      <rPr>
        <sz val="11"/>
        <color rgb="FF000000"/>
        <rFont val="Times New Roman"/>
      </rPr>
      <t xml:space="preserve"> 他遇到了一个无法自己解决的</t>
    </r>
    <r>
      <rPr>
        <b/>
        <sz val="11"/>
        <color rgb="FF000000"/>
        <rFont val="Times New Roman"/>
      </rPr>
      <t>困难</t>
    </r>
    <r>
      <rPr>
        <sz val="11"/>
        <color rgb="FF000000"/>
        <rFont val="Times New Roman"/>
      </rPr>
      <t>。</t>
    </r>
  </si>
  <si>
    <t>Anh ấy gặp khó khăn mà không thể tự giải quyết được.</t>
  </si>
  <si>
    <t>H4_B2_BG16.png</t>
  </si>
  <si>
    <t>B2_16.mp3</t>
  </si>
  <si>
    <t>B2_VD_16.mp3</t>
  </si>
  <si>
    <t>理解</t>
  </si>
  <si>
    <t>&lt;ruby&gt;理解&lt;rt&gt;lǐjiě&lt;/rt&gt;&lt;/ruby&gt;</t>
  </si>
  <si>
    <t>lǐjiě</t>
  </si>
  <si>
    <t xml:space="preserve">hiểu </t>
  </si>
  <si>
    <r>
      <rPr>
        <sz val="11"/>
        <color rgb="FF000000"/>
        <rFont val="Times New Roman"/>
      </rPr>
      <t>这个问题很简单，我完全能</t>
    </r>
    <r>
      <rPr>
        <b/>
        <sz val="11"/>
        <color rgb="FF000000"/>
        <rFont val="Times New Roman"/>
      </rPr>
      <t>理解</t>
    </r>
    <r>
      <rPr>
        <sz val="11"/>
        <color rgb="FF000000"/>
        <rFont val="Times New Roman"/>
      </rPr>
      <t>。</t>
    </r>
  </si>
  <si>
    <t>Vấn đề này đơn giản, tôi có thể hiểu được.</t>
  </si>
  <si>
    <t>H4_B2_BG17.png</t>
  </si>
  <si>
    <t>B2_17.mp3</t>
  </si>
  <si>
    <t>B2_VD_17.mp3</t>
  </si>
  <si>
    <r>
      <rPr>
        <sz val="11"/>
        <color rgb="FF000000"/>
        <rFont val="Times New Roman"/>
      </rPr>
      <t>他正在和客户</t>
    </r>
    <r>
      <rPr>
        <b/>
        <sz val="11"/>
        <color rgb="FF000000"/>
        <rFont val="Times New Roman"/>
      </rPr>
      <t>联系</t>
    </r>
    <r>
      <rPr>
        <sz val="11"/>
        <color rgb="FF000000"/>
        <rFont val="Times New Roman"/>
      </rPr>
      <t>。</t>
    </r>
  </si>
  <si>
    <t>陪</t>
  </si>
  <si>
    <t>&lt;ruby&gt;陪&lt;rt&gt;péi&lt;/rt&gt;&lt;/ruby&gt;</t>
  </si>
  <si>
    <t>péi</t>
  </si>
  <si>
    <t>đi cùng, ở bên cạnh</t>
  </si>
  <si>
    <r>
      <rPr>
        <sz val="11"/>
        <color rgb="FF000000"/>
        <rFont val="Times New Roman"/>
      </rPr>
      <t>爸爸</t>
    </r>
    <r>
      <rPr>
        <b/>
        <sz val="11"/>
        <color rgb="FF000000"/>
        <rFont val="Times New Roman"/>
      </rPr>
      <t>陪</t>
    </r>
    <r>
      <rPr>
        <sz val="11"/>
        <color rgb="FF000000"/>
        <rFont val="Times New Roman"/>
      </rPr>
      <t>着我聊了聊今天的事情。</t>
    </r>
  </si>
  <si>
    <t>Bố cùng tôi nói chuyện về ngày hôm nay.</t>
  </si>
  <si>
    <t>H4_B2_BG19.png</t>
  </si>
  <si>
    <t>B2_19.mp3</t>
  </si>
  <si>
    <t>B2_VD_19.mp3</t>
  </si>
  <si>
    <r>
      <rPr>
        <b/>
        <sz val="11"/>
        <color rgb="FF000000"/>
        <rFont val="Times New Roman"/>
      </rPr>
      <t xml:space="preserve"> 平时</t>
    </r>
    <r>
      <rPr>
        <sz val="11"/>
        <color rgb="FF000000"/>
        <rFont val="Times New Roman"/>
      </rPr>
      <t>我会帮妈妈打扫房子。</t>
    </r>
  </si>
  <si>
    <t>却</t>
  </si>
  <si>
    <t>&lt;ruby&gt;却&lt;rt&gt;què&lt;/rt&gt;&lt;/ruby&gt;</t>
  </si>
  <si>
    <t>què</t>
  </si>
  <si>
    <t>lại, nhưng mà</t>
  </si>
  <si>
    <r>
      <rPr>
        <sz val="11"/>
        <color theme="1"/>
        <rFont val="Times New Roman"/>
      </rPr>
      <t>他想去公园，</t>
    </r>
    <r>
      <rPr>
        <b/>
        <sz val="11"/>
        <color theme="1"/>
        <rFont val="Times New Roman"/>
      </rPr>
      <t>却</t>
    </r>
    <r>
      <rPr>
        <sz val="11"/>
        <color theme="1"/>
        <rFont val="Times New Roman"/>
      </rPr>
      <t>下起了雨。</t>
    </r>
  </si>
  <si>
    <t>Anh ấy muốn đi công viên, nhưng trời lại mưa.</t>
  </si>
  <si>
    <t>H4_B2_BG21.png</t>
  </si>
  <si>
    <t>B2_21.mp3</t>
  </si>
  <si>
    <t>B2_VD_21.mp3</t>
  </si>
  <si>
    <t>适应</t>
  </si>
  <si>
    <t>&lt;ruby&gt;适应&lt;rt&gt;shìyìng&lt;/rt&gt;&lt;/ruby&gt;</t>
  </si>
  <si>
    <t>shìyìng</t>
  </si>
  <si>
    <t>thích nghi</t>
  </si>
  <si>
    <r>
      <rPr>
        <sz val="11"/>
        <color rgb="FF000000"/>
        <rFont val="Times New Roman"/>
      </rPr>
      <t>尽管她住在南方，但已经</t>
    </r>
    <r>
      <rPr>
        <b/>
        <sz val="11"/>
        <color rgb="FF000000"/>
        <rFont val="Times New Roman"/>
      </rPr>
      <t>适应</t>
    </r>
    <r>
      <rPr>
        <sz val="11"/>
        <color rgb="FF000000"/>
        <rFont val="Times New Roman"/>
      </rPr>
      <t>了北方的寒冷天气。</t>
    </r>
  </si>
  <si>
    <t>Tuy cô ấy ở miền nam nhưng đã thích ứng được với thời tiết lạnh giá của miền bắc.</t>
  </si>
  <si>
    <t>H4_B2_BG22.png</t>
  </si>
  <si>
    <t>B2_22.mp3</t>
  </si>
  <si>
    <t>B2_VD_22.mp3</t>
  </si>
  <si>
    <t>讨厌</t>
  </si>
  <si>
    <t>&lt;ruby&gt;讨厌&lt;rt&gt;tǎoyàn&lt;/rt&gt;&lt;/ruby&gt;</t>
  </si>
  <si>
    <t>tǎoyàn</t>
  </si>
  <si>
    <t>ghét, không thích</t>
  </si>
  <si>
    <r>
      <rPr>
        <sz val="11"/>
        <color rgb="FF000000"/>
        <rFont val="Times New Roman"/>
      </rPr>
      <t>她非常</t>
    </r>
    <r>
      <rPr>
        <b/>
        <sz val="11"/>
        <color rgb="FF000000"/>
        <rFont val="Times New Roman"/>
      </rPr>
      <t>讨厌</t>
    </r>
    <r>
      <rPr>
        <sz val="11"/>
        <color rgb="FF000000"/>
        <rFont val="Times New Roman"/>
      </rPr>
      <t>吃快餐。</t>
    </r>
  </si>
  <si>
    <t>Cô ấy rất ghét đồ ăn nhanh.</t>
  </si>
  <si>
    <t>H4_B2_BG23.png</t>
  </si>
  <si>
    <t>B2_23.mp3</t>
  </si>
  <si>
    <t>B2_VD_23.mp3</t>
  </si>
  <si>
    <t>无聊</t>
  </si>
  <si>
    <t>&lt;ruby&gt;无聊&lt;rt&gt;wúliáo&lt;/rt&gt;&lt;/ruby&gt;</t>
  </si>
  <si>
    <t>wúliáo</t>
  </si>
  <si>
    <t>vô vị, nhàm chán</t>
  </si>
  <si>
    <r>
      <rPr>
        <sz val="11"/>
        <color theme="1"/>
        <rFont val="Times New Roman"/>
      </rPr>
      <t>他觉得这部电影很</t>
    </r>
    <r>
      <rPr>
        <b/>
        <sz val="11"/>
        <color theme="1"/>
        <rFont val="Times New Roman"/>
      </rPr>
      <t>无聊</t>
    </r>
    <r>
      <rPr>
        <sz val="11"/>
        <color theme="1"/>
        <rFont val="Times New Roman"/>
      </rPr>
      <t>。</t>
    </r>
  </si>
  <si>
    <t>Anh ấy cảm thấy bộ phim này rất nhàm chán.</t>
  </si>
  <si>
    <t>H4_B2_BG24.png</t>
  </si>
  <si>
    <t>B2_24.mp3</t>
  </si>
  <si>
    <t>B2_VD_24.mp3</t>
  </si>
  <si>
    <t>友谊</t>
  </si>
  <si>
    <t>&lt;ruby&gt;友谊&lt;rt&gt;Yǒuyì&lt;/rt&gt;&lt;/ruby&gt;</t>
  </si>
  <si>
    <t>Yǒuyì</t>
  </si>
  <si>
    <t>tình bạn</t>
  </si>
  <si>
    <r>
      <rPr>
        <sz val="11"/>
        <color rgb="FF000000"/>
        <rFont val="Times New Roman"/>
      </rPr>
      <t>他们的</t>
    </r>
    <r>
      <rPr>
        <b/>
        <sz val="11"/>
        <color rgb="FF000000"/>
        <rFont val="Times New Roman"/>
      </rPr>
      <t>友谊</t>
    </r>
    <r>
      <rPr>
        <sz val="11"/>
        <color rgb="FF000000"/>
        <rFont val="Times New Roman"/>
      </rPr>
      <t>非常美好。</t>
    </r>
  </si>
  <si>
    <t>Tình bạn của họ rất tuyệt vời.</t>
  </si>
  <si>
    <t>H4_B2_BG25.png</t>
  </si>
  <si>
    <t>B2_25.mp3</t>
  </si>
  <si>
    <t>B2_VD_25.mp3</t>
  </si>
  <si>
    <t>chân chính, thật sự</t>
  </si>
  <si>
    <r>
      <rPr>
        <sz val="11"/>
        <color rgb="FF000000"/>
        <rFont val="Times New Roman"/>
      </rPr>
      <t>她是一位</t>
    </r>
    <r>
      <rPr>
        <b/>
        <sz val="11"/>
        <color rgb="FF000000"/>
        <rFont val="Times New Roman"/>
      </rPr>
      <t>真正</t>
    </r>
    <r>
      <rPr>
        <sz val="11"/>
        <color rgb="FF000000"/>
        <rFont val="Times New Roman"/>
      </rPr>
      <t>的老师。</t>
    </r>
  </si>
  <si>
    <t>Cô ấy là một giáo viên chân chính.</t>
  </si>
  <si>
    <t>H4_B2_BG26.png</t>
  </si>
  <si>
    <t>B2_26.mp3</t>
  </si>
  <si>
    <t>B2_VD_26.mp3</t>
  </si>
  <si>
    <t>正好</t>
  </si>
  <si>
    <t>&lt;ruby&gt;正好&lt;rt&gt;zhènghǎo&lt;/rt&gt;&lt;/ruby&gt;</t>
  </si>
  <si>
    <t>zhènghǎo</t>
  </si>
  <si>
    <t>đúng lúc, được dịp, gặp dịp</t>
  </si>
  <si>
    <r>
      <rPr>
        <sz val="11"/>
        <color rgb="FF000000"/>
        <rFont val="Times New Roman"/>
      </rPr>
      <t>好久不见，</t>
    </r>
    <r>
      <rPr>
        <b/>
        <sz val="11"/>
        <color rgb="FF000000"/>
        <rFont val="Times New Roman"/>
      </rPr>
      <t>正好</t>
    </r>
    <r>
      <rPr>
        <sz val="11"/>
        <color rgb="FF000000"/>
        <rFont val="Times New Roman"/>
      </rPr>
      <t>在这里遇到了你。</t>
    </r>
  </si>
  <si>
    <t>Lâu lắm không gặp, vậy mà tình cờ gặp được bạn ở đây.</t>
  </si>
  <si>
    <t>H4_B2_BG27.png</t>
  </si>
  <si>
    <t>B2_27.mp3</t>
  </si>
  <si>
    <t>B2_VD_27.mp3</t>
  </si>
  <si>
    <t>周围</t>
  </si>
  <si>
    <t>&lt;ruby&gt;周围&lt;rt&gt;zhōuwéi&lt;/rt&gt;&lt;/ruby&gt;</t>
  </si>
  <si>
    <t>zhōuwéi</t>
  </si>
  <si>
    <t>xung quanh</t>
  </si>
  <si>
    <r>
      <rPr>
        <sz val="11"/>
        <color theme="1"/>
        <rFont val="Times New Roman"/>
      </rPr>
      <t>我家</t>
    </r>
    <r>
      <rPr>
        <b/>
        <sz val="11"/>
        <color theme="1"/>
        <rFont val="Times New Roman"/>
      </rPr>
      <t>周围</t>
    </r>
    <r>
      <rPr>
        <sz val="11"/>
        <color theme="1"/>
        <rFont val="Times New Roman"/>
      </rPr>
      <t>有很多树。</t>
    </r>
  </si>
  <si>
    <t>Xung quanh nhà tôi có rất nhiều cây.</t>
  </si>
  <si>
    <t>H4_B2_BG28.png</t>
  </si>
  <si>
    <t>B2_28.mp3</t>
  </si>
  <si>
    <t>B2_VD_28.mp3</t>
  </si>
  <si>
    <t>专门</t>
  </si>
  <si>
    <t>&lt;ruby&gt;专门&lt;rt&gt;zhuānmén&lt;/rt&gt;&lt;/ruby&gt;</t>
  </si>
  <si>
    <t>zhuānmén</t>
  </si>
  <si>
    <t>đặc biệt, riêng biệt</t>
  </si>
  <si>
    <r>
      <rPr>
        <sz val="11"/>
        <color theme="1"/>
        <rFont val="Times New Roman"/>
      </rPr>
      <t>这家店</t>
    </r>
    <r>
      <rPr>
        <b/>
        <sz val="11"/>
        <color theme="1"/>
        <rFont val="Times New Roman"/>
      </rPr>
      <t>专门</t>
    </r>
    <r>
      <rPr>
        <sz val="11"/>
        <color theme="1"/>
        <rFont val="Times New Roman"/>
      </rPr>
      <t>卖中国菜。</t>
    </r>
  </si>
  <si>
    <t>Quán này chuyên bán món ăn Trung Quốc.</t>
  </si>
  <si>
    <t>H4_B2_BG29.png</t>
  </si>
  <si>
    <t>B2_29.mp3</t>
  </si>
  <si>
    <t>B2_VD_29.mp3</t>
  </si>
  <si>
    <r>
      <rPr>
        <sz val="11"/>
        <color rgb="FF000000"/>
        <rFont val="Times New Roman"/>
      </rPr>
      <t>他们用</t>
    </r>
    <r>
      <rPr>
        <b/>
        <sz val="11"/>
        <color rgb="FF000000"/>
        <rFont val="Times New Roman"/>
      </rPr>
      <t>不同</t>
    </r>
    <r>
      <rPr>
        <sz val="11"/>
        <color rgb="FF000000"/>
        <rFont val="Times New Roman"/>
      </rPr>
      <t>的语言交流。</t>
    </r>
  </si>
  <si>
    <r>
      <rPr>
        <sz val="11"/>
        <color rgb="FF000000"/>
        <rFont val="Times New Roman"/>
      </rPr>
      <t>她</t>
    </r>
    <r>
      <rPr>
        <b/>
        <sz val="11"/>
        <color rgb="FF000000"/>
        <rFont val="Times New Roman"/>
      </rPr>
      <t>感到</t>
    </r>
    <r>
      <rPr>
        <sz val="11"/>
        <color rgb="FF000000"/>
        <rFont val="Times New Roman"/>
      </rPr>
      <t>今天的饭菜非常美味。</t>
    </r>
  </si>
  <si>
    <r>
      <rPr>
        <sz val="11"/>
        <color rgb="FF000000"/>
        <rFont val="Times New Roman"/>
      </rPr>
      <t>我们正在等着过</t>
    </r>
    <r>
      <rPr>
        <b/>
        <sz val="11"/>
        <color rgb="FF000000"/>
        <rFont val="Times New Roman"/>
      </rPr>
      <t>街</t>
    </r>
    <r>
      <rPr>
        <sz val="11"/>
        <color rgb="FF000000"/>
        <rFont val="Times New Roman"/>
      </rPr>
      <t>。</t>
    </r>
  </si>
  <si>
    <r>
      <rPr>
        <sz val="11"/>
        <color rgb="FF000000"/>
        <rFont val="Times New Roman"/>
      </rPr>
      <t>我</t>
    </r>
    <r>
      <rPr>
        <b/>
        <sz val="11"/>
        <color rgb="FF000000"/>
        <rFont val="Times New Roman"/>
      </rPr>
      <t>身边</t>
    </r>
    <r>
      <rPr>
        <sz val="11"/>
        <color rgb="FF000000"/>
        <rFont val="Times New Roman"/>
      </rPr>
      <t>是我最好的朋友。</t>
    </r>
  </si>
  <si>
    <r>
      <rPr>
        <sz val="11"/>
        <color rgb="FF000000"/>
        <rFont val="Times New Roman"/>
      </rPr>
      <t xml:space="preserve"> 我们的</t>
    </r>
    <r>
      <rPr>
        <b/>
        <sz val="11"/>
        <color rgb="FF000000"/>
        <rFont val="Times New Roman"/>
      </rPr>
      <t>校园</t>
    </r>
    <r>
      <rPr>
        <sz val="11"/>
        <color rgb="FF000000"/>
        <rFont val="Times New Roman"/>
      </rPr>
      <t>非常宽敞。</t>
    </r>
  </si>
  <si>
    <t>安排</t>
  </si>
  <si>
    <t>&lt;ruby&gt;安排&lt;rt&gt;ānpái&lt;/rt&gt;&lt;/ruby&gt;</t>
  </si>
  <si>
    <t>ānpái</t>
  </si>
  <si>
    <t>sắp xếp</t>
  </si>
  <si>
    <r>
      <rPr>
        <sz val="11"/>
        <color theme="1"/>
        <rFont val="Times New Roman"/>
      </rPr>
      <t>老师</t>
    </r>
    <r>
      <rPr>
        <b/>
        <sz val="11"/>
        <color theme="1"/>
        <rFont val="Times New Roman"/>
      </rPr>
      <t>安排</t>
    </r>
    <r>
      <rPr>
        <sz val="11"/>
        <color theme="1"/>
        <rFont val="Times New Roman"/>
      </rPr>
      <t>我们明天打扫教室。</t>
    </r>
  </si>
  <si>
    <t>Giáo viên sắp xếp cho chúng tôi dọn dẹp lớp học ngày mai.</t>
  </si>
  <si>
    <t>H4_B3_BG1.png</t>
  </si>
  <si>
    <t>B3_1.mp3</t>
  </si>
  <si>
    <t>B3_VD_1.mp3</t>
  </si>
  <si>
    <t>本来</t>
  </si>
  <si>
    <t>&lt;ruby&gt;本来&lt;rt&gt;běnlái&lt;/rt&gt;&lt;/ruby&gt;</t>
  </si>
  <si>
    <t>běnlái</t>
  </si>
  <si>
    <t>lúc đầu, trước đây, vốn dĩ</t>
  </si>
  <si>
    <r>
      <rPr>
        <sz val="11"/>
        <color rgb="FF000000"/>
        <rFont val="Times New Roman"/>
      </rPr>
      <t>垃圾</t>
    </r>
    <r>
      <rPr>
        <b/>
        <sz val="11"/>
        <color rgb="FF000000"/>
        <rFont val="Times New Roman"/>
      </rPr>
      <t>本来</t>
    </r>
    <r>
      <rPr>
        <sz val="11"/>
        <color rgb="FF000000"/>
        <rFont val="Times New Roman"/>
      </rPr>
      <t>应该扔进垃圾桶，而不是丢进河里。</t>
    </r>
  </si>
  <si>
    <t>Rác vốn dĩ nên được vứt vào thùng rác, chứ không phải ném xuống sông.</t>
  </si>
  <si>
    <t>H4_B3_BG2.png</t>
  </si>
  <si>
    <t>B3_2.mp3</t>
  </si>
  <si>
    <t>B3_VD_2.mp3</t>
  </si>
  <si>
    <t>不管</t>
  </si>
  <si>
    <t>&lt;ruby&gt;不管&lt;rt&gt;bùguăn&lt;/rt&gt;&lt;/ruby&gt;</t>
  </si>
  <si>
    <t>bùguăn</t>
  </si>
  <si>
    <t>bất kể, bất luận</t>
  </si>
  <si>
    <r>
      <rPr>
        <b/>
        <sz val="11"/>
        <color rgb="FF000000"/>
        <rFont val="Times New Roman"/>
      </rPr>
      <t>不管</t>
    </r>
    <r>
      <rPr>
        <sz val="11"/>
        <color rgb="FF000000"/>
        <rFont val="Times New Roman"/>
      </rPr>
      <t>父母怎么反对，我还是决定出国留学。</t>
    </r>
  </si>
  <si>
    <t>Cho dù bố mẹ ngăn cản thế nào, tôi vẫn sẽ đi du học.</t>
  </si>
  <si>
    <t>H4_B3_BG3.png</t>
  </si>
  <si>
    <t>B3_3.mp3</t>
  </si>
  <si>
    <t>B3_VD_3.mp3</t>
  </si>
  <si>
    <t>材料</t>
  </si>
  <si>
    <t>&lt;ruby&gt;材料&lt;rt&gt;cáiliào&lt;/rt&gt;&lt;/ruby&gt;</t>
  </si>
  <si>
    <t>cáiliào</t>
  </si>
  <si>
    <t>tư liệu, tài liệu</t>
  </si>
  <si>
    <r>
      <rPr>
        <sz val="11"/>
        <color rgb="FF000000"/>
        <rFont val="Times New Roman"/>
      </rPr>
      <t>他已经准备好了下午会议需要的</t>
    </r>
    <r>
      <rPr>
        <b/>
        <sz val="11"/>
        <color rgb="FF000000"/>
        <rFont val="Times New Roman"/>
      </rPr>
      <t>材料</t>
    </r>
    <r>
      <rPr>
        <sz val="11"/>
        <color rgb="FF000000"/>
        <rFont val="Times New Roman"/>
      </rPr>
      <t>。</t>
    </r>
  </si>
  <si>
    <t>Anh ấy đã chuẩn bị xong tài liệu cho cuộc họp vào chiều nay.</t>
  </si>
  <si>
    <t>H4_B3_BG4.png</t>
  </si>
  <si>
    <t>B3_4.mp3</t>
  </si>
  <si>
    <t>B3_VD_4.mp3</t>
  </si>
  <si>
    <t>诚实</t>
  </si>
  <si>
    <t>&lt;ruby&gt;诚实&lt;rt&gt;chéngshí&lt;/rt&gt;&lt;/ruby&gt;</t>
  </si>
  <si>
    <t>chéngshí</t>
  </si>
  <si>
    <t>thành thật</t>
  </si>
  <si>
    <r>
      <rPr>
        <sz val="11"/>
        <color rgb="FF000000"/>
        <rFont val="Times New Roman"/>
      </rPr>
      <t>他们因为昨天的误会，</t>
    </r>
    <r>
      <rPr>
        <b/>
        <sz val="11"/>
        <color rgb="FF000000"/>
        <rFont val="Times New Roman"/>
      </rPr>
      <t>诚实</t>
    </r>
    <r>
      <rPr>
        <sz val="11"/>
        <color rgb="FF000000"/>
        <rFont val="Times New Roman"/>
      </rPr>
      <t>地向对方道歉了。</t>
    </r>
  </si>
  <si>
    <t>Họ thành thật xin lỗi nhau vì mâu thuẫn hôm qua.</t>
  </si>
  <si>
    <t>H4_B3_BG5.png</t>
  </si>
  <si>
    <t>B3_5.mp3</t>
  </si>
  <si>
    <t>B3_VD_5.mp3</t>
  </si>
  <si>
    <t>符合</t>
  </si>
  <si>
    <t>&lt;ruby&gt;符合&lt;rt&gt;fúhé&lt;/rt&gt;&lt;/ruby&gt;</t>
  </si>
  <si>
    <t>fúhé</t>
  </si>
  <si>
    <r>
      <rPr>
        <sz val="11"/>
        <color rgb="FF000000"/>
        <rFont val="Times New Roman"/>
      </rPr>
      <t>她觉得这件裙子很</t>
    </r>
    <r>
      <rPr>
        <b/>
        <sz val="11"/>
        <color rgb="FF000000"/>
        <rFont val="Times New Roman"/>
      </rPr>
      <t>符合</t>
    </r>
    <r>
      <rPr>
        <sz val="11"/>
        <color rgb="FF000000"/>
        <rFont val="Times New Roman"/>
      </rPr>
      <t>我的气质。</t>
    </r>
  </si>
  <si>
    <t>Cô ấy thấy bộ váy này rất hợp với tôi.</t>
  </si>
  <si>
    <t>H4_B3_BG6.png</t>
  </si>
  <si>
    <t>B3_6.mp3</t>
  </si>
  <si>
    <t>B3_VD_6.mp3</t>
  </si>
  <si>
    <t>负责</t>
  </si>
  <si>
    <t>&lt;ruby&gt;负责&lt;rt&gt;fùzé&lt;/rt&gt;&lt;/ruby&gt;</t>
  </si>
  <si>
    <t>fùzé</t>
  </si>
  <si>
    <t>Phụ trách, chịu trách nhiệm</t>
  </si>
  <si>
    <r>
      <rPr>
        <sz val="11"/>
        <color rgb="FF000000"/>
        <rFont val="Times New Roman"/>
      </rPr>
      <t>他</t>
    </r>
    <r>
      <rPr>
        <b/>
        <sz val="11"/>
        <color rgb="FF000000"/>
        <rFont val="Times New Roman"/>
      </rPr>
      <t>负责</t>
    </r>
    <r>
      <rPr>
        <sz val="11"/>
        <color rgb="FF000000"/>
        <rFont val="Times New Roman"/>
      </rPr>
      <t>照顾这棵小树苗。</t>
    </r>
  </si>
  <si>
    <t>Anh ấy phụ trách chăm sóc cây con này.</t>
  </si>
  <si>
    <t>H4_B3_BG7.png</t>
  </si>
  <si>
    <t>B3_7.mp3</t>
  </si>
  <si>
    <t>B3_VD_7.mp3</t>
  </si>
  <si>
    <t>改变</t>
  </si>
  <si>
    <t>&lt;ruby&gt;改变&lt;rt&gt;găibiàn&lt;/rt&gt;&lt;/ruby&gt;</t>
  </si>
  <si>
    <t>găibiàn</t>
  </si>
  <si>
    <t xml:space="preserve">thay đổi
</t>
  </si>
  <si>
    <r>
      <rPr>
        <sz val="11"/>
        <color rgb="FF000000"/>
        <rFont val="Times New Roman"/>
      </rPr>
      <t>我会努力</t>
    </r>
    <r>
      <rPr>
        <b/>
        <sz val="11"/>
        <color rgb="FF000000"/>
        <rFont val="Times New Roman"/>
      </rPr>
      <t>改变</t>
    </r>
    <r>
      <rPr>
        <sz val="11"/>
        <color rgb="FF000000"/>
        <rFont val="Times New Roman"/>
      </rPr>
      <t>自己，让自己更瘦更漂亮。</t>
    </r>
  </si>
  <si>
    <t>Tôi sẽ cố gắng thay đổi bản thân, trở nên gầy và đẹp hơn.</t>
  </si>
  <si>
    <t>H4_B3_BG8.png</t>
  </si>
  <si>
    <t>B3_8.mp3</t>
  </si>
  <si>
    <t>B3_VD_8.mp3</t>
  </si>
  <si>
    <t>感觉</t>
  </si>
  <si>
    <t>&lt;ruby&gt;感觉&lt;rt&gt;gănjué&lt;/rt&gt;&lt;/ruby&gt;</t>
  </si>
  <si>
    <t>gănjué</t>
  </si>
  <si>
    <t>cảm giác, cảm nghĩ</t>
  </si>
  <si>
    <r>
      <rPr>
        <sz val="11"/>
        <color rgb="FF000000"/>
        <rFont val="Times New Roman"/>
      </rPr>
      <t>坐飞机的时候，我</t>
    </r>
    <r>
      <rPr>
        <b/>
        <sz val="11"/>
        <color rgb="FF000000"/>
        <rFont val="Times New Roman"/>
      </rPr>
      <t>感觉</t>
    </r>
    <r>
      <rPr>
        <sz val="11"/>
        <color rgb="FF000000"/>
        <rFont val="Times New Roman"/>
      </rPr>
      <t>非常开心。</t>
    </r>
  </si>
  <si>
    <t>Tôi cảm thấy rất vui vẻ khi đi máy bay.</t>
  </si>
  <si>
    <t>H4_B3_BG9.png</t>
  </si>
  <si>
    <t>B3_9.mp3</t>
  </si>
  <si>
    <t>B3_VD_9.mp3</t>
  </si>
  <si>
    <t>顾客</t>
  </si>
  <si>
    <t>&lt;ruby&gt;顾客&lt;rt&gt;gùkè&lt;/rt&gt;&lt;/ruby&gt;</t>
  </si>
  <si>
    <t>gùkè</t>
  </si>
  <si>
    <t>khách hàng</t>
  </si>
  <si>
    <r>
      <rPr>
        <sz val="11"/>
        <color rgb="FF000000"/>
        <rFont val="Times New Roman"/>
      </rPr>
      <t>我们总是尽力为</t>
    </r>
    <r>
      <rPr>
        <b/>
        <sz val="11"/>
        <color rgb="FF000000"/>
        <rFont val="Times New Roman"/>
      </rPr>
      <t>顾客</t>
    </r>
    <r>
      <rPr>
        <sz val="11"/>
        <color rgb="FF000000"/>
        <rFont val="Times New Roman"/>
      </rPr>
      <t>提供最好的服务。</t>
    </r>
  </si>
  <si>
    <t>Chúng tôi luôn sẵn lòng phục vụ khách hàng một cách tốt nhất.</t>
  </si>
  <si>
    <t>H4_B3_BG10.png</t>
  </si>
  <si>
    <t>B3_10.mp3</t>
  </si>
  <si>
    <t>B3_VD_10.mp3</t>
  </si>
  <si>
    <r>
      <rPr>
        <sz val="11"/>
        <color rgb="FF000000"/>
        <rFont val="Times New Roman"/>
      </rPr>
      <t>快轮到我面试了，我感到非常</t>
    </r>
    <r>
      <rPr>
        <b/>
        <sz val="11"/>
        <color rgb="FF000000"/>
        <rFont val="Times New Roman"/>
      </rPr>
      <t>紧张</t>
    </r>
    <r>
      <rPr>
        <sz val="11"/>
        <color rgb="FF000000"/>
        <rFont val="Times New Roman"/>
      </rPr>
      <t xml:space="preserve">。 </t>
    </r>
  </si>
  <si>
    <t>另外</t>
  </si>
  <si>
    <t>&lt;ruby&gt;另外&lt;rt&gt;lìngwài&lt;/rt&gt;&lt;/ruby&gt;</t>
  </si>
  <si>
    <t>lìngwài</t>
  </si>
  <si>
    <t xml:space="preserve">ngoài ra
</t>
  </si>
  <si>
    <r>
      <rPr>
        <sz val="11"/>
        <color rgb="FF000000"/>
        <rFont val="Times New Roman"/>
      </rPr>
      <t>她学习很好，</t>
    </r>
    <r>
      <rPr>
        <b/>
        <sz val="11"/>
        <color rgb="FF000000"/>
        <rFont val="Times New Roman"/>
      </rPr>
      <t>另外</t>
    </r>
    <r>
      <rPr>
        <sz val="11"/>
        <color rgb="FF000000"/>
        <rFont val="Times New Roman"/>
      </rPr>
      <t>还擅长运动。</t>
    </r>
  </si>
  <si>
    <t>Cô ấy học rất giỏi, ngoài ra còn chơi thể thao tốt.</t>
  </si>
  <si>
    <t>H4_B3_BG12.png</t>
  </si>
  <si>
    <t>B3_12.mp3</t>
  </si>
  <si>
    <t>B3_VD_12.mp3</t>
  </si>
  <si>
    <t>留</t>
  </si>
  <si>
    <t>&lt;ruby&gt;留&lt;rt&gt;liú&lt;/rt&gt;&lt;/ruby&gt;</t>
  </si>
  <si>
    <t>liú</t>
  </si>
  <si>
    <t>để lại</t>
  </si>
  <si>
    <r>
      <rPr>
        <sz val="11"/>
        <color rgb="FF000000"/>
        <rFont val="Times New Roman"/>
      </rPr>
      <t>我吃了八块西瓜，</t>
    </r>
    <r>
      <rPr>
        <b/>
        <sz val="11"/>
        <color rgb="FF000000"/>
        <rFont val="Times New Roman"/>
      </rPr>
      <t>留</t>
    </r>
    <r>
      <rPr>
        <sz val="11"/>
        <color rgb="FF000000"/>
        <rFont val="Times New Roman"/>
      </rPr>
      <t>了五块给妹妹。</t>
    </r>
  </si>
  <si>
    <t>Tôi ăn 8 miếng dưa hấu, để lại cho em gái 5 miếng.</t>
  </si>
  <si>
    <t>H4_B3_BG13.png</t>
  </si>
  <si>
    <t>B3_13.mp3</t>
  </si>
  <si>
    <t>B3_VD_13.mp3</t>
  </si>
  <si>
    <t>律师</t>
  </si>
  <si>
    <t>&lt;ruby&gt;律师&lt;rt&gt;Lǜshī&lt;/rt&gt;&lt;/ruby&gt;</t>
  </si>
  <si>
    <t>Lǜshī</t>
  </si>
  <si>
    <t>luật sư</t>
  </si>
  <si>
    <r>
      <rPr>
        <sz val="11"/>
        <color rgb="FF000000"/>
        <rFont val="Times New Roman"/>
      </rPr>
      <t>她是一位非常优秀的</t>
    </r>
    <r>
      <rPr>
        <b/>
        <sz val="11"/>
        <color rgb="FF000000"/>
        <rFont val="Times New Roman"/>
      </rPr>
      <t>律师</t>
    </r>
    <r>
      <rPr>
        <sz val="11"/>
        <color rgb="FF000000"/>
        <rFont val="Times New Roman"/>
      </rPr>
      <t>。</t>
    </r>
  </si>
  <si>
    <t>Cô ấy là một luật sư rất giỏi.</t>
  </si>
  <si>
    <t>H4_B3_BG14.png</t>
  </si>
  <si>
    <t>B3_14.mp3</t>
  </si>
  <si>
    <t>B3_VD_14.mp3</t>
  </si>
  <si>
    <t>能力</t>
  </si>
  <si>
    <t>&lt;ruby&gt;能力&lt;rt&gt;nénglì&lt;/rt&gt;&lt;/ruby&gt;</t>
  </si>
  <si>
    <t>nénglì</t>
  </si>
  <si>
    <t>năng lực, khả năng</t>
  </si>
  <si>
    <r>
      <rPr>
        <sz val="11"/>
        <color rgb="FF000000"/>
        <rFont val="Times New Roman"/>
      </rPr>
      <t>大家都认可了他的</t>
    </r>
    <r>
      <rPr>
        <b/>
        <sz val="11"/>
        <color rgb="FF000000"/>
        <rFont val="Times New Roman"/>
      </rPr>
      <t>能力</t>
    </r>
    <r>
      <rPr>
        <sz val="11"/>
        <color rgb="FF000000"/>
        <rFont val="Times New Roman"/>
      </rPr>
      <t>。</t>
    </r>
  </si>
  <si>
    <t>Mọi người đều công nhận năng lực của anh ấy.</t>
  </si>
  <si>
    <t>H4_B3_BG15.png</t>
  </si>
  <si>
    <t>B3_15.mp3</t>
  </si>
  <si>
    <t>B3_VD_15.mp3</t>
  </si>
  <si>
    <t>判断</t>
  </si>
  <si>
    <t>&lt;ruby&gt;判断&lt;rt&gt;pànduàn&lt;/rt&gt;&lt;/ruby&gt;</t>
  </si>
  <si>
    <t>pànduàn</t>
  </si>
  <si>
    <t>nhận xét, đánh giá</t>
  </si>
  <si>
    <r>
      <rPr>
        <sz val="11"/>
        <color theme="1"/>
        <rFont val="Times New Roman"/>
      </rPr>
      <t>她很难</t>
    </r>
    <r>
      <rPr>
        <b/>
        <sz val="11"/>
        <color theme="1"/>
        <rFont val="Times New Roman"/>
      </rPr>
      <t>判断</t>
    </r>
    <r>
      <rPr>
        <sz val="11"/>
        <color theme="1"/>
        <rFont val="Times New Roman"/>
      </rPr>
      <t>谁对谁错。</t>
    </r>
  </si>
  <si>
    <t>Cô ấy rất khó đánh giá ai đúng ai sai.</t>
  </si>
  <si>
    <t>H4_B3_BG16.png</t>
  </si>
  <si>
    <t>B3_16.mp3</t>
  </si>
  <si>
    <t>B3_VD_16.mp3</t>
  </si>
  <si>
    <t>其次</t>
  </si>
  <si>
    <t>&lt;ruby&gt;其次&lt;rt&gt;qícì&lt;/rt&gt;&lt;/ruby&gt;</t>
  </si>
  <si>
    <t>qícì</t>
  </si>
  <si>
    <t>thứ hai, sau đó</t>
  </si>
  <si>
    <r>
      <rPr>
        <sz val="11"/>
        <color theme="1"/>
        <rFont val="Times New Roman"/>
      </rPr>
      <t>健康是最重要的，</t>
    </r>
    <r>
      <rPr>
        <b/>
        <sz val="11"/>
        <color theme="1"/>
        <rFont val="Times New Roman"/>
      </rPr>
      <t>其次</t>
    </r>
    <r>
      <rPr>
        <sz val="11"/>
        <color theme="1"/>
        <rFont val="Times New Roman"/>
      </rPr>
      <t>是工作。</t>
    </r>
  </si>
  <si>
    <t>Sức khỏe là quan trọng nhất, sau đó là công việc.</t>
  </si>
  <si>
    <t>H4_B3_BG17.png</t>
  </si>
  <si>
    <t>B3_17.mp3</t>
  </si>
  <si>
    <t>B3_VD_17.mp3</t>
  </si>
  <si>
    <t>收入</t>
  </si>
  <si>
    <t>&lt;ruby&gt;收入&lt;rt&gt;shōurù
&lt;/rt&gt;&lt;/ruby&gt;</t>
  </si>
  <si>
    <t xml:space="preserve">shōurù
</t>
  </si>
  <si>
    <t>thu nhập</t>
  </si>
  <si>
    <r>
      <rPr>
        <sz val="11"/>
        <color rgb="FF000000"/>
        <rFont val="Times New Roman"/>
      </rPr>
      <t>她每个月的</t>
    </r>
    <r>
      <rPr>
        <b/>
        <sz val="11"/>
        <color rgb="FF000000"/>
        <rFont val="Times New Roman"/>
      </rPr>
      <t>收入</t>
    </r>
    <r>
      <rPr>
        <sz val="11"/>
        <color rgb="FF000000"/>
        <rFont val="Times New Roman"/>
      </rPr>
      <t>都很高。</t>
    </r>
  </si>
  <si>
    <t>Thu nhập mỗi tháng của cô ấy rất cao.</t>
  </si>
  <si>
    <t>H4_B3_BG18.png</t>
  </si>
  <si>
    <t>B3_18.mp3</t>
  </si>
  <si>
    <t>B3_VD_18.mp3</t>
  </si>
  <si>
    <t>首先</t>
  </si>
  <si>
    <t>&lt;ruby&gt;首先&lt;rt&gt;shǒuxiân&lt;/rt&gt;&lt;/ruby&gt;</t>
  </si>
  <si>
    <t>shǒuxiân</t>
  </si>
  <si>
    <t>trước hết, trước tiên</t>
  </si>
  <si>
    <r>
      <rPr>
        <b/>
        <sz val="11"/>
        <color rgb="FF000000"/>
        <rFont val="Times New Roman"/>
      </rPr>
      <t>首先</t>
    </r>
    <r>
      <rPr>
        <sz val="11"/>
        <color rgb="FF000000"/>
        <rFont val="Times New Roman"/>
      </rPr>
      <t>请经理上台讲话，然后请各部门依次领奖。</t>
    </r>
  </si>
  <si>
    <t>Đầu tiên xin mời giám đốc lên phát biểu, sau đó mời từng bộ phận lên nhận giải.</t>
  </si>
  <si>
    <t>H4_B3_BG19.png</t>
  </si>
  <si>
    <t>B3_19.mp3</t>
  </si>
  <si>
    <t>B3_VD_19.mp3</t>
  </si>
  <si>
    <t>提供</t>
  </si>
  <si>
    <t>&lt;ruby&gt;提供&lt;rt&gt;tígōng&lt;/rt&gt;&lt;/ruby&gt;</t>
  </si>
  <si>
    <t>tígōng</t>
  </si>
  <si>
    <t>cung cấp</t>
  </si>
  <si>
    <r>
      <rPr>
        <sz val="11"/>
        <color rgb="FF000000"/>
        <rFont val="Times New Roman"/>
      </rPr>
      <t>租房收入为我</t>
    </r>
    <r>
      <rPr>
        <b/>
        <sz val="11"/>
        <color rgb="FF000000"/>
        <rFont val="Times New Roman"/>
      </rPr>
      <t>提供</t>
    </r>
    <r>
      <rPr>
        <sz val="11"/>
        <color rgb="FF000000"/>
        <rFont val="Times New Roman"/>
      </rPr>
      <t>了富足的生活。</t>
    </r>
  </si>
  <si>
    <t>Số tiền kiếm được từ việc cho thuê nhà đã cung cấp cho tôi cuộc sống sung túc.</t>
  </si>
  <si>
    <t>H4_B3_BG20.png</t>
  </si>
  <si>
    <t>B3_20.mp3</t>
  </si>
  <si>
    <t>B3_VD_20.mp3</t>
  </si>
  <si>
    <r>
      <rPr>
        <sz val="11"/>
        <color rgb="FF000000"/>
        <rFont val="Times New Roman"/>
      </rPr>
      <t>我觉得这个建议</t>
    </r>
    <r>
      <rPr>
        <b/>
        <sz val="11"/>
        <color rgb="FF000000"/>
        <rFont val="Times New Roman"/>
      </rPr>
      <t>挺</t>
    </r>
    <r>
      <rPr>
        <sz val="11"/>
        <color rgb="FF000000"/>
        <rFont val="Times New Roman"/>
      </rPr>
      <t>不错的。</t>
    </r>
  </si>
  <si>
    <t>通知</t>
  </si>
  <si>
    <t>&lt;ruby&gt;通知&lt;rt&gt;tōngzhī&lt;/rt&gt;&lt;/ruby&gt;</t>
  </si>
  <si>
    <t>tōngzhī</t>
  </si>
  <si>
    <t>báo tin, thông báo</t>
  </si>
  <si>
    <r>
      <rPr>
        <sz val="11"/>
        <color rgb="FF000000"/>
        <rFont val="Times New Roman"/>
      </rPr>
      <t>老师</t>
    </r>
    <r>
      <rPr>
        <b/>
        <sz val="11"/>
        <color rgb="FF000000"/>
        <rFont val="Times New Roman"/>
      </rPr>
      <t>通知</t>
    </r>
    <r>
      <rPr>
        <sz val="11"/>
        <color rgb="FF000000"/>
        <rFont val="Times New Roman"/>
      </rPr>
      <t>学生到操场集合。</t>
    </r>
  </si>
  <si>
    <t>Cô giáo thông báo cho học sinh tập trung tại sân trường.</t>
  </si>
  <si>
    <t>H4_B3_BG22.png</t>
  </si>
  <si>
    <t>B3_22.mp3</t>
  </si>
  <si>
    <t>B3_VD_22.mp3</t>
  </si>
  <si>
    <t>信心</t>
  </si>
  <si>
    <t>&lt;ruby&gt;信心&lt;rt&gt;xìnxīn&lt;/rt&gt;&lt;/ruby&gt;</t>
  </si>
  <si>
    <t>xìnxīn</t>
  </si>
  <si>
    <t>lòng tin, sự tự tin</t>
  </si>
  <si>
    <r>
      <rPr>
        <sz val="11"/>
        <color rgb="FF000000"/>
        <rFont val="Times New Roman"/>
      </rPr>
      <t>我们对自己的能力一直充满</t>
    </r>
    <r>
      <rPr>
        <b/>
        <sz val="11"/>
        <color rgb="FF000000"/>
        <rFont val="Times New Roman"/>
      </rPr>
      <t>信心</t>
    </r>
    <r>
      <rPr>
        <sz val="11"/>
        <color rgb="FF000000"/>
        <rFont val="Times New Roman"/>
      </rPr>
      <t>。</t>
    </r>
  </si>
  <si>
    <t>Chúng tôi luôn có tự tin về năng lực của mình.</t>
  </si>
  <si>
    <t>H4_B3_BG23.png</t>
  </si>
  <si>
    <t>B3_23.mp3</t>
  </si>
  <si>
    <t>B3_VD_23.mp3</t>
  </si>
  <si>
    <t>应聘</t>
  </si>
  <si>
    <t>&lt;ruby&gt;应聘&lt;rt&gt;Yìngpìn&lt;/rt&gt;&lt;/ruby&gt;</t>
  </si>
  <si>
    <t>Yìngpìn</t>
  </si>
  <si>
    <t>xin việc</t>
  </si>
  <si>
    <r>
      <rPr>
        <sz val="11"/>
        <color rgb="FF000000"/>
        <rFont val="Times New Roman"/>
      </rPr>
      <t>她正在</t>
    </r>
    <r>
      <rPr>
        <b/>
        <sz val="11"/>
        <color rgb="FF000000"/>
        <rFont val="Times New Roman"/>
      </rPr>
      <t>应聘</t>
    </r>
    <r>
      <rPr>
        <sz val="11"/>
        <color rgb="FF000000"/>
        <rFont val="Times New Roman"/>
      </rPr>
      <t>秘书这个职位。</t>
    </r>
  </si>
  <si>
    <t>Cô ấy đang đi ứng tuyển vị trí thư ký.</t>
  </si>
  <si>
    <t>H4_B3_BG24.png</t>
  </si>
  <si>
    <t>B3_24.mp3</t>
  </si>
  <si>
    <t>B3_VD_24.mp3</t>
  </si>
  <si>
    <t>笔试</t>
  </si>
  <si>
    <t>&lt;ruby&gt;笔试&lt;rt&gt;Bǐshì&lt;/rt&gt;&lt;/ruby&gt;</t>
  </si>
  <si>
    <t>Bǐshì</t>
  </si>
  <si>
    <t>cuộc thi viết</t>
  </si>
  <si>
    <r>
      <rPr>
        <sz val="11"/>
        <color theme="1"/>
        <rFont val="Times New Roman"/>
      </rPr>
      <t>今天的面试还包括了一场</t>
    </r>
    <r>
      <rPr>
        <b/>
        <sz val="11"/>
        <color theme="1"/>
        <rFont val="Times New Roman"/>
      </rPr>
      <t>笔试</t>
    </r>
    <r>
      <rPr>
        <sz val="11"/>
        <color theme="1"/>
        <rFont val="Times New Roman"/>
      </rPr>
      <t>。</t>
    </r>
  </si>
  <si>
    <t>Cuộc phỏng vấn hôm nay có cả thi viết.</t>
  </si>
  <si>
    <t>H4_B3_BG25.png</t>
  </si>
  <si>
    <t>B3_25.mp3</t>
  </si>
  <si>
    <t>B3_VD_25.mp3</t>
  </si>
  <si>
    <t>面试</t>
  </si>
  <si>
    <t>&lt;ruby&gt;面试&lt;rt&gt;miànshi&lt;/rt&gt;&lt;/ruby&gt;</t>
  </si>
  <si>
    <t>miànshi</t>
  </si>
  <si>
    <t>cuộc phỏng vấn</t>
  </si>
  <si>
    <r>
      <rPr>
        <b/>
        <sz val="11"/>
        <color theme="1"/>
        <rFont val="Times New Roman"/>
      </rPr>
      <t>面试</t>
    </r>
    <r>
      <rPr>
        <sz val="11"/>
        <color theme="1"/>
        <rFont val="Times New Roman"/>
      </rPr>
      <t>进行得很顺利。</t>
    </r>
  </si>
  <si>
    <t>Cuộc phỏng vấn đã diễn ra thuận lợi.</t>
  </si>
  <si>
    <t>H4_B3_BG26.png</t>
  </si>
  <si>
    <t>B3_26.mp3</t>
  </si>
  <si>
    <t>B3_VD_26.mp3</t>
  </si>
  <si>
    <t>招聘</t>
  </si>
  <si>
    <t>&lt;ruby&gt;招聘&lt;rt&gt;zhāopin&lt;/rt&gt;&lt;/ruby&gt;</t>
  </si>
  <si>
    <t>zhāopin</t>
  </si>
  <si>
    <t>tuyển dụng</t>
  </si>
  <si>
    <r>
      <rPr>
        <sz val="11"/>
        <color rgb="FF000000"/>
        <rFont val="Times New Roman"/>
      </rPr>
      <t>我们正在</t>
    </r>
    <r>
      <rPr>
        <b/>
        <sz val="11"/>
        <color rgb="FF000000"/>
        <rFont val="Times New Roman"/>
      </rPr>
      <t>招聘</t>
    </r>
    <r>
      <rPr>
        <sz val="11"/>
        <color rgb="FF000000"/>
        <rFont val="Times New Roman"/>
      </rPr>
      <t>客服人员。</t>
    </r>
  </si>
  <si>
    <t>Chúng tôi đang tuyển  nhân viên chăm sóc khách hàng.</t>
  </si>
  <si>
    <t>H4_B3_BG27.png</t>
  </si>
  <si>
    <t>B3_27.mp3</t>
  </si>
  <si>
    <t>B3_VD_27.mp3</t>
  </si>
  <si>
    <t>与</t>
  </si>
  <si>
    <t>&lt;ruby&gt;与&lt;rt&gt;yǔ&lt;/rt&gt;&lt;/ruby&gt;</t>
  </si>
  <si>
    <t>với, và</t>
  </si>
  <si>
    <r>
      <rPr>
        <sz val="11"/>
        <color theme="1"/>
        <rFont val="Times New Roman"/>
      </rPr>
      <t>我</t>
    </r>
    <r>
      <rPr>
        <b/>
        <sz val="11"/>
        <color theme="1"/>
        <rFont val="Times New Roman"/>
      </rPr>
      <t>与</t>
    </r>
    <r>
      <rPr>
        <sz val="11"/>
        <color theme="1"/>
        <rFont val="Times New Roman"/>
      </rPr>
      <t>朋友一起去公园。</t>
    </r>
  </si>
  <si>
    <t>Tôi cùng bạn đi công viên.</t>
  </si>
  <si>
    <t>H4_B3_BG28.png</t>
  </si>
  <si>
    <t>B3_28.mp3</t>
  </si>
  <si>
    <t>B3_VD_28.mp3</t>
  </si>
  <si>
    <t>约会</t>
  </si>
  <si>
    <t>&lt;ruby&gt;约会&lt;rt&gt;yuēhuì&lt;/rt&gt;&lt;/ruby&gt;</t>
  </si>
  <si>
    <t>yuēhuì</t>
  </si>
  <si>
    <t>hẹn găp, hẹn hò</t>
  </si>
  <si>
    <r>
      <rPr>
        <sz val="11"/>
        <color rgb="FF000000"/>
        <rFont val="Times New Roman"/>
      </rPr>
      <t>周末我会和男朋友去公园</t>
    </r>
    <r>
      <rPr>
        <b/>
        <sz val="11"/>
        <color rgb="FF000000"/>
        <rFont val="Times New Roman"/>
      </rPr>
      <t>约会</t>
    </r>
    <r>
      <rPr>
        <sz val="11"/>
        <color rgb="FF000000"/>
        <rFont val="Times New Roman"/>
      </rPr>
      <t>。</t>
    </r>
  </si>
  <si>
    <t>Cuối tuần tôi sẽ đi hẹn hò với bạn trai ở công viên.</t>
  </si>
  <si>
    <t>H4_B3_BG29.png</t>
  </si>
  <si>
    <t>B3_29.mp3</t>
  </si>
  <si>
    <t>B3_VD_29.mp3</t>
  </si>
  <si>
    <r>
      <rPr>
        <b/>
        <sz val="11"/>
        <color rgb="FF000000"/>
        <rFont val="Times New Roman"/>
      </rPr>
      <t>咱们</t>
    </r>
    <r>
      <rPr>
        <sz val="11"/>
        <color rgb="FF000000"/>
        <rFont val="Times New Roman"/>
      </rPr>
      <t>一起去上学吧！</t>
    </r>
  </si>
  <si>
    <t>正式</t>
  </si>
  <si>
    <t>&lt;ruby&gt;正式&lt;rt&gt;zhèngshì&lt;/rt&gt;&lt;/ruby&gt;</t>
  </si>
  <si>
    <t>zhèngshì</t>
  </si>
  <si>
    <t>chính thức, trang trọng</t>
  </si>
  <si>
    <r>
      <rPr>
        <sz val="11"/>
        <color theme="1"/>
        <rFont val="Times New Roman"/>
      </rPr>
      <t>去参加宴会要穿得</t>
    </r>
    <r>
      <rPr>
        <b/>
        <sz val="11"/>
        <color theme="1"/>
        <rFont val="Times New Roman"/>
      </rPr>
      <t>正式</t>
    </r>
    <r>
      <rPr>
        <sz val="11"/>
        <color theme="1"/>
        <rFont val="Times New Roman"/>
      </rPr>
      <t>一点。</t>
    </r>
  </si>
  <si>
    <t>Đi dự tiệc phải ăn mặc thật trang trọng.</t>
  </si>
  <si>
    <t>H4_B3_BG31.png</t>
  </si>
  <si>
    <t>B3_31.mp3</t>
  </si>
  <si>
    <t>B3_VD_31.mp3</t>
  </si>
  <si>
    <t>专业</t>
  </si>
  <si>
    <t>&lt;ruby&gt;专业&lt;rt&gt;zhuãnyè&lt;/rt&gt;&lt;/ruby&gt;</t>
  </si>
  <si>
    <t>zhuãnyè</t>
  </si>
  <si>
    <t>chuyên ngành</t>
  </si>
  <si>
    <r>
      <rPr>
        <sz val="11"/>
        <color theme="1"/>
        <rFont val="Times New Roman"/>
      </rPr>
      <t>他学的是医学</t>
    </r>
    <r>
      <rPr>
        <b/>
        <sz val="11"/>
        <color theme="1"/>
        <rFont val="Times New Roman"/>
      </rPr>
      <t>专业</t>
    </r>
    <r>
      <rPr>
        <sz val="11"/>
        <color theme="1"/>
        <rFont val="Times New Roman"/>
      </rPr>
      <t>。</t>
    </r>
  </si>
  <si>
    <t>H4_B3_BG32.png</t>
  </si>
  <si>
    <t>B3_32.mp3</t>
  </si>
  <si>
    <t>B3_VD_32.mp3</t>
  </si>
  <si>
    <t>准时</t>
  </si>
  <si>
    <t>&lt;ruby&gt;准时&lt;rt&gt;zhǔnshí&lt;/rt&gt;&lt;/ruby&gt;</t>
  </si>
  <si>
    <t>zhǔnshí</t>
  </si>
  <si>
    <t>đúng giờ</t>
  </si>
  <si>
    <r>
      <rPr>
        <sz val="11"/>
        <color theme="1"/>
        <rFont val="Times New Roman"/>
      </rPr>
      <t>你记得</t>
    </r>
    <r>
      <rPr>
        <b/>
        <sz val="11"/>
        <color theme="1"/>
        <rFont val="Times New Roman"/>
      </rPr>
      <t>准时</t>
    </r>
    <r>
      <rPr>
        <sz val="11"/>
        <color theme="1"/>
        <rFont val="Times New Roman"/>
      </rPr>
      <t>到哦！</t>
    </r>
  </si>
  <si>
    <t>Bạn nhớ đến đúng giờ nhé!</t>
  </si>
  <si>
    <t>H4_B3_BG33.png</t>
  </si>
  <si>
    <t>B3_33.mp3</t>
  </si>
  <si>
    <t>B3_VD_33.mp3</t>
  </si>
  <si>
    <r>
      <rPr>
        <sz val="11"/>
        <color theme="1"/>
        <rFont val="Times New Roman"/>
      </rPr>
      <t>明天我会和朋友一起去</t>
    </r>
    <r>
      <rPr>
        <b/>
        <sz val="11"/>
        <color theme="1"/>
        <rFont val="Times New Roman"/>
      </rPr>
      <t>体育馆</t>
    </r>
    <r>
      <rPr>
        <sz val="11"/>
        <color theme="1"/>
        <rFont val="Times New Roman"/>
      </rPr>
      <t>。</t>
    </r>
  </si>
  <si>
    <t>按时</t>
  </si>
  <si>
    <t>&lt;ruby&gt;按时&lt;rt&gt;ànshí&lt;/rt&gt;&lt;/ruby&gt;</t>
  </si>
  <si>
    <t>ànshí</t>
  </si>
  <si>
    <t>đúng hạn</t>
  </si>
  <si>
    <r>
      <rPr>
        <sz val="11"/>
        <color theme="1"/>
        <rFont val="Times New Roman"/>
      </rPr>
      <t>他总是</t>
    </r>
    <r>
      <rPr>
        <b/>
        <sz val="11"/>
        <color theme="1"/>
        <rFont val="Times New Roman"/>
      </rPr>
      <t>按时</t>
    </r>
    <r>
      <rPr>
        <sz val="11"/>
        <color theme="1"/>
        <rFont val="Times New Roman"/>
      </rPr>
      <t>完成任务。</t>
    </r>
  </si>
  <si>
    <t>Anh ấy luôn hoàn thành nhiệm vụ đúng hạn.</t>
  </si>
  <si>
    <t>H4_B4_BG1.png</t>
  </si>
  <si>
    <t>B4_1.mp3</t>
  </si>
  <si>
    <t>B4_VD_1.mp3</t>
  </si>
  <si>
    <t>按照</t>
  </si>
  <si>
    <t>&lt;ruby&gt;按照&lt;rt&gt;ànzhào&lt;/rt&gt;&lt;/ruby&gt;</t>
  </si>
  <si>
    <t>ànzhào</t>
  </si>
  <si>
    <t>theo</t>
  </si>
  <si>
    <r>
      <rPr>
        <b/>
        <sz val="11"/>
        <color theme="1"/>
        <rFont val="Times New Roman"/>
      </rPr>
      <t>按照</t>
    </r>
    <r>
      <rPr>
        <sz val="11"/>
        <color theme="1"/>
        <rFont val="Times New Roman"/>
      </rPr>
      <t>计划，我们下周开始新的项目。</t>
    </r>
  </si>
  <si>
    <t>Theo kế hoạch, tuần sau chúng ta sẽ bắt đầu dự án mới.</t>
  </si>
  <si>
    <t>H4_B4_BG2.png</t>
  </si>
  <si>
    <t>B4_2.mp3</t>
  </si>
  <si>
    <t>B4_VD_2.mp3</t>
  </si>
  <si>
    <t>保证</t>
  </si>
  <si>
    <t>&lt;ruby&gt;保证&lt;rt&gt;băozhèng&lt;/rt&gt;&lt;/ruby&gt;</t>
  </si>
  <si>
    <t>băozhèng</t>
  </si>
  <si>
    <t>cam đoan, bảo đảm</t>
  </si>
  <si>
    <r>
      <rPr>
        <sz val="11"/>
        <color theme="1"/>
        <rFont val="Times New Roman"/>
      </rPr>
      <t>一名士兵大声喊道：“我</t>
    </r>
    <r>
      <rPr>
        <b/>
        <sz val="11"/>
        <color theme="1"/>
        <rFont val="Times New Roman"/>
      </rPr>
      <t>保证</t>
    </r>
    <r>
      <rPr>
        <sz val="11"/>
        <color theme="1"/>
        <rFont val="Times New Roman"/>
      </rPr>
      <t>完成任务！”</t>
    </r>
  </si>
  <si>
    <t>Người lính hô lớn: "Tôi đảm bảo hoàn thành nhiệm vụ!"</t>
  </si>
  <si>
    <t>H4_B4_BG3.png</t>
  </si>
  <si>
    <t>B4_3.mp3</t>
  </si>
  <si>
    <t>B4_VD_3.mp3</t>
  </si>
  <si>
    <t>不得不</t>
  </si>
  <si>
    <t>&lt;ruby&gt;不得不&lt;rt&gt;bù dé bú&lt;/rt&gt;&lt;/ruby&gt;</t>
  </si>
  <si>
    <t>bù dé bú</t>
  </si>
  <si>
    <t>phải, không thể không</t>
  </si>
  <si>
    <r>
      <rPr>
        <sz val="11"/>
        <color theme="1"/>
        <rFont val="Times New Roman"/>
      </rPr>
      <t>前面的路塌方了，我们</t>
    </r>
    <r>
      <rPr>
        <b/>
        <sz val="11"/>
        <color theme="1"/>
        <rFont val="Times New Roman"/>
      </rPr>
      <t>不得不</t>
    </r>
    <r>
      <rPr>
        <sz val="11"/>
        <color theme="1"/>
        <rFont val="Times New Roman"/>
      </rPr>
      <t>返回。</t>
    </r>
  </si>
  <si>
    <t>Đoạn đường phía trước bị sạt lở, chúng tôi buộc phải quay về.</t>
  </si>
  <si>
    <t>H4_B4_BG4.png</t>
  </si>
  <si>
    <t>B4_4.mp3</t>
  </si>
  <si>
    <t>B4_VD_4.mp3</t>
  </si>
  <si>
    <t>成功</t>
  </si>
  <si>
    <t>&lt;ruby&gt;成功&lt;rt&gt;chénggōng&lt;/rt&gt;&lt;/ruby&gt;</t>
  </si>
  <si>
    <t>chénggōng</t>
  </si>
  <si>
    <t>thành công</t>
  </si>
  <si>
    <r>
      <rPr>
        <sz val="11"/>
        <color theme="1"/>
        <rFont val="Times New Roman"/>
      </rPr>
      <t>只要坚持努力，我们一定能取得</t>
    </r>
    <r>
      <rPr>
        <b/>
        <sz val="11"/>
        <color theme="1"/>
        <rFont val="Times New Roman"/>
      </rPr>
      <t>成功</t>
    </r>
    <r>
      <rPr>
        <sz val="11"/>
        <color theme="1"/>
        <rFont val="Times New Roman"/>
      </rPr>
      <t>。</t>
    </r>
  </si>
  <si>
    <t>Chỉ cần kiên trì nỗ lực, chúng ta nhất định sẽ đạt được thành công.</t>
  </si>
  <si>
    <t>H4_B4_BG5.png</t>
  </si>
  <si>
    <t>B4_5.mp3</t>
  </si>
  <si>
    <t>B4_VD_5.mp3</t>
  </si>
  <si>
    <t>调查</t>
  </si>
  <si>
    <t>&lt;ruby&gt;调查&lt;rt&gt;diàochá&lt;/rt&gt;&lt;/ruby&gt;</t>
  </si>
  <si>
    <t>diàochá</t>
  </si>
  <si>
    <t>điều tra, khảo sát</t>
  </si>
  <si>
    <r>
      <rPr>
        <sz val="11"/>
        <color theme="1"/>
        <rFont val="Times New Roman"/>
      </rPr>
      <t>警察正在</t>
    </r>
    <r>
      <rPr>
        <b/>
        <sz val="11"/>
        <color theme="1"/>
        <rFont val="Times New Roman"/>
      </rPr>
      <t>调查</t>
    </r>
    <r>
      <rPr>
        <sz val="11"/>
        <color theme="1"/>
        <rFont val="Times New Roman"/>
      </rPr>
      <t>一起案件。</t>
    </r>
  </si>
  <si>
    <t>Cảnh sát đang điều tra một vụ án.</t>
  </si>
  <si>
    <t>H4_B4_BG6.png</t>
  </si>
  <si>
    <t>B4_6.mp3</t>
  </si>
  <si>
    <t>B4_VD_6.mp3</t>
  </si>
  <si>
    <r>
      <rPr>
        <sz val="11"/>
        <color theme="1"/>
        <rFont val="Times New Roman"/>
      </rPr>
      <t>因为有了有效的工作</t>
    </r>
    <r>
      <rPr>
        <b/>
        <sz val="11"/>
        <color theme="1"/>
        <rFont val="Times New Roman"/>
      </rPr>
      <t>方法</t>
    </r>
    <r>
      <rPr>
        <sz val="11"/>
        <color theme="1"/>
        <rFont val="Times New Roman"/>
      </rPr>
      <t>，他的工作非常顺利。</t>
    </r>
  </si>
  <si>
    <t>份</t>
  </si>
  <si>
    <t>&lt;ruby&gt;份&lt;rt&gt;fèn&lt;/rt&gt;&lt;/ruby&gt;</t>
  </si>
  <si>
    <t>fèn</t>
  </si>
  <si>
    <t>lượg.</t>
  </si>
  <si>
    <t>(được dùng cho công việc, báo chí...) tờ, bản</t>
  </si>
  <si>
    <r>
      <rPr>
        <sz val="11"/>
        <color theme="1"/>
        <rFont val="Times New Roman"/>
      </rPr>
      <t>他昨天提交了一</t>
    </r>
    <r>
      <rPr>
        <b/>
        <sz val="11"/>
        <color theme="1"/>
        <rFont val="Times New Roman"/>
      </rPr>
      <t>份</t>
    </r>
    <r>
      <rPr>
        <sz val="11"/>
        <color theme="1"/>
        <rFont val="Times New Roman"/>
      </rPr>
      <t>详细的计划书。</t>
    </r>
  </si>
  <si>
    <t>Hôm qua anh ấy đã nộp một bản kế hoạch chi tiết.</t>
  </si>
  <si>
    <t>H4_B4_BG8.png</t>
  </si>
  <si>
    <t>B4_8.mp3</t>
  </si>
  <si>
    <t>B4_VD_8.mp3</t>
  </si>
  <si>
    <t>感谢</t>
  </si>
  <si>
    <t>&lt;ruby&gt;感谢&lt;rt&gt;gǎnxiè&lt;/rt&gt;&lt;/ruby&gt;</t>
  </si>
  <si>
    <t>gǎnxiè</t>
  </si>
  <si>
    <t>cảm ơn</t>
  </si>
  <si>
    <r>
      <rPr>
        <sz val="11"/>
        <color theme="1"/>
        <rFont val="Times New Roman"/>
      </rPr>
      <t>我非常</t>
    </r>
    <r>
      <rPr>
        <b/>
        <sz val="11"/>
        <color theme="1"/>
        <rFont val="Times New Roman"/>
      </rPr>
      <t>感谢</t>
    </r>
    <r>
      <rPr>
        <sz val="11"/>
        <color theme="1"/>
        <rFont val="Times New Roman"/>
      </rPr>
      <t>你对我的帮助！</t>
    </r>
  </si>
  <si>
    <t>Tôi rất cảm ơn bạn vì đã giúp đỡ tôi!</t>
  </si>
  <si>
    <t>H4_B4_BG9.png</t>
  </si>
  <si>
    <t>B4_9.mp3</t>
  </si>
  <si>
    <t>B4_VD_9.mp3</t>
  </si>
  <si>
    <t>工资</t>
  </si>
  <si>
    <t>&lt;ruby&gt;工资&lt;rt&gt;gōngzī&lt;/rt&gt;&lt;/ruby&gt;</t>
  </si>
  <si>
    <t>gōngzī</t>
  </si>
  <si>
    <t>tiền lương</t>
  </si>
  <si>
    <r>
      <rPr>
        <sz val="11"/>
        <color theme="1"/>
        <rFont val="Times New Roman"/>
      </rPr>
      <t>今天她刚刚领到了第一份</t>
    </r>
    <r>
      <rPr>
        <b/>
        <sz val="11"/>
        <color theme="1"/>
        <rFont val="Times New Roman"/>
      </rPr>
      <t>工资</t>
    </r>
    <r>
      <rPr>
        <sz val="11"/>
        <color theme="1"/>
        <rFont val="Times New Roman"/>
      </rPr>
      <t>。</t>
    </r>
  </si>
  <si>
    <t>Hôm nay cô ấy vừa được nhận lương tháng đầu tiên.</t>
  </si>
  <si>
    <t>H4_B4_BG10.png</t>
  </si>
  <si>
    <t>B4_10.mp3</t>
  </si>
  <si>
    <t>B4_VD_10.mp3</t>
  </si>
  <si>
    <t>积累</t>
  </si>
  <si>
    <t>&lt;ruby&gt;积累&lt;rt&gt;jīlěi&lt;/rt&gt;&lt;/ruby&gt;</t>
  </si>
  <si>
    <t>jīlěi</t>
  </si>
  <si>
    <t>tích lũy</t>
  </si>
  <si>
    <r>
      <rPr>
        <sz val="11"/>
        <color theme="1"/>
        <rFont val="Times New Roman"/>
      </rPr>
      <t>他通过阅读</t>
    </r>
    <r>
      <rPr>
        <b/>
        <sz val="11"/>
        <color theme="1"/>
        <rFont val="Times New Roman"/>
      </rPr>
      <t>积累</t>
    </r>
    <r>
      <rPr>
        <sz val="11"/>
        <color theme="1"/>
        <rFont val="Times New Roman"/>
      </rPr>
      <t>了新的知识。</t>
    </r>
  </si>
  <si>
    <t>Anh ấy đã tích lũy được kiến thức mới qua việc đọc sách.</t>
  </si>
  <si>
    <t>H4_B4_BG11.png</t>
  </si>
  <si>
    <t>B4_11.mp3</t>
  </si>
  <si>
    <t>B4_VD_11.mp3</t>
  </si>
  <si>
    <t>计划</t>
  </si>
  <si>
    <t>&lt;ruby&gt;计划&lt;rt&gt;Jìhuà&lt;/rt&gt;&lt;/ruby&gt;</t>
  </si>
  <si>
    <t>Jìhuà</t>
  </si>
  <si>
    <t>Danh từ /Động từ</t>
  </si>
  <si>
    <t>kế hoạch; vạch kế hoạch</t>
  </si>
  <si>
    <r>
      <rPr>
        <sz val="11"/>
        <color theme="1"/>
        <rFont val="Times New Roman"/>
      </rPr>
      <t>我们需要制定详细的销售</t>
    </r>
    <r>
      <rPr>
        <b/>
        <sz val="11"/>
        <color theme="1"/>
        <rFont val="Times New Roman"/>
      </rPr>
      <t>计划</t>
    </r>
    <r>
      <rPr>
        <sz val="11"/>
        <color theme="1"/>
        <rFont val="Times New Roman"/>
      </rPr>
      <t>。</t>
    </r>
  </si>
  <si>
    <t>Chúng ta cần lập kế hoạch bán hàng chi tiết.</t>
  </si>
  <si>
    <t>H4_B4_BG12.png</t>
  </si>
  <si>
    <t>B4_12.mp3</t>
  </si>
  <si>
    <t>B4_VD_12.mp3</t>
  </si>
  <si>
    <t>奖金</t>
  </si>
  <si>
    <t>&lt;ruby&gt;奖金&lt;rt&gt;jiǎngjīn&lt;/rt&gt;&lt;/ruby&gt;</t>
  </si>
  <si>
    <t>jiǎngjīn</t>
  </si>
  <si>
    <t>tiền thưởng</t>
  </si>
  <si>
    <r>
      <rPr>
        <sz val="11"/>
        <color rgb="FF000000"/>
        <rFont val="Times New Roman"/>
      </rPr>
      <t>完成任务后，员工将获得丰厚的</t>
    </r>
    <r>
      <rPr>
        <b/>
        <sz val="11"/>
        <color rgb="FF000000"/>
        <rFont val="Times New Roman"/>
      </rPr>
      <t>奖金</t>
    </r>
    <r>
      <rPr>
        <sz val="11"/>
        <color rgb="FF000000"/>
        <rFont val="Times New Roman"/>
      </rPr>
      <t>。</t>
    </r>
  </si>
  <si>
    <t>Sau khi hoàn thành nhiệm vụ, nhân viên sẽ nhận được một khoản tiền thưởng lớn.</t>
  </si>
  <si>
    <t>H4_B4_BG13.png</t>
  </si>
  <si>
    <t>B4_13.mp3</t>
  </si>
  <si>
    <t>B4_VD_13.mp3</t>
  </si>
  <si>
    <t>经验</t>
  </si>
  <si>
    <t>&lt;ruby&gt;经验&lt;rt&gt;Jīngyàn&lt;/rt&gt;&lt;/ruby&gt;</t>
  </si>
  <si>
    <t>Jīngyàn</t>
  </si>
  <si>
    <t>kinh nghiệm</t>
  </si>
  <si>
    <r>
      <rPr>
        <sz val="11"/>
        <color rgb="FF000000"/>
        <rFont val="Times New Roman"/>
      </rPr>
      <t>他有着丰富的工作</t>
    </r>
    <r>
      <rPr>
        <b/>
        <sz val="11"/>
        <color rgb="FF000000"/>
        <rFont val="Times New Roman"/>
      </rPr>
      <t>经验</t>
    </r>
    <r>
      <rPr>
        <sz val="11"/>
        <color rgb="FF000000"/>
        <rFont val="Times New Roman"/>
      </rPr>
      <t>。</t>
    </r>
  </si>
  <si>
    <t>Anh ấy có kinh nghiệm làm việc phong phú</t>
  </si>
  <si>
    <t>H4_B4_BG14.png</t>
  </si>
  <si>
    <t>B4_14.mp3</t>
  </si>
  <si>
    <t>B4_VD_14.mp3</t>
  </si>
  <si>
    <t>乱</t>
  </si>
  <si>
    <t>&lt;ruby&gt;乱&lt;rt&gt;luàn&lt;/rt&gt;&lt;/ruby&gt;</t>
  </si>
  <si>
    <t>luàn</t>
  </si>
  <si>
    <t>lộn xộn, lúng túng</t>
  </si>
  <si>
    <r>
      <rPr>
        <sz val="11"/>
        <color rgb="FF000000"/>
        <rFont val="Times New Roman"/>
      </rPr>
      <t>由于缺乏计划，她的工作变得很</t>
    </r>
    <r>
      <rPr>
        <b/>
        <sz val="11"/>
        <color rgb="FF000000"/>
        <rFont val="Times New Roman"/>
      </rPr>
      <t>乱</t>
    </r>
    <r>
      <rPr>
        <sz val="11"/>
        <color rgb="FF000000"/>
        <rFont val="Times New Roman"/>
      </rPr>
      <t>。</t>
    </r>
  </si>
  <si>
    <t>Vì thiếu kế hoạch, công việc của cô ấy trở nên hỗn loạn.</t>
  </si>
  <si>
    <t>H4_B4_BG15.png</t>
  </si>
  <si>
    <t>B4_15.mp3</t>
  </si>
  <si>
    <t>B4_VD_15.mp3</t>
  </si>
  <si>
    <t>甚至</t>
  </si>
  <si>
    <t>&lt;ruby&gt;甚至&lt;rt&gt;Shènzhì&lt;/rt&gt;&lt;/ruby&gt;</t>
  </si>
  <si>
    <t>Shènzhì</t>
  </si>
  <si>
    <t>thậm chí</t>
  </si>
  <si>
    <r>
      <rPr>
        <sz val="11"/>
        <color theme="1"/>
        <rFont val="Times New Roman"/>
      </rPr>
      <t>他工作很努力，</t>
    </r>
    <r>
      <rPr>
        <b/>
        <sz val="11"/>
        <color theme="1"/>
        <rFont val="Times New Roman"/>
      </rPr>
      <t>甚至</t>
    </r>
    <r>
      <rPr>
        <sz val="11"/>
        <color theme="1"/>
        <rFont val="Times New Roman"/>
      </rPr>
      <t>常常加班到很晚。</t>
    </r>
  </si>
  <si>
    <t xml:space="preserve">Anh ấy làm việc rất chăm chỉ, thậm chí thường xuyên tăng ca đến khuya. </t>
  </si>
  <si>
    <t>H4_B4_BG16.png</t>
  </si>
  <si>
    <t>B4_16.mp3</t>
  </si>
  <si>
    <t>B4_VD_16.mp3</t>
  </si>
  <si>
    <t>生意</t>
  </si>
  <si>
    <t>&lt;ruby&gt;生意&lt;rt&gt;shēngyì&lt;/rt&gt;&lt;/ruby&gt;</t>
  </si>
  <si>
    <t>shēngyì</t>
  </si>
  <si>
    <t>việc kinh doanh/buôn bán</t>
  </si>
  <si>
    <r>
      <rPr>
        <sz val="11"/>
        <color rgb="FF000000"/>
        <rFont val="Times New Roman"/>
      </rPr>
      <t>他的房地产</t>
    </r>
    <r>
      <rPr>
        <b/>
        <sz val="11"/>
        <color rgb="FF000000"/>
        <rFont val="Times New Roman"/>
      </rPr>
      <t>生意</t>
    </r>
    <r>
      <rPr>
        <sz val="11"/>
        <color rgb="FF000000"/>
        <rFont val="Times New Roman"/>
      </rPr>
      <t>非常顺利。</t>
    </r>
  </si>
  <si>
    <t>Việc kinh doanh bất động sản của anh ấy rất thuận lợi</t>
  </si>
  <si>
    <t>H4_B4_BG17.png</t>
  </si>
  <si>
    <t>B4_17.mp3</t>
  </si>
  <si>
    <t>B4_VD_17.mp3</t>
  </si>
  <si>
    <t>顺利</t>
  </si>
  <si>
    <t>&lt;ruby&gt;顺利&lt;rt&gt;Shùnlì
&lt;/rt&gt;&lt;/ruby&gt;</t>
  </si>
  <si>
    <t xml:space="preserve">Shùnlì
</t>
  </si>
  <si>
    <t>thuận lơi, suôn sẻ</t>
  </si>
  <si>
    <r>
      <rPr>
        <sz val="11"/>
        <color rgb="FF000000"/>
        <rFont val="Times New Roman"/>
      </rPr>
      <t>他的职业生涯非常</t>
    </r>
    <r>
      <rPr>
        <b/>
        <sz val="11"/>
        <color rgb="FF000000"/>
        <rFont val="Times New Roman"/>
      </rPr>
      <t>顺利。</t>
    </r>
  </si>
  <si>
    <t>Con đường sự nghiệp của anh ấy rất thuận lợi.</t>
  </si>
  <si>
    <t>H4_B4_BG18.png</t>
  </si>
  <si>
    <t>B4_18.mp3</t>
  </si>
  <si>
    <t>B4_VD_18.mp3</t>
  </si>
  <si>
    <t>谈</t>
  </si>
  <si>
    <t>&lt;ruby&gt;谈&lt;rt&gt;Tán&lt;/rt&gt;&lt;/ruby&gt;</t>
  </si>
  <si>
    <t>Tán</t>
  </si>
  <si>
    <t>nói chuyện, thảo luận</t>
  </si>
  <si>
    <r>
      <rPr>
        <sz val="11"/>
        <color rgb="FF000000"/>
        <rFont val="Times New Roman"/>
      </rPr>
      <t>他正在与客户</t>
    </r>
    <r>
      <rPr>
        <b/>
        <sz val="11"/>
        <color rgb="FF000000"/>
        <rFont val="Times New Roman"/>
      </rPr>
      <t>谈</t>
    </r>
    <r>
      <rPr>
        <sz val="11"/>
        <color rgb="FF000000"/>
        <rFont val="Times New Roman"/>
      </rPr>
      <t>一个新的合作机会。</t>
    </r>
  </si>
  <si>
    <t>Anh ấy đang thảo luận với khách hàng về một cơ hội hợp tác mới.</t>
  </si>
  <si>
    <t>H4_B4_BG19.png</t>
  </si>
  <si>
    <t>B4_19.mp3</t>
  </si>
  <si>
    <t>B4_VD_19.mp3</t>
  </si>
  <si>
    <t>提</t>
  </si>
  <si>
    <t>&lt;ruby&gt;提&lt;rt&gt;tí&lt;/rt&gt;&lt;/ruby&gt;</t>
  </si>
  <si>
    <t>nhắc tới</t>
  </si>
  <si>
    <r>
      <rPr>
        <sz val="11"/>
        <color theme="1"/>
        <rFont val="Times New Roman"/>
      </rPr>
      <t>她一</t>
    </r>
    <r>
      <rPr>
        <b/>
        <sz val="11"/>
        <color theme="1"/>
        <rFont val="Times New Roman"/>
      </rPr>
      <t>提</t>
    </r>
    <r>
      <rPr>
        <sz val="11"/>
        <color theme="1"/>
        <rFont val="Times New Roman"/>
      </rPr>
      <t>到丈夫就非常高兴。</t>
    </r>
  </si>
  <si>
    <t>Hễ nhắc đến chồng là cô ấy lại rất vui.</t>
  </si>
  <si>
    <t>H4_B4_BG20.png</t>
  </si>
  <si>
    <t>B4_20.mp3</t>
  </si>
  <si>
    <t>B4_VD_20.mp3</t>
  </si>
  <si>
    <t>提前</t>
  </si>
  <si>
    <t>&lt;ruby&gt;提前&lt;rt&gt;tíqián&lt;/rt&gt;&lt;/ruby&gt;</t>
  </si>
  <si>
    <t>tíqián</t>
  </si>
  <si>
    <t>làm việc gì đó sớm hơn quy định/ trước thời hạn</t>
  </si>
  <si>
    <r>
      <rPr>
        <sz val="11"/>
        <color rgb="FF000000"/>
        <rFont val="Times New Roman"/>
      </rPr>
      <t>我们需要</t>
    </r>
    <r>
      <rPr>
        <b/>
        <sz val="11"/>
        <color rgb="FF000000"/>
        <rFont val="Times New Roman"/>
      </rPr>
      <t>提前</t>
    </r>
    <r>
      <rPr>
        <sz val="11"/>
        <color rgb="FF000000"/>
        <rFont val="Times New Roman"/>
      </rPr>
      <t>通知大家开会的时间。</t>
    </r>
  </si>
  <si>
    <t>Chúng ta cần thông báo trước với mọi người về thời gian họp.</t>
  </si>
  <si>
    <t>H4_B4_BG21.png</t>
  </si>
  <si>
    <t>B4_21.mp3</t>
  </si>
  <si>
    <t>B4_VD_21.mp3</t>
  </si>
  <si>
    <t>提醒</t>
  </si>
  <si>
    <t>&lt;ruby&gt;提醒&lt;rt&gt;tíxǐng&lt;/rt&gt;&lt;/ruby&gt;</t>
  </si>
  <si>
    <t>tíxǐng</t>
  </si>
  <si>
    <t>nhắc nhở</t>
  </si>
  <si>
    <r>
      <rPr>
        <sz val="11"/>
        <color rgb="FF000000"/>
        <rFont val="Times New Roman"/>
      </rPr>
      <t>老师</t>
    </r>
    <r>
      <rPr>
        <b/>
        <sz val="11"/>
        <color rgb="FF000000"/>
        <rFont val="Times New Roman"/>
      </rPr>
      <t>提醒</t>
    </r>
    <r>
      <rPr>
        <sz val="11"/>
        <color rgb="FF000000"/>
        <rFont val="Times New Roman"/>
      </rPr>
      <t>学生按时提交报告。</t>
    </r>
  </si>
  <si>
    <t>Giáo viên nhắc nhở học sinh nộp báo cáo đúng hạn.</t>
  </si>
  <si>
    <t>H4_B4_BG22.png</t>
  </si>
  <si>
    <t>B4_22.mp3</t>
  </si>
  <si>
    <t>B4_VD_22.mp3</t>
  </si>
  <si>
    <t>完全</t>
  </si>
  <si>
    <t>&lt;ruby&gt;完全&lt;rt&gt;wánquán&lt;/rt&gt;&lt;/ruby&gt;</t>
  </si>
  <si>
    <t>wánquán</t>
  </si>
  <si>
    <t>hoàn toàn</t>
  </si>
  <si>
    <r>
      <rPr>
        <sz val="11"/>
        <color rgb="FF000000"/>
        <rFont val="Times New Roman"/>
      </rPr>
      <t>病人已</t>
    </r>
    <r>
      <rPr>
        <b/>
        <sz val="11"/>
        <color rgb="FF000000"/>
        <rFont val="Times New Roman"/>
      </rPr>
      <t>完全</t>
    </r>
    <r>
      <rPr>
        <sz val="11"/>
        <color rgb="FF000000"/>
        <rFont val="Times New Roman"/>
      </rPr>
      <t>康复了。</t>
    </r>
  </si>
  <si>
    <t>Bệnh nhân đã bình phục hoàn toàn.</t>
  </si>
  <si>
    <t>H4_B4_BG23.png</t>
  </si>
  <si>
    <t>B4_23.mp3</t>
  </si>
  <si>
    <t>B4_VD_23.mp3</t>
  </si>
  <si>
    <t>消息</t>
  </si>
  <si>
    <t>&lt;ruby&gt;消息&lt;rt&gt;xiāoxī &lt;/rt&gt;&lt;/ruby&gt;</t>
  </si>
  <si>
    <t xml:space="preserve">xiāoxī </t>
  </si>
  <si>
    <t>tin tức</t>
  </si>
  <si>
    <r>
      <rPr>
        <sz val="11"/>
        <color rgb="FF000000"/>
        <rFont val="Times New Roman"/>
      </rPr>
      <t>我刚收到一个好</t>
    </r>
    <r>
      <rPr>
        <b/>
        <sz val="11"/>
        <color rgb="FF000000"/>
        <rFont val="Times New Roman"/>
      </rPr>
      <t>消息</t>
    </r>
    <r>
      <rPr>
        <sz val="11"/>
        <color rgb="FF000000"/>
        <rFont val="Times New Roman"/>
      </rPr>
      <t>。</t>
    </r>
  </si>
  <si>
    <t>Tôi vừa nhận được một tin tức tốt.</t>
  </si>
  <si>
    <t>H4_B4_BG24.png</t>
  </si>
  <si>
    <t>B4_24.mp3</t>
  </si>
  <si>
    <t>B4_VD_24.mp3</t>
  </si>
  <si>
    <t>一切</t>
  </si>
  <si>
    <t>&lt;ruby&gt;一切&lt;rt&gt;yíqiè&lt;/rt&gt;&lt;/ruby&gt;</t>
  </si>
  <si>
    <t>yíqiè</t>
  </si>
  <si>
    <t>tất cả</t>
  </si>
  <si>
    <r>
      <rPr>
        <sz val="11"/>
        <color rgb="FF000000"/>
        <rFont val="Times New Roman"/>
      </rPr>
      <t>为了学习好</t>
    </r>
    <r>
      <rPr>
        <b/>
        <sz val="11"/>
        <color rgb="FF000000"/>
        <rFont val="Times New Roman"/>
      </rPr>
      <t>一切</t>
    </r>
    <r>
      <rPr>
        <sz val="11"/>
        <color rgb="FF000000"/>
        <rFont val="Times New Roman"/>
      </rPr>
      <t>知识，我每天都认真听课。</t>
    </r>
  </si>
  <si>
    <t>Để học tốt tất cả kiến thức, mỗi ngày tôi đều chăm chỉ nghe giảng.</t>
  </si>
  <si>
    <t>H4_B4_BG25.png</t>
  </si>
  <si>
    <t>B4_25.mp3</t>
  </si>
  <si>
    <t>B4_VD_25.mp3</t>
  </si>
  <si>
    <t>&lt;ruby&gt;认为&lt;rt&gt;yǐwéi&lt;/rt&gt;&lt;/ruby&gt;</t>
  </si>
  <si>
    <t>cho rằng, tuởng là</t>
  </si>
  <si>
    <r>
      <rPr>
        <sz val="11"/>
        <color rgb="FF000000"/>
        <rFont val="Times New Roman"/>
      </rPr>
      <t>大家</t>
    </r>
    <r>
      <rPr>
        <b/>
        <sz val="11"/>
        <color rgb="FF000000"/>
        <rFont val="Times New Roman"/>
      </rPr>
      <t>认为</t>
    </r>
    <r>
      <rPr>
        <sz val="11"/>
        <color rgb="FF000000"/>
        <rFont val="Times New Roman"/>
      </rPr>
      <t>他可以做到。</t>
    </r>
  </si>
  <si>
    <t>Mọi người cho rằng anh ấy có thể làm được.</t>
  </si>
  <si>
    <t>H4_B4_BG26.png</t>
  </si>
  <si>
    <t>B4_26.mp3</t>
  </si>
  <si>
    <t>B4_VD_26.mp3</t>
  </si>
  <si>
    <t>原来</t>
  </si>
  <si>
    <t>&lt;ruby&gt;原来&lt;rt&gt;yuánlái&lt;/rt&gt;&lt;/ruby&gt;</t>
  </si>
  <si>
    <t>yuánlái</t>
  </si>
  <si>
    <t>ban đầu</t>
  </si>
  <si>
    <r>
      <rPr>
        <sz val="11"/>
        <color rgb="FF363636"/>
        <rFont val="Times New Roman"/>
      </rPr>
      <t>他还住在</t>
    </r>
    <r>
      <rPr>
        <b/>
        <sz val="11"/>
        <color rgb="FF363636"/>
        <rFont val="Times New Roman"/>
      </rPr>
      <t>原来</t>
    </r>
    <r>
      <rPr>
        <sz val="11"/>
        <color rgb="FF363636"/>
        <rFont val="Times New Roman"/>
      </rPr>
      <t>的地方。</t>
    </r>
  </si>
  <si>
    <t>Anh ấy vẫn sống ở chỗ cũ.</t>
  </si>
  <si>
    <t>H4_B4_BG27.png</t>
  </si>
  <si>
    <t>B4_27.mp3</t>
  </si>
  <si>
    <t>B4_VD_27.mp3</t>
  </si>
  <si>
    <t>责任</t>
  </si>
  <si>
    <t>&lt;ruby&gt;责任&lt;rt&gt;zérèn&lt;/rt&gt;&lt;/ruby&gt;</t>
  </si>
  <si>
    <t>zérèn</t>
  </si>
  <si>
    <t>trách nhiệm</t>
  </si>
  <si>
    <r>
      <rPr>
        <sz val="11"/>
        <color rgb="FF000000"/>
        <rFont val="Times New Roman"/>
      </rPr>
      <t>他肩上扛着许多</t>
    </r>
    <r>
      <rPr>
        <b/>
        <sz val="11"/>
        <color rgb="FF000000"/>
        <rFont val="Times New Roman"/>
      </rPr>
      <t>责任</t>
    </r>
    <r>
      <rPr>
        <sz val="11"/>
        <color rgb="FF000000"/>
        <rFont val="Times New Roman"/>
      </rPr>
      <t>。</t>
    </r>
  </si>
  <si>
    <t>Anh ấy gánh trên vai rất nhiều trách nhiệm.</t>
  </si>
  <si>
    <t>H4_B4_BG28.png</t>
  </si>
  <si>
    <t>B4_28.mp3</t>
  </si>
  <si>
    <t>B4_VD_28.mp3</t>
  </si>
  <si>
    <t>知识</t>
  </si>
  <si>
    <t>&lt;ruby&gt;知识&lt;rt&gt;Zhīshì&lt;/rt&gt;&lt;/ruby&gt;</t>
  </si>
  <si>
    <t>Zhīshì</t>
  </si>
  <si>
    <t>kiến thức</t>
  </si>
  <si>
    <r>
      <rPr>
        <sz val="11"/>
        <color theme="1"/>
        <rFont val="Times New Roman"/>
      </rPr>
      <t>图书馆是</t>
    </r>
    <r>
      <rPr>
        <b/>
        <sz val="11"/>
        <color theme="1"/>
        <rFont val="Times New Roman"/>
      </rPr>
      <t>知识</t>
    </r>
    <r>
      <rPr>
        <sz val="11"/>
        <color theme="1"/>
        <rFont val="Times New Roman"/>
      </rPr>
      <t>传播的地方。</t>
    </r>
  </si>
  <si>
    <t>Thư viện là nơi kiến thức được lan tỏa.</t>
  </si>
  <si>
    <t>H4_B4_BG29.png</t>
  </si>
  <si>
    <t>B4_29.mp3</t>
  </si>
  <si>
    <t>B4_VD_29.mp3</t>
  </si>
  <si>
    <t>赚</t>
  </si>
  <si>
    <t>&lt;ruby&gt;赚&lt;rt&gt;zhuàn&lt;/rt&gt;&lt;/ruby&gt;</t>
  </si>
  <si>
    <t>zhuàn</t>
  </si>
  <si>
    <t>kiếm (tiền)</t>
  </si>
  <si>
    <r>
      <rPr>
        <sz val="11"/>
        <color rgb="FF000000"/>
        <rFont val="Times New Roman"/>
      </rPr>
      <t>他努力</t>
    </r>
    <r>
      <rPr>
        <b/>
        <sz val="11"/>
        <color rgb="FF000000"/>
        <rFont val="Times New Roman"/>
      </rPr>
      <t>赚</t>
    </r>
    <r>
      <rPr>
        <sz val="11"/>
        <color rgb="FF000000"/>
        <rFont val="Times New Roman"/>
      </rPr>
      <t>钱养家。</t>
    </r>
  </si>
  <si>
    <t>Anh ấy nỗ lực kiếm tiền nuôi gia đình.</t>
  </si>
  <si>
    <t>H4_B4_BG30.png</t>
  </si>
  <si>
    <t>B4_30.mp3</t>
  </si>
  <si>
    <t>B4_VD_30.mp3</t>
  </si>
  <si>
    <t>并</t>
  </si>
  <si>
    <t>&lt;ruby&gt;并&lt;rt&gt;bìng&lt;/rt&gt;&lt;/ruby&gt;</t>
  </si>
  <si>
    <t>được dùng trước từ phủ định để nhấn mạnh</t>
  </si>
  <si>
    <r>
      <rPr>
        <sz val="11"/>
        <color theme="1"/>
        <rFont val="Times New Roman"/>
      </rPr>
      <t>他</t>
    </r>
    <r>
      <rPr>
        <b/>
        <sz val="11"/>
        <color theme="1"/>
        <rFont val="Times New Roman"/>
      </rPr>
      <t>并</t>
    </r>
    <r>
      <rPr>
        <sz val="11"/>
        <color theme="1"/>
        <rFont val="Times New Roman"/>
      </rPr>
      <t>不喜欢参加聚会。</t>
    </r>
  </si>
  <si>
    <t>Anh ấy hoàn toàn không thích tham gia các buổi tiệc.</t>
  </si>
  <si>
    <t>H4_B4_BG31.png</t>
  </si>
  <si>
    <t>B4_31.mp3</t>
  </si>
  <si>
    <t>B4_VD_31.mp3</t>
  </si>
  <si>
    <t>按</t>
  </si>
  <si>
    <t>&lt;ruby&gt;按&lt;rt&gt;àn&lt;/rt&gt;&lt;/ruby&gt;</t>
  </si>
  <si>
    <t>àn</t>
  </si>
  <si>
    <t>theo, dựa và</t>
  </si>
  <si>
    <r>
      <rPr>
        <b/>
        <sz val="11"/>
        <color rgb="FF0E0E0E"/>
        <rFont val="Times New Roman"/>
      </rPr>
      <t>按</t>
    </r>
    <r>
      <rPr>
        <sz val="11"/>
        <color rgb="FF0E0E0E"/>
        <rFont val="Times New Roman"/>
      </rPr>
      <t>规定，这里不能抽烟。</t>
    </r>
  </si>
  <si>
    <t>Theo quy định, ở đây không được hút thuốc.</t>
  </si>
  <si>
    <t>H4_B4_BG32.png</t>
  </si>
  <si>
    <t>B4_32.mp3</t>
  </si>
  <si>
    <t>B4_VD_32.mp3</t>
  </si>
  <si>
    <t>成</t>
  </si>
  <si>
    <t>&lt;ruby&gt;成&lt;rt&gt;chéng&lt;/rt&gt;&lt;/ruby&gt;</t>
  </si>
  <si>
    <t>chéng</t>
  </si>
  <si>
    <t>thành công, hoàn thành</t>
  </si>
  <si>
    <r>
      <rPr>
        <sz val="11"/>
        <color rgb="FF0E0E0E"/>
        <rFont val="Times New Roman"/>
      </rPr>
      <t>他把试卷的错误改</t>
    </r>
    <r>
      <rPr>
        <b/>
        <sz val="11"/>
        <color rgb="FF0E0E0E"/>
        <rFont val="Times New Roman"/>
      </rPr>
      <t>成</t>
    </r>
    <r>
      <rPr>
        <sz val="11"/>
        <color rgb="FF0E0E0E"/>
        <rFont val="Times New Roman"/>
      </rPr>
      <t>了正确的答案。</t>
    </r>
  </si>
  <si>
    <t>Anh ấy đã sửa lỗi trong bài thi thành đáp án đúng.</t>
  </si>
  <si>
    <t>H4_B4_BG33.png</t>
  </si>
  <si>
    <t>B4_33.mp3</t>
  </si>
  <si>
    <t>B4_VD_33.mp3</t>
  </si>
  <si>
    <t>标准</t>
  </si>
  <si>
    <t>&lt;ruby&gt;标准&lt;rt&gt;biāozhǔn&lt;/rt&gt;&lt;/ruby&gt;</t>
  </si>
  <si>
    <t>biāozhǔn</t>
  </si>
  <si>
    <t>tiêu chuẩn, chuần mực</t>
  </si>
  <si>
    <r>
      <rPr>
        <sz val="11"/>
        <color rgb="FF000000"/>
        <rFont val="Times New Roman"/>
      </rPr>
      <t>她做的菜好吃得像五星级酒店的</t>
    </r>
    <r>
      <rPr>
        <b/>
        <sz val="11"/>
        <color rgb="FF000000"/>
        <rFont val="Times New Roman"/>
      </rPr>
      <t>标准</t>
    </r>
    <r>
      <rPr>
        <sz val="11"/>
        <color rgb="FF000000"/>
        <rFont val="Times New Roman"/>
      </rPr>
      <t xml:space="preserve">一样。 </t>
    </r>
  </si>
  <si>
    <t>Món mà cô ấy nấu ngon tới mức đạt tiêu chuẩn của nhà hàng 5 sao.</t>
  </si>
  <si>
    <t>H4_B5_BG1.png</t>
  </si>
  <si>
    <t>B5_1.mp3</t>
  </si>
  <si>
    <t>B5_VD_1.mp3</t>
  </si>
  <si>
    <t>打折</t>
  </si>
  <si>
    <t>&lt;ruby&gt;打折&lt;rt&gt;dă zhé&lt;/rt&gt;&lt;/ruby&gt;</t>
  </si>
  <si>
    <t>dă zhé</t>
  </si>
  <si>
    <t>giảm giá</t>
  </si>
  <si>
    <r>
      <rPr>
        <sz val="11"/>
        <color rgb="FF000000"/>
        <rFont val="Times New Roman"/>
      </rPr>
      <t>今天我喜欢的商店全场商品</t>
    </r>
    <r>
      <rPr>
        <b/>
        <sz val="11"/>
        <color rgb="FF000000"/>
        <rFont val="Times New Roman"/>
      </rPr>
      <t>打</t>
    </r>
    <r>
      <rPr>
        <sz val="11"/>
        <color rgb="FF000000"/>
        <rFont val="Times New Roman"/>
      </rPr>
      <t>八</t>
    </r>
    <r>
      <rPr>
        <b/>
        <sz val="11"/>
        <color rgb="FF000000"/>
        <rFont val="Times New Roman"/>
      </rPr>
      <t>折</t>
    </r>
    <r>
      <rPr>
        <sz val="11"/>
        <color rgb="FF000000"/>
        <rFont val="Times New Roman"/>
      </rPr>
      <t>。</t>
    </r>
  </si>
  <si>
    <t>Hôm nay cửa hàng tôi thích giảm giá 20% toàn bộ sản phẩm.</t>
  </si>
  <si>
    <t>H4_B5_BG2.png</t>
  </si>
  <si>
    <t>B5_2.mp3</t>
  </si>
  <si>
    <t>B5_VD_2.mp3</t>
  </si>
  <si>
    <t>购物</t>
  </si>
  <si>
    <t>&lt;ruby&gt;购物&lt;rt&gt;gòu wù&lt;/rt&gt;&lt;/ruby&gt;</t>
  </si>
  <si>
    <t>gòu wù</t>
  </si>
  <si>
    <t>mua sắm, mua hàng</t>
  </si>
  <si>
    <r>
      <rPr>
        <sz val="11"/>
        <color rgb="FF000000"/>
        <rFont val="Times New Roman"/>
      </rPr>
      <t>今天我和好朋友一起去</t>
    </r>
    <r>
      <rPr>
        <b/>
        <sz val="11"/>
        <color rgb="FF000000"/>
        <rFont val="Times New Roman"/>
      </rPr>
      <t>购物</t>
    </r>
    <r>
      <rPr>
        <sz val="11"/>
        <color rgb="FF000000"/>
        <rFont val="Times New Roman"/>
      </rPr>
      <t>了。</t>
    </r>
  </si>
  <si>
    <t>Hôm nay tôi cùng bạn thân đi mua sắm.</t>
  </si>
  <si>
    <t>H4_B5_BG3.png</t>
  </si>
  <si>
    <t>B5_3.mp3</t>
  </si>
  <si>
    <t>B5_VD_3.mp3</t>
  </si>
  <si>
    <t>购买</t>
  </si>
  <si>
    <t>&lt;ruby&gt;购买&lt;rt&gt;Gòumǎi&lt;/rt&gt;&lt;/ruby&gt;</t>
  </si>
  <si>
    <t>Gòumǎi</t>
  </si>
  <si>
    <t>mua, sắm</t>
  </si>
  <si>
    <r>
      <rPr>
        <sz val="11"/>
        <color rgb="FF000000"/>
        <rFont val="Times New Roman"/>
      </rPr>
      <t>今天发工资了，我打算去</t>
    </r>
    <r>
      <rPr>
        <b/>
        <sz val="11"/>
        <color rgb="FF000000"/>
        <rFont val="Times New Roman"/>
      </rPr>
      <t>购买</t>
    </r>
    <r>
      <rPr>
        <sz val="11"/>
        <color rgb="FF000000"/>
        <rFont val="Times New Roman"/>
      </rPr>
      <t>一部新手机。</t>
    </r>
  </si>
  <si>
    <t>Nay tôi lĩnh lương, sẽ đi mua điện thoại mới.</t>
  </si>
  <si>
    <t>H4_B5_BG4.png</t>
  </si>
  <si>
    <t>B5_4.mp3</t>
  </si>
  <si>
    <t>B5_VD_4.mp3</t>
  </si>
  <si>
    <t>家具</t>
  </si>
  <si>
    <t>&lt;ruby&gt;家具&lt;rt&gt;jiājù&lt;/rt&gt;&lt;/ruby&gt;</t>
  </si>
  <si>
    <t>jiājù</t>
  </si>
  <si>
    <t>đồ dùng trong nhà</t>
  </si>
  <si>
    <r>
      <rPr>
        <sz val="11"/>
        <color rgb="FF000000"/>
        <rFont val="Times New Roman"/>
      </rPr>
      <t>今天我把家里的</t>
    </r>
    <r>
      <rPr>
        <b/>
        <sz val="11"/>
        <color rgb="FF000000"/>
        <rFont val="Times New Roman"/>
      </rPr>
      <t>家具</t>
    </r>
    <r>
      <rPr>
        <sz val="11"/>
        <color rgb="FF000000"/>
        <rFont val="Times New Roman"/>
      </rPr>
      <t>都打扫了一遍。</t>
    </r>
  </si>
  <si>
    <t>Hôm nay tôi lau dọn hết đồ dùng trong nhà.</t>
  </si>
  <si>
    <t>H4_B5_BG5.png</t>
  </si>
  <si>
    <t>B5_5.mp3</t>
  </si>
  <si>
    <t>B5_VD_5.mp3</t>
  </si>
  <si>
    <t>葡萄</t>
  </si>
  <si>
    <t>&lt;ruby&gt;葡萄&lt;rt&gt;pútao&lt;/rt&gt;&lt;/ruby&gt;</t>
  </si>
  <si>
    <t>pútao</t>
  </si>
  <si>
    <t>quả nho</t>
  </si>
  <si>
    <r>
      <rPr>
        <sz val="11"/>
        <color rgb="FF000000"/>
        <rFont val="Times New Roman"/>
      </rPr>
      <t>妈妈买的</t>
    </r>
    <r>
      <rPr>
        <b/>
        <sz val="11"/>
        <color rgb="FF000000"/>
        <rFont val="Times New Roman"/>
      </rPr>
      <t>葡萄</t>
    </r>
    <r>
      <rPr>
        <sz val="11"/>
        <color rgb="FF000000"/>
        <rFont val="Times New Roman"/>
      </rPr>
      <t>好甜啊！</t>
    </r>
  </si>
  <si>
    <t>Nho mà mẹ mua ngọt quá.</t>
  </si>
  <si>
    <t>H4_B5_BG6.png</t>
  </si>
  <si>
    <t>B5_6.mp3</t>
  </si>
  <si>
    <t>B5_VD_6.mp3</t>
  </si>
  <si>
    <t>制冷</t>
  </si>
  <si>
    <t>&lt;ruby&gt;制冷&lt;rt&gt;zhìlěng&lt;/rt&gt;&lt;/ruby&gt;</t>
  </si>
  <si>
    <t>zhìlěng</t>
  </si>
  <si>
    <t>làm lạnh, ướp lạnh</t>
  </si>
  <si>
    <r>
      <rPr>
        <sz val="11"/>
        <color theme="1"/>
        <rFont val="Times New Roman"/>
      </rPr>
      <t>这些鱼需要</t>
    </r>
    <r>
      <rPr>
        <b/>
        <sz val="11"/>
        <color theme="1"/>
        <rFont val="Times New Roman"/>
      </rPr>
      <t>制冷</t>
    </r>
    <r>
      <rPr>
        <sz val="11"/>
        <color theme="1"/>
        <rFont val="Times New Roman"/>
      </rPr>
      <t>保存。</t>
    </r>
  </si>
  <si>
    <t>Những con cá này cần được làm lạnh để bảo quản.</t>
  </si>
  <si>
    <t>H4_B5_BG7.png</t>
  </si>
  <si>
    <t>B5_7.mp3</t>
  </si>
  <si>
    <t>B5_VD_7.mp3</t>
  </si>
  <si>
    <r>
      <rPr>
        <sz val="11"/>
        <color rgb="FF000000"/>
        <rFont val="Times New Roman"/>
      </rPr>
      <t>我刚买了这张绿色的</t>
    </r>
    <r>
      <rPr>
        <b/>
        <sz val="11"/>
        <color rgb="FF000000"/>
        <rFont val="Times New Roman"/>
      </rPr>
      <t>沙发</t>
    </r>
    <r>
      <rPr>
        <sz val="11"/>
        <color rgb="FF000000"/>
        <rFont val="Times New Roman"/>
      </rPr>
      <t>。</t>
    </r>
  </si>
  <si>
    <t>价格</t>
  </si>
  <si>
    <t>&lt;ruby&gt;价格&lt;rt&gt;jiàgé&lt;/rt&gt;&lt;/ruby&gt;</t>
  </si>
  <si>
    <t>jiàgé</t>
  </si>
  <si>
    <t>giá cả</t>
  </si>
  <si>
    <r>
      <rPr>
        <sz val="11"/>
        <color rgb="FF000000"/>
        <rFont val="Times New Roman"/>
      </rPr>
      <t>我觉得这房子的</t>
    </r>
    <r>
      <rPr>
        <b/>
        <sz val="11"/>
        <color rgb="FF000000"/>
        <rFont val="Times New Roman"/>
      </rPr>
      <t>价格</t>
    </r>
    <r>
      <rPr>
        <sz val="11"/>
        <color rgb="FF000000"/>
        <rFont val="Times New Roman"/>
      </rPr>
      <t>太高了。</t>
    </r>
  </si>
  <si>
    <t>Tôi nghĩ giá của căn nhà này rất cao.</t>
  </si>
  <si>
    <t>H4_B5_BG9.png</t>
  </si>
  <si>
    <t>B5_9.mp3</t>
  </si>
  <si>
    <t>B5_VD_9.mp3</t>
  </si>
  <si>
    <t>考虑</t>
  </si>
  <si>
    <t>&lt;ruby&gt;考虑&lt;rt&gt;kǎolù&lt;/rt&gt;&lt;/ruby&gt;</t>
  </si>
  <si>
    <t>kǎolù</t>
  </si>
  <si>
    <t>suy xét, cân nhắc</t>
  </si>
  <si>
    <r>
      <rPr>
        <sz val="11"/>
        <color rgb="FF000000"/>
        <rFont val="Times New Roman"/>
      </rPr>
      <t>我正在</t>
    </r>
    <r>
      <rPr>
        <b/>
        <sz val="11"/>
        <color rgb="FF000000"/>
        <rFont val="Times New Roman"/>
      </rPr>
      <t>考虑</t>
    </r>
    <r>
      <rPr>
        <sz val="11"/>
        <color rgb="FF000000"/>
        <rFont val="Times New Roman"/>
      </rPr>
      <t>今天是否要去购物。</t>
    </r>
  </si>
  <si>
    <t>Tôi đang cân nhắc về việc có nên đi mua sắm vào hôm nay không.</t>
  </si>
  <si>
    <t>H4_B5_BG10.png</t>
  </si>
  <si>
    <t>B5_10.mp3</t>
  </si>
  <si>
    <t>B5_VD_10.mp3</t>
  </si>
  <si>
    <t>浪费</t>
  </si>
  <si>
    <t>&lt;ruby&gt;浪费&lt;rt&gt;làngfèi&lt;/rt&gt;&lt;/ruby&gt;</t>
  </si>
  <si>
    <t>làngfèi</t>
  </si>
  <si>
    <t>lãng phí, hoang phí</t>
  </si>
  <si>
    <r>
      <rPr>
        <sz val="11"/>
        <color rgb="FF000000"/>
        <rFont val="Times New Roman"/>
      </rPr>
      <t>水桶坏了，</t>
    </r>
    <r>
      <rPr>
        <b/>
        <sz val="11"/>
        <color rgb="FF000000"/>
        <rFont val="Times New Roman"/>
      </rPr>
      <t>浪费</t>
    </r>
    <r>
      <rPr>
        <sz val="11"/>
        <color rgb="FF000000"/>
        <rFont val="Times New Roman"/>
      </rPr>
      <t>了很多水。</t>
    </r>
  </si>
  <si>
    <t>Xô nước bị hỏng nên bị lãng phí rất nhiều nước.</t>
  </si>
  <si>
    <t>H4_B5_BG11.png</t>
  </si>
  <si>
    <t>B5_11.mp3</t>
  </si>
  <si>
    <t>B5_VD_11.mp3</t>
  </si>
  <si>
    <r>
      <rPr>
        <sz val="11"/>
        <color rgb="FF000000"/>
        <rFont val="Times New Roman"/>
      </rPr>
      <t>周末我和朋友们去</t>
    </r>
    <r>
      <rPr>
        <b/>
        <sz val="11"/>
        <color rgb="FF000000"/>
        <rFont val="Times New Roman"/>
      </rPr>
      <t>商场</t>
    </r>
    <r>
      <rPr>
        <sz val="11"/>
        <color rgb="FF000000"/>
        <rFont val="Times New Roman"/>
      </rPr>
      <t>玩。</t>
    </r>
  </si>
  <si>
    <t>现金</t>
  </si>
  <si>
    <t>&lt;ruby&gt;现金&lt;rt&gt;Xiànjīn&lt;/rt&gt;&lt;/ruby&gt;</t>
  </si>
  <si>
    <t>Xiànjīn</t>
  </si>
  <si>
    <t>tiền mặt</t>
  </si>
  <si>
    <r>
      <rPr>
        <sz val="11"/>
        <color rgb="FF000000"/>
        <rFont val="Times New Roman"/>
      </rPr>
      <t>她用</t>
    </r>
    <r>
      <rPr>
        <b/>
        <sz val="11"/>
        <color rgb="FF000000"/>
        <rFont val="Times New Roman"/>
      </rPr>
      <t>现金</t>
    </r>
    <r>
      <rPr>
        <sz val="11"/>
        <color rgb="FF000000"/>
        <rFont val="Times New Roman"/>
      </rPr>
      <t>付款买了东西。</t>
    </r>
  </si>
  <si>
    <t>Cô ấy dùng tiền mặt để mua đồ.</t>
  </si>
  <si>
    <t>H4_B5_BG13.png</t>
  </si>
  <si>
    <t>B5_13.mp3</t>
  </si>
  <si>
    <t>B5_VD_13.mp3</t>
  </si>
  <si>
    <t>咱</t>
  </si>
  <si>
    <t>&lt;ruby&gt;咱&lt;rt&gt;zán&lt;/rt&gt;&lt;/ruby&gt;</t>
  </si>
  <si>
    <t>zán</t>
  </si>
  <si>
    <t>ta, chúng ta</t>
  </si>
  <si>
    <r>
      <rPr>
        <b/>
        <sz val="11"/>
        <color rgb="FF0E0E0E"/>
        <rFont val="Times New Roman"/>
      </rPr>
      <t>咱</t>
    </r>
    <r>
      <rPr>
        <sz val="11"/>
        <color rgb="FF0E0E0E"/>
        <rFont val="Times New Roman"/>
      </rPr>
      <t>们一起去公园散步吧！</t>
    </r>
  </si>
  <si>
    <t>Chúng ta cùng đi công viên đi dạo nhé!</t>
  </si>
  <si>
    <t>H4_B5_BG14.png</t>
  </si>
  <si>
    <t>B5_14.mp3</t>
  </si>
  <si>
    <t>B5_VD_14.mp3</t>
  </si>
  <si>
    <t>光</t>
  </si>
  <si>
    <t>&lt;ruby&gt;光&lt;rt&gt;guāng&lt;/rt&gt;&lt;/ruby&gt;</t>
  </si>
  <si>
    <t>guāng</t>
  </si>
  <si>
    <t>chỉ</t>
  </si>
  <si>
    <r>
      <rPr>
        <sz val="11"/>
        <color rgb="FF0E0E0E"/>
        <rFont val="Times New Roman"/>
      </rPr>
      <t>我</t>
    </r>
    <r>
      <rPr>
        <b/>
        <sz val="11"/>
        <color rgb="FF0E0E0E"/>
        <rFont val="Times New Roman"/>
      </rPr>
      <t>光</t>
    </r>
    <r>
      <rPr>
        <sz val="11"/>
        <color rgb="FF0E0E0E"/>
        <rFont val="Times New Roman"/>
      </rPr>
      <t>吃了水果，没有吃饭。</t>
    </r>
  </si>
  <si>
    <t>Tôi chỉ ăn trái cây, không ăn cơm.</t>
  </si>
  <si>
    <t>H4_B5_BG15.png</t>
  </si>
  <si>
    <t>B5_15.mp3</t>
  </si>
  <si>
    <t>B5_VD_15.mp3</t>
  </si>
  <si>
    <t>寄</t>
  </si>
  <si>
    <t>&lt;ruby&gt;寄&lt;rt&gt;ji&lt;/rt&gt;&lt;/ruby&gt;</t>
  </si>
  <si>
    <t>ji</t>
  </si>
  <si>
    <t>gửi</t>
  </si>
  <si>
    <r>
      <rPr>
        <sz val="11"/>
        <color rgb="FF000000"/>
        <rFont val="Times New Roman"/>
      </rPr>
      <t>星期六我会去邮局给父母</t>
    </r>
    <r>
      <rPr>
        <b/>
        <sz val="11"/>
        <color rgb="FF000000"/>
        <rFont val="Times New Roman"/>
      </rPr>
      <t>寄</t>
    </r>
    <r>
      <rPr>
        <sz val="11"/>
        <color rgb="FF000000"/>
        <rFont val="Times New Roman"/>
      </rPr>
      <t>信。</t>
    </r>
  </si>
  <si>
    <t>Thứ bảy tôi sẽ ra bưu điện gửi thư cho bố mẹ.</t>
  </si>
  <si>
    <t>H4_B5_BG16.png</t>
  </si>
  <si>
    <t>B5_16.mp3</t>
  </si>
  <si>
    <t>B5_VD_16.mp3</t>
  </si>
  <si>
    <t>肯定</t>
  </si>
  <si>
    <t>&lt;ruby&gt;肯定&lt;rt&gt;kěndìng&lt;/rt&gt;&lt;/ruby&gt;</t>
  </si>
  <si>
    <t>kěndìng</t>
  </si>
  <si>
    <t>chắc chắn, nhất định</t>
  </si>
  <si>
    <r>
      <rPr>
        <sz val="11"/>
        <color rgb="FF000000"/>
        <rFont val="Times New Roman"/>
      </rPr>
      <t>我</t>
    </r>
    <r>
      <rPr>
        <b/>
        <sz val="11"/>
        <color rgb="FF000000"/>
        <rFont val="Times New Roman"/>
      </rPr>
      <t>肯定</t>
    </r>
    <r>
      <rPr>
        <sz val="11"/>
        <color rgb="FF000000"/>
        <rFont val="Times New Roman"/>
      </rPr>
      <t>你能做到。</t>
    </r>
  </si>
  <si>
    <t>Tôi chắc chắn bạn sẽ làm được.</t>
  </si>
  <si>
    <t>H4_B5_BG17.png</t>
  </si>
  <si>
    <t>B5_17.mp3</t>
  </si>
  <si>
    <t>B5_VD_17.mp3</t>
  </si>
  <si>
    <t>任何</t>
  </si>
  <si>
    <t>&lt;ruby&gt;任何&lt;rt&gt;rènhé&lt;/rt&gt;&lt;/ruby&gt;</t>
  </si>
  <si>
    <t>rènhé</t>
  </si>
  <si>
    <t>bất cứ, bất kỳ</t>
  </si>
  <si>
    <r>
      <rPr>
        <sz val="11"/>
        <color rgb="FF000000"/>
        <rFont val="Times New Roman"/>
      </rPr>
      <t>你送我的</t>
    </r>
    <r>
      <rPr>
        <b/>
        <sz val="11"/>
        <color rgb="FF000000"/>
        <rFont val="Times New Roman"/>
      </rPr>
      <t>任何</t>
    </r>
    <r>
      <rPr>
        <sz val="11"/>
        <color rgb="FF000000"/>
        <rFont val="Times New Roman"/>
      </rPr>
      <t>礼物我都喜欢。</t>
    </r>
  </si>
  <si>
    <t>Bạn tặng tôi bất cứ món quà nào tôi đều thích.</t>
  </si>
  <si>
    <t>H4_B5_BG18.png</t>
  </si>
  <si>
    <t>B5_18.mp3</t>
  </si>
  <si>
    <t>B5_VD_18.mp3</t>
  </si>
  <si>
    <t>实际</t>
  </si>
  <si>
    <t>&lt;ruby&gt;实际&lt;rt&gt;Shíjì&lt;/rt&gt;&lt;/ruby&gt;</t>
  </si>
  <si>
    <t>Shíjì</t>
  </si>
  <si>
    <t>thực tế</t>
  </si>
  <si>
    <r>
      <rPr>
        <b/>
        <sz val="11"/>
        <color theme="1"/>
        <rFont val="Times New Roman"/>
      </rPr>
      <t>实际</t>
    </r>
    <r>
      <rPr>
        <sz val="11"/>
        <color theme="1"/>
        <rFont val="Times New Roman"/>
      </rPr>
      <t>天气很冷。</t>
    </r>
  </si>
  <si>
    <t>Thực tế thời tiết rất lạnh.</t>
  </si>
  <si>
    <t>H4_B5_BG19.png</t>
  </si>
  <si>
    <t>B5_19.mp3</t>
  </si>
  <si>
    <t>B5_VD_19.mp3</t>
  </si>
  <si>
    <t>实在</t>
  </si>
  <si>
    <t>&lt;ruby&gt;实在&lt;rt&gt;Shí zài&lt;/rt&gt;&lt;/ruby&gt;</t>
  </si>
  <si>
    <t>Shí zài</t>
  </si>
  <si>
    <t>kỳ thực, quả thực</t>
  </si>
  <si>
    <r>
      <rPr>
        <sz val="11"/>
        <color rgb="FF000000"/>
        <rFont val="Times New Roman"/>
      </rPr>
      <t>这道菜</t>
    </r>
    <r>
      <rPr>
        <b/>
        <sz val="11"/>
        <color rgb="FF000000"/>
        <rFont val="Times New Roman"/>
      </rPr>
      <t>实在</t>
    </r>
    <r>
      <rPr>
        <sz val="11"/>
        <color rgb="FF000000"/>
        <rFont val="Times New Roman"/>
      </rPr>
      <t>是太好吃了。</t>
    </r>
  </si>
  <si>
    <t>Món ăn này quả thực rất ngon.</t>
  </si>
  <si>
    <t>H4_B5_BG20.png</t>
  </si>
  <si>
    <t>B5_20.mp3</t>
  </si>
  <si>
    <t>B5_VD_20.mp3</t>
  </si>
  <si>
    <r>
      <rPr>
        <sz val="11"/>
        <color theme="1"/>
        <rFont val="Times New Roman"/>
      </rPr>
      <t>他</t>
    </r>
    <r>
      <rPr>
        <b/>
        <sz val="11"/>
        <color theme="1"/>
        <rFont val="Times New Roman"/>
      </rPr>
      <t>受到</t>
    </r>
    <r>
      <rPr>
        <sz val="11"/>
        <color theme="1"/>
        <rFont val="Times New Roman"/>
      </rPr>
      <t>了老师的表扬，因为他考了满分。</t>
    </r>
  </si>
  <si>
    <t>顺便</t>
  </si>
  <si>
    <t>&lt;ruby&gt;顺便&lt;rt&gt;shùnbiàn&lt;/rt&gt;&lt;/ruby&gt;</t>
  </si>
  <si>
    <t>shùnbiàn</t>
  </si>
  <si>
    <t>nhân tiện</t>
  </si>
  <si>
    <r>
      <rPr>
        <sz val="11"/>
        <color rgb="FF000000"/>
        <rFont val="Times New Roman"/>
      </rPr>
      <t>手里拿着笔记本，我</t>
    </r>
    <r>
      <rPr>
        <b/>
        <sz val="11"/>
        <color rgb="FF000000"/>
        <rFont val="Times New Roman"/>
      </rPr>
      <t>顺便</t>
    </r>
    <r>
      <rPr>
        <sz val="11"/>
        <color rgb="FF000000"/>
        <rFont val="Times New Roman"/>
      </rPr>
      <t>记下了他说的话。</t>
    </r>
  </si>
  <si>
    <t>Đang cầm quyển sổ trên tay nên tôi tiện ghi chú lại những điều mà anh ấy nhắc nhở.</t>
  </si>
  <si>
    <t>H4_B5_BG22.png</t>
  </si>
  <si>
    <t>B5_22.mp3</t>
  </si>
  <si>
    <t>B5_VD_22.mp3</t>
  </si>
  <si>
    <r>
      <rPr>
        <sz val="11"/>
        <color rgb="FF000000"/>
        <rFont val="Times New Roman"/>
      </rPr>
      <t>我邀请同学来我家</t>
    </r>
    <r>
      <rPr>
        <b/>
        <sz val="11"/>
        <color rgb="FF000000"/>
        <rFont val="Times New Roman"/>
      </rPr>
      <t>做客</t>
    </r>
    <r>
      <rPr>
        <sz val="11"/>
        <color rgb="FF000000"/>
        <rFont val="Times New Roman"/>
      </rPr>
      <t>。</t>
    </r>
  </si>
  <si>
    <t>邀请</t>
  </si>
  <si>
    <t>&lt;ruby&gt;邀请&lt;rt&gt;yāoging&lt;/rt&gt;&lt;/ruby&gt;</t>
  </si>
  <si>
    <t>yāoging</t>
  </si>
  <si>
    <t>mời</t>
  </si>
  <si>
    <r>
      <rPr>
        <sz val="11"/>
        <color rgb="FF000000"/>
        <rFont val="Times New Roman"/>
      </rPr>
      <t>我</t>
    </r>
    <r>
      <rPr>
        <b/>
        <sz val="11"/>
        <color rgb="FF000000"/>
        <rFont val="Times New Roman"/>
      </rPr>
      <t>邀请</t>
    </r>
    <r>
      <rPr>
        <sz val="11"/>
        <color rgb="FF000000"/>
        <rFont val="Times New Roman"/>
      </rPr>
      <t>朋友们来家里参加聚会。</t>
    </r>
  </si>
  <si>
    <t>Tôi mời bạn bè đến nhà dự tiệc.</t>
  </si>
  <si>
    <t>H4_B5_BG24.png</t>
  </si>
  <si>
    <t>B5_24.mp3</t>
  </si>
  <si>
    <t>B5_VD_24.mp3</t>
  </si>
  <si>
    <t>台</t>
  </si>
  <si>
    <t>&lt;ruby&gt;台&lt;rt&gt;tái&lt;/rt&gt;&lt;/ruby&gt;</t>
  </si>
  <si>
    <t>tái</t>
  </si>
  <si>
    <t>(được dùng cho máy móc) cái, chiếc</t>
  </si>
  <si>
    <r>
      <rPr>
        <sz val="11"/>
        <color rgb="FF0E0E0E"/>
        <rFont val="Times New Roman"/>
      </rPr>
      <t>家里有一</t>
    </r>
    <r>
      <rPr>
        <b/>
        <sz val="11"/>
        <color rgb="FF0E0E0E"/>
        <rFont val="Times New Roman"/>
      </rPr>
      <t>台</t>
    </r>
    <r>
      <rPr>
        <sz val="11"/>
        <color rgb="FF0E0E0E"/>
        <rFont val="Times New Roman"/>
      </rPr>
      <t>新的电脑。</t>
    </r>
  </si>
  <si>
    <t>Trong nhà có một chiếc máy tính mới.</t>
  </si>
  <si>
    <t>H4_B5_BG25.png</t>
  </si>
  <si>
    <t>B5_25.mp3</t>
  </si>
  <si>
    <t>B5_VD_25.mp3</t>
  </si>
  <si>
    <t>味道</t>
  </si>
  <si>
    <t>&lt;ruby&gt;味道&lt;rt&gt;wèidào&lt;/rt&gt;&lt;/ruby&gt;</t>
  </si>
  <si>
    <t>wèidào</t>
  </si>
  <si>
    <t>mùi</t>
  </si>
  <si>
    <r>
      <rPr>
        <sz val="11"/>
        <color rgb="FF000000"/>
        <rFont val="Times New Roman"/>
      </rPr>
      <t>这个咖喱的</t>
    </r>
    <r>
      <rPr>
        <b/>
        <sz val="11"/>
        <color rgb="FF000000"/>
        <rFont val="Times New Roman"/>
      </rPr>
      <t>味道</t>
    </r>
    <r>
      <rPr>
        <sz val="11"/>
        <color rgb="FF000000"/>
        <rFont val="Times New Roman"/>
      </rPr>
      <t>特别好。</t>
    </r>
  </si>
  <si>
    <t>Vị của món cà ri này quá là ngon.</t>
  </si>
  <si>
    <t>H4_B5_BG26.png</t>
  </si>
  <si>
    <t>B5_26.mp3</t>
  </si>
  <si>
    <t>B5_VD_26.mp3</t>
  </si>
  <si>
    <t>效果</t>
  </si>
  <si>
    <t>&lt;ruby&gt;效果&lt;rt&gt;xiàoguǒ&lt;/rt&gt;&lt;/ruby&gt;</t>
  </si>
  <si>
    <t>xiàoguǒ</t>
  </si>
  <si>
    <t>hiệu quả</t>
  </si>
  <si>
    <r>
      <rPr>
        <sz val="11"/>
        <color rgb="FF000000"/>
        <rFont val="Times New Roman"/>
      </rPr>
      <t>我的训练方法很有</t>
    </r>
    <r>
      <rPr>
        <b/>
        <sz val="11"/>
        <color rgb="FF000000"/>
        <rFont val="Times New Roman"/>
      </rPr>
      <t>效果</t>
    </r>
    <r>
      <rPr>
        <sz val="11"/>
        <color rgb="FF000000"/>
        <rFont val="Times New Roman"/>
      </rPr>
      <t>，所以拿到了第一名。</t>
    </r>
  </si>
  <si>
    <t>Phương pháp luyện tập của tôi rất có hiệu quả nên đã giành được hạng nhất.</t>
  </si>
  <si>
    <t>H4_B5_BG27.png</t>
  </si>
  <si>
    <t>B5_27.mp3</t>
  </si>
  <si>
    <t>B5_VD_27.mp3</t>
  </si>
  <si>
    <t>样子</t>
  </si>
  <si>
    <t>&lt;ruby&gt;样子&lt;rt&gt;yàngzi&lt;/rt&gt;&lt;/ruby&gt;</t>
  </si>
  <si>
    <t>yàngzi</t>
  </si>
  <si>
    <t>kiểu dáng</t>
  </si>
  <si>
    <r>
      <rPr>
        <sz val="11"/>
        <color rgb="FF000000"/>
        <rFont val="Times New Roman"/>
      </rPr>
      <t>她跳芭蕾舞的</t>
    </r>
    <r>
      <rPr>
        <b/>
        <sz val="11"/>
        <color rgb="FF000000"/>
        <rFont val="Times New Roman"/>
      </rPr>
      <t>样子</t>
    </r>
    <r>
      <rPr>
        <sz val="11"/>
        <color rgb="FF000000"/>
        <rFont val="Times New Roman"/>
      </rPr>
      <t>非常优美。</t>
    </r>
  </si>
  <si>
    <t>Bộ dáng của cô ấy khi múa ba lê rất đẹp.</t>
  </si>
  <si>
    <t>H4_B5_BG28.png</t>
  </si>
  <si>
    <t>B5_28.mp3</t>
  </si>
  <si>
    <t>B5_VD_28.mp3</t>
  </si>
  <si>
    <t>年龄</t>
  </si>
  <si>
    <t>&lt;ruby&gt;年龄&lt;rt&gt;niánlíng&lt;/rt&gt;&lt;/ruby&gt;</t>
  </si>
  <si>
    <t>niánlíng</t>
  </si>
  <si>
    <t>tuổi</t>
  </si>
  <si>
    <r>
      <rPr>
        <sz val="11"/>
        <color rgb="FF000000"/>
        <rFont val="Times New Roman"/>
      </rPr>
      <t>在我这个</t>
    </r>
    <r>
      <rPr>
        <b/>
        <sz val="11"/>
        <color rgb="FF000000"/>
        <rFont val="Times New Roman"/>
      </rPr>
      <t>年龄</t>
    </r>
    <r>
      <rPr>
        <sz val="11"/>
        <color rgb="FF000000"/>
        <rFont val="Times New Roman"/>
      </rPr>
      <t>，我爷爷还在战场上。</t>
    </r>
  </si>
  <si>
    <t>Tầm tuổi tôi thì ông tôi đang ở trên chiến trường.</t>
  </si>
  <si>
    <t>H4_B5_BG29.png</t>
  </si>
  <si>
    <t>B5_29.mp3</t>
  </si>
  <si>
    <t>B5_VD_29.mp3</t>
  </si>
  <si>
    <t>广告</t>
  </si>
  <si>
    <t>&lt;ruby&gt;广告&lt;rt&gt;guănggào&lt;/rt&gt;&lt;/ruby&gt;</t>
  </si>
  <si>
    <t>guănggào</t>
  </si>
  <si>
    <t>quảng cáo</t>
  </si>
  <si>
    <r>
      <rPr>
        <sz val="11"/>
        <color rgb="FF000000"/>
        <rFont val="Times New Roman"/>
      </rPr>
      <t>他们正在为一种新巧克力做</t>
    </r>
    <r>
      <rPr>
        <b/>
        <sz val="11"/>
        <color rgb="FF000000"/>
        <rFont val="Times New Roman"/>
      </rPr>
      <t>广告</t>
    </r>
    <r>
      <rPr>
        <sz val="11"/>
        <color rgb="FF000000"/>
        <rFont val="Times New Roman"/>
      </rPr>
      <t>。</t>
    </r>
  </si>
  <si>
    <t>Họ đang quảng cáo loại sô cô la mới.</t>
  </si>
  <si>
    <t>H4_B5_BG30.png</t>
  </si>
  <si>
    <t>B5_30.mp3</t>
  </si>
  <si>
    <t>B5_VD_30.mp3</t>
  </si>
  <si>
    <t>艺术</t>
  </si>
  <si>
    <t>&lt;ruby&gt;艺术&lt;rt&gt;yìshù&lt;/rt&gt;&lt;/ruby&gt;</t>
  </si>
  <si>
    <t>yìshù</t>
  </si>
  <si>
    <t>Danh từ/Tính từ</t>
  </si>
  <si>
    <t>nghệ thuật; có tính nghệ thuật</t>
  </si>
  <si>
    <r>
      <rPr>
        <sz val="11"/>
        <color rgb="FF000000"/>
        <rFont val="Times New Roman"/>
      </rPr>
      <t>画画是一种</t>
    </r>
    <r>
      <rPr>
        <b/>
        <sz val="11"/>
        <color rgb="FF000000"/>
        <rFont val="Times New Roman"/>
      </rPr>
      <t>艺术</t>
    </r>
    <r>
      <rPr>
        <sz val="11"/>
        <color rgb="FF000000"/>
        <rFont val="Times New Roman"/>
      </rPr>
      <t>形式。</t>
    </r>
  </si>
  <si>
    <t>Vẽ tranh là một loại nghệ thuật.</t>
  </si>
  <si>
    <t>H4_B5_BG31.png</t>
  </si>
  <si>
    <t>B5_31.mp3</t>
  </si>
  <si>
    <t>B5_VD_31.mp3</t>
  </si>
  <si>
    <t>流行</t>
  </si>
  <si>
    <t>&lt;ruby&gt;流行&lt;rt&gt;liúxíng&lt;/rt&gt;&lt;/ruby&gt;</t>
  </si>
  <si>
    <t>liúxíng</t>
  </si>
  <si>
    <t>được nhiều người ưa chuộng</t>
  </si>
  <si>
    <r>
      <rPr>
        <sz val="11"/>
        <color rgb="FF000000"/>
        <rFont val="Times New Roman"/>
      </rPr>
      <t xml:space="preserve"> 这个动作最近特别</t>
    </r>
    <r>
      <rPr>
        <b/>
        <sz val="11"/>
        <color rgb="FF000000"/>
        <rFont val="Times New Roman"/>
      </rPr>
      <t>流行</t>
    </r>
    <r>
      <rPr>
        <sz val="11"/>
        <color rgb="FF000000"/>
        <rFont val="Times New Roman"/>
      </rPr>
      <t>。</t>
    </r>
  </si>
  <si>
    <t>Động tác này rất thịnh hành.</t>
  </si>
  <si>
    <t>H4_B5_BG32.png</t>
  </si>
  <si>
    <t>B5_32.mp3</t>
  </si>
  <si>
    <t>B5_VD_32.mp3</t>
  </si>
  <si>
    <t>优点</t>
  </si>
  <si>
    <t>&lt;ruby&gt;优点&lt;rt&gt;yōudiăn&lt;/rt&gt;&lt;/ruby&gt;</t>
  </si>
  <si>
    <t>yōudiăn</t>
  </si>
  <si>
    <t>ưu điểm</t>
  </si>
  <si>
    <r>
      <rPr>
        <sz val="11"/>
        <color rgb="FF000000"/>
        <rFont val="Times New Roman"/>
      </rPr>
      <t>他的</t>
    </r>
    <r>
      <rPr>
        <b/>
        <sz val="11"/>
        <color rgb="FF000000"/>
        <rFont val="Times New Roman"/>
      </rPr>
      <t>优点</t>
    </r>
    <r>
      <rPr>
        <sz val="11"/>
        <color rgb="FF000000"/>
        <rFont val="Times New Roman"/>
      </rPr>
      <t>是体育特别好。</t>
    </r>
  </si>
  <si>
    <t>Ưu điểm của anh ấy là giỏi thể thao.</t>
  </si>
  <si>
    <t>H4_B5_BG33.png</t>
  </si>
  <si>
    <t>B5_33.mp3</t>
  </si>
  <si>
    <t>B5_VD_33.mp3</t>
  </si>
  <si>
    <t>尤其</t>
  </si>
  <si>
    <t>&lt;ruby&gt;尤其&lt;rt&gt;yóuqí&lt;/rt&gt;&lt;/ruby&gt;</t>
  </si>
  <si>
    <t>yóuqí</t>
  </si>
  <si>
    <t>đặc biệt là, nhất là</t>
  </si>
  <si>
    <r>
      <rPr>
        <sz val="11"/>
        <color rgb="FF000000"/>
        <rFont val="Times New Roman"/>
      </rPr>
      <t>我们家人喜欢晚饭后在一起聊天，</t>
    </r>
    <r>
      <rPr>
        <b/>
        <sz val="11"/>
        <color rgb="FF000000"/>
        <rFont val="Times New Roman"/>
      </rPr>
      <t>尤其</t>
    </r>
    <r>
      <rPr>
        <sz val="11"/>
        <color rgb="FF000000"/>
        <rFont val="Times New Roman"/>
      </rPr>
      <t>是周末。</t>
    </r>
  </si>
  <si>
    <t>Gia đình chúng tôi thích quây quần cùng nhau sau bữa tối, đặc biệt là ngày cuối tuần.</t>
  </si>
  <si>
    <t>H4_B5_BG34.png</t>
  </si>
  <si>
    <t>B5_34.mp3</t>
  </si>
  <si>
    <t>B5_VD_34.mp3</t>
  </si>
  <si>
    <t>质量</t>
  </si>
  <si>
    <t>&lt;ruby&gt;质量&lt;rt&gt;zhìliàng&lt;/rt&gt;&lt;/ruby&gt;</t>
  </si>
  <si>
    <t>zhìliàng</t>
  </si>
  <si>
    <t>chất lượng</t>
  </si>
  <si>
    <r>
      <rPr>
        <sz val="11"/>
        <color rgb="FF000000"/>
        <rFont val="Times New Roman"/>
      </rPr>
      <t>这家酒店的</t>
    </r>
    <r>
      <rPr>
        <b/>
        <sz val="11"/>
        <color rgb="FF000000"/>
        <rFont val="Times New Roman"/>
      </rPr>
      <t>质量</t>
    </r>
    <r>
      <rPr>
        <sz val="11"/>
        <color rgb="FF000000"/>
        <rFont val="Times New Roman"/>
      </rPr>
      <t>特别好。</t>
    </r>
  </si>
  <si>
    <t>Chất lượng của khách sạn này rất tốt.</t>
  </si>
  <si>
    <t>H4_B5_BG35.png</t>
  </si>
  <si>
    <t>B5_35.mp3</t>
  </si>
  <si>
    <t>B5_VD_35.mp3</t>
  </si>
  <si>
    <t>百分之</t>
  </si>
  <si>
    <t>&lt;ruby&gt;百分之&lt;rt&gt;băi fēn zhī&lt;/rt&gt;&lt;/ruby&gt;</t>
  </si>
  <si>
    <t>băi fēn zhī</t>
  </si>
  <si>
    <t>phần trăm</t>
  </si>
  <si>
    <r>
      <rPr>
        <sz val="11"/>
        <color rgb="FF000000"/>
        <rFont val="Times New Roman"/>
      </rPr>
      <t>这只包打了</t>
    </r>
    <r>
      <rPr>
        <b/>
        <sz val="11"/>
        <color rgb="FF000000"/>
        <rFont val="Times New Roman"/>
      </rPr>
      <t>百分之</t>
    </r>
    <r>
      <rPr>
        <sz val="11"/>
        <color rgb="FF000000"/>
        <rFont val="Times New Roman"/>
      </rPr>
      <t>五十的折扣。</t>
    </r>
  </si>
  <si>
    <t>Chiếc túi này được giảm 50%.</t>
  </si>
  <si>
    <t>H4_B6_BG-01.png</t>
  </si>
  <si>
    <t>B6_1.mp3</t>
  </si>
  <si>
    <t>B6_VD_1.mp3</t>
  </si>
  <si>
    <t>倍</t>
  </si>
  <si>
    <t>&lt;ruby&gt;倍&lt;rt&gt;bèi&lt;/rt&gt;&lt;/ruby&gt;</t>
  </si>
  <si>
    <r>
      <rPr>
        <sz val="11"/>
        <color rgb="FF000000"/>
        <rFont val="Times New Roman"/>
      </rPr>
      <t>他今天上学很匆忙，刷牙的速度比平时快了两</t>
    </r>
    <r>
      <rPr>
        <b/>
        <sz val="11"/>
        <color rgb="FF000000"/>
        <rFont val="Times New Roman"/>
      </rPr>
      <t>倍</t>
    </r>
    <r>
      <rPr>
        <sz val="11"/>
        <color rgb="FF000000"/>
        <rFont val="Times New Roman"/>
      </rPr>
      <t>。</t>
    </r>
  </si>
  <si>
    <t>Hôm nay anh ấy vội đến trường nên đánh răng nhanh gấp hai lần bình thường.</t>
  </si>
  <si>
    <t>H4_B6_BG-02.png</t>
  </si>
  <si>
    <t>B6_2.mp3</t>
  </si>
  <si>
    <t>B6_VD_2.mp3</t>
  </si>
  <si>
    <r>
      <rPr>
        <sz val="11"/>
        <color rgb="FF000000"/>
        <rFont val="Times New Roman"/>
      </rPr>
      <t>你</t>
    </r>
    <r>
      <rPr>
        <b/>
        <sz val="11"/>
        <color rgb="FF000000"/>
        <rFont val="Times New Roman"/>
      </rPr>
      <t>尝</t>
    </r>
    <r>
      <rPr>
        <sz val="11"/>
        <color rgb="FF000000"/>
        <rFont val="Times New Roman"/>
      </rPr>
      <t>尝这个菜吧，很好吃！</t>
    </r>
  </si>
  <si>
    <t>免费</t>
  </si>
  <si>
    <t>&lt;ruby&gt;免费&lt;rt&gt;miăn fèi&lt;/rt&gt;&lt;/ruby&gt;</t>
  </si>
  <si>
    <t>miăn fèi</t>
  </si>
  <si>
    <t>miễn phí</t>
  </si>
  <si>
    <r>
      <rPr>
        <sz val="11"/>
        <color rgb="FF000000"/>
        <rFont val="Times New Roman"/>
      </rPr>
      <t>现在全场包邮，完全</t>
    </r>
    <r>
      <rPr>
        <b/>
        <sz val="11"/>
        <color rgb="FF000000"/>
        <rFont val="Times New Roman"/>
      </rPr>
      <t>免费</t>
    </r>
    <r>
      <rPr>
        <sz val="11"/>
        <color rgb="FF000000"/>
        <rFont val="Times New Roman"/>
      </rPr>
      <t>！</t>
    </r>
  </si>
  <si>
    <t>Hiện tại đang được miễn phí ship toàn quốc.</t>
  </si>
  <si>
    <t>H4_B6_BG-04.png</t>
  </si>
  <si>
    <t>B6_4.mp3</t>
  </si>
  <si>
    <t>B6_VD_4.mp3</t>
  </si>
  <si>
    <t>&lt;ruby&gt;售货员&lt;rt&gt;Shòu huò yuán&lt;/rt&gt;&lt;/ruby&gt;</t>
  </si>
  <si>
    <t>Shòu huò yuán</t>
  </si>
  <si>
    <t>nhân viên bán hàng</t>
  </si>
  <si>
    <r>
      <rPr>
        <b/>
        <sz val="11"/>
        <color rgb="FF000000"/>
        <rFont val="Times New Roman"/>
      </rPr>
      <t>售货员</t>
    </r>
    <r>
      <rPr>
        <sz val="11"/>
        <color rgb="FF000000"/>
        <rFont val="Times New Roman"/>
      </rPr>
      <t>正在向顾客介绍新产品。</t>
    </r>
  </si>
  <si>
    <t>Nhân viên bán hàng đang giới thiệu sản phẩm.</t>
  </si>
  <si>
    <t>H4_B6_BG-05.png</t>
  </si>
  <si>
    <t>B6_5.mp3</t>
  </si>
  <si>
    <t>B6_VD_5.mp3</t>
  </si>
  <si>
    <t>会员卡</t>
  </si>
  <si>
    <t>&lt;ruby&gt;会员卡&lt;rt&gt;Huìyuán kǎ&lt;/rt&gt;&lt;/ruby&gt;</t>
  </si>
  <si>
    <t>Huìyuán kǎ</t>
  </si>
  <si>
    <t>thẻ hội viên</t>
  </si>
  <si>
    <r>
      <rPr>
        <sz val="11"/>
        <color rgb="FF000000"/>
        <rFont val="Times New Roman"/>
      </rPr>
      <t>我已经成功注册了一张</t>
    </r>
    <r>
      <rPr>
        <b/>
        <sz val="11"/>
        <color rgb="FF000000"/>
        <rFont val="Times New Roman"/>
      </rPr>
      <t>会员卡</t>
    </r>
    <r>
      <rPr>
        <sz val="11"/>
        <color rgb="FF000000"/>
        <rFont val="Times New Roman"/>
      </rPr>
      <t>。</t>
    </r>
  </si>
  <si>
    <t>Tôi đã đăng kí thành công được thẻ hội viên ở đó.</t>
  </si>
  <si>
    <t>H4_B6_BG-06.png</t>
  </si>
  <si>
    <t>B6_6.mp3</t>
  </si>
  <si>
    <t>B6_VD_6.mp3</t>
  </si>
  <si>
    <t>购</t>
  </si>
  <si>
    <t>&lt;ruby&gt;购&lt;rt&gt;gòu&lt;/rt&gt;&lt;/ruby&gt;</t>
  </si>
  <si>
    <t>mua</t>
  </si>
  <si>
    <r>
      <rPr>
        <sz val="11"/>
        <color rgb="FF000000"/>
        <rFont val="Times New Roman"/>
      </rPr>
      <t>我</t>
    </r>
    <r>
      <rPr>
        <b/>
        <sz val="11"/>
        <color rgb="FF000000"/>
        <rFont val="Times New Roman"/>
      </rPr>
      <t>购</t>
    </r>
    <r>
      <rPr>
        <sz val="11"/>
        <color rgb="FF000000"/>
        <rFont val="Times New Roman"/>
      </rPr>
      <t>买了很多东西。</t>
    </r>
  </si>
  <si>
    <t>Tôi đã mua được rất nhiều đồ.</t>
  </si>
  <si>
    <t>H4_B6_BG-07.png</t>
  </si>
  <si>
    <t>B6_7.mp3</t>
  </si>
  <si>
    <t>B6_VD_7.mp3</t>
  </si>
  <si>
    <t>货</t>
  </si>
  <si>
    <t>&lt;ruby&gt;货&lt;rt&gt;huò&lt;/rt&gt;&lt;/ruby&gt;</t>
  </si>
  <si>
    <t>hàng, hàng hóa</t>
  </si>
  <si>
    <r>
      <rPr>
        <sz val="11"/>
        <color rgb="FF000000"/>
        <rFont val="Times New Roman"/>
      </rPr>
      <t>这件</t>
    </r>
    <r>
      <rPr>
        <b/>
        <sz val="11"/>
        <color rgb="FF000000"/>
        <rFont val="Times New Roman"/>
      </rPr>
      <t>货</t>
    </r>
    <r>
      <rPr>
        <sz val="11"/>
        <color rgb="FF000000"/>
        <rFont val="Times New Roman"/>
      </rPr>
      <t>物太重了！</t>
    </r>
  </si>
  <si>
    <t>Món hàng này nặng quá.</t>
  </si>
  <si>
    <t>H4_B6_BG-08.png</t>
  </si>
  <si>
    <t>B6_8.mp3</t>
  </si>
  <si>
    <t>B6_VD_8.mp3</t>
  </si>
  <si>
    <t>价钱</t>
  </si>
  <si>
    <t>&lt;ruby&gt;价钱&lt;rt&gt;jiàqián&lt;/rt&gt;&lt;/ruby&gt;</t>
  </si>
  <si>
    <t>jiàqián</t>
  </si>
  <si>
    <t>giá tiền, giá cả</t>
  </si>
  <si>
    <r>
      <rPr>
        <sz val="11"/>
        <color rgb="FF000000"/>
        <rFont val="Times New Roman"/>
      </rPr>
      <t>这个手机的</t>
    </r>
    <r>
      <rPr>
        <b/>
        <sz val="11"/>
        <color rgb="FF000000"/>
        <rFont val="Times New Roman"/>
      </rPr>
      <t>价钱</t>
    </r>
    <r>
      <rPr>
        <sz val="11"/>
        <color rgb="FF000000"/>
        <rFont val="Times New Roman"/>
      </rPr>
      <t>很贵。</t>
    </r>
  </si>
  <si>
    <t>Giá của chiếc điện thoại này rất đắt.</t>
  </si>
  <si>
    <t>H4_B6_BG-09.png</t>
  </si>
  <si>
    <t>B6_9.mp3</t>
  </si>
  <si>
    <t>B6_VD_9.mp3</t>
  </si>
  <si>
    <t>折</t>
  </si>
  <si>
    <t>&lt;ruby&gt;折&lt;rt&gt;zhé&lt;/rt&gt;&lt;/ruby&gt;</t>
  </si>
  <si>
    <t>zhé</t>
  </si>
  <si>
    <t>sự giảm giá</t>
  </si>
  <si>
    <r>
      <rPr>
        <sz val="11"/>
        <color rgb="FF000000"/>
        <rFont val="Times New Roman"/>
      </rPr>
      <t>这个包</t>
    </r>
    <r>
      <rPr>
        <b/>
        <sz val="11"/>
        <color rgb="FF000000"/>
        <rFont val="Times New Roman"/>
      </rPr>
      <t>折</t>
    </r>
    <r>
      <rPr>
        <sz val="11"/>
        <color rgb="FF000000"/>
        <rFont val="Times New Roman"/>
      </rPr>
      <t>了多少钱？</t>
    </r>
  </si>
  <si>
    <t>Chiếc túi này được giảm bao nhiêu tiền?</t>
  </si>
  <si>
    <t>H4_B6_BG-10.png</t>
  </si>
  <si>
    <t>B6_10.mp3</t>
  </si>
  <si>
    <t>B6_VD_10.mp3</t>
  </si>
  <si>
    <t>&lt;ruby&gt;小朋友&lt;rt&gt;Xiǎopéngyou&lt;/rt&gt;&lt;/ruby&gt;</t>
  </si>
  <si>
    <t>Xiǎopéngyou</t>
  </si>
  <si>
    <t>trẻ em, bạn nhỏ</t>
  </si>
  <si>
    <r>
      <rPr>
        <b/>
        <sz val="11"/>
        <color rgb="FF000000"/>
        <rFont val="Times New Roman"/>
      </rPr>
      <t>小朋友</t>
    </r>
    <r>
      <rPr>
        <sz val="11"/>
        <color rgb="FF000000"/>
        <rFont val="Times New Roman"/>
      </rPr>
      <t>们正在一起唱歌。</t>
    </r>
  </si>
  <si>
    <t>Các bạn nhỏ đang cùng nhau hát.</t>
  </si>
  <si>
    <t>H4_B6_BG-11.png</t>
  </si>
  <si>
    <t>B6_11.mp3</t>
  </si>
  <si>
    <t>B6_VD_11.mp3</t>
  </si>
  <si>
    <t>打扰</t>
  </si>
  <si>
    <t>&lt;ruby&gt;打扰&lt;rt&gt;dărǎo&lt;/rt&gt;&lt;/ruby&gt;</t>
  </si>
  <si>
    <t>dărǎo</t>
  </si>
  <si>
    <t>quấy rầy, làm phiền</t>
  </si>
  <si>
    <r>
      <rPr>
        <sz val="11"/>
        <color rgb="FF000000"/>
        <rFont val="Times New Roman"/>
      </rPr>
      <t>噪音严重</t>
    </r>
    <r>
      <rPr>
        <b/>
        <sz val="11"/>
        <color rgb="FF000000"/>
        <rFont val="Times New Roman"/>
      </rPr>
      <t>打扰</t>
    </r>
    <r>
      <rPr>
        <sz val="11"/>
        <color rgb="FF000000"/>
        <rFont val="Times New Roman"/>
      </rPr>
      <t>了我的休息。</t>
    </r>
  </si>
  <si>
    <t>Tiếng ồn đang làm phiền tôi.</t>
  </si>
  <si>
    <t>H4_B6_BG-12.png</t>
  </si>
  <si>
    <t>B6_12.mp3</t>
  </si>
  <si>
    <t>B6_VD_12.mp3</t>
  </si>
  <si>
    <t>方面</t>
  </si>
  <si>
    <t>&lt;ruby&gt;方面&lt;rt&gt;fāngmiàn&lt;/rt&gt;&lt;/ruby&gt;</t>
  </si>
  <si>
    <t>fāngmiàn</t>
  </si>
  <si>
    <t>khía cạnh, phương diện</t>
  </si>
  <si>
    <r>
      <rPr>
        <sz val="11"/>
        <color rgb="FF000000"/>
        <rFont val="Times New Roman"/>
      </rPr>
      <t>在学习</t>
    </r>
    <r>
      <rPr>
        <b/>
        <sz val="11"/>
        <color rgb="FF000000"/>
        <rFont val="Times New Roman"/>
      </rPr>
      <t>方面</t>
    </r>
    <r>
      <rPr>
        <sz val="11"/>
        <color rgb="FF000000"/>
        <rFont val="Times New Roman"/>
      </rPr>
      <t>，她一直很努力。</t>
    </r>
  </si>
  <si>
    <t>Trong khía cạnh học tập, cô ấy luôn rất chăm chỉ.</t>
  </si>
  <si>
    <t>H4_B6_BG-13.png</t>
  </si>
  <si>
    <t>B6_13.mp3</t>
  </si>
  <si>
    <t>B6_VD_13.mp3</t>
  </si>
  <si>
    <t>các, mỗi</t>
  </si>
  <si>
    <r>
      <rPr>
        <sz val="11"/>
        <color rgb="FF000000"/>
        <rFont val="Times New Roman"/>
      </rPr>
      <t>这次活动有</t>
    </r>
    <r>
      <rPr>
        <b/>
        <sz val="11"/>
        <color rgb="FF000000"/>
        <rFont val="Times New Roman"/>
      </rPr>
      <t>各</t>
    </r>
    <r>
      <rPr>
        <sz val="11"/>
        <color rgb="FF000000"/>
        <rFont val="Times New Roman"/>
      </rPr>
      <t>个年级的学生参加。</t>
    </r>
  </si>
  <si>
    <t>Hoạt động lần này có học sinh từ các khối lớp tham gia.</t>
  </si>
  <si>
    <t>H4_B6_BG-14.png</t>
  </si>
  <si>
    <t>B6_14.mp3</t>
  </si>
  <si>
    <t>B6_VD_14.mp3</t>
  </si>
  <si>
    <t>果汁</t>
  </si>
  <si>
    <t>&lt;ruby&gt;果汁&lt;rt&gt;guǒzhi&lt;/rt&gt;&lt;/ruby&gt;</t>
  </si>
  <si>
    <t>guǒzhi</t>
  </si>
  <si>
    <t>nước trái cây</t>
  </si>
  <si>
    <r>
      <rPr>
        <sz val="11"/>
        <color rgb="FF000000"/>
        <rFont val="Times New Roman"/>
      </rPr>
      <t>喝</t>
    </r>
    <r>
      <rPr>
        <b/>
        <sz val="11"/>
        <color rgb="FF000000"/>
        <rFont val="Times New Roman"/>
      </rPr>
      <t>果汁</t>
    </r>
    <r>
      <rPr>
        <sz val="11"/>
        <color rgb="FF000000"/>
        <rFont val="Times New Roman"/>
      </rPr>
      <t>对身体健康非常有益。</t>
    </r>
  </si>
  <si>
    <t>Uống nước trái cây rất tốt cho sức khỏe.</t>
  </si>
  <si>
    <t>H4_B6_BG-15.png</t>
  </si>
  <si>
    <t>B6_15.mp3</t>
  </si>
  <si>
    <t>B6_VD_15.mp3</t>
  </si>
  <si>
    <t>西红柿</t>
  </si>
  <si>
    <t>&lt;ruby&gt;西红柿&lt;rt&gt;xīhóngshì&lt;/rt&gt;&lt;/ruby&gt;</t>
  </si>
  <si>
    <t>xīhóngshì</t>
  </si>
  <si>
    <t>cà chua</t>
  </si>
  <si>
    <r>
      <rPr>
        <sz val="11"/>
        <color rgb="FF000000"/>
        <rFont val="Times New Roman"/>
      </rPr>
      <t>我正在切</t>
    </r>
    <r>
      <rPr>
        <b/>
        <sz val="11"/>
        <color rgb="FF000000"/>
        <rFont val="Times New Roman"/>
      </rPr>
      <t>西红柿</t>
    </r>
    <r>
      <rPr>
        <sz val="11"/>
        <color rgb="FF000000"/>
        <rFont val="Times New Roman"/>
      </rPr>
      <t>准备做沙拉。</t>
    </r>
  </si>
  <si>
    <t>Tôi đang thái cà chua để làm salad.</t>
  </si>
  <si>
    <t>H4_B6_BG-16.png</t>
  </si>
  <si>
    <t>B6_16.mp3</t>
  </si>
  <si>
    <t>B6_VD_16.mp3</t>
  </si>
  <si>
    <t>好处</t>
  </si>
  <si>
    <t>&lt;ruby&gt;好处&lt;rt&gt;hăochù&lt;/rt&gt;&lt;/ruby&gt;</t>
  </si>
  <si>
    <t>hăochù</t>
  </si>
  <si>
    <t>lợi ích, điều tốt</t>
  </si>
  <si>
    <r>
      <rPr>
        <sz val="11"/>
        <color rgb="FF000000"/>
        <rFont val="Times New Roman"/>
      </rPr>
      <t>少吃盐对健康很有</t>
    </r>
    <r>
      <rPr>
        <b/>
        <sz val="11"/>
        <color rgb="FF000000"/>
        <rFont val="Times New Roman"/>
      </rPr>
      <t>好处</t>
    </r>
    <r>
      <rPr>
        <sz val="11"/>
        <color rgb="FF000000"/>
        <rFont val="Times New Roman"/>
      </rPr>
      <t>。</t>
    </r>
  </si>
  <si>
    <t>Ăn ít muối là một điều tốt cho sức khỏe.</t>
  </si>
  <si>
    <t>H4_B6_BG-17.png</t>
  </si>
  <si>
    <t>B6_17.mp3</t>
  </si>
  <si>
    <t>B6_VD_17.mp3</t>
  </si>
  <si>
    <t>活动</t>
  </si>
  <si>
    <t>&lt;ruby&gt;活动&lt;rt&gt;huódòng&lt;/rt&gt;&lt;/ruby&gt;</t>
  </si>
  <si>
    <t>huódòng</t>
  </si>
  <si>
    <t>hoạt động</t>
  </si>
  <si>
    <r>
      <rPr>
        <sz val="11"/>
        <color rgb="FF000000"/>
        <rFont val="Times New Roman"/>
      </rPr>
      <t>骑自行车是我最喜欢的户外</t>
    </r>
    <r>
      <rPr>
        <b/>
        <sz val="11"/>
        <color rgb="FF000000"/>
        <rFont val="Times New Roman"/>
      </rPr>
      <t>活动</t>
    </r>
    <r>
      <rPr>
        <sz val="11"/>
        <color rgb="FF000000"/>
        <rFont val="Times New Roman"/>
      </rPr>
      <t>。</t>
    </r>
  </si>
  <si>
    <t>Đạp xe là hoạt động ngoài trời mà tôi rất thích.</t>
  </si>
  <si>
    <t>H4_B6_BG-18.png</t>
  </si>
  <si>
    <t>B6_18.mp3</t>
  </si>
  <si>
    <t>B6_VD_18.mp3</t>
  </si>
  <si>
    <t>获得</t>
  </si>
  <si>
    <t>&lt;ruby&gt;获得&lt;rt&gt;huòdé&lt;/rt&gt;&lt;/ruby&gt;</t>
  </si>
  <si>
    <t>huòdé</t>
  </si>
  <si>
    <t>được, lấy được</t>
  </si>
  <si>
    <r>
      <rPr>
        <sz val="11"/>
        <color rgb="FF000000"/>
        <rFont val="Times New Roman"/>
      </rPr>
      <t>我终于</t>
    </r>
    <r>
      <rPr>
        <b/>
        <sz val="11"/>
        <color rgb="FF000000"/>
        <rFont val="Times New Roman"/>
      </rPr>
      <t>获得</t>
    </r>
    <r>
      <rPr>
        <sz val="11"/>
        <color rgb="FF000000"/>
        <rFont val="Times New Roman"/>
      </rPr>
      <t>了比赛的冠军奖杯！</t>
    </r>
  </si>
  <si>
    <t>Tôi đã nhận được cúp chiến thắng.</t>
  </si>
  <si>
    <t>H4_B6_BG-19.png</t>
  </si>
  <si>
    <t>B6_19.mp3</t>
  </si>
  <si>
    <t>B6_VD_19.mp3</t>
  </si>
  <si>
    <t>降低</t>
  </si>
  <si>
    <t>&lt;ruby&gt;降低&lt;rt&gt;jiàngdi&lt;/rt&gt;&lt;/ruby&gt;</t>
  </si>
  <si>
    <t>jiàngdi</t>
  </si>
  <si>
    <t>giảm</t>
  </si>
  <si>
    <r>
      <rPr>
        <sz val="11"/>
        <color rgb="FF000000"/>
        <rFont val="Times New Roman"/>
      </rPr>
      <t>这家超市的商品价格</t>
    </r>
    <r>
      <rPr>
        <b/>
        <sz val="11"/>
        <color rgb="FF000000"/>
        <rFont val="Times New Roman"/>
      </rPr>
      <t>降低</t>
    </r>
    <r>
      <rPr>
        <sz val="11"/>
        <color rgb="FF000000"/>
        <rFont val="Times New Roman"/>
      </rPr>
      <t>了。</t>
    </r>
  </si>
  <si>
    <t>Giá của các mặt hàng trong siêu thị này đã giảm.</t>
  </si>
  <si>
    <t>H4_B6_BG-20.png</t>
  </si>
  <si>
    <t>B6_20.mp3</t>
  </si>
  <si>
    <t>B6_VD_20.mp3</t>
  </si>
  <si>
    <t>竟然</t>
  </si>
  <si>
    <t>&lt;ruby&gt;竟然&lt;rt&gt;jingrán&lt;/rt&gt;&lt;/ruby&gt;</t>
  </si>
  <si>
    <t>jingrán</t>
  </si>
  <si>
    <t>(diễn tả sự bất ngờ) không ngờ, mà, vậy mà</t>
  </si>
  <si>
    <r>
      <rPr>
        <sz val="11"/>
        <color rgb="FF000000"/>
        <rFont val="Times New Roman"/>
      </rPr>
      <t>我</t>
    </r>
    <r>
      <rPr>
        <b/>
        <sz val="11"/>
        <color rgb="FF000000"/>
        <rFont val="Times New Roman"/>
      </rPr>
      <t>竟然</t>
    </r>
    <r>
      <rPr>
        <sz val="11"/>
        <color rgb="FF000000"/>
        <rFont val="Times New Roman"/>
      </rPr>
      <t>在假期中长胖了！</t>
    </r>
  </si>
  <si>
    <t>Không ngờ là tôi đã tăng cân trong kỳ nghỉ!</t>
  </si>
  <si>
    <t>H4_B6_BG-21.png</t>
  </si>
  <si>
    <t>B6_21.mp3</t>
  </si>
  <si>
    <t>B6_VD_21.mp3</t>
  </si>
  <si>
    <t>举办</t>
  </si>
  <si>
    <t>&lt;ruby&gt;举办&lt;rt&gt;jŭbàn&lt;/rt&gt;&lt;/ruby&gt;</t>
  </si>
  <si>
    <t>jŭbàn</t>
  </si>
  <si>
    <t>tổ chức, tiến hành</t>
  </si>
  <si>
    <r>
      <rPr>
        <sz val="11"/>
        <color rgb="FF000000"/>
        <rFont val="Times New Roman"/>
      </rPr>
      <t>学校</t>
    </r>
    <r>
      <rPr>
        <b/>
        <sz val="11"/>
        <color rgb="FF000000"/>
        <rFont val="Times New Roman"/>
      </rPr>
      <t>举办</t>
    </r>
    <r>
      <rPr>
        <sz val="11"/>
        <color rgb="FF000000"/>
        <rFont val="Times New Roman"/>
      </rPr>
      <t>了一个晚会。</t>
    </r>
  </si>
  <si>
    <t>Trường học tổ chức một buổi dạ tiệc.</t>
  </si>
  <si>
    <t>H4_B6_BG-22.png</t>
  </si>
  <si>
    <t>B6_22.mp3</t>
  </si>
  <si>
    <t>B6_VD_22.mp3</t>
  </si>
  <si>
    <t>tổ chức (hội họp, thi đấu...)</t>
  </si>
  <si>
    <r>
      <rPr>
        <sz val="11"/>
        <color rgb="FF000000"/>
        <rFont val="Times New Roman"/>
      </rPr>
      <t>我们计划下个月</t>
    </r>
    <r>
      <rPr>
        <b/>
        <sz val="11"/>
        <color rgb="FF000000"/>
        <rFont val="Times New Roman"/>
      </rPr>
      <t>举行</t>
    </r>
    <r>
      <rPr>
        <sz val="11"/>
        <color rgb="FF000000"/>
        <rFont val="Times New Roman"/>
      </rPr>
      <t>婚礼。</t>
    </r>
  </si>
  <si>
    <t>Chúng tôi dự định tổ chức đám cưới vào tháng sau.</t>
  </si>
  <si>
    <t>H4_B6_BG-23.png</t>
  </si>
  <si>
    <t>B6_23.mp3</t>
  </si>
  <si>
    <t>B6_VD_23.mp3</t>
  </si>
  <si>
    <t>支持</t>
  </si>
  <si>
    <t>&lt;ruby&gt;支持&lt;rt&gt;zhīchí&lt;/rt&gt;&lt;/ruby&gt;</t>
  </si>
  <si>
    <t>zhīchí</t>
  </si>
  <si>
    <t>ủng hộ</t>
  </si>
  <si>
    <r>
      <rPr>
        <sz val="11"/>
        <color rgb="FF000000"/>
        <rFont val="Times New Roman"/>
      </rPr>
      <t>妈妈一直</t>
    </r>
    <r>
      <rPr>
        <b/>
        <sz val="11"/>
        <color rgb="FF000000"/>
        <rFont val="Times New Roman"/>
      </rPr>
      <t>支持</t>
    </r>
    <r>
      <rPr>
        <sz val="11"/>
        <color rgb="FF000000"/>
        <rFont val="Times New Roman"/>
      </rPr>
      <t>我的梦想和选择。</t>
    </r>
  </si>
  <si>
    <t>Mẹ luôn ủng hộ những ước mơ và lựa chọn của tôi.</t>
  </si>
  <si>
    <t>H4_B6_BG-24.png</t>
  </si>
  <si>
    <t>B6_24.mp3</t>
  </si>
  <si>
    <t>B6_VD_24.mp3</t>
  </si>
  <si>
    <t>值得</t>
  </si>
  <si>
    <t>&lt;ruby&gt;值得&lt;rt&gt;zhídé&lt;/rt&gt;&lt;/ruby&gt;</t>
  </si>
  <si>
    <t>zhídé</t>
  </si>
  <si>
    <t>đáng</t>
  </si>
  <si>
    <r>
      <rPr>
        <sz val="11"/>
        <color rgb="FF000000"/>
        <rFont val="Times New Roman"/>
      </rPr>
      <t>这本书非常</t>
    </r>
    <r>
      <rPr>
        <b/>
        <sz val="11"/>
        <color rgb="FF000000"/>
        <rFont val="Times New Roman"/>
      </rPr>
      <t>值得</t>
    </r>
    <r>
      <rPr>
        <sz val="11"/>
        <color rgb="FF000000"/>
        <rFont val="Times New Roman"/>
      </rPr>
      <t>看。</t>
    </r>
  </si>
  <si>
    <t>Cuốn sách này rất đáng để đọc.</t>
  </si>
  <si>
    <t>H4_B6_BG-25.png</t>
  </si>
  <si>
    <t>B6_25.mp3</t>
  </si>
  <si>
    <t>B6_VD_25.mp3</t>
  </si>
  <si>
    <t>例如</t>
  </si>
  <si>
    <t>&lt;ruby&gt;例如&lt;rt&gt;lìrú&lt;/rt&gt;&lt;/ruby&gt;</t>
  </si>
  <si>
    <t>lìrú</t>
  </si>
  <si>
    <t>ví dụ</t>
  </si>
  <si>
    <r>
      <rPr>
        <sz val="11"/>
        <color rgb="FF000000"/>
        <rFont val="Times New Roman"/>
      </rPr>
      <t>我喜欢运动，</t>
    </r>
    <r>
      <rPr>
        <b/>
        <sz val="11"/>
        <color rgb="FF000000"/>
        <rFont val="Times New Roman"/>
      </rPr>
      <t>例如</t>
    </r>
    <r>
      <rPr>
        <sz val="11"/>
        <color rgb="FF000000"/>
        <rFont val="Times New Roman"/>
      </rPr>
      <t>跑步和游泳。</t>
    </r>
  </si>
  <si>
    <t>Tôi thích thể thao, ví dụ như chạy bộ và bơi lội.</t>
  </si>
  <si>
    <t>H4_B6_BG-26.png</t>
  </si>
  <si>
    <t>B6_26.mp3</t>
  </si>
  <si>
    <t>B6_VD_26.mp3</t>
  </si>
  <si>
    <t>满</t>
  </si>
  <si>
    <t>&lt;ruby&gt;满&lt;rt&gt;măn&lt;/rt&gt;&lt;/ruby&gt;</t>
  </si>
  <si>
    <t>măn</t>
  </si>
  <si>
    <t>(đạt đến một chỉ tiêu hay giới hạn) đủ, đầy, tròn</t>
  </si>
  <si>
    <r>
      <rPr>
        <sz val="11"/>
        <color rgb="FF000000"/>
        <rFont val="Times New Roman"/>
      </rPr>
      <t>这个箱子装</t>
    </r>
    <r>
      <rPr>
        <b/>
        <sz val="11"/>
        <color rgb="FF000000"/>
        <rFont val="Times New Roman"/>
      </rPr>
      <t>满</t>
    </r>
    <r>
      <rPr>
        <sz val="11"/>
        <color rgb="FF000000"/>
        <rFont val="Times New Roman"/>
      </rPr>
      <t>了棉花。</t>
    </r>
  </si>
  <si>
    <t>Cái thùng này chứa đầy bông gòn.</t>
  </si>
  <si>
    <t>H4_B6_BG-27.png</t>
  </si>
  <si>
    <t>B6_27.mp3</t>
  </si>
  <si>
    <t>B6_VD_27.mp3</t>
  </si>
  <si>
    <t>内</t>
  </si>
  <si>
    <t>&lt;ruby&gt;内&lt;rt&gt;nèi&lt;/rt&gt;&lt;/ruby&gt;</t>
  </si>
  <si>
    <t>nèi</t>
  </si>
  <si>
    <t>(bên) trong</t>
  </si>
  <si>
    <r>
      <rPr>
        <sz val="11"/>
        <color rgb="FF000000"/>
        <rFont val="Times New Roman"/>
      </rPr>
      <t>他正在房间</t>
    </r>
    <r>
      <rPr>
        <b/>
        <sz val="11"/>
        <color rgb="FF000000"/>
        <rFont val="Times New Roman"/>
      </rPr>
      <t>内</t>
    </r>
    <r>
      <rPr>
        <sz val="11"/>
        <color rgb="FF000000"/>
        <rFont val="Times New Roman"/>
      </rPr>
      <t>休息。</t>
    </r>
  </si>
  <si>
    <t>Anh ấy đang ở trong phòng.</t>
  </si>
  <si>
    <t>H4_B6_BG-28.png</t>
  </si>
  <si>
    <t>B6_28.mp3</t>
  </si>
  <si>
    <t>B6_VD_28.mp3</t>
  </si>
  <si>
    <t>皮肤</t>
  </si>
  <si>
    <t>&lt;ruby&gt;皮肤&lt;rt&gt;pífū&lt;/rt&gt;&lt;/ruby&gt;</t>
  </si>
  <si>
    <t>pífū</t>
  </si>
  <si>
    <t>da</t>
  </si>
  <si>
    <r>
      <rPr>
        <sz val="11"/>
        <color rgb="FF0E0E0E"/>
        <rFont val="Times New Roman"/>
      </rPr>
      <t>夏天的时候，要注意保护</t>
    </r>
    <r>
      <rPr>
        <b/>
        <sz val="11"/>
        <color rgb="FF0E0E0E"/>
        <rFont val="Times New Roman"/>
      </rPr>
      <t>皮肤</t>
    </r>
    <r>
      <rPr>
        <sz val="11"/>
        <color rgb="FF0E0E0E"/>
        <rFont val="Times New Roman"/>
      </rPr>
      <t>。</t>
    </r>
  </si>
  <si>
    <t>Vào mùa hè, cần chú ý bảo vệ da.</t>
  </si>
  <si>
    <t>H4_B6_BG-29.png</t>
  </si>
  <si>
    <t>B6_29.mp3</t>
  </si>
  <si>
    <t>B6_VD_29.mp3</t>
  </si>
  <si>
    <t>其中</t>
  </si>
  <si>
    <t>&lt;ruby&gt;其中&lt;rt&gt;Qízhōng&lt;/rt&gt;&lt;/ruby&gt;</t>
  </si>
  <si>
    <t>Qízhōng</t>
  </si>
  <si>
    <t>trong đó</t>
  </si>
  <si>
    <r>
      <rPr>
        <sz val="11"/>
        <color rgb="FF000000"/>
        <rFont val="Times New Roman"/>
      </rPr>
      <t>我喜欢书，</t>
    </r>
    <r>
      <rPr>
        <b/>
        <sz val="11"/>
        <color rgb="FF000000"/>
        <rFont val="Times New Roman"/>
      </rPr>
      <t>其中</t>
    </r>
    <r>
      <rPr>
        <sz val="11"/>
        <color rgb="FF000000"/>
        <rFont val="Times New Roman"/>
      </rPr>
      <t>最喜欢的是历史书。</t>
    </r>
  </si>
  <si>
    <t>Tôi rất thích sách, trong đó tôi thích nhất là sách lịch sử.</t>
  </si>
  <si>
    <t>H4_B6_BG-30.png</t>
  </si>
  <si>
    <t>B6_30.mp3</t>
  </si>
  <si>
    <t>B6_VD_30.mp3</t>
  </si>
  <si>
    <t>轻</t>
  </si>
  <si>
    <t>&lt;ruby&gt;轻&lt;rt&gt;qīng&lt;/rt&gt;&lt;/ruby&gt;</t>
  </si>
  <si>
    <t>qīng</t>
  </si>
  <si>
    <t>Nhẹ</t>
  </si>
  <si>
    <r>
      <rPr>
        <sz val="11"/>
        <color rgb="FF000000"/>
        <rFont val="Times New Roman"/>
      </rPr>
      <t>这个箱子很</t>
    </r>
    <r>
      <rPr>
        <b/>
        <sz val="11"/>
        <color rgb="FF000000"/>
        <rFont val="Times New Roman"/>
      </rPr>
      <t>轻</t>
    </r>
    <r>
      <rPr>
        <sz val="11"/>
        <color rgb="FF000000"/>
        <rFont val="Times New Roman"/>
      </rPr>
      <t>，不用担心搬运。</t>
    </r>
  </si>
  <si>
    <t>Cái thùng này nhẹ lắm, không cần lo lắng khi mang vác.</t>
  </si>
  <si>
    <t>H4_B6_BG-31.png</t>
  </si>
  <si>
    <t>B6_31.mp3</t>
  </si>
  <si>
    <t>B6_VD_31.mp3</t>
  </si>
  <si>
    <t>tình hình, tình huống</t>
  </si>
  <si>
    <r>
      <rPr>
        <sz val="11"/>
        <color rgb="FF000000"/>
        <rFont val="Times New Roman"/>
      </rPr>
      <t>他们在讨论考试的</t>
    </r>
    <r>
      <rPr>
        <b/>
        <sz val="11"/>
        <color rgb="FF000000"/>
        <rFont val="Times New Roman"/>
      </rPr>
      <t>情况</t>
    </r>
    <r>
      <rPr>
        <sz val="11"/>
        <color rgb="FF000000"/>
        <rFont val="Times New Roman"/>
      </rPr>
      <t>。</t>
    </r>
  </si>
  <si>
    <t>Họ đang thảo luận về tình hình kỳ thi.</t>
  </si>
  <si>
    <t>H4_B6_BG-32.png</t>
  </si>
  <si>
    <t>B6_32.mp3</t>
  </si>
  <si>
    <t>B6_VD_32.mp3</t>
  </si>
  <si>
    <t>所有</t>
  </si>
  <si>
    <t>&lt;ruby&gt;所有&lt;rt&gt;suŏyǒu&lt;/rt&gt;&lt;/ruby&gt;</t>
  </si>
  <si>
    <t>suŏyǒu</t>
  </si>
  <si>
    <t>tất cả, toàn bộ</t>
  </si>
  <si>
    <r>
      <rPr>
        <b/>
        <sz val="11"/>
        <color rgb="FF000000"/>
        <rFont val="Times New Roman"/>
      </rPr>
      <t>所有</t>
    </r>
    <r>
      <rPr>
        <sz val="11"/>
        <color rgb="FF000000"/>
        <rFont val="Times New Roman"/>
      </rPr>
      <t>衣服我都一件件晾好了。</t>
    </r>
  </si>
  <si>
    <t>Tất cả quần áo lần lượt được tôi phơi lên.</t>
  </si>
  <si>
    <t>H4_B6_BG-33.png</t>
  </si>
  <si>
    <t>B6_33.mp3</t>
  </si>
  <si>
    <t>B6_VD_33.mp3</t>
  </si>
  <si>
    <t>袜子</t>
  </si>
  <si>
    <t>&lt;ruby&gt;袜子&lt;rt&gt;Wàzi&lt;/rt&gt;&lt;/ruby&gt;</t>
  </si>
  <si>
    <t>Wàzi</t>
  </si>
  <si>
    <t>tất, vớ</t>
  </si>
  <si>
    <r>
      <rPr>
        <sz val="11"/>
        <color rgb="FF000000"/>
        <rFont val="Times New Roman"/>
      </rPr>
      <t>这只</t>
    </r>
    <r>
      <rPr>
        <b/>
        <sz val="11"/>
        <color rgb="FF000000"/>
        <rFont val="Times New Roman"/>
      </rPr>
      <t>袜子</t>
    </r>
    <r>
      <rPr>
        <sz val="11"/>
        <color rgb="FF000000"/>
        <rFont val="Times New Roman"/>
      </rPr>
      <t>已经臭了，得换新的。</t>
    </r>
  </si>
  <si>
    <t>Chiếc tất này đã bốc mùi, cần thay cái mới.</t>
  </si>
  <si>
    <t>H4_B6_BG-34.png</t>
  </si>
  <si>
    <t>B6_34.mp3</t>
  </si>
  <si>
    <t>B6_VD_34.mp3</t>
  </si>
  <si>
    <t>小说</t>
  </si>
  <si>
    <t>&lt;ruby&gt;小说&lt;rt&gt;xiǎoshuō&lt;/rt&gt;&lt;/ruby&gt;</t>
  </si>
  <si>
    <t>xiǎoshuō</t>
  </si>
  <si>
    <t>tiểu thuyết</t>
  </si>
  <si>
    <r>
      <rPr>
        <sz val="11"/>
        <color rgb="FF000000"/>
        <rFont val="Times New Roman"/>
      </rPr>
      <t>我正在写一部浪漫爱情</t>
    </r>
    <r>
      <rPr>
        <b/>
        <sz val="11"/>
        <color rgb="FF000000"/>
        <rFont val="Times New Roman"/>
      </rPr>
      <t>小说</t>
    </r>
    <r>
      <rPr>
        <sz val="11"/>
        <color rgb="FF000000"/>
        <rFont val="Times New Roman"/>
      </rPr>
      <t>。</t>
    </r>
  </si>
  <si>
    <t>Tôi đang viết tiểu thuyết tình yêu.</t>
  </si>
  <si>
    <t>H4_B6_BG-35.png</t>
  </si>
  <si>
    <t>B6_35.mp3</t>
  </si>
  <si>
    <t>B6_VD_35.mp3</t>
  </si>
  <si>
    <t>修理</t>
  </si>
  <si>
    <t>&lt;ruby&gt;修理&lt;rt&gt;xiūli&lt;/rt&gt;&lt;/ruby&gt;</t>
  </si>
  <si>
    <t>xiūli</t>
  </si>
  <si>
    <t>sửa chữa</t>
  </si>
  <si>
    <r>
      <rPr>
        <sz val="11"/>
        <color rgb="FF000000"/>
        <rFont val="Times New Roman"/>
      </rPr>
      <t>我的汽车正在</t>
    </r>
    <r>
      <rPr>
        <b/>
        <sz val="11"/>
        <color rgb="FF000000"/>
        <rFont val="Times New Roman"/>
      </rPr>
      <t>修理</t>
    </r>
    <r>
      <rPr>
        <sz val="11"/>
        <color rgb="FF000000"/>
        <rFont val="Times New Roman"/>
      </rPr>
      <t>中。</t>
    </r>
  </si>
  <si>
    <t>Xe của tôi đang mang đi sửa chữa lại.</t>
  </si>
  <si>
    <t>H4_B6_BG-36.png</t>
  </si>
  <si>
    <t>B6_36.mp3</t>
  </si>
  <si>
    <t>B6_VD_36.mp3</t>
  </si>
  <si>
    <t>擦</t>
  </si>
  <si>
    <t>&lt;ruby&gt;擦&lt;rt&gt;cā&lt;/rt&gt;&lt;/ruby&gt;</t>
  </si>
  <si>
    <t>cā</t>
  </si>
  <si>
    <t>lau, chùi</t>
  </si>
  <si>
    <r>
      <rPr>
        <sz val="11"/>
        <color rgb="FF000000"/>
        <rFont val="Times New Roman"/>
      </rPr>
      <t>她正在</t>
    </r>
    <r>
      <rPr>
        <b/>
        <sz val="11"/>
        <color rgb="FF000000"/>
        <rFont val="Times New Roman"/>
      </rPr>
      <t>擦</t>
    </r>
    <r>
      <rPr>
        <sz val="11"/>
        <color rgb="FF000000"/>
        <rFont val="Times New Roman"/>
      </rPr>
      <t>窗户。</t>
    </r>
  </si>
  <si>
    <t>Cô ấy đang lau cửa sổ.</t>
  </si>
  <si>
    <t>H4_B7-BG-01.png</t>
  </si>
  <si>
    <t>B7_1.mp3</t>
  </si>
  <si>
    <t>B7_VD_1.mp3</t>
  </si>
  <si>
    <t>窗户</t>
  </si>
  <si>
    <t>&lt;ruby&gt;窗户&lt;rt&gt;chuānghu&lt;/rt&gt;&lt;/ruby&gt;</t>
  </si>
  <si>
    <t>chuānghu</t>
  </si>
  <si>
    <t>Cửa sổ</t>
  </si>
  <si>
    <r>
      <rPr>
        <b/>
        <sz val="11"/>
        <color rgb="FF000000"/>
        <rFont val="Times New Roman"/>
      </rPr>
      <t>窗户</t>
    </r>
    <r>
      <rPr>
        <sz val="11"/>
        <color rgb="FF000000"/>
        <rFont val="Times New Roman"/>
      </rPr>
      <t>外的风景真美！</t>
    </r>
  </si>
  <si>
    <t>Phong cảnh ngoài cửa sổ thật đẹp.</t>
  </si>
  <si>
    <t>H4_B7-BG-02.png</t>
  </si>
  <si>
    <t>B7_2.mp3</t>
  </si>
  <si>
    <t>B7_VD_2.mp3</t>
  </si>
  <si>
    <t>超过</t>
  </si>
  <si>
    <t>&lt;ruby&gt;超过&lt;rt&gt;chãoguò&lt;/rt&gt;&lt;/ruby&gt;</t>
  </si>
  <si>
    <t>chãoguò</t>
  </si>
  <si>
    <t>vượt quá</t>
  </si>
  <si>
    <r>
      <rPr>
        <sz val="11"/>
        <color rgb="FF000000"/>
        <rFont val="Times New Roman"/>
      </rPr>
      <t>这个月的花费</t>
    </r>
    <r>
      <rPr>
        <b/>
        <sz val="11"/>
        <color rgb="FF000000"/>
        <rFont val="Times New Roman"/>
      </rPr>
      <t>超过</t>
    </r>
    <r>
      <rPr>
        <sz val="11"/>
        <color rgb="FF000000"/>
        <rFont val="Times New Roman"/>
      </rPr>
      <t>了我的预算。</t>
    </r>
  </si>
  <si>
    <t>Chi tiêu tháng này vượt quá dự tính của tôi rồi.</t>
  </si>
  <si>
    <t>H4_B7-BG-03.png</t>
  </si>
  <si>
    <t>B7_3.mp3</t>
  </si>
  <si>
    <t>B7_VD_3.mp3</t>
  </si>
  <si>
    <t>抽烟</t>
  </si>
  <si>
    <t>&lt;ruby&gt;抽烟&lt;rt&gt;chōu yān&lt;/rt&gt;&lt;/ruby&gt;</t>
  </si>
  <si>
    <t>chōu yān</t>
  </si>
  <si>
    <t>hút thuốc</t>
  </si>
  <si>
    <r>
      <rPr>
        <sz val="11"/>
        <color rgb="FF000000"/>
        <rFont val="Times New Roman"/>
      </rPr>
      <t>从今天开始，我再也不</t>
    </r>
    <r>
      <rPr>
        <b/>
        <sz val="11"/>
        <color rgb="FF000000"/>
        <rFont val="Times New Roman"/>
      </rPr>
      <t>抽烟</t>
    </r>
    <r>
      <rPr>
        <sz val="11"/>
        <color rgb="FF000000"/>
        <rFont val="Times New Roman"/>
      </rPr>
      <t>了！</t>
    </r>
  </si>
  <si>
    <t>Từ hôm nay tôi sẽ không hút thuốc nữa.</t>
  </si>
  <si>
    <t>H4_B7-BG-04.png</t>
  </si>
  <si>
    <t>B7_4.mp3</t>
  </si>
  <si>
    <t>B7_VD_4.mp3</t>
  </si>
  <si>
    <t>出现</t>
  </si>
  <si>
    <t>&lt;ruby&gt;出现&lt;rt&gt;chūxiàn&lt;/rt&gt;&lt;/ruby&gt;</t>
  </si>
  <si>
    <t>chūxiàn</t>
  </si>
  <si>
    <t>xuất hiện, nảy sinh</t>
  </si>
  <si>
    <r>
      <rPr>
        <sz val="11"/>
        <color rgb="FF000000"/>
        <rFont val="Times New Roman"/>
      </rPr>
      <t>我好像生病了，现在</t>
    </r>
    <r>
      <rPr>
        <b/>
        <sz val="11"/>
        <color rgb="FF000000"/>
        <rFont val="Times New Roman"/>
      </rPr>
      <t>出现</t>
    </r>
    <r>
      <rPr>
        <sz val="11"/>
        <color rgb="FF000000"/>
        <rFont val="Times New Roman"/>
      </rPr>
      <t>了咳嗽和喉咙痛。</t>
    </r>
  </si>
  <si>
    <t>Hình như tôi bị ốm rồi, bây giờ đang xuất hiện cơn ho và đau họng.</t>
  </si>
  <si>
    <t>H4_B7-BG-05.png</t>
  </si>
  <si>
    <t>B7_5.mp3</t>
  </si>
  <si>
    <t>B7_VD_5.mp3</t>
  </si>
  <si>
    <t>大夫</t>
  </si>
  <si>
    <t>&lt;ruby&gt;大夫&lt;rt&gt;dàifu&lt;/rt&gt;&lt;/ruby&gt;</t>
  </si>
  <si>
    <t>dàifu</t>
  </si>
  <si>
    <t>bác sĩ</t>
  </si>
  <si>
    <r>
      <rPr>
        <sz val="11"/>
        <color rgb="FF000000"/>
        <rFont val="Times New Roman"/>
      </rPr>
      <t>她是一位很优秀的</t>
    </r>
    <r>
      <rPr>
        <b/>
        <sz val="11"/>
        <color rgb="FF000000"/>
        <rFont val="Times New Roman"/>
      </rPr>
      <t>大夫</t>
    </r>
    <r>
      <rPr>
        <sz val="11"/>
        <color rgb="FF000000"/>
        <rFont val="Times New Roman"/>
      </rPr>
      <t>。</t>
    </r>
  </si>
  <si>
    <t>Cô ấy là một bác sĩ tài giỏi.</t>
  </si>
  <si>
    <t>H4_B7-BG-06.png</t>
  </si>
  <si>
    <t>B7_6.mp3</t>
  </si>
  <si>
    <t>B7_VD_6.mp3</t>
  </si>
  <si>
    <t>减肥</t>
  </si>
  <si>
    <t>&lt;ruby&gt;减肥&lt;rt&gt;jiăn féi&lt;/rt&gt;&lt;/ruby&gt;</t>
  </si>
  <si>
    <t>jiăn féi</t>
  </si>
  <si>
    <t>giảm cân</t>
  </si>
  <si>
    <r>
      <rPr>
        <sz val="11"/>
        <color rgb="FF000000"/>
        <rFont val="Times New Roman"/>
      </rPr>
      <t>我在六个月内成功</t>
    </r>
    <r>
      <rPr>
        <b/>
        <sz val="11"/>
        <color rgb="FF000000"/>
        <rFont val="Times New Roman"/>
      </rPr>
      <t>减肥</t>
    </r>
    <r>
      <rPr>
        <sz val="11"/>
        <color rgb="FF000000"/>
        <rFont val="Times New Roman"/>
      </rPr>
      <t>了</t>
    </r>
  </si>
  <si>
    <t>Tôi đã giảm cân thành công trong vòng 6 tháng rồi.</t>
  </si>
  <si>
    <t>H4_B7-BG-07.png</t>
  </si>
  <si>
    <t>B7_7.mp3</t>
  </si>
  <si>
    <t>B7_VD_7.mp3</t>
  </si>
  <si>
    <t>肚子</t>
  </si>
  <si>
    <t>&lt;ruby&gt;肚子&lt;rt&gt;dùzi&lt;/rt&gt;&lt;/ruby&gt;</t>
  </si>
  <si>
    <t>dùzi</t>
  </si>
  <si>
    <t>bụng</t>
  </si>
  <si>
    <r>
      <rPr>
        <sz val="11"/>
        <color rgb="FF000000"/>
        <rFont val="Times New Roman"/>
      </rPr>
      <t>她好像吃了坏东西，</t>
    </r>
    <r>
      <rPr>
        <b/>
        <sz val="11"/>
        <color rgb="FF000000"/>
        <rFont val="Times New Roman"/>
      </rPr>
      <t>肚子</t>
    </r>
    <r>
      <rPr>
        <sz val="11"/>
        <color rgb="FF000000"/>
        <rFont val="Times New Roman"/>
      </rPr>
      <t>疼得厉害。</t>
    </r>
  </si>
  <si>
    <t>Hình như ăn phải đồ hỏng nên cô ấy đã bị đau bụng.</t>
  </si>
  <si>
    <t>H4_B7-BG-08.png</t>
  </si>
  <si>
    <t>B7_8.mp3</t>
  </si>
  <si>
    <t>B7_VD_8.mp3</t>
  </si>
  <si>
    <t>严重</t>
  </si>
  <si>
    <t>&lt;ruby&gt;严重&lt;rt&gt;yánzhòng&lt;/rt&gt;&lt;/ruby&gt;</t>
  </si>
  <si>
    <t>yánzhòng</t>
  </si>
  <si>
    <t>nghiêm trọng</t>
  </si>
  <si>
    <r>
      <rPr>
        <sz val="11"/>
        <color rgb="FF000000"/>
        <rFont val="Times New Roman"/>
      </rPr>
      <t>他的伤很</t>
    </r>
    <r>
      <rPr>
        <b/>
        <sz val="11"/>
        <color rgb="FF000000"/>
        <rFont val="Times New Roman"/>
      </rPr>
      <t>严重</t>
    </r>
    <r>
      <rPr>
        <sz val="11"/>
        <color rgb="FF000000"/>
        <rFont val="Times New Roman"/>
      </rPr>
      <t>，流了很多血。</t>
    </r>
  </si>
  <si>
    <t>Vết thương của anh ấy rất nghiêm trọng, chảy rất nhiều máu.</t>
  </si>
  <si>
    <t>H4_B7-BG-09.png</t>
  </si>
  <si>
    <t>B7_9.mp3</t>
  </si>
  <si>
    <t>B7_VD_9.mp3</t>
  </si>
  <si>
    <t>精神</t>
  </si>
  <si>
    <t>&lt;ruby&gt;精神&lt;rt&gt;jīngshén&lt;/rt&gt;&lt;/ruby&gt;</t>
  </si>
  <si>
    <t>jīngshén</t>
  </si>
  <si>
    <t>tinh thần</t>
  </si>
  <si>
    <r>
      <rPr>
        <sz val="11"/>
        <color rgb="FF000000"/>
        <rFont val="Times New Roman"/>
      </rPr>
      <t>每天跑步让我的</t>
    </r>
    <r>
      <rPr>
        <b/>
        <sz val="11"/>
        <color rgb="FF000000"/>
        <rFont val="Times New Roman"/>
      </rPr>
      <t>精神</t>
    </r>
    <r>
      <rPr>
        <sz val="11"/>
        <color rgb="FF000000"/>
        <rFont val="Times New Roman"/>
      </rPr>
      <t>更放松。</t>
    </r>
  </si>
  <si>
    <t>Chạy bộ hàng ngày giúp tinh thần thoải mái hơn.</t>
  </si>
  <si>
    <t>H4_B7-BG-10.png</t>
  </si>
  <si>
    <t>B7_10.mp3</t>
  </si>
  <si>
    <t>B7_VD_10.mp3</t>
  </si>
  <si>
    <t>流血</t>
  </si>
  <si>
    <t>&lt;ruby&gt;流血&lt;rt&gt;liú xiě&lt;/rt&gt;&lt;/ruby&gt;</t>
  </si>
  <si>
    <t>liú xiě</t>
  </si>
  <si>
    <t>chảy máu</t>
  </si>
  <si>
    <r>
      <rPr>
        <sz val="11"/>
        <color rgb="FF000000"/>
        <rFont val="Times New Roman"/>
      </rPr>
      <t>她的鼻子正在</t>
    </r>
    <r>
      <rPr>
        <b/>
        <sz val="11"/>
        <color rgb="FF000000"/>
        <rFont val="Times New Roman"/>
      </rPr>
      <t>流血</t>
    </r>
    <r>
      <rPr>
        <sz val="11"/>
        <color rgb="FF000000"/>
        <rFont val="Times New Roman"/>
      </rPr>
      <t>。</t>
    </r>
  </si>
  <si>
    <t>Cô ấy đang bị chảy máu mũi.</t>
  </si>
  <si>
    <t>H4_B7-BG-11.png</t>
  </si>
  <si>
    <t>B7_11.mp3</t>
  </si>
  <si>
    <t>B7_VD_11.mp3</t>
  </si>
  <si>
    <t>辛苦</t>
  </si>
  <si>
    <t>&lt;ruby&gt;辛苦&lt;rt&gt;xīnkǔ&lt;/rt&gt;&lt;/ruby&gt;</t>
  </si>
  <si>
    <t>xīnkǔ</t>
  </si>
  <si>
    <t>vất vả, cực nhọc</t>
  </si>
  <si>
    <r>
      <rPr>
        <sz val="11"/>
        <color rgb="FF000000"/>
        <rFont val="Times New Roman"/>
      </rPr>
      <t>经过多天</t>
    </r>
    <r>
      <rPr>
        <b/>
        <sz val="11"/>
        <color rgb="FF000000"/>
        <rFont val="Times New Roman"/>
      </rPr>
      <t>辛苦</t>
    </r>
    <r>
      <rPr>
        <sz val="11"/>
        <color rgb="FF000000"/>
        <rFont val="Times New Roman"/>
      </rPr>
      <t>学习，他终于毕业了。</t>
    </r>
  </si>
  <si>
    <t>Sau nhiều ngày học tập vất vả, cuối cùng anh ấy cũng đã tốt nghiệp.</t>
  </si>
  <si>
    <t>H4_B7-BG-12.png</t>
  </si>
  <si>
    <t>B7_12.mp3</t>
  </si>
  <si>
    <t>B7_VD_12.mp3</t>
  </si>
  <si>
    <t>教授</t>
  </si>
  <si>
    <t>&lt;ruby&gt;教授&lt;rt&gt;Jiàoshòu&lt;/rt&gt;&lt;/ruby&gt;</t>
  </si>
  <si>
    <t>Jiàoshòu</t>
  </si>
  <si>
    <t>giáo sư</t>
  </si>
  <si>
    <r>
      <rPr>
        <sz val="11"/>
        <color rgb="FF000000"/>
        <rFont val="Times New Roman"/>
      </rPr>
      <t>他是一所著名大学的</t>
    </r>
    <r>
      <rPr>
        <b/>
        <sz val="11"/>
        <color rgb="FF000000"/>
        <rFont val="Times New Roman"/>
      </rPr>
      <t>教授</t>
    </r>
    <r>
      <rPr>
        <sz val="11"/>
        <color rgb="FF000000"/>
        <rFont val="Times New Roman"/>
      </rPr>
      <t>。</t>
    </r>
  </si>
  <si>
    <t>Ông ấy là giáo sư của một trường đại học nổi tiếng.</t>
  </si>
  <si>
    <t>H4_B7-BG-13.png</t>
  </si>
  <si>
    <t>B7_13.mp3</t>
  </si>
  <si>
    <t>B7_VD_13.mp3</t>
  </si>
  <si>
    <t>研究</t>
  </si>
  <si>
    <t>&lt;ruby&gt;研究&lt;rt&gt;yánjiū&lt;/rt&gt;&lt;/ruby&gt;</t>
  </si>
  <si>
    <t>yánjiū</t>
  </si>
  <si>
    <t>nghiên cứu</t>
  </si>
  <si>
    <r>
      <rPr>
        <sz val="11"/>
        <color rgb="FF000000"/>
        <rFont val="Times New Roman"/>
      </rPr>
      <t>他正在</t>
    </r>
    <r>
      <rPr>
        <b/>
        <sz val="11"/>
        <color rgb="FF000000"/>
        <rFont val="Times New Roman"/>
      </rPr>
      <t>研究</t>
    </r>
    <r>
      <rPr>
        <sz val="11"/>
        <color rgb="FF000000"/>
        <rFont val="Times New Roman"/>
      </rPr>
      <t>这种植物的种植方法。</t>
    </r>
  </si>
  <si>
    <t>Anh ấy đang nghiên cứu cách trồng loại cây này.</t>
  </si>
  <si>
    <t>H4_B7-BG-14.png</t>
  </si>
  <si>
    <t>B7_14.mp3</t>
  </si>
  <si>
    <t>B7_VD_14.mp3</t>
  </si>
  <si>
    <r>
      <rPr>
        <sz val="11"/>
        <color rgb="FF000000"/>
        <rFont val="Times New Roman"/>
      </rPr>
      <t>我要买几张</t>
    </r>
    <r>
      <rPr>
        <b/>
        <sz val="11"/>
        <color rgb="FF000000"/>
        <rFont val="Times New Roman"/>
      </rPr>
      <t>纸</t>
    </r>
    <r>
      <rPr>
        <sz val="11"/>
        <color rgb="FF000000"/>
        <rFont val="Times New Roman"/>
      </rPr>
      <t>。</t>
    </r>
  </si>
  <si>
    <t>要是</t>
  </si>
  <si>
    <t>&lt;ruby&gt;要是&lt;rt&gt;yàoshi&lt;/rt&gt;&lt;/ruby&gt;</t>
  </si>
  <si>
    <t>yàoshi</t>
  </si>
  <si>
    <t>nếu như, nếu</t>
  </si>
  <si>
    <r>
      <rPr>
        <b/>
        <sz val="11"/>
        <color rgb="FF000000"/>
        <rFont val="Times New Roman"/>
      </rPr>
      <t>要是</t>
    </r>
    <r>
      <rPr>
        <sz val="11"/>
        <color rgb="FF000000"/>
        <rFont val="Times New Roman"/>
      </rPr>
      <t>经常打扫，房子就会很干净。</t>
    </r>
  </si>
  <si>
    <t>Nếu như dọn dẹp thường xuyên thì nhà cửa sẽ sạch sẽ.</t>
  </si>
  <si>
    <t>H4_B7-BG-16.png</t>
  </si>
  <si>
    <t>B7_16.mp3</t>
  </si>
  <si>
    <t>B7_VD_16.mp3</t>
  </si>
  <si>
    <t>植物</t>
  </si>
  <si>
    <t>&lt;ruby&gt;植物&lt;rt&gt;zhíwù&lt;/rt&gt;&lt;/ruby&gt;</t>
  </si>
  <si>
    <t>zhíwù</t>
  </si>
  <si>
    <t>thực vật</t>
  </si>
  <si>
    <r>
      <rPr>
        <sz val="11"/>
        <color rgb="FF000000"/>
        <rFont val="Times New Roman"/>
      </rPr>
      <t>他正在研究森林里的各种</t>
    </r>
    <r>
      <rPr>
        <b/>
        <sz val="11"/>
        <color rgb="FF000000"/>
        <rFont val="Times New Roman"/>
      </rPr>
      <t>植物</t>
    </r>
    <r>
      <rPr>
        <sz val="11"/>
        <color rgb="FF000000"/>
        <rFont val="Times New Roman"/>
      </rPr>
      <t>。</t>
    </r>
  </si>
  <si>
    <t>Anh ấy đang nghiên cứu các loại thực vật trong khu rừng này,</t>
  </si>
  <si>
    <t>H4_B7-BG-17.png</t>
  </si>
  <si>
    <t>B7_17.mp3</t>
  </si>
  <si>
    <t>B7_VD_17.mp3</t>
  </si>
  <si>
    <t>指</t>
  </si>
  <si>
    <t>&lt;ruby&gt;指&lt;rt&gt;Zhǐ&lt;/rt&gt;&lt;/ruby&gt;</t>
  </si>
  <si>
    <t>chỉ về, nói đến</t>
  </si>
  <si>
    <r>
      <rPr>
        <sz val="11"/>
        <color rgb="FF000000"/>
        <rFont val="Times New Roman"/>
      </rPr>
      <t>老师指了</t>
    </r>
    <r>
      <rPr>
        <b/>
        <sz val="11"/>
        <color rgb="FF000000"/>
        <rFont val="Times New Roman"/>
      </rPr>
      <t>指</t>
    </r>
    <r>
      <rPr>
        <sz val="11"/>
        <color rgb="FF000000"/>
        <rFont val="Times New Roman"/>
      </rPr>
      <t>黑板上的重点内容。</t>
    </r>
  </si>
  <si>
    <t>Giáo viên chỉ vào nội dung chính trên bảng đen.</t>
  </si>
  <si>
    <t>H4_B7-BG-18.png</t>
  </si>
  <si>
    <t>B7_18.mp3</t>
  </si>
  <si>
    <t>B7_VD_18.mp3</t>
  </si>
  <si>
    <t>既</t>
  </si>
  <si>
    <t>&lt;ruby&gt;既&lt;rt&gt;jì&lt;/rt&gt;&lt;/ruby&gt;</t>
  </si>
  <si>
    <t>(được dùng kết hợp với 又 ) đã... lại..., vừa... vừa...</t>
  </si>
  <si>
    <r>
      <rPr>
        <sz val="11"/>
        <color rgb="FF000000"/>
        <rFont val="Times New Roman"/>
      </rPr>
      <t>那道菜</t>
    </r>
    <r>
      <rPr>
        <b/>
        <sz val="11"/>
        <color rgb="FF000000"/>
        <rFont val="Times New Roman"/>
      </rPr>
      <t>既</t>
    </r>
    <r>
      <rPr>
        <sz val="11"/>
        <color rgb="FF000000"/>
        <rFont val="Times New Roman"/>
      </rPr>
      <t>辣又香，我非常喜欢吃。</t>
    </r>
  </si>
  <si>
    <t>Món ăn đó vừa cay vừa thơm, tôi rất thích ăn.</t>
  </si>
  <si>
    <t>H4_B7-BG-19.png</t>
  </si>
  <si>
    <t>B7_19.mp3</t>
  </si>
  <si>
    <t>B7_VD_19.mp3</t>
  </si>
  <si>
    <t>掉</t>
  </si>
  <si>
    <t>&lt;ruby&gt;掉&lt;rt&gt;diào&lt;/rt&gt;&lt;/ruby&gt;</t>
  </si>
  <si>
    <t>diào</t>
  </si>
  <si>
    <t>(được dùng sau một số động từ để chỉ kết quả của hành động) mất, đi, hết</t>
  </si>
  <si>
    <r>
      <rPr>
        <sz val="11"/>
        <color rgb="FF000000"/>
        <rFont val="Times New Roman"/>
      </rPr>
      <t>我的照片丢</t>
    </r>
    <r>
      <rPr>
        <b/>
        <sz val="11"/>
        <color rgb="FF000000"/>
        <rFont val="Times New Roman"/>
      </rPr>
      <t>掉</t>
    </r>
    <r>
      <rPr>
        <sz val="11"/>
        <color rgb="FF000000"/>
        <rFont val="Times New Roman"/>
      </rPr>
      <t>了。</t>
    </r>
  </si>
  <si>
    <t>Tôi mất bức ảnh rồi.</t>
  </si>
  <si>
    <t>H4_B7-BG-20.png</t>
  </si>
  <si>
    <t>B7_20.mp3</t>
  </si>
  <si>
    <t>B7_VD_20.mp3</t>
  </si>
  <si>
    <t>动作</t>
  </si>
  <si>
    <t>&lt;ruby&gt;动作&lt;rt&gt;dòngzuò&lt;/rt&gt;&lt;/ruby&gt;</t>
  </si>
  <si>
    <t>dòngzuò</t>
  </si>
  <si>
    <t>động tác, hành động</t>
  </si>
  <si>
    <r>
      <rPr>
        <sz val="11"/>
        <color rgb="FF000000"/>
        <rFont val="Times New Roman"/>
      </rPr>
      <t>剪纸的</t>
    </r>
    <r>
      <rPr>
        <b/>
        <sz val="11"/>
        <color rgb="FF000000"/>
        <rFont val="Times New Roman"/>
      </rPr>
      <t>动作</t>
    </r>
    <r>
      <rPr>
        <sz val="11"/>
        <color rgb="FF000000"/>
        <rFont val="Times New Roman"/>
      </rPr>
      <t>真熟练！</t>
    </r>
  </si>
  <si>
    <t>Động tác cắt giấy này thật thành thạo.</t>
  </si>
  <si>
    <t>H4_B7-BG-21.png</t>
  </si>
  <si>
    <t>B7_21.mp3</t>
  </si>
  <si>
    <t>B7_VD_21.mp3</t>
  </si>
  <si>
    <t>烦恼</t>
  </si>
  <si>
    <t>&lt;ruby&gt;烦恼&lt;rt&gt;fánnǎo&lt;/rt&gt;&lt;/ruby&gt;</t>
  </si>
  <si>
    <t>fánnǎo</t>
  </si>
  <si>
    <t>phiền muộn, buồn phiền</t>
  </si>
  <si>
    <r>
      <rPr>
        <sz val="11"/>
        <color rgb="FF000000"/>
        <rFont val="Times New Roman"/>
      </rPr>
      <t>他因为考试成绩比预期低而感到</t>
    </r>
    <r>
      <rPr>
        <b/>
        <sz val="11"/>
        <color rgb="FF000000"/>
        <rFont val="Times New Roman"/>
      </rPr>
      <t>烦恼</t>
    </r>
    <r>
      <rPr>
        <sz val="11"/>
        <color rgb="FF000000"/>
        <rFont val="Times New Roman"/>
      </rPr>
      <t>。</t>
    </r>
  </si>
  <si>
    <t>Anh ấy rất buồn phiền vì điểm kiểm tra thấp hơn dự tính.</t>
  </si>
  <si>
    <t>H4_B7-BG-22.png</t>
  </si>
  <si>
    <t>B7_22.mp3</t>
  </si>
  <si>
    <t>B7_VD_22.mp3</t>
  </si>
  <si>
    <t>说明</t>
  </si>
  <si>
    <t>&lt;ruby&gt;说明&lt;rt&gt;Shuōmíng&lt;/rt&gt;&lt;/ruby&gt;</t>
  </si>
  <si>
    <t>Shuōmíng</t>
  </si>
  <si>
    <t>giài thích rõ, nói rõ</t>
  </si>
  <si>
    <r>
      <rPr>
        <sz val="11"/>
        <color rgb="FF000000"/>
        <rFont val="Times New Roman"/>
      </rPr>
      <t>我已经</t>
    </r>
    <r>
      <rPr>
        <b/>
        <sz val="11"/>
        <color rgb="FF000000"/>
        <rFont val="Times New Roman"/>
      </rPr>
      <t>说明</t>
    </r>
    <r>
      <rPr>
        <sz val="11"/>
        <color rgb="FF000000"/>
        <rFont val="Times New Roman"/>
      </rPr>
      <t>了，但他还是不愿意听。</t>
    </r>
  </si>
  <si>
    <t>Tôi đã giải thích rõ nhưng anh ta không chịu lắng nghe.</t>
  </si>
  <si>
    <t>H4_B7-BG-23.png</t>
  </si>
  <si>
    <t>B7_23.mp3</t>
  </si>
  <si>
    <t>B7_VD_23.mp3</t>
  </si>
  <si>
    <t>反对</t>
  </si>
  <si>
    <t>&lt;ruby&gt;反对&lt;rt&gt;făndui&lt;/rt&gt;&lt;/ruby&gt;</t>
  </si>
  <si>
    <t>făndui</t>
  </si>
  <si>
    <t>phản đối</t>
  </si>
  <si>
    <r>
      <rPr>
        <sz val="11"/>
        <color rgb="FF000000"/>
        <rFont val="Times New Roman"/>
      </rPr>
      <t>他</t>
    </r>
    <r>
      <rPr>
        <b/>
        <sz val="11"/>
        <color rgb="FF000000"/>
        <rFont val="Times New Roman"/>
      </rPr>
      <t>反对</t>
    </r>
    <r>
      <rPr>
        <sz val="11"/>
        <color rgb="FF000000"/>
        <rFont val="Times New Roman"/>
      </rPr>
      <t>经理的决定。</t>
    </r>
  </si>
  <si>
    <t>Anh ấy phản đối quyết định của quản lý.</t>
  </si>
  <si>
    <t>H4_B7-BG-24.png</t>
  </si>
  <si>
    <t>B7_24.mp3</t>
  </si>
  <si>
    <t>B7_VD_24.mp3</t>
  </si>
  <si>
    <t>感情</t>
  </si>
  <si>
    <t>&lt;ruby&gt;感情&lt;rt&gt;găngíng&lt;/rt&gt;&lt;/ruby&gt;</t>
  </si>
  <si>
    <t>găngíng</t>
  </si>
  <si>
    <t>tình cảm</t>
  </si>
  <si>
    <r>
      <rPr>
        <sz val="11"/>
        <color rgb="FF000000"/>
        <rFont val="Times New Roman"/>
      </rPr>
      <t>她对即将出生的孩子充满了</t>
    </r>
    <r>
      <rPr>
        <b/>
        <sz val="11"/>
        <color rgb="FF000000"/>
        <rFont val="Times New Roman"/>
      </rPr>
      <t>感情</t>
    </r>
    <r>
      <rPr>
        <sz val="11"/>
        <color rgb="FF000000"/>
        <rFont val="Times New Roman"/>
      </rPr>
      <t>。</t>
    </r>
  </si>
  <si>
    <t>Cô ấy dành rất nhiều tình cảm cho đứa con sắp chào đời.</t>
  </si>
  <si>
    <t>H4_B7-BG-25.png</t>
  </si>
  <si>
    <t>B7_25.mp3</t>
  </si>
  <si>
    <t>B7_VD_25.mp3</t>
  </si>
  <si>
    <t>帅</t>
  </si>
  <si>
    <t>&lt;ruby&gt;帅&lt;rt&gt;shuài&lt;/rt&gt;&lt;/ruby&gt;</t>
  </si>
  <si>
    <t>shuài</t>
  </si>
  <si>
    <t>Đẹp trai</t>
  </si>
  <si>
    <r>
      <rPr>
        <sz val="11"/>
        <color rgb="FF000000"/>
        <rFont val="Times New Roman"/>
      </rPr>
      <t>他做饭时的样子很</t>
    </r>
    <r>
      <rPr>
        <b/>
        <sz val="11"/>
        <color rgb="FF000000"/>
        <rFont val="Times New Roman"/>
      </rPr>
      <t>帅</t>
    </r>
    <r>
      <rPr>
        <sz val="11"/>
        <color rgb="FF000000"/>
        <rFont val="Times New Roman"/>
      </rPr>
      <t>。</t>
    </r>
  </si>
  <si>
    <t>Dáng vẻ lúc anh ấy nấu ăn rất đẹp trai.</t>
  </si>
  <si>
    <t>H4_B7-BG-26.png</t>
  </si>
  <si>
    <t>B7_26.mp3</t>
  </si>
  <si>
    <t>B7_VD_26.mp3</t>
  </si>
  <si>
    <t>估计</t>
  </si>
  <si>
    <t>&lt;ruby&gt;估计&lt;rt&gt;gūji&lt;/rt&gt;&lt;/ruby&gt;</t>
  </si>
  <si>
    <t>gūji</t>
  </si>
  <si>
    <t>đoán chừng, dự đoán</t>
  </si>
  <si>
    <r>
      <rPr>
        <sz val="11"/>
        <color rgb="FF000000"/>
        <rFont val="Times New Roman"/>
      </rPr>
      <t>最近几天</t>
    </r>
    <r>
      <rPr>
        <b/>
        <sz val="11"/>
        <color rgb="FF000000"/>
        <rFont val="Times New Roman"/>
      </rPr>
      <t>估计</t>
    </r>
    <r>
      <rPr>
        <sz val="11"/>
        <color rgb="FF000000"/>
        <rFont val="Times New Roman"/>
      </rPr>
      <t>会下雨。</t>
    </r>
  </si>
  <si>
    <t>Dự đoán mấy ngày này sẽ mưa.</t>
  </si>
  <si>
    <t>H4_B7-BG-27.png</t>
  </si>
  <si>
    <t>B7_27.mp3</t>
  </si>
  <si>
    <t>B7_VD_27.mp3</t>
  </si>
  <si>
    <t>后悔</t>
  </si>
  <si>
    <t>&lt;ruby&gt;后悔&lt;rt&gt;Hòuhuǐ&lt;/rt&gt;&lt;/ruby&gt;</t>
  </si>
  <si>
    <t>Hòuhuǐ</t>
  </si>
  <si>
    <t>ân hận</t>
  </si>
  <si>
    <r>
      <rPr>
        <sz val="11"/>
        <color rgb="FF000000"/>
        <rFont val="Times New Roman"/>
      </rPr>
      <t>她</t>
    </r>
    <r>
      <rPr>
        <b/>
        <sz val="11"/>
        <color rgb="FF000000"/>
        <rFont val="Times New Roman"/>
      </rPr>
      <t>后悔</t>
    </r>
    <r>
      <rPr>
        <sz val="11"/>
        <color rgb="FF000000"/>
        <rFont val="Times New Roman"/>
      </rPr>
      <t>和男朋友吵架了。</t>
    </r>
  </si>
  <si>
    <t>Cô ấy hối hận vì đã cãi nhau với bạn trai.</t>
  </si>
  <si>
    <t>H4_B7-BG-28.png</t>
  </si>
  <si>
    <t>B7_28.mp3</t>
  </si>
  <si>
    <t>B7_VD_28.mp3</t>
  </si>
  <si>
    <t>咳嗽</t>
  </si>
  <si>
    <t>&lt;ruby&gt;咳嗽&lt;rt&gt;késou&lt;/rt&gt;&lt;/ruby&gt;</t>
  </si>
  <si>
    <t>késou</t>
  </si>
  <si>
    <t>ho</t>
  </si>
  <si>
    <r>
      <rPr>
        <sz val="11"/>
        <color rgb="FF000000"/>
        <rFont val="Times New Roman"/>
      </rPr>
      <t>天气冷了，他</t>
    </r>
    <r>
      <rPr>
        <b/>
        <sz val="11"/>
        <color rgb="FF000000"/>
        <rFont val="Times New Roman"/>
      </rPr>
      <t>咳嗽</t>
    </r>
    <r>
      <rPr>
        <sz val="11"/>
        <color rgb="FF000000"/>
        <rFont val="Times New Roman"/>
      </rPr>
      <t>得很厉害。</t>
    </r>
  </si>
  <si>
    <t>Trời lạnh nên anh ấy ho rất nhiều.</t>
  </si>
  <si>
    <t>H4_B7-BG-29.png</t>
  </si>
  <si>
    <t>B7_29.mp3</t>
  </si>
  <si>
    <t>B7_VD_29.mp3</t>
  </si>
  <si>
    <t>空气</t>
  </si>
  <si>
    <t>&lt;ruby&gt;空气&lt;rt&gt;kōngqi&lt;/rt&gt;&lt;/ruby&gt;</t>
  </si>
  <si>
    <t>kōngqi</t>
  </si>
  <si>
    <t>không khí</t>
  </si>
  <si>
    <r>
      <rPr>
        <sz val="11"/>
        <color rgb="FF000000"/>
        <rFont val="Times New Roman"/>
      </rPr>
      <t>由于工厂排放的废气，</t>
    </r>
    <r>
      <rPr>
        <b/>
        <sz val="11"/>
        <color rgb="FF000000"/>
        <rFont val="Times New Roman"/>
      </rPr>
      <t>空气</t>
    </r>
    <r>
      <rPr>
        <sz val="11"/>
        <color rgb="FF000000"/>
        <rFont val="Times New Roman"/>
      </rPr>
      <t>污染越来越严重。</t>
    </r>
  </si>
  <si>
    <t>Không khí ngày càng bị ô nhiễm trầm trọng do khí thải của nhà máy thải ra.</t>
  </si>
  <si>
    <t>H4_B7-BG-30.png</t>
  </si>
  <si>
    <t>B7_30.mp3</t>
  </si>
  <si>
    <t>B7_VD_30.mp3</t>
  </si>
  <si>
    <t>来不及</t>
  </si>
  <si>
    <t>&lt;ruby&gt;来不及&lt;rt&gt;Lái bù jí&lt;/rt&gt;&lt;/ruby&gt;</t>
  </si>
  <si>
    <t>Lái bù jí</t>
  </si>
  <si>
    <t>không kịp</t>
  </si>
  <si>
    <r>
      <rPr>
        <sz val="11"/>
        <color theme="1"/>
        <rFont val="Times New Roman"/>
      </rPr>
      <t>那个男孩跑得很快，但是还是</t>
    </r>
    <r>
      <rPr>
        <b/>
        <sz val="11"/>
        <color theme="1"/>
        <rFont val="Times New Roman"/>
      </rPr>
      <t>来不及</t>
    </r>
    <r>
      <rPr>
        <sz val="11"/>
        <color theme="1"/>
        <rFont val="Times New Roman"/>
      </rPr>
      <t>追上骑自行车的朋友。</t>
    </r>
  </si>
  <si>
    <t>Cậu bé đó chạy rất nhanh, nhưng vẫn không kịp đuổi theo người bạn đang đi xe đạp.</t>
  </si>
  <si>
    <t>H4_B7-BG-31.png</t>
  </si>
  <si>
    <t>B7_31.mp3</t>
  </si>
  <si>
    <t>B7_VD_31.mp3</t>
  </si>
  <si>
    <t>气候</t>
  </si>
  <si>
    <t>&lt;ruby&gt;气候&lt;rt&gt;Qìhòu&lt;/rt&gt;&lt;/ruby&gt;</t>
  </si>
  <si>
    <t>Qìhòu</t>
  </si>
  <si>
    <t>khí hậu</t>
  </si>
  <si>
    <r>
      <rPr>
        <sz val="11"/>
        <color rgb="FF000000"/>
        <rFont val="Times New Roman"/>
      </rPr>
      <t>今天的</t>
    </r>
    <r>
      <rPr>
        <b/>
        <sz val="11"/>
        <color rgb="FF000000"/>
        <rFont val="Times New Roman"/>
      </rPr>
      <t>气候</t>
    </r>
    <r>
      <rPr>
        <sz val="11"/>
        <color rgb="FF000000"/>
        <rFont val="Times New Roman"/>
      </rPr>
      <t>比昨天更热。</t>
    </r>
  </si>
  <si>
    <t>Thời tiết hôm nay nóng hơn hôm qua.</t>
  </si>
  <si>
    <t>H4_B7-BG-32.png</t>
  </si>
  <si>
    <t>B7_32.mp3</t>
  </si>
  <si>
    <t>B7_VD_32.mp3</t>
  </si>
  <si>
    <t>散步</t>
  </si>
  <si>
    <t>&lt;ruby&gt;散步&lt;rt&gt;sàn bù&lt;/rt&gt;&lt;/ruby&gt;</t>
  </si>
  <si>
    <t>sàn bù</t>
  </si>
  <si>
    <r>
      <rPr>
        <sz val="11"/>
        <color rgb="FF000000"/>
        <rFont val="Times New Roman"/>
      </rPr>
      <t>他正在公园里</t>
    </r>
    <r>
      <rPr>
        <b/>
        <sz val="11"/>
        <color rgb="FF000000"/>
        <rFont val="Times New Roman"/>
      </rPr>
      <t>散步</t>
    </r>
    <r>
      <rPr>
        <sz val="11"/>
        <color rgb="FF000000"/>
        <rFont val="Times New Roman"/>
      </rPr>
      <t>。</t>
    </r>
  </si>
  <si>
    <t>Anh ấy đang đi dạo ở công viên.</t>
  </si>
  <si>
    <t>H4_B7-BG-33.png</t>
  </si>
  <si>
    <t>B7_33.mp3</t>
  </si>
  <si>
    <t>B7_VD_33.mp3</t>
  </si>
  <si>
    <t>数字</t>
  </si>
  <si>
    <t>&lt;ruby&gt;数字&lt;rt&gt;shùzi&lt;/rt&gt;&lt;/ruby&gt;</t>
  </si>
  <si>
    <t>shùzi</t>
  </si>
  <si>
    <t>con số</t>
  </si>
  <si>
    <r>
      <rPr>
        <sz val="11"/>
        <color rgb="FF000000"/>
        <rFont val="Times New Roman"/>
      </rPr>
      <t>她正在用</t>
    </r>
    <r>
      <rPr>
        <b/>
        <sz val="11"/>
        <color rgb="FF000000"/>
        <rFont val="Times New Roman"/>
      </rPr>
      <t>数字</t>
    </r>
    <r>
      <rPr>
        <sz val="11"/>
        <color rgb="FF000000"/>
        <rFont val="Times New Roman"/>
      </rPr>
      <t>玩传统游戏。</t>
    </r>
  </si>
  <si>
    <t>Cô ấy đang chơi trò chơi dân gian với những con số.</t>
  </si>
  <si>
    <t>H4_B7-BG-34.png</t>
  </si>
  <si>
    <t>B7_34.mp3</t>
  </si>
  <si>
    <t>B7_VD_34.mp3</t>
  </si>
  <si>
    <r>
      <rPr>
        <sz val="11"/>
        <color rgb="FF000000"/>
        <rFont val="Times New Roman"/>
      </rPr>
      <t>请再给我</t>
    </r>
    <r>
      <rPr>
        <b/>
        <sz val="11"/>
        <color rgb="FF000000"/>
        <rFont val="Times New Roman"/>
      </rPr>
      <t>加</t>
    </r>
    <r>
      <rPr>
        <sz val="11"/>
        <color rgb="FF000000"/>
        <rFont val="Times New Roman"/>
      </rPr>
      <t>三个苹果。</t>
    </r>
  </si>
  <si>
    <t>保</t>
  </si>
  <si>
    <t>&lt;ruby&gt;保&lt;rt&gt;băo&lt;/rt&gt;&lt;/ruby&gt;</t>
  </si>
  <si>
    <t>băo</t>
  </si>
  <si>
    <t>bảo đảm, giữ</t>
  </si>
  <si>
    <r>
      <rPr>
        <sz val="11"/>
        <color rgb="FF000000"/>
        <rFont val="Times New Roman"/>
      </rPr>
      <t>我们必须</t>
    </r>
    <r>
      <rPr>
        <b/>
        <sz val="11"/>
        <color rgb="FF000000"/>
        <rFont val="Times New Roman"/>
      </rPr>
      <t>保</t>
    </r>
    <r>
      <rPr>
        <sz val="11"/>
        <color rgb="FF000000"/>
        <rFont val="Times New Roman"/>
      </rPr>
      <t>护环境。</t>
    </r>
  </si>
  <si>
    <t>H4_B7-BG-36.png</t>
  </si>
  <si>
    <t>B7_36.mp3</t>
  </si>
  <si>
    <t>B7_VD_36.mp3</t>
  </si>
  <si>
    <t>处</t>
  </si>
  <si>
    <t>&lt;ruby&gt;处&lt;rt&gt;chù&lt;/rt&gt;&lt;/ruby&gt;</t>
  </si>
  <si>
    <t>chù</t>
  </si>
  <si>
    <t>nơi, chỗ</t>
  </si>
  <si>
    <r>
      <rPr>
        <sz val="11"/>
        <color rgb="FF000000"/>
        <rFont val="Times New Roman"/>
      </rPr>
      <t>有两</t>
    </r>
    <r>
      <rPr>
        <b/>
        <sz val="11"/>
        <color rgb="FF000000"/>
        <rFont val="Times New Roman"/>
      </rPr>
      <t>处</t>
    </r>
    <r>
      <rPr>
        <sz val="11"/>
        <color rgb="FF000000"/>
        <rFont val="Times New Roman"/>
      </rPr>
      <t>不开门</t>
    </r>
  </si>
  <si>
    <t>Có 2 nơi không mở cửa</t>
  </si>
  <si>
    <t>H4_B7-BG-37.png</t>
  </si>
  <si>
    <t>B7_37.mp3</t>
  </si>
  <si>
    <t>B7_VD_37.mp3</t>
  </si>
  <si>
    <t>成为</t>
  </si>
  <si>
    <t>&lt;ruby&gt;成为&lt;rt&gt;chéngwéi&lt;/rt&gt;&lt;/ruby&gt;</t>
  </si>
  <si>
    <t>chéngwéi</t>
  </si>
  <si>
    <t>trở thành</t>
  </si>
  <si>
    <r>
      <rPr>
        <sz val="11"/>
        <color rgb="FF000000"/>
        <rFont val="Times New Roman"/>
      </rPr>
      <t>我想</t>
    </r>
    <r>
      <rPr>
        <b/>
        <sz val="11"/>
        <color rgb="FF000000"/>
        <rFont val="Times New Roman"/>
      </rPr>
      <t>成为</t>
    </r>
    <r>
      <rPr>
        <sz val="11"/>
        <color rgb="FF000000"/>
        <rFont val="Times New Roman"/>
      </rPr>
      <t>一名植物学家。</t>
    </r>
  </si>
  <si>
    <t>Tôi muốn trở thành nhà thực vật học.</t>
  </si>
  <si>
    <t>H4_B8_BG-01.png</t>
  </si>
  <si>
    <t>B8_1.mp3</t>
  </si>
  <si>
    <t>B8_VD_1.mp3</t>
  </si>
  <si>
    <t>大使馆</t>
  </si>
  <si>
    <t>&lt;ruby&gt;大使馆&lt;rt&gt;dàshǐguán&lt;/rt&gt;&lt;/ruby&gt;</t>
  </si>
  <si>
    <t>dàshǐguán</t>
  </si>
  <si>
    <t>đại sứ quán</t>
  </si>
  <si>
    <r>
      <rPr>
        <sz val="11"/>
        <color rgb="FF000000"/>
        <rFont val="Times New Roman"/>
      </rPr>
      <t>你知道去</t>
    </r>
    <r>
      <rPr>
        <b/>
        <sz val="11"/>
        <color rgb="FF000000"/>
        <rFont val="Times New Roman"/>
      </rPr>
      <t>大使馆</t>
    </r>
    <r>
      <rPr>
        <sz val="11"/>
        <color rgb="FF000000"/>
        <rFont val="Times New Roman"/>
      </rPr>
      <t>的路吗？</t>
    </r>
  </si>
  <si>
    <t>Bạn biết đường đến đại sứ quán không?</t>
  </si>
  <si>
    <t>H4_B8_BG-02.png</t>
  </si>
  <si>
    <t>B8_2.mp3</t>
  </si>
  <si>
    <t>B8_VD_2.mp3</t>
  </si>
  <si>
    <r>
      <rPr>
        <b/>
        <sz val="11"/>
        <color rgb="FF000000"/>
        <rFont val="Times New Roman"/>
      </rPr>
      <t>到处</t>
    </r>
    <r>
      <rPr>
        <sz val="11"/>
        <color rgb="FF000000"/>
        <rFont val="Times New Roman"/>
      </rPr>
      <t>都是车。</t>
    </r>
  </si>
  <si>
    <t>堵车</t>
  </si>
  <si>
    <t>&lt;ruby&gt;堵车&lt;rt&gt;dŭ chē&lt;/rt&gt;&lt;/ruby&gt;</t>
  </si>
  <si>
    <t>dŭ chē</t>
  </si>
  <si>
    <t>kẹt xe</t>
  </si>
  <si>
    <r>
      <rPr>
        <sz val="11"/>
        <color rgb="FF000000"/>
        <rFont val="Times New Roman"/>
      </rPr>
      <t>今天</t>
    </r>
    <r>
      <rPr>
        <b/>
        <sz val="11"/>
        <color rgb="FF000000"/>
        <rFont val="Times New Roman"/>
      </rPr>
      <t>堵车</t>
    </r>
    <r>
      <rPr>
        <sz val="11"/>
        <color rgb="FF000000"/>
        <rFont val="Times New Roman"/>
      </rPr>
      <t>太厉害，我快迟到了。</t>
    </r>
  </si>
  <si>
    <t>Hôm nay tắc đường quá, tôi sắp đến muộn rồi.</t>
  </si>
  <si>
    <t>H4_B8_BG-04.png</t>
  </si>
  <si>
    <t>B8_4.mp3</t>
  </si>
  <si>
    <t>B8_VD_4.mp3</t>
  </si>
  <si>
    <t>堵</t>
  </si>
  <si>
    <t>&lt;ruby&gt;堵&lt;rt&gt;dǔ&lt;/rt&gt;&lt;/ruby&gt;</t>
  </si>
  <si>
    <t>dǔ</t>
  </si>
  <si>
    <t>buồn, tắc nghẽn</t>
  </si>
  <si>
    <r>
      <rPr>
        <sz val="11"/>
        <color rgb="FF000000"/>
        <rFont val="Times New Roman"/>
      </rPr>
      <t>这根管子</t>
    </r>
    <r>
      <rPr>
        <b/>
        <sz val="11"/>
        <color rgb="FF000000"/>
        <rFont val="Times New Roman"/>
      </rPr>
      <t>堵</t>
    </r>
    <r>
      <rPr>
        <sz val="11"/>
        <color rgb="FF000000"/>
        <rFont val="Times New Roman"/>
      </rPr>
      <t>了。</t>
    </r>
  </si>
  <si>
    <t>Cái ống này bị tắc rồi.</t>
  </si>
  <si>
    <t>H4_B8_BG-05.png</t>
  </si>
  <si>
    <t>B8_5.mp3</t>
  </si>
  <si>
    <t>B8_VD_5.mp3</t>
  </si>
  <si>
    <t>师傅</t>
  </si>
  <si>
    <t>&lt;ruby&gt;师傅&lt;rt&gt;Shīfù&lt;/rt&gt;&lt;/ruby&gt;</t>
  </si>
  <si>
    <t>Shīfù</t>
  </si>
  <si>
    <t>sư phụ (cách gọi kính trọng dành cho những người có tay nghề)</t>
  </si>
  <si>
    <r>
      <rPr>
        <b/>
        <sz val="11"/>
        <color theme="1"/>
        <rFont val="Times New Roman"/>
      </rPr>
      <t>师傅</t>
    </r>
    <r>
      <rPr>
        <sz val="11"/>
        <color theme="1"/>
        <rFont val="Times New Roman"/>
      </rPr>
      <t>，您的厨艺真是太棒了！</t>
    </r>
  </si>
  <si>
    <t>Sư phụ, tay nghề nấu ăn của ngài thật tuyệt vời!</t>
  </si>
  <si>
    <t>H4_B8_BG-06.png</t>
  </si>
  <si>
    <t>B8_6.mp3</t>
  </si>
  <si>
    <t>B8_VD_6.mp3</t>
  </si>
  <si>
    <r>
      <rPr>
        <b/>
        <sz val="11"/>
        <color rgb="FF000000"/>
        <rFont val="Times New Roman"/>
      </rPr>
      <t>发生</t>
    </r>
    <r>
      <rPr>
        <sz val="11"/>
        <color rgb="FF000000"/>
        <rFont val="Times New Roman"/>
      </rPr>
      <t>了什么事情，让天气越来越热？</t>
    </r>
  </si>
  <si>
    <t>回忆</t>
  </si>
  <si>
    <t>&lt;ruby&gt;回忆&lt;rt&gt;Huíyì&lt;/rt&gt;&lt;/ruby&gt;</t>
  </si>
  <si>
    <t>Huíyì</t>
  </si>
  <si>
    <t>nhớ lại</t>
  </si>
  <si>
    <r>
      <rPr>
        <sz val="11"/>
        <color rgb="FF000000"/>
        <rFont val="Times New Roman"/>
      </rPr>
      <t>他</t>
    </r>
    <r>
      <rPr>
        <b/>
        <sz val="11"/>
        <color rgb="FF000000"/>
        <rFont val="Times New Roman"/>
      </rPr>
      <t>回忆</t>
    </r>
    <r>
      <rPr>
        <sz val="11"/>
        <color rgb="FF000000"/>
        <rFont val="Times New Roman"/>
      </rPr>
      <t>起昨天的天气。</t>
    </r>
  </si>
  <si>
    <t>Anh ấy nhớ lại thời tiết hôm qua.</t>
  </si>
  <si>
    <t>H4_B8_BG-08.png</t>
  </si>
  <si>
    <t>B8_8.mp3</t>
  </si>
  <si>
    <t>B8_VD_8.mp3</t>
  </si>
  <si>
    <t>生命</t>
  </si>
  <si>
    <t>&lt;ruby&gt;生命&lt;rt&gt;shēngmìng&lt;/rt&gt;&lt;/ruby&gt;</t>
  </si>
  <si>
    <t>shēngmìng</t>
  </si>
  <si>
    <t>sự sống, tính mạng</t>
  </si>
  <si>
    <r>
      <rPr>
        <sz val="11"/>
        <color rgb="FF0E0E0E"/>
        <rFont val="Times New Roman"/>
      </rPr>
      <t>小树的</t>
    </r>
    <r>
      <rPr>
        <b/>
        <sz val="11"/>
        <color rgb="FF0E0E0E"/>
        <rFont val="Times New Roman"/>
      </rPr>
      <t>生命</t>
    </r>
    <r>
      <rPr>
        <sz val="11"/>
        <color rgb="FF0E0E0E"/>
        <rFont val="Times New Roman"/>
      </rPr>
      <t>需要阳光和水。</t>
    </r>
  </si>
  <si>
    <t>Sự sống của cây nhỏ cần ánh sáng mặt trời và nước.</t>
  </si>
  <si>
    <t>H4_B8_BG-09.png</t>
  </si>
  <si>
    <t>B8_9.mp3</t>
  </si>
  <si>
    <t>B8_VD_9.mp3</t>
  </si>
  <si>
    <t>使</t>
  </si>
  <si>
    <t>&lt;ruby&gt;使&lt;rt&gt;shǐ&lt;/rt&gt;&lt;/ruby&gt;</t>
  </si>
  <si>
    <t>shǐ</t>
  </si>
  <si>
    <t>khiến cho, làm cho</t>
  </si>
  <si>
    <r>
      <rPr>
        <sz val="11"/>
        <color theme="1"/>
        <rFont val="Times New Roman"/>
      </rPr>
      <t>天气</t>
    </r>
    <r>
      <rPr>
        <b/>
        <sz val="11"/>
        <color theme="1"/>
        <rFont val="Times New Roman"/>
      </rPr>
      <t>使</t>
    </r>
    <r>
      <rPr>
        <sz val="11"/>
        <color theme="1"/>
        <rFont val="Times New Roman"/>
      </rPr>
      <t>我觉得冷。</t>
    </r>
  </si>
  <si>
    <t>Thời tiết khiến tôi cảm thấy lạnh.</t>
  </si>
  <si>
    <t>H4_B8_BG-10.png</t>
  </si>
  <si>
    <t>B8_10.mp3</t>
  </si>
  <si>
    <t>B8_VD_10.mp3</t>
  </si>
  <si>
    <t>距离</t>
  </si>
  <si>
    <t>&lt;ruby&gt;距离&lt;rt&gt;jùlí&lt;/rt&gt;&lt;/ruby&gt;</t>
  </si>
  <si>
    <t>jùlí</t>
  </si>
  <si>
    <t>khoảng cách</t>
  </si>
  <si>
    <r>
      <rPr>
        <sz val="11"/>
        <color rgb="FF000000"/>
        <rFont val="Times New Roman"/>
      </rPr>
      <t>地球和太阳的</t>
    </r>
    <r>
      <rPr>
        <b/>
        <sz val="11"/>
        <color rgb="FF000000"/>
        <rFont val="Times New Roman"/>
      </rPr>
      <t>距离</t>
    </r>
    <r>
      <rPr>
        <sz val="11"/>
        <color rgb="FF000000"/>
        <rFont val="Times New Roman"/>
      </rPr>
      <t>有多远？</t>
    </r>
  </si>
  <si>
    <t>Khoảng cách từ trái đất đến mặt trời là bao xa?</t>
  </si>
  <si>
    <t>H4_B8_BG-11.png</t>
  </si>
  <si>
    <t>B8_11.mp3</t>
  </si>
  <si>
    <t>B8_VD_11.mp3</t>
  </si>
  <si>
    <t>耐心</t>
  </si>
  <si>
    <t>&lt;ruby&gt;耐心&lt;rt&gt;nàixīn&lt;/rt&gt;&lt;/ruby&gt;</t>
  </si>
  <si>
    <t>nàixīn</t>
  </si>
  <si>
    <t>lòng kiên nhẫn, sự nhẫn nại</t>
  </si>
  <si>
    <r>
      <rPr>
        <sz val="11"/>
        <color rgb="FF0E0E0E"/>
        <rFont val="Times New Roman"/>
      </rPr>
      <t>学中文需要很多</t>
    </r>
    <r>
      <rPr>
        <b/>
        <sz val="11"/>
        <color rgb="FF0E0E0E"/>
        <rFont val="Times New Roman"/>
      </rPr>
      <t>耐心</t>
    </r>
    <r>
      <rPr>
        <sz val="11"/>
        <color rgb="FF0E0E0E"/>
        <rFont val="Times New Roman"/>
      </rPr>
      <t>和努力。</t>
    </r>
  </si>
  <si>
    <t>Học tiếng Trung cần rất nhiều lòng kiên nhẫn và sự nỗ lực.</t>
  </si>
  <si>
    <t>H4_B8_BG-12.png</t>
  </si>
  <si>
    <t>B8_12.mp3</t>
  </si>
  <si>
    <t>B8_VD_12.mp3</t>
  </si>
  <si>
    <t>亲戚</t>
  </si>
  <si>
    <t>&lt;ruby&gt;亲戚&lt;rt&gt;Qīnqī&lt;/rt&gt;&lt;/ruby&gt;</t>
  </si>
  <si>
    <t>Qīnqī</t>
  </si>
  <si>
    <t>họ hàng thân thích</t>
  </si>
  <si>
    <r>
      <rPr>
        <sz val="11"/>
        <color rgb="FF000000"/>
        <rFont val="Times New Roman"/>
      </rPr>
      <t>我和</t>
    </r>
    <r>
      <rPr>
        <b/>
        <sz val="11"/>
        <color rgb="FF000000"/>
        <rFont val="Times New Roman"/>
      </rPr>
      <t>亲戚</t>
    </r>
    <r>
      <rPr>
        <sz val="11"/>
        <color rgb="FF000000"/>
        <rFont val="Times New Roman"/>
      </rPr>
      <t>的关系非常好。</t>
    </r>
  </si>
  <si>
    <t>Mối quan hệ giữa tôi và họ hàng rất tốt.</t>
  </si>
  <si>
    <t>H4_B8_BG-13.png</t>
  </si>
  <si>
    <t>B8_13.mp3</t>
  </si>
  <si>
    <t>B8_VD_13.mp3</t>
  </si>
  <si>
    <t>缺少</t>
  </si>
  <si>
    <t>&lt;ruby&gt;缺少&lt;rt&gt;quēshăo&lt;/rt&gt;&lt;/ruby&gt;</t>
  </si>
  <si>
    <t>quēshăo</t>
  </si>
  <si>
    <t>thiếu</t>
  </si>
  <si>
    <r>
      <rPr>
        <sz val="11"/>
        <color rgb="FF000000"/>
        <rFont val="Times New Roman"/>
      </rPr>
      <t>篮子里</t>
    </r>
    <r>
      <rPr>
        <b/>
        <sz val="11"/>
        <color rgb="FF000000"/>
        <rFont val="Times New Roman"/>
      </rPr>
      <t>缺少</t>
    </r>
    <r>
      <rPr>
        <sz val="11"/>
        <color rgb="FF000000"/>
        <rFont val="Times New Roman"/>
      </rPr>
      <t>一个橙子。</t>
    </r>
  </si>
  <si>
    <t>Trong rổ thiếu mất một quả cam.</t>
  </si>
  <si>
    <t>H4_B8_BG-14.png</t>
  </si>
  <si>
    <t>B8_14.mp3</t>
  </si>
  <si>
    <t>B8_VD_14.mp3</t>
  </si>
  <si>
    <t>伤心</t>
  </si>
  <si>
    <t>&lt;ruby&gt;伤心&lt;rt&gt;shāng xīn&lt;/rt&gt;&lt;/ruby&gt;</t>
  </si>
  <si>
    <t>shāng xīn</t>
  </si>
  <si>
    <t>đau lòng</t>
  </si>
  <si>
    <r>
      <rPr>
        <sz val="11"/>
        <color rgb="FF000000"/>
        <rFont val="Times New Roman"/>
      </rPr>
      <t>她因为丢了钱包而很</t>
    </r>
    <r>
      <rPr>
        <b/>
        <sz val="11"/>
        <color rgb="FF000000"/>
        <rFont val="Times New Roman"/>
      </rPr>
      <t>伤心</t>
    </r>
    <r>
      <rPr>
        <sz val="11"/>
        <color rgb="FF000000"/>
        <rFont val="Times New Roman"/>
      </rPr>
      <t>。</t>
    </r>
  </si>
  <si>
    <t>Cô ấy rất đau lòng vì làm mất ví tiền.</t>
  </si>
  <si>
    <t>H4_B8_BG-15.png</t>
  </si>
  <si>
    <t>B8_15.mp3</t>
  </si>
  <si>
    <t>B8_VD_15.mp3</t>
  </si>
  <si>
    <t>态度</t>
  </si>
  <si>
    <t>&lt;ruby&gt;态度&lt;rt&gt;tàidù&lt;/rt&gt;&lt;/ruby&gt;</t>
  </si>
  <si>
    <t>tàidù</t>
  </si>
  <si>
    <t>thái độ</t>
  </si>
  <si>
    <r>
      <rPr>
        <sz val="11"/>
        <color rgb="FF000000"/>
        <rFont val="Times New Roman"/>
      </rPr>
      <t>她表现出了拒绝的</t>
    </r>
    <r>
      <rPr>
        <b/>
        <sz val="11"/>
        <color rgb="FF000000"/>
        <rFont val="Times New Roman"/>
      </rPr>
      <t>态度</t>
    </r>
    <r>
      <rPr>
        <sz val="11"/>
        <color rgb="FF000000"/>
        <rFont val="Times New Roman"/>
      </rPr>
      <t>。</t>
    </r>
  </si>
  <si>
    <t>Cô ấy tỏ thái độ từ chối.</t>
  </si>
  <si>
    <t>H4_B8_BG-16.png</t>
  </si>
  <si>
    <t>B8_16.mp3</t>
  </si>
  <si>
    <t>B8_VD_16.mp3</t>
  </si>
  <si>
    <t>đặc điểm</t>
  </si>
  <si>
    <r>
      <rPr>
        <sz val="11"/>
        <color rgb="FF000000"/>
        <rFont val="Times New Roman"/>
      </rPr>
      <t>他的</t>
    </r>
    <r>
      <rPr>
        <b/>
        <sz val="11"/>
        <color rgb="FF000000"/>
        <rFont val="Times New Roman"/>
      </rPr>
      <t>特点</t>
    </r>
    <r>
      <rPr>
        <sz val="11"/>
        <color rgb="FF000000"/>
        <rFont val="Times New Roman"/>
      </rPr>
      <t>是右眼旁有一颗痣。</t>
    </r>
  </si>
  <si>
    <t>Đặc điểm nhận diện của anh ấy là có một cái nốt ruồi ở bên mắt phải.</t>
  </si>
  <si>
    <t>H4_B8_BG-17.png</t>
  </si>
  <si>
    <t>B8_17.mp3</t>
  </si>
  <si>
    <t>B8_VD_17.mp3</t>
  </si>
  <si>
    <t xml:space="preserve">往往
</t>
  </si>
  <si>
    <t>&lt;ruby&gt;往往
&lt;rt&gt;wǎngwǎng&lt;/rt&gt;&lt;/ruby&gt;</t>
  </si>
  <si>
    <t>wǎngwǎng</t>
  </si>
  <si>
    <t>thường thường</t>
  </si>
  <si>
    <r>
      <rPr>
        <sz val="11"/>
        <color rgb="FF000000"/>
        <rFont val="Times New Roman"/>
      </rPr>
      <t>她</t>
    </r>
    <r>
      <rPr>
        <b/>
        <sz val="11"/>
        <color rgb="FF000000"/>
        <rFont val="Times New Roman"/>
      </rPr>
      <t>往往</t>
    </r>
    <r>
      <rPr>
        <sz val="11"/>
        <color rgb="FF000000"/>
        <rFont val="Times New Roman"/>
      </rPr>
      <t>会帮妈妈擦窗户。</t>
    </r>
  </si>
  <si>
    <t>Cô ấy thường lau cửa sổ giúp mẹ.</t>
  </si>
  <si>
    <t>H4_B8_BG-18.png</t>
  </si>
  <si>
    <t>B8_18.mp3</t>
  </si>
  <si>
    <t>B8_VD_18.mp3</t>
  </si>
  <si>
    <t>心情</t>
  </si>
  <si>
    <t>&lt;ruby&gt;心情&lt;rt&gt;xīnqíng&lt;/rt&gt;&lt;/ruby&gt;</t>
  </si>
  <si>
    <t>xīnqíng</t>
  </si>
  <si>
    <t>tâm trạng</t>
  </si>
  <si>
    <r>
      <rPr>
        <sz val="11"/>
        <color rgb="FF000000"/>
        <rFont val="Times New Roman"/>
      </rPr>
      <t>他刚刚完成了10公里的跑步目标，</t>
    </r>
    <r>
      <rPr>
        <b/>
        <sz val="11"/>
        <color rgb="FF000000"/>
        <rFont val="Times New Roman"/>
      </rPr>
      <t>心情</t>
    </r>
    <r>
      <rPr>
        <sz val="11"/>
        <color rgb="FF000000"/>
        <rFont val="Times New Roman"/>
      </rPr>
      <t>非常愉快。</t>
    </r>
  </si>
  <si>
    <t>Anh ấy vừa hoàn thành mục tiêu chạy xong quãng đường 10km nên tâm trạng rất vui vẻ.</t>
  </si>
  <si>
    <t>H4_B8_BG-19.png</t>
  </si>
  <si>
    <t>B8_19.mp3</t>
  </si>
  <si>
    <t>B8_VD_19.mp3</t>
  </si>
  <si>
    <t>压力</t>
  </si>
  <si>
    <t>&lt;ruby&gt;压力&lt;rt&gt;yālì&lt;/rt&gt;&lt;/ruby&gt;</t>
  </si>
  <si>
    <t>yālì</t>
  </si>
  <si>
    <t>áp lực</t>
  </si>
  <si>
    <r>
      <rPr>
        <sz val="11"/>
        <color rgb="FF000000"/>
        <rFont val="Times New Roman"/>
      </rPr>
      <t>因为工作的</t>
    </r>
    <r>
      <rPr>
        <b/>
        <sz val="11"/>
        <color rgb="FF000000"/>
        <rFont val="Times New Roman"/>
      </rPr>
      <t>压力</t>
    </r>
    <r>
      <rPr>
        <sz val="11"/>
        <color rgb="FF000000"/>
        <rFont val="Times New Roman"/>
      </rPr>
      <t>，她掉了很多头发。</t>
    </r>
  </si>
  <si>
    <t>Bởi vì áp lực công việc nên cô ấy bị rụng tóc rất nhiều.</t>
  </si>
  <si>
    <t>H4_B8_BG-20.png</t>
  </si>
  <si>
    <t>B8_20.mp3</t>
  </si>
  <si>
    <t>B8_VD_20.mp3</t>
  </si>
  <si>
    <t>阳光</t>
  </si>
  <si>
    <t>&lt;ruby&gt;阳光&lt;rt&gt;yángguāng&lt;/rt&gt;&lt;/ruby&gt;</t>
  </si>
  <si>
    <t>yángguāng</t>
  </si>
  <si>
    <t>lạc quan, vui vẻ</t>
  </si>
  <si>
    <r>
      <rPr>
        <sz val="11"/>
        <color rgb="FF000000"/>
        <rFont val="Times New Roman"/>
      </rPr>
      <t>她的性格非常</t>
    </r>
    <r>
      <rPr>
        <b/>
        <sz val="11"/>
        <color rgb="FF000000"/>
        <rFont val="Times New Roman"/>
      </rPr>
      <t>阳光</t>
    </r>
    <r>
      <rPr>
        <sz val="11"/>
        <color rgb="FF000000"/>
        <rFont val="Times New Roman"/>
      </rPr>
      <t>。</t>
    </r>
  </si>
  <si>
    <t>Tính cách của cô ấy rất lạc quan.</t>
  </si>
  <si>
    <t>H4_B8_BG-21.png</t>
  </si>
  <si>
    <t>B8_21.mp3</t>
  </si>
  <si>
    <t>B8_VD_21.mp3</t>
  </si>
  <si>
    <t>积极</t>
  </si>
  <si>
    <t>&lt;ruby&gt;积极&lt;rt&gt;Jījí&lt;/rt&gt;&lt;/ruby&gt;</t>
  </si>
  <si>
    <t>Jījí</t>
  </si>
  <si>
    <t>tích cực</t>
  </si>
  <si>
    <r>
      <rPr>
        <sz val="11"/>
        <color rgb="FF000000"/>
        <rFont val="Times New Roman"/>
      </rPr>
      <t>她学习非常</t>
    </r>
    <r>
      <rPr>
        <b/>
        <sz val="11"/>
        <color rgb="FF000000"/>
        <rFont val="Times New Roman"/>
      </rPr>
      <t>积极</t>
    </r>
    <r>
      <rPr>
        <sz val="11"/>
        <color rgb="FF000000"/>
        <rFont val="Times New Roman"/>
      </rPr>
      <t>。</t>
    </r>
  </si>
  <si>
    <t>Cô ấy học tập rất tích cực.</t>
  </si>
  <si>
    <t>H4_B8_BG-22.png</t>
  </si>
  <si>
    <t>B8_22.mp3</t>
  </si>
  <si>
    <t>B8_VD_22.mp3</t>
  </si>
  <si>
    <t>放松</t>
  </si>
  <si>
    <t>&lt;ruby&gt;放松&lt;rt&gt;fàngsōng&lt;/rt&gt;&lt;/ruby&gt;</t>
  </si>
  <si>
    <t>fàngsōng</t>
  </si>
  <si>
    <t>thả lỏng, thư giãn</t>
  </si>
  <si>
    <r>
      <rPr>
        <sz val="11"/>
        <color rgb="FF000000"/>
        <rFont val="Times New Roman"/>
      </rPr>
      <t>他通过冥想来</t>
    </r>
    <r>
      <rPr>
        <b/>
        <sz val="11"/>
        <color rgb="FF000000"/>
        <rFont val="Times New Roman"/>
      </rPr>
      <t>放松</t>
    </r>
    <r>
      <rPr>
        <sz val="11"/>
        <color rgb="FF000000"/>
        <rFont val="Times New Roman"/>
      </rPr>
      <t>身体。</t>
    </r>
  </si>
  <si>
    <t>Anh ấy ngồi thiền để thả lỏng cơ thể.</t>
  </si>
  <si>
    <t>H4_B8_BG-23.png</t>
  </si>
  <si>
    <t>B8_23.mp3</t>
  </si>
  <si>
    <t>B8_VD_23.mp3</t>
  </si>
  <si>
    <t>景色</t>
  </si>
  <si>
    <t>&lt;ruby&gt;景色&lt;rt&gt;jǐngsè&lt;/rt&gt;&lt;/ruby&gt;</t>
  </si>
  <si>
    <t>jǐngsè</t>
  </si>
  <si>
    <t>phong cảnh, cảnh vật</t>
  </si>
  <si>
    <r>
      <rPr>
        <sz val="11"/>
        <color rgb="FF000000"/>
        <rFont val="Times New Roman"/>
      </rPr>
      <t>这个地方的</t>
    </r>
    <r>
      <rPr>
        <b/>
        <sz val="11"/>
        <color rgb="FF000000"/>
        <rFont val="Times New Roman"/>
      </rPr>
      <t>景色</t>
    </r>
    <r>
      <rPr>
        <sz val="11"/>
        <color rgb="FF000000"/>
        <rFont val="Times New Roman"/>
      </rPr>
      <t>真美</t>
    </r>
  </si>
  <si>
    <t>Phong cảnh nơi này thật đẹp.</t>
  </si>
  <si>
    <t>H4_B8_BG-24.png</t>
  </si>
  <si>
    <t>B8_24.mp3</t>
  </si>
  <si>
    <t>B8_VD_24.mp3</t>
  </si>
  <si>
    <t>窗</t>
  </si>
  <si>
    <t>&lt;ruby&gt;窗&lt;rt&gt;chuāng&lt;/rt&gt;&lt;/ruby&gt;</t>
  </si>
  <si>
    <t>chuāng</t>
  </si>
  <si>
    <t>cửa sổ</t>
  </si>
  <si>
    <r>
      <rPr>
        <b/>
        <sz val="11"/>
        <color rgb="FF000000"/>
        <rFont val="Times New Roman"/>
      </rPr>
      <t>窗</t>
    </r>
    <r>
      <rPr>
        <sz val="11"/>
        <color rgb="FF000000"/>
        <rFont val="Times New Roman"/>
      </rPr>
      <t>户被风吹开了。</t>
    </r>
  </si>
  <si>
    <t>Cửa sổ bị gió thổi mở ra.</t>
  </si>
  <si>
    <t>H4_B8_BG-25.png</t>
  </si>
  <si>
    <t>B8_25.mp3</t>
  </si>
  <si>
    <t>B8_VD_25.mp3</t>
  </si>
  <si>
    <t>愉快</t>
  </si>
  <si>
    <t>&lt;ruby&gt;愉快&lt;rt&gt;yúkuài&lt;/rt&gt;&lt;/ruby&gt;</t>
  </si>
  <si>
    <t>yúkuài</t>
  </si>
  <si>
    <r>
      <rPr>
        <sz val="11"/>
        <color rgb="FF000000"/>
        <rFont val="Times New Roman"/>
      </rPr>
      <t>今天的聚会非常</t>
    </r>
    <r>
      <rPr>
        <b/>
        <sz val="11"/>
        <color rgb="FF000000"/>
        <rFont val="Times New Roman"/>
      </rPr>
      <t>愉快</t>
    </r>
    <r>
      <rPr>
        <sz val="11"/>
        <color rgb="FF000000"/>
        <rFont val="Times New Roman"/>
      </rPr>
      <t>。</t>
    </r>
  </si>
  <si>
    <t>Buổi tụ họp hôm nay rất vui vẻ.</t>
  </si>
  <si>
    <t>H4_B8_BG-26.png</t>
  </si>
  <si>
    <t>B8_26.mp3</t>
  </si>
  <si>
    <t>B8_VD_26.mp3</t>
  </si>
  <si>
    <t>巧克力</t>
  </si>
  <si>
    <t>&lt;ruby&gt;巧克力&lt;rt&gt;qiǎokèli&lt;/rt&gt;&lt;/ruby&gt;</t>
  </si>
  <si>
    <t>qiǎokèli</t>
  </si>
  <si>
    <t>sôcôla</t>
  </si>
  <si>
    <r>
      <rPr>
        <sz val="11"/>
        <color rgb="FF000000"/>
        <rFont val="Times New Roman"/>
      </rPr>
      <t>这块</t>
    </r>
    <r>
      <rPr>
        <b/>
        <sz val="11"/>
        <color rgb="FF000000"/>
        <rFont val="Times New Roman"/>
      </rPr>
      <t>巧克力</t>
    </r>
    <r>
      <rPr>
        <sz val="11"/>
        <color rgb="FF000000"/>
        <rFont val="Times New Roman"/>
      </rPr>
      <t>很好吃，你尝尝吧。</t>
    </r>
  </si>
  <si>
    <t>Sô cô la này ngon lắm, bạn nếm thử đi</t>
  </si>
  <si>
    <t>H4_B8_BG-27.png</t>
  </si>
  <si>
    <t>B8_27.mp3</t>
  </si>
  <si>
    <t>B8_VD_27.mp3</t>
  </si>
  <si>
    <t>因此</t>
  </si>
  <si>
    <t>&lt;ruby&gt;因此&lt;rt&gt;Yīncǐ&lt;/rt&gt;&lt;/ruby&gt;</t>
  </si>
  <si>
    <t>Yīncǐ</t>
  </si>
  <si>
    <t>do đó, vì vậy</t>
  </si>
  <si>
    <r>
      <rPr>
        <sz val="11"/>
        <color theme="1"/>
        <rFont val="Times New Roman"/>
      </rPr>
      <t>天气不好，</t>
    </r>
    <r>
      <rPr>
        <b/>
        <sz val="11"/>
        <color theme="1"/>
        <rFont val="Times New Roman"/>
      </rPr>
      <t>因此</t>
    </r>
    <r>
      <rPr>
        <sz val="11"/>
        <color theme="1"/>
        <rFont val="Times New Roman"/>
      </rPr>
      <t>我们取消了旅行计划。</t>
    </r>
  </si>
  <si>
    <t>Thời tiết không tốt, vì vậy chúng tôi đã hủy kế hoạch du lịch.</t>
  </si>
  <si>
    <t>H4_B8_BG-28.png</t>
  </si>
  <si>
    <t>B8_28.mp3</t>
  </si>
  <si>
    <t>B8_VD_28.mp3</t>
  </si>
  <si>
    <t>科学</t>
  </si>
  <si>
    <t>&lt;ruby&gt;科学&lt;rt&gt;kēxué&lt;/rt&gt;&lt;/ruby&gt;</t>
  </si>
  <si>
    <t>kēxué</t>
  </si>
  <si>
    <t>khoa học</t>
  </si>
  <si>
    <r>
      <rPr>
        <sz val="11"/>
        <color rgb="FF000000"/>
        <rFont val="Times New Roman"/>
      </rPr>
      <t>我想成为一名</t>
    </r>
    <r>
      <rPr>
        <b/>
        <sz val="11"/>
        <color rgb="FF000000"/>
        <rFont val="Times New Roman"/>
      </rPr>
      <t>科学</t>
    </r>
    <r>
      <rPr>
        <sz val="11"/>
        <color rgb="FF000000"/>
        <rFont val="Times New Roman"/>
      </rPr>
      <t>家。</t>
    </r>
  </si>
  <si>
    <t>Tôi muốn trở thành nhà khoa học.</t>
  </si>
  <si>
    <t>H4_B8_BG-29.png</t>
  </si>
  <si>
    <t>B8_29.mp3</t>
  </si>
  <si>
    <t>B8_VD_29.mp3</t>
  </si>
  <si>
    <t>证明</t>
  </si>
  <si>
    <t>&lt;ruby&gt;证明&lt;rt&gt;zhèngmíng&lt;/rt&gt;&lt;/ruby&gt;</t>
  </si>
  <si>
    <t>zhèngmíng</t>
  </si>
  <si>
    <t>chứng minh</t>
  </si>
  <si>
    <r>
      <rPr>
        <sz val="11"/>
        <color theme="1"/>
        <rFont val="Times New Roman"/>
      </rPr>
      <t>请出示您的身份证来</t>
    </r>
    <r>
      <rPr>
        <b/>
        <sz val="11"/>
        <color theme="1"/>
        <rFont val="Times New Roman"/>
      </rPr>
      <t>证明</t>
    </r>
    <r>
      <rPr>
        <sz val="11"/>
        <color theme="1"/>
        <rFont val="Times New Roman"/>
      </rPr>
      <t>您的身份。</t>
    </r>
  </si>
  <si>
    <t>Vui lòng xuất trình chứng minh thư để xác minh danh tính của bạn.</t>
  </si>
  <si>
    <t>H4_B8_BG-30.png</t>
  </si>
  <si>
    <t>B8_30.mp3</t>
  </si>
  <si>
    <t>B8_VD_30.mp3</t>
  </si>
  <si>
    <r>
      <rPr>
        <b/>
        <sz val="11"/>
        <color theme="1"/>
        <rFont val="Times New Roman"/>
      </rPr>
      <t>只要</t>
    </r>
    <r>
      <rPr>
        <sz val="11"/>
        <color theme="1"/>
        <rFont val="Times New Roman"/>
      </rPr>
      <t>你努力，就一定能成功。</t>
    </r>
  </si>
  <si>
    <t>长期</t>
  </si>
  <si>
    <t>&lt;ruby&gt;长期&lt;rt&gt;chángqī&lt;/rt&gt;&lt;/ruby&gt;</t>
  </si>
  <si>
    <t>chángqī</t>
  </si>
  <si>
    <t>thời gian dài</t>
  </si>
  <si>
    <r>
      <rPr>
        <b/>
        <sz val="11"/>
        <color theme="1"/>
        <rFont val="Times New Roman"/>
      </rPr>
      <t>长期</t>
    </r>
    <r>
      <rPr>
        <sz val="11"/>
        <color theme="1"/>
        <rFont val="Times New Roman"/>
      </rPr>
      <t>坚持锻炼对健康很有好处。</t>
    </r>
  </si>
  <si>
    <t>Kiên trì tập thể dục trong thời gian dài rất có lợi cho sức khỏe.</t>
  </si>
  <si>
    <t>H4_B8_BG-32.png</t>
  </si>
  <si>
    <t>B8_32.mp3</t>
  </si>
  <si>
    <t>B8_VD_32.mp3</t>
  </si>
  <si>
    <r>
      <rPr>
        <sz val="11"/>
        <color rgb="FF000000"/>
        <rFont val="Times New Roman"/>
      </rPr>
      <t>我</t>
    </r>
    <r>
      <rPr>
        <b/>
        <sz val="11"/>
        <color rgb="FF000000"/>
        <rFont val="Times New Roman"/>
      </rPr>
      <t>得到</t>
    </r>
    <r>
      <rPr>
        <sz val="11"/>
        <color rgb="FF000000"/>
        <rFont val="Times New Roman"/>
      </rPr>
      <t>了体育比赛的一等奖。</t>
    </r>
  </si>
  <si>
    <t>美</t>
  </si>
  <si>
    <t>&lt;ruby&gt;美&lt;rt&gt;měi&lt;/rt&gt;&lt;/ruby&gt;</t>
  </si>
  <si>
    <t>đẹp</t>
  </si>
  <si>
    <r>
      <rPr>
        <sz val="11"/>
        <color rgb="FF000000"/>
        <rFont val="Times New Roman"/>
      </rPr>
      <t>她是我见过最</t>
    </r>
    <r>
      <rPr>
        <b/>
        <sz val="11"/>
        <color rgb="FF000000"/>
        <rFont val="Times New Roman"/>
      </rPr>
      <t>美</t>
    </r>
    <r>
      <rPr>
        <sz val="11"/>
        <color rgb="FF000000"/>
        <rFont val="Times New Roman"/>
      </rPr>
      <t>的女孩。</t>
    </r>
  </si>
  <si>
    <t>Cô ấy là cô gái đẹp nhất mà tôi từng gặp.</t>
  </si>
  <si>
    <t>H4_B8_BG-34.png</t>
  </si>
  <si>
    <t>B8_34.mp3</t>
  </si>
  <si>
    <t>B8_VD_34.mp3</t>
  </si>
  <si>
    <t>女性</t>
  </si>
  <si>
    <t>&lt;ruby&gt;女性&lt;rt&gt;Nǚxìng&lt;/rt&gt;&lt;/ruby&gt;</t>
  </si>
  <si>
    <t>Nǚxìng</t>
  </si>
  <si>
    <t>phụ nữ</t>
  </si>
  <si>
    <r>
      <rPr>
        <sz val="11"/>
        <color rgb="FF000000"/>
        <rFont val="Times New Roman"/>
      </rPr>
      <t>我发现记者往往是</t>
    </r>
    <r>
      <rPr>
        <b/>
        <sz val="11"/>
        <color rgb="FF000000"/>
        <rFont val="Times New Roman"/>
      </rPr>
      <t>女性</t>
    </r>
    <r>
      <rPr>
        <sz val="11"/>
        <color rgb="FF000000"/>
        <rFont val="Times New Roman"/>
      </rPr>
      <t>。</t>
    </r>
  </si>
  <si>
    <t>Tôi thấy phóng viên thường là con gái.</t>
  </si>
  <si>
    <t>H4_B8_BG-35.png</t>
  </si>
  <si>
    <t>B8_35.mp3</t>
  </si>
  <si>
    <t>B8_VD_35.mp3</t>
  </si>
  <si>
    <r>
      <rPr>
        <sz val="11"/>
        <color theme="1"/>
        <rFont val="Times New Roman"/>
      </rPr>
      <t>这本书的内容和历史</t>
    </r>
    <r>
      <rPr>
        <b/>
        <sz val="11"/>
        <color theme="1"/>
        <rFont val="Times New Roman"/>
      </rPr>
      <t>有关</t>
    </r>
    <r>
      <rPr>
        <sz val="11"/>
        <color theme="1"/>
        <rFont val="Times New Roman"/>
      </rPr>
      <t>。</t>
    </r>
  </si>
  <si>
    <t>当时</t>
  </si>
  <si>
    <t>&lt;ruby&gt;当时&lt;rt&gt;Dāngshí&lt;/rt&gt;&lt;/ruby&gt;</t>
  </si>
  <si>
    <t>Dāngshí</t>
  </si>
  <si>
    <t>lúc đó</t>
  </si>
  <si>
    <r>
      <rPr>
        <sz val="11"/>
        <color theme="1"/>
        <rFont val="Times New Roman"/>
      </rPr>
      <t>我们</t>
    </r>
    <r>
      <rPr>
        <b/>
        <sz val="11"/>
        <color theme="1"/>
        <rFont val="Times New Roman"/>
      </rPr>
      <t>当时</t>
    </r>
    <r>
      <rPr>
        <sz val="11"/>
        <color theme="1"/>
        <rFont val="Times New Roman"/>
      </rPr>
      <t>都很高兴。</t>
    </r>
  </si>
  <si>
    <t>Lúc đó chúng tôi đều rất vui.</t>
  </si>
  <si>
    <t>H4_B9_BG-01.png</t>
  </si>
  <si>
    <t>B9_1.mp3</t>
  </si>
  <si>
    <t>B9_VD_1.mp3</t>
  </si>
  <si>
    <t>&lt;ruby&gt;得&lt;rt&gt;děi&lt;/rt&gt;&lt;/ruby&gt;</t>
  </si>
  <si>
    <t>děi</t>
  </si>
  <si>
    <t xml:space="preserve">Động từ năng nguyện </t>
  </si>
  <si>
    <t>phải</t>
  </si>
  <si>
    <r>
      <rPr>
        <sz val="11"/>
        <color theme="1"/>
        <rFont val="Times New Roman"/>
      </rPr>
      <t>我</t>
    </r>
    <r>
      <rPr>
        <b/>
        <sz val="11"/>
        <color theme="1"/>
        <rFont val="Times New Roman"/>
      </rPr>
      <t>得</t>
    </r>
    <r>
      <rPr>
        <sz val="11"/>
        <color theme="1"/>
        <rFont val="Times New Roman"/>
      </rPr>
      <t>去上课了。</t>
    </r>
  </si>
  <si>
    <t>Tôi phải đi học rồi.</t>
  </si>
  <si>
    <t>H4_B9_BG-02.png</t>
  </si>
  <si>
    <t>B9_2.mp3</t>
  </si>
  <si>
    <t>B9_VD_2.mp3</t>
  </si>
  <si>
    <t>过程</t>
  </si>
  <si>
    <t>&lt;ruby&gt;过程&lt;rt&gt;guòchéng&lt;/rt&gt;&lt;/ruby&gt;</t>
  </si>
  <si>
    <t>guòchéng</t>
  </si>
  <si>
    <t>quá trình</t>
  </si>
  <si>
    <r>
      <rPr>
        <sz val="11"/>
        <color theme="1"/>
        <rFont val="Times New Roman"/>
      </rPr>
      <t>做饭是一个有趣的</t>
    </r>
    <r>
      <rPr>
        <b/>
        <sz val="11"/>
        <color theme="1"/>
        <rFont val="Times New Roman"/>
      </rPr>
      <t>过程</t>
    </r>
    <r>
      <rPr>
        <sz val="11"/>
        <color theme="1"/>
        <rFont val="Times New Roman"/>
      </rPr>
      <t>。</t>
    </r>
  </si>
  <si>
    <t>Nấu ăn là một quá trình thú vị.</t>
  </si>
  <si>
    <t>H4_B9_BG-03.png</t>
  </si>
  <si>
    <t>B9_3.mp3</t>
  </si>
  <si>
    <t>B9_VD_3.mp3</t>
  </si>
  <si>
    <t>汗</t>
  </si>
  <si>
    <t>&lt;ruby&gt;汗&lt;rt&gt;hàn&lt;/rt&gt;&lt;/ruby&gt;</t>
  </si>
  <si>
    <t>hàn</t>
  </si>
  <si>
    <t>mồ hôi</t>
  </si>
  <si>
    <r>
      <rPr>
        <sz val="11"/>
        <color theme="1"/>
        <rFont val="Times New Roman"/>
      </rPr>
      <t>运动后，我全身都是</t>
    </r>
    <r>
      <rPr>
        <b/>
        <sz val="11"/>
        <color theme="1"/>
        <rFont val="Times New Roman"/>
      </rPr>
      <t>汗</t>
    </r>
    <r>
      <rPr>
        <sz val="11"/>
        <color theme="1"/>
        <rFont val="Times New Roman"/>
      </rPr>
      <t>。</t>
    </r>
  </si>
  <si>
    <t>Sau khi tập thể dục, toàn thân tôi đầy mồ hôi.</t>
  </si>
  <si>
    <t>H4_B9_BG-04.png</t>
  </si>
  <si>
    <t>B9_4.mp3</t>
  </si>
  <si>
    <t>B9_VD_4.mp3</t>
  </si>
  <si>
    <r>
      <rPr>
        <sz val="11"/>
        <color theme="1"/>
        <rFont val="Times New Roman"/>
      </rPr>
      <t>他每天</t>
    </r>
    <r>
      <rPr>
        <b/>
        <sz val="11"/>
        <color theme="1"/>
        <rFont val="Times New Roman"/>
      </rPr>
      <t>坚持</t>
    </r>
    <r>
      <rPr>
        <sz val="11"/>
        <color theme="1"/>
        <rFont val="Times New Roman"/>
      </rPr>
      <t>练武。</t>
    </r>
  </si>
  <si>
    <t>结果</t>
  </si>
  <si>
    <t>&lt;ruby&gt;结果&lt;rt&gt;jiéguǒ&lt;/rt&gt;&lt;/ruby&gt;</t>
  </si>
  <si>
    <t>jiéguǒ</t>
  </si>
  <si>
    <t>kết quả</t>
  </si>
  <si>
    <r>
      <rPr>
        <sz val="11"/>
        <color theme="1"/>
        <rFont val="Times New Roman"/>
      </rPr>
      <t>她的努力终于有了好</t>
    </r>
    <r>
      <rPr>
        <b/>
        <sz val="11"/>
        <color theme="1"/>
        <rFont val="Times New Roman"/>
      </rPr>
      <t>结果</t>
    </r>
    <r>
      <rPr>
        <sz val="11"/>
        <color theme="1"/>
        <rFont val="Times New Roman"/>
      </rPr>
      <t>。</t>
    </r>
  </si>
  <si>
    <t>Sự nỗ lực của cô ấy cuối cùng đã có kết quả tốt.</t>
  </si>
  <si>
    <t>H4_B9_BG-06.png</t>
  </si>
  <si>
    <t>B9_6.mp3</t>
  </si>
  <si>
    <t>B9_VD_6.mp3</t>
  </si>
  <si>
    <t>总结</t>
  </si>
  <si>
    <t>&lt;ruby&gt;总结&lt;rt&gt;zǒngjié&lt;/rt&gt;&lt;/ruby&gt;</t>
  </si>
  <si>
    <t>zǒngjié</t>
  </si>
  <si>
    <t>tổng kết</t>
  </si>
  <si>
    <r>
      <rPr>
        <sz val="11"/>
        <color theme="1"/>
        <rFont val="Times New Roman"/>
      </rPr>
      <t>老师在黑板上</t>
    </r>
    <r>
      <rPr>
        <b/>
        <sz val="11"/>
        <color theme="1"/>
        <rFont val="Times New Roman"/>
      </rPr>
      <t>总结</t>
    </r>
    <r>
      <rPr>
        <sz val="11"/>
        <color theme="1"/>
        <rFont val="Times New Roman"/>
      </rPr>
      <t>内容。</t>
    </r>
  </si>
  <si>
    <t>Giáo viên tổng kết nội dung trên bảng đen.</t>
  </si>
  <si>
    <t>H4_B9_BG-07.png</t>
  </si>
  <si>
    <t>B9_7.mp3</t>
  </si>
  <si>
    <t>B9_VD_7.mp3</t>
  </si>
  <si>
    <t>作家</t>
  </si>
  <si>
    <t>&lt;ruby&gt;作家&lt;rt&gt;zuòjiā&lt;/rt&gt;&lt;/ruby&gt;</t>
  </si>
  <si>
    <t>zuòjiā</t>
  </si>
  <si>
    <t>nhà văn</t>
  </si>
  <si>
    <r>
      <rPr>
        <sz val="11"/>
        <color rgb="FF000000"/>
        <rFont val="Times New Roman"/>
      </rPr>
      <t>她梦想成为一名</t>
    </r>
    <r>
      <rPr>
        <b/>
        <sz val="11"/>
        <color rgb="FF000000"/>
        <rFont val="Times New Roman"/>
      </rPr>
      <t>作家</t>
    </r>
    <r>
      <rPr>
        <sz val="11"/>
        <color rgb="FF000000"/>
        <rFont val="Times New Roman"/>
      </rPr>
      <t>。</t>
    </r>
  </si>
  <si>
    <t>Cô ấy mơ ước trở thành một nhà văn.</t>
  </si>
  <si>
    <t>H4_B9_BG-08.png</t>
  </si>
  <si>
    <t>B9_8.mp3</t>
  </si>
  <si>
    <t>B9_VD_8.mp3</t>
  </si>
  <si>
    <t>篇</t>
  </si>
  <si>
    <t>&lt;ruby&gt;篇&lt;rt&gt;piān&lt;/rt&gt;&lt;/ruby&gt;</t>
  </si>
  <si>
    <t>piān</t>
  </si>
  <si>
    <t>(được dùng cho bài vǎn, giấy...) bài, tờ...</t>
  </si>
  <si>
    <r>
      <rPr>
        <sz val="11"/>
        <color theme="1"/>
        <rFont val="Times New Roman"/>
      </rPr>
      <t>这是我写的一</t>
    </r>
    <r>
      <rPr>
        <b/>
        <sz val="11"/>
        <color theme="1"/>
        <rFont val="Times New Roman"/>
      </rPr>
      <t>篇</t>
    </r>
    <r>
      <rPr>
        <sz val="11"/>
        <color theme="1"/>
        <rFont val="Times New Roman"/>
      </rPr>
      <t>文章。</t>
    </r>
  </si>
  <si>
    <t>Đây là một bài văn tôi đã viết.</t>
  </si>
  <si>
    <t>H4_B9_BG-09.png</t>
  </si>
  <si>
    <t>B9_9.mp3</t>
  </si>
  <si>
    <t>B9_VD_9.mp3</t>
  </si>
  <si>
    <t>国际</t>
  </si>
  <si>
    <t>&lt;ruby&gt;国际&lt;rt&gt;guóji&lt;/rt&gt;&lt;/ruby&gt;</t>
  </si>
  <si>
    <t>guóji</t>
  </si>
  <si>
    <t>quốc tế</t>
  </si>
  <si>
    <r>
      <rPr>
        <sz val="11"/>
        <color rgb="FF0E0E0E"/>
        <rFont val="Times New Roman"/>
      </rPr>
      <t>保护环境是</t>
    </r>
    <r>
      <rPr>
        <b/>
        <sz val="11"/>
        <color rgb="FF0E0E0E"/>
        <rFont val="Times New Roman"/>
      </rPr>
      <t>国际</t>
    </r>
    <r>
      <rPr>
        <sz val="11"/>
        <color rgb="FF0E0E0E"/>
        <rFont val="Times New Roman"/>
      </rPr>
      <t>社会共同的责任。</t>
    </r>
  </si>
  <si>
    <t>Bảo vệ môi trường là trách nhiệm chung của cộng đồng quốc tế.</t>
  </si>
  <si>
    <t>H4_B9_BG-10.png</t>
  </si>
  <si>
    <t>B9_10.mp3</t>
  </si>
  <si>
    <t>B9_VD_10.mp3</t>
  </si>
  <si>
    <t>经历</t>
  </si>
  <si>
    <t>&lt;ruby&gt;经历&lt;rt&gt;Jīnglì&lt;/rt&gt;&lt;/ruby&gt;</t>
  </si>
  <si>
    <t>Jīnglì</t>
  </si>
  <si>
    <t>trải qua</t>
  </si>
  <si>
    <r>
      <rPr>
        <sz val="11"/>
        <color theme="1"/>
        <rFont val="Times New Roman"/>
      </rPr>
      <t>每个人都会</t>
    </r>
    <r>
      <rPr>
        <b/>
        <sz val="11"/>
        <color theme="1"/>
        <rFont val="Times New Roman"/>
      </rPr>
      <t>经历</t>
    </r>
    <r>
      <rPr>
        <sz val="11"/>
        <color theme="1"/>
        <rFont val="Times New Roman"/>
      </rPr>
      <t>失败。</t>
    </r>
  </si>
  <si>
    <t>Mỗi người đều sẽ trải qua thất bại.</t>
  </si>
  <si>
    <t>H4_B9_BG-11.png</t>
  </si>
  <si>
    <t>B9_11.mp3</t>
  </si>
  <si>
    <t>B9_VD_11.mp3</t>
  </si>
  <si>
    <r>
      <rPr>
        <sz val="11"/>
        <color theme="1"/>
        <rFont val="Times New Roman"/>
      </rPr>
      <t>我想去旅行，</t>
    </r>
    <r>
      <rPr>
        <b/>
        <sz val="11"/>
        <color theme="1"/>
        <rFont val="Times New Roman"/>
      </rPr>
      <t>可是</t>
    </r>
    <r>
      <rPr>
        <sz val="11"/>
        <color theme="1"/>
        <rFont val="Times New Roman"/>
      </rPr>
      <t>没有时间。</t>
    </r>
  </si>
  <si>
    <t>理想</t>
  </si>
  <si>
    <t>&lt;ruby&gt;理想&lt;rt&gt;lǐxiǎng&lt;/rt&gt;&lt;/ruby&gt;</t>
  </si>
  <si>
    <t>lǐxiǎng</t>
  </si>
  <si>
    <t>Lý tưởng</t>
  </si>
  <si>
    <r>
      <rPr>
        <sz val="11"/>
        <color rgb="FF0E0E0E"/>
        <rFont val="Times New Roman"/>
      </rPr>
      <t>他的</t>
    </r>
    <r>
      <rPr>
        <b/>
        <sz val="11"/>
        <color rgb="FF0E0E0E"/>
        <rFont val="Times New Roman"/>
      </rPr>
      <t>理想</t>
    </r>
    <r>
      <rPr>
        <sz val="11"/>
        <color rgb="FF0E0E0E"/>
        <rFont val="Times New Roman"/>
      </rPr>
      <t>是成为一名飞行员。</t>
    </r>
  </si>
  <si>
    <t>Lý tưởng của anh ấy là trở thành một phi công.</t>
  </si>
  <si>
    <t>H4_B9_BG-13.png</t>
  </si>
  <si>
    <t>B9_13.mp3</t>
  </si>
  <si>
    <t>B9_VD_13.mp3</t>
  </si>
  <si>
    <t>难道</t>
  </si>
  <si>
    <t>&lt;ruby&gt;难道&lt;rt&gt;nándào&lt;/rt&gt;&lt;/ruby&gt;</t>
  </si>
  <si>
    <t>nándào</t>
  </si>
  <si>
    <t>(được dùng trong câu hỏi tu từ để nhấn mạnh) chẳng lẽ</t>
  </si>
  <si>
    <r>
      <rPr>
        <b/>
        <sz val="11"/>
        <color theme="1"/>
        <rFont val="Times New Roman"/>
      </rPr>
      <t>难道</t>
    </r>
    <r>
      <rPr>
        <sz val="11"/>
        <color theme="1"/>
        <rFont val="Times New Roman"/>
      </rPr>
      <t>你不喜欢小猫吗？</t>
    </r>
  </si>
  <si>
    <t>Chẳng lẽ bạn không thích mèo sao?</t>
  </si>
  <si>
    <t>H4_B9_BG-14.png</t>
  </si>
  <si>
    <t>B9_14.mp3</t>
  </si>
  <si>
    <t>B9_VD_14.mp3</t>
  </si>
  <si>
    <t>轻松</t>
  </si>
  <si>
    <t>&lt;ruby&gt;轻松&lt;rt&gt;qīngsōng&lt;/rt&gt;&lt;/ruby&gt;</t>
  </si>
  <si>
    <t>qīngsōng</t>
  </si>
  <si>
    <t>nhẹ nhàng, dễ dàng</t>
  </si>
  <si>
    <r>
      <rPr>
        <sz val="11"/>
        <color rgb="FF0E0E0E"/>
        <rFont val="Times New Roman"/>
      </rPr>
      <t>她</t>
    </r>
    <r>
      <rPr>
        <b/>
        <sz val="11"/>
        <color rgb="FF0E0E0E"/>
        <rFont val="Times New Roman"/>
      </rPr>
      <t>轻松</t>
    </r>
    <r>
      <rPr>
        <sz val="11"/>
        <color rgb="FF0E0E0E"/>
        <rFont val="Times New Roman"/>
      </rPr>
      <t>地解决了这道数学题。</t>
    </r>
  </si>
  <si>
    <t>Cô ấy dễ dàng giải được bài toán này.</t>
  </si>
  <si>
    <t>H4_B9_BG-15.png</t>
  </si>
  <si>
    <t>B9_15.mp3</t>
  </si>
  <si>
    <t>B9_VD_15.mp3</t>
  </si>
  <si>
    <t>区别</t>
  </si>
  <si>
    <t>&lt;ruby&gt;区别&lt;rt&gt;qūbié&lt;/rt&gt;&lt;/ruby&gt;</t>
  </si>
  <si>
    <t>qūbié</t>
  </si>
  <si>
    <t>Sự khác biệt</t>
  </si>
  <si>
    <r>
      <rPr>
        <sz val="11"/>
        <color theme="1"/>
        <rFont val="Times New Roman"/>
      </rPr>
      <t>这两个苹果有什么</t>
    </r>
    <r>
      <rPr>
        <b/>
        <sz val="11"/>
        <color theme="1"/>
        <rFont val="Times New Roman"/>
      </rPr>
      <t>区别</t>
    </r>
    <r>
      <rPr>
        <sz val="11"/>
        <color theme="1"/>
        <rFont val="Times New Roman"/>
      </rPr>
      <t>？</t>
    </r>
  </si>
  <si>
    <t>Hai quả táo này có gì khác nhau?</t>
  </si>
  <si>
    <t>H4_B9_BG-16.png</t>
  </si>
  <si>
    <t>B9_16.mp3</t>
  </si>
  <si>
    <t>B9_VD_16.mp3</t>
  </si>
  <si>
    <t>随便</t>
  </si>
  <si>
    <t>&lt;ruby&gt;随便&lt;rt&gt;Suíbiàn&lt;/rt&gt;&lt;/ruby&gt;</t>
  </si>
  <si>
    <t>Suíbiàn</t>
  </si>
  <si>
    <t>tình cờ, tùy tiện</t>
  </si>
  <si>
    <r>
      <rPr>
        <sz val="11"/>
        <color theme="1"/>
        <rFont val="Times New Roman"/>
      </rPr>
      <t>他</t>
    </r>
    <r>
      <rPr>
        <b/>
        <sz val="11"/>
        <color theme="1"/>
        <rFont val="Times New Roman"/>
      </rPr>
      <t>随便</t>
    </r>
    <r>
      <rPr>
        <sz val="11"/>
        <color theme="1"/>
        <rFont val="Times New Roman"/>
      </rPr>
      <t>扔垃圾。</t>
    </r>
  </si>
  <si>
    <t>Anh ấy tùy tiện vứt rác.</t>
  </si>
  <si>
    <t>H4_B9_BG-17.png</t>
  </si>
  <si>
    <t>B9_17.mp3</t>
  </si>
  <si>
    <t>B9_VD_17.mp3</t>
  </si>
  <si>
    <t>通过</t>
  </si>
  <si>
    <t>&lt;ruby&gt;通过&lt;rt&gt;tōngguò&lt;/rt&gt;&lt;/ruby&gt;</t>
  </si>
  <si>
    <t>tōngguò</t>
  </si>
  <si>
    <t>qua, nhờ vào</t>
  </si>
  <si>
    <r>
      <rPr>
        <sz val="11"/>
        <color theme="1"/>
        <rFont val="Times New Roman"/>
      </rPr>
      <t>他</t>
    </r>
    <r>
      <rPr>
        <b/>
        <sz val="11"/>
        <color theme="1"/>
        <rFont val="Times New Roman"/>
      </rPr>
      <t>通过</t>
    </r>
    <r>
      <rPr>
        <sz val="11"/>
        <color theme="1"/>
        <rFont val="Times New Roman"/>
      </rPr>
      <t>考试了。</t>
    </r>
  </si>
  <si>
    <t>Anh ấy đã vượt qua kỳ thi.</t>
  </si>
  <si>
    <t>H4_B9_BG-18.png</t>
  </si>
  <si>
    <t>B9_18.mp3</t>
  </si>
  <si>
    <t>B9_VD_18.mp3</t>
  </si>
  <si>
    <r>
      <rPr>
        <sz val="11"/>
        <color theme="1"/>
        <rFont val="Times New Roman"/>
      </rPr>
      <t>她每天早上打</t>
    </r>
    <r>
      <rPr>
        <b/>
        <sz val="11"/>
        <color theme="1"/>
        <rFont val="Times New Roman"/>
      </rPr>
      <t>网球</t>
    </r>
    <r>
      <rPr>
        <sz val="11"/>
        <color theme="1"/>
        <rFont val="Times New Roman"/>
      </rPr>
      <t>。</t>
    </r>
  </si>
  <si>
    <t>取</t>
  </si>
  <si>
    <t>&lt;ruby&gt;取&lt;rt&gt;qǔ&lt;/rt&gt;&lt;/ruby&gt;</t>
  </si>
  <si>
    <t>qǔ</t>
  </si>
  <si>
    <t>đạt được, lấy được</t>
  </si>
  <si>
    <r>
      <rPr>
        <sz val="11"/>
        <color rgb="FF0E0E0E"/>
        <rFont val="Times New Roman"/>
      </rPr>
      <t>他通过努力</t>
    </r>
    <r>
      <rPr>
        <b/>
        <sz val="11"/>
        <color rgb="FF0E0E0E"/>
        <rFont val="Times New Roman"/>
      </rPr>
      <t>取</t>
    </r>
    <r>
      <rPr>
        <sz val="11"/>
        <color rgb="FF0E0E0E"/>
        <rFont val="Times New Roman"/>
      </rPr>
      <t>到了比赛的冠军。</t>
    </r>
  </si>
  <si>
    <t>Anh ấy đã đạt được chức vô địch cuộc thi nhờ sự nỗ lực.</t>
  </si>
  <si>
    <t>H4_B9_BG-20.png</t>
  </si>
  <si>
    <t>B9_20.mp3</t>
  </si>
  <si>
    <t>B9_VD_20.mp3</t>
  </si>
  <si>
    <t>失败</t>
  </si>
  <si>
    <t>&lt;ruby&gt;失败&lt;rt&gt;shībài&lt;/rt&gt;&lt;/ruby&gt;</t>
  </si>
  <si>
    <t>shībài</t>
  </si>
  <si>
    <t>thất bại</t>
  </si>
  <si>
    <r>
      <rPr>
        <sz val="11"/>
        <color theme="1"/>
        <rFont val="Times New Roman"/>
      </rPr>
      <t>他在比赛中</t>
    </r>
    <r>
      <rPr>
        <b/>
        <sz val="11"/>
        <color theme="1"/>
        <rFont val="Times New Roman"/>
      </rPr>
      <t>失败</t>
    </r>
    <r>
      <rPr>
        <sz val="11"/>
        <color theme="1"/>
        <rFont val="Times New Roman"/>
      </rPr>
      <t>了，非常难过。</t>
    </r>
  </si>
  <si>
    <t>Anh ấy đã thất bại trong cuộc thi, cảm thấy rất buồn.</t>
  </si>
  <si>
    <t>H4_B9_BG-21.png</t>
  </si>
  <si>
    <t>B9_21.mp3</t>
  </si>
  <si>
    <t>B9_VD_21.mp3</t>
  </si>
  <si>
    <t>放弃</t>
  </si>
  <si>
    <t>&lt;ruby&gt;放弃&lt;rt&gt;fàngqì&lt;/rt&gt;&lt;/ruby&gt;</t>
  </si>
  <si>
    <t>fàngqì</t>
  </si>
  <si>
    <t>từ bỏ, bỏ cuộc</t>
  </si>
  <si>
    <r>
      <rPr>
        <sz val="11"/>
        <color theme="1"/>
        <rFont val="Times New Roman"/>
      </rPr>
      <t>无论多困难，他都不会</t>
    </r>
    <r>
      <rPr>
        <b/>
        <sz val="11"/>
        <color theme="1"/>
        <rFont val="Times New Roman"/>
      </rPr>
      <t>放弃</t>
    </r>
    <r>
      <rPr>
        <sz val="11"/>
        <color theme="1"/>
        <rFont val="Times New Roman"/>
      </rPr>
      <t>。</t>
    </r>
  </si>
  <si>
    <t>Dù khó khăn thế nào, anh ấy cũng sẽ không bỏ cuộc.</t>
  </si>
  <si>
    <t>H4_B9_BG-22.png</t>
  </si>
  <si>
    <t>B9_22.mp3</t>
  </si>
  <si>
    <t>B9_VD_22.mp3</t>
  </si>
  <si>
    <t>面对</t>
  </si>
  <si>
    <t>&lt;ruby&gt;面对&lt;rt&gt;miàndui&lt;/rt&gt;&lt;/ruby&gt;</t>
  </si>
  <si>
    <t>miàndui</t>
  </si>
  <si>
    <t>đương đầu, đối mặt</t>
  </si>
  <si>
    <r>
      <rPr>
        <sz val="11"/>
        <color rgb="FF000000"/>
        <rFont val="Times New Roman"/>
      </rPr>
      <t>我们要勇敢地</t>
    </r>
    <r>
      <rPr>
        <b/>
        <sz val="11"/>
        <color rgb="FF000000"/>
        <rFont val="Times New Roman"/>
      </rPr>
      <t>面对</t>
    </r>
    <r>
      <rPr>
        <sz val="11"/>
        <color rgb="FF000000"/>
        <rFont val="Times New Roman"/>
      </rPr>
      <t>困难。</t>
    </r>
  </si>
  <si>
    <t>Chúng ta phải dũng cảm đối mặt với khó khăn.</t>
  </si>
  <si>
    <t>H4_B9_BG-23.png</t>
  </si>
  <si>
    <t>B9_23.mp3</t>
  </si>
  <si>
    <t>B9_VD_23.mp3</t>
  </si>
  <si>
    <t>赢</t>
  </si>
  <si>
    <t>&lt;ruby&gt;赢&lt;rt&gt;yíng&lt;/rt&gt;&lt;/ruby&gt;</t>
  </si>
  <si>
    <t>yíng</t>
  </si>
  <si>
    <t>thắng</t>
  </si>
  <si>
    <r>
      <rPr>
        <sz val="11"/>
        <color theme="1"/>
        <rFont val="Times New Roman"/>
      </rPr>
      <t>这次比赛，我们一定要</t>
    </r>
    <r>
      <rPr>
        <b/>
        <sz val="11"/>
        <color theme="1"/>
        <rFont val="Times New Roman"/>
      </rPr>
      <t>赢</t>
    </r>
    <r>
      <rPr>
        <sz val="11"/>
        <color theme="1"/>
        <rFont val="Times New Roman"/>
      </rPr>
      <t>！</t>
    </r>
  </si>
  <si>
    <t>Trận đấu này, chúng ta nhất định phải thắng!</t>
  </si>
  <si>
    <t>H4_B9_BG-24.png</t>
  </si>
  <si>
    <t>B9_24.mp3</t>
  </si>
  <si>
    <t>B9_VD_24.mp3</t>
  </si>
  <si>
    <t>奖</t>
  </si>
  <si>
    <t>&lt;ruby&gt;奖&lt;rt&gt;jiǎng&lt;/rt&gt;&lt;/ruby&gt;</t>
  </si>
  <si>
    <t>phần thưởng</t>
  </si>
  <si>
    <r>
      <rPr>
        <sz val="11"/>
        <color theme="1"/>
        <rFont val="Times New Roman"/>
      </rPr>
      <t>他因为表现优秀得到了一个</t>
    </r>
    <r>
      <rPr>
        <b/>
        <sz val="11"/>
        <color theme="1"/>
        <rFont val="Times New Roman"/>
      </rPr>
      <t>奖</t>
    </r>
    <r>
      <rPr>
        <sz val="11"/>
        <color theme="1"/>
        <rFont val="Times New Roman"/>
      </rPr>
      <t>。</t>
    </r>
  </si>
  <si>
    <t>Anh ấy nhận được một phần thưởng vì có thành tích xuất sắc.</t>
  </si>
  <si>
    <t>H4_B9_BG-25.png</t>
  </si>
  <si>
    <t>B9_25.mp3</t>
  </si>
  <si>
    <t>B9_VD_25.mp3</t>
  </si>
  <si>
    <t>勇敢</t>
  </si>
  <si>
    <t>&lt;ruby&gt;勇敢&lt;rt&gt;yǒnggǎn&lt;/rt&gt;&lt;/ruby&gt;</t>
  </si>
  <si>
    <t>yǒnggǎn</t>
  </si>
  <si>
    <t>dũng cảm, gan dạ</t>
  </si>
  <si>
    <r>
      <rPr>
        <sz val="11"/>
        <color theme="1"/>
        <rFont val="Times New Roman"/>
      </rPr>
      <t>小女孩</t>
    </r>
    <r>
      <rPr>
        <b/>
        <sz val="11"/>
        <color theme="1"/>
        <rFont val="Times New Roman"/>
      </rPr>
      <t>勇敢</t>
    </r>
    <r>
      <rPr>
        <sz val="11"/>
        <color theme="1"/>
        <rFont val="Times New Roman"/>
      </rPr>
      <t>地拉弓射箭。</t>
    </r>
  </si>
  <si>
    <t>Cô bé dũng cảm kéo cung bắn tên.</t>
  </si>
  <si>
    <t>H4_B9_BG-26.png</t>
  </si>
  <si>
    <t>B9_26.mp3</t>
  </si>
  <si>
    <t>B9_VD_26.mp3</t>
  </si>
  <si>
    <t>许多</t>
  </si>
  <si>
    <t>&lt;ruby&gt;许多&lt;rt&gt;xŭduō&lt;/rt&gt;&lt;/ruby&gt;</t>
  </si>
  <si>
    <t>xŭduō</t>
  </si>
  <si>
    <t>rất nhiều</t>
  </si>
  <si>
    <r>
      <rPr>
        <sz val="11"/>
        <color theme="1"/>
        <rFont val="Times New Roman"/>
      </rPr>
      <t>我有</t>
    </r>
    <r>
      <rPr>
        <b/>
        <sz val="11"/>
        <color theme="1"/>
        <rFont val="Times New Roman"/>
      </rPr>
      <t>许多</t>
    </r>
    <r>
      <rPr>
        <sz val="11"/>
        <color theme="1"/>
        <rFont val="Times New Roman"/>
      </rPr>
      <t>书。</t>
    </r>
  </si>
  <si>
    <t>Tôi có rất nhiều sách.</t>
  </si>
  <si>
    <t>H4_B9_BG-27.png</t>
  </si>
  <si>
    <t>B9_27.mp3</t>
  </si>
  <si>
    <t>B9_VD_27.mp3</t>
  </si>
  <si>
    <t>暂时</t>
  </si>
  <si>
    <t>&lt;ruby&gt;暂时&lt;rt&gt;zànshí&lt;/rt&gt;&lt;/ruby&gt;</t>
  </si>
  <si>
    <t>zànshí</t>
  </si>
  <si>
    <t>tạm thời, nhất thời</t>
  </si>
  <si>
    <r>
      <rPr>
        <sz val="11"/>
        <color theme="1"/>
        <rFont val="Times New Roman"/>
      </rPr>
      <t>我</t>
    </r>
    <r>
      <rPr>
        <b/>
        <sz val="11"/>
        <color theme="1"/>
        <rFont val="Times New Roman"/>
      </rPr>
      <t>暂时</t>
    </r>
    <r>
      <rPr>
        <sz val="11"/>
        <color theme="1"/>
        <rFont val="Times New Roman"/>
      </rPr>
      <t>住在这里。</t>
    </r>
  </si>
  <si>
    <t>Tôi tạm thời sống ở đây.</t>
  </si>
  <si>
    <t>H4_B9_BG-28.png</t>
  </si>
  <si>
    <t>B9_28.mp3</t>
  </si>
  <si>
    <t>B9_VD_28.mp3</t>
  </si>
  <si>
    <t>正确</t>
  </si>
  <si>
    <t>&lt;ruby&gt;正确&lt;rt&gt;zhèngquè&lt;/rt&gt;&lt;/ruby&gt;</t>
  </si>
  <si>
    <t>zhèngquè</t>
  </si>
  <si>
    <t>đúng, chính xác</t>
  </si>
  <si>
    <r>
      <rPr>
        <sz val="11"/>
        <color theme="1"/>
        <rFont val="Times New Roman"/>
      </rPr>
      <t>这个女孩</t>
    </r>
    <r>
      <rPr>
        <b/>
        <sz val="11"/>
        <color theme="1"/>
        <rFont val="Times New Roman"/>
      </rPr>
      <t>正确</t>
    </r>
    <r>
      <rPr>
        <sz val="11"/>
        <color theme="1"/>
        <rFont val="Times New Roman"/>
      </rPr>
      <t>地把垃圾放进了可回收垃圾桶。</t>
    </r>
  </si>
  <si>
    <t>Cô bé này đã đúng khi bỏ rác vào thùng rác tái chế.</t>
  </si>
  <si>
    <t>H4_B9_BG-29.png</t>
  </si>
  <si>
    <t>B9_29.mp3</t>
  </si>
  <si>
    <t>B9_VD_29.mp3</t>
  </si>
  <si>
    <t>至少</t>
  </si>
  <si>
    <t>&lt;ruby&gt;至少&lt;rt&gt;Zhìshǎo&lt;/rt&gt;&lt;/ruby&gt;</t>
  </si>
  <si>
    <t>Zhìshǎo</t>
  </si>
  <si>
    <t>ít nhất</t>
  </si>
  <si>
    <r>
      <rPr>
        <sz val="11"/>
        <color theme="1"/>
        <rFont val="Times New Roman"/>
      </rPr>
      <t>我每天</t>
    </r>
    <r>
      <rPr>
        <b/>
        <sz val="11"/>
        <color theme="1"/>
        <rFont val="Times New Roman"/>
      </rPr>
      <t>至少</t>
    </r>
    <r>
      <rPr>
        <sz val="11"/>
        <color theme="1"/>
        <rFont val="Times New Roman"/>
      </rPr>
      <t>跑步十分钟。</t>
    </r>
  </si>
  <si>
    <t>Mỗi ngày tôi chạy bộ ít nhất 10 phút.</t>
  </si>
  <si>
    <t>H4_B9_BG-30.png</t>
  </si>
  <si>
    <t>B9_30.mp3</t>
  </si>
  <si>
    <t>B9_VD_30.mp3</t>
  </si>
  <si>
    <r>
      <rPr>
        <sz val="11"/>
        <color rgb="FF000000"/>
        <rFont val="Times New Roman"/>
      </rPr>
      <t>我有一个好</t>
    </r>
    <r>
      <rPr>
        <b/>
        <sz val="11"/>
        <color rgb="FF000000"/>
        <rFont val="Times New Roman"/>
      </rPr>
      <t>主意</t>
    </r>
    <r>
      <rPr>
        <sz val="11"/>
        <color rgb="FF000000"/>
        <rFont val="Times New Roman"/>
      </rPr>
      <t>！</t>
    </r>
  </si>
  <si>
    <t>餐</t>
  </si>
  <si>
    <t>&lt;ruby&gt;餐&lt;rt&gt;cān&lt;/rt&gt;&lt;/ruby&gt;</t>
  </si>
  <si>
    <t>cān</t>
  </si>
  <si>
    <t>bữa ăn</t>
  </si>
  <si>
    <r>
      <rPr>
        <sz val="11"/>
        <color rgb="FF000000"/>
        <rFont val="Times New Roman"/>
      </rPr>
      <t>这家餐厅的午</t>
    </r>
    <r>
      <rPr>
        <b/>
        <sz val="11"/>
        <color rgb="FF000000"/>
        <rFont val="Times New Roman"/>
      </rPr>
      <t>餐</t>
    </r>
    <r>
      <rPr>
        <sz val="11"/>
        <color rgb="FF000000"/>
        <rFont val="Times New Roman"/>
      </rPr>
      <t>很好吃。</t>
    </r>
  </si>
  <si>
    <t>Bữa trưa của nhà hàng này rất ngon.</t>
  </si>
  <si>
    <t>H4_B9_BG-32.png</t>
  </si>
  <si>
    <t>B9_32.mp3</t>
  </si>
  <si>
    <t>B9_VD_32.mp3</t>
  </si>
  <si>
    <t>饼干</t>
  </si>
  <si>
    <t>&lt;ruby&gt;饼千&lt;rt&gt;bǐnggān&lt;/rt&gt;&lt;/ruby&gt;</t>
  </si>
  <si>
    <t>bǐnggān</t>
  </si>
  <si>
    <t>bánh quy</t>
  </si>
  <si>
    <r>
      <rPr>
        <sz val="11"/>
        <color theme="1"/>
        <rFont val="Times New Roman"/>
      </rPr>
      <t>我喜欢吃巧克力味的</t>
    </r>
    <r>
      <rPr>
        <b/>
        <sz val="11"/>
        <color theme="1"/>
        <rFont val="Times New Roman"/>
      </rPr>
      <t>饼干</t>
    </r>
    <r>
      <rPr>
        <sz val="11"/>
        <color theme="1"/>
        <rFont val="Times New Roman"/>
      </rPr>
      <t>。</t>
    </r>
  </si>
  <si>
    <t>Tôi thích ăn bánh quy vị sô cô la.</t>
  </si>
  <si>
    <t>H4_B9_BG-33.png</t>
  </si>
  <si>
    <t>B9_33.mp3</t>
  </si>
  <si>
    <t>B9_VD_33.mp3</t>
  </si>
  <si>
    <t>父母</t>
  </si>
  <si>
    <t>&lt;ruby&gt;父母&lt;rt&gt;fùmǔ&lt;/rt&gt;&lt;/ruby&gt;</t>
  </si>
  <si>
    <t>fùmǔ</t>
  </si>
  <si>
    <t>cha mẹ</t>
  </si>
  <si>
    <r>
      <rPr>
        <b/>
        <sz val="11"/>
        <color rgb="FF000000"/>
        <rFont val="Times New Roman"/>
      </rPr>
      <t>父母</t>
    </r>
    <r>
      <rPr>
        <sz val="11"/>
        <color rgb="FF000000"/>
        <rFont val="Times New Roman"/>
      </rPr>
      <t>是世界上最爱我们的人。</t>
    </r>
  </si>
  <si>
    <t>Cha mẹ là những người yêu thương chúng ta nhất trên thế giới.</t>
  </si>
  <si>
    <t>H4_B9_BG-34.png</t>
  </si>
  <si>
    <t>B9_34.mp3</t>
  </si>
  <si>
    <t>B9_VD_34.mp3</t>
  </si>
  <si>
    <r>
      <rPr>
        <sz val="11"/>
        <color theme="1"/>
        <rFont val="Times New Roman"/>
      </rPr>
      <t>我喜欢吃水果，</t>
    </r>
    <r>
      <rPr>
        <b/>
        <sz val="11"/>
        <color theme="1"/>
        <rFont val="Times New Roman"/>
      </rPr>
      <t>比如</t>
    </r>
    <r>
      <rPr>
        <sz val="11"/>
        <color theme="1"/>
        <rFont val="Times New Roman"/>
      </rPr>
      <t>苹果和葡萄。</t>
    </r>
  </si>
  <si>
    <t>不过</t>
  </si>
  <si>
    <t>&lt;ruby&gt;不过&lt;rt&gt;búguò&lt;/rt&gt;&lt;/ruby&gt;</t>
  </si>
  <si>
    <t>búguò</t>
  </si>
  <si>
    <t>nhưng, song</t>
  </si>
  <si>
    <r>
      <rPr>
        <sz val="11"/>
        <color theme="1"/>
        <rFont val="Times New Roman"/>
      </rPr>
      <t>她很努力，</t>
    </r>
    <r>
      <rPr>
        <b/>
        <sz val="11"/>
        <color theme="1"/>
        <rFont val="Times New Roman"/>
      </rPr>
      <t>不过</t>
    </r>
    <r>
      <rPr>
        <sz val="11"/>
        <color theme="1"/>
        <rFont val="Times New Roman"/>
      </rPr>
      <t>成绩一般。</t>
    </r>
  </si>
  <si>
    <t>Cô ấy rất chăm chỉ, nhưng kết quả bình thường.</t>
  </si>
  <si>
    <t>H4_B10_BG-02.png</t>
  </si>
  <si>
    <t>B10_2.mp3</t>
  </si>
  <si>
    <t>B10_VD_2.mp3</t>
  </si>
  <si>
    <t>答案</t>
  </si>
  <si>
    <t>&lt;ruby&gt;答案&lt;rt&gt;Dá'àn&lt;/rt&gt;&lt;/ruby&gt;</t>
  </si>
  <si>
    <t>Dá'àn</t>
  </si>
  <si>
    <t>đáp án, câu trả lời, lời giải</t>
  </si>
  <si>
    <r>
      <rPr>
        <sz val="11"/>
        <color rgb="FF0E0E0E"/>
        <rFont val="Times New Roman"/>
      </rPr>
      <t>她终于找到</t>
    </r>
    <r>
      <rPr>
        <b/>
        <sz val="11"/>
        <color rgb="FF0E0E0E"/>
        <rFont val="Times New Roman"/>
      </rPr>
      <t>答案</t>
    </r>
    <r>
      <rPr>
        <sz val="11"/>
        <color rgb="FF0E0E0E"/>
        <rFont val="Times New Roman"/>
      </rPr>
      <t>了。</t>
    </r>
  </si>
  <si>
    <t>Cuối cùng cô ấy đã tìm được câu trả lời.</t>
  </si>
  <si>
    <t>H4_B10_BG-03.png</t>
  </si>
  <si>
    <t>B10_3.mp3</t>
  </si>
  <si>
    <t>B10_VD_3.mp3</t>
  </si>
  <si>
    <t>vân vân</t>
  </si>
  <si>
    <t>我买了苹果、香蕉等水果。</t>
  </si>
  <si>
    <t>Tôi đã mua táo, chuối, v.v.</t>
  </si>
  <si>
    <t>H4_B10_BG-04.png</t>
  </si>
  <si>
    <t>B10_4.mp3</t>
  </si>
  <si>
    <t>B10_VD_4.mp3</t>
  </si>
  <si>
    <r>
      <rPr>
        <sz val="11"/>
        <color theme="1"/>
        <rFont val="Times New Roman"/>
      </rPr>
      <t>小女孩坐在高柱子上，而小男孩坐在更</t>
    </r>
    <r>
      <rPr>
        <b/>
        <sz val="11"/>
        <color theme="1"/>
        <rFont val="Times New Roman"/>
      </rPr>
      <t>低</t>
    </r>
    <r>
      <rPr>
        <sz val="11"/>
        <color theme="1"/>
        <rFont val="Times New Roman"/>
      </rPr>
      <t>的方块上。</t>
    </r>
  </si>
  <si>
    <r>
      <rPr>
        <sz val="11"/>
        <color rgb="FF000000"/>
        <rFont val="Times New Roman"/>
      </rPr>
      <t>城市</t>
    </r>
    <r>
      <rPr>
        <b/>
        <sz val="11"/>
        <color rgb="FF000000"/>
        <rFont val="Times New Roman"/>
      </rPr>
      <t>发展</t>
    </r>
    <r>
      <rPr>
        <sz val="11"/>
        <color rgb="FF000000"/>
        <rFont val="Times New Roman"/>
      </rPr>
      <t>得很快。</t>
    </r>
  </si>
  <si>
    <t>富</t>
  </si>
  <si>
    <t>&lt;ruby&gt;富&lt;rt&gt;fù&lt;/rt&gt;&lt;/ruby&gt;</t>
  </si>
  <si>
    <t>fù</t>
  </si>
  <si>
    <t>giàu</t>
  </si>
  <si>
    <r>
      <rPr>
        <sz val="11"/>
        <color theme="1"/>
        <rFont val="Times New Roman"/>
      </rPr>
      <t>他家非常</t>
    </r>
    <r>
      <rPr>
        <b/>
        <sz val="11"/>
        <color theme="1"/>
        <rFont val="Times New Roman"/>
      </rPr>
      <t>富</t>
    </r>
    <r>
      <rPr>
        <sz val="11"/>
        <color theme="1"/>
        <rFont val="Times New Roman"/>
      </rPr>
      <t>，有很多钱。</t>
    </r>
  </si>
  <si>
    <t>Gia đình anh ấy rất giàu, có rất nhiều tiền.</t>
  </si>
  <si>
    <t>H4_B10_BG-07.png</t>
  </si>
  <si>
    <t>B10_7.mp3</t>
  </si>
  <si>
    <t>B10_VD_7.mp3</t>
  </si>
  <si>
    <t>穷</t>
  </si>
  <si>
    <t>&lt;ruby&gt;穷&lt;rt&gt;qióng&lt;/rt&gt;&lt;/ruby&gt;</t>
  </si>
  <si>
    <t>qióng</t>
  </si>
  <si>
    <t>nghèo</t>
  </si>
  <si>
    <r>
      <rPr>
        <sz val="11"/>
        <color rgb="FF000000"/>
        <rFont val="Times New Roman"/>
      </rPr>
      <t>虽然他很</t>
    </r>
    <r>
      <rPr>
        <b/>
        <sz val="11"/>
        <color rgb="FF000000"/>
        <rFont val="Times New Roman"/>
      </rPr>
      <t>穷</t>
    </r>
    <r>
      <rPr>
        <sz val="11"/>
        <color rgb="FF000000"/>
        <rFont val="Times New Roman"/>
      </rPr>
      <t>，但他从不抱怨。</t>
    </r>
  </si>
  <si>
    <t>Dù anh ấy rất nghèo, nhưng anh ấy không bao giờ than vãn.</t>
  </si>
  <si>
    <t>H4_B10_BG-08.png</t>
  </si>
  <si>
    <t>B10_8.mp3</t>
  </si>
  <si>
    <t>B10_VD_8.mp3</t>
  </si>
  <si>
    <t>永远</t>
  </si>
  <si>
    <t>&lt;ruby&gt;永远&lt;rt&gt;yǒngyuăn&lt;/rt&gt;&lt;/ruby&gt;</t>
  </si>
  <si>
    <t>yǒngyuăn</t>
  </si>
  <si>
    <t>vĩnh viễn, mãi mãi</t>
  </si>
  <si>
    <r>
      <rPr>
        <sz val="11"/>
        <color theme="1"/>
        <rFont val="Times New Roman"/>
      </rPr>
      <t>我们的友谊会</t>
    </r>
    <r>
      <rPr>
        <b/>
        <sz val="11"/>
        <color theme="1"/>
        <rFont val="Times New Roman"/>
      </rPr>
      <t>永远</t>
    </r>
    <r>
      <rPr>
        <sz val="11"/>
        <color theme="1"/>
        <rFont val="Times New Roman"/>
      </rPr>
      <t>存在。</t>
    </r>
  </si>
  <si>
    <t>Tình bạn của chúng ta sẽ mãi mãi tồn tại.</t>
  </si>
  <si>
    <t>H4_B10_BG-09.png</t>
  </si>
  <si>
    <t>B10_9.mp3</t>
  </si>
  <si>
    <t>B10_VD_9.mp3</t>
  </si>
  <si>
    <t>由于</t>
  </si>
  <si>
    <t>&lt;ruby&gt;由于&lt;rt&gt;yóuyú&lt;/rt&gt;&lt;/ruby&gt;</t>
  </si>
  <si>
    <t>yóuyú</t>
  </si>
  <si>
    <t>vì, bởi vì</t>
  </si>
  <si>
    <r>
      <rPr>
        <b/>
        <sz val="11"/>
        <color theme="1"/>
        <rFont val="Times New Roman"/>
      </rPr>
      <t>由于</t>
    </r>
    <r>
      <rPr>
        <sz val="11"/>
        <color theme="1"/>
        <rFont val="Times New Roman"/>
      </rPr>
      <t>天气不好，我们没去公园。</t>
    </r>
  </si>
  <si>
    <t>Vì thời tiết không tốt, chúng tôi không đi công viên.</t>
  </si>
  <si>
    <t>H4_B10_BG-10.png</t>
  </si>
  <si>
    <t>B10_10.mp3</t>
  </si>
  <si>
    <t>B10_VD_10.mp3</t>
  </si>
  <si>
    <t>职业</t>
  </si>
  <si>
    <t>&lt;ruby&gt;职业&lt;rt&gt;zhíyè&lt;/rt&gt;&lt;/ruby&gt;</t>
  </si>
  <si>
    <t>zhíyè</t>
  </si>
  <si>
    <t>nghề nghiệp</t>
  </si>
  <si>
    <r>
      <rPr>
        <sz val="11"/>
        <color theme="1"/>
        <rFont val="Times New Roman"/>
      </rPr>
      <t>她的</t>
    </r>
    <r>
      <rPr>
        <b/>
        <sz val="11"/>
        <color theme="1"/>
        <rFont val="Times New Roman"/>
      </rPr>
      <t>职业</t>
    </r>
    <r>
      <rPr>
        <sz val="11"/>
        <color theme="1"/>
        <rFont val="Times New Roman"/>
      </rPr>
      <t>是老师。</t>
    </r>
  </si>
  <si>
    <t>Nghề nghiệp của cô ấy là giáo viên.</t>
  </si>
  <si>
    <t>H4_B10_BG-11.png</t>
  </si>
  <si>
    <t>B10_11.mp3</t>
  </si>
  <si>
    <t>B10_VD_11.mp3</t>
  </si>
  <si>
    <t>翻译</t>
  </si>
  <si>
    <t>&lt;ruby&gt;翻译&lt;rt&gt;fānyì&lt;/rt&gt;&lt;/ruby&gt;</t>
  </si>
  <si>
    <t>fānyì</t>
  </si>
  <si>
    <t>phiên dịch viên</t>
  </si>
  <si>
    <r>
      <rPr>
        <sz val="11"/>
        <color rgb="FF000000"/>
        <rFont val="Times New Roman"/>
      </rPr>
      <t>她的职业是</t>
    </r>
    <r>
      <rPr>
        <b/>
        <sz val="11"/>
        <color rgb="FF000000"/>
        <rFont val="Times New Roman"/>
      </rPr>
      <t>翻译</t>
    </r>
    <r>
      <rPr>
        <sz val="11"/>
        <color rgb="FF000000"/>
        <rFont val="Times New Roman"/>
      </rPr>
      <t>。</t>
    </r>
  </si>
  <si>
    <t>Nghề nghiệp của cô ấy là phiên dịch viên.</t>
  </si>
  <si>
    <t>H4_B10_BG-12.png</t>
  </si>
  <si>
    <t>B10_12.mp3</t>
  </si>
  <si>
    <t>B10_VD_12.mp3</t>
  </si>
  <si>
    <t>硕士</t>
  </si>
  <si>
    <t>&lt;ruby&gt;硕士&lt;rt&gt;shuòshì&lt;/rt&gt;&lt;/ruby&gt;</t>
  </si>
  <si>
    <t>shuòshì</t>
  </si>
  <si>
    <t>thạc sĩ</t>
  </si>
  <si>
    <r>
      <rPr>
        <sz val="11"/>
        <color theme="1"/>
        <rFont val="Times New Roman"/>
      </rPr>
      <t>他毕业后拿到了</t>
    </r>
    <r>
      <rPr>
        <b/>
        <sz val="11"/>
        <color theme="1"/>
        <rFont val="Times New Roman"/>
      </rPr>
      <t>硕士</t>
    </r>
    <r>
      <rPr>
        <sz val="11"/>
        <color theme="1"/>
        <rFont val="Times New Roman"/>
      </rPr>
      <t>学位。</t>
    </r>
  </si>
  <si>
    <t>Sau khi tốt nghiệp, anh ấy đã nhận bằng thạc sĩ.</t>
  </si>
  <si>
    <t>H4_B10_BG-13.png</t>
  </si>
  <si>
    <t>B10_13.mp3</t>
  </si>
  <si>
    <t>B10_VD_13.mp3</t>
  </si>
  <si>
    <t>优秀</t>
  </si>
  <si>
    <t>&lt;ruby&gt;优秀&lt;rt&gt;yōuxiù&lt;/rt&gt;&lt;/ruby&gt;</t>
  </si>
  <si>
    <t>yōuxiù</t>
  </si>
  <si>
    <t>xuất sắc, ưu tú</t>
  </si>
  <si>
    <r>
      <rPr>
        <sz val="11"/>
        <color theme="1"/>
        <rFont val="Times New Roman"/>
      </rPr>
      <t>他是一个非常</t>
    </r>
    <r>
      <rPr>
        <b/>
        <sz val="11"/>
        <color theme="1"/>
        <rFont val="Times New Roman"/>
      </rPr>
      <t>优秀</t>
    </r>
    <r>
      <rPr>
        <sz val="11"/>
        <color theme="1"/>
        <rFont val="Times New Roman"/>
      </rPr>
      <t>的学生。</t>
    </r>
  </si>
  <si>
    <t>Anh ấy là một sinh viên rất xuất sắc.</t>
  </si>
  <si>
    <t>H4_B10_BG-14.png</t>
  </si>
  <si>
    <t>B10_14.mp3</t>
  </si>
  <si>
    <t>B10_VD_14.mp3</t>
  </si>
  <si>
    <r>
      <rPr>
        <sz val="11"/>
        <color theme="1"/>
        <rFont val="Times New Roman"/>
      </rPr>
      <t>我迷路了，不知道</t>
    </r>
    <r>
      <rPr>
        <b/>
        <sz val="11"/>
        <color theme="1"/>
        <rFont val="Times New Roman"/>
      </rPr>
      <t>方向</t>
    </r>
    <r>
      <rPr>
        <sz val="11"/>
        <color theme="1"/>
        <rFont val="Times New Roman"/>
      </rPr>
      <t>在哪里。</t>
    </r>
  </si>
  <si>
    <t>关键</t>
  </si>
  <si>
    <t>&lt;ruby&gt;关键&lt;rt&gt;guānjiàn&lt;/rt&gt;&lt;/ruby&gt;</t>
  </si>
  <si>
    <t>guānjiàn</t>
  </si>
  <si>
    <t>điều quan trọng, điểm mấu chốt</t>
  </si>
  <si>
    <r>
      <rPr>
        <sz val="11"/>
        <color rgb="FF000000"/>
        <rFont val="Times New Roman"/>
      </rPr>
      <t>学习汉语的</t>
    </r>
    <r>
      <rPr>
        <b/>
        <sz val="11"/>
        <color rgb="FF000000"/>
        <rFont val="Times New Roman"/>
      </rPr>
      <t>关键</t>
    </r>
    <r>
      <rPr>
        <sz val="11"/>
        <color rgb="FF000000"/>
        <rFont val="Times New Roman"/>
      </rPr>
      <t>是多练习。</t>
    </r>
  </si>
  <si>
    <t>Điểm mấu chốt để học tiếng Trung là luyện tập thật nhiều.</t>
  </si>
  <si>
    <t>H4_B10_BG-16.png</t>
  </si>
  <si>
    <t>B10_16.mp3</t>
  </si>
  <si>
    <t>B10_VD_16.mp3</t>
  </si>
  <si>
    <t>建议</t>
  </si>
  <si>
    <t>&lt;ruby&gt;建议&lt;rt&gt;jiànyi&lt;/rt&gt;&lt;/ruby&gt;</t>
  </si>
  <si>
    <t>jiànyi</t>
  </si>
  <si>
    <t>kiến nghị, sự đề nghị</t>
  </si>
  <si>
    <t>他有一个建议，希望老师能考虑一下。</t>
  </si>
  <si>
    <t>Anh ấy có một đề nghị, hy vọng giáo viên có thể xem xét.</t>
  </si>
  <si>
    <t>H4_B10_BG-17.png</t>
  </si>
  <si>
    <t>B10_17.mp3</t>
  </si>
  <si>
    <t>B10_VD_17.mp3</t>
  </si>
  <si>
    <t>将来</t>
  </si>
  <si>
    <t>&lt;ruby&gt;将来&lt;rt&gt;jiānglái&lt;/rt&gt;&lt;/ruby&gt;</t>
  </si>
  <si>
    <t>jiānglái</t>
  </si>
  <si>
    <t>tương lai</t>
  </si>
  <si>
    <r>
      <rPr>
        <b/>
        <sz val="11"/>
        <color rgb="FF000000"/>
        <rFont val="Times New Roman"/>
      </rPr>
      <t>将来</t>
    </r>
    <r>
      <rPr>
        <sz val="11"/>
        <color rgb="FF000000"/>
        <rFont val="Times New Roman"/>
      </rPr>
      <t>他要当医生。</t>
    </r>
  </si>
  <si>
    <t>Tương lai anh ấy muốn làm bác sĩ.</t>
  </si>
  <si>
    <t>H4_B10_BG-18.png</t>
  </si>
  <si>
    <t>B10_18.mp3</t>
  </si>
  <si>
    <t>B10_VD_18.mp3</t>
  </si>
  <si>
    <t>条件</t>
  </si>
  <si>
    <t>&lt;ruby&gt;条件&lt;rt&gt;tiáojiàn&lt;/rt&gt;&lt;/ruby&gt;</t>
  </si>
  <si>
    <t>tiáojiàn</t>
  </si>
  <si>
    <t>điều kiện</t>
  </si>
  <si>
    <r>
      <rPr>
        <sz val="11"/>
        <color rgb="FF000000"/>
        <rFont val="Times New Roman"/>
      </rPr>
      <t>他工作的</t>
    </r>
    <r>
      <rPr>
        <b/>
        <sz val="11"/>
        <color rgb="FF000000"/>
        <rFont val="Times New Roman"/>
      </rPr>
      <t>条件</t>
    </r>
    <r>
      <rPr>
        <sz val="11"/>
        <color rgb="FF000000"/>
        <rFont val="Times New Roman"/>
      </rPr>
      <t>很好。</t>
    </r>
  </si>
  <si>
    <t>Anh ấy có điều kiện làm việc rất tốt.</t>
  </si>
  <si>
    <t>H4_B10_BG-19.png</t>
  </si>
  <si>
    <t>B10_19.mp3</t>
  </si>
  <si>
    <t>B10_VD_19.mp3</t>
  </si>
  <si>
    <t>经济</t>
  </si>
  <si>
    <t>&lt;ruby&gt;经济&lt;rt&gt;Jīngjì&lt;/rt&gt;&lt;/ruby&gt;</t>
  </si>
  <si>
    <t>Jīngjì</t>
  </si>
  <si>
    <t>kinh tế</t>
  </si>
  <si>
    <r>
      <rPr>
        <b/>
        <sz val="11"/>
        <color rgb="FF000000"/>
        <rFont val="Times New Roman"/>
      </rPr>
      <t>经济</t>
    </r>
    <r>
      <rPr>
        <sz val="11"/>
        <color rgb="FF000000"/>
        <rFont val="Times New Roman"/>
      </rPr>
      <t>发展让人们生活更好。</t>
    </r>
  </si>
  <si>
    <t>Sự phát triển của kinh tế giúp cong người có cuộc sống tốt hơn.</t>
  </si>
  <si>
    <t>H4_B10_BG-20.png</t>
  </si>
  <si>
    <t>B10_20.mp3</t>
  </si>
  <si>
    <t>B10_VD_20.mp3</t>
  </si>
  <si>
    <t>空儿</t>
  </si>
  <si>
    <t>&lt;ruby&gt;空儿&lt;rt&gt;kòngr&lt;/rt&gt;&lt;/ruby&gt;</t>
  </si>
  <si>
    <t>kòngr</t>
  </si>
  <si>
    <t>thời gian rảnh</t>
  </si>
  <si>
    <r>
      <rPr>
        <sz val="11"/>
        <color theme="1"/>
        <rFont val="Times New Roman"/>
      </rPr>
      <t>每天下班后，我都会利用</t>
    </r>
    <r>
      <rPr>
        <b/>
        <sz val="11"/>
        <color theme="1"/>
        <rFont val="Times New Roman"/>
      </rPr>
      <t>空儿</t>
    </r>
    <r>
      <rPr>
        <sz val="11"/>
        <color theme="1"/>
        <rFont val="Times New Roman"/>
      </rPr>
      <t>练习冥想。</t>
    </r>
  </si>
  <si>
    <t>Mỗi ngày sau giờ làm, tôi đều dành thời gian rảnh để tập thiền.</t>
  </si>
  <si>
    <t>H4_B10_BG-21.png</t>
  </si>
  <si>
    <t>B10_21.mp3</t>
  </si>
  <si>
    <t>B10_VD_21.mp3</t>
  </si>
  <si>
    <t>困</t>
  </si>
  <si>
    <t>&lt;ruby&gt;困&lt;rt&gt;kùn&lt;/rt&gt;&lt;/ruby&gt;</t>
  </si>
  <si>
    <t>kùn</t>
  </si>
  <si>
    <t>buồn ngủ</t>
  </si>
  <si>
    <r>
      <rPr>
        <sz val="11"/>
        <color rgb="FF000000"/>
        <rFont val="Times New Roman"/>
      </rPr>
      <t>昨天晚上她睡得很晚，现在很</t>
    </r>
    <r>
      <rPr>
        <b/>
        <sz val="11"/>
        <color rgb="FF000000"/>
        <rFont val="Times New Roman"/>
      </rPr>
      <t>困</t>
    </r>
    <r>
      <rPr>
        <sz val="11"/>
        <color rgb="FF000000"/>
        <rFont val="Times New Roman"/>
      </rPr>
      <t>。</t>
    </r>
  </si>
  <si>
    <t>Tối qua tôi ngủ rất muộn, bây giờ rất buồn ngủ.</t>
  </si>
  <si>
    <t>H4_B10_BG-22.png</t>
  </si>
  <si>
    <t>B10_22.mp3</t>
  </si>
  <si>
    <t>B10_VD_22.mp3</t>
  </si>
  <si>
    <t>躺</t>
  </si>
  <si>
    <t>&lt;ruby&gt;躺&lt;rt&gt;tǎng&lt;/rt&gt;&lt;/ruby&gt;</t>
  </si>
  <si>
    <t>tǎng</t>
  </si>
  <si>
    <t>nằm</t>
  </si>
  <si>
    <r>
      <rPr>
        <sz val="11"/>
        <color rgb="FF000000"/>
        <rFont val="Times New Roman"/>
      </rPr>
      <t>她喜欢</t>
    </r>
    <r>
      <rPr>
        <b/>
        <sz val="11"/>
        <color rgb="FF000000"/>
        <rFont val="Times New Roman"/>
      </rPr>
      <t>躺</t>
    </r>
    <r>
      <rPr>
        <sz val="11"/>
        <color rgb="FF000000"/>
        <rFont val="Times New Roman"/>
      </rPr>
      <t>在床上看书。</t>
    </r>
  </si>
  <si>
    <t>Cô ấy thích nằm trên giường đọc sách.</t>
  </si>
  <si>
    <t>H4_B10_BG-23.png</t>
  </si>
  <si>
    <t>B10_23.mp3</t>
  </si>
  <si>
    <t>B10_VD_23.mp3</t>
  </si>
  <si>
    <t>拉</t>
  </si>
  <si>
    <t>&lt;ruby&gt;拉&lt;rt&gt;lā&lt;/rt&gt;&lt;/ruby&gt;</t>
  </si>
  <si>
    <t>lā</t>
  </si>
  <si>
    <t>kéo, lôi, dắt</t>
  </si>
  <si>
    <r>
      <rPr>
        <sz val="11"/>
        <color rgb="FF000000"/>
        <rFont val="Times New Roman"/>
      </rPr>
      <t>他</t>
    </r>
    <r>
      <rPr>
        <b/>
        <sz val="11"/>
        <color rgb="FF000000"/>
        <rFont val="Times New Roman"/>
      </rPr>
      <t>拉</t>
    </r>
    <r>
      <rPr>
        <sz val="11"/>
        <color rgb="FF000000"/>
        <rFont val="Times New Roman"/>
      </rPr>
      <t>着狗的项链，准备带它去打猎。</t>
    </r>
  </si>
  <si>
    <t>Anh ấy dắt dây cổ của con chó, chuẩn bị dẫn nó đi săn.</t>
  </si>
  <si>
    <t>H4_B10_BG-24.png</t>
  </si>
  <si>
    <t>B10_24.mp3</t>
  </si>
  <si>
    <t>B10_VD_24.mp3</t>
  </si>
  <si>
    <t>礼拜天</t>
  </si>
  <si>
    <t>&lt;ruby&gt;礼拜天&lt;rt&gt;Lǐbài tiān&lt;/rt&gt;&lt;/ruby&gt;</t>
  </si>
  <si>
    <t>Lǐbài tiān</t>
  </si>
  <si>
    <t>chủ nhật</t>
  </si>
  <si>
    <r>
      <rPr>
        <b/>
        <sz val="11"/>
        <color theme="1"/>
        <rFont val="Times New Roman"/>
      </rPr>
      <t>礼拜天</t>
    </r>
    <r>
      <rPr>
        <sz val="11"/>
        <color theme="1"/>
        <rFont val="Times New Roman"/>
      </rPr>
      <t>我们一起去公园吧！</t>
    </r>
  </si>
  <si>
    <t>Chủ nhật chúng ta cùng đi công viên nhé!</t>
  </si>
  <si>
    <t>H4_B10_BG-25.png</t>
  </si>
  <si>
    <t>B10_25.mp3</t>
  </si>
  <si>
    <t>B10_VD_25.mp3</t>
  </si>
  <si>
    <t>母亲</t>
  </si>
  <si>
    <t>&lt;ruby&gt;母亲&lt;rt&gt;mŭqīn&lt;/rt&gt;&lt;/ruby&gt;</t>
  </si>
  <si>
    <t>mŭqīn</t>
  </si>
  <si>
    <t>mẹ</t>
  </si>
  <si>
    <r>
      <rPr>
        <b/>
        <sz val="11"/>
        <color theme="1"/>
        <rFont val="Times New Roman"/>
      </rPr>
      <t>母亲</t>
    </r>
    <r>
      <rPr>
        <sz val="11"/>
        <color theme="1"/>
        <rFont val="Times New Roman"/>
      </rPr>
      <t>的爱是世界上最伟大的。</t>
    </r>
  </si>
  <si>
    <t>Tình yêu của mẹ là điều vĩ đại nhất trên thế giới.</t>
  </si>
  <si>
    <t>H4_B10_BG-26.png</t>
  </si>
  <si>
    <t>B10_26.mp3</t>
  </si>
  <si>
    <t>B10_VD_26.mp3</t>
  </si>
  <si>
    <t>确实</t>
  </si>
  <si>
    <t>&lt;ruby&gt;确实&lt;rt&gt;quèshí&lt;/rt&gt;&lt;/ruby&gt;</t>
  </si>
  <si>
    <t>quèshí</t>
  </si>
  <si>
    <t>thực sự</t>
  </si>
  <si>
    <r>
      <rPr>
        <sz val="11"/>
        <color theme="1"/>
        <rFont val="Times New Roman"/>
      </rPr>
      <t>这道菜</t>
    </r>
    <r>
      <rPr>
        <b/>
        <sz val="11"/>
        <color theme="1"/>
        <rFont val="Times New Roman"/>
      </rPr>
      <t>确实</t>
    </r>
    <r>
      <rPr>
        <sz val="11"/>
        <color theme="1"/>
        <rFont val="Times New Roman"/>
      </rPr>
      <t>很好吃。</t>
    </r>
  </si>
  <si>
    <t>Món ăn này thật sự rất ngon.</t>
  </si>
  <si>
    <t>H4_B10_BG-27.png</t>
  </si>
  <si>
    <t>B10_27.mp3</t>
  </si>
  <si>
    <t>B10_VD_27.mp3</t>
  </si>
  <si>
    <t>糖</t>
  </si>
  <si>
    <t>&lt;ruby&gt;糖&lt;rt&gt;táng&lt;/rt&gt;&lt;/ruby&gt;</t>
  </si>
  <si>
    <t>táng</t>
  </si>
  <si>
    <t>kẹo, đường</t>
  </si>
  <si>
    <r>
      <rPr>
        <sz val="11"/>
        <color rgb="FF000000"/>
        <rFont val="Times New Roman"/>
      </rPr>
      <t>小孩子都喜欢吃</t>
    </r>
    <r>
      <rPr>
        <b/>
        <sz val="11"/>
        <color rgb="FF000000"/>
        <rFont val="Times New Roman"/>
      </rPr>
      <t>糖</t>
    </r>
    <r>
      <rPr>
        <sz val="11"/>
        <color rgb="FF000000"/>
        <rFont val="Times New Roman"/>
      </rPr>
      <t>。</t>
    </r>
  </si>
  <si>
    <t>Trẻ con đều thích ăn kẹo.</t>
  </si>
  <si>
    <t>H4_B10_BG-28.png</t>
  </si>
  <si>
    <t>B10_28.mp3</t>
  </si>
  <si>
    <t>B10_VD_28.mp3</t>
  </si>
  <si>
    <t>兴奋</t>
  </si>
  <si>
    <t>&lt;ruby&gt;兴奋&lt;rt&gt;xīngfèn&lt;/rt&gt;&lt;/ruby&gt;</t>
  </si>
  <si>
    <t>xīngfèn</t>
  </si>
  <si>
    <t>hăng hái, phấn khởi</t>
  </si>
  <si>
    <r>
      <rPr>
        <sz val="11"/>
        <color theme="1"/>
        <rFont val="Times New Roman"/>
      </rPr>
      <t>听到这个好消息，她非常</t>
    </r>
    <r>
      <rPr>
        <b/>
        <sz val="11"/>
        <color theme="1"/>
        <rFont val="Times New Roman"/>
      </rPr>
      <t>兴奋</t>
    </r>
    <r>
      <rPr>
        <sz val="11"/>
        <color theme="1"/>
        <rFont val="Times New Roman"/>
      </rPr>
      <t>。</t>
    </r>
  </si>
  <si>
    <t>Nghe tin tốt này, cô ấy rất phấn khởi.</t>
  </si>
  <si>
    <t>H4_B10_BG-29.png</t>
  </si>
  <si>
    <t>B10_29.mp3</t>
  </si>
  <si>
    <t>B10_VD_29.mp3</t>
  </si>
  <si>
    <t>橡皮</t>
  </si>
  <si>
    <t>&lt;ruby&gt;橡皮&lt;rt&gt;xiàngpí&lt;/rt&gt;&lt;/ruby&gt;</t>
  </si>
  <si>
    <t>xiàngpí</t>
  </si>
  <si>
    <t>(cục) gôm, tẩy</t>
  </si>
  <si>
    <r>
      <rPr>
        <sz val="11"/>
        <color theme="1"/>
        <rFont val="Times New Roman"/>
      </rPr>
      <t>我的</t>
    </r>
    <r>
      <rPr>
        <b/>
        <sz val="11"/>
        <color theme="1"/>
        <rFont val="Times New Roman"/>
      </rPr>
      <t>橡皮</t>
    </r>
    <r>
      <rPr>
        <sz val="11"/>
        <color theme="1"/>
        <rFont val="Times New Roman"/>
      </rPr>
      <t>丢了，能借我一下吗？</t>
    </r>
  </si>
  <si>
    <t>Cục tẩy của tôi bị mất rồi, bạn có thể cho tôi mượn không?</t>
  </si>
  <si>
    <t>H4_B10_BG-30.png</t>
  </si>
  <si>
    <t>B10_30.mp3</t>
  </si>
  <si>
    <t>B10_VD_30.mp3</t>
  </si>
  <si>
    <t>厉害</t>
  </si>
  <si>
    <t>&lt;ruby&gt;厉害&lt;rt&gt;lìhai&lt;/rt&gt;&lt;/ruby&gt;</t>
  </si>
  <si>
    <t>lìhai</t>
  </si>
  <si>
    <t>lợi hại</t>
  </si>
  <si>
    <r>
      <rPr>
        <sz val="11"/>
        <color rgb="FF000000"/>
        <rFont val="Times New Roman"/>
      </rPr>
      <t>他的厨艺很</t>
    </r>
    <r>
      <rPr>
        <b/>
        <sz val="11"/>
        <color rgb="FF000000"/>
        <rFont val="Times New Roman"/>
      </rPr>
      <t>厉害</t>
    </r>
    <r>
      <rPr>
        <sz val="11"/>
        <color rgb="FF000000"/>
        <rFont val="Times New Roman"/>
      </rPr>
      <t>。</t>
    </r>
  </si>
  <si>
    <t>kỹ năng nấu ăn của anh ấy rất lợi hại</t>
  </si>
  <si>
    <t>H4_B11_BG-01.png</t>
  </si>
  <si>
    <t>B11_1.mp3</t>
  </si>
  <si>
    <t>B11_VD_1.mp3</t>
  </si>
  <si>
    <t>连</t>
  </si>
  <si>
    <t>&lt;ruby&gt;连&lt;rt&gt;lián&lt;/rt&gt;&lt;/ruby&gt;</t>
  </si>
  <si>
    <t>lián</t>
  </si>
  <si>
    <t>ngay cả</t>
  </si>
  <si>
    <r>
      <rPr>
        <b/>
        <sz val="11"/>
        <color rgb="FF000000"/>
        <rFont val="Times New Roman"/>
      </rPr>
      <t>连</t>
    </r>
    <r>
      <rPr>
        <sz val="11"/>
        <color rgb="FF000000"/>
        <rFont val="Times New Roman"/>
      </rPr>
      <t>我都觉得很不好意思。</t>
    </r>
  </si>
  <si>
    <t>Đến cả tôi cũng cảm thấy rất ngại.</t>
  </si>
  <si>
    <t>H4_B11_BG-02.png</t>
  </si>
  <si>
    <t>B11_2.mp3</t>
  </si>
  <si>
    <t>B11_VD_2.mp3</t>
  </si>
  <si>
    <t>来得及</t>
  </si>
  <si>
    <t>&lt;ruby&gt;来得及&lt;rt&gt;láidejí&lt;/rt&gt;&lt;/ruby&gt;</t>
  </si>
  <si>
    <t>láidejí</t>
  </si>
  <si>
    <t>kịp, còn kịp</t>
  </si>
  <si>
    <r>
      <rPr>
        <sz val="11"/>
        <color rgb="FF000000"/>
        <rFont val="Times New Roman"/>
      </rPr>
      <t>我得快点送货，才能</t>
    </r>
    <r>
      <rPr>
        <b/>
        <sz val="11"/>
        <color rgb="FF000000"/>
        <rFont val="Times New Roman"/>
      </rPr>
      <t>来得及</t>
    </r>
    <r>
      <rPr>
        <sz val="11"/>
        <color rgb="FF000000"/>
        <rFont val="Times New Roman"/>
      </rPr>
      <t>。</t>
    </r>
  </si>
  <si>
    <t>tôi phải đi giao hàng thật nhanh để kịp thời gian</t>
  </si>
  <si>
    <t>H4_B11_BG-03.png</t>
  </si>
  <si>
    <t>B11_3.mp3</t>
  </si>
  <si>
    <t>B11_VD_3.mp3</t>
  </si>
  <si>
    <t>复杂</t>
  </si>
  <si>
    <t>&lt;ruby&gt;复杂&lt;rt&gt;fùzá&lt;/rt&gt;&lt;/ruby&gt;</t>
  </si>
  <si>
    <t>fùzá</t>
  </si>
  <si>
    <t>phức tạp, rắc rối</t>
  </si>
  <si>
    <r>
      <rPr>
        <b/>
        <sz val="11"/>
        <color rgb="FF000000"/>
        <rFont val="Times New Roman"/>
      </rPr>
      <t>复杂</t>
    </r>
    <r>
      <rPr>
        <sz val="11"/>
        <color rgb="FF000000"/>
        <rFont val="Times New Roman"/>
      </rPr>
      <t>的设计花费了很多时间。</t>
    </r>
  </si>
  <si>
    <t>Thiết kế phức tạp tốn rất nhiều thời gian.</t>
  </si>
  <si>
    <t>H4_B11_BG-04.png</t>
  </si>
  <si>
    <t>B11_4.mp3</t>
  </si>
  <si>
    <t>B11_VD_4.mp3</t>
  </si>
  <si>
    <t>只好</t>
  </si>
  <si>
    <t>&lt;ruby&gt;只好&lt;rt&gt;zhǐhǎo&lt;/rt&gt;&lt;/ruby&gt;</t>
  </si>
  <si>
    <t>zhǐhǎo</t>
  </si>
  <si>
    <t>đành phải, buộc phải</t>
  </si>
  <si>
    <r>
      <rPr>
        <sz val="11"/>
        <color rgb="FF000000"/>
        <rFont val="Times New Roman"/>
      </rPr>
      <t>我</t>
    </r>
    <r>
      <rPr>
        <b/>
        <sz val="11"/>
        <color rgb="FF000000"/>
        <rFont val="Times New Roman"/>
      </rPr>
      <t>只好</t>
    </r>
    <r>
      <rPr>
        <sz val="11"/>
        <color rgb="FF000000"/>
        <rFont val="Times New Roman"/>
      </rPr>
      <t>为了健康戒烟。</t>
    </r>
  </si>
  <si>
    <t>tôi chỉ có thể bỏ thuốc vì sức khỏe của mình</t>
  </si>
  <si>
    <t>H4_B11_BG-05.png</t>
  </si>
  <si>
    <t>B11_5.mp3</t>
  </si>
  <si>
    <t>B11_VD_5.mp3</t>
  </si>
  <si>
    <t>否则</t>
  </si>
  <si>
    <t>&lt;ruby&gt;否则&lt;rt&gt;fǒuzé&lt;/rt&gt;&lt;/ruby&gt;</t>
  </si>
  <si>
    <t>fǒuzé</t>
  </si>
  <si>
    <t>nếu không thì, bằng không</t>
  </si>
  <si>
    <r>
      <rPr>
        <sz val="11"/>
        <color rgb="FF000000"/>
        <rFont val="Times New Roman"/>
      </rPr>
      <t>我必须减肥，</t>
    </r>
    <r>
      <rPr>
        <b/>
        <sz val="11"/>
        <color rgb="FF000000"/>
        <rFont val="Times New Roman"/>
      </rPr>
      <t>否则</t>
    </r>
    <r>
      <rPr>
        <sz val="11"/>
        <color rgb="FF000000"/>
        <rFont val="Times New Roman"/>
      </rPr>
      <t>会得肥胖症。</t>
    </r>
  </si>
  <si>
    <t>tôi phải giảm cân nếu không thì tôi sẽ béo phì</t>
  </si>
  <si>
    <t>H4_B11_BG-06.png</t>
  </si>
  <si>
    <t>B11_6.mp3</t>
  </si>
  <si>
    <t>B11_VD_6.mp3</t>
  </si>
  <si>
    <t>无论</t>
  </si>
  <si>
    <t>&lt;ruby&gt;无论&lt;rt&gt;wúlùn&lt;/rt&gt;&lt;/ruby&gt;</t>
  </si>
  <si>
    <t>wúlùn</t>
  </si>
  <si>
    <t>bất kể</t>
  </si>
  <si>
    <r>
      <rPr>
        <b/>
        <sz val="11"/>
        <color rgb="FF000000"/>
        <rFont val="Times New Roman"/>
      </rPr>
      <t>无论</t>
    </r>
    <r>
      <rPr>
        <sz val="11"/>
        <color rgb="FF000000"/>
        <rFont val="Times New Roman"/>
      </rPr>
      <t>付出多大代价，都要保护环境。</t>
    </r>
  </si>
  <si>
    <t>hãy bảo vệ môi trường bằng bất kể giá nào</t>
  </si>
  <si>
    <t>H4_B11_BG-07.png</t>
  </si>
  <si>
    <t>B11_7.mp3</t>
  </si>
  <si>
    <t>B11_VD_7.mp3</t>
  </si>
  <si>
    <t>然而</t>
  </si>
  <si>
    <t>&lt;ruby&gt;然而&lt;rt&gt;ránér&lt;/rt&gt;&lt;/ruby&gt;</t>
  </si>
  <si>
    <t>ránér</t>
  </si>
  <si>
    <r>
      <rPr>
        <sz val="10"/>
        <color rgb="FF0E0E0E"/>
        <rFont val="Arial"/>
      </rPr>
      <t>我很想去旅行，</t>
    </r>
    <r>
      <rPr>
        <b/>
        <sz val="10"/>
        <color rgb="FF0E0E0E"/>
        <rFont val="Arial"/>
      </rPr>
      <t>然而</t>
    </r>
    <r>
      <rPr>
        <sz val="10"/>
        <color rgb="FF0E0E0E"/>
        <rFont val="Arial"/>
      </rPr>
      <t>没有时间。</t>
    </r>
  </si>
  <si>
    <t>Tôi rất muốn đi du lịch, nhưng không có thời gian.</t>
  </si>
  <si>
    <t>H4_B11_BG-08.png</t>
  </si>
  <si>
    <t>B11_8.mp3</t>
  </si>
  <si>
    <t>B11_VD_8.mp3</t>
  </si>
  <si>
    <t>同时</t>
  </si>
  <si>
    <t>&lt;ruby&gt;同时&lt;rt&gt;tóngshí&lt;/rt&gt;&lt;/ruby&gt;</t>
  </si>
  <si>
    <t>tóngshí</t>
  </si>
  <si>
    <t>đồng thời, hơn nữa</t>
  </si>
  <si>
    <r>
      <rPr>
        <sz val="11"/>
        <color rgb="FF000000"/>
        <rFont val="Times New Roman"/>
      </rPr>
      <t>我很喜欢游泳，</t>
    </r>
    <r>
      <rPr>
        <b/>
        <sz val="11"/>
        <color rgb="FF000000"/>
        <rFont val="Times New Roman"/>
      </rPr>
      <t>同时</t>
    </r>
    <r>
      <rPr>
        <sz val="11"/>
        <color rgb="FF000000"/>
        <rFont val="Times New Roman"/>
      </rPr>
      <t>也喜欢骑自行车。</t>
    </r>
  </si>
  <si>
    <t>tôi rất thích bơi lội đồng thời cũng rất thích đạp xe</t>
  </si>
  <si>
    <t>H4_B11_BG-09.png</t>
  </si>
  <si>
    <t>B11_9.mp3</t>
  </si>
  <si>
    <t>B11_VD_9.mp3</t>
  </si>
  <si>
    <t>之</t>
  </si>
  <si>
    <t>&lt;ruby&gt;之&lt;rt&gt;zhī&lt;/rt&gt;&lt;/ruby&gt;</t>
  </si>
  <si>
    <t>được dùng để nối từ bổ nghĩa và từ được bổ nghĩa</t>
  </si>
  <si>
    <r>
      <rPr>
        <sz val="10"/>
        <color rgb="FF0E0E0E"/>
        <rFont val="Arial"/>
      </rPr>
      <t>老虎是森林</t>
    </r>
    <r>
      <rPr>
        <b/>
        <sz val="10"/>
        <color rgb="FF0E0E0E"/>
        <rFont val="Arial"/>
      </rPr>
      <t>之</t>
    </r>
    <r>
      <rPr>
        <sz val="10"/>
        <color rgb="FF0E0E0E"/>
        <rFont val="Arial"/>
      </rPr>
      <t>王。</t>
    </r>
  </si>
  <si>
    <t>Hổ là chúa sơn lâm.</t>
  </si>
  <si>
    <t>H4_B11_BG-10.png</t>
  </si>
  <si>
    <t>B11_10.mp3</t>
  </si>
  <si>
    <t>B11_VD_10.mp3</t>
  </si>
  <si>
    <t>内容</t>
  </si>
  <si>
    <t>&lt;ruby&gt;内容&lt;rt&gt;nèiróng&lt;/rt&gt;&lt;/ruby&gt;</t>
  </si>
  <si>
    <t>nèiróng</t>
  </si>
  <si>
    <t>nội dung</t>
  </si>
  <si>
    <r>
      <rPr>
        <sz val="11"/>
        <color rgb="FF000000"/>
        <rFont val="Times New Roman"/>
      </rPr>
      <t>这本书的</t>
    </r>
    <r>
      <rPr>
        <b/>
        <sz val="11"/>
        <color rgb="FF000000"/>
        <rFont val="Times New Roman"/>
      </rPr>
      <t>内容</t>
    </r>
    <r>
      <rPr>
        <sz val="11"/>
        <color rgb="FF000000"/>
        <rFont val="Times New Roman"/>
      </rPr>
      <t>很精彩。</t>
    </r>
  </si>
  <si>
    <t>nội dung cuốn sách rất hay</t>
  </si>
  <si>
    <t>H4_B11_BG-11.png</t>
  </si>
  <si>
    <t>B11_11.mp3</t>
  </si>
  <si>
    <t>B11_VD_11.mp3</t>
  </si>
  <si>
    <t>看法</t>
  </si>
  <si>
    <t>&lt;ruby&gt;看法&lt;rt&gt;kànfǎ&lt;/rt&gt;&lt;/ruby&gt;</t>
  </si>
  <si>
    <t>kànfǎ</t>
  </si>
  <si>
    <t>quan điểm, cách nhìn</t>
  </si>
  <si>
    <r>
      <rPr>
        <sz val="11"/>
        <color rgb="FF000000"/>
        <rFont val="Times New Roman"/>
      </rPr>
      <t>我们的生活</t>
    </r>
    <r>
      <rPr>
        <b/>
        <sz val="11"/>
        <color rgb="FF000000"/>
        <rFont val="Times New Roman"/>
      </rPr>
      <t>看法</t>
    </r>
    <r>
      <rPr>
        <sz val="11"/>
        <color rgb="FF000000"/>
        <rFont val="Times New Roman"/>
      </rPr>
      <t>很相同。</t>
    </r>
  </si>
  <si>
    <t>chúng tôi rất hợp nhau về quan điểm sống</t>
  </si>
  <si>
    <t>H4_B11_BG-12.png</t>
  </si>
  <si>
    <t>B11_12.mp3</t>
  </si>
  <si>
    <t>B11_VD_12.mp3</t>
  </si>
  <si>
    <t>相同</t>
  </si>
  <si>
    <t>&lt;ruby&gt;相同&lt;rt&gt;xiāngtóng&lt;/rt&gt;&lt;/ruby&gt;</t>
  </si>
  <si>
    <t>xiāngtóng</t>
  </si>
  <si>
    <t>giống nhau, như nhau</t>
  </si>
  <si>
    <r>
      <rPr>
        <sz val="11"/>
        <color rgb="FF000000"/>
        <rFont val="Times New Roman"/>
      </rPr>
      <t>我和妹妹的性格</t>
    </r>
    <r>
      <rPr>
        <b/>
        <sz val="11"/>
        <color rgb="FF000000"/>
        <rFont val="Times New Roman"/>
      </rPr>
      <t>相同</t>
    </r>
    <r>
      <rPr>
        <sz val="11"/>
        <color rgb="FF000000"/>
        <rFont val="Times New Roman"/>
      </rPr>
      <t>，都很开朗。</t>
    </r>
  </si>
  <si>
    <t>tôi với em gái đều có tính cách vui vẻ giống nhau</t>
  </si>
  <si>
    <t>H4_B11_BG-13.png</t>
  </si>
  <si>
    <t>B11_13.mp3</t>
  </si>
  <si>
    <t>B11_VD_13.mp3</t>
  </si>
  <si>
    <t>顺序</t>
  </si>
  <si>
    <t>&lt;ruby&gt;顺序&lt;rt&gt;shùnxù&lt;/rt&gt;&lt;/ruby&gt;</t>
  </si>
  <si>
    <t>shùnxù</t>
  </si>
  <si>
    <t>trật tự, thứ tự</t>
  </si>
  <si>
    <r>
      <rPr>
        <sz val="11"/>
        <color rgb="FF000000"/>
        <rFont val="Times New Roman"/>
      </rPr>
      <t>我因为无法安排好生活</t>
    </r>
    <r>
      <rPr>
        <b/>
        <sz val="11"/>
        <color rgb="FF000000"/>
        <rFont val="Times New Roman"/>
      </rPr>
      <t>顺序</t>
    </r>
    <r>
      <rPr>
        <sz val="11"/>
        <color rgb="FF000000"/>
        <rFont val="Times New Roman"/>
      </rPr>
      <t>而感到压力很大。</t>
    </r>
  </si>
  <si>
    <t>tôi áp lực vì không thể sắp xếp được trật tự cuộc sống</t>
  </si>
  <si>
    <t>H4_B11_BG-14.png</t>
  </si>
  <si>
    <t>B11_14.mp3</t>
  </si>
  <si>
    <t>B11_VD_14.mp3</t>
  </si>
  <si>
    <t>表示</t>
  </si>
  <si>
    <t>&lt;ruby&gt;表示&lt;rt&gt;biǎoshì&lt;/rt&gt;&lt;/ruby&gt;</t>
  </si>
  <si>
    <t>biǎoshì</t>
  </si>
  <si>
    <t>có ý nghĩa, biểu thị</t>
  </si>
  <si>
    <r>
      <rPr>
        <sz val="11"/>
        <color rgb="FF000000"/>
        <rFont val="Times New Roman"/>
      </rPr>
      <t>她</t>
    </r>
    <r>
      <rPr>
        <b/>
        <sz val="11"/>
        <color rgb="FF000000"/>
        <rFont val="Times New Roman"/>
      </rPr>
      <t>表示</t>
    </r>
    <r>
      <rPr>
        <sz val="11"/>
        <color rgb="FF000000"/>
        <rFont val="Times New Roman"/>
      </rPr>
      <t>愿意帮助我们。</t>
    </r>
  </si>
  <si>
    <t>Cô ấy tỏ ý muốn giúp đỡ chúng tôi.</t>
  </si>
  <si>
    <t>H4_B11_BG-15.png</t>
  </si>
  <si>
    <t>B11_15.mp3</t>
  </si>
  <si>
    <t>B11_VD_15.mp3</t>
  </si>
  <si>
    <t>养成</t>
  </si>
  <si>
    <t>&lt;ruby&gt;养成&lt;rt&gt;yǎngchéng&lt;/rt&gt;&lt;/ruby&gt;</t>
  </si>
  <si>
    <t>yǎngchéng</t>
  </si>
  <si>
    <t>hình thành/tạo (thói quen)</t>
  </si>
  <si>
    <r>
      <rPr>
        <sz val="11"/>
        <color rgb="FF000000"/>
        <rFont val="Times New Roman"/>
      </rPr>
      <t>记笔记的习惯是我上学时</t>
    </r>
    <r>
      <rPr>
        <b/>
        <sz val="11"/>
        <color rgb="FF000000"/>
        <rFont val="Times New Roman"/>
      </rPr>
      <t>养成</t>
    </r>
    <r>
      <rPr>
        <sz val="11"/>
        <color rgb="FF000000"/>
        <rFont val="Times New Roman"/>
      </rPr>
      <t>的。</t>
    </r>
  </si>
  <si>
    <t>thói quen ghi chú được hình thành từ khi tôi mới đi học</t>
  </si>
  <si>
    <t>H4_B11_BG-16.png</t>
  </si>
  <si>
    <t>B11_16.mp3</t>
  </si>
  <si>
    <t>B11_VD_16.mp3</t>
  </si>
  <si>
    <t>精彩</t>
  </si>
  <si>
    <t>&lt;ruby&gt;精彩&lt;rt&gt;jīngcǎi&lt;/rt&gt;&lt;/ruby&gt;</t>
  </si>
  <si>
    <t>jīngcǎi</t>
  </si>
  <si>
    <t>tuyệt vời, xuất sắc</t>
  </si>
  <si>
    <r>
      <rPr>
        <sz val="11"/>
        <color rgb="FF000000"/>
        <rFont val="Times New Roman"/>
      </rPr>
      <t>这个瑜伽动作非常</t>
    </r>
    <r>
      <rPr>
        <b/>
        <sz val="11"/>
        <color rgb="FF000000"/>
        <rFont val="Times New Roman"/>
      </rPr>
      <t>精彩</t>
    </r>
    <r>
      <rPr>
        <sz val="11"/>
        <color rgb="FF000000"/>
        <rFont val="Times New Roman"/>
      </rPr>
      <t>。</t>
    </r>
  </si>
  <si>
    <t>Động tác yoga này rất tuyệt vời.</t>
  </si>
  <si>
    <t>H4_B11_BG-17.png</t>
  </si>
  <si>
    <t>B11_17.mp3</t>
  </si>
  <si>
    <t>B11_VD_17.mp3</t>
  </si>
  <si>
    <t>流利</t>
  </si>
  <si>
    <t>&lt;ruby&gt;流利&lt;rt&gt;liúlì&lt;/rt&gt;&lt;/ruby&gt;</t>
  </si>
  <si>
    <t>liúlì</t>
  </si>
  <si>
    <t>lưu loát, trôi chảy</t>
  </si>
  <si>
    <r>
      <rPr>
        <sz val="11"/>
        <color rgb="FF000000"/>
        <rFont val="Times New Roman"/>
      </rPr>
      <t>她的演讲非常</t>
    </r>
    <r>
      <rPr>
        <b/>
        <sz val="11"/>
        <color rgb="FF000000"/>
        <rFont val="Times New Roman"/>
      </rPr>
      <t>流利</t>
    </r>
    <r>
      <rPr>
        <sz val="11"/>
        <color rgb="FF000000"/>
        <rFont val="Times New Roman"/>
      </rPr>
      <t>。</t>
    </r>
  </si>
  <si>
    <t>Cô ấy thuyết trình rất trôi chảy.</t>
  </si>
  <si>
    <t>H4_B11_BG-18.png</t>
  </si>
  <si>
    <t>B11_18.mp3</t>
  </si>
  <si>
    <t>B11_VD_18.mp3</t>
  </si>
  <si>
    <t>语法</t>
  </si>
  <si>
    <t>&lt;ruby&gt;语法&lt;rt&gt;yǔfǎ&lt;/rt&gt;&lt;/ruby&gt;</t>
  </si>
  <si>
    <t>yǔfǎ</t>
  </si>
  <si>
    <t>ngữ pháp</t>
  </si>
  <si>
    <r>
      <rPr>
        <sz val="11"/>
        <color rgb="FF000000"/>
        <rFont val="Times New Roman"/>
      </rPr>
      <t>他不记得这课的</t>
    </r>
    <r>
      <rPr>
        <b/>
        <sz val="11"/>
        <color rgb="FF000000"/>
        <rFont val="Times New Roman"/>
      </rPr>
      <t>语法</t>
    </r>
    <r>
      <rPr>
        <sz val="11"/>
        <color rgb="FF000000"/>
        <rFont val="Times New Roman"/>
      </rPr>
      <t>。</t>
    </r>
  </si>
  <si>
    <t>Anh ấy không nhớ ngữ pháp của bài này.</t>
  </si>
  <si>
    <t>H4_B11_BG-19.png</t>
  </si>
  <si>
    <t>B11_19.mp3</t>
  </si>
  <si>
    <t>B11_VD_19.mp3</t>
  </si>
  <si>
    <t>准确</t>
  </si>
  <si>
    <t>&lt;ruby&gt;准确&lt;rt&gt;zhǔnquè&lt;/rt&gt;&lt;/ruby&gt;</t>
  </si>
  <si>
    <t>zhǔnquè</t>
  </si>
  <si>
    <t>chính xác, đúng</t>
  </si>
  <si>
    <r>
      <rPr>
        <sz val="11"/>
        <color rgb="FF000000"/>
        <rFont val="Times New Roman"/>
      </rPr>
      <t>她的这道数学题做得非常</t>
    </r>
    <r>
      <rPr>
        <b/>
        <sz val="11"/>
        <color rgb="FF000000"/>
        <rFont val="Times New Roman"/>
      </rPr>
      <t>准确</t>
    </r>
    <r>
      <rPr>
        <sz val="11"/>
        <color rgb="FF000000"/>
        <rFont val="Times New Roman"/>
      </rPr>
      <t>。</t>
    </r>
  </si>
  <si>
    <t>Cô ấy làm bài toán này hoàn toàn chính xác.</t>
  </si>
  <si>
    <t>H4_B11_BG-20.png</t>
  </si>
  <si>
    <t>B11_20.mp3</t>
  </si>
  <si>
    <t>B11_VD_20.mp3</t>
  </si>
  <si>
    <t>từ ngữ, cách diễn đạt</t>
  </si>
  <si>
    <r>
      <rPr>
        <sz val="11"/>
        <color rgb="FF000000"/>
        <rFont val="Times New Roman"/>
      </rPr>
      <t>我的</t>
    </r>
    <r>
      <rPr>
        <b/>
        <sz val="11"/>
        <color rgb="FF000000"/>
        <rFont val="Times New Roman"/>
      </rPr>
      <t>词语</t>
    </r>
    <r>
      <rPr>
        <sz val="11"/>
        <color rgb="FF000000"/>
        <rFont val="Times New Roman"/>
      </rPr>
      <t>让她不高兴了。</t>
    </r>
  </si>
  <si>
    <t>Lời nói của tôi làm cô ấy khó chịu.</t>
  </si>
  <si>
    <t>H4_B11_BG-21.png</t>
  </si>
  <si>
    <t>B11_21.mp3</t>
  </si>
  <si>
    <t>B11_VD_21.mp3</t>
  </si>
  <si>
    <t>阅读</t>
  </si>
  <si>
    <t>&lt;ruby&gt;阅读&lt;rt&gt;yuèdú&lt;/rt&gt;&lt;/ruby&gt;</t>
  </si>
  <si>
    <t>yuèdú</t>
  </si>
  <si>
    <t>đọc</t>
  </si>
  <si>
    <r>
      <rPr>
        <sz val="11"/>
        <color rgb="FF000000"/>
        <rFont val="Times New Roman"/>
      </rPr>
      <t>我每天</t>
    </r>
    <r>
      <rPr>
        <b/>
        <sz val="11"/>
        <color rgb="FF000000"/>
        <rFont val="Times New Roman"/>
      </rPr>
      <t>阅读</t>
    </r>
    <r>
      <rPr>
        <sz val="11"/>
        <color rgb="FF000000"/>
        <rFont val="Times New Roman"/>
      </rPr>
      <t>新闻。</t>
    </r>
  </si>
  <si>
    <t>Tôi đọc tin tức mỗi ngày.</t>
  </si>
  <si>
    <t>H4_B11_BG-22.png</t>
  </si>
  <si>
    <t>B11_22.mp3</t>
  </si>
  <si>
    <t>B11_VD_22.mp3</t>
  </si>
  <si>
    <t>填空</t>
  </si>
  <si>
    <t>&lt;ruby&gt;填空&lt;rt&gt;tiánkòng&lt;/rt&gt;&lt;/ruby&gt;</t>
  </si>
  <si>
    <t>tiánkòng</t>
  </si>
  <si>
    <t>điền vào chỗ trống</t>
  </si>
  <si>
    <r>
      <rPr>
        <sz val="11"/>
        <color rgb="FF000000"/>
        <rFont val="Times New Roman"/>
      </rPr>
      <t>请</t>
    </r>
    <r>
      <rPr>
        <b/>
        <sz val="11"/>
        <color rgb="FF000000"/>
        <rFont val="Times New Roman"/>
      </rPr>
      <t>填空</t>
    </r>
    <r>
      <rPr>
        <sz val="11"/>
        <color rgb="FF000000"/>
        <rFont val="Times New Roman"/>
      </rPr>
      <t>！</t>
    </r>
  </si>
  <si>
    <t>Hãy điền vào chỗ trống!</t>
  </si>
  <si>
    <t>H4_B11_BG-23.png</t>
  </si>
  <si>
    <t>B11_23.mp3</t>
  </si>
  <si>
    <t>B11_VD_23.mp3</t>
  </si>
  <si>
    <t>猜</t>
  </si>
  <si>
    <t>&lt;ruby&gt;猜&lt;rt&gt;cāi&lt;/rt&gt;&lt;/ruby&gt;</t>
  </si>
  <si>
    <t>cāi</t>
  </si>
  <si>
    <t xml:space="preserve">đoán </t>
  </si>
  <si>
    <r>
      <rPr>
        <sz val="11"/>
        <color rgb="FF000000"/>
        <rFont val="Times New Roman"/>
      </rPr>
      <t xml:space="preserve"> 我</t>
    </r>
    <r>
      <rPr>
        <b/>
        <sz val="11"/>
        <color rgb="FF000000"/>
        <rFont val="Times New Roman"/>
      </rPr>
      <t>猜</t>
    </r>
    <r>
      <rPr>
        <sz val="11"/>
        <color rgb="FF000000"/>
        <rFont val="Times New Roman"/>
      </rPr>
      <t>今天会下雨。</t>
    </r>
  </si>
  <si>
    <t>Tôi đoán hôm nay trời sẽ mưa.</t>
  </si>
  <si>
    <t>H4_B11_BG-24.png</t>
  </si>
  <si>
    <t>B11_24.mp3</t>
  </si>
  <si>
    <t>B11_VD_24.mp3</t>
  </si>
  <si>
    <t>客厅</t>
  </si>
  <si>
    <t>&lt;ruby&gt;客厅&lt;rt&gt;kètīng&lt;/rt&gt;&lt;/ruby&gt;</t>
  </si>
  <si>
    <t>kètīng</t>
  </si>
  <si>
    <t>phòng khách</t>
  </si>
  <si>
    <r>
      <rPr>
        <sz val="11"/>
        <color rgb="FF000000"/>
        <rFont val="Times New Roman"/>
      </rPr>
      <t>我们全家正在</t>
    </r>
    <r>
      <rPr>
        <b/>
        <sz val="11"/>
        <color rgb="FF000000"/>
        <rFont val="Times New Roman"/>
      </rPr>
      <t>客厅</t>
    </r>
    <r>
      <rPr>
        <sz val="11"/>
        <color rgb="FF000000"/>
        <rFont val="Times New Roman"/>
      </rPr>
      <t>看电视。</t>
    </r>
  </si>
  <si>
    <t>Cả nhà chúng tôi đang xem ti vi ở phòng khách.</t>
  </si>
  <si>
    <t>H4_B11_BG-25.png</t>
  </si>
  <si>
    <t>B11_25.mp3</t>
  </si>
  <si>
    <t>B11_VD_25.mp3</t>
  </si>
  <si>
    <t>杂志</t>
  </si>
  <si>
    <t>&lt;ruby&gt;杂志&lt;rt&gt;zázhì&lt;/rt&gt;&lt;/ruby&gt;</t>
  </si>
  <si>
    <t>zázhì</t>
  </si>
  <si>
    <t>tạp chí</t>
  </si>
  <si>
    <r>
      <rPr>
        <sz val="11"/>
        <color rgb="FF000000"/>
        <rFont val="Times New Roman"/>
      </rPr>
      <t>因为今年的优异成绩，我登上了学校</t>
    </r>
    <r>
      <rPr>
        <b/>
        <sz val="11"/>
        <color rgb="FF000000"/>
        <rFont val="Times New Roman"/>
      </rPr>
      <t>杂志</t>
    </r>
    <r>
      <rPr>
        <sz val="11"/>
        <color rgb="FF000000"/>
        <rFont val="Times New Roman"/>
      </rPr>
      <t>的封面。</t>
    </r>
  </si>
  <si>
    <t>tôi được xuất hiện trên bìa tạp chí của trường vì thành thích cao trong năm</t>
  </si>
  <si>
    <t>H4_B11_BG-26.png</t>
  </si>
  <si>
    <t>B11_26.mp3</t>
  </si>
  <si>
    <t>B11_VD_26.mp3</t>
  </si>
  <si>
    <t>著名</t>
  </si>
  <si>
    <t>&lt;ruby&gt;著名&lt;rt&gt;zhùmíng&lt;/rt&gt;&lt;/ruby&gt;</t>
  </si>
  <si>
    <t>zhùmíng</t>
  </si>
  <si>
    <t>nổi tiếng</t>
  </si>
  <si>
    <r>
      <rPr>
        <sz val="11"/>
        <color rgb="FF000000"/>
        <rFont val="Times New Roman"/>
      </rPr>
      <t>我们的乐队在学校里很</t>
    </r>
    <r>
      <rPr>
        <b/>
        <sz val="11"/>
        <color rgb="FF000000"/>
        <rFont val="Times New Roman"/>
      </rPr>
      <t>著名</t>
    </r>
    <r>
      <rPr>
        <sz val="11"/>
        <color rgb="FF000000"/>
        <rFont val="Times New Roman"/>
      </rPr>
      <t>。</t>
    </r>
  </si>
  <si>
    <t>nhóm nhạc của chúng tôi khá nổi tiếng trong trường</t>
  </si>
  <si>
    <t>H4_B11_BG-27.png</t>
  </si>
  <si>
    <t>B11_27.mp3</t>
  </si>
  <si>
    <t>B11_VD_27.mp3</t>
  </si>
  <si>
    <r>
      <rPr>
        <sz val="11"/>
        <color rgb="FF000000"/>
        <rFont val="Times New Roman"/>
      </rPr>
      <t>这本书有三百</t>
    </r>
    <r>
      <rPr>
        <b/>
        <sz val="11"/>
        <color rgb="FF000000"/>
        <rFont val="Times New Roman"/>
      </rPr>
      <t>页</t>
    </r>
    <r>
      <rPr>
        <sz val="11"/>
        <color rgb="FF000000"/>
        <rFont val="Times New Roman"/>
      </rPr>
      <t>。</t>
    </r>
  </si>
  <si>
    <t>增加</t>
  </si>
  <si>
    <t>&lt;ruby&gt;增加&lt;rt&gt;zēngjiā&lt;/rt&gt;&lt;/ruby&gt;</t>
  </si>
  <si>
    <t>zēngjiā</t>
  </si>
  <si>
    <t>tăng thêm</t>
  </si>
  <si>
    <r>
      <rPr>
        <sz val="11"/>
        <color rgb="FF000000"/>
        <rFont val="Times New Roman"/>
      </rPr>
      <t>通过训练，我的反应能力</t>
    </r>
    <r>
      <rPr>
        <b/>
        <sz val="11"/>
        <color rgb="FF000000"/>
        <rFont val="Times New Roman"/>
      </rPr>
      <t>增加</t>
    </r>
    <r>
      <rPr>
        <sz val="11"/>
        <color rgb="FF000000"/>
        <rFont val="Times New Roman"/>
      </rPr>
      <t>了。</t>
    </r>
  </si>
  <si>
    <t>kỹ năng phản xạ của tôi được tăng thêm qua quá trình rèn luyện</t>
  </si>
  <si>
    <t>H4_B11_BG-29.png</t>
  </si>
  <si>
    <t>B11_29.mp3</t>
  </si>
  <si>
    <t>B11_VD_29.mp3</t>
  </si>
  <si>
    <t>文章</t>
  </si>
  <si>
    <t>&lt;ruby&gt;文章&lt;rt&gt;wénzhāng&lt;/rt&gt;&lt;/ruby&gt;</t>
  </si>
  <si>
    <t>wénzhāng</t>
  </si>
  <si>
    <t>bài văn, bài báo</t>
  </si>
  <si>
    <r>
      <rPr>
        <sz val="11"/>
        <color rgb="FF000000"/>
        <rFont val="Times New Roman"/>
      </rPr>
      <t>他的</t>
    </r>
    <r>
      <rPr>
        <b/>
        <sz val="11"/>
        <color rgb="FF000000"/>
        <rFont val="Times New Roman"/>
      </rPr>
      <t>文章</t>
    </r>
    <r>
      <rPr>
        <sz val="11"/>
        <color rgb="FF000000"/>
        <rFont val="Times New Roman"/>
      </rPr>
      <t>得了满分。</t>
    </r>
  </si>
  <si>
    <t>Bài văn của anh ấy được điểm tối đa.</t>
  </si>
  <si>
    <t>H4_B11_BG-30.png</t>
  </si>
  <si>
    <t>B11_30.mp3</t>
  </si>
  <si>
    <t>B11_VD_30.mp3</t>
  </si>
  <si>
    <t>规定</t>
  </si>
  <si>
    <t>&lt;ruby&gt;规定&lt;rt&gt;guīdìng&lt;/rt&gt;&lt;/ruby&gt;</t>
  </si>
  <si>
    <t>guīdìng</t>
  </si>
  <si>
    <t>quy định</t>
  </si>
  <si>
    <r>
      <rPr>
        <sz val="11"/>
        <color rgb="FF000000"/>
        <rFont val="Times New Roman"/>
      </rPr>
      <t xml:space="preserve"> 这里的</t>
    </r>
    <r>
      <rPr>
        <b/>
        <sz val="11"/>
        <color rgb="FF000000"/>
        <rFont val="Times New Roman"/>
      </rPr>
      <t>规定</t>
    </r>
    <r>
      <rPr>
        <sz val="11"/>
        <color rgb="FF000000"/>
        <rFont val="Times New Roman"/>
      </rPr>
      <t>是不允许往河里扔垃圾。</t>
    </r>
  </si>
  <si>
    <t>Quy định ở đây là không được đổ rác xuống sông.</t>
  </si>
  <si>
    <t>H4_B12_BG-01.png</t>
  </si>
  <si>
    <t>B12_1.mp3</t>
  </si>
  <si>
    <t>B12_VD_1.mp3</t>
  </si>
  <si>
    <t>解释</t>
  </si>
  <si>
    <t>&lt;ruby&gt;解释&lt;rt&gt;jiěshì&lt;/rt&gt;&lt;/ruby&gt;</t>
  </si>
  <si>
    <t>jiěshì</t>
  </si>
  <si>
    <t>giải thích</t>
  </si>
  <si>
    <r>
      <rPr>
        <sz val="11"/>
        <color rgb="FF000000"/>
        <rFont val="Times New Roman"/>
      </rPr>
      <t>她正在向我</t>
    </r>
    <r>
      <rPr>
        <b/>
        <sz val="11"/>
        <color rgb="FF000000"/>
        <rFont val="Times New Roman"/>
      </rPr>
      <t>解释</t>
    </r>
    <r>
      <rPr>
        <sz val="11"/>
        <color rgb="FF000000"/>
        <rFont val="Times New Roman"/>
      </rPr>
      <t>今天早上的会议内容。</t>
    </r>
  </si>
  <si>
    <t>Cô ấy đang giải thích cho tôi về nội dung họp sáng nay.</t>
  </si>
  <si>
    <t>H4_B12_BG-02.png</t>
  </si>
  <si>
    <t>B12_2.mp3</t>
  </si>
  <si>
    <t>B12_VD_2.mp3</t>
  </si>
  <si>
    <t>详细</t>
  </si>
  <si>
    <t>&lt;ruby&gt;详细&lt;rt&gt;xiángxì&lt;/rt&gt;&lt;/ruby&gt;</t>
  </si>
  <si>
    <t>xiángxì</t>
  </si>
  <si>
    <t>chi tiết, tỉ mỉ</t>
  </si>
  <si>
    <r>
      <rPr>
        <sz val="11"/>
        <color rgb="FF000000"/>
        <rFont val="Times New Roman"/>
      </rPr>
      <t>我</t>
    </r>
    <r>
      <rPr>
        <b/>
        <sz val="11"/>
        <color rgb="FF000000"/>
        <rFont val="Times New Roman"/>
      </rPr>
      <t>仔细</t>
    </r>
    <r>
      <rPr>
        <sz val="11"/>
        <color rgb="FF000000"/>
        <rFont val="Times New Roman"/>
      </rPr>
      <t>地剪出云朵的形状。</t>
    </r>
  </si>
  <si>
    <t>Tôi cắt giấy hình đám mây một cách tỉ mỉ.</t>
  </si>
  <si>
    <t>H4_B12_BG-03.png</t>
  </si>
  <si>
    <t>B12_3.mp3</t>
  </si>
  <si>
    <t>B12_VD_3.mp3</t>
  </si>
  <si>
    <t>对于</t>
  </si>
  <si>
    <t>&lt;ruby&gt;对于&lt;rt&gt;duìyú&lt;/rt&gt;&lt;/ruby&gt;</t>
  </si>
  <si>
    <t>duìyú</t>
  </si>
  <si>
    <t>đối với</t>
  </si>
  <si>
    <r>
      <rPr>
        <b/>
        <sz val="10"/>
        <color theme="1"/>
        <rFont val="Arial"/>
      </rPr>
      <t>对于</t>
    </r>
    <r>
      <rPr>
        <sz val="10"/>
        <color theme="1"/>
        <rFont val="Arial"/>
      </rPr>
      <t>网球，她很了解。</t>
    </r>
  </si>
  <si>
    <t>Cô ấy rất am hiểu quần vợt.</t>
  </si>
  <si>
    <t>H4_B12_BG-04.png</t>
  </si>
  <si>
    <t>B12_4.mp3</t>
  </si>
  <si>
    <t>B12_VD_4.mp3</t>
  </si>
  <si>
    <t>直接</t>
  </si>
  <si>
    <t>&lt;ruby&gt;直接&lt;rt&gt;zhíjiē&lt;/rt&gt;&lt;/ruby&gt;</t>
  </si>
  <si>
    <t>zhíjiē</t>
  </si>
  <si>
    <t>trực tiếp, thẳng</t>
  </si>
  <si>
    <r>
      <rPr>
        <sz val="11"/>
        <color rgb="FF000000"/>
        <rFont val="Times New Roman"/>
      </rPr>
      <t xml:space="preserve"> 手机的蓝光会</t>
    </r>
    <r>
      <rPr>
        <b/>
        <sz val="11"/>
        <color rgb="FF000000"/>
        <rFont val="Times New Roman"/>
      </rPr>
      <t>直接</t>
    </r>
    <r>
      <rPr>
        <sz val="11"/>
        <color rgb="FF000000"/>
        <rFont val="Times New Roman"/>
      </rPr>
      <t>影响眼睛。</t>
    </r>
  </si>
  <si>
    <t>ánh sáng xanh của điện thoại gây ảnh hưởng trực tiếp tới mắt</t>
  </si>
  <si>
    <t>H4_B12_BG-05.png</t>
  </si>
  <si>
    <t>B12_5.mp3</t>
  </si>
  <si>
    <t>B12_VD_5.mp3</t>
  </si>
  <si>
    <t>引起</t>
  </si>
  <si>
    <t>&lt;ruby&gt;引起&lt;rt&gt;yǐnqǐ&lt;/rt&gt;&lt;/ruby&gt;</t>
  </si>
  <si>
    <t>yǐnqǐ</t>
  </si>
  <si>
    <t>gây ra, dẫn đến</t>
  </si>
  <si>
    <r>
      <rPr>
        <sz val="11"/>
        <color rgb="FF000000"/>
        <rFont val="Times New Roman"/>
      </rPr>
      <t>乱扔垃圾</t>
    </r>
    <r>
      <rPr>
        <b/>
        <sz val="11"/>
        <color rgb="FF000000"/>
        <rFont val="Times New Roman"/>
      </rPr>
      <t>引起</t>
    </r>
    <r>
      <rPr>
        <sz val="11"/>
        <color rgb="FF000000"/>
        <rFont val="Times New Roman"/>
      </rPr>
      <t xml:space="preserve">污染 </t>
    </r>
  </si>
  <si>
    <t>Vứt rác bừa bãi gây ô nhiễm</t>
  </si>
  <si>
    <t>H4_B12_BG-06.png</t>
  </si>
  <si>
    <t>B12_6.mp3</t>
  </si>
  <si>
    <t>B12_VD_6.mp3</t>
  </si>
  <si>
    <t>误会</t>
  </si>
  <si>
    <t>&lt;ruby&gt;误会&lt;rt&gt;wùhuì&lt;/rt&gt;&lt;/ruby&gt;</t>
  </si>
  <si>
    <t>wùhuì</t>
  </si>
  <si>
    <t>sự hiểu lầm</t>
  </si>
  <si>
    <r>
      <rPr>
        <sz val="11"/>
        <color rgb="FF000000"/>
        <rFont val="Times New Roman"/>
      </rPr>
      <t>我们放下过去的</t>
    </r>
    <r>
      <rPr>
        <b/>
        <sz val="11"/>
        <color rgb="FF000000"/>
        <rFont val="Times New Roman"/>
      </rPr>
      <t>误会</t>
    </r>
    <r>
      <rPr>
        <sz val="11"/>
        <color rgb="FF000000"/>
        <rFont val="Times New Roman"/>
      </rPr>
      <t>，走到了一起。</t>
    </r>
  </si>
  <si>
    <t>chúng tôi bỏ qua hết sự hiểu nhầm trong quá khứ để đến với nhau</t>
  </si>
  <si>
    <t>H4_B12_BG-07.png</t>
  </si>
  <si>
    <t>B12_7.mp3</t>
  </si>
  <si>
    <t>B12_VD_7.mp3</t>
  </si>
  <si>
    <t>语言</t>
  </si>
  <si>
    <t>&lt;ruby&gt;语言&lt;rt&gt;yǔyán&lt;/rt&gt;&lt;/ruby&gt;</t>
  </si>
  <si>
    <t>yǔyán</t>
  </si>
  <si>
    <t>ngôn ngữ</t>
  </si>
  <si>
    <r>
      <rPr>
        <sz val="11"/>
        <color rgb="FF000000"/>
        <rFont val="Times New Roman"/>
      </rPr>
      <t xml:space="preserve"> 我开始学习一门新</t>
    </r>
    <r>
      <rPr>
        <b/>
        <sz val="11"/>
        <color rgb="FF000000"/>
        <rFont val="Times New Roman"/>
      </rPr>
      <t>语言</t>
    </r>
    <r>
      <rPr>
        <sz val="11"/>
        <color rgb="FF000000"/>
        <rFont val="Times New Roman"/>
      </rPr>
      <t>。</t>
    </r>
  </si>
  <si>
    <t>tôi bắt đầu học một ngôn ngữ mới</t>
  </si>
  <si>
    <t>H4_B12_BG-08.png</t>
  </si>
  <si>
    <t>B12_8.mp3</t>
  </si>
  <si>
    <t>B12_VD_8.mp3</t>
  </si>
  <si>
    <t>意见</t>
  </si>
  <si>
    <t>&lt;ruby&gt;意见&lt;rt&gt;yìjiàn&lt;/rt&gt;&lt;/ruby&gt;</t>
  </si>
  <si>
    <t>yìjiàn</t>
  </si>
  <si>
    <t>ý kiến</t>
  </si>
  <si>
    <r>
      <rPr>
        <sz val="11"/>
        <color rgb="FF000000"/>
        <rFont val="Times New Roman"/>
      </rPr>
      <t>他对即将到来的文艺晚会有</t>
    </r>
    <r>
      <rPr>
        <b/>
        <sz val="11"/>
        <color rgb="FF000000"/>
        <rFont val="Times New Roman"/>
      </rPr>
      <t>意见</t>
    </r>
    <r>
      <rPr>
        <sz val="11"/>
        <color rgb="FF000000"/>
        <rFont val="Times New Roman"/>
      </rPr>
      <t>。</t>
    </r>
  </si>
  <si>
    <t>Anh ấy có ý kiến cho buổi văn nghệ sắp tới.</t>
  </si>
  <si>
    <t>H4_B12_BG-09.png</t>
  </si>
  <si>
    <t>B12_9.mp3</t>
  </si>
  <si>
    <t>B12_VD_9.mp3</t>
  </si>
  <si>
    <t>仔细</t>
  </si>
  <si>
    <t>&lt;ruby&gt;仔细&lt;rt&gt;zǐxì&lt;/rt&gt;&lt;/ruby&gt;</t>
  </si>
  <si>
    <t>zǐxì</t>
  </si>
  <si>
    <t>thận trọng, kỹ lưỡng</t>
  </si>
  <si>
    <r>
      <rPr>
        <sz val="11"/>
        <color rgb="FF000000"/>
        <rFont val="Times New Roman"/>
      </rPr>
      <t>煮饭前请</t>
    </r>
    <r>
      <rPr>
        <b/>
        <sz val="11"/>
        <color rgb="FF000000"/>
        <rFont val="Times New Roman"/>
      </rPr>
      <t>仔细</t>
    </r>
    <r>
      <rPr>
        <sz val="11"/>
        <color rgb="FF000000"/>
        <rFont val="Times New Roman"/>
      </rPr>
      <t>检查食材。</t>
    </r>
  </si>
  <si>
    <t>Hãy kiểm tra kỹ thực phẩm trước khi nấu ăn.</t>
  </si>
  <si>
    <t>H4_B12_BG-10.png</t>
  </si>
  <si>
    <t>B12_10.mp3</t>
  </si>
  <si>
    <t>B12_VD_10.mp3</t>
  </si>
  <si>
    <t>商量</t>
  </si>
  <si>
    <t>&lt;ruby&gt;商量&lt;rt&gt;shāngliáng&lt;/rt&gt;&lt;/ruby&gt;</t>
  </si>
  <si>
    <t>shāngliáng</t>
  </si>
  <si>
    <t>thương lượng, bàn bạc</t>
  </si>
  <si>
    <r>
      <rPr>
        <sz val="11"/>
        <color rgb="FF000000"/>
        <rFont val="Times New Roman"/>
      </rPr>
      <t>我们正在</t>
    </r>
    <r>
      <rPr>
        <b/>
        <sz val="11"/>
        <color rgb="FF000000"/>
        <rFont val="Times New Roman"/>
      </rPr>
      <t>商量</t>
    </r>
    <r>
      <rPr>
        <sz val="11"/>
        <color rgb="FF000000"/>
        <rFont val="Times New Roman"/>
      </rPr>
      <t>即将上演的戏剧角色分配。</t>
    </r>
  </si>
  <si>
    <t>Chúng tôi đang thương lượng về việc phân vai diễn trong buổi kịch sắp tới.</t>
  </si>
  <si>
    <t>H4_B12_BG-11.png</t>
  </si>
  <si>
    <t>B12_11.mp3</t>
  </si>
  <si>
    <t>B12_VD_11.mp3</t>
  </si>
  <si>
    <t>死</t>
  </si>
  <si>
    <t>&lt;ruby&gt;死&lt;rt&gt;sǐ&lt;/rt&gt;&lt;/ruby&gt;</t>
  </si>
  <si>
    <t>sǐ</t>
  </si>
  <si>
    <t>cố định, cứng nhắc</t>
  </si>
  <si>
    <r>
      <rPr>
        <sz val="11"/>
        <color rgb="FF000000"/>
        <rFont val="Times New Roman"/>
      </rPr>
      <t>那只老鼠突然</t>
    </r>
    <r>
      <rPr>
        <b/>
        <sz val="11"/>
        <color rgb="FF000000"/>
        <rFont val="Times New Roman"/>
      </rPr>
      <t>死</t>
    </r>
    <r>
      <rPr>
        <sz val="11"/>
        <color rgb="FF000000"/>
        <rFont val="Times New Roman"/>
      </rPr>
      <t>了。</t>
    </r>
  </si>
  <si>
    <t>Con chuột đột nhiên chết rồi.</t>
  </si>
  <si>
    <t>H4_B12_BG-12.png</t>
  </si>
  <si>
    <t>B12_12.mp3</t>
  </si>
  <si>
    <t>B12_VD_12.mp3</t>
  </si>
  <si>
    <t>可惜</t>
  </si>
  <si>
    <t>&lt;ruby&gt;可惜&lt;rt&gt;kěxī&lt;/rt&gt;&lt;/ruby&gt;</t>
  </si>
  <si>
    <t>kěxī</t>
  </si>
  <si>
    <t>đáng tiếc</t>
  </si>
  <si>
    <r>
      <rPr>
        <sz val="11"/>
        <color rgb="FF000000"/>
        <rFont val="Times New Roman"/>
      </rPr>
      <t>机会太好了，</t>
    </r>
    <r>
      <rPr>
        <b/>
        <sz val="11"/>
        <color rgb="FF000000"/>
        <rFont val="Times New Roman"/>
      </rPr>
      <t>可惜</t>
    </r>
    <r>
      <rPr>
        <sz val="11"/>
        <color rgb="FF000000"/>
        <rFont val="Times New Roman"/>
      </rPr>
      <t>错过了。</t>
    </r>
  </si>
  <si>
    <t>Cơ hội quá tốt, đáng tiếc là đã lỡ.</t>
  </si>
  <si>
    <t>H4_B12_BG-13.png</t>
  </si>
  <si>
    <t>B12_13.mp3</t>
  </si>
  <si>
    <t>B12_VD_13.mp3</t>
  </si>
  <si>
    <t>全部</t>
  </si>
  <si>
    <t>&lt;ruby&gt;全部&lt;rt&gt;quánbù&lt;/rt&gt;&lt;/ruby&gt;</t>
  </si>
  <si>
    <t>quánbù</t>
  </si>
  <si>
    <t>toàn bộ, tất cả</t>
  </si>
  <si>
    <r>
      <rPr>
        <sz val="11"/>
        <color rgb="FF000000"/>
        <rFont val="Times New Roman"/>
      </rPr>
      <t>他们</t>
    </r>
    <r>
      <rPr>
        <b/>
        <sz val="11"/>
        <color rgb="FF000000"/>
        <rFont val="Times New Roman"/>
      </rPr>
      <t>全部</t>
    </r>
    <r>
      <rPr>
        <sz val="11"/>
        <color rgb="FF000000"/>
        <rFont val="Times New Roman"/>
      </rPr>
      <t>都来参加了会议。</t>
    </r>
  </si>
  <si>
    <t>Tất cả họ đều đến tham gia cuộc họp.</t>
  </si>
  <si>
    <t>H4_B12_BG-14.png</t>
  </si>
  <si>
    <t>B12_14.mp3</t>
  </si>
  <si>
    <t>B12_VD_14.mp3</t>
  </si>
  <si>
    <t>也许</t>
  </si>
  <si>
    <t>&lt;ruby&gt;也许&lt;rt&gt;yěxǔ&lt;/rt&gt;&lt;/ruby&gt;</t>
  </si>
  <si>
    <t>yěxǔ</t>
  </si>
  <si>
    <t>có lẽ, may ra</t>
  </si>
  <si>
    <r>
      <rPr>
        <b/>
        <sz val="11"/>
        <color rgb="FF000000"/>
        <rFont val="Times New Roman"/>
      </rPr>
      <t>也许</t>
    </r>
    <r>
      <rPr>
        <sz val="11"/>
        <color rgb="FF000000"/>
        <rFont val="Times New Roman"/>
      </rPr>
      <t>我应该学会更节约开支。</t>
    </r>
  </si>
  <si>
    <t>có lẽ tôi nên học cách chi tiêu tiết kiệm hơn</t>
  </si>
  <si>
    <t>H4_B12_BG-15.png</t>
  </si>
  <si>
    <t>B12_15.mp3</t>
  </si>
  <si>
    <t>B12_VD_15.mp3</t>
  </si>
  <si>
    <t>并且</t>
  </si>
  <si>
    <t>&lt;ruby&gt;并且&lt;rt&gt;bìngqiě&lt;/rt&gt;&lt;/ruby&gt;</t>
  </si>
  <si>
    <t>bìngqiě</t>
  </si>
  <si>
    <t>đồng thời, và</t>
  </si>
  <si>
    <r>
      <rPr>
        <sz val="11"/>
        <color rgb="FF000000"/>
        <rFont val="Times New Roman"/>
      </rPr>
      <t>这道菜很辣</t>
    </r>
    <r>
      <rPr>
        <b/>
        <sz val="11"/>
        <color rgb="FF000000"/>
        <rFont val="Times New Roman"/>
      </rPr>
      <t>并且</t>
    </r>
    <r>
      <rPr>
        <sz val="11"/>
        <color rgb="FF000000"/>
        <rFont val="Times New Roman"/>
      </rPr>
      <t>很咸。</t>
    </r>
  </si>
  <si>
    <t>Món này rất cay và rất mặn.</t>
  </si>
  <si>
    <t>H4_B12_BG-16.png</t>
  </si>
  <si>
    <t>B12_16.mp3</t>
  </si>
  <si>
    <t>B12_VD_16.mp3</t>
  </si>
  <si>
    <t>无</t>
  </si>
  <si>
    <t>&lt;ruby&gt;无&lt;rt&gt;wú&lt;/rt&gt;&lt;/ruby&gt;</t>
  </si>
  <si>
    <t>wú</t>
  </si>
  <si>
    <t>không có, không</t>
  </si>
  <si>
    <r>
      <rPr>
        <sz val="11"/>
        <color rgb="FF000000"/>
        <rFont val="Times New Roman"/>
      </rPr>
      <t>这件事</t>
    </r>
    <r>
      <rPr>
        <b/>
        <sz val="11"/>
        <color rgb="FF000000"/>
        <rFont val="Times New Roman"/>
      </rPr>
      <t>无</t>
    </r>
    <r>
      <rPr>
        <sz val="11"/>
        <color rgb="FF000000"/>
        <rFont val="Times New Roman"/>
      </rPr>
      <t>可怕之处。</t>
    </r>
  </si>
  <si>
    <t>Chuyện này không có gì đáng sợ.</t>
  </si>
  <si>
    <t>H4_B12_BG-17.png</t>
  </si>
  <si>
    <t>B12_17.mp3</t>
  </si>
  <si>
    <t>B12_VD_17.mp3</t>
  </si>
  <si>
    <t>盐</t>
  </si>
  <si>
    <t>&lt;ruby&gt;盐&lt;rt&gt;yán&lt;/rt&gt;&lt;/ruby&gt;</t>
  </si>
  <si>
    <t>yán</t>
  </si>
  <si>
    <t>muối</t>
  </si>
  <si>
    <r>
      <rPr>
        <sz val="11"/>
        <color rgb="FF000000"/>
        <rFont val="Times New Roman"/>
      </rPr>
      <t xml:space="preserve"> 做饭要放适量的</t>
    </r>
    <r>
      <rPr>
        <b/>
        <sz val="11"/>
        <color rgb="FF000000"/>
        <rFont val="Times New Roman"/>
      </rPr>
      <t>盐</t>
    </r>
    <r>
      <rPr>
        <sz val="11"/>
        <color rgb="FF000000"/>
        <rFont val="Times New Roman"/>
      </rPr>
      <t>。</t>
    </r>
  </si>
  <si>
    <t>Nấu ăn phải cho lượng muối thích hợp.</t>
  </si>
  <si>
    <t>H4_B12_BG-18.png</t>
  </si>
  <si>
    <t>B12_18.mp3</t>
  </si>
  <si>
    <t>B12_VD_18.mp3</t>
  </si>
  <si>
    <t>勺（子）</t>
  </si>
  <si>
    <t>&lt;ruby&gt;勺（子）&lt;rt&gt;sháo (zi)&lt;/rt&gt;&lt;/ruby&gt;</t>
  </si>
  <si>
    <t>sháo (zi)</t>
  </si>
  <si>
    <t>cái muôi, cái thìa</t>
  </si>
  <si>
    <r>
      <rPr>
        <sz val="11"/>
        <color rgb="FF000000"/>
        <rFont val="Times New Roman"/>
      </rPr>
      <t>妈妈用</t>
    </r>
    <r>
      <rPr>
        <b/>
        <sz val="11"/>
        <color rgb="FF000000"/>
        <rFont val="Times New Roman"/>
      </rPr>
      <t>勺子</t>
    </r>
    <r>
      <rPr>
        <sz val="11"/>
        <color rgb="FF000000"/>
        <rFont val="Times New Roman"/>
      </rPr>
      <t>舀汤。</t>
    </r>
  </si>
  <si>
    <t>Mẹ dùng muôi để múc canh.</t>
  </si>
  <si>
    <t>H4_B12_BG-19.png</t>
  </si>
  <si>
    <t>B12_19.mp3</t>
  </si>
  <si>
    <t>B12_VD_19.mp3</t>
  </si>
  <si>
    <r>
      <rPr>
        <sz val="11"/>
        <color rgb="FF000000"/>
        <rFont val="Times New Roman"/>
      </rPr>
      <t>这些</t>
    </r>
    <r>
      <rPr>
        <b/>
        <sz val="11"/>
        <color rgb="FF000000"/>
        <rFont val="Times New Roman"/>
      </rPr>
      <t>叶子</t>
    </r>
    <r>
      <rPr>
        <sz val="11"/>
        <color rgb="FF000000"/>
        <rFont val="Times New Roman"/>
      </rPr>
      <t>真美。</t>
    </r>
  </si>
  <si>
    <t>教育</t>
  </si>
  <si>
    <t>&lt;ruby&gt;教育&lt;rt&gt;jiàoyù&lt;/rt&gt;&lt;/ruby&gt;</t>
  </si>
  <si>
    <t>jiàoyù</t>
  </si>
  <si>
    <t>giáo dục, dạy dỗ</t>
  </si>
  <si>
    <r>
      <rPr>
        <b/>
        <sz val="11"/>
        <color rgb="FF000000"/>
        <rFont val="Times New Roman"/>
      </rPr>
      <t>教育</t>
    </r>
    <r>
      <rPr>
        <sz val="11"/>
        <color rgb="FF000000"/>
        <rFont val="Times New Roman"/>
      </rPr>
      <t>是社会进步的基础。</t>
    </r>
  </si>
  <si>
    <t>Giáo dục là nền tảng của sự tiến bộ xã hội.</t>
  </si>
  <si>
    <t>H4_B12_BG-21.png</t>
  </si>
  <si>
    <t>B12_21.mp3</t>
  </si>
  <si>
    <t>B12_VD_21.mp3</t>
  </si>
  <si>
    <t>节约</t>
  </si>
  <si>
    <t>&lt;ruby&gt;节约&lt;rt&gt;jiéyuē&lt;/rt&gt;&lt;/ruby&gt;</t>
  </si>
  <si>
    <t>jiéyuē</t>
  </si>
  <si>
    <t>tiết kiệm</t>
  </si>
  <si>
    <r>
      <rPr>
        <sz val="11"/>
        <color rgb="FF000000"/>
        <rFont val="Times New Roman"/>
      </rPr>
      <t>她</t>
    </r>
    <r>
      <rPr>
        <b/>
        <sz val="11"/>
        <color rgb="FF000000"/>
        <rFont val="Times New Roman"/>
      </rPr>
      <t>节约</t>
    </r>
    <r>
      <rPr>
        <sz val="11"/>
        <color rgb="FF000000"/>
        <rFont val="Times New Roman"/>
      </rPr>
      <t>每一分钱，为了能够出国留学。</t>
    </r>
  </si>
  <si>
    <t>Cô ấy tiết kiệm từng đồng một để có thể đi du học.</t>
  </si>
  <si>
    <t>H4_B12_BG-22.png</t>
  </si>
  <si>
    <t>B12_22.mp3</t>
  </si>
  <si>
    <t>B12_VD_22.mp3</t>
  </si>
  <si>
    <r>
      <rPr>
        <sz val="11"/>
        <color rgb="FF000000"/>
        <rFont val="Times New Roman"/>
      </rPr>
      <t>一</t>
    </r>
    <r>
      <rPr>
        <b/>
        <sz val="11"/>
        <color rgb="FF000000"/>
        <rFont val="Times New Roman"/>
      </rPr>
      <t>节</t>
    </r>
    <r>
      <rPr>
        <sz val="11"/>
        <color rgb="FF000000"/>
        <rFont val="Times New Roman"/>
      </rPr>
      <t>课四十五分钟。</t>
    </r>
  </si>
  <si>
    <t>保护</t>
  </si>
  <si>
    <t>&lt;ruby&gt;保护&lt;rt&gt;bǎohù&lt;/rt&gt;&lt;/ruby&gt;</t>
  </si>
  <si>
    <t>bǎohù</t>
  </si>
  <si>
    <t>bảo vệ</t>
  </si>
  <si>
    <r>
      <rPr>
        <sz val="11"/>
        <color rgb="FF000000"/>
        <rFont val="Times New Roman"/>
      </rPr>
      <t>按规定扔垃圾有助于</t>
    </r>
    <r>
      <rPr>
        <b/>
        <sz val="11"/>
        <color rgb="FF000000"/>
        <rFont val="Times New Roman"/>
      </rPr>
      <t>保护</t>
    </r>
    <r>
      <rPr>
        <sz val="11"/>
        <color rgb="FF000000"/>
        <rFont val="Times New Roman"/>
      </rPr>
      <t>环境。</t>
    </r>
  </si>
  <si>
    <t>vứt rác đúng nơi quy định góp phần bảo vệ môi trường</t>
  </si>
  <si>
    <t>H4_B12_BG-24.png</t>
  </si>
  <si>
    <t>B12_24.mp3</t>
  </si>
  <si>
    <t>B12_VD_24.mp3</t>
  </si>
  <si>
    <t>作用</t>
  </si>
  <si>
    <t>&lt;ruby&gt;作用&lt;rt&gt;zuòyòng&lt;/rt&gt;&lt;/ruby&gt;</t>
  </si>
  <si>
    <t>zuòyòng</t>
  </si>
  <si>
    <t>tác dụng</t>
  </si>
  <si>
    <r>
      <rPr>
        <sz val="11"/>
        <color rgb="FF000000"/>
        <rFont val="Times New Roman"/>
      </rPr>
      <t>运动对身体有很好的</t>
    </r>
    <r>
      <rPr>
        <b/>
        <sz val="11"/>
        <color rgb="FF000000"/>
        <rFont val="Times New Roman"/>
      </rPr>
      <t>作用</t>
    </r>
    <r>
      <rPr>
        <sz val="11"/>
        <color rgb="FF000000"/>
        <rFont val="Times New Roman"/>
      </rPr>
      <t>。</t>
    </r>
  </si>
  <si>
    <t>Vận động có nhiều lợi ích cho cơ thể.</t>
  </si>
  <si>
    <t>H4_B12_BG-25.png</t>
  </si>
  <si>
    <t>B12_25.mp3</t>
  </si>
  <si>
    <t>B12_VD_25.mp3</t>
  </si>
  <si>
    <t>无法</t>
  </si>
  <si>
    <t>&lt;ruby&gt;无法&lt;rt&gt;wúfǎ&lt;/rt&gt;&lt;/ruby&gt;</t>
  </si>
  <si>
    <t>wúfǎ</t>
  </si>
  <si>
    <t>không thể, không có cách gì</t>
  </si>
  <si>
    <r>
      <rPr>
        <sz val="11"/>
        <color rgb="FF000000"/>
        <rFont val="Times New Roman"/>
      </rPr>
      <t xml:space="preserve"> 我现在</t>
    </r>
    <r>
      <rPr>
        <b/>
        <sz val="11"/>
        <color rgb="FF000000"/>
        <rFont val="Times New Roman"/>
      </rPr>
      <t>无法</t>
    </r>
    <r>
      <rPr>
        <sz val="11"/>
        <color rgb="FF000000"/>
        <rFont val="Times New Roman"/>
      </rPr>
      <t>清醒。</t>
    </r>
  </si>
  <si>
    <t>Tôi không thể tỉnh táo vào lúc này</t>
  </si>
  <si>
    <t>H4_B12_BG-26.png</t>
  </si>
  <si>
    <t>B12_26.mp3</t>
  </si>
  <si>
    <t>B12_VD_26.mp3</t>
  </si>
  <si>
    <t>使用</t>
  </si>
  <si>
    <t>&lt;ruby&gt;使用&lt;rt&gt;shǐyòng&lt;/rt&gt;&lt;/ruby&gt;</t>
  </si>
  <si>
    <t>shǐyòng</t>
  </si>
  <si>
    <t>sử dụng</t>
  </si>
  <si>
    <r>
      <rPr>
        <sz val="11"/>
        <color rgb="FF000000"/>
        <rFont val="Times New Roman"/>
      </rPr>
      <t>我</t>
    </r>
    <r>
      <rPr>
        <b/>
        <sz val="11"/>
        <color rgb="FF000000"/>
        <rFont val="Times New Roman"/>
      </rPr>
      <t>使用</t>
    </r>
    <r>
      <rPr>
        <sz val="11"/>
        <color rgb="FF000000"/>
        <rFont val="Times New Roman"/>
      </rPr>
      <t>望远镜看星星。</t>
    </r>
  </si>
  <si>
    <t>Tôi sử dụng kính viễn vọng để ngắm sao.</t>
  </si>
  <si>
    <t>H4_B12_BG-27.png</t>
  </si>
  <si>
    <t>B12_27.mp3</t>
  </si>
  <si>
    <t>B12_VD_27.mp3</t>
  </si>
  <si>
    <t>友好</t>
  </si>
  <si>
    <t>&lt;ruby&gt;友好&lt;rt&gt;yǒuhǎo&lt;/rt&gt;&lt;/ruby&gt;</t>
  </si>
  <si>
    <t>yǒuhǎo</t>
  </si>
  <si>
    <t>thân thiện</t>
  </si>
  <si>
    <r>
      <rPr>
        <sz val="11"/>
        <color rgb="FF000000"/>
        <rFont val="Times New Roman"/>
      </rPr>
      <t xml:space="preserve"> 纸袋是一种环保</t>
    </r>
    <r>
      <rPr>
        <b/>
        <sz val="11"/>
        <color rgb="FF000000"/>
        <rFont val="Times New Roman"/>
      </rPr>
      <t>友好</t>
    </r>
    <r>
      <rPr>
        <sz val="11"/>
        <color rgb="FF000000"/>
        <rFont val="Times New Roman"/>
      </rPr>
      <t>的产品。</t>
    </r>
  </si>
  <si>
    <t>túi giấy là một sản phẩm thân thiện với môi trường</t>
  </si>
  <si>
    <t>H4_B12_BG-28.png</t>
  </si>
  <si>
    <t>B12_28.mp3</t>
  </si>
  <si>
    <t>B12_VD_28.mp3</t>
  </si>
  <si>
    <t>事半功倍</t>
  </si>
  <si>
    <t>&lt;ruby&gt;事半功倍&lt;rt&gt;shì bàn gōng bèi&lt;/rt&gt;&lt;/ruby&gt;</t>
  </si>
  <si>
    <t>shì bàn gōng bèi</t>
  </si>
  <si>
    <t>làm chơi ăn thật</t>
  </si>
  <si>
    <r>
      <rPr>
        <sz val="11"/>
        <color rgb="FF000000"/>
        <rFont val="Times New Roman"/>
      </rPr>
      <t>正确的方法会让你</t>
    </r>
    <r>
      <rPr>
        <b/>
        <sz val="11"/>
        <color rgb="FF000000"/>
        <rFont val="Times New Roman"/>
      </rPr>
      <t>事半功倍</t>
    </r>
    <r>
      <rPr>
        <sz val="11"/>
        <color rgb="FF000000"/>
        <rFont val="Times New Roman"/>
      </rPr>
      <t>。</t>
    </r>
  </si>
  <si>
    <t>Phương pháp đúng đắn sẽ đạt được hiệu quả cao.</t>
  </si>
  <si>
    <t>H4_B12_BG-29.png</t>
  </si>
  <si>
    <t>B12_29.mp3</t>
  </si>
  <si>
    <t>B12_VD_29.mp3</t>
  </si>
  <si>
    <t>力气</t>
  </si>
  <si>
    <t>&lt;ruby&gt;力气&lt;rt&gt;lìqì&lt;/rt&gt;&lt;/ruby&gt;</t>
  </si>
  <si>
    <t>lìqì</t>
  </si>
  <si>
    <t>sức lực, hơi sức</t>
  </si>
  <si>
    <r>
      <rPr>
        <sz val="11"/>
        <color rgb="FF000000"/>
        <rFont val="Times New Roman"/>
      </rPr>
      <t>我已经没有</t>
    </r>
    <r>
      <rPr>
        <b/>
        <sz val="11"/>
        <color rgb="FF000000"/>
        <rFont val="Times New Roman"/>
      </rPr>
      <t>力气</t>
    </r>
    <r>
      <rPr>
        <sz val="11"/>
        <color rgb="FF000000"/>
        <rFont val="Times New Roman"/>
      </rPr>
      <t>了。</t>
    </r>
  </si>
  <si>
    <t xml:space="preserve">Tôi không còn sức lực rồi. </t>
  </si>
  <si>
    <t>H4_B12_BG-30.png</t>
  </si>
  <si>
    <t>B12_30.mp3</t>
  </si>
  <si>
    <t>B12_VD_30.mp3</t>
  </si>
  <si>
    <t>相反</t>
  </si>
  <si>
    <t>&lt;ruby&gt;相反&lt;rt&gt;xiāngfǎn&lt;/rt&gt;&lt;/ruby&gt;</t>
  </si>
  <si>
    <t>xiāngfǎn</t>
  </si>
  <si>
    <t>trái lại, ngược lại</t>
  </si>
  <si>
    <r>
      <rPr>
        <sz val="11"/>
        <color rgb="FF000000"/>
        <rFont val="Times New Roman"/>
      </rPr>
      <t xml:space="preserve"> 南北方的天气完全</t>
    </r>
    <r>
      <rPr>
        <b/>
        <sz val="11"/>
        <color rgb="FF000000"/>
        <rFont val="Times New Roman"/>
      </rPr>
      <t>相反</t>
    </r>
    <r>
      <rPr>
        <sz val="11"/>
        <color rgb="FF000000"/>
        <rFont val="Times New Roman"/>
      </rPr>
      <t>。</t>
    </r>
  </si>
  <si>
    <t>Thời tiết 2 miền Nam - Bắc trái ngược với nhau.</t>
  </si>
  <si>
    <t>H4_B12_BG-31.png</t>
  </si>
  <si>
    <t>B12_31.mp3</t>
  </si>
  <si>
    <t>B12_VD_31.mp3</t>
  </si>
  <si>
    <t>任务</t>
  </si>
  <si>
    <t>&lt;ruby&gt;任务&lt;rt&gt;rènwù&lt;/rt&gt;&lt;/ruby&gt;</t>
  </si>
  <si>
    <t>rènwù</t>
  </si>
  <si>
    <t>nhiệm vụ</t>
  </si>
  <si>
    <r>
      <rPr>
        <sz val="11"/>
        <color rgb="FF000000"/>
        <rFont val="Times New Roman"/>
      </rPr>
      <t>妈妈交给我的</t>
    </r>
    <r>
      <rPr>
        <b/>
        <sz val="11"/>
        <color rgb="FF000000"/>
        <rFont val="Times New Roman"/>
      </rPr>
      <t>任务</t>
    </r>
    <r>
      <rPr>
        <sz val="11"/>
        <color rgb="FF000000"/>
        <rFont val="Times New Roman"/>
      </rPr>
      <t>是晾衣服。</t>
    </r>
  </si>
  <si>
    <t>mẹ đã giao nhiệm vụ cho tôi là phơi quần áo</t>
  </si>
  <si>
    <t>H4_B12_BG-32.png</t>
  </si>
  <si>
    <t>B12_32.mp3</t>
  </si>
  <si>
    <t>B12_VD_32.mp3</t>
  </si>
  <si>
    <t>达到</t>
  </si>
  <si>
    <t>&lt;ruby&gt;达到&lt;rt&gt;dádào&lt;/rt&gt;&lt;/ruby&gt;</t>
  </si>
  <si>
    <t>dádào</t>
  </si>
  <si>
    <t>đạt được</t>
  </si>
  <si>
    <r>
      <rPr>
        <sz val="11"/>
        <color rgb="FF000000"/>
        <rFont val="Times New Roman"/>
      </rPr>
      <t>我会努力</t>
    </r>
    <r>
      <rPr>
        <b/>
        <sz val="11"/>
        <color rgb="FF000000"/>
        <rFont val="Times New Roman"/>
      </rPr>
      <t>达到</t>
    </r>
    <r>
      <rPr>
        <sz val="11"/>
        <color rgb="FF000000"/>
        <rFont val="Times New Roman"/>
      </rPr>
      <t>自己的梦想。</t>
    </r>
  </si>
  <si>
    <t>tôi sẽ cố gắng để đạt được ước mơ của mình</t>
  </si>
  <si>
    <t>H4_B12_BG-33.png</t>
  </si>
  <si>
    <t>B12_33.mp3</t>
  </si>
  <si>
    <t>B12_VD_33.mp3</t>
  </si>
  <si>
    <t>京剧</t>
  </si>
  <si>
    <t>&lt;ruby&gt;京剧&lt;rt&gt;jīngjù&lt;/rt&gt;&lt;/ruby&gt;</t>
  </si>
  <si>
    <t>jīngjù</t>
  </si>
  <si>
    <t>Kinh kịch</t>
  </si>
  <si>
    <r>
      <rPr>
        <sz val="11"/>
        <color rgb="FF000000"/>
        <rFont val="Times New Roman"/>
      </rPr>
      <t>我对</t>
    </r>
    <r>
      <rPr>
        <b/>
        <sz val="11"/>
        <color rgb="FF000000"/>
        <rFont val="Times New Roman"/>
      </rPr>
      <t>京剧</t>
    </r>
    <r>
      <rPr>
        <sz val="11"/>
        <color rgb="FF000000"/>
        <rFont val="Times New Roman"/>
      </rPr>
      <t>很感兴趣。</t>
    </r>
  </si>
  <si>
    <t>Tôi rất có hứng thú với Kinh kịch.</t>
  </si>
  <si>
    <t>H4_B13_BG-01.png</t>
  </si>
  <si>
    <t>B13_1.mp3</t>
  </si>
  <si>
    <t>B13_VD_1.mp3</t>
  </si>
  <si>
    <t>演员</t>
  </si>
  <si>
    <t>&lt;ruby&gt;演员&lt;rt&gt;yǎnyuán&lt;/rt&gt;&lt;/ruby&gt;</t>
  </si>
  <si>
    <t>yǎnyuán</t>
  </si>
  <si>
    <t>diễn viên</t>
  </si>
  <si>
    <r>
      <rPr>
        <sz val="11"/>
        <color rgb="FF000000"/>
        <rFont val="Times New Roman"/>
      </rPr>
      <t>她梦想成为一名</t>
    </r>
    <r>
      <rPr>
        <b/>
        <sz val="11"/>
        <color rgb="FF000000"/>
        <rFont val="Times New Roman"/>
      </rPr>
      <t>演员</t>
    </r>
    <r>
      <rPr>
        <sz val="11"/>
        <color rgb="FF000000"/>
        <rFont val="Times New Roman"/>
      </rPr>
      <t xml:space="preserve">。
</t>
    </r>
  </si>
  <si>
    <t>Cô ấy mơ ước trở thành một diễn viên.</t>
  </si>
  <si>
    <t>H4_B13_BG-02.png</t>
  </si>
  <si>
    <t>B13_2.mp3</t>
  </si>
  <si>
    <t>B13_VD_2.mp3</t>
  </si>
  <si>
    <t>观众</t>
  </si>
  <si>
    <t>&lt;ruby&gt;观众&lt;rt&gt;guānzhòng&lt;/rt&gt;&lt;/ruby&gt;</t>
  </si>
  <si>
    <t>guānzhòng</t>
  </si>
  <si>
    <t>khán giả</t>
  </si>
  <si>
    <r>
      <rPr>
        <b/>
        <sz val="10"/>
        <color theme="1"/>
        <rFont val="Arial"/>
      </rPr>
      <t>观众</t>
    </r>
    <r>
      <rPr>
        <sz val="10"/>
        <color theme="1"/>
        <rFont val="Arial"/>
      </rPr>
      <t>都很喜欢这个节目。</t>
    </r>
  </si>
  <si>
    <t>Khán giả đều rất thích chương trình này.</t>
  </si>
  <si>
    <t>H4_B13_BG-03.png</t>
  </si>
  <si>
    <t>B13_3.mp3</t>
  </si>
  <si>
    <t>B13_VD_3.mp3</t>
  </si>
  <si>
    <t>演出</t>
  </si>
  <si>
    <t>&lt;ruby&gt;演出&lt;rt&gt;yǎnchū&lt;/rt&gt;&lt;/ruby&gt;</t>
  </si>
  <si>
    <t>yǎnchū</t>
  </si>
  <si>
    <t>biểu diễn</t>
  </si>
  <si>
    <r>
      <rPr>
        <sz val="11"/>
        <color rgb="FF000000"/>
        <rFont val="Times New Roman"/>
      </rPr>
      <t>今天晚上我</t>
    </r>
    <r>
      <rPr>
        <b/>
        <sz val="11"/>
        <color rgb="FF000000"/>
        <rFont val="Times New Roman"/>
      </rPr>
      <t>演出</t>
    </r>
    <r>
      <rPr>
        <sz val="11"/>
        <color rgb="FF000000"/>
        <rFont val="Times New Roman"/>
      </rPr>
      <t>打鼓。</t>
    </r>
  </si>
  <si>
    <t>Tối nay tôi biểu diễn đánh trống.</t>
  </si>
  <si>
    <t>H4_B13_BG-04.png</t>
  </si>
  <si>
    <t>B13_4.mp3</t>
  </si>
  <si>
    <t>B13_VD_4.mp3</t>
  </si>
  <si>
    <r>
      <rPr>
        <sz val="11"/>
        <color rgb="FF000000"/>
        <rFont val="Times New Roman"/>
      </rPr>
      <t>他们正在</t>
    </r>
    <r>
      <rPr>
        <b/>
        <sz val="11"/>
        <color rgb="FF000000"/>
        <rFont val="Times New Roman"/>
      </rPr>
      <t>表演</t>
    </r>
    <r>
      <rPr>
        <sz val="11"/>
        <color rgb="FF000000"/>
        <rFont val="Times New Roman"/>
      </rPr>
      <t>舞狮。</t>
    </r>
  </si>
  <si>
    <t>基础</t>
  </si>
  <si>
    <t>&lt;ruby&gt;基础&lt;rt&gt;jīchǔ&lt;/rt&gt;&lt;/ruby&gt;</t>
  </si>
  <si>
    <t>jīchǔ</t>
  </si>
  <si>
    <t>nền tảng, căn bản</t>
  </si>
  <si>
    <r>
      <rPr>
        <sz val="11"/>
        <color rgb="FF000000"/>
        <rFont val="Times New Roman"/>
      </rPr>
      <t>我对芭蕾舞没有</t>
    </r>
    <r>
      <rPr>
        <b/>
        <sz val="11"/>
        <color rgb="FF000000"/>
        <rFont val="Times New Roman"/>
      </rPr>
      <t>基础</t>
    </r>
    <r>
      <rPr>
        <sz val="11"/>
        <color rgb="FF000000"/>
        <rFont val="Times New Roman"/>
      </rPr>
      <t>知识。</t>
    </r>
  </si>
  <si>
    <t>tôi không có kiến thức căn bản về múa ba lê</t>
  </si>
  <si>
    <t>H4_B13_BG-06.png</t>
  </si>
  <si>
    <t>B13_6.mp3</t>
  </si>
  <si>
    <t>B13_VD_6.mp3</t>
  </si>
  <si>
    <t>有趣</t>
  </si>
  <si>
    <t>&lt;ruby&gt;有趣&lt;rt&gt;yǒuqù&lt;/rt&gt;&lt;/ruby&gt;</t>
  </si>
  <si>
    <t>yǒuqù</t>
  </si>
  <si>
    <t>thú vị, lý thú</t>
  </si>
  <si>
    <r>
      <rPr>
        <sz val="11"/>
        <color rgb="FF000000"/>
        <rFont val="Times New Roman"/>
      </rPr>
      <t>我没想到学跳舞会这么</t>
    </r>
    <r>
      <rPr>
        <b/>
        <sz val="11"/>
        <color rgb="FF000000"/>
        <rFont val="Times New Roman"/>
      </rPr>
      <t>有趣</t>
    </r>
    <r>
      <rPr>
        <sz val="11"/>
        <color rgb="FF000000"/>
        <rFont val="Times New Roman"/>
      </rPr>
      <t>。</t>
    </r>
  </si>
  <si>
    <t>tôi không ngờ học nhảy lại thú vị đến thế</t>
  </si>
  <si>
    <t>H4_B13_BG-07.png</t>
  </si>
  <si>
    <t>B13_7.mp3</t>
  </si>
  <si>
    <t>B13_VD_7.mp3</t>
  </si>
  <si>
    <r>
      <rPr>
        <sz val="11"/>
        <color rgb="FF000000"/>
        <rFont val="Times New Roman"/>
      </rPr>
      <t>滑冰让我很</t>
    </r>
    <r>
      <rPr>
        <b/>
        <sz val="11"/>
        <color rgb="FF000000"/>
        <rFont val="Times New Roman"/>
      </rPr>
      <t>开心</t>
    </r>
    <r>
      <rPr>
        <sz val="11"/>
        <color rgb="FF000000"/>
        <rFont val="Times New Roman"/>
      </rPr>
      <t>。</t>
    </r>
  </si>
  <si>
    <t>厚</t>
  </si>
  <si>
    <t>&lt;ruby&gt;厚&lt;rt&gt;hòu&lt;/rt&gt;&lt;/ruby&gt;</t>
  </si>
  <si>
    <t>dày, sâu nặng</t>
  </si>
  <si>
    <r>
      <rPr>
        <sz val="11"/>
        <color rgb="FF000000"/>
        <rFont val="Times New Roman"/>
      </rPr>
      <t>这本书很</t>
    </r>
    <r>
      <rPr>
        <b/>
        <sz val="11"/>
        <color rgb="FF000000"/>
        <rFont val="Times New Roman"/>
      </rPr>
      <t>厚</t>
    </r>
    <r>
      <rPr>
        <sz val="11"/>
        <color rgb="FF000000"/>
        <rFont val="Times New Roman"/>
      </rPr>
      <t>。</t>
    </r>
  </si>
  <si>
    <t>Quyển sách này rất dày.</t>
  </si>
  <si>
    <t>H4_B13_BG-09.png</t>
  </si>
  <si>
    <t>B13_9.mp3</t>
  </si>
  <si>
    <t>B13_VD_9.mp3</t>
  </si>
  <si>
    <r>
      <rPr>
        <sz val="11"/>
        <color rgb="FF000000"/>
        <rFont val="Times New Roman"/>
      </rPr>
      <t>这部电影</t>
    </r>
    <r>
      <rPr>
        <b/>
        <sz val="11"/>
        <color rgb="FF000000"/>
        <rFont val="Times New Roman"/>
      </rPr>
      <t>大概</t>
    </r>
    <r>
      <rPr>
        <sz val="11"/>
        <color rgb="FF000000"/>
        <rFont val="Times New Roman"/>
      </rPr>
      <t>会很好看。</t>
    </r>
  </si>
  <si>
    <r>
      <rPr>
        <sz val="11"/>
        <color rgb="FF000000"/>
        <rFont val="Times New Roman"/>
      </rPr>
      <t>我的朋友</t>
    </r>
    <r>
      <rPr>
        <b/>
        <sz val="11"/>
        <color rgb="FF000000"/>
        <rFont val="Times New Roman"/>
      </rPr>
      <t>来自</t>
    </r>
    <r>
      <rPr>
        <sz val="11"/>
        <color rgb="FF000000"/>
        <rFont val="Times New Roman"/>
      </rPr>
      <t>英国。</t>
    </r>
  </si>
  <si>
    <r>
      <rPr>
        <sz val="11"/>
        <color rgb="FF000000"/>
        <rFont val="Times New Roman"/>
      </rPr>
      <t>我已经读了这本书两</t>
    </r>
    <r>
      <rPr>
        <b/>
        <sz val="11"/>
        <color rgb="FF000000"/>
        <rFont val="Times New Roman"/>
      </rPr>
      <t>遍</t>
    </r>
    <r>
      <rPr>
        <sz val="11"/>
        <color rgb="FF000000"/>
        <rFont val="Times New Roman"/>
      </rPr>
      <t>。</t>
    </r>
  </si>
  <si>
    <t>偶尔</t>
  </si>
  <si>
    <t>&lt;ruby&gt;偶尔&lt;rt&gt;ǒu'ěr&lt;/rt&gt;&lt;/ruby&gt;</t>
  </si>
  <si>
    <t>ǒu'ěr</t>
  </si>
  <si>
    <t>thỉnh thoảng</t>
  </si>
  <si>
    <r>
      <rPr>
        <b/>
        <sz val="11"/>
        <color rgb="FF000000"/>
        <rFont val="Times New Roman"/>
      </rPr>
      <t>偶尔</t>
    </r>
    <r>
      <rPr>
        <sz val="11"/>
        <color rgb="FF000000"/>
        <rFont val="Times New Roman"/>
      </rPr>
      <t>天气太冷，我的鼻子会流血。</t>
    </r>
  </si>
  <si>
    <t>thỉnh thoảng mũi tôi chảy máu do trời quá lạnh</t>
  </si>
  <si>
    <t>H4_B13_BG-13.png</t>
  </si>
  <si>
    <t>B13_13.mp3</t>
  </si>
  <si>
    <t>B13_VD_13.mp3</t>
  </si>
  <si>
    <t>吃惊</t>
  </si>
  <si>
    <t>&lt;ruby&gt;吃惊&lt;rt&gt;chī jīng&lt;/rt&gt;&lt;/ruby&gt;</t>
  </si>
  <si>
    <t>chī jīng</t>
  </si>
  <si>
    <t>kinh ngạc</t>
  </si>
  <si>
    <r>
      <rPr>
        <sz val="11"/>
        <color rgb="FF000000"/>
        <rFont val="Times New Roman"/>
      </rPr>
      <t>我对自己的体重增加感到</t>
    </r>
    <r>
      <rPr>
        <b/>
        <sz val="11"/>
        <color rgb="FF000000"/>
        <rFont val="Times New Roman"/>
      </rPr>
      <t>吃惊</t>
    </r>
    <r>
      <rPr>
        <sz val="11"/>
        <color rgb="FF000000"/>
        <rFont val="Times New Roman"/>
      </rPr>
      <t>。</t>
    </r>
  </si>
  <si>
    <t>Tôi cảm thấy kinh ngạc về sự tăng cân của bản thân</t>
  </si>
  <si>
    <t>H4_B13_BG-14.png</t>
  </si>
  <si>
    <t>B13_14.mp3</t>
  </si>
  <si>
    <t>B13_VD_14.mp3</t>
  </si>
  <si>
    <t>大约</t>
  </si>
  <si>
    <t>&lt;ruby&gt;大约&lt;rt&gt;dàyuē&lt;/rt&gt;&lt;/ruby&gt;</t>
  </si>
  <si>
    <t>dàyuē</t>
  </si>
  <si>
    <t>khoảng chừng, ước chừng</t>
  </si>
  <si>
    <r>
      <rPr>
        <b/>
        <sz val="11"/>
        <color rgb="FF000000"/>
        <rFont val="Times New Roman"/>
      </rPr>
      <t>大约</t>
    </r>
    <r>
      <rPr>
        <sz val="11"/>
        <color rgb="FF000000"/>
        <rFont val="Times New Roman"/>
      </rPr>
      <t xml:space="preserve">一个月后我的孩子就要出生了。
</t>
    </r>
  </si>
  <si>
    <t>khoảng chứng 1 tháng nữa là con tôi sẽ ra đời</t>
  </si>
  <si>
    <t>H4_B13_BG-15.png</t>
  </si>
  <si>
    <t>B13_15.mp3</t>
  </si>
  <si>
    <t>B13_VD_15.mp3</t>
  </si>
  <si>
    <t>互联网</t>
  </si>
  <si>
    <t>&lt;ruby&gt;互联网&lt;rt&gt;hùliánwǎng&lt;/rt&gt;&lt;/ruby&gt;</t>
  </si>
  <si>
    <t>hùliánwǎng</t>
  </si>
  <si>
    <t>mạng Internet</t>
  </si>
  <si>
    <r>
      <rPr>
        <sz val="11"/>
        <color rgb="FF000000"/>
        <rFont val="Times New Roman"/>
      </rPr>
      <t>我需要</t>
    </r>
    <r>
      <rPr>
        <b/>
        <sz val="11"/>
        <color rgb="FF000000"/>
        <rFont val="Times New Roman"/>
      </rPr>
      <t>互联网</t>
    </r>
    <r>
      <rPr>
        <sz val="11"/>
        <color rgb="FF000000"/>
        <rFont val="Times New Roman"/>
      </rPr>
      <t>来上网课。</t>
    </r>
  </si>
  <si>
    <t>tôi cần có mạng Internet để học trực tuyến</t>
  </si>
  <si>
    <t>H4_B13_BG-16.png</t>
  </si>
  <si>
    <t>B13_16.mp3</t>
  </si>
  <si>
    <t>B13_VD_16.mp3</t>
  </si>
  <si>
    <t>餐厅</t>
  </si>
  <si>
    <t>&lt;ruby&gt;餐厅&lt;rt&gt;cāntīng&lt;/rt&gt;&lt;/ruby&gt;</t>
  </si>
  <si>
    <t>cāntīng</t>
  </si>
  <si>
    <t>nhà hàng</t>
  </si>
  <si>
    <r>
      <rPr>
        <sz val="11"/>
        <color rgb="FF000000"/>
        <rFont val="Times New Roman"/>
      </rPr>
      <t>她在一家著名的</t>
    </r>
    <r>
      <rPr>
        <b/>
        <sz val="11"/>
        <color rgb="FF000000"/>
        <rFont val="Times New Roman"/>
      </rPr>
      <t>餐厅</t>
    </r>
    <r>
      <rPr>
        <sz val="11"/>
        <color rgb="FF000000"/>
        <rFont val="Times New Roman"/>
      </rPr>
      <t>当厨师。</t>
    </r>
  </si>
  <si>
    <t>cô ấy làm đầu bếp  trong một nhà hàng nổi tiếng</t>
  </si>
  <si>
    <t>H4_B13_BG-17.png</t>
  </si>
  <si>
    <t>B13_17.mp3</t>
  </si>
  <si>
    <t>B13_VD_17.mp3</t>
  </si>
  <si>
    <t>纸袋</t>
  </si>
  <si>
    <t>&lt;ruby&gt;纸袋&lt;rt&gt;zhǐdài&lt;/rt&gt;&lt;/ruby&gt;</t>
  </si>
  <si>
    <t>zhǐdài</t>
  </si>
  <si>
    <t>túi giấy</t>
  </si>
  <si>
    <r>
      <rPr>
        <sz val="11"/>
        <color rgb="FF000000"/>
        <rFont val="Times New Roman"/>
      </rPr>
      <t>用这些</t>
    </r>
    <r>
      <rPr>
        <b/>
        <sz val="11"/>
        <color rgb="FF000000"/>
        <rFont val="Times New Roman"/>
      </rPr>
      <t>纸袋</t>
    </r>
    <r>
      <rPr>
        <sz val="11"/>
        <color rgb="FF000000"/>
        <rFont val="Times New Roman"/>
      </rPr>
      <t>装东西吧。</t>
    </r>
  </si>
  <si>
    <t>Dùng những cái túi giấy này để đựng đồ nè.</t>
  </si>
  <si>
    <t>H4_B13_BG-18.png</t>
  </si>
  <si>
    <t>B13_18.mp3</t>
  </si>
  <si>
    <t>B13_VD_18.mp3</t>
  </si>
  <si>
    <t>袋（子）</t>
  </si>
  <si>
    <t>&lt;ruby&gt;袋（子）&lt;rt&gt;dài (zi)&lt;/rt&gt;&lt;/ruby&gt;</t>
  </si>
  <si>
    <t>dài (zi)</t>
  </si>
  <si>
    <t>túi</t>
  </si>
  <si>
    <r>
      <rPr>
        <sz val="11"/>
        <color rgb="FF000000"/>
        <rFont val="Times New Roman"/>
      </rPr>
      <t>我的</t>
    </r>
    <r>
      <rPr>
        <b/>
        <sz val="11"/>
        <color rgb="FF000000"/>
        <rFont val="Times New Roman"/>
      </rPr>
      <t>袋子</t>
    </r>
    <r>
      <rPr>
        <sz val="11"/>
        <color rgb="FF000000"/>
        <rFont val="Times New Roman"/>
      </rPr>
      <t>破了一个洞。</t>
    </r>
  </si>
  <si>
    <t>Túi của tôi bị rách một lỗ.</t>
  </si>
  <si>
    <t>H4_B13_BG-19.png</t>
  </si>
  <si>
    <t>B13_19.mp3</t>
  </si>
  <si>
    <t>B13_VD_19.mp3</t>
  </si>
  <si>
    <t>省</t>
  </si>
  <si>
    <t>&lt;ruby&gt;省&lt;rt&gt;shěng&lt;/rt&gt;&lt;/ruby&gt;</t>
  </si>
  <si>
    <t>shěng</t>
  </si>
  <si>
    <t>tỉnh</t>
  </si>
  <si>
    <r>
      <rPr>
        <sz val="11"/>
        <color rgb="FF000000"/>
        <rFont val="Times New Roman"/>
      </rPr>
      <t>越南有63个</t>
    </r>
    <r>
      <rPr>
        <b/>
        <sz val="11"/>
        <color rgb="FF000000"/>
        <rFont val="Times New Roman"/>
      </rPr>
      <t>省</t>
    </r>
    <r>
      <rPr>
        <sz val="11"/>
        <color rgb="FF000000"/>
        <rFont val="Times New Roman"/>
      </rPr>
      <t>。</t>
    </r>
  </si>
  <si>
    <t>Việt Nam có 63 tỉnh.</t>
  </si>
  <si>
    <t>H4_B13_BG-20.png</t>
  </si>
  <si>
    <t>B13_20.mp3</t>
  </si>
  <si>
    <t>B13_VD_20.mp3</t>
  </si>
  <si>
    <t>稍微</t>
  </si>
  <si>
    <t>&lt;ruby&gt;稍微&lt;rt&gt;shāowéi&lt;/rt&gt;&lt;/ruby&gt;</t>
  </si>
  <si>
    <t>shāowéi</t>
  </si>
  <si>
    <t>hơi</t>
  </si>
  <si>
    <r>
      <rPr>
        <sz val="11"/>
        <color rgb="FF000000"/>
        <rFont val="Times New Roman"/>
      </rPr>
      <t>这个菜</t>
    </r>
    <r>
      <rPr>
        <b/>
        <sz val="11"/>
        <color rgb="FF000000"/>
        <rFont val="Times New Roman"/>
      </rPr>
      <t>稍微</t>
    </r>
    <r>
      <rPr>
        <sz val="11"/>
        <color rgb="FF000000"/>
        <rFont val="Times New Roman"/>
      </rPr>
      <t>咸了一点。</t>
    </r>
  </si>
  <si>
    <t>Món này hơi mặn một chút.</t>
  </si>
  <si>
    <t>H4_B13_BG-21.png</t>
  </si>
  <si>
    <t>B13_21.mp3</t>
  </si>
  <si>
    <t>B13_VD_21.mp3</t>
  </si>
  <si>
    <t>十分</t>
  </si>
  <si>
    <t>&lt;ruby&gt;十分&lt;rt&gt;shífēn&lt;/rt&gt;&lt;/ruby&gt;</t>
  </si>
  <si>
    <t>shífēn</t>
  </si>
  <si>
    <r>
      <rPr>
        <sz val="11"/>
        <color rgb="FF000000"/>
        <rFont val="Times New Roman"/>
      </rPr>
      <t>这个工程</t>
    </r>
    <r>
      <rPr>
        <b/>
        <sz val="11"/>
        <color rgb="FF000000"/>
        <rFont val="Times New Roman"/>
      </rPr>
      <t>十分</t>
    </r>
    <r>
      <rPr>
        <sz val="11"/>
        <color rgb="FF000000"/>
        <rFont val="Times New Roman"/>
      </rPr>
      <t>复杂。</t>
    </r>
  </si>
  <si>
    <t>Công trình này thực sự phức tạp.</t>
  </si>
  <si>
    <t>H4_B13_BG-22.png</t>
  </si>
  <si>
    <t>B13_22.mp3</t>
  </si>
  <si>
    <t>B13_VD_22.mp3</t>
  </si>
  <si>
    <t>正常</t>
  </si>
  <si>
    <t>&lt;ruby&gt;正常&lt;rt&gt;zhèngcháng&lt;/rt&gt;&lt;/ruby&gt;</t>
  </si>
  <si>
    <t>zhèngcháng</t>
  </si>
  <si>
    <t>bình thường, thông thường</t>
  </si>
  <si>
    <r>
      <rPr>
        <sz val="11"/>
        <color rgb="FF000000"/>
        <rFont val="Times New Roman"/>
      </rPr>
      <t>今天的天气真的不</t>
    </r>
    <r>
      <rPr>
        <b/>
        <sz val="11"/>
        <color rgb="FF000000"/>
        <rFont val="Times New Roman"/>
      </rPr>
      <t>正常</t>
    </r>
    <r>
      <rPr>
        <sz val="11"/>
        <color rgb="FF000000"/>
        <rFont val="Times New Roman"/>
      </rPr>
      <t>。</t>
    </r>
  </si>
  <si>
    <t>Thời tiết hôm nay thật không bình thường.</t>
  </si>
  <si>
    <t>H4_B13_BG-23.png</t>
  </si>
  <si>
    <t>B13_23.mp3</t>
  </si>
  <si>
    <t>B13_VD_23.mp3</t>
  </si>
  <si>
    <t>苦</t>
  </si>
  <si>
    <t>&lt;ruby&gt;苦&lt;rt&gt;kǔ&lt;/rt&gt;&lt;/ruby&gt;</t>
  </si>
  <si>
    <t>kǔ</t>
  </si>
  <si>
    <t>đắng</t>
  </si>
  <si>
    <r>
      <rPr>
        <sz val="11"/>
        <color rgb="FF000000"/>
        <rFont val="Times New Roman"/>
      </rPr>
      <t>喝这种药很</t>
    </r>
    <r>
      <rPr>
        <b/>
        <sz val="11"/>
        <color rgb="FF000000"/>
        <rFont val="Times New Roman"/>
      </rPr>
      <t>苦</t>
    </r>
    <r>
      <rPr>
        <sz val="11"/>
        <color rgb="FF000000"/>
        <rFont val="Times New Roman"/>
      </rPr>
      <t>。</t>
    </r>
  </si>
  <si>
    <t>Uống thuốc này rất đắng.</t>
  </si>
  <si>
    <t>H4_B13_BG-24.png</t>
  </si>
  <si>
    <t>B13_24.mp3</t>
  </si>
  <si>
    <t>B13_VD_24.mp3</t>
  </si>
  <si>
    <t>申请</t>
  </si>
  <si>
    <t>&lt;ruby&gt;申请&lt;rt&gt;shēnqǐng&lt;/rt&gt;&lt;/ruby&gt;</t>
  </si>
  <si>
    <t>shēnqǐng</t>
  </si>
  <si>
    <t>xin</t>
  </si>
  <si>
    <r>
      <rPr>
        <sz val="11"/>
        <color rgb="FF000000"/>
        <rFont val="Times New Roman"/>
      </rPr>
      <t>我打算</t>
    </r>
    <r>
      <rPr>
        <b/>
        <sz val="11"/>
        <color rgb="FF000000"/>
        <rFont val="Times New Roman"/>
      </rPr>
      <t>申请</t>
    </r>
    <r>
      <rPr>
        <sz val="11"/>
        <color rgb="FF000000"/>
        <rFont val="Times New Roman"/>
      </rPr>
      <t>那所大学。</t>
    </r>
  </si>
  <si>
    <t>Tôi dự định nộp đơn vào trường đại học đó.</t>
  </si>
  <si>
    <t>H4_B13_BG-25.png</t>
  </si>
  <si>
    <t>B13_25.mp3</t>
  </si>
  <si>
    <t>B13_VD_25.mp3</t>
  </si>
  <si>
    <r>
      <rPr>
        <sz val="11"/>
        <color rgb="FF000000"/>
        <rFont val="Times New Roman"/>
      </rPr>
      <t>尽管我已经吃药了，但咳嗽还是</t>
    </r>
    <r>
      <rPr>
        <b/>
        <sz val="11"/>
        <color rgb="FF000000"/>
        <rFont val="Times New Roman"/>
      </rPr>
      <t>继续</t>
    </r>
    <r>
      <rPr>
        <sz val="11"/>
        <color rgb="FF000000"/>
        <rFont val="Times New Roman"/>
      </rPr>
      <t>。</t>
    </r>
  </si>
  <si>
    <t>由</t>
  </si>
  <si>
    <t>&lt;ruby&gt;由&lt;rt&gt;yóu&lt;/rt&gt;&lt;/ruby&gt;</t>
  </si>
  <si>
    <t xml:space="preserve">do </t>
  </si>
  <si>
    <r>
      <rPr>
        <sz val="11"/>
        <color rgb="FF000000"/>
        <rFont val="Times New Roman"/>
      </rPr>
      <t>这项工作</t>
    </r>
    <r>
      <rPr>
        <b/>
        <sz val="11"/>
        <color rgb="FF000000"/>
        <rFont val="Times New Roman"/>
      </rPr>
      <t>由</t>
    </r>
    <r>
      <rPr>
        <sz val="11"/>
        <color rgb="FF000000"/>
        <rFont val="Times New Roman"/>
      </rPr>
      <t>他负责。</t>
    </r>
  </si>
  <si>
    <t>Công việc này do anh ấy phụ trách.</t>
  </si>
  <si>
    <t>H4_B13_BG-27.png</t>
  </si>
  <si>
    <t>B13_27.mp3</t>
  </si>
  <si>
    <t>B13_VD_27.mp3</t>
  </si>
  <si>
    <t>讨论</t>
  </si>
  <si>
    <t>&lt;ruby&gt;讨论&lt;rt&gt;tǎolùn&lt;/rt&gt;&lt;/ruby&gt;</t>
  </si>
  <si>
    <t>tǎolùn</t>
  </si>
  <si>
    <t>thảo luận, bàn bạc</t>
  </si>
  <si>
    <r>
      <rPr>
        <sz val="11"/>
        <color rgb="FF000000"/>
        <rFont val="Times New Roman"/>
      </rPr>
      <t>我们</t>
    </r>
    <r>
      <rPr>
        <b/>
        <sz val="11"/>
        <color rgb="FF000000"/>
        <rFont val="Times New Roman"/>
      </rPr>
      <t>讨论</t>
    </r>
    <r>
      <rPr>
        <sz val="11"/>
        <color rgb="FF000000"/>
        <rFont val="Times New Roman"/>
      </rPr>
      <t>旅游地点。</t>
    </r>
  </si>
  <si>
    <t>chúng tôi thảo luận về địa điểm du lịch</t>
  </si>
  <si>
    <t>H4_B13_BG-28.png</t>
  </si>
  <si>
    <t>B13_28.mp3</t>
  </si>
  <si>
    <t>B13_VD_28.mp3</t>
  </si>
  <si>
    <t>进行</t>
  </si>
  <si>
    <t>&lt;ruby&gt;进行&lt;rt&gt;jìnxíng&lt;/rt&gt;&lt;/ruby&gt;</t>
  </si>
  <si>
    <t>jìnxíng</t>
  </si>
  <si>
    <t>tiến hành, thực hiện</t>
  </si>
  <si>
    <r>
      <rPr>
        <sz val="11"/>
        <color rgb="FF000000"/>
        <rFont val="Times New Roman"/>
      </rPr>
      <t>他们正在</t>
    </r>
    <r>
      <rPr>
        <b/>
        <sz val="11"/>
        <color rgb="FF000000"/>
        <rFont val="Times New Roman"/>
      </rPr>
      <t>进行</t>
    </r>
    <r>
      <rPr>
        <sz val="11"/>
        <color rgb="FF000000"/>
        <rFont val="Times New Roman"/>
      </rPr>
      <t>科学实验。</t>
    </r>
  </si>
  <si>
    <t>Họ đang tiến hành thí nghiệm khoa học.</t>
  </si>
  <si>
    <t>H4_B13_BG-29.png</t>
  </si>
  <si>
    <t>B13_29.mp3</t>
  </si>
  <si>
    <t>B13_VD_29.mp3</t>
  </si>
  <si>
    <t>错误</t>
  </si>
  <si>
    <t>&lt;ruby&gt;错误&lt;rt&gt;cuòwù&lt;/rt&gt;&lt;/ruby&gt;</t>
  </si>
  <si>
    <t>cuòwù</t>
  </si>
  <si>
    <t>sai</t>
  </si>
  <si>
    <r>
      <rPr>
        <sz val="11"/>
        <color rgb="FF000000"/>
        <rFont val="Times New Roman"/>
      </rPr>
      <t>这个答案是</t>
    </r>
    <r>
      <rPr>
        <b/>
        <sz val="11"/>
        <color rgb="FF000000"/>
        <rFont val="Times New Roman"/>
      </rPr>
      <t>错误</t>
    </r>
    <r>
      <rPr>
        <sz val="11"/>
        <color rgb="FF000000"/>
        <rFont val="Times New Roman"/>
      </rPr>
      <t>的。</t>
    </r>
  </si>
  <si>
    <t>Đáp án này là sai.</t>
  </si>
  <si>
    <t>H4_B13_BG-30.png</t>
  </si>
  <si>
    <t>B13_30.mp3</t>
  </si>
  <si>
    <t>B13_VD_30.mp3</t>
  </si>
  <si>
    <t>随着</t>
  </si>
  <si>
    <t>&lt;ruby&gt;随着&lt;rt&gt;suízhe&lt;/rt&gt;&lt;/ruby&gt;</t>
  </si>
  <si>
    <t>suízhe</t>
  </si>
  <si>
    <t>cùng với</t>
  </si>
  <si>
    <r>
      <rPr>
        <b/>
        <sz val="11"/>
        <color rgb="FF000000"/>
        <rFont val="Times New Roman"/>
      </rPr>
      <t>随着</t>
    </r>
    <r>
      <rPr>
        <sz val="11"/>
        <color rgb="FF000000"/>
        <rFont val="Times New Roman"/>
      </rPr>
      <t>私家车的增加，城市污染越来越严重。</t>
    </r>
  </si>
  <si>
    <t>Theo sự gia tăng của ô tô tư nhân, ô nhiễm ở thành phố ngày càng nghiêm trọng.</t>
  </si>
  <si>
    <t>H4_B13_BG-31.png</t>
  </si>
  <si>
    <t>B13_31.mp3</t>
  </si>
  <si>
    <t>B13_VD_31.mp3</t>
  </si>
  <si>
    <t>普遍</t>
  </si>
  <si>
    <t>&lt;ruby&gt;普遍&lt;rt&gt;pǔbiàn&lt;/rt&gt;&lt;/ruby&gt;</t>
  </si>
  <si>
    <t>pǔbiàn</t>
  </si>
  <si>
    <t>phổ biến</t>
  </si>
  <si>
    <r>
      <rPr>
        <sz val="11"/>
        <color rgb="FF000000"/>
        <rFont val="Times New Roman"/>
      </rPr>
      <t>射箭在我所在的地区不太</t>
    </r>
    <r>
      <rPr>
        <b/>
        <sz val="11"/>
        <color rgb="FF000000"/>
        <rFont val="Times New Roman"/>
      </rPr>
      <t>普遍</t>
    </r>
    <r>
      <rPr>
        <sz val="11"/>
        <color rgb="FF000000"/>
        <rFont val="Times New Roman"/>
      </rPr>
      <t>。</t>
    </r>
  </si>
  <si>
    <t>bắn cung là bộ môn không mấy phổ biến ở khu vực của tôi</t>
  </si>
  <si>
    <t>H4_B13_BG-32.png</t>
  </si>
  <si>
    <t>B13_32.mp3</t>
  </si>
  <si>
    <t>B13_VD_32.mp3</t>
  </si>
  <si>
    <t>部分</t>
  </si>
  <si>
    <t>&lt;ruby&gt;部分&lt;rt&gt;bùfen&lt;/rt&gt;&lt;/ruby&gt;</t>
  </si>
  <si>
    <t>bùfen</t>
  </si>
  <si>
    <t>phần, bộ phận</t>
  </si>
  <si>
    <r>
      <rPr>
        <sz val="11"/>
        <color rgb="FF000000"/>
        <rFont val="Times New Roman"/>
      </rPr>
      <t>我只吃了一</t>
    </r>
    <r>
      <rPr>
        <b/>
        <sz val="11"/>
        <color rgb="FF000000"/>
        <rFont val="Times New Roman"/>
      </rPr>
      <t>部分</t>
    </r>
    <r>
      <rPr>
        <sz val="11"/>
        <color rgb="FF000000"/>
        <rFont val="Times New Roman"/>
      </rPr>
      <t>蛋糕。</t>
    </r>
  </si>
  <si>
    <t>Tôi chỉ ăn một phần bánh.</t>
  </si>
  <si>
    <t>H4_B13_BG-33.png</t>
  </si>
  <si>
    <t>B13_33.mp3</t>
  </si>
  <si>
    <t>B13_VD_33.mp3</t>
  </si>
  <si>
    <t>出差</t>
  </si>
  <si>
    <t>&lt;ruby&gt;出差&lt;rt&gt;chū chāi&lt;/rt&gt;&lt;/ruby&gt;</t>
  </si>
  <si>
    <t>chū chāi</t>
  </si>
  <si>
    <t>đi công tác</t>
  </si>
  <si>
    <r>
      <rPr>
        <sz val="11"/>
        <color rgb="FF000000"/>
        <rFont val="Times New Roman"/>
      </rPr>
      <t>经理派我</t>
    </r>
    <r>
      <rPr>
        <b/>
        <sz val="11"/>
        <color rgb="FF000000"/>
        <rFont val="Times New Roman"/>
      </rPr>
      <t>出差</t>
    </r>
    <r>
      <rPr>
        <sz val="11"/>
        <color rgb="FF000000"/>
        <rFont val="Times New Roman"/>
      </rPr>
      <t>。</t>
    </r>
  </si>
  <si>
    <t>Sếp cử tôi đi công tác.</t>
  </si>
  <si>
    <t>H4_B14_BG-01.png</t>
  </si>
  <si>
    <t>B14_1.mp3</t>
  </si>
  <si>
    <t>B14_VD_1.mp3</t>
  </si>
  <si>
    <t>乘坐</t>
  </si>
  <si>
    <t>&lt;ruby&gt;乘坐&lt;rt&gt;chéngzuò&lt;/rt&gt;&lt;/ruby&gt;</t>
  </si>
  <si>
    <t>chéngzuò</t>
  </si>
  <si>
    <t>đi, đáp (xe buýt...)</t>
  </si>
  <si>
    <r>
      <rPr>
        <sz val="11"/>
        <color rgb="FF000000"/>
        <rFont val="Times New Roman"/>
      </rPr>
      <t>她每天</t>
    </r>
    <r>
      <rPr>
        <b/>
        <sz val="11"/>
        <color rgb="FF000000"/>
        <rFont val="Times New Roman"/>
      </rPr>
      <t>乘坐</t>
    </r>
    <r>
      <rPr>
        <sz val="11"/>
        <color rgb="FF000000"/>
        <rFont val="Times New Roman"/>
      </rPr>
      <t>公交车。</t>
    </r>
  </si>
  <si>
    <t>Cô ấy đi xe buýt mỗi ngày.</t>
  </si>
  <si>
    <t>H4_B14_BG-02.png</t>
  </si>
  <si>
    <t>B14_2.mp3</t>
  </si>
  <si>
    <t>B14_VD_2.mp3</t>
  </si>
  <si>
    <t>目的</t>
  </si>
  <si>
    <t>&lt;ruby&gt;目的&lt;rt&gt;mùdì&lt;/rt&gt;&lt;/ruby&gt;</t>
  </si>
  <si>
    <t>mùdì</t>
  </si>
  <si>
    <t>mục đích</t>
  </si>
  <si>
    <r>
      <rPr>
        <sz val="11"/>
        <color rgb="FF000000"/>
        <rFont val="Times New Roman"/>
      </rPr>
      <t>我的</t>
    </r>
    <r>
      <rPr>
        <b/>
        <sz val="11"/>
        <color rgb="FF000000"/>
        <rFont val="Times New Roman"/>
      </rPr>
      <t>目的</t>
    </r>
    <r>
      <rPr>
        <sz val="11"/>
        <color rgb="FF000000"/>
        <rFont val="Times New Roman"/>
      </rPr>
      <t>是去那里欣赏泉水。</t>
    </r>
  </si>
  <si>
    <t>mục đích của tôi là đến đó để có thể ngắm suối</t>
  </si>
  <si>
    <t>H4_B14_BG-03.png</t>
  </si>
  <si>
    <t>B14_3.mp3</t>
  </si>
  <si>
    <t>B14_VD_3.mp3</t>
  </si>
  <si>
    <t>速度</t>
  </si>
  <si>
    <t>&lt;ruby&gt;速度&lt;rt&gt;sùdù&lt;/rt&gt;&lt;/ruby&gt;</t>
  </si>
  <si>
    <t>sùdù</t>
  </si>
  <si>
    <t>tốc độ</t>
  </si>
  <si>
    <r>
      <rPr>
        <sz val="11"/>
        <color rgb="FF000000"/>
        <rFont val="Times New Roman"/>
      </rPr>
      <t>飞机的</t>
    </r>
    <r>
      <rPr>
        <b/>
        <sz val="11"/>
        <color rgb="FF000000"/>
        <rFont val="Times New Roman"/>
      </rPr>
      <t>速度</t>
    </r>
    <r>
      <rPr>
        <sz val="11"/>
        <color rgb="FF000000"/>
        <rFont val="Times New Roman"/>
      </rPr>
      <t>高达900公里每小时。</t>
    </r>
  </si>
  <si>
    <t>tốc độ của máy bay lên tới 900km/h.</t>
  </si>
  <si>
    <t>H4_B14_BG-04.png</t>
  </si>
  <si>
    <t>B14_4.mp3</t>
  </si>
  <si>
    <t>B14_VD_4.mp3</t>
  </si>
  <si>
    <t>停</t>
  </si>
  <si>
    <t>&lt;ruby&gt;停&lt;rt&gt;tíng&lt;/rt&gt;&lt;/ruby&gt;</t>
  </si>
  <si>
    <t>tíng</t>
  </si>
  <si>
    <t>ngừng, cúp, cắt</t>
  </si>
  <si>
    <r>
      <rPr>
        <sz val="11"/>
        <color rgb="FF000000"/>
        <rFont val="Times New Roman"/>
      </rPr>
      <t>他</t>
    </r>
    <r>
      <rPr>
        <b/>
        <sz val="11"/>
        <color rgb="FF000000"/>
        <rFont val="Times New Roman"/>
      </rPr>
      <t>停</t>
    </r>
    <r>
      <rPr>
        <sz val="11"/>
        <color rgb="FF000000"/>
        <rFont val="Times New Roman"/>
      </rPr>
      <t>下脚步，观察四周。</t>
    </r>
  </si>
  <si>
    <t>Anh ấy dừng bước, quan sát xung quanh.</t>
  </si>
  <si>
    <t>H4_B14_BG-05.png</t>
  </si>
  <si>
    <r>
      <rPr>
        <sz val="11"/>
        <color rgb="FF000000"/>
        <rFont val="Times New Roman"/>
      </rPr>
      <t>我们需要</t>
    </r>
    <r>
      <rPr>
        <b/>
        <sz val="11"/>
        <color rgb="FF000000"/>
        <rFont val="Times New Roman"/>
      </rPr>
      <t>省</t>
    </r>
    <r>
      <rPr>
        <sz val="11"/>
        <color rgb="FF000000"/>
        <rFont val="Times New Roman"/>
      </rPr>
      <t>钱。</t>
    </r>
  </si>
  <si>
    <t>Chúng ta cần phải tiết kiệm tiền.</t>
  </si>
  <si>
    <t>H4_B14_BG-06.png</t>
  </si>
  <si>
    <t>B14_6.mp3</t>
  </si>
  <si>
    <t>B14_VD_6.mp3</t>
  </si>
  <si>
    <t>以</t>
  </si>
  <si>
    <t>&lt;ruby&gt;以&lt;rt&gt;yǐ&lt;/rt&gt;&lt;/ruby&gt;</t>
  </si>
  <si>
    <t>yǐ</t>
  </si>
  <si>
    <t>dựa vào, bằng</t>
  </si>
  <si>
    <r>
      <rPr>
        <sz val="11"/>
        <color rgb="FF000000"/>
        <rFont val="Times New Roman"/>
      </rPr>
      <t>我们</t>
    </r>
    <r>
      <rPr>
        <b/>
        <sz val="11"/>
        <color rgb="FF000000"/>
        <rFont val="Times New Roman"/>
      </rPr>
      <t>以</t>
    </r>
    <r>
      <rPr>
        <sz val="11"/>
        <color rgb="FF000000"/>
        <rFont val="Times New Roman"/>
      </rPr>
      <t>计划行事。</t>
    </r>
  </si>
  <si>
    <t>Chúng tôi hành động theo kế hoạch.</t>
  </si>
  <si>
    <t>H4_B14_BG-07.png</t>
  </si>
  <si>
    <t>B14_7.mp3</t>
  </si>
  <si>
    <t>B14_VD_7.mp3</t>
  </si>
  <si>
    <t>既然</t>
  </si>
  <si>
    <t>&lt;ruby&gt;既然&lt;rt&gt;jìrán&lt;/rt&gt;&lt;/ruby&gt;</t>
  </si>
  <si>
    <t>jìrán</t>
  </si>
  <si>
    <t>vì, đã... thì...</t>
  </si>
  <si>
    <r>
      <rPr>
        <b/>
        <sz val="11"/>
        <color rgb="FF000000"/>
        <rFont val="Times New Roman"/>
      </rPr>
      <t>既然</t>
    </r>
    <r>
      <rPr>
        <sz val="11"/>
        <color rgb="FF000000"/>
        <rFont val="Times New Roman"/>
      </rPr>
      <t>我保持健康，就不用吃药了。</t>
    </r>
  </si>
  <si>
    <t>nếu tôi giữ sức khỏe thì đã không phải uống thuốc</t>
  </si>
  <si>
    <t>H4_B14_BG-08.png</t>
  </si>
  <si>
    <t>B14_8.mp3</t>
  </si>
  <si>
    <t>B14_VD_8.mp3</t>
  </si>
  <si>
    <t>于是</t>
  </si>
  <si>
    <t>&lt;ruby&gt;于是&lt;rt&gt;yúshì&lt;/rt&gt;&lt;/ruby&gt;</t>
  </si>
  <si>
    <t>yúshì</t>
  </si>
  <si>
    <t>thế là</t>
  </si>
  <si>
    <r>
      <rPr>
        <sz val="11"/>
        <color rgb="FF000000"/>
        <rFont val="Times New Roman"/>
      </rPr>
      <t>我考上了大学，</t>
    </r>
    <r>
      <rPr>
        <b/>
        <sz val="11"/>
        <color rgb="FF000000"/>
        <rFont val="Times New Roman"/>
      </rPr>
      <t>于是</t>
    </r>
    <r>
      <rPr>
        <sz val="11"/>
        <color rgb="FF000000"/>
        <rFont val="Times New Roman"/>
      </rPr>
      <t>爸爸奖励我一次旅行。</t>
    </r>
  </si>
  <si>
    <t>Vì tôi đã đỗ đại học, thế là bố tôi đã thưởng cho tôi một chuyến du lịch.</t>
  </si>
  <si>
    <t>H4_B14_BG-09.png</t>
  </si>
  <si>
    <t>B14_9.mp3</t>
  </si>
  <si>
    <t>B14_VD_9.mp3</t>
  </si>
  <si>
    <t>毛巾</t>
  </si>
  <si>
    <t>&lt;ruby&gt;毛巾&lt;rt&gt;máojīn&lt;/rt&gt;&lt;/ruby&gt;</t>
  </si>
  <si>
    <t>máojīn</t>
  </si>
  <si>
    <t>khăn lau</t>
  </si>
  <si>
    <r>
      <rPr>
        <sz val="11"/>
        <color rgb="FF000000"/>
        <rFont val="Times New Roman"/>
      </rPr>
      <t>拿</t>
    </r>
    <r>
      <rPr>
        <b/>
        <sz val="11"/>
        <color rgb="FF000000"/>
        <rFont val="Times New Roman"/>
      </rPr>
      <t>毛巾</t>
    </r>
    <r>
      <rPr>
        <sz val="11"/>
        <color rgb="FF000000"/>
        <rFont val="Times New Roman"/>
      </rPr>
      <t>擦桌子吧。</t>
    </r>
  </si>
  <si>
    <t>Lấy khăn lau bàn đi.</t>
  </si>
  <si>
    <t>H4_B14_BG-10.png</t>
  </si>
  <si>
    <t>B14_10.mp3</t>
  </si>
  <si>
    <t>B14_VD_10.mp3</t>
  </si>
  <si>
    <t>牙膏</t>
  </si>
  <si>
    <t>&lt;ruby&gt;牙膏&lt;rt&gt;yágāo&lt;/rt&gt;&lt;/ruby&gt;</t>
  </si>
  <si>
    <t>yágāo</t>
  </si>
  <si>
    <t>kem đánh răng</t>
  </si>
  <si>
    <r>
      <rPr>
        <sz val="11"/>
        <color rgb="FF000000"/>
        <rFont val="Times New Roman"/>
      </rPr>
      <t>你用什么牌子的</t>
    </r>
    <r>
      <rPr>
        <b/>
        <sz val="11"/>
        <color rgb="FF000000"/>
        <rFont val="Times New Roman"/>
      </rPr>
      <t>牙膏</t>
    </r>
    <r>
      <rPr>
        <sz val="11"/>
        <color rgb="FF000000"/>
        <rFont val="Times New Roman"/>
      </rPr>
      <t>？</t>
    </r>
  </si>
  <si>
    <t>Bạn dùng kem đánh răng loại nào?</t>
  </si>
  <si>
    <t>H4_B14_BG-11.png</t>
  </si>
  <si>
    <t>B14_11.mp3</t>
  </si>
  <si>
    <t>B14_VD_11.mp3</t>
  </si>
  <si>
    <t>重</t>
  </si>
  <si>
    <t>&lt;ruby&gt;重&lt;rt&gt;zhòng&lt;/rt&gt;&lt;/ruby&gt;</t>
  </si>
  <si>
    <t>zhòng</t>
  </si>
  <si>
    <t>nặng</t>
  </si>
  <si>
    <r>
      <rPr>
        <sz val="11"/>
        <color rgb="FF000000"/>
        <rFont val="Times New Roman"/>
      </rPr>
      <t>这辆车很</t>
    </r>
    <r>
      <rPr>
        <b/>
        <sz val="11"/>
        <color rgb="FF000000"/>
        <rFont val="Times New Roman"/>
      </rPr>
      <t>重</t>
    </r>
    <r>
      <rPr>
        <sz val="11"/>
        <color rgb="FF000000"/>
        <rFont val="Times New Roman"/>
      </rPr>
      <t>。</t>
    </r>
  </si>
  <si>
    <t>Chiếc xe này rất nặng.</t>
  </si>
  <si>
    <t>H4_B14_BG-12.png</t>
  </si>
  <si>
    <t>B14_12.mp3</t>
  </si>
  <si>
    <t>B14_VD_12.mp3</t>
  </si>
  <si>
    <t>行</t>
  </si>
  <si>
    <t>được, đồng ý</t>
  </si>
  <si>
    <r>
      <rPr>
        <b/>
        <sz val="11"/>
        <color rgb="FF000000"/>
        <rFont val="Times New Roman"/>
      </rPr>
      <t>行</t>
    </r>
    <r>
      <rPr>
        <sz val="11"/>
        <color rgb="FF000000"/>
        <rFont val="Times New Roman"/>
      </rPr>
      <t>，我同意。</t>
    </r>
  </si>
  <si>
    <t>Được rồi, tôi đồng ý</t>
  </si>
  <si>
    <t>H4_B14_BG-13.png</t>
  </si>
  <si>
    <t>B14_13.mp3</t>
  </si>
  <si>
    <t>B14_VD_13.mp3</t>
  </si>
  <si>
    <t>抱歉</t>
  </si>
  <si>
    <t>&lt;ruby&gt;抱歉&lt;rt&gt;bàoqiàn&lt;/rt&gt;&lt;/ruby&gt;</t>
  </si>
  <si>
    <t>bàoqiàn</t>
  </si>
  <si>
    <t>xin lỗi</t>
  </si>
  <si>
    <r>
      <rPr>
        <b/>
        <sz val="11"/>
        <color rgb="FF000000"/>
        <rFont val="Times New Roman"/>
      </rPr>
      <t>抱歉</t>
    </r>
    <r>
      <rPr>
        <sz val="11"/>
        <color rgb="FF000000"/>
        <rFont val="Times New Roman"/>
      </rPr>
      <t>，打扰你了。</t>
    </r>
  </si>
  <si>
    <t>Thật xin lỗi, tôi đã làm phiền bạn rồi.</t>
  </si>
  <si>
    <t>H4_B14_BG-14.png</t>
  </si>
  <si>
    <t>B14_14.mp3</t>
  </si>
  <si>
    <t>B14_VD_14.mp3</t>
  </si>
  <si>
    <t>盒子</t>
  </si>
  <si>
    <t>&lt;ruby&gt;盒子&lt;rt&gt;hézi&lt;/rt&gt;&lt;/ruby&gt;</t>
  </si>
  <si>
    <t>hézi</t>
  </si>
  <si>
    <t>hộp</t>
  </si>
  <si>
    <r>
      <rPr>
        <sz val="11"/>
        <color rgb="FF000000"/>
        <rFont val="Times New Roman"/>
      </rPr>
      <t>这个</t>
    </r>
    <r>
      <rPr>
        <b/>
        <sz val="11"/>
        <color rgb="FF000000"/>
        <rFont val="Times New Roman"/>
      </rPr>
      <t>盒子</t>
    </r>
    <r>
      <rPr>
        <sz val="11"/>
        <color rgb="FF000000"/>
        <rFont val="Times New Roman"/>
      </rPr>
      <t>里什么都没有。</t>
    </r>
  </si>
  <si>
    <t>Trong cái hộp này không có gì cả.</t>
  </si>
  <si>
    <t>H4_B14_BG-15.png</t>
  </si>
  <si>
    <t>B14_15.mp3</t>
  </si>
  <si>
    <t>B14_VD_15.mp3</t>
  </si>
  <si>
    <t>得意</t>
  </si>
  <si>
    <t>&lt;ruby&gt;得意&lt;rt&gt;déyì&lt;/rt&gt;&lt;/ruby&gt;</t>
  </si>
  <si>
    <t>déyì</t>
  </si>
  <si>
    <t>hể hả, đắc chí</t>
  </si>
  <si>
    <r>
      <rPr>
        <sz val="11"/>
        <color rgb="FF000000"/>
        <rFont val="Times New Roman"/>
      </rPr>
      <t>他</t>
    </r>
    <r>
      <rPr>
        <b/>
        <sz val="11"/>
        <color rgb="FF000000"/>
        <rFont val="Times New Roman"/>
      </rPr>
      <t>得意</t>
    </r>
    <r>
      <rPr>
        <sz val="11"/>
        <color rgb="FF000000"/>
        <rFont val="Times New Roman"/>
      </rPr>
      <t>地笑了。</t>
    </r>
  </si>
  <si>
    <t>Anh ấy cười một cách đắc ý.</t>
  </si>
  <si>
    <t>H4_B14_BG-16.png</t>
  </si>
  <si>
    <t>B14_16.mp3</t>
  </si>
  <si>
    <t>B14_VD_16.mp3</t>
  </si>
  <si>
    <t>暖</t>
  </si>
  <si>
    <t>&lt;ruby&gt;暖&lt;rt&gt;nuǎn&lt;/rt&gt;&lt;/ruby&gt;</t>
  </si>
  <si>
    <t>nuǎn</t>
  </si>
  <si>
    <t>ấm, ấm áp</t>
  </si>
  <si>
    <r>
      <rPr>
        <sz val="11"/>
        <color rgb="FF000000"/>
        <rFont val="Times New Roman"/>
      </rPr>
      <t>这条围巾又软又</t>
    </r>
    <r>
      <rPr>
        <b/>
        <sz val="11"/>
        <color rgb="FF000000"/>
        <rFont val="Times New Roman"/>
      </rPr>
      <t>暖</t>
    </r>
    <r>
      <rPr>
        <sz val="11"/>
        <color rgb="FF000000"/>
        <rFont val="Times New Roman"/>
      </rPr>
      <t xml:space="preserve">。
</t>
    </r>
  </si>
  <si>
    <t>Chiếc khăn quàng vừa mềm vừa ấm.</t>
  </si>
  <si>
    <t>H4_B14_BG-17.png</t>
  </si>
  <si>
    <t>B14_17.mp3</t>
  </si>
  <si>
    <t>B14_VD_17.mp3</t>
  </si>
  <si>
    <t>鼓励</t>
  </si>
  <si>
    <t>&lt;ruby&gt;鼓励&lt;rt&gt;gǔlì&lt;/rt&gt;&lt;/ruby&gt;</t>
  </si>
  <si>
    <t>gǔlì</t>
  </si>
  <si>
    <t>khuyến khích</t>
  </si>
  <si>
    <r>
      <rPr>
        <sz val="11"/>
        <color rgb="FF000000"/>
        <rFont val="Times New Roman"/>
      </rPr>
      <t>他通过送礼物来</t>
    </r>
    <r>
      <rPr>
        <b/>
        <sz val="11"/>
        <color rgb="FF000000"/>
        <rFont val="Times New Roman"/>
      </rPr>
      <t>鼓励</t>
    </r>
    <r>
      <rPr>
        <sz val="11"/>
        <color rgb="FF000000"/>
        <rFont val="Times New Roman"/>
      </rPr>
      <t>我。</t>
    </r>
  </si>
  <si>
    <t>Anh ấy khích lệ tôi bằng cách tặng một món quà.</t>
  </si>
  <si>
    <t>H4_B14_BG-18.png</t>
  </si>
  <si>
    <t>B14_18.mp3</t>
  </si>
  <si>
    <t>B14_VD_18.mp3</t>
  </si>
  <si>
    <t>温度</t>
  </si>
  <si>
    <t>&lt;ruby&gt;温度&lt;rt&gt;wēndù&lt;/rt&gt;&lt;/ruby&gt;</t>
  </si>
  <si>
    <t>wēndù</t>
  </si>
  <si>
    <t>nhiệt độ</t>
  </si>
  <si>
    <r>
      <rPr>
        <sz val="11"/>
        <color rgb="FF000000"/>
        <rFont val="Times New Roman"/>
      </rPr>
      <t>外面的</t>
    </r>
    <r>
      <rPr>
        <b/>
        <sz val="11"/>
        <color rgb="FF000000"/>
        <rFont val="Times New Roman"/>
      </rPr>
      <t>温度</t>
    </r>
    <r>
      <rPr>
        <sz val="11"/>
        <color rgb="FF000000"/>
        <rFont val="Times New Roman"/>
      </rPr>
      <t>越来越低了。</t>
    </r>
  </si>
  <si>
    <t>Nhiệt độ ngoài trời càng ngày càng thấp rồi.</t>
  </si>
  <si>
    <t>H4_B14_BG-19.png</t>
  </si>
  <si>
    <t>B14_19.mp3</t>
  </si>
  <si>
    <t>B14_VD_19.mp3</t>
  </si>
  <si>
    <r>
      <rPr>
        <sz val="11"/>
        <color rgb="FF000000"/>
        <rFont val="Times New Roman"/>
      </rPr>
      <t>她</t>
    </r>
    <r>
      <rPr>
        <b/>
        <sz val="11"/>
        <color rgb="FF000000"/>
        <rFont val="Times New Roman"/>
      </rPr>
      <t>丢</t>
    </r>
    <r>
      <rPr>
        <sz val="11"/>
        <color rgb="FF000000"/>
        <rFont val="Times New Roman"/>
      </rPr>
      <t>垃圾到外面。</t>
    </r>
  </si>
  <si>
    <t>美丽</t>
  </si>
  <si>
    <t>&lt;ruby&gt;美丽&lt;rt&gt;měilì&lt;/rt&gt;&lt;/ruby&gt;</t>
  </si>
  <si>
    <t>měilì</t>
  </si>
  <si>
    <r>
      <rPr>
        <sz val="11"/>
        <color rgb="FF000000"/>
        <rFont val="Times New Roman"/>
      </rPr>
      <t>她跳舞的样子非常</t>
    </r>
    <r>
      <rPr>
        <b/>
        <sz val="11"/>
        <color rgb="FF000000"/>
        <rFont val="Times New Roman"/>
      </rPr>
      <t>美丽</t>
    </r>
    <r>
      <rPr>
        <sz val="11"/>
        <color rgb="FF000000"/>
        <rFont val="Times New Roman"/>
      </rPr>
      <t>。</t>
    </r>
  </si>
  <si>
    <t>Dáng vẻ lúc cô ấy múa rất xinh đẹp.</t>
  </si>
  <si>
    <t>H4_B14_BG-21.png</t>
  </si>
  <si>
    <t>B14_21.mp3</t>
  </si>
  <si>
    <t>B14_VD_21.mp3</t>
  </si>
  <si>
    <t>污染</t>
  </si>
  <si>
    <t>&lt;ruby&gt;污染&lt;rt&gt;wūrǎn&lt;/rt&gt;&lt;/ruby&gt;</t>
  </si>
  <si>
    <t>wūrǎn</t>
  </si>
  <si>
    <t>làm ô nhiễm</t>
  </si>
  <si>
    <r>
      <rPr>
        <sz val="11"/>
        <color rgb="FF000000"/>
        <rFont val="Times New Roman"/>
      </rPr>
      <t>把垃圾倒进河里会</t>
    </r>
    <r>
      <rPr>
        <b/>
        <sz val="11"/>
        <color rgb="FF000000"/>
        <rFont val="Times New Roman"/>
      </rPr>
      <t>污染</t>
    </r>
    <r>
      <rPr>
        <sz val="11"/>
        <color rgb="FF000000"/>
        <rFont val="Times New Roman"/>
      </rPr>
      <t>水源。</t>
    </r>
  </si>
  <si>
    <t>Đổ rác xuống sông gây ô nhiễm nguồn nước.</t>
  </si>
  <si>
    <t>H4_B14_BG-22.png</t>
  </si>
  <si>
    <t>B14_22.mp3</t>
  </si>
  <si>
    <t>B14_VD_22.mp3</t>
  </si>
  <si>
    <r>
      <rPr>
        <sz val="11"/>
        <color rgb="FF000000"/>
        <rFont val="Times New Roman"/>
      </rPr>
      <t>我想去</t>
    </r>
    <r>
      <rPr>
        <b/>
        <sz val="11"/>
        <color rgb="FF000000"/>
        <rFont val="Times New Roman"/>
      </rPr>
      <t>卫生间</t>
    </r>
    <r>
      <rPr>
        <sz val="11"/>
        <color rgb="FF000000"/>
        <rFont val="Times New Roman"/>
      </rPr>
      <t>。</t>
    </r>
  </si>
  <si>
    <r>
      <rPr>
        <sz val="11"/>
        <color rgb="FF000000"/>
        <rFont val="Times New Roman"/>
      </rPr>
      <t>衣服都</t>
    </r>
    <r>
      <rPr>
        <b/>
        <sz val="11"/>
        <color rgb="FF000000"/>
        <rFont val="Times New Roman"/>
      </rPr>
      <t>脏</t>
    </r>
    <r>
      <rPr>
        <sz val="11"/>
        <color rgb="FF000000"/>
        <rFont val="Times New Roman"/>
      </rPr>
      <t>了。</t>
    </r>
  </si>
  <si>
    <t>空</t>
  </si>
  <si>
    <t>&lt;ruby&gt;空&lt;rt&gt;kōng&lt;/rt&gt;&lt;/ruby&gt;</t>
  </si>
  <si>
    <t>kōng</t>
  </si>
  <si>
    <t>trống, rỗng, không</t>
  </si>
  <si>
    <r>
      <rPr>
        <sz val="11"/>
        <color rgb="FF000000"/>
        <rFont val="Times New Roman"/>
      </rPr>
      <t>这条路现在很</t>
    </r>
    <r>
      <rPr>
        <b/>
        <sz val="11"/>
        <color rgb="FF000000"/>
        <rFont val="Times New Roman"/>
      </rPr>
      <t>空</t>
    </r>
    <r>
      <rPr>
        <sz val="11"/>
        <color rgb="FF000000"/>
        <rFont val="Times New Roman"/>
      </rPr>
      <t>。</t>
    </r>
  </si>
  <si>
    <t>Con đường này bây giờ rất trống.</t>
  </si>
  <si>
    <t>H4_B14_BG-25.png</t>
  </si>
  <si>
    <t>B14_25.mp3</t>
  </si>
  <si>
    <t>B14_VD_25.mp3</t>
  </si>
  <si>
    <t>扔</t>
  </si>
  <si>
    <t>&lt;ruby&gt;扔&lt;rt&gt;rēng&lt;/rt&gt;&lt;/ruby&gt;</t>
  </si>
  <si>
    <t>rēng</t>
  </si>
  <si>
    <t>vứt bỏ</t>
  </si>
  <si>
    <r>
      <rPr>
        <sz val="11"/>
        <color rgb="FF000000"/>
        <rFont val="Times New Roman"/>
      </rPr>
      <t>他把球</t>
    </r>
    <r>
      <rPr>
        <b/>
        <sz val="11"/>
        <color rgb="FF000000"/>
        <rFont val="Times New Roman"/>
      </rPr>
      <t>扔</t>
    </r>
    <r>
      <rPr>
        <sz val="11"/>
        <color rgb="FF000000"/>
        <rFont val="Times New Roman"/>
      </rPr>
      <t>进篮筐。</t>
    </r>
  </si>
  <si>
    <t>Anh ấy ném bóng vào rổ.</t>
  </si>
  <si>
    <t>H4_B14_BG-26.png</t>
  </si>
  <si>
    <t>B14_26.mp3</t>
  </si>
  <si>
    <t>B14_VD_26.mp3</t>
  </si>
  <si>
    <t>地球</t>
  </si>
  <si>
    <t>&lt;ruby&gt;地球&lt;rt&gt;dìqiú&lt;/rt&gt;&lt;/ruby&gt;</t>
  </si>
  <si>
    <t>dìqiú</t>
  </si>
  <si>
    <t>trái đất</t>
  </si>
  <si>
    <r>
      <rPr>
        <sz val="11"/>
        <color rgb="FF000000"/>
        <rFont val="Times New Roman"/>
      </rPr>
      <t>我们要珍惜</t>
    </r>
    <r>
      <rPr>
        <b/>
        <sz val="11"/>
        <color rgb="FF000000"/>
        <rFont val="Times New Roman"/>
      </rPr>
      <t>地球</t>
    </r>
    <r>
      <rPr>
        <sz val="11"/>
        <color rgb="FF000000"/>
        <rFont val="Times New Roman"/>
      </rPr>
      <t>资源。</t>
    </r>
  </si>
  <si>
    <t>Chúng ta phải trân trọng tài nguyên Trái Đất.</t>
  </si>
  <si>
    <t>H4_B14_BG-27.png</t>
  </si>
  <si>
    <t>B14_27.mp3</t>
  </si>
  <si>
    <t>B14_VD_27.mp3</t>
  </si>
  <si>
    <t>塑料袋</t>
  </si>
  <si>
    <t>&lt;ruby&gt;塑料袋&lt;rt&gt;sùliàodài&lt;/rt&gt;&lt;/ruby&gt;</t>
  </si>
  <si>
    <t>sùliàodài</t>
  </si>
  <si>
    <t>túi nilông, túi nhựa</t>
  </si>
  <si>
    <r>
      <rPr>
        <sz val="11"/>
        <color rgb="FF000000"/>
        <rFont val="Times New Roman"/>
      </rPr>
      <t>这个</t>
    </r>
    <r>
      <rPr>
        <b/>
        <sz val="11"/>
        <color rgb="FF000000"/>
        <rFont val="Times New Roman"/>
      </rPr>
      <t>塑料袋</t>
    </r>
    <r>
      <rPr>
        <sz val="11"/>
        <color rgb="FF000000"/>
        <rFont val="Times New Roman"/>
      </rPr>
      <t>是免费的。</t>
    </r>
  </si>
  <si>
    <t>Túi nilon này miễn phí.</t>
  </si>
  <si>
    <t>H4_B14_BG-28.png</t>
  </si>
  <si>
    <t>B14_28.mp3</t>
  </si>
  <si>
    <t>拒绝</t>
  </si>
  <si>
    <t>&lt;ruby&gt;拒绝&lt;rt&gt;jùjué&lt;/rt&gt;&lt;/ruby&gt;</t>
  </si>
  <si>
    <t>jùjué</t>
  </si>
  <si>
    <t>từ chối</t>
  </si>
  <si>
    <r>
      <rPr>
        <sz val="11"/>
        <color rgb="FF000000"/>
        <rFont val="Times New Roman"/>
      </rPr>
      <t>他</t>
    </r>
    <r>
      <rPr>
        <b/>
        <sz val="11"/>
        <color rgb="FF000000"/>
        <rFont val="Times New Roman"/>
      </rPr>
      <t>拒绝</t>
    </r>
    <r>
      <rPr>
        <sz val="11"/>
        <color rgb="FF000000"/>
        <rFont val="Times New Roman"/>
      </rPr>
      <t>了我的提议。</t>
    </r>
  </si>
  <si>
    <t>Anh ấy từ chối lời đề nghị của tôi.</t>
  </si>
  <si>
    <t>H4_B14_BG-29.png</t>
  </si>
  <si>
    <t>B14_29.mp3</t>
  </si>
  <si>
    <t>B14_VD_29.mp3</t>
  </si>
  <si>
    <t>减少</t>
  </si>
  <si>
    <t>&lt;ruby&gt;减少&lt;rt&gt;jiǎnshǎo&lt;/rt&gt;&lt;/ruby&gt;</t>
  </si>
  <si>
    <t>jiǎnshǎo</t>
  </si>
  <si>
    <t>giảm bớt</t>
  </si>
  <si>
    <r>
      <rPr>
        <sz val="11"/>
        <color rgb="FF000000"/>
        <rFont val="Times New Roman"/>
      </rPr>
      <t>公司计划</t>
    </r>
    <r>
      <rPr>
        <b/>
        <sz val="11"/>
        <color rgb="FF000000"/>
        <rFont val="Times New Roman"/>
      </rPr>
      <t>减少</t>
    </r>
    <r>
      <rPr>
        <sz val="11"/>
        <color rgb="FF000000"/>
        <rFont val="Times New Roman"/>
      </rPr>
      <t>员工数量。</t>
    </r>
  </si>
  <si>
    <t>Công ty dự định cắt giảm nhân sự.</t>
  </si>
  <si>
    <t>H4_B14_BG-30.png</t>
  </si>
  <si>
    <t>B14_30.mp3</t>
  </si>
  <si>
    <t>B14_VD_30.mp3</t>
  </si>
  <si>
    <t>数量</t>
  </si>
  <si>
    <t>&lt;ruby&gt;数量&lt;rt&gt;shùliàng&lt;/rt&gt;&lt;/ruby&gt;</t>
  </si>
  <si>
    <t>shùliàng</t>
  </si>
  <si>
    <t>số lượng</t>
  </si>
  <si>
    <r>
      <rPr>
        <b/>
        <sz val="11"/>
        <color rgb="FF000000"/>
        <rFont val="Times New Roman"/>
      </rPr>
      <t>数量</t>
    </r>
    <r>
      <rPr>
        <sz val="11"/>
        <color rgb="FF000000"/>
        <rFont val="Times New Roman"/>
      </rPr>
      <t>不足会影响生产。</t>
    </r>
  </si>
  <si>
    <t>Số lượng không đủ sẽ ảnh hưởng sản xuất.</t>
  </si>
  <si>
    <t>H4_B14_BG-31.png</t>
  </si>
  <si>
    <t>B14_31.mp3</t>
  </si>
  <si>
    <t>B14_VD_31.mp3</t>
  </si>
  <si>
    <t>垃圾桶</t>
  </si>
  <si>
    <t>&lt;ruby&gt;垃圾桶&lt;rt&gt;lājītǒng&lt;/rt&gt;&lt;/ruby&gt;</t>
  </si>
  <si>
    <t>lājītǒng</t>
  </si>
  <si>
    <t>thùng rác</t>
  </si>
  <si>
    <r>
      <rPr>
        <sz val="11"/>
        <color rgb="FF000000"/>
        <rFont val="Times New Roman"/>
      </rPr>
      <t>你应该把果皮扔进</t>
    </r>
    <r>
      <rPr>
        <b/>
        <sz val="11"/>
        <color rgb="FF000000"/>
        <rFont val="Times New Roman"/>
      </rPr>
      <t>垃圾桶</t>
    </r>
    <r>
      <rPr>
        <sz val="11"/>
        <color rgb="FF000000"/>
        <rFont val="Times New Roman"/>
      </rPr>
      <t>。</t>
    </r>
  </si>
  <si>
    <t>Bạn nên vứt vỏ vào thùng rác.</t>
  </si>
  <si>
    <t>H4_B14_BG-32.png</t>
  </si>
  <si>
    <t>B14_32.mp3</t>
  </si>
  <si>
    <t>B14_VD_32.mp3</t>
  </si>
  <si>
    <t>弹钢琴</t>
  </si>
  <si>
    <t>&lt;ruby&gt;弹钢琴&lt;rt&gt;tán gāngqín&lt;/rt&gt;&lt;/ruby&gt;</t>
  </si>
  <si>
    <t>tán gāngqín</t>
  </si>
  <si>
    <t>chơi đàn dương cầm</t>
  </si>
  <si>
    <r>
      <rPr>
        <sz val="11"/>
        <color rgb="FF000000"/>
        <rFont val="Times New Roman"/>
      </rPr>
      <t>她从小就会</t>
    </r>
    <r>
      <rPr>
        <b/>
        <sz val="11"/>
        <color rgb="FF000000"/>
        <rFont val="Times New Roman"/>
      </rPr>
      <t>弹钢琴</t>
    </r>
    <r>
      <rPr>
        <sz val="11"/>
        <color rgb="FF000000"/>
        <rFont val="Times New Roman"/>
      </rPr>
      <t>。</t>
    </r>
  </si>
  <si>
    <t>Cô ấy biết đánh đàn piano từ bé.</t>
  </si>
  <si>
    <t>H4_B15_BG-01.png</t>
  </si>
  <si>
    <t>B15_1.mp3</t>
  </si>
  <si>
    <t>棒</t>
  </si>
  <si>
    <t>&lt;ruby&gt;棒&lt;rt&gt;bàng&lt;/rt&gt;&lt;/ruby&gt;</t>
  </si>
  <si>
    <t>bàng</t>
  </si>
  <si>
    <t>xuất sắc, hay, giỏi</t>
  </si>
  <si>
    <r>
      <rPr>
        <sz val="11"/>
        <color rgb="FF000000"/>
        <rFont val="Times New Roman"/>
      </rPr>
      <t>她的成绩一直很</t>
    </r>
    <r>
      <rPr>
        <b/>
        <sz val="11"/>
        <color rgb="FF000000"/>
        <rFont val="Times New Roman"/>
      </rPr>
      <t>棒</t>
    </r>
    <r>
      <rPr>
        <sz val="11"/>
        <color rgb="FF000000"/>
        <rFont val="Times New Roman"/>
      </rPr>
      <t>。</t>
    </r>
  </si>
  <si>
    <t>Thành tích của cô ấy luôn rất tốt.</t>
  </si>
  <si>
    <t>H4_B15_BG-02.png</t>
  </si>
  <si>
    <t>B15_2.mp3</t>
  </si>
  <si>
    <t>管理</t>
  </si>
  <si>
    <t>&lt;ruby&gt;管理&lt;rt&gt;guǎnlǐ&lt;/rt&gt;&lt;/ruby&gt;</t>
  </si>
  <si>
    <t>guǎnlǐ</t>
  </si>
  <si>
    <t>quản lý</t>
  </si>
  <si>
    <r>
      <rPr>
        <sz val="11"/>
        <color rgb="FF000000"/>
        <rFont val="Times New Roman"/>
      </rPr>
      <t>这件事由他负责</t>
    </r>
    <r>
      <rPr>
        <b/>
        <sz val="11"/>
        <color rgb="FF000000"/>
        <rFont val="Times New Roman"/>
      </rPr>
      <t>管理</t>
    </r>
    <r>
      <rPr>
        <sz val="11"/>
        <color rgb="FF000000"/>
        <rFont val="Times New Roman"/>
      </rPr>
      <t>。</t>
    </r>
  </si>
  <si>
    <t>Việc này do anh ấy phụ trách điều hành.</t>
  </si>
  <si>
    <t>H4_B15_BG-03.png</t>
  </si>
  <si>
    <t>B15_3.mp3</t>
  </si>
  <si>
    <t>弄</t>
  </si>
  <si>
    <t>&lt;ruby&gt;弄&lt;rt&gt;nòng&lt;/rt&gt;&lt;/ruby&gt;</t>
  </si>
  <si>
    <t>nòng</t>
  </si>
  <si>
    <t>làm</t>
  </si>
  <si>
    <r>
      <rPr>
        <sz val="11"/>
        <color rgb="FF000000"/>
        <rFont val="Times New Roman"/>
      </rPr>
      <t>小男孩把他最喜欢的玩具</t>
    </r>
    <r>
      <rPr>
        <b/>
        <sz val="11"/>
        <color rgb="FF000000"/>
        <rFont val="Times New Roman"/>
      </rPr>
      <t>弄</t>
    </r>
    <r>
      <rPr>
        <sz val="11"/>
        <color rgb="FF000000"/>
        <rFont val="Times New Roman"/>
      </rPr>
      <t>坏了。</t>
    </r>
  </si>
  <si>
    <t>Cậu bé làm hỏng đồ chơi yêu thích rồi.</t>
  </si>
  <si>
    <t>H4_B15_BG-04.png</t>
  </si>
  <si>
    <t>B15_4.mp3</t>
  </si>
  <si>
    <t>打针</t>
  </si>
  <si>
    <t>&lt;ruby&gt;打针&lt;rt&gt;dǎ zhēn&lt;/rt&gt;&lt;/ruby&gt;</t>
  </si>
  <si>
    <t>dǎ zhēn</t>
  </si>
  <si>
    <t>tiêm, chích</t>
  </si>
  <si>
    <r>
      <rPr>
        <sz val="11"/>
        <color rgb="FF000000"/>
        <rFont val="Times New Roman"/>
      </rPr>
      <t>小女孩很勇敢，</t>
    </r>
    <r>
      <rPr>
        <b/>
        <sz val="11"/>
        <color rgb="FF000000"/>
        <rFont val="Times New Roman"/>
      </rPr>
      <t>打针</t>
    </r>
    <r>
      <rPr>
        <sz val="11"/>
        <color rgb="FF000000"/>
        <rFont val="Times New Roman"/>
      </rPr>
      <t>也不喊疼。</t>
    </r>
  </si>
  <si>
    <t>Cô bé ấy rất dũng cảm, bị tiêm cũng không hề kêu đau.</t>
  </si>
  <si>
    <t>H4_B15_BG-05.png</t>
  </si>
  <si>
    <t>B15_5.mp3</t>
  </si>
  <si>
    <t>护士</t>
  </si>
  <si>
    <t>&lt;ruby&gt;护士&lt;rt&gt;hùshi&lt;/rt&gt;&lt;/ruby&gt;</t>
  </si>
  <si>
    <t>hùshi</t>
  </si>
  <si>
    <t>y tá</t>
  </si>
  <si>
    <r>
      <rPr>
        <sz val="11"/>
        <color rgb="FF000000"/>
        <rFont val="Times New Roman"/>
      </rPr>
      <t>我姐姐是</t>
    </r>
    <r>
      <rPr>
        <b/>
        <sz val="11"/>
        <color rgb="FF000000"/>
        <rFont val="Times New Roman"/>
      </rPr>
      <t>护士</t>
    </r>
    <r>
      <rPr>
        <sz val="11"/>
        <color rgb="FF000000"/>
        <rFont val="Times New Roman"/>
      </rPr>
      <t>。</t>
    </r>
  </si>
  <si>
    <t>Chị gái tôi làm y tá.</t>
  </si>
  <si>
    <t>H4_B15_BG-06.png</t>
  </si>
  <si>
    <t>B15_6.mp3</t>
  </si>
  <si>
    <t>千万</t>
  </si>
  <si>
    <t>&lt;ruby&gt;千万&lt;rt&gt;qiānwàn&lt;/rt&gt;&lt;/ruby&gt;</t>
  </si>
  <si>
    <t>qiānwàn</t>
  </si>
  <si>
    <t>nhất thiết phải</t>
  </si>
  <si>
    <r>
      <rPr>
        <b/>
        <sz val="11"/>
        <color rgb="FF000000"/>
        <rFont val="Times New Roman"/>
      </rPr>
      <t>千万</t>
    </r>
    <r>
      <rPr>
        <sz val="11"/>
        <color rgb="FF000000"/>
        <rFont val="Times New Roman"/>
      </rPr>
      <t>要按照医生的嘱咐吃药。</t>
    </r>
  </si>
  <si>
    <t>Tuyệt đối phải uống thuốc theo lời bác sĩ.</t>
  </si>
  <si>
    <t>H4_B15_BG-07.png</t>
  </si>
  <si>
    <t>B15_7.mp3</t>
  </si>
  <si>
    <t>左右</t>
  </si>
  <si>
    <t>&lt;ruby&gt;左右&lt;rt&gt;zuǒyòu&lt;/rt&gt;&lt;/ruby&gt;</t>
  </si>
  <si>
    <t>zuǒyòu</t>
  </si>
  <si>
    <t>khoảng, khoảng chừng</t>
  </si>
  <si>
    <r>
      <rPr>
        <sz val="11"/>
        <color rgb="FF000000"/>
        <rFont val="Times New Roman"/>
      </rPr>
      <t>从现在到毕业，我大概能存五百万</t>
    </r>
    <r>
      <rPr>
        <b/>
        <sz val="11"/>
        <color rgb="FF000000"/>
        <rFont val="Times New Roman"/>
      </rPr>
      <t>左右</t>
    </r>
    <r>
      <rPr>
        <sz val="11"/>
        <color rgb="FF000000"/>
        <rFont val="Times New Roman"/>
      </rPr>
      <t>。</t>
    </r>
  </si>
  <si>
    <t>Từ giờ đến lúc tốt nghiệp, tôi có thể tích kiệm được khoảng 5 triệu.</t>
  </si>
  <si>
    <t>H4_B15_BG-08.png</t>
  </si>
  <si>
    <t>B15_8.mp3</t>
  </si>
  <si>
    <t>懒</t>
  </si>
  <si>
    <t>&lt;ruby&gt;懒&lt;rt&gt;lǎn&lt;/rt&gt;&lt;/ruby&gt;</t>
  </si>
  <si>
    <t>lǎn</t>
  </si>
  <si>
    <t>lười, lười nhác</t>
  </si>
  <si>
    <r>
      <rPr>
        <sz val="11"/>
        <color rgb="FF000000"/>
        <rFont val="Times New Roman"/>
      </rPr>
      <t>我家的猪特别</t>
    </r>
    <r>
      <rPr>
        <b/>
        <sz val="11"/>
        <color rgb="FF000000"/>
        <rFont val="Times New Roman"/>
      </rPr>
      <t>懒</t>
    </r>
    <r>
      <rPr>
        <sz val="11"/>
        <color rgb="FF000000"/>
        <rFont val="Times New Roman"/>
      </rPr>
      <t>，整天睡觉，吃饭时间都懒得起来。</t>
    </r>
  </si>
  <si>
    <t>Con heo nhà tôi rất lười biếng, cả ngày chỉ ngủ, đến giờ ăn cũng không chịu dậy ăn.</t>
  </si>
  <si>
    <t>H4_B15_BG-09.png</t>
  </si>
  <si>
    <t>B15_9.mp3</t>
  </si>
  <si>
    <t>笨</t>
  </si>
  <si>
    <t>&lt;ruby&gt;笨&lt;rt&gt;bèn&lt;/rt&gt;&lt;/ruby&gt;</t>
  </si>
  <si>
    <t>bèn</t>
  </si>
  <si>
    <t>đần, ngốc</t>
  </si>
  <si>
    <r>
      <rPr>
        <sz val="11"/>
        <color rgb="FF000000"/>
        <rFont val="Times New Roman"/>
      </rPr>
      <t>那只猪真</t>
    </r>
    <r>
      <rPr>
        <b/>
        <sz val="11"/>
        <color rgb="FF000000"/>
        <rFont val="Times New Roman"/>
      </rPr>
      <t>笨</t>
    </r>
    <r>
      <rPr>
        <sz val="11"/>
        <color rgb="FF000000"/>
        <rFont val="Times New Roman"/>
      </rPr>
      <t>，被那只松鼠骗了。</t>
    </r>
  </si>
  <si>
    <t>Con heo đó thật ngốc, đã bị con sóc đó lừa.</t>
  </si>
  <si>
    <t>H4_B15_BG-10.png</t>
  </si>
  <si>
    <t>B15_10.mp3</t>
  </si>
  <si>
    <t>粗心</t>
  </si>
  <si>
    <t>&lt;ruby&gt;粗心&lt;rt&gt;cūxīn&lt;/rt&gt;&lt;/ruby&gt;</t>
  </si>
  <si>
    <t>cūxīn</t>
  </si>
  <si>
    <t>cẩu thả</t>
  </si>
  <si>
    <r>
      <rPr>
        <sz val="11"/>
        <color rgb="FF000000"/>
        <rFont val="Times New Roman"/>
      </rPr>
      <t>他因为</t>
    </r>
    <r>
      <rPr>
        <b/>
        <sz val="11"/>
        <color rgb="FF000000"/>
        <rFont val="Times New Roman"/>
      </rPr>
      <t>粗心</t>
    </r>
    <r>
      <rPr>
        <sz val="11"/>
        <color rgb="FF000000"/>
        <rFont val="Times New Roman"/>
      </rPr>
      <t>犯了错误。</t>
    </r>
  </si>
  <si>
    <t>Anh ấy đã mắc lỗi vì cẩu thả.</t>
  </si>
  <si>
    <t>H4_B15_BG-11.png</t>
  </si>
  <si>
    <t>B15_11.mp3</t>
  </si>
  <si>
    <t>孙子</t>
  </si>
  <si>
    <t>&lt;ruby&gt;孙子&lt;rt&gt;sūnzi&lt;/rt&gt;&lt;/ruby&gt;</t>
  </si>
  <si>
    <t>sūnzi</t>
  </si>
  <si>
    <t>cháu nội trai</t>
  </si>
  <si>
    <r>
      <rPr>
        <sz val="11"/>
        <color rgb="FF000000"/>
        <rFont val="Times New Roman"/>
      </rPr>
      <t>爷爷很疼爱他的</t>
    </r>
    <r>
      <rPr>
        <b/>
        <sz val="11"/>
        <color rgb="FF000000"/>
        <rFont val="Times New Roman"/>
      </rPr>
      <t>孙子</t>
    </r>
    <r>
      <rPr>
        <sz val="11"/>
        <color rgb="FF000000"/>
        <rFont val="Times New Roman"/>
      </rPr>
      <t>。</t>
    </r>
  </si>
  <si>
    <t>Ông nội yêu cháu trai của mình.</t>
  </si>
  <si>
    <t>H4_B15_BG-12.png</t>
  </si>
  <si>
    <t>B15_12.mp3</t>
  </si>
  <si>
    <t>寒假</t>
  </si>
  <si>
    <t>&lt;ruby&gt;寒假&lt;rt&gt;hánjià&lt;/rt&gt;&lt;/ruby&gt;</t>
  </si>
  <si>
    <t>hánjià</t>
  </si>
  <si>
    <t>kỳ nghỉ đông</t>
  </si>
  <si>
    <r>
      <rPr>
        <sz val="11"/>
        <color rgb="FF000000"/>
        <rFont val="Times New Roman"/>
      </rPr>
      <t>去年</t>
    </r>
    <r>
      <rPr>
        <b/>
        <sz val="11"/>
        <color rgb="FF000000"/>
        <rFont val="Times New Roman"/>
      </rPr>
      <t>寒假</t>
    </r>
    <r>
      <rPr>
        <sz val="11"/>
        <color rgb="FF000000"/>
        <rFont val="Times New Roman"/>
      </rPr>
      <t>我去滑雪了。</t>
    </r>
  </si>
  <si>
    <t>Tôi đi trượt tuyết vào kỳ nghỉ đông năm ngoái.</t>
  </si>
  <si>
    <t>H4_B15_BG-13.png</t>
  </si>
  <si>
    <t>B15_13.mp3</t>
  </si>
  <si>
    <t>父亲</t>
  </si>
  <si>
    <t>&lt;ruby&gt;父亲&lt;rt&gt;fùqīn&lt;/rt&gt;&lt;/ruby&gt;</t>
  </si>
  <si>
    <t>fùqīn</t>
  </si>
  <si>
    <t>cha, bố</t>
  </si>
  <si>
    <r>
      <rPr>
        <sz val="11"/>
        <color rgb="FF000000"/>
        <rFont val="Times New Roman"/>
      </rPr>
      <t>我</t>
    </r>
    <r>
      <rPr>
        <b/>
        <sz val="11"/>
        <color rgb="FF000000"/>
        <rFont val="Times New Roman"/>
      </rPr>
      <t>父亲</t>
    </r>
    <r>
      <rPr>
        <sz val="11"/>
        <color rgb="FF000000"/>
        <rFont val="Times New Roman"/>
      </rPr>
      <t>是修空调的师傅。</t>
    </r>
  </si>
  <si>
    <t>Bố tôi là thợ sửa điều hòa.</t>
  </si>
  <si>
    <t>H4_B15_BG-14.png</t>
  </si>
  <si>
    <t>B15_14.mp3</t>
  </si>
  <si>
    <t>闹钟</t>
  </si>
  <si>
    <t>&lt;ruby&gt;闹钟&lt;rt&gt;nàozhōng&lt;/rt&gt;&lt;/ruby&gt;</t>
  </si>
  <si>
    <t>nàozhōng</t>
  </si>
  <si>
    <t>đồng hồ báo thức</t>
  </si>
  <si>
    <r>
      <rPr>
        <sz val="11"/>
        <color rgb="FF000000"/>
        <rFont val="Times New Roman"/>
      </rPr>
      <t>我刚买了一个</t>
    </r>
    <r>
      <rPr>
        <b/>
        <sz val="11"/>
        <color rgb="FF000000"/>
        <rFont val="Times New Roman"/>
      </rPr>
      <t>闹钟</t>
    </r>
    <r>
      <rPr>
        <sz val="11"/>
        <color rgb="FF000000"/>
        <rFont val="Times New Roman"/>
      </rPr>
      <t>。</t>
    </r>
  </si>
  <si>
    <t>Tôi vừa mua một cái đồng hồ báo thức.</t>
  </si>
  <si>
    <t>H4_B15_BG-15.png</t>
  </si>
  <si>
    <t>B15_15.mp3</t>
  </si>
  <si>
    <t>响</t>
  </si>
  <si>
    <t>&lt;ruby&gt;响&lt;rt&gt;xiǎng&lt;/rt&gt;&lt;/ruby&gt;</t>
  </si>
  <si>
    <t>reo, vang lên</t>
  </si>
  <si>
    <r>
      <rPr>
        <sz val="11"/>
        <color rgb="FF000000"/>
        <rFont val="Times New Roman"/>
      </rPr>
      <t>鞭炮声</t>
    </r>
    <r>
      <rPr>
        <b/>
        <sz val="11"/>
        <color rgb="FF000000"/>
        <rFont val="Times New Roman"/>
      </rPr>
      <t>响</t>
    </r>
    <r>
      <rPr>
        <sz val="11"/>
        <color rgb="FF000000"/>
        <rFont val="Times New Roman"/>
      </rPr>
      <t>得很大。</t>
    </r>
  </si>
  <si>
    <t>Tiếng pháo nổ rất to.</t>
  </si>
  <si>
    <t>H4_B15_BG-16.png</t>
  </si>
  <si>
    <t>B15_16.mp3</t>
  </si>
  <si>
    <t>醒</t>
  </si>
  <si>
    <t>&lt;ruby&gt;醒&lt;rt&gt;xǐng&lt;/rt&gt;&lt;/ruby&gt;</t>
  </si>
  <si>
    <t>xǐng</t>
  </si>
  <si>
    <t>thức dậy, tỉnh dậy</t>
  </si>
  <si>
    <r>
      <rPr>
        <sz val="11"/>
        <color rgb="FF000000"/>
        <rFont val="Times New Roman"/>
      </rPr>
      <t>天刚亮我就</t>
    </r>
    <r>
      <rPr>
        <b/>
        <sz val="11"/>
        <color rgb="FF000000"/>
        <rFont val="Times New Roman"/>
      </rPr>
      <t>醒</t>
    </r>
    <r>
      <rPr>
        <sz val="11"/>
        <color rgb="FF000000"/>
        <rFont val="Times New Roman"/>
      </rPr>
      <t>了。</t>
    </r>
  </si>
  <si>
    <t>Trời vừa sáng là tôi đã tỉnh rồi.</t>
  </si>
  <si>
    <t>H4_B15_BG-17.png</t>
  </si>
  <si>
    <t>B15_17.mp3</t>
  </si>
  <si>
    <t>赶</t>
  </si>
  <si>
    <t>&lt;ruby&gt;赶&lt;rt&gt;gǎn&lt;/rt&gt;&lt;/ruby&gt;</t>
  </si>
  <si>
    <t>gǎn</t>
  </si>
  <si>
    <t>vội, gấp rút</t>
  </si>
  <si>
    <r>
      <rPr>
        <sz val="11"/>
        <color rgb="FF000000"/>
        <rFont val="Times New Roman"/>
      </rPr>
      <t>他正在</t>
    </r>
    <r>
      <rPr>
        <b/>
        <sz val="11"/>
        <color rgb="FF000000"/>
        <rFont val="Times New Roman"/>
      </rPr>
      <t>赶</t>
    </r>
    <r>
      <rPr>
        <sz val="11"/>
        <color rgb="FF000000"/>
        <rFont val="Times New Roman"/>
      </rPr>
      <t>回家，因为有客人来了。</t>
    </r>
  </si>
  <si>
    <t>Anh ấy đang vội về nhà vì có khách tới.</t>
  </si>
  <si>
    <t>H4_B15_BG-18.png</t>
  </si>
  <si>
    <t>B15_18.mp3</t>
  </si>
  <si>
    <t>厕所</t>
  </si>
  <si>
    <t>&lt;ruby&gt;厕所&lt;rt&gt;cèsuǒ&lt;/rt&gt;&lt;/ruby&gt;</t>
  </si>
  <si>
    <t>cèsuǒ</t>
  </si>
  <si>
    <r>
      <rPr>
        <sz val="11"/>
        <color rgb="FF000000"/>
        <rFont val="Times New Roman"/>
      </rPr>
      <t>她家的</t>
    </r>
    <r>
      <rPr>
        <b/>
        <sz val="11"/>
        <color rgb="FF000000"/>
        <rFont val="Times New Roman"/>
      </rPr>
      <t>厕所</t>
    </r>
    <r>
      <rPr>
        <sz val="11"/>
        <color rgb="FF000000"/>
        <rFont val="Times New Roman"/>
      </rPr>
      <t>很整洁干净。</t>
    </r>
  </si>
  <si>
    <t>Nhà vệ sinh ở nhà cô ấy rất gọn gàng và sạch sẽ.</t>
  </si>
  <si>
    <t>H4_B15_BG-19.png</t>
  </si>
  <si>
    <t>B15_19.mp3</t>
  </si>
  <si>
    <t>儿童</t>
  </si>
  <si>
    <t>&lt;ruby&gt;儿童&lt;rt&gt;értóng&lt;/rt&gt;&lt;/ruby&gt;</t>
  </si>
  <si>
    <t>értóng</t>
  </si>
  <si>
    <t>trẻ em</t>
  </si>
  <si>
    <r>
      <rPr>
        <sz val="11"/>
        <color rgb="FF000000"/>
        <rFont val="Times New Roman"/>
      </rPr>
      <t>这部电影只适合</t>
    </r>
    <r>
      <rPr>
        <b/>
        <sz val="11"/>
        <color rgb="FF000000"/>
        <rFont val="Times New Roman"/>
      </rPr>
      <t>儿童</t>
    </r>
    <r>
      <rPr>
        <sz val="11"/>
        <color rgb="FF000000"/>
        <rFont val="Times New Roman"/>
      </rPr>
      <t>观看。</t>
    </r>
  </si>
  <si>
    <t>Phim này chỉ dành cho trẻ em.</t>
  </si>
  <si>
    <t>H4_B15_BG-20.png</t>
  </si>
  <si>
    <t>B15_20.mp3</t>
  </si>
  <si>
    <t>假</t>
  </si>
  <si>
    <t>&lt;ruby&gt;假&lt;rt&gt;jiǎ&lt;/rt&gt;&lt;/ruby&gt;</t>
  </si>
  <si>
    <t>jiǎ</t>
  </si>
  <si>
    <t>giả dối, không thật</t>
  </si>
  <si>
    <r>
      <rPr>
        <sz val="11"/>
        <color rgb="FF000000"/>
        <rFont val="Times New Roman"/>
      </rPr>
      <t>她的笑容看起来很</t>
    </r>
    <r>
      <rPr>
        <b/>
        <sz val="11"/>
        <color rgb="FF000000"/>
        <rFont val="Times New Roman"/>
      </rPr>
      <t>假</t>
    </r>
    <r>
      <rPr>
        <sz val="11"/>
        <color rgb="FF000000"/>
        <rFont val="Times New Roman"/>
      </rPr>
      <t>。</t>
    </r>
  </si>
  <si>
    <t>Nụ cười của cô ấy có vẻ giả tạo.</t>
  </si>
  <si>
    <t>H4_B15_BG-21.png</t>
  </si>
  <si>
    <t>B15_21.mp3</t>
  </si>
  <si>
    <t>批评</t>
  </si>
  <si>
    <t>&lt;ruby&gt;批评&lt;rt&gt;pīpíng&lt;/rt&gt;&lt;/ruby&gt;</t>
  </si>
  <si>
    <t>pīpíng</t>
  </si>
  <si>
    <t xml:space="preserve">phê bình </t>
  </si>
  <si>
    <r>
      <rPr>
        <sz val="11"/>
        <color rgb="FF000000"/>
        <rFont val="Times New Roman"/>
      </rPr>
      <t>妈妈</t>
    </r>
    <r>
      <rPr>
        <b/>
        <sz val="11"/>
        <color rgb="FF000000"/>
        <rFont val="Times New Roman"/>
      </rPr>
      <t>批评</t>
    </r>
    <r>
      <rPr>
        <sz val="11"/>
        <color rgb="FF000000"/>
        <rFont val="Times New Roman"/>
      </rPr>
      <t>了儿子的错误。</t>
    </r>
  </si>
  <si>
    <t>Mẹ phê bình lỗi của con trai.</t>
  </si>
  <si>
    <t>H4_B15_BG-22.png</t>
  </si>
  <si>
    <t>B15_22.mp3</t>
  </si>
  <si>
    <t>表扬</t>
  </si>
  <si>
    <t>&lt;ruby&gt;表扬&lt;rt&gt;biǎoyáng&lt;/rt&gt;&lt;/ruby&gt;</t>
  </si>
  <si>
    <t>biǎoyáng</t>
  </si>
  <si>
    <t>khen ngợi, biểu dương</t>
  </si>
  <si>
    <r>
      <rPr>
        <sz val="11"/>
        <color rgb="FF000000"/>
        <rFont val="Times New Roman"/>
      </rPr>
      <t>老师正在</t>
    </r>
    <r>
      <rPr>
        <b/>
        <sz val="11"/>
        <color rgb="FF000000"/>
        <rFont val="Times New Roman"/>
      </rPr>
      <t>表扬</t>
    </r>
    <r>
      <rPr>
        <sz val="11"/>
        <color rgb="FF000000"/>
        <rFont val="Times New Roman"/>
      </rPr>
      <t>这周得高分的同学。</t>
    </r>
  </si>
  <si>
    <t>Cô giáo đang biểu dương những bạn điểm cao trong tuần.</t>
  </si>
  <si>
    <t>H4_B15_BG-23.png</t>
  </si>
  <si>
    <t>B15_23.mp3</t>
  </si>
  <si>
    <t>怀疑</t>
  </si>
  <si>
    <t>&lt;ruby&gt;怀疑&lt;rt&gt;huáiyí&lt;/rt&gt;&lt;/ruby&gt;</t>
  </si>
  <si>
    <t>huáiyí</t>
  </si>
  <si>
    <t>nghi ngờ, hoài nghi</t>
  </si>
  <si>
    <r>
      <rPr>
        <sz val="11"/>
        <color rgb="FF000000"/>
        <rFont val="Times New Roman"/>
      </rPr>
      <t>小偷</t>
    </r>
    <r>
      <rPr>
        <b/>
        <sz val="11"/>
        <color rgb="FF000000"/>
        <rFont val="Times New Roman"/>
      </rPr>
      <t>怀疑</t>
    </r>
    <r>
      <rPr>
        <sz val="11"/>
        <color rgb="FF000000"/>
        <rFont val="Times New Roman"/>
      </rPr>
      <t>有人报警了，于是赶紧逃跑。</t>
    </r>
  </si>
  <si>
    <t>Tên trộm nghi ngờ đã có kẻ báo cảnh sát nên vội vàng chạy trốn.</t>
  </si>
  <si>
    <t>H4_B15_BG-24.png</t>
  </si>
  <si>
    <t>B15_24.mp3</t>
  </si>
  <si>
    <t>故意</t>
  </si>
  <si>
    <t>&lt;ruby&gt;故意&lt;rt&gt;gùyì&lt;/rt&gt;&lt;/ruby&gt;</t>
  </si>
  <si>
    <t>gùyì</t>
  </si>
  <si>
    <t>cố tình, cố ý</t>
  </si>
  <si>
    <r>
      <rPr>
        <sz val="11"/>
        <color rgb="FF000000"/>
        <rFont val="Times New Roman"/>
      </rPr>
      <t>明明有警告，但我还是</t>
    </r>
    <r>
      <rPr>
        <b/>
        <sz val="11"/>
        <color rgb="FF000000"/>
        <rFont val="Times New Roman"/>
      </rPr>
      <t>故意</t>
    </r>
    <r>
      <rPr>
        <sz val="11"/>
        <color rgb="FF000000"/>
        <rFont val="Times New Roman"/>
      </rPr>
      <t xml:space="preserve">走过去，结果滑倒了。
</t>
    </r>
  </si>
  <si>
    <t>Tuy đã có cảnh báo nhưng tôi vẫn cố tình đi qua và đã bị trượt ngã.</t>
  </si>
  <si>
    <t>H4_B15_BG-25.png</t>
  </si>
  <si>
    <t>B15_25.mp3</t>
  </si>
  <si>
    <t>敲</t>
  </si>
  <si>
    <t>&lt;ruby&gt;敲&lt;rt&gt;qiāo&lt;/rt&gt;&lt;/ruby&gt;</t>
  </si>
  <si>
    <t>qiāo</t>
  </si>
  <si>
    <t>gõ, khua</t>
  </si>
  <si>
    <r>
      <rPr>
        <sz val="11"/>
        <color rgb="FF000000"/>
        <rFont val="Times New Roman"/>
      </rPr>
      <t>每逢节日，人们都会</t>
    </r>
    <r>
      <rPr>
        <b/>
        <sz val="11"/>
        <color rgb="FF000000"/>
        <rFont val="Times New Roman"/>
      </rPr>
      <t>敲</t>
    </r>
    <r>
      <rPr>
        <sz val="11"/>
        <color rgb="FF000000"/>
        <rFont val="Times New Roman"/>
      </rPr>
      <t>锣打鼓，非常热闹。</t>
    </r>
  </si>
  <si>
    <t>Mỗi lần có lễ hội là mọi người khua chiêng đánh trống rất rộn ràng.</t>
  </si>
  <si>
    <t>H4_B15_BG-26.png</t>
  </si>
  <si>
    <t>B15_26.mp3</t>
  </si>
  <si>
    <t>整理</t>
  </si>
  <si>
    <t>&lt;ruby&gt;整理&lt;rt&gt;zhěnglǐ&lt;/rt&gt;&lt;/ruby&gt;</t>
  </si>
  <si>
    <t>zhěnglǐ</t>
  </si>
  <si>
    <t>thu dọn, dọn dẹp</t>
  </si>
  <si>
    <r>
      <rPr>
        <sz val="11"/>
        <color rgb="FF000000"/>
        <rFont val="Times New Roman"/>
      </rPr>
      <t>我已经</t>
    </r>
    <r>
      <rPr>
        <b/>
        <sz val="11"/>
        <color rgb="FF000000"/>
        <rFont val="Times New Roman"/>
      </rPr>
      <t>整理</t>
    </r>
    <r>
      <rPr>
        <sz val="11"/>
        <color rgb="FF000000"/>
        <rFont val="Times New Roman"/>
      </rPr>
      <t>了我的书桌。</t>
    </r>
  </si>
  <si>
    <t>Tôi đã dọn dẹp bàn học của mình.</t>
  </si>
  <si>
    <t>H4_B15_BG-27.png</t>
  </si>
  <si>
    <t>B15_27.mp3</t>
  </si>
  <si>
    <r>
      <rPr>
        <sz val="11"/>
        <color rgb="FF000000"/>
        <rFont val="Times New Roman"/>
      </rPr>
      <t>我觉得她是最</t>
    </r>
    <r>
      <rPr>
        <b/>
        <sz val="11"/>
        <color rgb="FF000000"/>
        <rFont val="Times New Roman"/>
      </rPr>
      <t>合适</t>
    </r>
    <r>
      <rPr>
        <sz val="11"/>
        <color rgb="FF000000"/>
        <rFont val="Times New Roman"/>
      </rPr>
      <t>我的人。</t>
    </r>
  </si>
  <si>
    <t>骗</t>
  </si>
  <si>
    <t>&lt;ruby&gt;骗&lt;rt&gt;piàn&lt;/rt&gt;&lt;/ruby&gt;</t>
  </si>
  <si>
    <t>piàn</t>
  </si>
  <si>
    <t>lừa gạt</t>
  </si>
  <si>
    <r>
      <rPr>
        <sz val="11"/>
        <color rgb="FF000000"/>
        <rFont val="Times New Roman"/>
      </rPr>
      <t>他总是</t>
    </r>
    <r>
      <rPr>
        <b/>
        <sz val="11"/>
        <color rgb="FF000000"/>
        <rFont val="Times New Roman"/>
      </rPr>
      <t>骗</t>
    </r>
    <r>
      <rPr>
        <sz val="11"/>
        <color rgb="FF000000"/>
        <rFont val="Times New Roman"/>
      </rPr>
      <t>别人的钱，所以被抓进监狱了。</t>
    </r>
  </si>
  <si>
    <t>Anh ta luôn đi lừa tiền người khác nên đã bị bắt giam.</t>
  </si>
  <si>
    <t>H4_B15_BG-29.png</t>
  </si>
  <si>
    <t>B15_29.mp3</t>
  </si>
  <si>
    <t>骄傲</t>
  </si>
  <si>
    <t>&lt;ruby&gt;骄傲&lt;rt&gt;jiāo'ào&lt;/rt&gt;&lt;/ruby&gt;</t>
  </si>
  <si>
    <t>jiāo'ào</t>
  </si>
  <si>
    <t>kiêu ngạo</t>
  </si>
  <si>
    <r>
      <rPr>
        <sz val="11"/>
        <color rgb="FF000000"/>
        <rFont val="Times New Roman"/>
      </rPr>
      <t>她漂亮、自信，并不像我想的那样</t>
    </r>
    <r>
      <rPr>
        <b/>
        <sz val="11"/>
        <color rgb="FF000000"/>
        <rFont val="Times New Roman"/>
      </rPr>
      <t>骄傲</t>
    </r>
    <r>
      <rPr>
        <sz val="11"/>
        <color rgb="FF000000"/>
        <rFont val="Times New Roman"/>
      </rPr>
      <t>。</t>
    </r>
  </si>
  <si>
    <t>Cô ấy xinh đẹp, tự tin và không hề kiêu ngạo như tôi đã nghĩ.</t>
  </si>
  <si>
    <t>H4_B15_BG-30.png</t>
  </si>
  <si>
    <t>B15_30.mp3</t>
  </si>
  <si>
    <t>害羞</t>
  </si>
  <si>
    <t>&lt;ruby&gt;害羞&lt;rt&gt;hàixiū&lt;/rt&gt;&lt;/ruby&gt;</t>
  </si>
  <si>
    <t>hàixiū</t>
  </si>
  <si>
    <t>ngượng ngùng, thẹn thùng</t>
  </si>
  <si>
    <r>
      <rPr>
        <sz val="11"/>
        <color rgb="FF000000"/>
        <rFont val="Times New Roman"/>
      </rPr>
      <t>她</t>
    </r>
    <r>
      <rPr>
        <b/>
        <sz val="11"/>
        <color rgb="FF000000"/>
        <rFont val="Times New Roman"/>
      </rPr>
      <t>害羞</t>
    </r>
    <r>
      <rPr>
        <sz val="11"/>
        <color rgb="FF000000"/>
        <rFont val="Times New Roman"/>
      </rPr>
      <t>地笑了。</t>
    </r>
  </si>
  <si>
    <t>Cô ấy cười ngượng ngùng.</t>
  </si>
  <si>
    <t>H4_B15_BG-31.png</t>
  </si>
  <si>
    <t>B15_31.mp3</t>
  </si>
  <si>
    <t>博士</t>
  </si>
  <si>
    <t>&lt;ruby&gt;博士&lt;rt&gt;bóshì&lt;/rt&gt;&lt;/ruby&gt;</t>
  </si>
  <si>
    <t>bóshì</t>
  </si>
  <si>
    <t>tiến sĩ</t>
  </si>
  <si>
    <r>
      <rPr>
        <sz val="11"/>
        <color rgb="FF000000"/>
        <rFont val="Times New Roman"/>
      </rPr>
      <t>他是一位物理</t>
    </r>
    <r>
      <rPr>
        <b/>
        <sz val="11"/>
        <color rgb="FF000000"/>
        <rFont val="Times New Roman"/>
      </rPr>
      <t>博士</t>
    </r>
    <r>
      <rPr>
        <sz val="11"/>
        <color rgb="FF000000"/>
        <rFont val="Times New Roman"/>
      </rPr>
      <t>。</t>
    </r>
  </si>
  <si>
    <t>Anh ấy là một tiến sĩ vật lý.</t>
  </si>
  <si>
    <t>H4_B16_BG-01.png</t>
  </si>
  <si>
    <t>B16_1.mp3</t>
  </si>
  <si>
    <t>B16_VD_1.mp3</t>
  </si>
  <si>
    <t>报名</t>
  </si>
  <si>
    <t>&lt;ruby&gt;报名&lt;rt&gt;bào míng&lt;/rt&gt;&lt;/ruby&gt;</t>
  </si>
  <si>
    <t>bào míng</t>
  </si>
  <si>
    <t>ghi danh, đăng ký</t>
  </si>
  <si>
    <r>
      <rPr>
        <sz val="11"/>
        <color rgb="FF000000"/>
        <rFont val="Times New Roman"/>
      </rPr>
      <t>你需要填写表格来</t>
    </r>
    <r>
      <rPr>
        <b/>
        <sz val="11"/>
        <color rgb="FF000000"/>
        <rFont val="Times New Roman"/>
      </rPr>
      <t>报名</t>
    </r>
    <r>
      <rPr>
        <sz val="11"/>
        <color rgb="FF000000"/>
        <rFont val="Times New Roman"/>
      </rPr>
      <t>。</t>
    </r>
  </si>
  <si>
    <t>Bạn cần điền vào mẫu đơn để đăng ký.</t>
  </si>
  <si>
    <t>H4_B16_BG-02.png</t>
  </si>
  <si>
    <t>B16_2.mp3</t>
  </si>
  <si>
    <t>B16_VD_2.mp3</t>
  </si>
  <si>
    <t>表格</t>
  </si>
  <si>
    <t>&lt;ruby&gt;表格&lt;rt&gt;biǎogé&lt;/rt&gt;&lt;/ruby&gt;</t>
  </si>
  <si>
    <t>biǎogé</t>
  </si>
  <si>
    <t>bản kê khai, mẫu đơn</t>
  </si>
  <si>
    <r>
      <rPr>
        <sz val="10"/>
        <color theme="1"/>
        <rFont val="Arial"/>
      </rPr>
      <t>请在</t>
    </r>
    <r>
      <rPr>
        <b/>
        <sz val="10"/>
        <color theme="1"/>
        <rFont val="Arial"/>
      </rPr>
      <t>表格</t>
    </r>
    <r>
      <rPr>
        <sz val="10"/>
        <color theme="1"/>
        <rFont val="Arial"/>
      </rPr>
      <t>中填写信息。</t>
    </r>
  </si>
  <si>
    <t>Vui lòng điền thông tin vào bảng.</t>
  </si>
  <si>
    <t>H4_B16_BG-03.png</t>
  </si>
  <si>
    <t>B16_3.mp3</t>
  </si>
  <si>
    <t>B16_VD_3.mp3</t>
  </si>
  <si>
    <t>记者</t>
  </si>
  <si>
    <t>&lt;ruby&gt;记者&lt;rt&gt;jìzhě&lt;/rt&gt;&lt;/ruby&gt;</t>
  </si>
  <si>
    <t>jìzhě</t>
  </si>
  <si>
    <t>phóng viên, nhà báo</t>
  </si>
  <si>
    <r>
      <rPr>
        <sz val="11"/>
        <color rgb="FF000000"/>
        <rFont val="Times New Roman"/>
      </rPr>
      <t>那位</t>
    </r>
    <r>
      <rPr>
        <b/>
        <sz val="11"/>
        <color rgb="FF000000"/>
        <rFont val="Times New Roman"/>
      </rPr>
      <t>记者</t>
    </r>
    <r>
      <rPr>
        <sz val="11"/>
        <color rgb="FF000000"/>
        <rFont val="Times New Roman"/>
      </rPr>
      <t>正在报道新闻。</t>
    </r>
  </si>
  <si>
    <t>Người phóng viên đó đang đưa tin.</t>
  </si>
  <si>
    <t>H4_B16_BG-04.png</t>
  </si>
  <si>
    <t>B16_4.mp3</t>
  </si>
  <si>
    <t>B16_VD_4.mp3</t>
  </si>
  <si>
    <t>代表</t>
  </si>
  <si>
    <t>&lt;ruby&gt;代表&lt;rt&gt;dàibiǎo&lt;/rt&gt;&lt;/ruby&gt;</t>
  </si>
  <si>
    <t>dàibiǎo</t>
  </si>
  <si>
    <t>đại diện, thay mặt</t>
  </si>
  <si>
    <r>
      <rPr>
        <sz val="11"/>
        <color rgb="FF000000"/>
        <rFont val="Times New Roman"/>
      </rPr>
      <t>他</t>
    </r>
    <r>
      <rPr>
        <b/>
        <sz val="11"/>
        <color rgb="FF000000"/>
        <rFont val="Times New Roman"/>
      </rPr>
      <t>代表</t>
    </r>
    <r>
      <rPr>
        <sz val="11"/>
        <color rgb="FF000000"/>
        <rFont val="Times New Roman"/>
      </rPr>
      <t>我们全班参加这次考试。</t>
    </r>
  </si>
  <si>
    <t>Cậu ấy đại diện cho cả lớp tôi để đi thi ở kỳ thi này.</t>
  </si>
  <si>
    <t>H4_B16_BG-05.png</t>
  </si>
  <si>
    <t>B16_5.mp3</t>
  </si>
  <si>
    <t>B16_VD_5.mp3</t>
  </si>
  <si>
    <t>重点</t>
  </si>
  <si>
    <t>&lt;ruby&gt;重点&lt;rt&gt;zhòngdiǎn&lt;/rt&gt;&lt;/ruby&gt;</t>
  </si>
  <si>
    <t>zhòngdiǎn</t>
  </si>
  <si>
    <t>trọng điểm, trọng tâm</t>
  </si>
  <si>
    <r>
      <rPr>
        <sz val="11"/>
        <color theme="1"/>
        <rFont val="Times New Roman"/>
      </rPr>
      <t>我认为考试前应该先复习</t>
    </r>
    <r>
      <rPr>
        <b/>
        <sz val="11"/>
        <color theme="1"/>
        <rFont val="Times New Roman"/>
      </rPr>
      <t>重点</t>
    </r>
    <r>
      <rPr>
        <sz val="11"/>
        <color theme="1"/>
        <rFont val="Times New Roman"/>
      </rPr>
      <t>科目。</t>
    </r>
  </si>
  <si>
    <t>Tôi nghĩ nên ôn tập những môn trọng tâm trước kỳ thi.</t>
  </si>
  <si>
    <t>H4_B16_BG-06.png</t>
  </si>
  <si>
    <t>B16_6.mp3</t>
  </si>
  <si>
    <t>B16_VD_6.mp3</t>
  </si>
  <si>
    <t>预习</t>
  </si>
  <si>
    <t>&lt;ruby&gt;预习&lt;rt&gt;yùxí&lt;/rt&gt;&lt;/ruby&gt;</t>
  </si>
  <si>
    <t>yùxí</t>
  </si>
  <si>
    <t>chuẩn bị bài</t>
  </si>
  <si>
    <r>
      <rPr>
        <sz val="11"/>
        <color rgb="FF000000"/>
        <rFont val="Times New Roman"/>
      </rPr>
      <t>因为提前认真</t>
    </r>
    <r>
      <rPr>
        <b/>
        <sz val="11"/>
        <color rgb="FF000000"/>
        <rFont val="Times New Roman"/>
      </rPr>
      <t>预习</t>
    </r>
    <r>
      <rPr>
        <sz val="11"/>
        <color rgb="FF000000"/>
        <rFont val="Times New Roman"/>
      </rPr>
      <t>了，所以今天我很自信。</t>
    </r>
  </si>
  <si>
    <t>Vì đã chuẩn bị bài kĩ nên hôm nay tôi rất tự tin.</t>
  </si>
  <si>
    <t>H4_B16_BG-07.png</t>
  </si>
  <si>
    <t>B16_7.mp3</t>
  </si>
  <si>
    <t>B16_VD_7.mp3</t>
  </si>
  <si>
    <t>重视</t>
  </si>
  <si>
    <t>&lt;ruby&gt;重视&lt;rt&gt;zhòngshì&lt;/rt&gt;&lt;/ruby&gt;</t>
  </si>
  <si>
    <t>zhòngshì</t>
  </si>
  <si>
    <t>xem trọng, chú trọng</t>
  </si>
  <si>
    <r>
      <rPr>
        <sz val="11"/>
        <color theme="1"/>
        <rFont val="Times New Roman"/>
      </rPr>
      <t>我妈妈很</t>
    </r>
    <r>
      <rPr>
        <b/>
        <sz val="11"/>
        <color theme="1"/>
        <rFont val="Times New Roman"/>
      </rPr>
      <t>重视</t>
    </r>
    <r>
      <rPr>
        <sz val="11"/>
        <color theme="1"/>
        <rFont val="Times New Roman"/>
      </rPr>
      <t>家庭餐。</t>
    </r>
  </si>
  <si>
    <t>Mẹ tôi rất chú trọng vào những bữa cơm gia đình.</t>
  </si>
  <si>
    <t>H4_B16_BG-08.png</t>
  </si>
  <si>
    <t>B16_8.mp3</t>
  </si>
  <si>
    <t>B16_VD_8.mp3</t>
  </si>
  <si>
    <t>签证</t>
  </si>
  <si>
    <t>&lt;ruby&gt;签证&lt;rt&gt;qiānzhèng&lt;/rt&gt;&lt;/ruby&gt;</t>
  </si>
  <si>
    <t>qiānzhèng</t>
  </si>
  <si>
    <t>thị thực, visa</t>
  </si>
  <si>
    <r>
      <rPr>
        <sz val="11"/>
        <color rgb="FF000000"/>
        <rFont val="Times New Roman"/>
      </rPr>
      <t>我已经拿到了有效的</t>
    </r>
    <r>
      <rPr>
        <b/>
        <sz val="11"/>
        <color rgb="FF000000"/>
        <rFont val="Times New Roman"/>
      </rPr>
      <t>签证</t>
    </r>
    <r>
      <rPr>
        <sz val="11"/>
        <color rgb="FF000000"/>
        <rFont val="Times New Roman"/>
      </rPr>
      <t>。</t>
    </r>
  </si>
  <si>
    <t>Tôi đã nhận được visa hợp lệ.</t>
  </si>
  <si>
    <t>H4_B16_BG-09.png</t>
  </si>
  <si>
    <t>B16_9.mp3</t>
  </si>
  <si>
    <t>B16_VD_9.mp3</t>
  </si>
  <si>
    <t>传真</t>
  </si>
  <si>
    <t>&lt;ruby&gt;传真&lt;rt&gt;chuánzhēn&lt;/rt&gt;&lt;/ruby&gt;</t>
  </si>
  <si>
    <t>chuánzhēn</t>
  </si>
  <si>
    <t>gửi fax</t>
  </si>
  <si>
    <r>
      <rPr>
        <b/>
        <sz val="11"/>
        <color rgb="FF000000"/>
        <rFont val="Times New Roman"/>
      </rPr>
      <t>传真</t>
    </r>
    <r>
      <rPr>
        <sz val="11"/>
        <color rgb="FF000000"/>
        <rFont val="Times New Roman"/>
      </rPr>
      <t>已经发送给对方了。</t>
    </r>
  </si>
  <si>
    <t>Bản điện thư đã gửi cho đối phương rồi.</t>
  </si>
  <si>
    <t>H4_B16_BG-10.png</t>
  </si>
  <si>
    <t>B16_10.mp3</t>
  </si>
  <si>
    <t>B16_VD_10.mp3</t>
  </si>
  <si>
    <r>
      <rPr>
        <sz val="11"/>
        <color rgb="FF000000"/>
        <rFont val="Times New Roman"/>
      </rPr>
      <t>客户需要向我们提供身份证</t>
    </r>
    <r>
      <rPr>
        <b/>
        <sz val="11"/>
        <color rgb="FF000000"/>
        <rFont val="Times New Roman"/>
      </rPr>
      <t>号码</t>
    </r>
    <r>
      <rPr>
        <sz val="11"/>
        <color rgb="FF000000"/>
        <rFont val="Times New Roman"/>
      </rPr>
      <t>。</t>
    </r>
  </si>
  <si>
    <t>参观</t>
  </si>
  <si>
    <t>&lt;ruby&gt;参观&lt;rt&gt;cānguān&lt;/rt&gt;&lt;/ruby&gt;</t>
  </si>
  <si>
    <t>cānguān</t>
  </si>
  <si>
    <t>tham quan, đi thăm</t>
  </si>
  <si>
    <r>
      <rPr>
        <sz val="11"/>
        <color rgb="FF000000"/>
        <rFont val="Times New Roman"/>
      </rPr>
      <t>我喜欢</t>
    </r>
    <r>
      <rPr>
        <b/>
        <sz val="11"/>
        <color rgb="FF000000"/>
        <rFont val="Times New Roman"/>
      </rPr>
      <t>参观</t>
    </r>
    <r>
      <rPr>
        <sz val="11"/>
        <color rgb="FF000000"/>
        <rFont val="Times New Roman"/>
      </rPr>
      <t>世界著名的景点。</t>
    </r>
  </si>
  <si>
    <t>Tôi thích đi tham quan những địa danh nổi tiếng trên thế giới.</t>
  </si>
  <si>
    <t>H4_B16_BG-12.png</t>
  </si>
  <si>
    <t>B16_12.mp3</t>
  </si>
  <si>
    <t>B16_VD_12.mp3</t>
  </si>
  <si>
    <t>郊区</t>
  </si>
  <si>
    <t>&lt;ruby&gt;郊区&lt;rt&gt;jiāoqū&lt;/rt&gt;&lt;/ruby&gt;</t>
  </si>
  <si>
    <t>jiāoqū</t>
  </si>
  <si>
    <t>vùng ngoại ô</t>
  </si>
  <si>
    <r>
      <rPr>
        <b/>
        <sz val="11"/>
        <color rgb="FF000000"/>
        <rFont val="Times New Roman"/>
      </rPr>
      <t>郊区</t>
    </r>
    <r>
      <rPr>
        <sz val="11"/>
        <color rgb="FF000000"/>
        <rFont val="Times New Roman"/>
      </rPr>
      <t>的生活非常安宁。</t>
    </r>
  </si>
  <si>
    <t>Cuộc sống ở vùng ngoại ô rất bình yên.</t>
  </si>
  <si>
    <t>H4_B16_BG-13.png</t>
  </si>
  <si>
    <t>B16_13.mp3</t>
  </si>
  <si>
    <t>B16_VD_13.mp3</t>
  </si>
  <si>
    <t>导游</t>
  </si>
  <si>
    <t>&lt;ruby&gt;导游&lt;rt&gt;dǎoyóu&lt;/rt&gt;&lt;/ruby&gt;</t>
  </si>
  <si>
    <t>dǎoyóu</t>
  </si>
  <si>
    <t>hướng dẫn viên du lịch</t>
  </si>
  <si>
    <r>
      <rPr>
        <b/>
        <sz val="11"/>
        <color rgb="FF000000"/>
        <rFont val="Times New Roman"/>
      </rPr>
      <t>导游</t>
    </r>
    <r>
      <rPr>
        <sz val="11"/>
        <color rgb="FF000000"/>
        <rFont val="Times New Roman"/>
      </rPr>
      <t>正在介绍旅游景点。</t>
    </r>
  </si>
  <si>
    <t>Hướng dẫn viên đang nói về địa điểm du lịch.</t>
  </si>
  <si>
    <t>H4_B16_BG-14.png</t>
  </si>
  <si>
    <t>B16_14.mp3</t>
  </si>
  <si>
    <t>B16_VD_14.mp3</t>
  </si>
  <si>
    <t>推</t>
  </si>
  <si>
    <t>&lt;ruby&gt;推&lt;rt&gt;tuī&lt;/rt&gt;&lt;/ruby&gt;</t>
  </si>
  <si>
    <t>tuī</t>
  </si>
  <si>
    <t>hoãn lại, đẩy, triển khai</t>
  </si>
  <si>
    <r>
      <rPr>
        <sz val="11"/>
        <color rgb="FF000000"/>
        <rFont val="Times New Roman"/>
      </rPr>
      <t>他在路上</t>
    </r>
    <r>
      <rPr>
        <b/>
        <sz val="11"/>
        <color rgb="FF000000"/>
        <rFont val="Times New Roman"/>
      </rPr>
      <t>推</t>
    </r>
    <r>
      <rPr>
        <sz val="11"/>
        <color rgb="FF000000"/>
        <rFont val="Times New Roman"/>
      </rPr>
      <t xml:space="preserve">着小车走。
</t>
    </r>
  </si>
  <si>
    <t>Anh ấy đẩy xe nhỏ đi trên đường.</t>
  </si>
  <si>
    <t>H4_B16_BG-15.png</t>
  </si>
  <si>
    <t>B16_15.mp3</t>
  </si>
  <si>
    <t>B16_VD_15.mp3</t>
  </si>
  <si>
    <t>挂</t>
  </si>
  <si>
    <t>&lt;ruby&gt;挂&lt;rt&gt;guà&lt;/rt&gt;&lt;/ruby&gt;</t>
  </si>
  <si>
    <t>guà</t>
  </si>
  <si>
    <t>treo, móc</t>
  </si>
  <si>
    <r>
      <rPr>
        <sz val="11"/>
        <color rgb="FF000000"/>
        <rFont val="Times New Roman"/>
      </rPr>
      <t>我把毛巾</t>
    </r>
    <r>
      <rPr>
        <b/>
        <sz val="11"/>
        <color rgb="FF000000"/>
        <rFont val="Times New Roman"/>
      </rPr>
      <t>挂</t>
    </r>
    <r>
      <rPr>
        <sz val="11"/>
        <color rgb="FF000000"/>
        <rFont val="Times New Roman"/>
      </rPr>
      <t>在柱子上。</t>
    </r>
  </si>
  <si>
    <t>Tôi treo khăn lên cột.</t>
  </si>
  <si>
    <t>H4_B16_BG-16.png</t>
  </si>
  <si>
    <t>B16_16.mp3</t>
  </si>
  <si>
    <t>B16_VD_16.mp3</t>
  </si>
  <si>
    <t>激动</t>
  </si>
  <si>
    <t>&lt;ruby&gt;激动&lt;rt&gt;jīdòng&lt;/rt&gt;&lt;/ruby&gt;</t>
  </si>
  <si>
    <t>jīdòng</t>
  </si>
  <si>
    <t>cảm động, xúc động</t>
  </si>
  <si>
    <r>
      <rPr>
        <sz val="11"/>
        <color rgb="FF000000"/>
        <rFont val="Times New Roman"/>
      </rPr>
      <t>他</t>
    </r>
    <r>
      <rPr>
        <b/>
        <sz val="11"/>
        <color rgb="FF000000"/>
        <rFont val="Times New Roman"/>
      </rPr>
      <t>激动</t>
    </r>
    <r>
      <rPr>
        <sz val="11"/>
        <color rgb="FF000000"/>
        <rFont val="Times New Roman"/>
      </rPr>
      <t>得流下了眼泪。</t>
    </r>
  </si>
  <si>
    <t>Anh ấy xúc động đến rơi nước mắt.</t>
  </si>
  <si>
    <t>H4_B16_BG-17.png</t>
  </si>
  <si>
    <t>B16_17.mp3</t>
  </si>
  <si>
    <t>B16_VD_17.mp3</t>
  </si>
  <si>
    <t>小伙子</t>
  </si>
  <si>
    <t>&lt;ruby&gt;小伙子&lt;rt&gt;xiǎohuǒzi&lt;/rt&gt;&lt;/ruby&gt;</t>
  </si>
  <si>
    <t>xiǎohuǒzi</t>
  </si>
  <si>
    <t>chàng trai</t>
  </si>
  <si>
    <r>
      <rPr>
        <sz val="11"/>
        <color rgb="FF000000"/>
        <rFont val="Times New Roman"/>
      </rPr>
      <t>这个</t>
    </r>
    <r>
      <rPr>
        <b/>
        <sz val="11"/>
        <color rgb="FF000000"/>
        <rFont val="Times New Roman"/>
      </rPr>
      <t>小伙子</t>
    </r>
    <r>
      <rPr>
        <sz val="11"/>
        <color rgb="FF000000"/>
        <rFont val="Times New Roman"/>
      </rPr>
      <t>是一名优秀的医生。</t>
    </r>
  </si>
  <si>
    <t>Chàng trai này là một bác sĩ giỏi.</t>
  </si>
  <si>
    <t>H4_B16_BG-18.png</t>
  </si>
  <si>
    <t>B16_18.mp3</t>
  </si>
  <si>
    <t>B16_VD_18.mp3</t>
  </si>
  <si>
    <t>恐怕</t>
  </si>
  <si>
    <t>&lt;ruby&gt;恐怕&lt;rt&gt;kǒngpà&lt;/rt&gt;&lt;/ruby&gt;</t>
  </si>
  <si>
    <t>kǒngpà</t>
  </si>
  <si>
    <t>e rằng, có lẽ</t>
  </si>
  <si>
    <r>
      <rPr>
        <b/>
        <sz val="11"/>
        <color rgb="FF000000"/>
        <rFont val="Times New Roman"/>
      </rPr>
      <t>恐怕</t>
    </r>
    <r>
      <rPr>
        <sz val="11"/>
        <color rgb="FF000000"/>
        <rFont val="Times New Roman"/>
      </rPr>
      <t>明天会下雨。</t>
    </r>
  </si>
  <si>
    <t>Tôi e rằng ngày mai sẽ mưa.</t>
  </si>
  <si>
    <t>H4_B16_BG-19.png</t>
  </si>
  <si>
    <t>B16_19.mp3</t>
  </si>
  <si>
    <t>B16_VD_19.mp3</t>
  </si>
  <si>
    <t>失望</t>
  </si>
  <si>
    <t>&lt;ruby&gt;失望&lt;rt&gt;shīwàng&lt;/rt&gt;&lt;/ruby&gt;</t>
  </si>
  <si>
    <t>shīwàng</t>
  </si>
  <si>
    <t>thất vọng</t>
  </si>
  <si>
    <r>
      <rPr>
        <sz val="11"/>
        <color rgb="FF000000"/>
        <rFont val="Times New Roman"/>
      </rPr>
      <t>这道菜没有让我</t>
    </r>
    <r>
      <rPr>
        <b/>
        <sz val="11"/>
        <color rgb="FF000000"/>
        <rFont val="Times New Roman"/>
      </rPr>
      <t>失望</t>
    </r>
    <r>
      <rPr>
        <sz val="11"/>
        <color rgb="FF000000"/>
        <rFont val="Times New Roman"/>
      </rPr>
      <t>。</t>
    </r>
  </si>
  <si>
    <t>Món ăn này không làm tôi thất vọng.</t>
  </si>
  <si>
    <t>H4_B16_BG-20.png</t>
  </si>
  <si>
    <t>B16_20.mp3</t>
  </si>
  <si>
    <t>B16_VD_20.mp3</t>
  </si>
  <si>
    <t>到底</t>
  </si>
  <si>
    <t>&lt;ruby&gt;到底&lt;rt&gt;dàodǐ&lt;/rt&gt;&lt;/ruby&gt;</t>
  </si>
  <si>
    <t>dàodǐ</t>
  </si>
  <si>
    <t>(được dùng trong câu hỏi để nhấn mạnh) rốt cuộc</t>
  </si>
  <si>
    <r>
      <rPr>
        <sz val="11"/>
        <color rgb="FF000000"/>
        <rFont val="Times New Roman"/>
      </rPr>
      <t>这道题</t>
    </r>
    <r>
      <rPr>
        <b/>
        <sz val="11"/>
        <color rgb="FF000000"/>
        <rFont val="Times New Roman"/>
      </rPr>
      <t>到底</t>
    </r>
    <r>
      <rPr>
        <sz val="11"/>
        <color rgb="FF000000"/>
        <rFont val="Times New Roman"/>
      </rPr>
      <t>该怎么解呢？</t>
    </r>
  </si>
  <si>
    <t>Rốt cuộc bài này phải giải thế nào đây?</t>
  </si>
  <si>
    <t>H4_B16_BG-21.png</t>
  </si>
  <si>
    <t>B16_21.mp3</t>
  </si>
  <si>
    <t>B16_VD_21.mp3</t>
  </si>
  <si>
    <t>呀</t>
  </si>
  <si>
    <t>&lt;ruby&gt;呀&lt;rt&gt;ya&lt;/rt&gt;&lt;/ruby&gt;</t>
  </si>
  <si>
    <t>ya</t>
  </si>
  <si>
    <t>(một biến thể của thán từ 啊, được dùng ở cuối câu hỏi để làm cho giọng điệu trở nên nhẹ nhàng hơn)</t>
  </si>
  <si>
    <r>
      <rPr>
        <b/>
        <sz val="11"/>
        <color rgb="FF000000"/>
        <rFont val="Times New Roman"/>
      </rPr>
      <t>呀</t>
    </r>
    <r>
      <rPr>
        <sz val="11"/>
        <color rgb="FF000000"/>
        <rFont val="Times New Roman"/>
      </rPr>
      <t>，我忘带钥匙了！</t>
    </r>
  </si>
  <si>
    <t>A, tôi quên mang chìa khóa rồi!</t>
  </si>
  <si>
    <t>H4_B16_BG-22.png</t>
  </si>
  <si>
    <t>B16_22.mp3</t>
  </si>
  <si>
    <t>B16_VD_22.mp3</t>
  </si>
  <si>
    <t>礼貌</t>
  </si>
  <si>
    <t>&lt;ruby&gt;礼貌&lt;rt&gt;lǐmào&lt;/rt&gt;&lt;/ruby&gt;</t>
  </si>
  <si>
    <t>lǐmào</t>
  </si>
  <si>
    <t>lễ phép, lịch sự</t>
  </si>
  <si>
    <r>
      <rPr>
        <sz val="11"/>
        <color rgb="FF000000"/>
        <rFont val="Times New Roman"/>
      </rPr>
      <t>他是一个很有</t>
    </r>
    <r>
      <rPr>
        <b/>
        <sz val="11"/>
        <color rgb="FF000000"/>
        <rFont val="Times New Roman"/>
      </rPr>
      <t>礼貌</t>
    </r>
    <r>
      <rPr>
        <sz val="11"/>
        <color rgb="FF000000"/>
        <rFont val="Times New Roman"/>
      </rPr>
      <t>的人。</t>
    </r>
  </si>
  <si>
    <t>Ông ấy là một người lịch thiệp.</t>
  </si>
  <si>
    <t>H4_B16_BG-23.png</t>
  </si>
  <si>
    <t>B16_23.mp3</t>
  </si>
  <si>
    <t>B16_VD_23.mp3</t>
  </si>
  <si>
    <t>原谅</t>
  </si>
  <si>
    <t>&lt;ruby&gt;原谅&lt;rt&gt;yuánliàng&lt;/rt&gt;&lt;/ruby&gt;</t>
  </si>
  <si>
    <t>yuánliàng</t>
  </si>
  <si>
    <t>tha thứ</t>
  </si>
  <si>
    <r>
      <rPr>
        <sz val="11"/>
        <color rgb="FF000000"/>
        <rFont val="Times New Roman"/>
      </rPr>
      <t>妈妈总是很宽容，</t>
    </r>
    <r>
      <rPr>
        <b/>
        <sz val="11"/>
        <color rgb="FF000000"/>
        <rFont val="Times New Roman"/>
      </rPr>
      <t>原谅</t>
    </r>
    <r>
      <rPr>
        <sz val="11"/>
        <color rgb="FF000000"/>
        <rFont val="Times New Roman"/>
      </rPr>
      <t>我的错误。</t>
    </r>
  </si>
  <si>
    <t>Mẹ luôn là người đấy lòng vị tha và tha thứ cho những lỗi của tôi.</t>
  </si>
  <si>
    <t>H4_B16_BG-24.png</t>
  </si>
  <si>
    <t>B16_24.mp3</t>
  </si>
  <si>
    <t>B16_VD_24.mp3</t>
  </si>
  <si>
    <t>同情</t>
  </si>
  <si>
    <t>&lt;ruby&gt;同情&lt;rt&gt;tóngqíng&lt;/rt&gt;&lt;/ruby&gt;</t>
  </si>
  <si>
    <t>tóngqíng</t>
  </si>
  <si>
    <t>thông cảm, đồng tình</t>
  </si>
  <si>
    <r>
      <rPr>
        <sz val="11"/>
        <color rgb="FF000000"/>
        <rFont val="Times New Roman"/>
      </rPr>
      <t>他很自私，从不</t>
    </r>
    <r>
      <rPr>
        <b/>
        <sz val="11"/>
        <color rgb="FF000000"/>
        <rFont val="Times New Roman"/>
      </rPr>
      <t>同情</t>
    </r>
    <r>
      <rPr>
        <sz val="11"/>
        <color rgb="FF000000"/>
        <rFont val="Times New Roman"/>
      </rPr>
      <t>别人。</t>
    </r>
  </si>
  <si>
    <t>Anh ấy ích kỷ và không bao giờ thông cảm cho người khác.</t>
  </si>
  <si>
    <t>H4_B16_BG-25.png</t>
  </si>
  <si>
    <t>B16_25.mp3</t>
  </si>
  <si>
    <t>B16_VD_25.mp3</t>
  </si>
  <si>
    <t>马虎</t>
  </si>
  <si>
    <t>&lt;ruby&gt;马虎&lt;rt&gt;mǎhu&lt;/rt&gt;&lt;/ruby&gt;</t>
  </si>
  <si>
    <t>mǎhu</t>
  </si>
  <si>
    <t>cẩu thả, lơ đễnh</t>
  </si>
  <si>
    <r>
      <rPr>
        <sz val="11"/>
        <color theme="1"/>
        <rFont val="Times New Roman"/>
      </rPr>
      <t>因为</t>
    </r>
    <r>
      <rPr>
        <b/>
        <sz val="11"/>
        <color theme="1"/>
        <rFont val="Times New Roman"/>
      </rPr>
      <t>马虎</t>
    </r>
    <r>
      <rPr>
        <sz val="11"/>
        <color theme="1"/>
        <rFont val="Times New Roman"/>
      </rPr>
      <t>，我受伤了。</t>
    </r>
  </si>
  <si>
    <t>Do cẩu thả mà tôi bị thương.</t>
  </si>
  <si>
    <t>H4_B16_BG-26.png</t>
  </si>
  <si>
    <t>B16_26.mp3</t>
  </si>
  <si>
    <t>B16_VD_26.mp3</t>
  </si>
  <si>
    <t>自信</t>
  </si>
  <si>
    <t>&lt;ruby&gt;自信&lt;rt&gt;zìxìn&lt;/rt&gt;&lt;/ruby&gt;</t>
  </si>
  <si>
    <t>zìxìn</t>
  </si>
  <si>
    <t>tự tin</t>
  </si>
  <si>
    <r>
      <rPr>
        <sz val="11"/>
        <color theme="1"/>
        <rFont val="Times New Roman"/>
      </rPr>
      <t>我正在努力学习每天都更加</t>
    </r>
    <r>
      <rPr>
        <b/>
        <sz val="11"/>
        <color theme="1"/>
        <rFont val="Times New Roman"/>
      </rPr>
      <t>自信</t>
    </r>
    <r>
      <rPr>
        <sz val="11"/>
        <color theme="1"/>
        <rFont val="Times New Roman"/>
      </rPr>
      <t>。</t>
    </r>
  </si>
  <si>
    <t>Tôi đang cố gắng để học cách tự tin mỗi ngày.</t>
  </si>
  <si>
    <t>H4_B16_BG-27.png</t>
  </si>
  <si>
    <t>B16_27.mp3</t>
  </si>
  <si>
    <t>B16_VD_27.mp3</t>
  </si>
  <si>
    <t>冷静</t>
  </si>
  <si>
    <t>&lt;ruby&gt;冷静&lt;rt&gt;lěngjìng&lt;/rt&gt;&lt;/ruby&gt;</t>
  </si>
  <si>
    <t>lěngjìng</t>
  </si>
  <si>
    <t>bình tĩnh, điềm tĩnh</t>
  </si>
  <si>
    <r>
      <rPr>
        <sz val="11"/>
        <color theme="1"/>
        <rFont val="Times New Roman"/>
      </rPr>
      <t>打坐是一种让我们更加</t>
    </r>
    <r>
      <rPr>
        <b/>
        <sz val="11"/>
        <color theme="1"/>
        <rFont val="Times New Roman"/>
      </rPr>
      <t>冷静</t>
    </r>
    <r>
      <rPr>
        <sz val="11"/>
        <color theme="1"/>
        <rFont val="Times New Roman"/>
      </rPr>
      <t>的方法。</t>
    </r>
  </si>
  <si>
    <t>Thiền là một cách giúp chúng ta điềm tĩnh hơn.</t>
  </si>
  <si>
    <t>H4_B16_BG-28.png</t>
  </si>
  <si>
    <t>B16_28.mp3</t>
  </si>
  <si>
    <t>B16_VD_28.mp3</t>
  </si>
  <si>
    <t>输</t>
  </si>
  <si>
    <t>&lt;ruby&gt;输&lt;rt&gt;shū&lt;/rt&gt;&lt;/ruby&gt;</t>
  </si>
  <si>
    <t>thua</t>
  </si>
  <si>
    <r>
      <rPr>
        <sz val="11"/>
        <color theme="1"/>
        <rFont val="Times New Roman"/>
      </rPr>
      <t>兔子在赛跑中</t>
    </r>
    <r>
      <rPr>
        <b/>
        <sz val="11"/>
        <color theme="1"/>
        <rFont val="Times New Roman"/>
      </rPr>
      <t>输</t>
    </r>
    <r>
      <rPr>
        <sz val="11"/>
        <color theme="1"/>
        <rFont val="Times New Roman"/>
      </rPr>
      <t>给了乌龟。</t>
    </r>
  </si>
  <si>
    <t>Thỏ đã thua rùa trong cuộc thi chạy.</t>
  </si>
  <si>
    <t>H4_B16_BG-29.png</t>
  </si>
  <si>
    <t>B16_29.mp3</t>
  </si>
  <si>
    <t>B16_VD_29.mp3</t>
  </si>
  <si>
    <t>敢</t>
  </si>
  <si>
    <t>&lt;ruby&gt;敢&lt;rt&gt;gǎn&lt;/rt&gt;&lt;/ruby&gt;</t>
  </si>
  <si>
    <t>dám</t>
  </si>
  <si>
    <r>
      <rPr>
        <sz val="11"/>
        <color theme="1"/>
        <rFont val="Times New Roman"/>
      </rPr>
      <t>我不</t>
    </r>
    <r>
      <rPr>
        <b/>
        <sz val="11"/>
        <color theme="1"/>
        <rFont val="Times New Roman"/>
      </rPr>
      <t>敢</t>
    </r>
    <r>
      <rPr>
        <sz val="11"/>
        <color theme="1"/>
        <rFont val="Times New Roman"/>
      </rPr>
      <t>再做坏事了。</t>
    </r>
  </si>
  <si>
    <t>Tôi không dám làm việc xấu nữa.</t>
  </si>
  <si>
    <t>H4_B16_BG-30.png</t>
  </si>
  <si>
    <t>B16_30.mp3</t>
  </si>
  <si>
    <t>B16_VD_30.mp3</t>
  </si>
  <si>
    <t>尊重</t>
  </si>
  <si>
    <t>&lt;ruby&gt;尊重&lt;rt&gt;zūnzhòng&lt;/rt&gt;&lt;/ruby&gt;</t>
  </si>
  <si>
    <t>zūnzhòng</t>
  </si>
  <si>
    <t>tôn trọng</t>
  </si>
  <si>
    <r>
      <rPr>
        <sz val="11"/>
        <color theme="1"/>
        <rFont val="Times New Roman"/>
      </rPr>
      <t>我们始终</t>
    </r>
    <r>
      <rPr>
        <b/>
        <sz val="11"/>
        <color theme="1"/>
        <rFont val="Times New Roman"/>
      </rPr>
      <t>尊重</t>
    </r>
    <r>
      <rPr>
        <sz val="11"/>
        <color theme="1"/>
        <rFont val="Times New Roman"/>
      </rPr>
      <t>客户。</t>
    </r>
  </si>
  <si>
    <t>Chúng tôi luôn tôn trọng khách hàng.</t>
  </si>
  <si>
    <t>H4_B16_BG-31.png</t>
  </si>
  <si>
    <t>B16_31.mp3</t>
  </si>
  <si>
    <t>B16_VD_31.mp3</t>
  </si>
  <si>
    <r>
      <rPr>
        <sz val="11"/>
        <color rgb="FF000000"/>
        <rFont val="Times New Roman"/>
      </rPr>
      <t>天气</t>
    </r>
    <r>
      <rPr>
        <b/>
        <sz val="11"/>
        <color rgb="FF000000"/>
        <rFont val="Times New Roman"/>
      </rPr>
      <t>凉快</t>
    </r>
    <r>
      <rPr>
        <sz val="11"/>
        <color rgb="FF000000"/>
        <rFont val="Times New Roman"/>
      </rPr>
      <t>，所以我决定去花园照顾花。</t>
    </r>
  </si>
  <si>
    <t>云</t>
  </si>
  <si>
    <t>&lt;ruby&gt;云&lt;rt&gt;yún&lt;/rt&gt;&lt;/ruby&gt;</t>
  </si>
  <si>
    <t>yún</t>
  </si>
  <si>
    <t>mây</t>
  </si>
  <si>
    <r>
      <rPr>
        <sz val="11"/>
        <color theme="1"/>
        <rFont val="Times New Roman"/>
      </rPr>
      <t>今天天空有很多</t>
    </r>
    <r>
      <rPr>
        <b/>
        <sz val="11"/>
        <color theme="1"/>
        <rFont val="Times New Roman"/>
      </rPr>
      <t>云</t>
    </r>
    <r>
      <rPr>
        <sz val="11"/>
        <color theme="1"/>
        <rFont val="Times New Roman"/>
      </rPr>
      <t>，天气凉快舒适。</t>
    </r>
  </si>
  <si>
    <t>Hôm nay trời nhiều mây, thời tiết mát mẻ dễ chịu.</t>
  </si>
  <si>
    <t>H4_B17_BG-02.png</t>
  </si>
  <si>
    <t>B17_2.mp3</t>
  </si>
  <si>
    <t>B17_VD_2.mp3</t>
  </si>
  <si>
    <t>森林</t>
  </si>
  <si>
    <t>&lt;ruby&gt;森林&lt;rt&gt;sēnlín&lt;/rt&gt;&lt;/ruby&gt;</t>
  </si>
  <si>
    <t>sēnlín</t>
  </si>
  <si>
    <t>rừng rậm</t>
  </si>
  <si>
    <r>
      <rPr>
        <b/>
        <sz val="10"/>
        <color theme="1"/>
        <rFont val="Arial"/>
      </rPr>
      <t xml:space="preserve"> 森林</t>
    </r>
    <r>
      <rPr>
        <sz val="10"/>
        <color theme="1"/>
        <rFont val="Arial"/>
      </rPr>
      <t>里有很多动物。</t>
    </r>
  </si>
  <si>
    <t>Trong rừng có nhiều động vật.</t>
  </si>
  <si>
    <t>H4_B17_BG-03.png</t>
  </si>
  <si>
    <t>B17_3.mp3</t>
  </si>
  <si>
    <t>B17_VD_3.mp3</t>
  </si>
  <si>
    <t>海洋</t>
  </si>
  <si>
    <t>&lt;ruby&gt;海洋&lt;rt&gt;hǎiyáng&lt;/rt&gt;&lt;/ruby&gt;</t>
  </si>
  <si>
    <t>hǎiyáng</t>
  </si>
  <si>
    <t>biển, đại dương</t>
  </si>
  <si>
    <r>
      <rPr>
        <b/>
        <sz val="11"/>
        <color theme="1"/>
        <rFont val="Times New Roman"/>
      </rPr>
      <t>海洋</t>
    </r>
    <r>
      <rPr>
        <sz val="11"/>
        <color theme="1"/>
        <rFont val="Times New Roman"/>
      </rPr>
      <t>拥有丰富的资源。</t>
    </r>
  </si>
  <si>
    <t>Biển có nguồn tài nguyên phong phú.</t>
  </si>
  <si>
    <t>H4_B17_BG-04.png</t>
  </si>
  <si>
    <t>B17_4.mp3</t>
  </si>
  <si>
    <t>B17_VD_4.mp3</t>
  </si>
  <si>
    <t>美人鱼</t>
  </si>
  <si>
    <t>&lt;ruby&gt;美人鱼&lt;rt&gt;Měirényú&lt;/rt&gt;&lt;/ruby&gt;</t>
  </si>
  <si>
    <t>Měirényú</t>
  </si>
  <si>
    <t>người cá</t>
  </si>
  <si>
    <r>
      <rPr>
        <sz val="11"/>
        <color theme="1"/>
        <rFont val="Times New Roman"/>
      </rPr>
      <t>传说中的</t>
    </r>
    <r>
      <rPr>
        <b/>
        <sz val="11"/>
        <color theme="1"/>
        <rFont val="Times New Roman"/>
      </rPr>
      <t>美人鱼</t>
    </r>
    <r>
      <rPr>
        <sz val="11"/>
        <color theme="1"/>
        <rFont val="Times New Roman"/>
      </rPr>
      <t>外貌美丽，歌声动听。</t>
    </r>
  </si>
  <si>
    <t>Người cá trong truyền thuyết có vẻ ngoài xinh đẹp và giọng hát rất hay.</t>
  </si>
  <si>
    <t>H4_B17_BG-05.png</t>
  </si>
  <si>
    <t>B17_5.mp3</t>
  </si>
  <si>
    <t>B17_VD_5.mp3</t>
  </si>
  <si>
    <t>老虎</t>
  </si>
  <si>
    <t>&lt;ruby&gt;老虎&lt;rt&gt;lǎohǔ&lt;/rt&gt;&lt;/ruby&gt;</t>
  </si>
  <si>
    <t>lǎohǔ</t>
  </si>
  <si>
    <t>hổ, cọp</t>
  </si>
  <si>
    <r>
      <rPr>
        <b/>
        <sz val="11"/>
        <color theme="1"/>
        <rFont val="Times New Roman"/>
      </rPr>
      <t>老虎</t>
    </r>
    <r>
      <rPr>
        <sz val="11"/>
        <color theme="1"/>
        <rFont val="Times New Roman"/>
      </rPr>
      <t>是一种非常凶猛的动物。</t>
    </r>
  </si>
  <si>
    <t>Hổ là một loài động vật rất hung dữ.</t>
  </si>
  <si>
    <t>H4_B17_BG-06.png</t>
  </si>
  <si>
    <t>B17_6.mp3</t>
  </si>
  <si>
    <t>B17_VD_6.mp3</t>
  </si>
  <si>
    <t>公里</t>
  </si>
  <si>
    <t>&lt;ruby&gt;公里&lt;rt&gt;gōnglǐ&lt;/rt&gt;&lt;/ruby&gt;</t>
  </si>
  <si>
    <t>gōnglǐ</t>
  </si>
  <si>
    <t>kilomét</t>
  </si>
  <si>
    <r>
      <rPr>
        <sz val="11"/>
        <color theme="1"/>
        <rFont val="Times New Roman"/>
      </rPr>
      <t xml:space="preserve"> 他需要走五</t>
    </r>
    <r>
      <rPr>
        <b/>
        <sz val="11"/>
        <color theme="1"/>
        <rFont val="Times New Roman"/>
      </rPr>
      <t>公里</t>
    </r>
    <r>
      <rPr>
        <sz val="11"/>
        <color theme="1"/>
        <rFont val="Times New Roman"/>
      </rPr>
      <t>才能到达交货地点。</t>
    </r>
  </si>
  <si>
    <t>Anh ấy phải đi mất 5km mới đến chỗ giao hàng.</t>
  </si>
  <si>
    <t>H4_B17_BG-07.png</t>
  </si>
  <si>
    <t>B17_7.mp3</t>
  </si>
  <si>
    <t>B17_VD_7.mp3</t>
  </si>
  <si>
    <t>底</t>
  </si>
  <si>
    <t>&lt;ruby&gt;底&lt;rt&gt;dǐ&lt;/rt&gt;&lt;/ruby&gt;</t>
  </si>
  <si>
    <t>dǐ</t>
  </si>
  <si>
    <t>đáy</t>
  </si>
  <si>
    <r>
      <rPr>
        <sz val="11"/>
        <color theme="1"/>
        <rFont val="Times New Roman"/>
      </rPr>
      <t>鞋</t>
    </r>
    <r>
      <rPr>
        <b/>
        <sz val="11"/>
        <color theme="1"/>
        <rFont val="Times New Roman"/>
      </rPr>
      <t>底</t>
    </r>
    <r>
      <rPr>
        <sz val="11"/>
        <color theme="1"/>
        <rFont val="Times New Roman"/>
      </rPr>
      <t>都脏了。</t>
    </r>
  </si>
  <si>
    <t>Đáy giày bị bẩn hết rồi.</t>
  </si>
  <si>
    <t>H4_B17_BG-08.png</t>
  </si>
  <si>
    <t>B17_8.mp3</t>
  </si>
  <si>
    <t>B17_VD_8.mp3</t>
  </si>
  <si>
    <t>暖和</t>
  </si>
  <si>
    <t>&lt;ruby&gt;暖和&lt;rt&gt;nuǎnhuo&lt;/rt&gt;&lt;/ruby&gt;</t>
  </si>
  <si>
    <t>nuǎnhuo</t>
  </si>
  <si>
    <t>ấm áp</t>
  </si>
  <si>
    <r>
      <rPr>
        <sz val="11"/>
        <color theme="1"/>
        <rFont val="Times New Roman"/>
      </rPr>
      <t>喝了这杯可可后感觉更</t>
    </r>
    <r>
      <rPr>
        <b/>
        <sz val="11"/>
        <color theme="1"/>
        <rFont val="Times New Roman"/>
      </rPr>
      <t>暖和</t>
    </r>
    <r>
      <rPr>
        <sz val="11"/>
        <color theme="1"/>
        <rFont val="Times New Roman"/>
      </rPr>
      <t>了。</t>
    </r>
  </si>
  <si>
    <t>Uống cốc cacao này vào cảm thấy ấm áp hơn.</t>
  </si>
  <si>
    <t>H4_B17_BG-09.png</t>
  </si>
  <si>
    <t>B17_9.mp3</t>
  </si>
  <si>
    <t>B17_VD_9.mp3</t>
  </si>
  <si>
    <t>广播</t>
  </si>
  <si>
    <t>&lt;ruby&gt;广播&lt;rt&gt;guǎngbō&lt;/rt&gt;&lt;/ruby&gt;</t>
  </si>
  <si>
    <t>guǎngbō</t>
  </si>
  <si>
    <t>chương trình phát thanh/truyền hình</t>
  </si>
  <si>
    <r>
      <rPr>
        <sz val="11"/>
        <color theme="1"/>
        <rFont val="Times New Roman"/>
      </rPr>
      <t>这个</t>
    </r>
    <r>
      <rPr>
        <b/>
        <sz val="11"/>
        <color theme="1"/>
        <rFont val="Times New Roman"/>
      </rPr>
      <t>广播</t>
    </r>
    <r>
      <rPr>
        <sz val="11"/>
        <color theme="1"/>
        <rFont val="Times New Roman"/>
      </rPr>
      <t>节目正在播放新闻。</t>
    </r>
  </si>
  <si>
    <t>Chương trình truyền hình này đang phát tin tức.</t>
  </si>
  <si>
    <t>H4_B17_BG-10.png</t>
  </si>
  <si>
    <t>B17_10.mp3</t>
  </si>
  <si>
    <t>B17_VD_10.mp3</t>
  </si>
  <si>
    <t>热闹</t>
  </si>
  <si>
    <t>&lt;ruby&gt;热闹&lt;rt&gt;rènào&lt;/rt&gt;&lt;/ruby&gt;</t>
  </si>
  <si>
    <t>rènào</t>
  </si>
  <si>
    <t>náo nhiệt</t>
  </si>
  <si>
    <r>
      <rPr>
        <sz val="11"/>
        <color theme="1"/>
        <rFont val="Times New Roman"/>
      </rPr>
      <t xml:space="preserve"> 公交车站总是人多</t>
    </r>
    <r>
      <rPr>
        <b/>
        <sz val="11"/>
        <color theme="1"/>
        <rFont val="Times New Roman"/>
      </rPr>
      <t>热闹</t>
    </r>
    <r>
      <rPr>
        <sz val="11"/>
        <color theme="1"/>
        <rFont val="Times New Roman"/>
      </rPr>
      <t>。</t>
    </r>
  </si>
  <si>
    <t>Trạm xe buýt lúc nào cũng đông đúc, náo nhiệt.</t>
  </si>
  <si>
    <t>H4_B17_BG-11.png</t>
  </si>
  <si>
    <t>B17_11.mp3</t>
  </si>
  <si>
    <t>B17_VD_11.mp3</t>
  </si>
  <si>
    <t>社会</t>
  </si>
  <si>
    <t>&lt;ruby&gt;社会&lt;rt&gt;shèhuì&lt;/rt&gt;&lt;/ruby&gt;</t>
  </si>
  <si>
    <t>shèhuì</t>
  </si>
  <si>
    <t>xã hội</t>
  </si>
  <si>
    <r>
      <rPr>
        <sz val="11"/>
        <color theme="1"/>
        <rFont val="Times New Roman"/>
      </rPr>
      <t>我们生活在一个复杂的</t>
    </r>
    <r>
      <rPr>
        <b/>
        <sz val="11"/>
        <color theme="1"/>
        <rFont val="Times New Roman"/>
      </rPr>
      <t>社会</t>
    </r>
    <r>
      <rPr>
        <sz val="11"/>
        <color theme="1"/>
        <rFont val="Times New Roman"/>
      </rPr>
      <t>。</t>
    </r>
  </si>
  <si>
    <t>Chúng ta sống trong xã hội phức tạp.</t>
  </si>
  <si>
    <t>H4_B17_BG-12.png</t>
  </si>
  <si>
    <t>B17_12.mp3</t>
  </si>
  <si>
    <t>B17_VD_12.mp3</t>
  </si>
  <si>
    <t>入口</t>
  </si>
  <si>
    <t>&lt;ruby&gt;入口&lt;rt&gt;rùkǒu&lt;/rt&gt;&lt;/ruby&gt;</t>
  </si>
  <si>
    <t>rùkǒu</t>
  </si>
  <si>
    <t>cổng vào</t>
  </si>
  <si>
    <r>
      <rPr>
        <sz val="11"/>
        <color theme="1"/>
        <rFont val="Times New Roman"/>
      </rPr>
      <t>你的航空公司</t>
    </r>
    <r>
      <rPr>
        <b/>
        <sz val="11"/>
        <color theme="1"/>
        <rFont val="Times New Roman"/>
      </rPr>
      <t>入口</t>
    </r>
    <r>
      <rPr>
        <sz val="11"/>
        <color theme="1"/>
        <rFont val="Times New Roman"/>
      </rPr>
      <t>在C门。</t>
    </r>
  </si>
  <si>
    <t>Lối vào hãng bay của bạn ở cổng C.</t>
  </si>
  <si>
    <t>H4_B17_BG-13.png</t>
  </si>
  <si>
    <t>B17_13.mp3</t>
  </si>
  <si>
    <t>B17_VD_13.mp3</t>
  </si>
  <si>
    <t>活泼</t>
  </si>
  <si>
    <t>&lt;ruby&gt;活泼&lt;rt&gt;huópō&lt;/rt&gt;&lt;/ruby&gt;</t>
  </si>
  <si>
    <t>huópō</t>
  </si>
  <si>
    <t>hoạt bát, nhanh nhẹn</t>
  </si>
  <si>
    <r>
      <rPr>
        <sz val="11"/>
        <color theme="1"/>
        <rFont val="Times New Roman"/>
      </rPr>
      <t>他很</t>
    </r>
    <r>
      <rPr>
        <b/>
        <sz val="11"/>
        <color theme="1"/>
        <rFont val="Times New Roman"/>
      </rPr>
      <t>活泼</t>
    </r>
    <r>
      <rPr>
        <sz val="11"/>
        <color theme="1"/>
        <rFont val="Times New Roman"/>
      </rPr>
      <t>，总是积极帮妈妈做家务。</t>
    </r>
  </si>
  <si>
    <t>Anh ấy rất hoạt bát, lúc nào cũng tích cực làm việc nhà giúp mẹ.</t>
  </si>
  <si>
    <t>H4_B17_BG-14.png</t>
  </si>
  <si>
    <t>B17_14.mp3</t>
  </si>
  <si>
    <t>B17_VD_14.mp3</t>
  </si>
  <si>
    <t>竞争</t>
  </si>
  <si>
    <t>&lt;ruby&gt;竞争&lt;rt&gt;jìngzhēng&lt;/rt&gt;&lt;/ruby&gt;</t>
  </si>
  <si>
    <t>jìngzhēng</t>
  </si>
  <si>
    <t>cạnh tranh</t>
  </si>
  <si>
    <r>
      <rPr>
        <sz val="11"/>
        <color theme="1"/>
        <rFont val="Times New Roman"/>
      </rPr>
      <t>商业</t>
    </r>
    <r>
      <rPr>
        <b/>
        <sz val="11"/>
        <color theme="1"/>
        <rFont val="Times New Roman"/>
      </rPr>
      <t>竞争</t>
    </r>
    <r>
      <rPr>
        <sz val="11"/>
        <color theme="1"/>
        <rFont val="Times New Roman"/>
      </rPr>
      <t>就像下棋一样，每一步都要仔细计算。</t>
    </r>
  </si>
  <si>
    <t>Cạnh tranh thương mại như chơi cờ vậy, lúc nào cũng phải tính toán cẩn thận từng bước.</t>
  </si>
  <si>
    <t>H4_B17_BG-15.png</t>
  </si>
  <si>
    <t>B17_15.mp3</t>
  </si>
  <si>
    <t>B17_VD_15.mp3</t>
  </si>
  <si>
    <t>排队</t>
  </si>
  <si>
    <t>&lt;ruby&gt;排队&lt;rt&gt;páiduì&lt;/rt&gt;&lt;/ruby&gt;</t>
  </si>
  <si>
    <t>páiduì</t>
  </si>
  <si>
    <t>xếp hàng</t>
  </si>
  <si>
    <r>
      <rPr>
        <sz val="11"/>
        <color theme="1"/>
        <rFont val="Times New Roman"/>
      </rPr>
      <t>大家</t>
    </r>
    <r>
      <rPr>
        <b/>
        <sz val="11"/>
        <color theme="1"/>
        <rFont val="Times New Roman"/>
      </rPr>
      <t>排队</t>
    </r>
    <r>
      <rPr>
        <sz val="11"/>
        <color theme="1"/>
        <rFont val="Times New Roman"/>
      </rPr>
      <t>等着取钱。</t>
    </r>
  </si>
  <si>
    <t>Mọi người xếp hàng đợi rút tiền.</t>
  </si>
  <si>
    <t>H4_B17_BG-16.png</t>
  </si>
  <si>
    <t>B17_16.mp3</t>
  </si>
  <si>
    <t>B17_VD_16.mp3</t>
  </si>
  <si>
    <t>排列</t>
  </si>
  <si>
    <t>&lt;ruby&gt;排列&lt;rt&gt;páiliè&lt;/rt&gt;&lt;/ruby&gt;</t>
  </si>
  <si>
    <t>páiliè</t>
  </si>
  <si>
    <t>sắp xếp (theo thứ tự)</t>
  </si>
  <si>
    <r>
      <rPr>
        <sz val="11"/>
        <color theme="1"/>
        <rFont val="Times New Roman"/>
      </rPr>
      <t>这些盒子被</t>
    </r>
    <r>
      <rPr>
        <b/>
        <sz val="11"/>
        <color theme="1"/>
        <rFont val="Times New Roman"/>
      </rPr>
      <t>排列</t>
    </r>
    <r>
      <rPr>
        <sz val="11"/>
        <color theme="1"/>
        <rFont val="Times New Roman"/>
      </rPr>
      <t>得很整齐。</t>
    </r>
  </si>
  <si>
    <t>Những chiếc hộp được sắp xếp rất gọn gàng.</t>
  </si>
  <si>
    <t>H4_B17_BG-17.png</t>
  </si>
  <si>
    <t>B17_17.mp3</t>
  </si>
  <si>
    <t>B17_VD_17.mp3</t>
  </si>
  <si>
    <t>放暑假</t>
  </si>
  <si>
    <t>&lt;ruby&gt;放暑假&lt;rt&gt;fàng shǔjià&lt;/rt&gt;&lt;/ruby&gt;</t>
  </si>
  <si>
    <t>fàng shǔjià</t>
  </si>
  <si>
    <t>nghỉ hè</t>
  </si>
  <si>
    <r>
      <rPr>
        <b/>
        <sz val="11"/>
        <color theme="1"/>
        <rFont val="Times New Roman"/>
      </rPr>
      <t>放暑假</t>
    </r>
    <r>
      <rPr>
        <sz val="11"/>
        <color theme="1"/>
        <rFont val="Times New Roman"/>
      </rPr>
      <t>时我经常去海边。</t>
    </r>
  </si>
  <si>
    <t>Tôi thường đi biển khi được nghỉ hè.</t>
  </si>
  <si>
    <t>H4_B17_BG-18.png</t>
  </si>
  <si>
    <t>B17_18.mp3</t>
  </si>
  <si>
    <t>B17_VD_18.mp3</t>
  </si>
  <si>
    <t>照</t>
  </si>
  <si>
    <t>zhào</t>
  </si>
  <si>
    <t>chụp (ảnh)</t>
  </si>
  <si>
    <r>
      <rPr>
        <sz val="11"/>
        <color theme="1"/>
        <rFont val="Times New Roman"/>
      </rPr>
      <t>我想</t>
    </r>
    <r>
      <rPr>
        <b/>
        <sz val="11"/>
        <color theme="1"/>
        <rFont val="Times New Roman"/>
      </rPr>
      <t>照</t>
    </r>
    <r>
      <rPr>
        <sz val="11"/>
        <color theme="1"/>
        <rFont val="Times New Roman"/>
      </rPr>
      <t>一张全家福。</t>
    </r>
  </si>
  <si>
    <t>Tôi muốn chụp một bức ảnh gia đình.</t>
  </si>
  <si>
    <t>H4_B17_BG-19.png</t>
  </si>
  <si>
    <t>B17_19.mp3</t>
  </si>
  <si>
    <t>B17_VD_19.mp3</t>
  </si>
  <si>
    <t>梦</t>
  </si>
  <si>
    <t>&lt;ruby&gt;梦&lt;rt&gt;mèng&lt;/rt&gt;&lt;/ruby&gt;</t>
  </si>
  <si>
    <t>mèng</t>
  </si>
  <si>
    <t>giấc mơ</t>
  </si>
  <si>
    <r>
      <rPr>
        <sz val="11"/>
        <color theme="1"/>
        <rFont val="Times New Roman"/>
      </rPr>
      <t>他的</t>
    </r>
    <r>
      <rPr>
        <b/>
        <sz val="11"/>
        <color theme="1"/>
        <rFont val="Times New Roman"/>
      </rPr>
      <t>梦</t>
    </r>
    <r>
      <rPr>
        <sz val="11"/>
        <color theme="1"/>
        <rFont val="Times New Roman"/>
      </rPr>
      <t>很美。</t>
    </r>
  </si>
  <si>
    <t>Giấc mơ của cậu ấy rất đẹp.</t>
  </si>
  <si>
    <t>H4_B17_BG-20.png</t>
  </si>
  <si>
    <t>B17_20.mp3</t>
  </si>
  <si>
    <t>B17_VD_20.mp3</t>
  </si>
  <si>
    <t>倒</t>
  </si>
  <si>
    <t>&lt;ruby&gt;倒&lt;rt&gt;dào&lt;/rt&gt;&lt;/ruby&gt;</t>
  </si>
  <si>
    <t>(được dùng để chỉ sự tương phản) nhưng, lại</t>
  </si>
  <si>
    <r>
      <rPr>
        <sz val="11"/>
        <color theme="1"/>
        <rFont val="Times New Roman"/>
      </rPr>
      <t>他本来不想干农活，后来</t>
    </r>
    <r>
      <rPr>
        <b/>
        <sz val="11"/>
        <color theme="1"/>
        <rFont val="Times New Roman"/>
      </rPr>
      <t>倒</t>
    </r>
    <r>
      <rPr>
        <sz val="11"/>
        <color theme="1"/>
        <rFont val="Times New Roman"/>
      </rPr>
      <t>干得很起劲。</t>
    </r>
  </si>
  <si>
    <t>Ban đầu anh ấy không muốn làm việc đồng áng, nhưng sau đó lại làm rất hăng hái.</t>
  </si>
  <si>
    <t>H4_B17_BG-21.png</t>
  </si>
  <si>
    <t>B17_21.mp3</t>
  </si>
  <si>
    <t>B17_VD_21.mp3</t>
  </si>
  <si>
    <r>
      <rPr>
        <sz val="11"/>
        <color theme="1"/>
        <rFont val="Times New Roman"/>
      </rPr>
      <t>这根羽</t>
    </r>
    <r>
      <rPr>
        <b/>
        <sz val="11"/>
        <color theme="1"/>
        <rFont val="Times New Roman"/>
      </rPr>
      <t>毛</t>
    </r>
    <r>
      <rPr>
        <sz val="11"/>
        <color theme="1"/>
        <rFont val="Times New Roman"/>
      </rPr>
      <t>的颜色真漂亮。</t>
    </r>
  </si>
  <si>
    <t>抱</t>
  </si>
  <si>
    <t>&lt;ruby&gt;抱&lt;rt&gt;bào&lt;/rt&gt;&lt;/ruby&gt;</t>
  </si>
  <si>
    <t>bào</t>
  </si>
  <si>
    <t>bế, bồng, ôm</t>
  </si>
  <si>
    <r>
      <rPr>
        <sz val="11"/>
        <color theme="1"/>
        <rFont val="Times New Roman"/>
      </rPr>
      <t xml:space="preserve"> 妈妈</t>
    </r>
    <r>
      <rPr>
        <b/>
        <sz val="11"/>
        <color theme="1"/>
        <rFont val="Times New Roman"/>
      </rPr>
      <t>抱</t>
    </r>
    <r>
      <rPr>
        <sz val="11"/>
        <color theme="1"/>
        <rFont val="Times New Roman"/>
      </rPr>
      <t>着宝宝哄他入睡。</t>
    </r>
  </si>
  <si>
    <t>Mẹ ôm em bé ru ngủ.</t>
  </si>
  <si>
    <t>H4_B17_BG-23.png</t>
  </si>
  <si>
    <t>B17_23.mp3</t>
  </si>
  <si>
    <t>B17_VD_23.mp3</t>
  </si>
  <si>
    <t>干</t>
  </si>
  <si>
    <t>&lt;ruby&gt;干&lt;rt&gt;gān&lt;/rt&gt;&lt;/ruby&gt;</t>
  </si>
  <si>
    <r>
      <rPr>
        <sz val="11"/>
        <color theme="1"/>
        <rFont val="Times New Roman"/>
      </rPr>
      <t>我</t>
    </r>
    <r>
      <rPr>
        <b/>
        <sz val="11"/>
        <color theme="1"/>
        <rFont val="Times New Roman"/>
      </rPr>
      <t>干</t>
    </r>
    <r>
      <rPr>
        <sz val="11"/>
        <color theme="1"/>
        <rFont val="Times New Roman"/>
      </rPr>
      <t>这一行已经很多年了。</t>
    </r>
  </si>
  <si>
    <t>Tôi làm ngành này đã nhiều năm</t>
  </si>
  <si>
    <t>H4_B17_BG-24.png</t>
  </si>
  <si>
    <t>B17_24.mp3</t>
  </si>
  <si>
    <t>B17_VD_24.mp3</t>
  </si>
  <si>
    <t>严格</t>
  </si>
  <si>
    <t>&lt;ruby&gt;严格&lt;rt&gt;yángé&lt;/rt&gt;&lt;/ruby&gt;</t>
  </si>
  <si>
    <t>yángé</t>
  </si>
  <si>
    <t>nghiêm khắc, nghiêm ngặt</t>
  </si>
  <si>
    <r>
      <rPr>
        <sz val="11"/>
        <color theme="1"/>
        <rFont val="Times New Roman"/>
      </rPr>
      <t>我的老师虽然</t>
    </r>
    <r>
      <rPr>
        <b/>
        <sz val="11"/>
        <color theme="1"/>
        <rFont val="Times New Roman"/>
      </rPr>
      <t>严格</t>
    </r>
    <r>
      <rPr>
        <sz val="11"/>
        <color theme="1"/>
        <rFont val="Times New Roman"/>
      </rPr>
      <t>，但讲课非常有趣。</t>
    </r>
  </si>
  <si>
    <t>Thầy giáo của tôi tuy nghiêm khắc nhưng giảng bài lại rất thú vị.</t>
  </si>
  <si>
    <t>H4_B17_BG-25.png</t>
  </si>
  <si>
    <t>B17_25.mp3</t>
  </si>
  <si>
    <t>B17_VD_25.mp3</t>
  </si>
  <si>
    <t>难受</t>
  </si>
  <si>
    <t>&lt;ruby&gt;难受&lt;rt&gt;nánshòu&lt;/rt&gt;&lt;/ruby&gt;</t>
  </si>
  <si>
    <t>nánshòu</t>
  </si>
  <si>
    <t>bực bội, buồn rầu</t>
  </si>
  <si>
    <r>
      <rPr>
        <sz val="11"/>
        <color theme="1"/>
        <rFont val="Times New Roman"/>
      </rPr>
      <t>他因为没拿到第一名而感到</t>
    </r>
    <r>
      <rPr>
        <b/>
        <sz val="11"/>
        <color theme="1"/>
        <rFont val="Times New Roman"/>
      </rPr>
      <t>难受</t>
    </r>
    <r>
      <rPr>
        <sz val="11"/>
        <color theme="1"/>
        <rFont val="Times New Roman"/>
      </rPr>
      <t>。</t>
    </r>
  </si>
  <si>
    <t>Anh ấy cảm thấy khó chịu vì không giành được hạng nhất.</t>
  </si>
  <si>
    <t>H4_B17_BG-26.png</t>
  </si>
  <si>
    <t>B17_26.mp3</t>
  </si>
  <si>
    <t>B17_VD_26.mp3</t>
  </si>
  <si>
    <t>趟</t>
  </si>
  <si>
    <t>&lt;ruby&gt;趟&lt;rt&gt;tàng&lt;/rt&gt;&lt;/ruby&gt;</t>
  </si>
  <si>
    <t>tàng</t>
  </si>
  <si>
    <t>(được dùng để chỉ số lần đi lại) lần, chuyến</t>
  </si>
  <si>
    <r>
      <rPr>
        <sz val="11"/>
        <color theme="1"/>
        <rFont val="Times New Roman"/>
      </rPr>
      <t>我想去意大利一</t>
    </r>
    <r>
      <rPr>
        <b/>
        <sz val="11"/>
        <color theme="1"/>
        <rFont val="Times New Roman"/>
      </rPr>
      <t>趟</t>
    </r>
    <r>
      <rPr>
        <sz val="11"/>
        <color theme="1"/>
        <rFont val="Times New Roman"/>
      </rPr>
      <t>。</t>
    </r>
  </si>
  <si>
    <t>Tôi muốn đến nước Ý một lần.</t>
  </si>
  <si>
    <t>H4_B17_BG-27.png</t>
  </si>
  <si>
    <t>B17_27.mp3</t>
  </si>
  <si>
    <t>B17_VD_27.mp3</t>
  </si>
  <si>
    <t>剩</t>
  </si>
  <si>
    <t>&lt;ruby&gt;剩&lt;rt&gt;shèng&lt;/rt&gt;&lt;/ruby&gt;</t>
  </si>
  <si>
    <t>shèng</t>
  </si>
  <si>
    <t>còn lại</t>
  </si>
  <si>
    <r>
      <rPr>
        <sz val="11"/>
        <color theme="1"/>
        <rFont val="Times New Roman"/>
      </rPr>
      <t>这块鱼只</t>
    </r>
    <r>
      <rPr>
        <b/>
        <sz val="11"/>
        <color theme="1"/>
        <rFont val="Times New Roman"/>
      </rPr>
      <t>剩</t>
    </r>
    <r>
      <rPr>
        <sz val="11"/>
        <color theme="1"/>
        <rFont val="Times New Roman"/>
      </rPr>
      <t>下骨头了。</t>
    </r>
  </si>
  <si>
    <t>Miếng cá này chỉ còn lại xương.</t>
  </si>
  <si>
    <t>H4_B17_BG-28.png</t>
  </si>
  <si>
    <t>B17_28.mp3</t>
  </si>
  <si>
    <t>B17_VD_28.mp3</t>
  </si>
  <si>
    <t>仍然</t>
  </si>
  <si>
    <t>&lt;ruby&gt;仍然&lt;rt&gt;réngrán&lt;/rt&gt;&lt;/ruby&gt;</t>
  </si>
  <si>
    <t>réngrán</t>
  </si>
  <si>
    <t>vẫn</t>
  </si>
  <si>
    <r>
      <rPr>
        <sz val="11"/>
        <color theme="1"/>
        <rFont val="Times New Roman"/>
      </rPr>
      <t>虽然已经很晚了，她</t>
    </r>
    <r>
      <rPr>
        <b/>
        <sz val="11"/>
        <color theme="1"/>
        <rFont val="Times New Roman"/>
      </rPr>
      <t>仍然</t>
    </r>
    <r>
      <rPr>
        <sz val="11"/>
        <color theme="1"/>
        <rFont val="Times New Roman"/>
      </rPr>
      <t>在玩手机。</t>
    </r>
  </si>
  <si>
    <t>Tuy đã rất khuya rồi nhưng cô ấy vẫn tiếp tục dùng điện thoại.</t>
  </si>
  <si>
    <t>H4_B17_BG-29.png</t>
  </si>
  <si>
    <t>B17_29.mp3</t>
  </si>
  <si>
    <t>B17_VD_29.mp3</t>
  </si>
  <si>
    <t>降落</t>
  </si>
  <si>
    <t>&lt;ruby&gt;降落&lt;rt&gt;xiàngluò&lt;/rt&gt;&lt;/ruby&gt;</t>
  </si>
  <si>
    <t>xiàngluò</t>
  </si>
  <si>
    <t>đáp xuống, hạ cánh</t>
  </si>
  <si>
    <r>
      <rPr>
        <sz val="11"/>
        <color rgb="FF000000"/>
        <rFont val="Times New Roman"/>
      </rPr>
      <t>飞机</t>
    </r>
    <r>
      <rPr>
        <b/>
        <sz val="11"/>
        <color rgb="FF000000"/>
        <rFont val="Times New Roman"/>
      </rPr>
      <t>降落</t>
    </r>
    <r>
      <rPr>
        <sz val="11"/>
        <color rgb="FF000000"/>
        <rFont val="Times New Roman"/>
      </rPr>
      <t>在机场。</t>
    </r>
  </si>
  <si>
    <t>Máy bay hạ cánh xuống sân bay.</t>
  </si>
  <si>
    <t>H4_B18_BG-01.png</t>
  </si>
  <si>
    <t>B18_1.mp3</t>
  </si>
  <si>
    <t>B18_VD_1.mp3</t>
  </si>
  <si>
    <t>交通</t>
  </si>
  <si>
    <t>&lt;ruby&gt;交通&lt;rt&gt;jiāotōng&lt;/rt&gt;&lt;/ruby&gt;</t>
  </si>
  <si>
    <t>jiāotōng</t>
  </si>
  <si>
    <t>giao thông, thông tin liên lạc</t>
  </si>
  <si>
    <r>
      <rPr>
        <b/>
        <sz val="11"/>
        <color theme="1"/>
        <rFont val="Times New Roman"/>
      </rPr>
      <t>交通</t>
    </r>
    <r>
      <rPr>
        <sz val="11"/>
        <color theme="1"/>
        <rFont val="Times New Roman"/>
      </rPr>
      <t>状况很好。</t>
    </r>
  </si>
  <si>
    <t>Tình hình lưu thông giao thông rất tốt.</t>
  </si>
  <si>
    <t>H4_B18_BG-02.png</t>
  </si>
  <si>
    <t>B18_2.mp3</t>
  </si>
  <si>
    <t>B18_VD_2.mp3</t>
  </si>
  <si>
    <t>技术</t>
  </si>
  <si>
    <t>&lt;ruby&gt;技术&lt;rt&gt;jìshù&lt;/rt&gt;&lt;/ruby&gt;</t>
  </si>
  <si>
    <t>jìshù</t>
  </si>
  <si>
    <t>kỹ thuật, công nghệ</t>
  </si>
  <si>
    <r>
      <rPr>
        <sz val="11"/>
        <color theme="1"/>
        <rFont val="Times New Roman"/>
      </rPr>
      <t xml:space="preserve"> 我们公司采用了最新的</t>
    </r>
    <r>
      <rPr>
        <b/>
        <sz val="11"/>
        <color theme="1"/>
        <rFont val="Times New Roman"/>
      </rPr>
      <t>技术</t>
    </r>
    <r>
      <rPr>
        <sz val="11"/>
        <color theme="1"/>
        <rFont val="Times New Roman"/>
      </rPr>
      <t>。</t>
    </r>
  </si>
  <si>
    <t>Công ty chúng tôi đã áp dụng công nghệ mới nhất.</t>
  </si>
  <si>
    <t>H4_B18_BG-03.png</t>
  </si>
  <si>
    <t>B18_3.mp3</t>
  </si>
  <si>
    <t>B18_VD_3.mp3</t>
  </si>
  <si>
    <t>安全</t>
  </si>
  <si>
    <t>&lt;ruby&gt;安全&lt;rt&gt;ānquán&lt;/rt&gt;&lt;/ruby&gt;</t>
  </si>
  <si>
    <t>ānquán</t>
  </si>
  <si>
    <t>an toàn</t>
  </si>
  <si>
    <r>
      <rPr>
        <sz val="11"/>
        <color theme="1"/>
        <rFont val="Times New Roman"/>
      </rPr>
      <t>开车时一定要系好</t>
    </r>
    <r>
      <rPr>
        <b/>
        <sz val="11"/>
        <color theme="1"/>
        <rFont val="Times New Roman"/>
      </rPr>
      <t>安全</t>
    </r>
    <r>
      <rPr>
        <sz val="11"/>
        <color theme="1"/>
        <rFont val="Times New Roman"/>
      </rPr>
      <t>带。</t>
    </r>
  </si>
  <si>
    <t>Khi lái ô tô thì phải nhớ cài dây an toàn.</t>
  </si>
  <si>
    <t>H4_B18_BG-04.png</t>
  </si>
  <si>
    <t>B18_4.mp3</t>
  </si>
  <si>
    <t>B18_VD_4.mp3</t>
  </si>
  <si>
    <t>允许</t>
  </si>
  <si>
    <t>&lt;ruby&gt;允许&lt;rt&gt;yǔnxǔ&lt;/rt&gt;&lt;/ruby&gt;</t>
  </si>
  <si>
    <t>yǔnxǔ</t>
  </si>
  <si>
    <t>cho phép</t>
  </si>
  <si>
    <r>
      <rPr>
        <sz val="11"/>
        <color theme="1"/>
        <rFont val="Times New Roman"/>
      </rPr>
      <t>妈妈虽然很严格，但她总是</t>
    </r>
    <r>
      <rPr>
        <b/>
        <sz val="11"/>
        <color theme="1"/>
        <rFont val="Times New Roman"/>
      </rPr>
      <t>允许</t>
    </r>
    <r>
      <rPr>
        <sz val="11"/>
        <color theme="1"/>
        <rFont val="Times New Roman"/>
      </rPr>
      <t>我追求自己的梦想。</t>
    </r>
  </si>
  <si>
    <t>Mẹ tuy là người nghiêm khắc nhưng mẹ luôn cho phép tôi theo đuổi ước mơ riêng của mình.</t>
  </si>
  <si>
    <t>H4_B18_BG-05.png</t>
  </si>
  <si>
    <t>B18_5.mp3</t>
  </si>
  <si>
    <t>B18_VD_5.mp3</t>
  </si>
  <si>
    <t>座</t>
  </si>
  <si>
    <t>&lt;ruby&gt;座&lt;rt&gt;zuò&lt;/rt&gt;&lt;/ruby&gt;</t>
  </si>
  <si>
    <t>(được dùng cho cây cầu, núi, cao ốc...) tòa, hòn, cây</t>
  </si>
  <si>
    <r>
      <rPr>
        <sz val="11"/>
        <color theme="1"/>
        <rFont val="Times New Roman"/>
      </rPr>
      <t>这</t>
    </r>
    <r>
      <rPr>
        <b/>
        <sz val="11"/>
        <color theme="1"/>
        <rFont val="Times New Roman"/>
      </rPr>
      <t>座</t>
    </r>
    <r>
      <rPr>
        <sz val="11"/>
        <color theme="1"/>
        <rFont val="Times New Roman"/>
      </rPr>
      <t>山比那座山高。</t>
    </r>
  </si>
  <si>
    <t>Ngọn núi này cao hơn ngọn núi kia.</t>
  </si>
  <si>
    <t>H4_B18_BG-06.png</t>
  </si>
  <si>
    <t>B18_6.mp3</t>
  </si>
  <si>
    <t>B18_VD_6.mp3</t>
  </si>
  <si>
    <t>桥</t>
  </si>
  <si>
    <t>&lt;ruby&gt;桥&lt;rt&gt;qiáo&lt;/rt&gt;&lt;/ruby&gt;</t>
  </si>
  <si>
    <t>qiáo</t>
  </si>
  <si>
    <t>cầu</t>
  </si>
  <si>
    <r>
      <rPr>
        <sz val="11"/>
        <color theme="1"/>
        <rFont val="Times New Roman"/>
      </rPr>
      <t>湖上有一座小</t>
    </r>
    <r>
      <rPr>
        <b/>
        <sz val="11"/>
        <color theme="1"/>
        <rFont val="Times New Roman"/>
      </rPr>
      <t>桥</t>
    </r>
    <r>
      <rPr>
        <sz val="11"/>
        <color theme="1"/>
        <rFont val="Times New Roman"/>
      </rPr>
      <t>。</t>
    </r>
  </si>
  <si>
    <t>Trên hồ có một cây cầu nhỏ.</t>
  </si>
  <si>
    <t>H4_B18_BG-07.png</t>
  </si>
  <si>
    <t>B18_7.mp3</t>
  </si>
  <si>
    <t>B18_VD_7.mp3</t>
  </si>
  <si>
    <t>危险</t>
  </si>
  <si>
    <t>&lt;ruby&gt;危险&lt;rt&gt;wēixiǎn&lt;/rt&gt;&lt;/ruby&gt;</t>
  </si>
  <si>
    <t>wēixiǎn</t>
  </si>
  <si>
    <t>nguy hiểm</t>
  </si>
  <si>
    <r>
      <rPr>
        <sz val="11"/>
        <color theme="1"/>
        <rFont val="Times New Roman"/>
      </rPr>
      <t>小孩子不应该在水深超过1.2米的地方游泳，因为很</t>
    </r>
    <r>
      <rPr>
        <b/>
        <sz val="11"/>
        <color theme="1"/>
        <rFont val="Times New Roman"/>
      </rPr>
      <t>危险</t>
    </r>
    <r>
      <rPr>
        <sz val="11"/>
        <color theme="1"/>
        <rFont val="Times New Roman"/>
      </rPr>
      <t>。</t>
    </r>
  </si>
  <si>
    <t>Trẻ nhỏ không nên bơi ở khu vực có mực nước cao trên 1m2 vì rất nguy hiểm.</t>
  </si>
  <si>
    <t>H4_B18_BG-08.png</t>
  </si>
  <si>
    <t>B18_8.mp3</t>
  </si>
  <si>
    <t>B18_VD_8.mp3</t>
  </si>
  <si>
    <t>警察</t>
  </si>
  <si>
    <t>&lt;ruby&gt;警察&lt;rt&gt;jǐngchá&lt;/rt&gt;&lt;/ruby&gt;</t>
  </si>
  <si>
    <t>jǐngchá</t>
  </si>
  <si>
    <t>cảnh sát</t>
  </si>
  <si>
    <r>
      <rPr>
        <sz val="11"/>
        <color theme="1"/>
        <rFont val="Times New Roman"/>
      </rPr>
      <t xml:space="preserve"> 他是一名优秀的</t>
    </r>
    <r>
      <rPr>
        <b/>
        <sz val="11"/>
        <color theme="1"/>
        <rFont val="Times New Roman"/>
      </rPr>
      <t>警察</t>
    </r>
    <r>
      <rPr>
        <sz val="11"/>
        <color theme="1"/>
        <rFont val="Times New Roman"/>
      </rPr>
      <t>。</t>
    </r>
  </si>
  <si>
    <t>Anh ấy là một cảnh sát ưu tú.</t>
  </si>
  <si>
    <t>H4_B18_BG-09.png</t>
  </si>
  <si>
    <t>B18_9.mp3</t>
  </si>
  <si>
    <t>B18_VD_9.mp3</t>
  </si>
  <si>
    <t>抓</t>
  </si>
  <si>
    <t>&lt;ruby&gt;抓&lt;rt&gt;zhuā&lt;/rt&gt;&lt;/ruby&gt;</t>
  </si>
  <si>
    <t>zhuā</t>
  </si>
  <si>
    <t>bắt, túm</t>
  </si>
  <si>
    <r>
      <rPr>
        <sz val="11"/>
        <color theme="1"/>
        <rFont val="Times New Roman"/>
      </rPr>
      <t>警察正在</t>
    </r>
    <r>
      <rPr>
        <b/>
        <sz val="11"/>
        <color theme="1"/>
        <rFont val="Times New Roman"/>
      </rPr>
      <t>抓</t>
    </r>
    <r>
      <rPr>
        <sz val="11"/>
        <color theme="1"/>
        <rFont val="Times New Roman"/>
      </rPr>
      <t>坏人。</t>
    </r>
  </si>
  <si>
    <t>Cảnh sát đang truy bắt kẻ xấu.</t>
  </si>
  <si>
    <t>H4_B18_BG-10.png</t>
  </si>
  <si>
    <t>B18_10.mp3</t>
  </si>
  <si>
    <t>B18_VD_10.mp3</t>
  </si>
  <si>
    <t>迷路</t>
  </si>
  <si>
    <t>&lt;ruby&gt;迷路&lt;rt&gt;mí lù&lt;/rt&gt;&lt;/ruby&gt;</t>
  </si>
  <si>
    <t>mí lù</t>
  </si>
  <si>
    <t>lạc đường</t>
  </si>
  <si>
    <r>
      <rPr>
        <sz val="11"/>
        <color theme="1"/>
        <rFont val="Times New Roman"/>
      </rPr>
      <t>他走进森林深处，结果</t>
    </r>
    <r>
      <rPr>
        <b/>
        <sz val="11"/>
        <color theme="1"/>
        <rFont val="Times New Roman"/>
      </rPr>
      <t>迷路</t>
    </r>
    <r>
      <rPr>
        <sz val="11"/>
        <color theme="1"/>
        <rFont val="Times New Roman"/>
      </rPr>
      <t>了。</t>
    </r>
  </si>
  <si>
    <t>Anh ấy đi sâu vào rừng nên đã bị lạc.</t>
  </si>
  <si>
    <t>H4_B18_BG-11.png</t>
  </si>
  <si>
    <t>B18_11.mp3</t>
  </si>
  <si>
    <t>B18_VD_11.mp3</t>
  </si>
  <si>
    <t>秒</t>
  </si>
  <si>
    <t>&lt;ruby&gt;秒&lt;rt&gt;miǎo&lt;/rt&gt;&lt;/ruby&gt;</t>
  </si>
  <si>
    <t>miǎo</t>
  </si>
  <si>
    <t>giây</t>
  </si>
  <si>
    <r>
      <rPr>
        <sz val="11"/>
        <color theme="1"/>
        <rFont val="Times New Roman"/>
      </rPr>
      <t xml:space="preserve"> 还有30</t>
    </r>
    <r>
      <rPr>
        <b/>
        <sz val="11"/>
        <color theme="1"/>
        <rFont val="Times New Roman"/>
      </rPr>
      <t>秒</t>
    </r>
    <r>
      <rPr>
        <sz val="11"/>
        <color theme="1"/>
        <rFont val="Times New Roman"/>
      </rPr>
      <t>就结束了。</t>
    </r>
  </si>
  <si>
    <t>Còn 30 giây nữa là kết thúc.</t>
  </si>
  <si>
    <t>H4_B18_BG-12.png</t>
  </si>
  <si>
    <t>B18_12.mp3</t>
  </si>
  <si>
    <t>B18_VD_12.mp3</t>
  </si>
  <si>
    <t>受不了</t>
  </si>
  <si>
    <t>&lt;ruby&gt;受不了&lt;rt&gt;shòubuliǎo&lt;/rt&gt;&lt;/ruby&gt;</t>
  </si>
  <si>
    <t>shòubuliǎo</t>
  </si>
  <si>
    <t>chịu không nổi, chịu không được</t>
  </si>
  <si>
    <r>
      <rPr>
        <sz val="11"/>
        <color theme="1"/>
        <rFont val="Times New Roman"/>
      </rPr>
      <t>这种酸痛让我</t>
    </r>
    <r>
      <rPr>
        <b/>
        <sz val="11"/>
        <color theme="1"/>
        <rFont val="Times New Roman"/>
      </rPr>
      <t>受不了</t>
    </r>
    <r>
      <rPr>
        <sz val="11"/>
        <color theme="1"/>
        <rFont val="Times New Roman"/>
      </rPr>
      <t>。</t>
    </r>
  </si>
  <si>
    <t>Sự đau mỏi này làm tôi không chịu nổi.</t>
  </si>
  <si>
    <t>H4_B18_BG-13.png</t>
  </si>
  <si>
    <t>B18_13.mp3</t>
  </si>
  <si>
    <t>B18_VD_13.mp3</t>
  </si>
  <si>
    <t>火</t>
  </si>
  <si>
    <t>&lt;ruby&gt;火&lt;rt&gt;huǒ&lt;/rt&gt;&lt;/ruby&gt;</t>
  </si>
  <si>
    <t>huǒ</t>
  </si>
  <si>
    <t>chạy, đắt, được nhiều người ưa chuộng</t>
  </si>
  <si>
    <r>
      <rPr>
        <sz val="11"/>
        <color theme="1"/>
        <rFont val="Times New Roman"/>
      </rPr>
      <t xml:space="preserve"> 这款包卖得很</t>
    </r>
    <r>
      <rPr>
        <b/>
        <sz val="11"/>
        <color theme="1"/>
        <rFont val="Times New Roman"/>
      </rPr>
      <t>火</t>
    </r>
    <r>
      <rPr>
        <sz val="11"/>
        <color theme="1"/>
        <rFont val="Times New Roman"/>
      </rPr>
      <t>。</t>
    </r>
  </si>
  <si>
    <t>Chiếc túi này bán rất chạy.</t>
  </si>
  <si>
    <t>H4_B18_BG-14.png</t>
  </si>
  <si>
    <t>B18_14.mp3</t>
  </si>
  <si>
    <t>B18_VD_14.mp3</t>
  </si>
  <si>
    <t>日记</t>
  </si>
  <si>
    <t>&lt;ruby&gt;日记&lt;rt&gt;rìjì&lt;/rt&gt;&lt;/ruby&gt;</t>
  </si>
  <si>
    <t>rìjì</t>
  </si>
  <si>
    <t>nhật ký</t>
  </si>
  <si>
    <r>
      <rPr>
        <sz val="11"/>
        <color theme="1"/>
        <rFont val="Times New Roman"/>
      </rPr>
      <t>我有每天写</t>
    </r>
    <r>
      <rPr>
        <b/>
        <sz val="11"/>
        <color theme="1"/>
        <rFont val="Times New Roman"/>
      </rPr>
      <t>日记</t>
    </r>
    <r>
      <rPr>
        <sz val="11"/>
        <color theme="1"/>
        <rFont val="Times New Roman"/>
      </rPr>
      <t>的习惯。</t>
    </r>
  </si>
  <si>
    <t>Tôi có thói quen viết nhật ký mỗi ngày.</t>
  </si>
  <si>
    <t>H4_B18_BG-15.png</t>
  </si>
  <si>
    <t>B18_15.mp3</t>
  </si>
  <si>
    <t>B18_VD_15.mp3</t>
  </si>
  <si>
    <t>接着</t>
  </si>
  <si>
    <t>&lt;ruby&gt;接着&lt;rt&gt;jiēzhe&lt;/rt&gt;&lt;/ruby&gt;</t>
  </si>
  <si>
    <t>jiēzhe</t>
  </si>
  <si>
    <t>ngay sau đó</t>
  </si>
  <si>
    <r>
      <rPr>
        <sz val="11"/>
        <color theme="1"/>
        <rFont val="Times New Roman"/>
      </rPr>
      <t>这部电影</t>
    </r>
    <r>
      <rPr>
        <b/>
        <sz val="11"/>
        <color theme="1"/>
        <rFont val="Times New Roman"/>
      </rPr>
      <t>接着</t>
    </r>
    <r>
      <rPr>
        <sz val="11"/>
        <color theme="1"/>
        <rFont val="Times New Roman"/>
      </rPr>
      <t>会进行现场直播。</t>
    </r>
  </si>
  <si>
    <t>Đoạn phim này sẽ được phát trực tiếp ngay sau đó.</t>
  </si>
  <si>
    <t>H4_B18_BG-16.png</t>
  </si>
  <si>
    <t>B18_16.mp3</t>
  </si>
  <si>
    <t>B18_VD_16.mp3</t>
  </si>
  <si>
    <t>咸</t>
  </si>
  <si>
    <t>&lt;ruby&gt;咸&lt;rt&gt;xián&lt;/rt&gt;&lt;/ruby&gt;</t>
  </si>
  <si>
    <t>xián</t>
  </si>
  <si>
    <t>mặn</t>
  </si>
  <si>
    <r>
      <rPr>
        <sz val="11"/>
        <color theme="1"/>
        <rFont val="Times New Roman"/>
      </rPr>
      <t xml:space="preserve"> 海水很</t>
    </r>
    <r>
      <rPr>
        <b/>
        <sz val="11"/>
        <color theme="1"/>
        <rFont val="Times New Roman"/>
      </rPr>
      <t>咸</t>
    </r>
    <r>
      <rPr>
        <sz val="11"/>
        <color theme="1"/>
        <rFont val="Times New Roman"/>
      </rPr>
      <t>。</t>
    </r>
  </si>
  <si>
    <t>Nước biển rất mặn.</t>
  </si>
  <si>
    <t>H4_B18_BG-17.png</t>
  </si>
  <si>
    <t>B18_17.mp3</t>
  </si>
  <si>
    <t>B18_VD_17.mp3</t>
  </si>
  <si>
    <r>
      <rPr>
        <sz val="11"/>
        <color theme="1"/>
        <rFont val="Times New Roman"/>
      </rPr>
      <t>我不喜欢碳酸饮料，我更喜欢喝</t>
    </r>
    <r>
      <rPr>
        <b/>
        <sz val="11"/>
        <color theme="1"/>
        <rFont val="Times New Roman"/>
      </rPr>
      <t>矿泉水</t>
    </r>
    <r>
      <rPr>
        <sz val="11"/>
        <color theme="1"/>
        <rFont val="Times New Roman"/>
      </rPr>
      <t>。</t>
    </r>
  </si>
  <si>
    <t>付款</t>
  </si>
  <si>
    <t>&lt;ruby&gt;付款&lt;rt&gt;fù kuǎn&lt;/rt&gt;&lt;/ruby&gt;</t>
  </si>
  <si>
    <t>fù kuǎn</t>
  </si>
  <si>
    <t>trả tiền</t>
  </si>
  <si>
    <r>
      <rPr>
        <sz val="11"/>
        <color theme="1"/>
        <rFont val="Times New Roman"/>
      </rPr>
      <t xml:space="preserve"> 我用信用卡</t>
    </r>
    <r>
      <rPr>
        <b/>
        <sz val="11"/>
        <color theme="1"/>
        <rFont val="Times New Roman"/>
      </rPr>
      <t>付款</t>
    </r>
    <r>
      <rPr>
        <sz val="11"/>
        <color theme="1"/>
        <rFont val="Times New Roman"/>
      </rPr>
      <t>。</t>
    </r>
  </si>
  <si>
    <t>Tôi thanh toán bằng thẻ tín dụng.</t>
  </si>
  <si>
    <t>H4_B18_BG-19.png</t>
  </si>
  <si>
    <t>B18_19.mp3</t>
  </si>
  <si>
    <t>B18_VD_19.mp3</t>
  </si>
  <si>
    <t>举</t>
  </si>
  <si>
    <t>&lt;ruby&gt;举&lt;rt&gt;jǔ&lt;/rt&gt;&lt;/ruby&gt;</t>
  </si>
  <si>
    <t>jǔ</t>
  </si>
  <si>
    <t>nêu, đưa ra</t>
  </si>
  <si>
    <r>
      <rPr>
        <sz val="11"/>
        <color theme="1"/>
        <rFont val="Times New Roman"/>
      </rPr>
      <t>她</t>
    </r>
    <r>
      <rPr>
        <b/>
        <sz val="11"/>
        <color theme="1"/>
        <rFont val="Times New Roman"/>
      </rPr>
      <t>举</t>
    </r>
    <r>
      <rPr>
        <sz val="11"/>
        <color theme="1"/>
        <rFont val="Times New Roman"/>
      </rPr>
      <t>报了非法交易。</t>
    </r>
  </si>
  <si>
    <t>Cô ấy đã tố cáo giao dịch phi pháp.</t>
  </si>
  <si>
    <t>H4_B18_BG-20.png</t>
  </si>
  <si>
    <t>B18_20.mp3</t>
  </si>
  <si>
    <t>B18_VD_20.mp3</t>
  </si>
  <si>
    <r>
      <rPr>
        <sz val="11"/>
        <color theme="1"/>
        <rFont val="Times New Roman"/>
      </rPr>
      <t>她</t>
    </r>
    <r>
      <rPr>
        <b/>
        <sz val="11"/>
        <color theme="1"/>
        <rFont val="Times New Roman"/>
      </rPr>
      <t>收</t>
    </r>
    <r>
      <rPr>
        <sz val="11"/>
        <color theme="1"/>
        <rFont val="Times New Roman"/>
      </rPr>
      <t>养了两个孤儿。</t>
    </r>
  </si>
  <si>
    <t>作者</t>
  </si>
  <si>
    <t>&lt;ruby&gt;作者&lt;rt&gt;zuòzhě&lt;/rt&gt;&lt;/ruby&gt;</t>
  </si>
  <si>
    <t>zuòzhě</t>
  </si>
  <si>
    <t>tác giả</t>
  </si>
  <si>
    <r>
      <rPr>
        <sz val="11"/>
        <color theme="1"/>
        <rFont val="Times New Roman"/>
      </rPr>
      <t xml:space="preserve"> 她是一位著名的小说</t>
    </r>
    <r>
      <rPr>
        <b/>
        <sz val="11"/>
        <color theme="1"/>
        <rFont val="Times New Roman"/>
      </rPr>
      <t>作者</t>
    </r>
    <r>
      <rPr>
        <sz val="11"/>
        <color theme="1"/>
        <rFont val="Times New Roman"/>
      </rPr>
      <t>。</t>
    </r>
  </si>
  <si>
    <t>Cô ấy là một tác giả tiểu thuyết nổi tiếng.</t>
  </si>
  <si>
    <t>H4_B18_BG-22.png</t>
  </si>
  <si>
    <t>B18_22.mp3</t>
  </si>
  <si>
    <t>B18_VD_22.mp3</t>
  </si>
  <si>
    <t>是否</t>
  </si>
  <si>
    <t>&lt;ruby&gt;是否&lt;rt&gt;shìfǒu&lt;/rt&gt;&lt;/ruby&gt;</t>
  </si>
  <si>
    <t>shìfǒu</t>
  </si>
  <si>
    <t>hay không</t>
  </si>
  <si>
    <r>
      <rPr>
        <sz val="11"/>
        <color theme="1"/>
        <rFont val="Times New Roman"/>
      </rPr>
      <t>这个结果</t>
    </r>
    <r>
      <rPr>
        <b/>
        <sz val="11"/>
        <color theme="1"/>
        <rFont val="Times New Roman"/>
      </rPr>
      <t>是否</t>
    </r>
    <r>
      <rPr>
        <sz val="11"/>
        <color theme="1"/>
        <rFont val="Times New Roman"/>
      </rPr>
      <t>正确呢？</t>
    </r>
  </si>
  <si>
    <t>Kết quả này liệu có đúng hay không nhỉ?</t>
  </si>
  <si>
    <t>H4_B18_BG-23.png</t>
  </si>
  <si>
    <t>B18_23.mp3</t>
  </si>
  <si>
    <t>B18_VD_23.mp3</t>
  </si>
  <si>
    <t>密码</t>
  </si>
  <si>
    <t>&lt;ruby&gt;密码&lt;rt&gt;mìmǎ&lt;/rt&gt;&lt;/ruby&gt;</t>
  </si>
  <si>
    <t>mìmǎ</t>
  </si>
  <si>
    <t>mật mã</t>
  </si>
  <si>
    <r>
      <rPr>
        <sz val="11"/>
        <color theme="1"/>
        <rFont val="Times New Roman"/>
      </rPr>
      <t>我忘记了邮箱</t>
    </r>
    <r>
      <rPr>
        <b/>
        <sz val="11"/>
        <color theme="1"/>
        <rFont val="Times New Roman"/>
      </rPr>
      <t>密码</t>
    </r>
    <r>
      <rPr>
        <sz val="11"/>
        <color theme="1"/>
        <rFont val="Times New Roman"/>
      </rPr>
      <t>。</t>
    </r>
  </si>
  <si>
    <t>Tôi đã quên mất mật khẩu mail rồi.</t>
  </si>
  <si>
    <t>H4_B18_BG-24.png</t>
  </si>
  <si>
    <t>B18_24.mp3</t>
  </si>
  <si>
    <t>B18_VD_24.mp3</t>
  </si>
  <si>
    <t>方式</t>
  </si>
  <si>
    <t>&lt;ruby&gt;方式&lt;rt&gt;fāngshì&lt;/rt&gt;&lt;/ruby&gt;</t>
  </si>
  <si>
    <t>fāngshì</t>
  </si>
  <si>
    <t>phương thức, cách thức</t>
  </si>
  <si>
    <r>
      <rPr>
        <sz val="11"/>
        <color theme="1"/>
        <rFont val="Times New Roman"/>
      </rPr>
      <t>探索一个新地方时，使用纸质地图是一种很有效的</t>
    </r>
    <r>
      <rPr>
        <b/>
        <sz val="11"/>
        <color theme="1"/>
        <rFont val="Times New Roman"/>
      </rPr>
      <t>方式</t>
    </r>
    <r>
      <rPr>
        <sz val="11"/>
        <color theme="1"/>
        <rFont val="Times New Roman"/>
      </rPr>
      <t>。</t>
    </r>
  </si>
  <si>
    <t>Khi khám phá một nơi mới, dùng bản đồ giấy là phương thức khá hiệu quả.</t>
  </si>
  <si>
    <t>H4_B18_BG-25.png</t>
  </si>
  <si>
    <t>B18_25.mp3</t>
  </si>
  <si>
    <t>B18_VD_25.mp3</t>
  </si>
  <si>
    <t>地址</t>
  </si>
  <si>
    <t>&lt;ruby&gt;地址&lt;rt&gt;dìzhǐ&lt;/rt&gt;&lt;/ruby&gt;</t>
  </si>
  <si>
    <t>dìzhǐ</t>
  </si>
  <si>
    <t>địa chỉ</t>
  </si>
  <si>
    <r>
      <rPr>
        <sz val="11"/>
        <color theme="1"/>
        <rFont val="Times New Roman"/>
      </rPr>
      <t xml:space="preserve"> 终于找到要去的</t>
    </r>
    <r>
      <rPr>
        <b/>
        <sz val="11"/>
        <color theme="1"/>
        <rFont val="Times New Roman"/>
      </rPr>
      <t>地址</t>
    </r>
    <r>
      <rPr>
        <sz val="11"/>
        <color theme="1"/>
        <rFont val="Times New Roman"/>
      </rPr>
      <t>了。</t>
    </r>
  </si>
  <si>
    <t>Cuối cùng đã đến địa chỉ cần tìm rồi.</t>
  </si>
  <si>
    <t>H4_B18_BG-26.png</t>
  </si>
  <si>
    <t>B18_26.mp3</t>
  </si>
  <si>
    <t>B18_VD_26.mp3</t>
  </si>
  <si>
    <r>
      <rPr>
        <sz val="11"/>
        <color theme="1"/>
        <rFont val="Times New Roman"/>
      </rPr>
      <t xml:space="preserve"> 我们将前往这些</t>
    </r>
    <r>
      <rPr>
        <b/>
        <sz val="11"/>
        <color theme="1"/>
        <rFont val="Times New Roman"/>
      </rPr>
      <t>地点</t>
    </r>
    <r>
      <rPr>
        <sz val="11"/>
        <color theme="1"/>
        <rFont val="Times New Roman"/>
      </rPr>
      <t>。</t>
    </r>
  </si>
  <si>
    <t>世纪</t>
  </si>
  <si>
    <t>&lt;ruby&gt;世纪&lt;rt&gt;shìjì&lt;/rt&gt;&lt;/ruby&gt;</t>
  </si>
  <si>
    <t>shìjì</t>
  </si>
  <si>
    <t>thế kỷ</t>
  </si>
  <si>
    <r>
      <rPr>
        <sz val="11"/>
        <color theme="1"/>
        <rFont val="Times New Roman"/>
      </rPr>
      <t>这件物品属于18</t>
    </r>
    <r>
      <rPr>
        <b/>
        <sz val="11"/>
        <color theme="1"/>
        <rFont val="Times New Roman"/>
      </rPr>
      <t>世纪</t>
    </r>
    <r>
      <rPr>
        <sz val="11"/>
        <color theme="1"/>
        <rFont val="Times New Roman"/>
      </rPr>
      <t>。</t>
    </r>
  </si>
  <si>
    <t>Món đồ này thuộc thế kỷ 18.</t>
  </si>
  <si>
    <t>H4_B18_BG-28.png</t>
  </si>
  <si>
    <t>B18_28.mp3</t>
  </si>
  <si>
    <t>B18_VD_28.mp3</t>
  </si>
  <si>
    <t>邮局</t>
  </si>
  <si>
    <t>&lt;ruby&gt;邮局&lt;rt&gt;yóujú&lt;/rt&gt;&lt;/ruby&gt;</t>
  </si>
  <si>
    <t>yóujú</t>
  </si>
  <si>
    <t>bưu điện</t>
  </si>
  <si>
    <r>
      <rPr>
        <sz val="11"/>
        <color theme="1"/>
        <rFont val="Times New Roman"/>
      </rPr>
      <t>他在</t>
    </r>
    <r>
      <rPr>
        <b/>
        <sz val="11"/>
        <color theme="1"/>
        <rFont val="Times New Roman"/>
      </rPr>
      <t>邮局</t>
    </r>
    <r>
      <rPr>
        <sz val="11"/>
        <color theme="1"/>
        <rFont val="Times New Roman"/>
      </rPr>
      <t>工作了五年。</t>
    </r>
  </si>
  <si>
    <t>Anh ấy làm việc ở bưu điện 5 năm rồi.</t>
  </si>
  <si>
    <t>H4_B18_BG-29.png</t>
  </si>
  <si>
    <t>B18_29.mp3</t>
  </si>
  <si>
    <t>B18_VD_29.mp3</t>
  </si>
  <si>
    <r>
      <rPr>
        <sz val="11"/>
        <color theme="1"/>
        <rFont val="Times New Roman"/>
      </rPr>
      <t>我是在这个</t>
    </r>
    <r>
      <rPr>
        <b/>
        <sz val="11"/>
        <color theme="1"/>
        <rFont val="Times New Roman"/>
      </rPr>
      <t>网站</t>
    </r>
    <r>
      <rPr>
        <sz val="11"/>
        <color theme="1"/>
        <rFont val="Times New Roman"/>
      </rPr>
      <t>上找到工作的。</t>
    </r>
  </si>
  <si>
    <t>信息</t>
  </si>
  <si>
    <t>&lt;ruby&gt;信息&lt;rt&gt;xìnxī&lt;/rt&gt;&lt;/ruby&gt;</t>
  </si>
  <si>
    <t>xìnxī</t>
  </si>
  <si>
    <t>tin tức, thông tin</t>
  </si>
  <si>
    <r>
      <rPr>
        <sz val="11"/>
        <color theme="1"/>
        <rFont val="Times New Roman"/>
      </rPr>
      <t>校长正在传达新学年的</t>
    </r>
    <r>
      <rPr>
        <b/>
        <sz val="11"/>
        <color theme="1"/>
        <rFont val="Times New Roman"/>
      </rPr>
      <t>信息</t>
    </r>
    <r>
      <rPr>
        <sz val="11"/>
        <color theme="1"/>
        <rFont val="Times New Roman"/>
      </rPr>
      <t>。</t>
    </r>
  </si>
  <si>
    <t>Cô hiệu trưởng đang phổ biến thông tin trong năm học mới.</t>
  </si>
  <si>
    <t>H4_B18_BG-31.png</t>
  </si>
  <si>
    <t>B18_31.mp3</t>
  </si>
  <si>
    <t>B18_VD_31.mp3</t>
  </si>
  <si>
    <t>信封</t>
  </si>
  <si>
    <t>&lt;ruby&gt;信封&lt;rt&gt;xìnfēng&lt;/rt&gt;&lt;/ruby&gt;</t>
  </si>
  <si>
    <t>xìnfēng</t>
  </si>
  <si>
    <t>phong thư, bì thư</t>
  </si>
  <si>
    <r>
      <rPr>
        <sz val="11"/>
        <color theme="1"/>
        <rFont val="Times New Roman"/>
      </rPr>
      <t>我已经在</t>
    </r>
    <r>
      <rPr>
        <b/>
        <sz val="11"/>
        <color theme="1"/>
        <rFont val="Times New Roman"/>
      </rPr>
      <t>信封</t>
    </r>
    <r>
      <rPr>
        <sz val="11"/>
        <color theme="1"/>
        <rFont val="Times New Roman"/>
      </rPr>
      <t>上贴好邮票了。</t>
    </r>
  </si>
  <si>
    <t>Tôi đã dán tem lên phong thư.</t>
  </si>
  <si>
    <t>H4_B18_BG-32.png</t>
  </si>
  <si>
    <t>B18_32.mp3</t>
  </si>
  <si>
    <t>B18_VD_32.mp3</t>
  </si>
  <si>
    <r>
      <rPr>
        <sz val="11"/>
        <color rgb="FF000000"/>
        <rFont val="Times New Roman"/>
      </rPr>
      <t>新</t>
    </r>
    <r>
      <rPr>
        <b/>
        <sz val="11"/>
        <color rgb="FF000000"/>
        <rFont val="Times New Roman"/>
      </rPr>
      <t>学期</t>
    </r>
    <r>
      <rPr>
        <sz val="11"/>
        <color rgb="FF000000"/>
        <rFont val="Times New Roman"/>
      </rPr>
      <t>要努力，不能像上个学期那样懒惰。</t>
    </r>
  </si>
  <si>
    <r>
      <rPr>
        <sz val="11"/>
        <color theme="1"/>
        <rFont val="Times New Roman"/>
      </rPr>
      <t>那个宝宝</t>
    </r>
    <r>
      <rPr>
        <b/>
        <sz val="11"/>
        <color theme="1"/>
        <rFont val="Times New Roman"/>
      </rPr>
      <t>出生</t>
    </r>
    <r>
      <rPr>
        <sz val="11"/>
        <color theme="1"/>
        <rFont val="Times New Roman"/>
      </rPr>
      <t>在除夕夜。</t>
    </r>
  </si>
  <si>
    <t>性别</t>
  </si>
  <si>
    <t>&lt;ruby&gt;性别&lt;rt&gt;xìngbié&lt;/rt&gt;&lt;/ruby&gt;</t>
  </si>
  <si>
    <t>xìngbié</t>
  </si>
  <si>
    <t>giới tính</t>
  </si>
  <si>
    <r>
      <rPr>
        <sz val="11"/>
        <color theme="1"/>
        <rFont val="Times New Roman"/>
      </rPr>
      <t>许多地方至今仍然存在</t>
    </r>
    <r>
      <rPr>
        <b/>
        <sz val="11"/>
        <color theme="1"/>
        <rFont val="Times New Roman"/>
      </rPr>
      <t>性别</t>
    </r>
    <r>
      <rPr>
        <sz val="11"/>
        <color theme="1"/>
        <rFont val="Times New Roman"/>
      </rPr>
      <t>差异问题。</t>
    </r>
  </si>
  <si>
    <t>Rất nhiều nơi đến bây giờ vẫn còn tồn tại vấn đề chênh lệch giới tính.</t>
  </si>
  <si>
    <t>H4B19-03.png</t>
  </si>
  <si>
    <t>B19_3.mp3</t>
  </si>
  <si>
    <t>B19_VD_3.mp3</t>
  </si>
  <si>
    <t>国籍</t>
  </si>
  <si>
    <t>&lt;ruby&gt;国籍&lt;rt&gt;guójí&lt;/rt&gt;&lt;/ruby&gt;</t>
  </si>
  <si>
    <t>guójí</t>
  </si>
  <si>
    <t>quốc tịch</t>
  </si>
  <si>
    <r>
      <rPr>
        <sz val="11"/>
        <color theme="1"/>
        <rFont val="Times New Roman"/>
      </rPr>
      <t>申请签证时，</t>
    </r>
    <r>
      <rPr>
        <b/>
        <sz val="11"/>
        <color theme="1"/>
        <rFont val="Times New Roman"/>
      </rPr>
      <t>国籍</t>
    </r>
    <r>
      <rPr>
        <sz val="11"/>
        <color theme="1"/>
        <rFont val="Times New Roman"/>
      </rPr>
      <t>非常重要。</t>
    </r>
  </si>
  <si>
    <t>Quốc tịch rất quan trọng khi xin visa</t>
  </si>
  <si>
    <t>H4B19-04.png</t>
  </si>
  <si>
    <t>B19_4.mp3</t>
  </si>
  <si>
    <t>B19_VD_4.mp3</t>
  </si>
  <si>
    <t>租</t>
  </si>
  <si>
    <t>&lt;ruby&gt;租&lt;rt&gt;zū&lt;/rt&gt;&lt;/ruby&gt;</t>
  </si>
  <si>
    <t>zū</t>
  </si>
  <si>
    <t>thuê, cho thuê</t>
  </si>
  <si>
    <r>
      <rPr>
        <sz val="11"/>
        <color theme="1"/>
        <rFont val="Times New Roman"/>
      </rPr>
      <t>我</t>
    </r>
    <r>
      <rPr>
        <b/>
        <sz val="11"/>
        <color theme="1"/>
        <rFont val="Times New Roman"/>
      </rPr>
      <t>租</t>
    </r>
    <r>
      <rPr>
        <sz val="11"/>
        <color theme="1"/>
        <rFont val="Times New Roman"/>
      </rPr>
      <t>了一套房子。</t>
    </r>
  </si>
  <si>
    <t>Tôi đã thuê một căn nhà.</t>
  </si>
  <si>
    <t>H4B19-05.png</t>
  </si>
  <si>
    <t>B19_5.mp3</t>
  </si>
  <si>
    <t>B19_VD_5.mp3</t>
  </si>
  <si>
    <t>零钱</t>
  </si>
  <si>
    <t>&lt;ruby&gt;零钱&lt;rt&gt;língqián&lt;/rt&gt;&lt;/ruby&gt;</t>
  </si>
  <si>
    <t>língqián</t>
  </si>
  <si>
    <t>tiền lẻ</t>
  </si>
  <si>
    <r>
      <rPr>
        <sz val="11"/>
        <color theme="1"/>
        <rFont val="Times New Roman"/>
      </rPr>
      <t>我的积蓄全是</t>
    </r>
    <r>
      <rPr>
        <b/>
        <sz val="11"/>
        <color theme="1"/>
        <rFont val="Times New Roman"/>
      </rPr>
      <t>零钱</t>
    </r>
    <r>
      <rPr>
        <sz val="11"/>
        <color theme="1"/>
        <rFont val="Times New Roman"/>
      </rPr>
      <t>。</t>
    </r>
  </si>
  <si>
    <t>Tiền tích kiệm của tôi đều là tiền lẻ.</t>
  </si>
  <si>
    <t>H4B19-06.png</t>
  </si>
  <si>
    <t>B19_6.mp3</t>
  </si>
  <si>
    <t>B19_VD_6.mp3</t>
  </si>
  <si>
    <t>厨房</t>
  </si>
  <si>
    <t>&lt;ruby&gt;厨房&lt;rt&gt;chúfáng&lt;/rt&gt;&lt;/ruby&gt;</t>
  </si>
  <si>
    <t>chúfáng</t>
  </si>
  <si>
    <t>nhà bếp</t>
  </si>
  <si>
    <r>
      <rPr>
        <b/>
        <sz val="11"/>
        <color theme="1"/>
        <rFont val="Times New Roman"/>
      </rPr>
      <t>厨房</t>
    </r>
    <r>
      <rPr>
        <sz val="11"/>
        <color theme="1"/>
        <rFont val="Times New Roman"/>
      </rPr>
      <t>里有很多美味的菜肴。</t>
    </r>
  </si>
  <si>
    <t>Có rất nhiều món ngon ở trong bếp.</t>
  </si>
  <si>
    <t>H4B19-07.png</t>
  </si>
  <si>
    <t>B19_7.mp3</t>
  </si>
  <si>
    <t>B19_VD_7.mp3</t>
  </si>
  <si>
    <t>房东</t>
  </si>
  <si>
    <t>&lt;ruby&gt;房东&lt;rt&gt;fángdōng&lt;/rt&gt;&lt;/ruby&gt;</t>
  </si>
  <si>
    <t>fángdōng</t>
  </si>
  <si>
    <t>chủ nhà (nhà cho thuê)</t>
  </si>
  <si>
    <r>
      <rPr>
        <sz val="11"/>
        <color theme="1"/>
        <rFont val="Times New Roman"/>
      </rPr>
      <t>我的</t>
    </r>
    <r>
      <rPr>
        <b/>
        <sz val="11"/>
        <color theme="1"/>
        <rFont val="Times New Roman"/>
      </rPr>
      <t>房东</t>
    </r>
    <r>
      <rPr>
        <sz val="11"/>
        <color theme="1"/>
        <rFont val="Times New Roman"/>
      </rPr>
      <t>很友善。</t>
    </r>
  </si>
  <si>
    <t>Chủ nhà của tôi rất thân thiện.</t>
  </si>
  <si>
    <t>H4B19-08.png</t>
  </si>
  <si>
    <t>B19_8.mp3</t>
  </si>
  <si>
    <t>B19_VD_8.mp3</t>
  </si>
  <si>
    <t>占线</t>
  </si>
  <si>
    <t>&lt;ruby&gt;占线&lt;rt&gt;zhànxiàn&lt;/rt&gt;&lt;/ruby&gt;</t>
  </si>
  <si>
    <t>zhànxiàn</t>
  </si>
  <si>
    <t>(đường dây điện thoại) bận</t>
  </si>
  <si>
    <r>
      <rPr>
        <sz val="11"/>
        <color theme="1"/>
        <rFont val="Times New Roman"/>
      </rPr>
      <t>你的电话怎么回事？一整天都</t>
    </r>
    <r>
      <rPr>
        <b/>
        <sz val="11"/>
        <color theme="1"/>
        <rFont val="Times New Roman"/>
      </rPr>
      <t>占线</t>
    </r>
    <r>
      <rPr>
        <sz val="11"/>
        <color theme="1"/>
        <rFont val="Times New Roman"/>
      </rPr>
      <t>。</t>
    </r>
  </si>
  <si>
    <t>Máy của cậu bị sao thế? Cả ngày gọi đều báo bận.</t>
  </si>
  <si>
    <t>H4B19-09.png</t>
  </si>
  <si>
    <t>B19_9.mp3</t>
  </si>
  <si>
    <t>B19_VD_9.mp3</t>
  </si>
  <si>
    <t>打印</t>
  </si>
  <si>
    <t>&lt;ruby&gt;打印&lt;rt&gt;dǎyìn&lt;/rt&gt;&lt;/ruby&gt;</t>
  </si>
  <si>
    <t>dǎyìn</t>
  </si>
  <si>
    <t>in</t>
  </si>
  <si>
    <r>
      <rPr>
        <sz val="11"/>
        <color theme="1"/>
        <rFont val="Times New Roman"/>
      </rPr>
      <t>我需要</t>
    </r>
    <r>
      <rPr>
        <b/>
        <sz val="11"/>
        <color theme="1"/>
        <rFont val="Times New Roman"/>
      </rPr>
      <t>打印</t>
    </r>
    <r>
      <rPr>
        <sz val="11"/>
        <color theme="1"/>
        <rFont val="Times New Roman"/>
      </rPr>
      <t>这份文件。</t>
    </r>
  </si>
  <si>
    <t>Tôi cần in phần tài liệu này.</t>
  </si>
  <si>
    <t>H4B19-10.png</t>
  </si>
  <si>
    <t>B19_10.mp3</t>
  </si>
  <si>
    <t>B19_VD_10.mp3</t>
  </si>
  <si>
    <t>复印</t>
  </si>
  <si>
    <t>&lt;ruby&gt;复印&lt;rt&gt;fùyìn&lt;/rt&gt;&lt;/ruby&gt;</t>
  </si>
  <si>
    <t>fùyìn</t>
  </si>
  <si>
    <t>photocopy, sao chụp</t>
  </si>
  <si>
    <r>
      <rPr>
        <sz val="11"/>
        <color theme="1"/>
        <rFont val="Times New Roman"/>
      </rPr>
      <t>这是我们公司新买的</t>
    </r>
    <r>
      <rPr>
        <b/>
        <sz val="11"/>
        <color theme="1"/>
        <rFont val="Times New Roman"/>
      </rPr>
      <t>复印</t>
    </r>
    <r>
      <rPr>
        <sz val="11"/>
        <color theme="1"/>
        <rFont val="Times New Roman"/>
      </rPr>
      <t>机。</t>
    </r>
  </si>
  <si>
    <t>Đây là máy photocopy công ty tôi mới mua.</t>
  </si>
  <si>
    <t>H4B19-11.png</t>
  </si>
  <si>
    <t>B19_11.mp3</t>
  </si>
  <si>
    <t>B19_VD_11.mp3</t>
  </si>
  <si>
    <t>bánh chẻo</t>
  </si>
  <si>
    <r>
      <rPr>
        <sz val="11"/>
        <color theme="1"/>
        <rFont val="Times New Roman"/>
      </rPr>
      <t xml:space="preserve"> 这是我刚做的</t>
    </r>
    <r>
      <rPr>
        <b/>
        <sz val="11"/>
        <color theme="1"/>
        <rFont val="Times New Roman"/>
      </rPr>
      <t>饺子</t>
    </r>
    <r>
      <rPr>
        <sz val="11"/>
        <color theme="1"/>
        <rFont val="Times New Roman"/>
      </rPr>
      <t>。</t>
    </r>
  </si>
  <si>
    <t>Đây là sủi cảo tôi vừa làm.</t>
  </si>
  <si>
    <t>H4B19-12.png</t>
  </si>
  <si>
    <t>B19_12.mp3</t>
  </si>
  <si>
    <t>B19_VD_12.mp3</t>
  </si>
  <si>
    <t>bánh bao</t>
  </si>
  <si>
    <r>
      <rPr>
        <sz val="11"/>
        <color theme="1"/>
        <rFont val="Times New Roman"/>
      </rPr>
      <t xml:space="preserve"> 这个</t>
    </r>
    <r>
      <rPr>
        <b/>
        <sz val="11"/>
        <color theme="1"/>
        <rFont val="Times New Roman"/>
      </rPr>
      <t>包子</t>
    </r>
    <r>
      <rPr>
        <sz val="11"/>
        <color theme="1"/>
        <rFont val="Times New Roman"/>
      </rPr>
      <t>很好吃。</t>
    </r>
  </si>
  <si>
    <t>Bánh bao này ngon lắm.</t>
  </si>
  <si>
    <t>H4B19-13.png</t>
  </si>
  <si>
    <t>B19_13.mp3</t>
  </si>
  <si>
    <t>B19_VD_13.mp3</t>
  </si>
  <si>
    <t>刀</t>
  </si>
  <si>
    <t>&lt;ruby&gt;刀&lt;rt&gt;dāo&lt;/rt&gt;&lt;/ruby&gt;</t>
  </si>
  <si>
    <t>dāo</t>
  </si>
  <si>
    <t>con dao</t>
  </si>
  <si>
    <r>
      <rPr>
        <sz val="10"/>
        <color theme="1"/>
        <rFont val="Arial"/>
      </rPr>
      <t>这把</t>
    </r>
    <r>
      <rPr>
        <b/>
        <sz val="10"/>
        <color theme="1"/>
        <rFont val="Arial"/>
      </rPr>
      <t>刀</t>
    </r>
    <r>
      <rPr>
        <sz val="10"/>
        <color theme="1"/>
        <rFont val="Arial"/>
      </rPr>
      <t>真锋利。</t>
    </r>
  </si>
  <si>
    <t>Con dao này thật sắc bén.</t>
  </si>
  <si>
    <t>H4B19-14.png</t>
  </si>
  <si>
    <t>B19_14.mp3</t>
  </si>
  <si>
    <t>B19_VD_14.mp3</t>
  </si>
  <si>
    <t>破</t>
  </si>
  <si>
    <t>&lt;ruby&gt;破&lt;rt&gt;pò&lt;/rt&gt;&lt;/ruby&gt;</t>
  </si>
  <si>
    <t>pò</t>
  </si>
  <si>
    <t>bị đứt, bị thủng</t>
  </si>
  <si>
    <r>
      <rPr>
        <sz val="11"/>
        <color theme="1"/>
        <rFont val="Times New Roman"/>
      </rPr>
      <t>这颗鸡蛋</t>
    </r>
    <r>
      <rPr>
        <b/>
        <sz val="11"/>
        <color theme="1"/>
        <rFont val="Times New Roman"/>
      </rPr>
      <t>破</t>
    </r>
    <r>
      <rPr>
        <sz val="11"/>
        <color theme="1"/>
        <rFont val="Times New Roman"/>
      </rPr>
      <t>了。</t>
    </r>
  </si>
  <si>
    <t>Quả trứng này bị vỡ rồi.</t>
  </si>
  <si>
    <t>H4B19-15.png</t>
  </si>
  <si>
    <t>B19_15.mp3</t>
  </si>
  <si>
    <t>B19_VD_15.mp3</t>
  </si>
  <si>
    <t>脱</t>
  </si>
  <si>
    <t>&lt;ruby&gt;脱&lt;rt&gt;tuō&lt;/rt&gt;&lt;/ruby&gt;</t>
  </si>
  <si>
    <t>tuō</t>
  </si>
  <si>
    <t>cởi ra</t>
  </si>
  <si>
    <r>
      <rPr>
        <sz val="10"/>
        <color theme="1"/>
        <rFont val="Arial"/>
      </rPr>
      <t>他正在</t>
    </r>
    <r>
      <rPr>
        <b/>
        <sz val="10"/>
        <color theme="1"/>
        <rFont val="Arial"/>
      </rPr>
      <t>脱</t>
    </r>
    <r>
      <rPr>
        <sz val="10"/>
        <color theme="1"/>
        <rFont val="Arial"/>
      </rPr>
      <t>毛衣降温。</t>
    </r>
  </si>
  <si>
    <t>Anh ấy đang cởi áo len ra cho đỡ nóng.</t>
  </si>
  <si>
    <t>H4B19-16.png</t>
  </si>
  <si>
    <t>B19_16.mp3</t>
  </si>
  <si>
    <t>B19_VD_16.mp3</t>
  </si>
  <si>
    <t>胳膊</t>
  </si>
  <si>
    <t>&lt;ruby&gt;胳膊&lt;rt&gt;gēbo&lt;/rt&gt;&lt;/ruby&gt;</t>
  </si>
  <si>
    <t>gēbo</t>
  </si>
  <si>
    <t>cánh tay</t>
  </si>
  <si>
    <r>
      <rPr>
        <sz val="11"/>
        <color theme="1"/>
        <rFont val="Times New Roman"/>
      </rPr>
      <t>她的</t>
    </r>
    <r>
      <rPr>
        <b/>
        <sz val="11"/>
        <color theme="1"/>
        <rFont val="Times New Roman"/>
      </rPr>
      <t>胳膊</t>
    </r>
    <r>
      <rPr>
        <sz val="11"/>
        <color theme="1"/>
        <rFont val="Times New Roman"/>
      </rPr>
      <t>因事故而骨折了。</t>
    </r>
  </si>
  <si>
    <t>Cánh tay của cô ấy bị gãy do tai nạn.</t>
  </si>
  <si>
    <t>H4B19-17.png</t>
  </si>
  <si>
    <t>B19_17.mp3</t>
  </si>
  <si>
    <t>B19_VD_17.mp3</t>
  </si>
  <si>
    <t>抬</t>
  </si>
  <si>
    <t>&lt;ruby&gt;抬&lt;rt&gt;tái&lt;/rt&gt;&lt;/ruby&gt;</t>
  </si>
  <si>
    <t>giơ lên, đưa lên</t>
  </si>
  <si>
    <r>
      <rPr>
        <b/>
        <sz val="11"/>
        <color theme="1"/>
        <rFont val="Times New Roman"/>
      </rPr>
      <t>抬</t>
    </r>
    <r>
      <rPr>
        <sz val="11"/>
        <color theme="1"/>
        <rFont val="Times New Roman"/>
      </rPr>
      <t>起重物需要力量。</t>
    </r>
  </si>
  <si>
    <t>Nâng đồ nặng cần sức mạnh.</t>
  </si>
  <si>
    <t>H4B19-18.png</t>
  </si>
  <si>
    <t>B19_18.mp3</t>
  </si>
  <si>
    <t>B19_VD_18.mp3</t>
  </si>
  <si>
    <t>理发</t>
  </si>
  <si>
    <t>&lt;ruby&gt;理发&lt;rt&gt;lǐfà&lt;/rt&gt;&lt;/ruby&gt;</t>
  </si>
  <si>
    <t>lǐfà</t>
  </si>
  <si>
    <t>cắt tóc</t>
  </si>
  <si>
    <r>
      <rPr>
        <sz val="11"/>
        <color theme="1"/>
        <rFont val="Times New Roman"/>
      </rPr>
      <t>我每个月都会去</t>
    </r>
    <r>
      <rPr>
        <b/>
        <sz val="11"/>
        <color theme="1"/>
        <rFont val="Times New Roman"/>
      </rPr>
      <t>理发</t>
    </r>
    <r>
      <rPr>
        <sz val="11"/>
        <color theme="1"/>
        <rFont val="Times New Roman"/>
      </rPr>
      <t>店剪头发。</t>
    </r>
  </si>
  <si>
    <t>Mỗi tháng tôi đều đi tiệm cắt tóc.</t>
  </si>
  <si>
    <t>H4B19-19.png</t>
  </si>
  <si>
    <t>B19_19.mp3</t>
  </si>
  <si>
    <t>B19_VD_19.mp3</t>
  </si>
  <si>
    <t>打招呼</t>
  </si>
  <si>
    <t>&lt;ruby&gt;打招呼&lt;rt&gt;dǎzhāohū&lt;/rt&gt;&lt;/ruby&gt;</t>
  </si>
  <si>
    <t>dǎzhāohū</t>
  </si>
  <si>
    <t>chào hỏi</t>
  </si>
  <si>
    <r>
      <rPr>
        <sz val="11"/>
        <color theme="1"/>
        <rFont val="Times New Roman"/>
      </rPr>
      <t>早上见面要</t>
    </r>
    <r>
      <rPr>
        <b/>
        <sz val="11"/>
        <color theme="1"/>
        <rFont val="Times New Roman"/>
      </rPr>
      <t>打招呼</t>
    </r>
    <r>
      <rPr>
        <sz val="11"/>
        <color theme="1"/>
        <rFont val="Times New Roman"/>
      </rPr>
      <t>。</t>
    </r>
  </si>
  <si>
    <t>Buổi sáng gặp mặt nên chào hỏi.</t>
  </si>
  <si>
    <t>H4B19-20.png</t>
  </si>
  <si>
    <t>B19_20.mp3</t>
  </si>
  <si>
    <t>B19_VD_20.mp3</t>
  </si>
  <si>
    <t>道歉</t>
  </si>
  <si>
    <t>&lt;ruby&gt;道歉&lt;rt&gt;dào qiàn&lt;/rt&gt;&lt;/ruby&gt;</t>
  </si>
  <si>
    <t>dào qiàn</t>
  </si>
  <si>
    <r>
      <rPr>
        <sz val="11"/>
        <color theme="1"/>
        <rFont val="Times New Roman"/>
      </rPr>
      <t xml:space="preserve"> 她因为迟到向大家</t>
    </r>
    <r>
      <rPr>
        <b/>
        <sz val="11"/>
        <color theme="1"/>
        <rFont val="Times New Roman"/>
      </rPr>
      <t>道歉</t>
    </r>
    <r>
      <rPr>
        <sz val="11"/>
        <color theme="1"/>
        <rFont val="Times New Roman"/>
      </rPr>
      <t>。</t>
    </r>
  </si>
  <si>
    <t>Cô ấy xin lỗi mọi người vì đến muộn.</t>
  </si>
  <si>
    <t>H4B19-21.png</t>
  </si>
  <si>
    <t>B19_21.mp3</t>
  </si>
  <si>
    <t>B19_VD_21.mp3</t>
  </si>
  <si>
    <t>戴</t>
  </si>
  <si>
    <t>&lt;ruby&gt;戴&lt;rt&gt;dài&lt;/rt&gt;&lt;/ruby&gt;</t>
  </si>
  <si>
    <t>đeo, mang</t>
  </si>
  <si>
    <r>
      <rPr>
        <sz val="11"/>
        <color theme="1"/>
        <rFont val="Times New Roman"/>
      </rPr>
      <t xml:space="preserve"> 他</t>
    </r>
    <r>
      <rPr>
        <b/>
        <sz val="11"/>
        <color theme="1"/>
        <rFont val="Times New Roman"/>
      </rPr>
      <t>戴</t>
    </r>
    <r>
      <rPr>
        <sz val="11"/>
        <color theme="1"/>
        <rFont val="Times New Roman"/>
      </rPr>
      <t>着墨镜，提着行李箱出门了。</t>
    </r>
  </si>
  <si>
    <t>Cậu ấy đeo kính râm rồi xách theo vali đi ra ngoài.</t>
  </si>
  <si>
    <t>H4B19-22.png</t>
  </si>
  <si>
    <t>B19_22.mp3</t>
  </si>
  <si>
    <t>B19_VD_22.mp3</t>
  </si>
  <si>
    <t>mắt kính</t>
  </si>
  <si>
    <r>
      <rPr>
        <sz val="11"/>
        <color theme="1"/>
        <rFont val="Times New Roman"/>
      </rPr>
      <t>我爷爷视力不好，所以戴着一副老光</t>
    </r>
    <r>
      <rPr>
        <b/>
        <sz val="11"/>
        <color theme="1"/>
        <rFont val="Times New Roman"/>
      </rPr>
      <t>眼镜</t>
    </r>
    <r>
      <rPr>
        <sz val="11"/>
        <color theme="1"/>
        <rFont val="Times New Roman"/>
      </rPr>
      <t>。</t>
    </r>
  </si>
  <si>
    <t>Ông tôi mắt kém nên phải đeo kính lão.</t>
  </si>
  <si>
    <t>H4B19-23.png</t>
  </si>
  <si>
    <t>B19_23.mp3</t>
  </si>
  <si>
    <t>B19_VD_23.mp3</t>
  </si>
  <si>
    <t>转</t>
  </si>
  <si>
    <t>&lt;ruby&gt;转&lt;rt&gt;zhuǎn&lt;/rt&gt;&lt;/ruby&gt;</t>
  </si>
  <si>
    <t>zhuǎn</t>
  </si>
  <si>
    <t>quay, xoay</t>
  </si>
  <si>
    <r>
      <rPr>
        <sz val="11"/>
        <color theme="1"/>
        <rFont val="Times New Roman"/>
      </rPr>
      <t xml:space="preserve"> 风车正在</t>
    </r>
    <r>
      <rPr>
        <b/>
        <sz val="11"/>
        <color theme="1"/>
        <rFont val="Times New Roman"/>
      </rPr>
      <t>转</t>
    </r>
    <r>
      <rPr>
        <sz val="11"/>
        <color theme="1"/>
        <rFont val="Times New Roman"/>
      </rPr>
      <t>动</t>
    </r>
  </si>
  <si>
    <t>Cái chong chóng đang xoay vòng.</t>
  </si>
  <si>
    <t>H4B19-24.png</t>
  </si>
  <si>
    <t>B19_24.mp3</t>
  </si>
  <si>
    <t>B19_VD_24.mp3</t>
  </si>
  <si>
    <t>吵</t>
  </si>
  <si>
    <t>&lt;ruby&gt;吵&lt;rt&gt;chǎo&lt;/rt&gt;&lt;/ruby&gt;</t>
  </si>
  <si>
    <t>chǎo</t>
  </si>
  <si>
    <t>ồn ào</t>
  </si>
  <si>
    <r>
      <rPr>
        <sz val="11"/>
        <color theme="1"/>
        <rFont val="Times New Roman"/>
      </rPr>
      <t>我听到门外很</t>
    </r>
    <r>
      <rPr>
        <b/>
        <sz val="11"/>
        <color theme="1"/>
        <rFont val="Times New Roman"/>
      </rPr>
      <t>吵</t>
    </r>
    <r>
      <rPr>
        <sz val="11"/>
        <color theme="1"/>
        <rFont val="Times New Roman"/>
      </rPr>
      <t>，可能有人在吵架。</t>
    </r>
  </si>
  <si>
    <t>Tôi nghe thấy tiếng ồn ào ngoài cửa, chắc có người đang cãi nhau.</t>
  </si>
  <si>
    <t>H4B19-25.png</t>
  </si>
  <si>
    <t>B19_25.mp3</t>
  </si>
  <si>
    <t>B19_VD_25.mp3</t>
  </si>
  <si>
    <t>功夫</t>
  </si>
  <si>
    <t>&lt;ruby&gt;功夫&lt;rt&gt;gōngfū&lt;/rt&gt;&lt;/ruby&gt;</t>
  </si>
  <si>
    <t>gōngfū</t>
  </si>
  <si>
    <t>võ thuật, môn võ kung fu</t>
  </si>
  <si>
    <r>
      <rPr>
        <sz val="11"/>
        <color theme="1"/>
        <rFont val="Times New Roman"/>
      </rPr>
      <t xml:space="preserve"> 他是</t>
    </r>
    <r>
      <rPr>
        <b/>
        <sz val="11"/>
        <color theme="1"/>
        <rFont val="Times New Roman"/>
      </rPr>
      <t>功夫</t>
    </r>
    <r>
      <rPr>
        <sz val="11"/>
        <color theme="1"/>
        <rFont val="Times New Roman"/>
      </rPr>
      <t>大师。</t>
    </r>
  </si>
  <si>
    <t>Anh ấy là bậc thầy kung fu.</t>
  </si>
  <si>
    <t>H4B19-26.png</t>
  </si>
  <si>
    <t>B19_26.mp3</t>
  </si>
  <si>
    <t>B19_VD_26.mp3</t>
  </si>
  <si>
    <t>乒乓球</t>
  </si>
  <si>
    <t>&lt;ruby&gt;乒乓球&lt;rt&gt;pīngpāngqiú&lt;/rt&gt;&lt;/ruby&gt;</t>
  </si>
  <si>
    <t>pīngpāngqiú</t>
  </si>
  <si>
    <t>bóng bàn</t>
  </si>
  <si>
    <r>
      <rPr>
        <sz val="11"/>
        <color theme="1"/>
        <rFont val="Times New Roman"/>
      </rPr>
      <t>他</t>
    </r>
    <r>
      <rPr>
        <b/>
        <sz val="11"/>
        <color theme="1"/>
        <rFont val="Times New Roman"/>
      </rPr>
      <t>乒乓球</t>
    </r>
    <r>
      <rPr>
        <sz val="11"/>
        <color theme="1"/>
        <rFont val="Times New Roman"/>
      </rPr>
      <t>打得很好。</t>
    </r>
  </si>
  <si>
    <t>Anh ấy chơi bóng bàn rất giỏi.</t>
  </si>
  <si>
    <t>H4B19-27.png</t>
  </si>
  <si>
    <t>B19_27.mp3</t>
  </si>
  <si>
    <t>B19_VD_27.mp3</t>
  </si>
  <si>
    <r>
      <rPr>
        <sz val="11"/>
        <color theme="1"/>
        <rFont val="Times New Roman"/>
      </rPr>
      <t>他周末常打</t>
    </r>
    <r>
      <rPr>
        <b/>
        <sz val="11"/>
        <color theme="1"/>
        <rFont val="Times New Roman"/>
      </rPr>
      <t>羽毛球</t>
    </r>
    <r>
      <rPr>
        <sz val="11"/>
        <color theme="1"/>
        <rFont val="Times New Roman"/>
      </rPr>
      <t>。</t>
    </r>
  </si>
  <si>
    <t>舞蹈</t>
  </si>
  <si>
    <t>&lt;ruby&gt;舞蹈&lt;rt&gt;wǔdǎo&lt;/rt&gt;&lt;/ruby&gt;</t>
  </si>
  <si>
    <t>wǔdǎo</t>
  </si>
  <si>
    <t>điệu múa</t>
  </si>
  <si>
    <r>
      <rPr>
        <sz val="11"/>
        <color theme="1"/>
        <rFont val="Times New Roman"/>
      </rPr>
      <t>她从小就喜欢</t>
    </r>
    <r>
      <rPr>
        <b/>
        <sz val="11"/>
        <color theme="1"/>
        <rFont val="Times New Roman"/>
      </rPr>
      <t>舞蹈</t>
    </r>
    <r>
      <rPr>
        <sz val="11"/>
        <color theme="1"/>
        <rFont val="Times New Roman"/>
      </rPr>
      <t>。</t>
    </r>
  </si>
  <si>
    <t>Cô ấy yêu thích vũ đạo từ khi còn nhỏ.</t>
  </si>
  <si>
    <t>H4B19-29.png</t>
  </si>
  <si>
    <t>B19_29.mp3</t>
  </si>
  <si>
    <t>B19_VD_29.mp3</t>
  </si>
  <si>
    <t>场</t>
  </si>
  <si>
    <t>&lt;ruby&gt;场&lt;rt&gt;chǎng&lt;/rt&gt;&lt;/ruby&gt;</t>
  </si>
  <si>
    <t>chǎng</t>
  </si>
  <si>
    <t>(được đùng cho thể thao hay các hoạt động giải trí...) trận</t>
  </si>
  <si>
    <r>
      <rPr>
        <sz val="11"/>
        <color theme="1"/>
        <rFont val="Times New Roman"/>
      </rPr>
      <t>今天晚上我们有一</t>
    </r>
    <r>
      <rPr>
        <b/>
        <sz val="11"/>
        <color theme="1"/>
        <rFont val="Times New Roman"/>
      </rPr>
      <t>场</t>
    </r>
    <r>
      <rPr>
        <sz val="11"/>
        <color theme="1"/>
        <rFont val="Times New Roman"/>
      </rPr>
      <t>演出。</t>
    </r>
  </si>
  <si>
    <t>Chúng ta có một buổi biểu diễn vào tối nay.</t>
  </si>
  <si>
    <t>H4B19-30.png</t>
  </si>
  <si>
    <t>B19_30.mp3</t>
  </si>
  <si>
    <t>B19_VD_30.mp3</t>
  </si>
  <si>
    <t>禁止</t>
  </si>
  <si>
    <t>&lt;ruby&gt;禁止&lt;rt&gt;jìnzhǐ&lt;/rt&gt;&lt;/ruby&gt;</t>
  </si>
  <si>
    <t>jìnzhǐ</t>
  </si>
  <si>
    <t>cấm</t>
  </si>
  <si>
    <r>
      <rPr>
        <sz val="11"/>
        <color theme="1"/>
        <rFont val="Times New Roman"/>
      </rPr>
      <t xml:space="preserve"> 你看，这里</t>
    </r>
    <r>
      <rPr>
        <b/>
        <sz val="11"/>
        <color theme="1"/>
        <rFont val="Times New Roman"/>
      </rPr>
      <t>禁止</t>
    </r>
    <r>
      <rPr>
        <sz val="11"/>
        <color theme="1"/>
        <rFont val="Times New Roman"/>
      </rPr>
      <t>吸烟。</t>
    </r>
  </si>
  <si>
    <t>Bạn nhìn này, ở đây cấm hút thuốc.</t>
  </si>
  <si>
    <t>H4B19-31.png</t>
  </si>
  <si>
    <t>B19_31.mp3</t>
  </si>
  <si>
    <t>B19_VD_31.mp3</t>
  </si>
  <si>
    <t>座位</t>
  </si>
  <si>
    <t>&lt;ruby&gt;座位&lt;rt&gt;zuòwèi&lt;/rt&gt;&lt;/ruby&gt;</t>
  </si>
  <si>
    <t>zuòwèi</t>
  </si>
  <si>
    <t>chỗ ngồi</t>
  </si>
  <si>
    <r>
      <rPr>
        <sz val="11"/>
        <color theme="1"/>
        <rFont val="Times New Roman"/>
      </rPr>
      <t>飞机上还有很多空</t>
    </r>
    <r>
      <rPr>
        <b/>
        <sz val="11"/>
        <color theme="1"/>
        <rFont val="Times New Roman"/>
      </rPr>
      <t>座位</t>
    </r>
    <r>
      <rPr>
        <sz val="11"/>
        <color theme="1"/>
        <rFont val="Times New Roman"/>
      </rPr>
      <t>。</t>
    </r>
  </si>
  <si>
    <t>Còn rất nhiều ghế trống trên máy bay.</t>
  </si>
  <si>
    <t>H4B19-32.png</t>
  </si>
  <si>
    <t>B19_32.mp3</t>
  </si>
  <si>
    <t>B19_VD_32.mp3</t>
  </si>
  <si>
    <t>加油站</t>
  </si>
  <si>
    <t>&lt;ruby&gt;加油站&lt;rt&gt;jiāyóuzhàn&lt;/rt&gt;&lt;/ruby&gt;</t>
  </si>
  <si>
    <t>jiāyóuzhàn</t>
  </si>
  <si>
    <t>trạm xăng dầu</t>
  </si>
  <si>
    <r>
      <rPr>
        <sz val="11"/>
        <color rgb="FF000000"/>
        <rFont val="Times New Roman"/>
      </rPr>
      <t>我到了最近的</t>
    </r>
    <r>
      <rPr>
        <b/>
        <sz val="11"/>
        <color rgb="FF000000"/>
        <rFont val="Times New Roman"/>
      </rPr>
      <t>加油站</t>
    </r>
    <r>
      <rPr>
        <sz val="11"/>
        <color rgb="FF000000"/>
        <rFont val="Times New Roman"/>
      </rPr>
      <t>。</t>
    </r>
  </si>
  <si>
    <t>Tôi đã đến được trạm xăng gần đây nhất.</t>
  </si>
  <si>
    <t>H4_B20_BG-01.png</t>
  </si>
  <si>
    <t>B20_1.mp3</t>
  </si>
  <si>
    <t>B20_VD_1.mp3</t>
  </si>
  <si>
    <t>航班</t>
  </si>
  <si>
    <t>&lt;ruby&gt;航班&lt;rt&gt;hángbān&lt;/rt&gt;&lt;/ruby&gt;</t>
  </si>
  <si>
    <t>hángbān</t>
  </si>
  <si>
    <t>chuyến bay</t>
  </si>
  <si>
    <r>
      <rPr>
        <sz val="11"/>
        <color theme="1"/>
        <rFont val="Times New Roman"/>
      </rPr>
      <t>你的</t>
    </r>
    <r>
      <rPr>
        <b/>
        <sz val="11"/>
        <color theme="1"/>
        <rFont val="Times New Roman"/>
      </rPr>
      <t>航班</t>
    </r>
    <r>
      <rPr>
        <sz val="11"/>
        <color theme="1"/>
        <rFont val="Times New Roman"/>
      </rPr>
      <t>已经起飞了。</t>
    </r>
  </si>
  <si>
    <t>Chuyến bay của bạn đã cất cánh rồi.</t>
  </si>
  <si>
    <t>H4_B20_BG-02.png</t>
  </si>
  <si>
    <t>B20_2.mp3</t>
  </si>
  <si>
    <t>B20_VD_2.mp3</t>
  </si>
  <si>
    <t>推迟</t>
  </si>
  <si>
    <t>&lt;ruby&gt;推迟&lt;rt&gt;tuīchí&lt;/rt&gt;&lt;/ruby&gt;</t>
  </si>
  <si>
    <t>tuīchí</t>
  </si>
  <si>
    <t>hoãn lại</t>
  </si>
  <si>
    <r>
      <rPr>
        <sz val="11"/>
        <color theme="1"/>
        <rFont val="Times New Roman"/>
      </rPr>
      <t>航班</t>
    </r>
    <r>
      <rPr>
        <b/>
        <sz val="11"/>
        <color theme="1"/>
        <rFont val="Times New Roman"/>
      </rPr>
      <t>推迟</t>
    </r>
    <r>
      <rPr>
        <sz val="11"/>
        <color theme="1"/>
        <rFont val="Times New Roman"/>
      </rPr>
      <t>了两个小时。</t>
    </r>
  </si>
  <si>
    <t>Chuyến bay bị hoãn hai giờ.</t>
  </si>
  <si>
    <t>H4_B20_BG-03.png</t>
  </si>
  <si>
    <t>B20_3.mp3</t>
  </si>
  <si>
    <t>B20_VD_3.mp3</t>
  </si>
  <si>
    <t>高速公路</t>
  </si>
  <si>
    <t>&lt;ruby&gt;高速公路&lt;rt&gt;gāosù gōnglù&lt;/rt&gt;&lt;/ruby&gt;</t>
  </si>
  <si>
    <t>gāosù gōnglù</t>
  </si>
  <si>
    <t>đường cao tốc</t>
  </si>
  <si>
    <r>
      <rPr>
        <b/>
        <sz val="11"/>
        <color theme="1"/>
        <rFont val="Times New Roman"/>
      </rPr>
      <t>高速公路</t>
    </r>
    <r>
      <rPr>
        <sz val="11"/>
        <color theme="1"/>
        <rFont val="Times New Roman"/>
      </rPr>
      <t>让人们出行更加方便。</t>
    </r>
  </si>
  <si>
    <t>Cao tốc giúp mọi người đi lại dễ dàng.</t>
  </si>
  <si>
    <t>H4_B20_BG-04.png</t>
  </si>
  <si>
    <t>B20_4.mp3</t>
  </si>
  <si>
    <t>B20_VD_4.mp3</t>
  </si>
  <si>
    <t>登机牌</t>
  </si>
  <si>
    <t>&lt;ruby&gt;登机牌&lt;rt&gt;dēngjīpái&lt;/rt&gt;&lt;/ruby&gt;</t>
  </si>
  <si>
    <t>dēngjīpái</t>
  </si>
  <si>
    <t>thẻ lên máy bay</t>
  </si>
  <si>
    <r>
      <rPr>
        <sz val="11"/>
        <color theme="1"/>
        <rFont val="Times New Roman"/>
      </rPr>
      <t xml:space="preserve"> 这是一张</t>
    </r>
    <r>
      <rPr>
        <b/>
        <sz val="11"/>
        <color theme="1"/>
        <rFont val="Times New Roman"/>
      </rPr>
      <t>登机牌</t>
    </r>
    <r>
      <rPr>
        <sz val="11"/>
        <color theme="1"/>
        <rFont val="Times New Roman"/>
      </rPr>
      <t>。</t>
    </r>
  </si>
  <si>
    <t>Đây là một tấm thẻ lên máy bay.</t>
  </si>
  <si>
    <t>H4_B20_BG-05.png</t>
  </si>
  <si>
    <t>B20_5.mp3</t>
  </si>
  <si>
    <t>B20_VD_5.mp3</t>
  </si>
  <si>
    <t>首都</t>
  </si>
  <si>
    <t>&lt;ruby&gt;首都&lt;rt&gt;shǒudū&lt;/rt&gt;&lt;/ruby&gt;</t>
  </si>
  <si>
    <t>shǒudū</t>
  </si>
  <si>
    <t>thủ đô</t>
  </si>
  <si>
    <r>
      <rPr>
        <sz val="11"/>
        <color theme="1"/>
        <rFont val="Times New Roman"/>
      </rPr>
      <t xml:space="preserve"> 河内</t>
    </r>
    <r>
      <rPr>
        <b/>
        <sz val="11"/>
        <color theme="1"/>
        <rFont val="Times New Roman"/>
      </rPr>
      <t>首都</t>
    </r>
    <r>
      <rPr>
        <sz val="11"/>
        <color theme="1"/>
        <rFont val="Times New Roman"/>
      </rPr>
      <t>是祖国的心脏。</t>
    </r>
  </si>
  <si>
    <t>Thủ đô Hà Nội là trái tim của Tổ Quốc.</t>
  </si>
  <si>
    <t>H4_B20_BG-06.png</t>
  </si>
  <si>
    <t>B20_6.mp3</t>
  </si>
  <si>
    <t>B20_VD_6.mp3</t>
  </si>
  <si>
    <t>旅行</t>
  </si>
  <si>
    <t>&lt;ruby&gt;旅行&lt;rt&gt;lǚxíng&lt;/rt&gt;&lt;/ruby&gt;</t>
  </si>
  <si>
    <t>lǚxíng</t>
  </si>
  <si>
    <r>
      <rPr>
        <sz val="11"/>
        <color theme="1"/>
        <rFont val="Times New Roman"/>
      </rPr>
      <t>我喜欢一个人</t>
    </r>
    <r>
      <rPr>
        <b/>
        <sz val="11"/>
        <color theme="1"/>
        <rFont val="Times New Roman"/>
      </rPr>
      <t>旅行</t>
    </r>
    <r>
      <rPr>
        <sz val="11"/>
        <color theme="1"/>
        <rFont val="Times New Roman"/>
      </rPr>
      <t>。</t>
    </r>
  </si>
  <si>
    <t>Tôi thích đi du lịch một mình.</t>
  </si>
  <si>
    <t>H4_B20_BG-07.png</t>
  </si>
  <si>
    <t>B20_7.mp3</t>
  </si>
  <si>
    <t>B20_VD_7.mp3</t>
  </si>
  <si>
    <t>民族</t>
  </si>
  <si>
    <t>&lt;ruby&gt;民族&lt;rt&gt;mínzú&lt;/rt&gt;&lt;/ruby&gt;</t>
  </si>
  <si>
    <t>mínzú</t>
  </si>
  <si>
    <t>dân tộc</t>
  </si>
  <si>
    <r>
      <rPr>
        <sz val="11"/>
        <color theme="1"/>
        <rFont val="Times New Roman"/>
      </rPr>
      <t>各民族和睦</t>
    </r>
    <r>
      <rPr>
        <b/>
        <sz val="11"/>
        <color theme="1"/>
        <rFont val="Times New Roman"/>
      </rPr>
      <t>相处</t>
    </r>
    <r>
      <rPr>
        <sz val="11"/>
        <color theme="1"/>
        <rFont val="Times New Roman"/>
      </rPr>
      <t>。</t>
    </r>
  </si>
  <si>
    <t>Các dân tộc sống hòa thuận với nhau.</t>
  </si>
  <si>
    <t>H4_B20_BG-08.png</t>
  </si>
  <si>
    <t>B20_8.mp3</t>
  </si>
  <si>
    <t>B20_VD_8.mp3</t>
  </si>
  <si>
    <r>
      <rPr>
        <sz val="11"/>
        <color theme="1"/>
        <rFont val="Times New Roman"/>
      </rPr>
      <t>你听到他们父子的</t>
    </r>
    <r>
      <rPr>
        <b/>
        <sz val="11"/>
        <color theme="1"/>
        <rFont val="Times New Roman"/>
      </rPr>
      <t>对话</t>
    </r>
    <r>
      <rPr>
        <sz val="11"/>
        <color theme="1"/>
        <rFont val="Times New Roman"/>
      </rPr>
      <t>了吗？</t>
    </r>
  </si>
  <si>
    <t>普通话</t>
  </si>
  <si>
    <t>&lt;ruby&gt;普通话&lt;rt&gt;pǔtōnghuà&lt;/rt&gt;&lt;/ruby&gt;</t>
  </si>
  <si>
    <t>pǔtōnghuà</t>
  </si>
  <si>
    <t>tiếng phổ thông, tiếng Quan thoại</t>
  </si>
  <si>
    <r>
      <rPr>
        <sz val="11"/>
        <color theme="1"/>
        <rFont val="Times New Roman"/>
      </rPr>
      <t>她说</t>
    </r>
    <r>
      <rPr>
        <b/>
        <sz val="11"/>
        <color theme="1"/>
        <rFont val="Times New Roman"/>
      </rPr>
      <t>普通话</t>
    </r>
    <r>
      <rPr>
        <sz val="11"/>
        <color theme="1"/>
        <rFont val="Times New Roman"/>
      </rPr>
      <t>说得很标准。</t>
    </r>
  </si>
  <si>
    <t>Cô ấy nói tiếng phổ thông rất chuẩn.</t>
  </si>
  <si>
    <t>H4_B20_BG-10.png</t>
  </si>
  <si>
    <t>B20_10.mp3</t>
  </si>
  <si>
    <t>B20_VD_10.mp3</t>
  </si>
  <si>
    <r>
      <rPr>
        <sz val="11"/>
        <color theme="1"/>
        <rFont val="Times New Roman"/>
      </rPr>
      <t>我们正从公园</t>
    </r>
    <r>
      <rPr>
        <b/>
        <sz val="11"/>
        <color theme="1"/>
        <rFont val="Times New Roman"/>
      </rPr>
      <t>出发</t>
    </r>
    <r>
      <rPr>
        <sz val="11"/>
        <color theme="1"/>
        <rFont val="Times New Roman"/>
      </rPr>
      <t>去学校。</t>
    </r>
  </si>
  <si>
    <t>怪</t>
  </si>
  <si>
    <t>&lt;ruby&gt;怪&lt;rt&gt;guài&lt;/rt&gt;&lt;/ruby&gt;</t>
  </si>
  <si>
    <t>guài</t>
  </si>
  <si>
    <r>
      <rPr>
        <sz val="11"/>
        <color theme="1"/>
        <rFont val="Times New Roman"/>
      </rPr>
      <t>这个行李箱</t>
    </r>
    <r>
      <rPr>
        <b/>
        <sz val="11"/>
        <color theme="1"/>
        <rFont val="Times New Roman"/>
      </rPr>
      <t>怪</t>
    </r>
    <r>
      <rPr>
        <sz val="11"/>
        <color theme="1"/>
        <rFont val="Times New Roman"/>
      </rPr>
      <t>重的。</t>
    </r>
  </si>
  <si>
    <t>Chiếc vali rất nặng.</t>
  </si>
  <si>
    <t>H4_B20_BG-12.png</t>
  </si>
  <si>
    <t>B20_12.mp3</t>
  </si>
  <si>
    <t>B20_VD_12.mp3</t>
  </si>
  <si>
    <t>可怜</t>
  </si>
  <si>
    <t>&lt;ruby&gt;可怜&lt;rt&gt;kělián&lt;/rt&gt;&lt;/ruby&gt;</t>
  </si>
  <si>
    <t>kělián</t>
  </si>
  <si>
    <t>đáng thương, tội nghiệp</t>
  </si>
  <si>
    <r>
      <rPr>
        <sz val="11"/>
        <color theme="1"/>
        <rFont val="Times New Roman"/>
      </rPr>
      <t>那个</t>
    </r>
    <r>
      <rPr>
        <b/>
        <sz val="11"/>
        <color theme="1"/>
        <rFont val="Times New Roman"/>
      </rPr>
      <t>可怜</t>
    </r>
    <r>
      <rPr>
        <sz val="11"/>
        <color theme="1"/>
        <rFont val="Times New Roman"/>
      </rPr>
      <t>的孩子刚从楼梯上摔下来。</t>
    </r>
  </si>
  <si>
    <t>Đứa trẻ đáng thương đó vừa bị ngã cầu thang.</t>
  </si>
  <si>
    <t>H4_B20_BG-13.png</t>
  </si>
  <si>
    <t>B20_13.mp3</t>
  </si>
  <si>
    <t>B20_VD_13.mp3</t>
  </si>
  <si>
    <t>对面</t>
  </si>
  <si>
    <t>&lt;ruby&gt;对面&lt;rt&gt;duìmiàn&lt;/rt&gt;&lt;/ruby&gt;</t>
  </si>
  <si>
    <t>duìmiàn</t>
  </si>
  <si>
    <t>đối diện, trước mặt</t>
  </si>
  <si>
    <r>
      <rPr>
        <sz val="11"/>
        <color theme="1"/>
        <rFont val="Times New Roman"/>
      </rPr>
      <t>他们坐在</t>
    </r>
    <r>
      <rPr>
        <b/>
        <sz val="11"/>
        <color theme="1"/>
        <rFont val="Times New Roman"/>
      </rPr>
      <t>对面</t>
    </r>
    <r>
      <rPr>
        <sz val="11"/>
        <color theme="1"/>
        <rFont val="Times New Roman"/>
      </rPr>
      <t>。</t>
    </r>
  </si>
  <si>
    <t>Họ ngồi đối diện nhau.</t>
  </si>
  <si>
    <t>H4_B20_BG-14.png</t>
  </si>
  <si>
    <t>B20_14.mp3</t>
  </si>
  <si>
    <t>B20_VD_14.mp3</t>
  </si>
  <si>
    <t>祝贺</t>
  </si>
  <si>
    <t>&lt;ruby&gt;祝贺&lt;rt&gt;zhùhè&lt;/rt&gt;&lt;/ruby&gt;</t>
  </si>
  <si>
    <t>zhùhè</t>
  </si>
  <si>
    <t>chúc mừng</t>
  </si>
  <si>
    <r>
      <rPr>
        <b/>
        <sz val="11"/>
        <color theme="1"/>
        <rFont val="Times New Roman"/>
      </rPr>
      <t>祝贺</t>
    </r>
    <r>
      <rPr>
        <sz val="11"/>
        <color theme="1"/>
        <rFont val="Times New Roman"/>
      </rPr>
      <t>你毕业了！</t>
    </r>
  </si>
  <si>
    <t>Chúc mừng bạn đã tốt nghiệp!</t>
  </si>
  <si>
    <t>H4_B20_BG-15.png</t>
  </si>
  <si>
    <t>B20_15.mp3</t>
  </si>
  <si>
    <t>B20_VD_15.mp3</t>
  </si>
  <si>
    <t>合格</t>
  </si>
  <si>
    <t>&lt;ruby&gt;合格&lt;rt&gt;hégé&lt;/rt&gt;&lt;/ruby&gt;</t>
  </si>
  <si>
    <t>hégé</t>
  </si>
  <si>
    <t>đạt tiêu chuẩn, đạt yêu cầu</t>
  </si>
  <si>
    <r>
      <rPr>
        <sz val="11"/>
        <color theme="1"/>
        <rFont val="Times New Roman"/>
      </rPr>
      <t xml:space="preserve"> 这次考试我</t>
    </r>
    <r>
      <rPr>
        <b/>
        <sz val="11"/>
        <color theme="1"/>
        <rFont val="Times New Roman"/>
      </rPr>
      <t>合格</t>
    </r>
    <r>
      <rPr>
        <sz val="11"/>
        <color theme="1"/>
        <rFont val="Times New Roman"/>
      </rPr>
      <t>了。</t>
    </r>
  </si>
  <si>
    <t>Bài kiểm tra lần này tôi đã đạt tiêu chuẩn.</t>
  </si>
  <si>
    <t>H4_B20_BG-16.png</t>
  </si>
  <si>
    <t>B20_16.mp3</t>
  </si>
  <si>
    <t>B20_VD_16.mp3</t>
  </si>
  <si>
    <t>干杯</t>
  </si>
  <si>
    <t>&lt;ruby&gt;干杯&lt;rt&gt;gān bēi&lt;/rt&gt;&lt;/ruby&gt;</t>
  </si>
  <si>
    <t>gān bēi</t>
  </si>
  <si>
    <t>cạn ly</t>
  </si>
  <si>
    <r>
      <rPr>
        <sz val="11"/>
        <color theme="1"/>
        <rFont val="Times New Roman"/>
      </rPr>
      <t xml:space="preserve"> 我们一起</t>
    </r>
    <r>
      <rPr>
        <b/>
        <sz val="11"/>
        <color theme="1"/>
        <rFont val="Times New Roman"/>
      </rPr>
      <t>干杯</t>
    </r>
    <r>
      <rPr>
        <sz val="11"/>
        <color theme="1"/>
        <rFont val="Times New Roman"/>
      </rPr>
      <t>吧！</t>
    </r>
  </si>
  <si>
    <t>Chúng ta cùng nâng ly nhé!</t>
  </si>
  <si>
    <t>H4_B20_BG-17.png</t>
  </si>
  <si>
    <t>B20_17.mp3</t>
  </si>
  <si>
    <t>B20_VD_17.mp3</t>
  </si>
  <si>
    <t>打扮</t>
  </si>
  <si>
    <t>&lt;ruby&gt;打扮&lt;rt&gt;dǎbàn&lt;/rt&gt;&lt;/ruby&gt;</t>
  </si>
  <si>
    <t>dǎbàn</t>
  </si>
  <si>
    <t>trang điểm</t>
  </si>
  <si>
    <r>
      <rPr>
        <sz val="11"/>
        <color theme="1"/>
        <rFont val="Times New Roman"/>
      </rPr>
      <t>她</t>
    </r>
    <r>
      <rPr>
        <b/>
        <sz val="11"/>
        <color theme="1"/>
        <rFont val="Times New Roman"/>
      </rPr>
      <t>打扮</t>
    </r>
    <r>
      <rPr>
        <sz val="11"/>
        <color theme="1"/>
        <rFont val="Times New Roman"/>
      </rPr>
      <t>得很漂亮。</t>
    </r>
  </si>
  <si>
    <t>Cô ấy trang điểm lên trông rất xinh.</t>
  </si>
  <si>
    <t>H4_B20_BG-18.png</t>
  </si>
  <si>
    <t>B20_18.mp3</t>
  </si>
  <si>
    <t>B20_VD_18.mp3</t>
  </si>
  <si>
    <t>笑话</t>
  </si>
  <si>
    <t>&lt;ruby&gt;笑话&lt;rt&gt;xiàohua&lt;/rt&gt;&lt;/ruby&gt;</t>
  </si>
  <si>
    <t>xiàohua</t>
  </si>
  <si>
    <t>truyện cười</t>
  </si>
  <si>
    <r>
      <rPr>
        <sz val="11"/>
        <color theme="1"/>
        <rFont val="Times New Roman"/>
      </rPr>
      <t>这个</t>
    </r>
    <r>
      <rPr>
        <b/>
        <sz val="11"/>
        <color theme="1"/>
        <rFont val="Times New Roman"/>
      </rPr>
      <t>笑话</t>
    </r>
    <r>
      <rPr>
        <sz val="11"/>
        <color theme="1"/>
        <rFont val="Times New Roman"/>
      </rPr>
      <t>太搞笑了！</t>
    </r>
  </si>
  <si>
    <t>Trò đùa này buồn cười quá đi mất.</t>
  </si>
  <si>
    <t>H4_B20_BG-19.png</t>
  </si>
  <si>
    <t>B20_19.mp3</t>
  </si>
  <si>
    <t>B20_VD_19.mp3</t>
  </si>
  <si>
    <t>存</t>
  </si>
  <si>
    <t>&lt;ruby&gt;存&lt;rt&gt;cún&lt;/rt&gt;&lt;/ruby&gt;</t>
  </si>
  <si>
    <t>cún</t>
  </si>
  <si>
    <r>
      <rPr>
        <sz val="11"/>
        <color theme="1"/>
        <rFont val="Times New Roman"/>
      </rPr>
      <t>你可以在这里</t>
    </r>
    <r>
      <rPr>
        <b/>
        <sz val="11"/>
        <color theme="1"/>
        <rFont val="Times New Roman"/>
      </rPr>
      <t>存</t>
    </r>
    <r>
      <rPr>
        <sz val="11"/>
        <color theme="1"/>
        <rFont val="Times New Roman"/>
      </rPr>
      <t>硬币。</t>
    </r>
  </si>
  <si>
    <t>Bạn có thể gửi tiền xu ở đây.</t>
  </si>
  <si>
    <t>H4_B20_BG-20.png</t>
  </si>
  <si>
    <t>B20_20.mp3</t>
  </si>
  <si>
    <t>B20_VD_20.mp3</t>
  </si>
  <si>
    <t>钥匙</t>
  </si>
  <si>
    <t>&lt;ruby&gt;钥匙&lt;rt&gt;yàoshi&lt;/rt&gt;&lt;/ruby&gt;</t>
  </si>
  <si>
    <t>chìa khóa</t>
  </si>
  <si>
    <r>
      <rPr>
        <sz val="11"/>
        <color theme="1"/>
        <rFont val="Times New Roman"/>
      </rPr>
      <t xml:space="preserve"> 这是我家的</t>
    </r>
    <r>
      <rPr>
        <b/>
        <sz val="11"/>
        <color theme="1"/>
        <rFont val="Times New Roman"/>
      </rPr>
      <t>钥匙</t>
    </r>
    <r>
      <rPr>
        <sz val="11"/>
        <color theme="1"/>
        <rFont val="Times New Roman"/>
      </rPr>
      <t>。</t>
    </r>
  </si>
  <si>
    <t>Đây là chìa khóa nhà tôi.</t>
  </si>
  <si>
    <t>H4_B20_BG-21.png</t>
  </si>
  <si>
    <t>B20_21.mp3</t>
  </si>
  <si>
    <t>B20_VD_21.mp3</t>
  </si>
  <si>
    <t>究竟</t>
  </si>
  <si>
    <t>&lt;ruby&gt;究竟&lt;rt&gt;jiūjìng&lt;/rt&gt;&lt;/ruby&gt;</t>
  </si>
  <si>
    <t>jiūjìng</t>
  </si>
  <si>
    <r>
      <rPr>
        <b/>
        <sz val="11"/>
        <color theme="1"/>
        <rFont val="Times New Roman"/>
      </rPr>
      <t xml:space="preserve"> 究竟</t>
    </r>
    <r>
      <rPr>
        <sz val="11"/>
        <color theme="1"/>
        <rFont val="Times New Roman"/>
      </rPr>
      <t>该走哪条路？</t>
    </r>
  </si>
  <si>
    <t>Rốt cuộc nên đi theo con đường nào?</t>
  </si>
  <si>
    <t>H4_B20_BG-22.png</t>
  </si>
  <si>
    <t>B20_22.mp3</t>
  </si>
  <si>
    <t>B20_VD_22.mp3</t>
  </si>
  <si>
    <t>烤鸭</t>
  </si>
  <si>
    <t>&lt;ruby&gt;烤鸭&lt;rt&gt;kǎoyā&lt;/rt&gt;&lt;/ruby&gt;</t>
  </si>
  <si>
    <t>kǎoyā</t>
  </si>
  <si>
    <t>vịt quay</t>
  </si>
  <si>
    <r>
      <rPr>
        <sz val="11"/>
        <color theme="1"/>
        <rFont val="Times New Roman"/>
      </rPr>
      <t>北京</t>
    </r>
    <r>
      <rPr>
        <b/>
        <sz val="11"/>
        <color theme="1"/>
        <rFont val="Times New Roman"/>
      </rPr>
      <t>烤鸭</t>
    </r>
    <r>
      <rPr>
        <sz val="11"/>
        <color theme="1"/>
        <rFont val="Times New Roman"/>
      </rPr>
      <t>特别好吃。</t>
    </r>
  </si>
  <si>
    <t>Món vịt quay Bắc Kinh cực kỳ ngon.</t>
  </si>
  <si>
    <t>H4_B20_BG-23.png</t>
  </si>
  <si>
    <t>B20_23.mp3</t>
  </si>
  <si>
    <t>B20_VD_23.mp3</t>
  </si>
  <si>
    <t>棵</t>
  </si>
  <si>
    <t>&lt;ruby&gt;棵&lt;rt&gt;kē&lt;/rt&gt;&lt;/ruby&gt;</t>
  </si>
  <si>
    <t>kē</t>
  </si>
  <si>
    <t>(được dùng cho thực vật) cây, ngọn</t>
  </si>
  <si>
    <r>
      <rPr>
        <sz val="11"/>
        <color theme="1"/>
        <rFont val="Times New Roman"/>
      </rPr>
      <t>我家院子里有几</t>
    </r>
    <r>
      <rPr>
        <b/>
        <sz val="11"/>
        <color theme="1"/>
        <rFont val="Times New Roman"/>
      </rPr>
      <t>棵</t>
    </r>
    <r>
      <rPr>
        <sz val="11"/>
        <color theme="1"/>
        <rFont val="Times New Roman"/>
      </rPr>
      <t>苹果树。</t>
    </r>
  </si>
  <si>
    <t>Trong sân nhà tôi có vài cây táo.</t>
  </si>
  <si>
    <t>H4_B20_BG-24.png</t>
  </si>
  <si>
    <t>B20_24.mp3</t>
  </si>
  <si>
    <t>B20_VD_24.mp3</t>
  </si>
  <si>
    <t>汤</t>
  </si>
  <si>
    <t>&lt;ruby&gt;汤&lt;rt&gt;tāng&lt;/rt&gt;&lt;/ruby&gt;</t>
  </si>
  <si>
    <t>tāng</t>
  </si>
  <si>
    <t>canh, súp</t>
  </si>
  <si>
    <r>
      <rPr>
        <sz val="11"/>
        <color theme="1"/>
        <rFont val="Times New Roman"/>
      </rPr>
      <t>今天喝冬瓜</t>
    </r>
    <r>
      <rPr>
        <b/>
        <sz val="11"/>
        <color theme="1"/>
        <rFont val="Times New Roman"/>
      </rPr>
      <t>汤</t>
    </r>
    <r>
      <rPr>
        <sz val="11"/>
        <color theme="1"/>
        <rFont val="Times New Roman"/>
      </rPr>
      <t>。</t>
    </r>
  </si>
  <si>
    <t>Hôm nay ăn canh bí đao.</t>
  </si>
  <si>
    <t>H4_B20_BG-25.png</t>
  </si>
  <si>
    <t>B20_25.mp3</t>
  </si>
  <si>
    <t>B20_VD_25.mp3</t>
  </si>
  <si>
    <t>小吃</t>
  </si>
  <si>
    <t>&lt;ruby&gt;小吃&lt;rt&gt;xiǎochī&lt;/rt&gt;&lt;/ruby&gt;</t>
  </si>
  <si>
    <t>xiǎochī</t>
  </si>
  <si>
    <t>món ăn vặt</t>
  </si>
  <si>
    <r>
      <rPr>
        <sz val="11"/>
        <color theme="1"/>
        <rFont val="Times New Roman"/>
      </rPr>
      <t>我最喜欢的街头</t>
    </r>
    <r>
      <rPr>
        <b/>
        <sz val="11"/>
        <color theme="1"/>
        <rFont val="Times New Roman"/>
      </rPr>
      <t>小吃</t>
    </r>
    <r>
      <rPr>
        <sz val="11"/>
        <color theme="1"/>
        <rFont val="Times New Roman"/>
      </rPr>
      <t>是炸鸡块。</t>
    </r>
  </si>
  <si>
    <t>Món ăn vặt mà tôi thích nhất là gà viên chiên.</t>
  </si>
  <si>
    <t>H4_B20_BG-26.png</t>
  </si>
  <si>
    <t>B20_26.mp3</t>
  </si>
  <si>
    <t>B20_VD_26.mp3</t>
  </si>
  <si>
    <t>收拾</t>
  </si>
  <si>
    <t>&lt;ruby&gt;收拾&lt;rt&gt;shōushi&lt;/rt&gt;&lt;/ruby&gt;</t>
  </si>
  <si>
    <t>shōushi</t>
  </si>
  <si>
    <t>thu dọn, thu xếp</t>
  </si>
  <si>
    <r>
      <rPr>
        <sz val="11"/>
        <color theme="1"/>
        <rFont val="Times New Roman"/>
      </rPr>
      <t xml:space="preserve"> 我们已经把这些塑料瓶</t>
    </r>
    <r>
      <rPr>
        <b/>
        <sz val="11"/>
        <color theme="1"/>
        <rFont val="Times New Roman"/>
      </rPr>
      <t>收拾</t>
    </r>
    <r>
      <rPr>
        <sz val="11"/>
        <color theme="1"/>
        <rFont val="Times New Roman"/>
      </rPr>
      <t>干净了。</t>
    </r>
  </si>
  <si>
    <t>Chúng tôi đã dọn dẹp hết chỗ chai nhựa này rồi.</t>
  </si>
  <si>
    <t>H4_B20_BG-27.png</t>
  </si>
  <si>
    <t>B20_27.mp3</t>
  </si>
  <si>
    <t>B20_VD_27.mp3</t>
  </si>
  <si>
    <t>辣</t>
  </si>
  <si>
    <t>&lt;ruby&gt;辣&lt;rt&gt;là&lt;/rt&gt;&lt;/ruby&gt;</t>
  </si>
  <si>
    <t>là</t>
  </si>
  <si>
    <t>cay</t>
  </si>
  <si>
    <r>
      <rPr>
        <sz val="11"/>
        <color theme="1"/>
        <rFont val="Times New Roman"/>
      </rPr>
      <t>这道菜太</t>
    </r>
    <r>
      <rPr>
        <b/>
        <sz val="11"/>
        <color theme="1"/>
        <rFont val="Times New Roman"/>
      </rPr>
      <t>辣</t>
    </r>
    <r>
      <rPr>
        <sz val="11"/>
        <color theme="1"/>
        <rFont val="Times New Roman"/>
      </rPr>
      <t>了。</t>
    </r>
  </si>
  <si>
    <t>Món ăn này cay quá.</t>
  </si>
  <si>
    <t>H4_B20_BG-28.png</t>
  </si>
  <si>
    <t>B20_28.mp3</t>
  </si>
  <si>
    <t>B20_VD_28.mp3</t>
  </si>
  <si>
    <t>香</t>
  </si>
  <si>
    <t>&lt;ruby&gt;香&lt;rt&gt;xiāng&lt;/rt&gt;&lt;/ruby&gt;</t>
  </si>
  <si>
    <t>xiāng</t>
  </si>
  <si>
    <t>thơm</t>
  </si>
  <si>
    <r>
      <rPr>
        <sz val="11"/>
        <color theme="1"/>
        <rFont val="Times New Roman"/>
      </rPr>
      <t xml:space="preserve"> 这道清蒸龙虾真</t>
    </r>
    <r>
      <rPr>
        <b/>
        <sz val="11"/>
        <color theme="1"/>
        <rFont val="Times New Roman"/>
      </rPr>
      <t>香</t>
    </r>
    <r>
      <rPr>
        <sz val="11"/>
        <color theme="1"/>
        <rFont val="Times New Roman"/>
      </rPr>
      <t>。</t>
    </r>
  </si>
  <si>
    <t>Món tôm hùm hấp này thật là thơm.</t>
  </si>
  <si>
    <t>H4_B20_BG-29.png</t>
  </si>
  <si>
    <t>B20_29.mp3</t>
  </si>
  <si>
    <t>B20_VD_29.mp3</t>
  </si>
  <si>
    <t>酸</t>
  </si>
  <si>
    <t>&lt;ruby&gt;酸&lt;rt&gt;suān&lt;/rt&gt;&lt;/ruby&gt;</t>
  </si>
  <si>
    <t>suān</t>
  </si>
  <si>
    <t>chua</t>
  </si>
  <si>
    <r>
      <rPr>
        <sz val="11"/>
        <color theme="1"/>
        <rFont val="Times New Roman"/>
      </rPr>
      <t>这颗杨桃好</t>
    </r>
    <r>
      <rPr>
        <b/>
        <sz val="11"/>
        <color theme="1"/>
        <rFont val="Times New Roman"/>
      </rPr>
      <t>酸</t>
    </r>
    <r>
      <rPr>
        <sz val="11"/>
        <color theme="1"/>
        <rFont val="Times New Roman"/>
      </rPr>
      <t>。</t>
    </r>
  </si>
  <si>
    <t>Quả khế này rất chua.</t>
  </si>
  <si>
    <t>H4_B20_BG-30.png</t>
  </si>
  <si>
    <t>B20_30.mp3</t>
  </si>
  <si>
    <t>B20_VD_30.mp3</t>
  </si>
  <si>
    <r>
      <rPr>
        <sz val="10"/>
        <color theme="1"/>
        <rFont val="Times New Roman"/>
      </rPr>
      <t>我</t>
    </r>
    <r>
      <rPr>
        <b/>
        <sz val="10"/>
        <color theme="1"/>
        <rFont val="Times New Roman"/>
      </rPr>
      <t>不</t>
    </r>
    <r>
      <rPr>
        <sz val="10"/>
        <color theme="1"/>
        <rFont val="Times New Roman"/>
      </rPr>
      <t>喜欢喝咖啡。</t>
    </r>
  </si>
  <si>
    <t>H1_B1_BG-01.gif</t>
  </si>
  <si>
    <t>H1_B1-01.mp3</t>
  </si>
  <si>
    <r>
      <rPr>
        <b/>
        <sz val="10"/>
        <color theme="1"/>
        <rFont val="Times New Roman"/>
      </rPr>
      <t>对不起</t>
    </r>
    <r>
      <rPr>
        <sz val="10"/>
        <color theme="1"/>
        <rFont val="Times New Roman"/>
      </rPr>
      <t>，我来晚了。</t>
    </r>
  </si>
  <si>
    <t>H1_B1_BG-02.gif</t>
  </si>
  <si>
    <t>H1_B1-02.mp3</t>
  </si>
  <si>
    <t xml:space="preserve">Không sao đâu, không có vấn đề gì </t>
  </si>
  <si>
    <r>
      <rPr>
        <b/>
        <sz val="10"/>
        <color theme="1"/>
        <rFont val="Times New Roman"/>
      </rPr>
      <t>没关系</t>
    </r>
    <r>
      <rPr>
        <sz val="10"/>
        <color theme="1"/>
        <rFont val="Times New Roman"/>
      </rPr>
      <t>，下次早点来。</t>
    </r>
  </si>
  <si>
    <t>H1_B1_BG-03.gif</t>
  </si>
  <si>
    <t>H1_B1-03.mp3</t>
  </si>
  <si>
    <r>
      <rPr>
        <b/>
        <sz val="10"/>
        <color theme="1"/>
        <rFont val="Times New Roman"/>
      </rPr>
      <t>谢谢</t>
    </r>
    <r>
      <rPr>
        <sz val="10"/>
        <color theme="1"/>
        <rFont val="Times New Roman"/>
      </rPr>
      <t>你的帮助。</t>
    </r>
  </si>
  <si>
    <t>H1_B1_BG-04.gif</t>
  </si>
  <si>
    <t>H1_B1-04.mp3</t>
  </si>
  <si>
    <t xml:space="preserve">Đừng khách sáo </t>
  </si>
  <si>
    <r>
      <rPr>
        <b/>
        <sz val="10"/>
        <color theme="1"/>
        <rFont val="Times New Roman"/>
      </rPr>
      <t>不客气</t>
    </r>
    <r>
      <rPr>
        <sz val="10"/>
        <color theme="1"/>
        <rFont val="Times New Roman"/>
      </rPr>
      <t>，这是我应该做的。</t>
    </r>
  </si>
  <si>
    <t>H1_B1_BG-05.gif</t>
  </si>
  <si>
    <t>H1_B1-05.mp3</t>
  </si>
  <si>
    <r>
      <rPr>
        <b/>
        <sz val="10"/>
        <color theme="1"/>
        <rFont val="Times New Roman"/>
      </rPr>
      <t>你好</t>
    </r>
    <r>
      <rPr>
        <sz val="10"/>
        <color theme="1"/>
        <rFont val="Times New Roman"/>
      </rPr>
      <t>，我是小明。</t>
    </r>
  </si>
  <si>
    <t>H1_B1_BG-06.gif</t>
  </si>
  <si>
    <t>H1_B1-06.mp3</t>
  </si>
  <si>
    <r>
      <rPr>
        <b/>
        <sz val="10"/>
        <color theme="1"/>
        <rFont val="Times New Roman"/>
      </rPr>
      <t>再见</t>
    </r>
    <r>
      <rPr>
        <sz val="10"/>
        <color theme="1"/>
        <rFont val="Times New Roman"/>
      </rPr>
      <t>，明天见！</t>
    </r>
  </si>
  <si>
    <t>H1_B1_BG-07.gif</t>
  </si>
  <si>
    <t>H1_B1-07.mp3</t>
  </si>
  <si>
    <r>
      <rPr>
        <b/>
        <sz val="10"/>
        <color theme="1"/>
        <rFont val="Times New Roman"/>
      </rPr>
      <t>您</t>
    </r>
    <r>
      <rPr>
        <sz val="10"/>
        <color theme="1"/>
        <rFont val="Times New Roman"/>
      </rPr>
      <t>好，请问</t>
    </r>
    <r>
      <rPr>
        <b/>
        <sz val="10"/>
        <color theme="1"/>
        <rFont val="Times New Roman"/>
      </rPr>
      <t>您</t>
    </r>
    <r>
      <rPr>
        <sz val="10"/>
        <color theme="1"/>
        <rFont val="Times New Roman"/>
      </rPr>
      <t>需要什么？</t>
    </r>
  </si>
  <si>
    <t>H1_B1_BG-08.gif</t>
  </si>
  <si>
    <t>H1_B1-08.mp3</t>
  </si>
  <si>
    <r>
      <rPr>
        <b/>
        <sz val="10"/>
        <color theme="1"/>
        <rFont val="Times New Roman"/>
      </rPr>
      <t>你</t>
    </r>
    <r>
      <rPr>
        <sz val="10"/>
        <color theme="1"/>
        <rFont val="Times New Roman"/>
      </rPr>
      <t>想跟我一起玩儿吗？</t>
    </r>
  </si>
  <si>
    <t>H1_B1_BG-09.gif</t>
  </si>
  <si>
    <t>H1_B1-09.mp3</t>
  </si>
  <si>
    <r>
      <rPr>
        <b/>
        <sz val="10"/>
        <color theme="1"/>
        <rFont val="Times New Roman"/>
      </rPr>
      <t>我</t>
    </r>
    <r>
      <rPr>
        <sz val="10"/>
        <color theme="1"/>
        <rFont val="Times New Roman"/>
      </rPr>
      <t>是越南人。</t>
    </r>
  </si>
  <si>
    <t>H1_B1_BG-10.gif</t>
  </si>
  <si>
    <t>H1_B1-10.mp3</t>
  </si>
  <si>
    <r>
      <rPr>
        <b/>
        <sz val="10"/>
        <color theme="1"/>
        <rFont val="Times New Roman"/>
      </rPr>
      <t>他</t>
    </r>
    <r>
      <rPr>
        <sz val="10"/>
        <color theme="1"/>
        <rFont val="Times New Roman"/>
      </rPr>
      <t>是我的哥哥。</t>
    </r>
  </si>
  <si>
    <t>H1_B1_BG-11.gif</t>
  </si>
  <si>
    <t>H1_B1-11.mp3</t>
  </si>
  <si>
    <r>
      <rPr>
        <b/>
        <sz val="10"/>
        <color theme="1"/>
        <rFont val="Times New Roman"/>
      </rPr>
      <t>她</t>
    </r>
    <r>
      <rPr>
        <sz val="10"/>
        <color theme="1"/>
        <rFont val="Times New Roman"/>
      </rPr>
      <t>很漂亮。</t>
    </r>
  </si>
  <si>
    <t>H1_B1_BG-12.gif</t>
  </si>
  <si>
    <t>H1_B1-12.mp3</t>
  </si>
  <si>
    <r>
      <rPr>
        <sz val="10"/>
        <color rgb="FF0E0E0E"/>
        <rFont val="Times New Roman"/>
      </rPr>
      <t>他们跳舞很</t>
    </r>
    <r>
      <rPr>
        <b/>
        <sz val="10"/>
        <color rgb="FF0E0E0E"/>
        <rFont val="Times New Roman"/>
      </rPr>
      <t>好</t>
    </r>
    <r>
      <rPr>
        <sz val="10"/>
        <color rgb="FF0E0E0E"/>
        <rFont val="Times New Roman"/>
      </rPr>
      <t>。</t>
    </r>
  </si>
  <si>
    <t xml:space="preserve">Đại từ </t>
  </si>
  <si>
    <t xml:space="preserve">Các anh, các chị, các bạn </t>
  </si>
  <si>
    <r>
      <rPr>
        <b/>
        <sz val="10"/>
        <color theme="1"/>
        <rFont val="Times New Roman"/>
      </rPr>
      <t>你们</t>
    </r>
    <r>
      <rPr>
        <sz val="10"/>
        <color theme="1"/>
        <rFont val="Times New Roman"/>
      </rPr>
      <t>是一家人吗？</t>
    </r>
  </si>
  <si>
    <t>H1_B1_BG-14.gif</t>
  </si>
  <si>
    <t>H1_B1-14.mp3</t>
  </si>
  <si>
    <t>H1_B1_VD_14.mp3</t>
  </si>
  <si>
    <r>
      <rPr>
        <sz val="10"/>
        <color theme="1"/>
        <rFont val="Times New Roman"/>
      </rPr>
      <t>我是中国</t>
    </r>
    <r>
      <rPr>
        <b/>
        <sz val="10"/>
        <color theme="1"/>
        <rFont val="Times New Roman"/>
      </rPr>
      <t>人</t>
    </r>
    <r>
      <rPr>
        <sz val="10"/>
        <color theme="1"/>
        <rFont val="Times New Roman"/>
      </rPr>
      <t>。</t>
    </r>
  </si>
  <si>
    <t>H1_B2_BG-01.gif</t>
  </si>
  <si>
    <t>H1_B2-01.mp3</t>
  </si>
  <si>
    <r>
      <rPr>
        <sz val="10"/>
        <color theme="1"/>
        <rFont val="Times New Roman"/>
      </rPr>
      <t>她是</t>
    </r>
    <r>
      <rPr>
        <b/>
        <sz val="10"/>
        <color theme="1"/>
        <rFont val="Times New Roman"/>
      </rPr>
      <t>学生</t>
    </r>
    <r>
      <rPr>
        <sz val="10"/>
        <color theme="1"/>
        <rFont val="Times New Roman"/>
      </rPr>
      <t>。</t>
    </r>
  </si>
  <si>
    <t>H1_B2_BG-02.gif</t>
  </si>
  <si>
    <t>H1_B2-02.mp3</t>
  </si>
  <si>
    <r>
      <rPr>
        <sz val="10"/>
        <color theme="1"/>
        <rFont val="Times New Roman"/>
      </rPr>
      <t>她是</t>
    </r>
    <r>
      <rPr>
        <b/>
        <sz val="10"/>
        <color theme="1"/>
        <rFont val="Times New Roman"/>
      </rPr>
      <t>老师</t>
    </r>
    <r>
      <rPr>
        <sz val="10"/>
        <color theme="1"/>
        <rFont val="Times New Roman"/>
      </rPr>
      <t>。</t>
    </r>
  </si>
  <si>
    <t>H1_B2_BG-03.gif</t>
  </si>
  <si>
    <t>H1_B2-03.mp3</t>
  </si>
  <si>
    <r>
      <rPr>
        <sz val="10"/>
        <color theme="1"/>
        <rFont val="Times New Roman"/>
      </rPr>
      <t>她叫什么</t>
    </r>
    <r>
      <rPr>
        <b/>
        <sz val="10"/>
        <color theme="1"/>
        <rFont val="Times New Roman"/>
      </rPr>
      <t>名字</t>
    </r>
    <r>
      <rPr>
        <sz val="10"/>
        <color theme="1"/>
        <rFont val="Times New Roman"/>
      </rPr>
      <t>？</t>
    </r>
  </si>
  <si>
    <t>H1_B2_BG-04.gif</t>
  </si>
  <si>
    <t>H1_B2-04.mp3</t>
  </si>
  <si>
    <r>
      <rPr>
        <sz val="10"/>
        <color theme="1"/>
        <rFont val="Times New Roman"/>
      </rPr>
      <t>她</t>
    </r>
    <r>
      <rPr>
        <b/>
        <sz val="10"/>
        <color theme="1"/>
        <rFont val="Times New Roman"/>
      </rPr>
      <t>叫</t>
    </r>
    <r>
      <rPr>
        <sz val="10"/>
        <color theme="1"/>
        <rFont val="Times New Roman"/>
      </rPr>
      <t>玛丽。</t>
    </r>
  </si>
  <si>
    <t>H1_B2_BG-05.gif</t>
  </si>
  <si>
    <t>H1_B2-05.mp3</t>
  </si>
  <si>
    <r>
      <rPr>
        <sz val="10"/>
        <color theme="1"/>
        <rFont val="Times New Roman"/>
      </rPr>
      <t>他</t>
    </r>
    <r>
      <rPr>
        <b/>
        <sz val="10"/>
        <color theme="1"/>
        <rFont val="Times New Roman"/>
      </rPr>
      <t>是</t>
    </r>
    <r>
      <rPr>
        <sz val="10"/>
        <color theme="1"/>
        <rFont val="Times New Roman"/>
      </rPr>
      <t>中国人，她</t>
    </r>
    <r>
      <rPr>
        <b/>
        <sz val="10"/>
        <color theme="1"/>
        <rFont val="Times New Roman"/>
      </rPr>
      <t>是</t>
    </r>
    <r>
      <rPr>
        <sz val="10"/>
        <color theme="1"/>
        <rFont val="Times New Roman"/>
      </rPr>
      <t>美国人。</t>
    </r>
  </si>
  <si>
    <t>H1_B2_BG-06.gif</t>
  </si>
  <si>
    <t>H1_B2-06.mp3</t>
  </si>
  <si>
    <r>
      <rPr>
        <sz val="10"/>
        <color theme="1"/>
        <rFont val="Times New Roman"/>
      </rPr>
      <t>这</t>
    </r>
    <r>
      <rPr>
        <b/>
        <sz val="10"/>
        <color theme="1"/>
        <rFont val="Times New Roman"/>
      </rPr>
      <t>是</t>
    </r>
    <r>
      <rPr>
        <sz val="10"/>
        <color theme="1"/>
        <rFont val="Times New Roman"/>
      </rPr>
      <t>什么？</t>
    </r>
  </si>
  <si>
    <t>H1_B2_BG-07.gif</t>
  </si>
  <si>
    <t>H1_B2-07.mp3</t>
  </si>
  <si>
    <r>
      <rPr>
        <sz val="10"/>
        <color theme="1"/>
        <rFont val="Times New Roman"/>
      </rPr>
      <t>你是老师</t>
    </r>
    <r>
      <rPr>
        <b/>
        <sz val="10"/>
        <color theme="1"/>
        <rFont val="Times New Roman"/>
      </rPr>
      <t>吗</t>
    </r>
    <r>
      <rPr>
        <sz val="10"/>
        <color theme="1"/>
        <rFont val="Times New Roman"/>
      </rPr>
      <t>？</t>
    </r>
  </si>
  <si>
    <t>H1_B2_BG-08.gif</t>
  </si>
  <si>
    <t>H1_B2-08.mp3</t>
  </si>
  <si>
    <r>
      <rPr>
        <sz val="10"/>
        <color theme="1"/>
        <rFont val="Times New Roman"/>
      </rPr>
      <t xml:space="preserve">这 </t>
    </r>
    <r>
      <rPr>
        <i/>
        <sz val="10"/>
        <color theme="1"/>
        <rFont val="Times New Roman"/>
      </rPr>
      <t>(Zhè, đây)</t>
    </r>
    <r>
      <rPr>
        <sz val="10"/>
        <color theme="1"/>
        <rFont val="Times New Roman"/>
      </rPr>
      <t xml:space="preserve"> 是</t>
    </r>
    <r>
      <rPr>
        <b/>
        <sz val="10"/>
        <color theme="1"/>
        <rFont val="Times New Roman"/>
      </rPr>
      <t>中国</t>
    </r>
    <r>
      <rPr>
        <sz val="10"/>
        <color theme="1"/>
        <rFont val="Times New Roman"/>
      </rPr>
      <t>。</t>
    </r>
  </si>
  <si>
    <t>H1_B2_BG-09.gif</t>
  </si>
  <si>
    <t>H1_B2-09.mp3</t>
  </si>
  <si>
    <t>美国</t>
  </si>
  <si>
    <t>&lt;ruby&gt;美国&lt;rt&gt;Měiguó&lt;/rt&gt;&lt;/ruby&gt;</t>
  </si>
  <si>
    <t>Měiguó</t>
  </si>
  <si>
    <t>nước Mỹ</t>
  </si>
  <si>
    <r>
      <rPr>
        <sz val="10"/>
        <color theme="1"/>
        <rFont val="Times New Roman"/>
      </rPr>
      <t>这</t>
    </r>
    <r>
      <rPr>
        <i/>
        <sz val="10"/>
        <color theme="1"/>
        <rFont val="Times New Roman"/>
      </rPr>
      <t xml:space="preserve"> (Zhè, đây) </t>
    </r>
    <r>
      <rPr>
        <sz val="10"/>
        <color theme="1"/>
        <rFont val="Times New Roman"/>
      </rPr>
      <t>是</t>
    </r>
    <r>
      <rPr>
        <b/>
        <sz val="10"/>
        <color theme="1"/>
        <rFont val="Times New Roman"/>
      </rPr>
      <t>美国</t>
    </r>
    <r>
      <rPr>
        <sz val="10"/>
        <color theme="1"/>
        <rFont val="Times New Roman"/>
      </rPr>
      <t>。</t>
    </r>
  </si>
  <si>
    <t>Zhè shì Měiguó.</t>
  </si>
  <si>
    <t>Đây là nước Mỹ.</t>
  </si>
  <si>
    <t>H1_B2_BG-10.gif</t>
  </si>
  <si>
    <t>H1_B2-10.mp3</t>
  </si>
  <si>
    <t xml:space="preserve">Bạn học, bạn cùng lớp </t>
  </si>
  <si>
    <r>
      <rPr>
        <sz val="10"/>
        <color theme="1"/>
        <rFont val="Times New Roman"/>
      </rPr>
      <t>玛丽是我</t>
    </r>
    <r>
      <rPr>
        <b/>
        <sz val="10"/>
        <color theme="1"/>
        <rFont val="Times New Roman"/>
      </rPr>
      <t>同学</t>
    </r>
    <r>
      <rPr>
        <sz val="10"/>
        <color theme="1"/>
        <rFont val="Times New Roman"/>
      </rPr>
      <t>。</t>
    </r>
  </si>
  <si>
    <t>H1_B3_BG-01.gif</t>
  </si>
  <si>
    <t>H1_B3-01.mp3</t>
  </si>
  <si>
    <r>
      <rPr>
        <sz val="10"/>
        <color theme="1"/>
        <rFont val="Times New Roman"/>
      </rPr>
      <t>他们</t>
    </r>
    <r>
      <rPr>
        <i/>
        <sz val="10"/>
        <color theme="1"/>
        <rFont val="Times New Roman"/>
      </rPr>
      <t xml:space="preserve"> (tāmen, bọn họ) </t>
    </r>
    <r>
      <rPr>
        <sz val="10"/>
        <color theme="1"/>
        <rFont val="Times New Roman"/>
      </rPr>
      <t>是我的好</t>
    </r>
    <r>
      <rPr>
        <b/>
        <sz val="10"/>
        <color theme="1"/>
        <rFont val="Times New Roman"/>
      </rPr>
      <t>朋友</t>
    </r>
    <r>
      <rPr>
        <sz val="10"/>
        <color theme="1"/>
        <rFont val="Times New Roman"/>
      </rPr>
      <t>。</t>
    </r>
  </si>
  <si>
    <t>H1_B3_BG-02.gif</t>
  </si>
  <si>
    <t>H1_B3-02.mp3</t>
  </si>
  <si>
    <r>
      <rPr>
        <sz val="10"/>
        <color theme="1"/>
        <rFont val="Times New Roman"/>
      </rPr>
      <t>你是</t>
    </r>
    <r>
      <rPr>
        <b/>
        <sz val="10"/>
        <color theme="1"/>
        <rFont val="Times New Roman"/>
      </rPr>
      <t>哪</t>
    </r>
    <r>
      <rPr>
        <sz val="10"/>
        <color theme="1"/>
        <rFont val="Times New Roman"/>
      </rPr>
      <t>国人？</t>
    </r>
  </si>
  <si>
    <t>H1_B3_BG-03.gif</t>
  </si>
  <si>
    <t>H1_B3-03.mp3</t>
  </si>
  <si>
    <r>
      <rPr>
        <sz val="10"/>
        <color theme="1"/>
        <rFont val="Times New Roman"/>
      </rPr>
      <t>他会说</t>
    </r>
    <r>
      <rPr>
        <b/>
        <sz val="10"/>
        <color theme="1"/>
        <rFont val="Times New Roman"/>
      </rPr>
      <t>汉语</t>
    </r>
    <r>
      <rPr>
        <sz val="10"/>
        <color theme="1"/>
        <rFont val="Times New Roman"/>
      </rPr>
      <t>。</t>
    </r>
  </si>
  <si>
    <t>H1_B3_BG-04.gif</t>
  </si>
  <si>
    <t>H1_B3-04.mp3</t>
  </si>
  <si>
    <r>
      <rPr>
        <sz val="10"/>
        <color theme="1"/>
        <rFont val="Times New Roman"/>
      </rPr>
      <t>这是我</t>
    </r>
    <r>
      <rPr>
        <b/>
        <sz val="10"/>
        <color theme="1"/>
        <rFont val="Times New Roman"/>
      </rPr>
      <t>的</t>
    </r>
    <r>
      <rPr>
        <sz val="10"/>
        <color theme="1"/>
        <rFont val="Times New Roman"/>
      </rPr>
      <t>围巾。</t>
    </r>
  </si>
  <si>
    <t>H1_B3_BG-05.gif</t>
  </si>
  <si>
    <t>H1_B3-05.mp3</t>
  </si>
  <si>
    <r>
      <rPr>
        <b/>
        <sz val="10"/>
        <color theme="1"/>
        <rFont val="Times New Roman"/>
      </rPr>
      <t>谁</t>
    </r>
    <r>
      <rPr>
        <sz val="10"/>
        <color theme="1"/>
        <rFont val="Times New Roman"/>
      </rPr>
      <t>在树后面？</t>
    </r>
  </si>
  <si>
    <t>H1_B3_BG-06.gif</t>
  </si>
  <si>
    <t>H1_B3-06.mp3</t>
  </si>
  <si>
    <r>
      <rPr>
        <sz val="10"/>
        <color theme="1"/>
        <rFont val="Times New Roman"/>
      </rPr>
      <t>他的球在</t>
    </r>
    <r>
      <rPr>
        <b/>
        <sz val="10"/>
        <color theme="1"/>
        <rFont val="Times New Roman"/>
      </rPr>
      <t>哪</t>
    </r>
    <r>
      <rPr>
        <sz val="10"/>
        <color theme="1"/>
        <rFont val="Times New Roman"/>
      </rPr>
      <t>儿？</t>
    </r>
  </si>
  <si>
    <t>H1_B3_BG-07.gif</t>
  </si>
  <si>
    <t>H1_B3-07.mp3</t>
  </si>
  <si>
    <r>
      <rPr>
        <sz val="10"/>
        <color theme="1"/>
        <rFont val="Times New Roman"/>
      </rPr>
      <t>她今年20岁，你</t>
    </r>
    <r>
      <rPr>
        <b/>
        <sz val="10"/>
        <color theme="1"/>
        <rFont val="Times New Roman"/>
      </rPr>
      <t>呢</t>
    </r>
    <r>
      <rPr>
        <sz val="10"/>
        <color theme="1"/>
        <rFont val="Times New Roman"/>
      </rPr>
      <t>？</t>
    </r>
  </si>
  <si>
    <t>H1_B3_BG-08.gif</t>
  </si>
  <si>
    <t>H1_B3-08.mp3</t>
  </si>
  <si>
    <r>
      <rPr>
        <sz val="10"/>
        <color theme="1"/>
        <rFont val="Times New Roman"/>
      </rPr>
      <t>我外公</t>
    </r>
    <r>
      <rPr>
        <b/>
        <sz val="10"/>
        <color theme="1"/>
        <rFont val="Times New Roman"/>
      </rPr>
      <t>今年</t>
    </r>
    <r>
      <rPr>
        <sz val="10"/>
        <color theme="1"/>
        <rFont val="Times New Roman"/>
      </rPr>
      <t>70岁了。</t>
    </r>
  </si>
  <si>
    <t>H1_B4_BG-01.gif</t>
  </si>
  <si>
    <t>H1_B4-01.mp3</t>
  </si>
  <si>
    <r>
      <rPr>
        <sz val="10"/>
        <color theme="1"/>
        <rFont val="Times New Roman"/>
      </rPr>
      <t>有</t>
    </r>
    <r>
      <rPr>
        <b/>
        <sz val="10"/>
        <color theme="1"/>
        <rFont val="Times New Roman"/>
      </rPr>
      <t>几</t>
    </r>
    <r>
      <rPr>
        <sz val="10"/>
        <color theme="1"/>
        <rFont val="Times New Roman"/>
      </rPr>
      <t>个苹果？</t>
    </r>
  </si>
  <si>
    <t>H1_B4_BG-02.gif</t>
  </si>
  <si>
    <t>H1_B4-02.mp3</t>
  </si>
  <si>
    <r>
      <rPr>
        <sz val="10"/>
        <color theme="1"/>
        <rFont val="Times New Roman"/>
      </rPr>
      <t>李老师</t>
    </r>
    <r>
      <rPr>
        <b/>
        <sz val="10"/>
        <color theme="1"/>
        <rFont val="Times New Roman"/>
      </rPr>
      <t>多</t>
    </r>
    <r>
      <rPr>
        <sz val="10"/>
        <color theme="1"/>
        <rFont val="Times New Roman"/>
      </rPr>
      <t>大了？</t>
    </r>
  </si>
  <si>
    <t>H1_B4_BG-03.gif</t>
  </si>
  <si>
    <t>H1_B4-03.mp3</t>
  </si>
  <si>
    <r>
      <rPr>
        <sz val="10"/>
        <color theme="1"/>
        <rFont val="Times New Roman"/>
      </rPr>
      <t>请问，您今年多</t>
    </r>
    <r>
      <rPr>
        <b/>
        <sz val="10"/>
        <color theme="1"/>
        <rFont val="Times New Roman"/>
      </rPr>
      <t>大</t>
    </r>
    <r>
      <rPr>
        <sz val="10"/>
        <color theme="1"/>
        <rFont val="Times New Roman"/>
      </rPr>
      <t>了？</t>
    </r>
  </si>
  <si>
    <t>H1_B4_BG-04.gif</t>
  </si>
  <si>
    <t>H1_B4-04.mp3</t>
  </si>
  <si>
    <t xml:space="preserve">Lượng từ dùng cho người </t>
  </si>
  <si>
    <r>
      <rPr>
        <sz val="10"/>
        <color theme="1"/>
        <rFont val="Times New Roman"/>
      </rPr>
      <t>我家有三</t>
    </r>
    <r>
      <rPr>
        <b/>
        <sz val="10"/>
        <color theme="1"/>
        <rFont val="Times New Roman"/>
      </rPr>
      <t>口</t>
    </r>
    <r>
      <rPr>
        <sz val="10"/>
        <color theme="1"/>
        <rFont val="Times New Roman"/>
      </rPr>
      <t>人。</t>
    </r>
  </si>
  <si>
    <t>H1_B4_BG-05.gif</t>
  </si>
  <si>
    <t>H1_B4-05.mp3</t>
  </si>
  <si>
    <t xml:space="preserve">女儿  </t>
  </si>
  <si>
    <t>&lt;ruby&gt;女儿  &lt;rt&gt;nǚ’ér&lt;/rt&gt;&lt;/ruby&gt;</t>
  </si>
  <si>
    <t>nǚ’ér</t>
  </si>
  <si>
    <r>
      <rPr>
        <sz val="10"/>
        <color theme="1"/>
        <rFont val="Times New Roman"/>
      </rPr>
      <t>你</t>
    </r>
    <r>
      <rPr>
        <b/>
        <sz val="10"/>
        <color theme="1"/>
        <rFont val="Times New Roman"/>
      </rPr>
      <t>女儿</t>
    </r>
    <r>
      <rPr>
        <sz val="10"/>
        <color theme="1"/>
        <rFont val="Times New Roman"/>
      </rPr>
      <t>几岁了？</t>
    </r>
  </si>
  <si>
    <t>Nǐ nǚ'ér jǐ suì le?</t>
  </si>
  <si>
    <t>Con gái bạn bao nhiêu tuổi rồi?</t>
  </si>
  <si>
    <t>H1_B4_BG-06.gif</t>
  </si>
  <si>
    <t>H1_B4-06.mp3</t>
  </si>
  <si>
    <r>
      <rPr>
        <sz val="10"/>
        <color theme="1"/>
        <rFont val="Times New Roman"/>
      </rPr>
      <t>他</t>
    </r>
    <r>
      <rPr>
        <b/>
        <sz val="10"/>
        <color theme="1"/>
        <rFont val="Times New Roman"/>
      </rPr>
      <t>家</t>
    </r>
    <r>
      <rPr>
        <sz val="10"/>
        <color theme="1"/>
        <rFont val="Times New Roman"/>
      </rPr>
      <t>有几口人？</t>
    </r>
  </si>
  <si>
    <t>H1_B4_BG-07.gif</t>
  </si>
  <si>
    <t>H1_B4-07.mp3</t>
  </si>
  <si>
    <r>
      <rPr>
        <sz val="10"/>
        <color theme="1"/>
        <rFont val="Times New Roman"/>
      </rPr>
      <t>我今年20</t>
    </r>
    <r>
      <rPr>
        <b/>
        <sz val="10"/>
        <color theme="1"/>
        <rFont val="Times New Roman"/>
      </rPr>
      <t>岁</t>
    </r>
    <r>
      <rPr>
        <sz val="10"/>
        <color theme="1"/>
        <rFont val="Times New Roman"/>
      </rPr>
      <t>了。</t>
    </r>
  </si>
  <si>
    <t>H1_B4_BG-08.gif</t>
  </si>
  <si>
    <t>H1_B4-08.mp3</t>
  </si>
  <si>
    <r>
      <rPr>
        <sz val="10"/>
        <color theme="1"/>
        <rFont val="Times New Roman"/>
      </rPr>
      <t>我</t>
    </r>
    <r>
      <rPr>
        <b/>
        <sz val="10"/>
        <color theme="1"/>
        <rFont val="Times New Roman"/>
      </rPr>
      <t>有</t>
    </r>
    <r>
      <rPr>
        <sz val="10"/>
        <color theme="1"/>
        <rFont val="Times New Roman"/>
      </rPr>
      <t>一条鱼。</t>
    </r>
  </si>
  <si>
    <t>H1_B4_BG-09.gif</t>
  </si>
  <si>
    <t>H1_B4-09.mp3</t>
  </si>
  <si>
    <r>
      <rPr>
        <sz val="10"/>
        <color theme="1"/>
        <rFont val="Times New Roman"/>
      </rPr>
      <t>我吃</t>
    </r>
    <r>
      <rPr>
        <b/>
        <sz val="10"/>
        <color theme="1"/>
        <rFont val="Times New Roman"/>
      </rPr>
      <t>了</t>
    </r>
    <r>
      <rPr>
        <sz val="10"/>
        <color theme="1"/>
        <rFont val="Times New Roman"/>
      </rPr>
      <t>饭。</t>
    </r>
  </si>
  <si>
    <t>H1_B4_BG-10.gif</t>
  </si>
  <si>
    <t>H1_B4-10.mp3</t>
  </si>
  <si>
    <r>
      <rPr>
        <sz val="10"/>
        <color theme="1"/>
        <rFont val="Times New Roman"/>
      </rPr>
      <t>他</t>
    </r>
    <r>
      <rPr>
        <b/>
        <sz val="10"/>
        <color theme="1"/>
        <rFont val="Times New Roman"/>
      </rPr>
      <t>会</t>
    </r>
    <r>
      <rPr>
        <sz val="10"/>
        <color theme="1"/>
        <rFont val="Times New Roman"/>
      </rPr>
      <t>说汉语。</t>
    </r>
  </si>
  <si>
    <t>H1_B5_BG-01.gif</t>
  </si>
  <si>
    <t>H1_B5-01.mp3</t>
  </si>
  <si>
    <r>
      <rPr>
        <sz val="10"/>
        <color theme="1"/>
        <rFont val="Times New Roman"/>
      </rPr>
      <t>你</t>
    </r>
    <r>
      <rPr>
        <b/>
        <sz val="10"/>
        <color theme="1"/>
        <rFont val="Times New Roman"/>
      </rPr>
      <t>说</t>
    </r>
    <r>
      <rPr>
        <sz val="10"/>
        <color theme="1"/>
        <rFont val="Times New Roman"/>
      </rPr>
      <t>什么？</t>
    </r>
  </si>
  <si>
    <t>H1_B5_BG-02.gif</t>
  </si>
  <si>
    <t>H1_B5-02.mp3</t>
  </si>
  <si>
    <r>
      <rPr>
        <sz val="10"/>
        <color theme="1"/>
        <rFont val="Times New Roman"/>
      </rPr>
      <t>他在</t>
    </r>
    <r>
      <rPr>
        <b/>
        <sz val="10"/>
        <color theme="1"/>
        <rFont val="Times New Roman"/>
      </rPr>
      <t>读</t>
    </r>
    <r>
      <rPr>
        <sz val="10"/>
        <color theme="1"/>
        <rFont val="Times New Roman"/>
      </rPr>
      <t>书。</t>
    </r>
  </si>
  <si>
    <t>H1_B5_BG-03.gif</t>
  </si>
  <si>
    <t>H1_B5-03.mp3</t>
  </si>
  <si>
    <r>
      <rPr>
        <sz val="10"/>
        <color theme="1"/>
        <rFont val="Times New Roman"/>
      </rPr>
      <t>他会</t>
    </r>
    <r>
      <rPr>
        <b/>
        <sz val="10"/>
        <color theme="1"/>
        <rFont val="Times New Roman"/>
      </rPr>
      <t>写</t>
    </r>
    <r>
      <rPr>
        <sz val="10"/>
        <color theme="1"/>
        <rFont val="Times New Roman"/>
      </rPr>
      <t>汉字。</t>
    </r>
  </si>
  <si>
    <t>H1_B5_BG-04.gif</t>
  </si>
  <si>
    <t>H1_B5-04.mp3</t>
  </si>
  <si>
    <r>
      <rPr>
        <b/>
        <sz val="10"/>
        <color theme="1"/>
        <rFont val="Times New Roman"/>
      </rPr>
      <t>汉字</t>
    </r>
    <r>
      <rPr>
        <sz val="10"/>
        <color theme="1"/>
        <rFont val="Times New Roman"/>
      </rPr>
      <t>很难。</t>
    </r>
  </si>
  <si>
    <t>H1_B5_BG-05.gif</t>
  </si>
  <si>
    <t>H1_B5-05.mp3</t>
  </si>
  <si>
    <r>
      <rPr>
        <sz val="10"/>
        <color theme="1"/>
        <rFont val="Times New Roman"/>
      </rPr>
      <t>这是什么</t>
    </r>
    <r>
      <rPr>
        <b/>
        <sz val="10"/>
        <color theme="1"/>
        <rFont val="Times New Roman"/>
      </rPr>
      <t>字</t>
    </r>
    <r>
      <rPr>
        <sz val="10"/>
        <color theme="1"/>
        <rFont val="Times New Roman"/>
      </rPr>
      <t>？</t>
    </r>
  </si>
  <si>
    <t>H1_B5_BG-06.gif</t>
  </si>
  <si>
    <t>H1_B5-06.mp3</t>
  </si>
  <si>
    <r>
      <rPr>
        <sz val="10"/>
        <color theme="1"/>
        <rFont val="Times New Roman"/>
      </rPr>
      <t>他会</t>
    </r>
    <r>
      <rPr>
        <b/>
        <sz val="10"/>
        <color theme="1"/>
        <rFont val="Times New Roman"/>
      </rPr>
      <t>做</t>
    </r>
    <r>
      <rPr>
        <sz val="10"/>
        <color theme="1"/>
        <rFont val="Times New Roman"/>
      </rPr>
      <t>饭。</t>
    </r>
  </si>
  <si>
    <t>H1_B5_BG-07.gif</t>
  </si>
  <si>
    <t>H1_B5-07.mp3</t>
  </si>
  <si>
    <t xml:space="preserve">Món ăn, rau </t>
  </si>
  <si>
    <r>
      <rPr>
        <sz val="10"/>
        <color theme="1"/>
        <rFont val="Times New Roman"/>
      </rPr>
      <t>你吃</t>
    </r>
    <r>
      <rPr>
        <b/>
        <sz val="10"/>
        <color theme="1"/>
        <rFont val="Times New Roman"/>
      </rPr>
      <t>菜</t>
    </r>
    <r>
      <rPr>
        <sz val="10"/>
        <color theme="1"/>
        <rFont val="Times New Roman"/>
      </rPr>
      <t>吗？</t>
    </r>
  </si>
  <si>
    <t>H1_B5_BG-08.gif</t>
  </si>
  <si>
    <t>H1_B5-08.mp3</t>
  </si>
  <si>
    <r>
      <rPr>
        <sz val="10"/>
        <color theme="1"/>
        <rFont val="Times New Roman"/>
      </rPr>
      <t>西瓜很</t>
    </r>
    <r>
      <rPr>
        <b/>
        <sz val="10"/>
        <color theme="1"/>
        <rFont val="Times New Roman"/>
      </rPr>
      <t>好吃</t>
    </r>
    <r>
      <rPr>
        <sz val="10"/>
        <color theme="1"/>
        <rFont val="Times New Roman"/>
      </rPr>
      <t>。</t>
    </r>
  </si>
  <si>
    <t>H1_B5_BG-09.gif</t>
  </si>
  <si>
    <t>H1_B5-09.mp3</t>
  </si>
  <si>
    <r>
      <rPr>
        <sz val="10"/>
        <color theme="1"/>
        <rFont val="Times New Roman"/>
      </rPr>
      <t>我爱我</t>
    </r>
    <r>
      <rPr>
        <b/>
        <sz val="10"/>
        <color theme="1"/>
        <rFont val="Times New Roman"/>
      </rPr>
      <t>妈妈</t>
    </r>
    <r>
      <rPr>
        <sz val="10"/>
        <color theme="1"/>
        <rFont val="Times New Roman"/>
      </rPr>
      <t>。</t>
    </r>
  </si>
  <si>
    <t>H1_B5_BG-10.gif</t>
  </si>
  <si>
    <t>H1_B5-10.mp3</t>
  </si>
  <si>
    <r>
      <rPr>
        <sz val="10"/>
        <color theme="1"/>
        <rFont val="Times New Roman"/>
      </rPr>
      <t>我</t>
    </r>
    <r>
      <rPr>
        <b/>
        <sz val="10"/>
        <color theme="1"/>
        <rFont val="Times New Roman"/>
      </rPr>
      <t>很</t>
    </r>
    <r>
      <rPr>
        <sz val="10"/>
        <color theme="1"/>
        <rFont val="Times New Roman"/>
      </rPr>
      <t>累。</t>
    </r>
  </si>
  <si>
    <t>H1_B5_BG-11.gif</t>
  </si>
  <si>
    <t>H1_B5-11.mp3</t>
  </si>
  <si>
    <r>
      <rPr>
        <sz val="10"/>
        <color theme="1"/>
        <rFont val="Times New Roman"/>
      </rPr>
      <t>她们</t>
    </r>
    <r>
      <rPr>
        <b/>
        <sz val="10"/>
        <color theme="1"/>
        <rFont val="Times New Roman"/>
      </rPr>
      <t>怎么</t>
    </r>
    <r>
      <rPr>
        <sz val="10"/>
        <color theme="1"/>
        <rFont val="Times New Roman"/>
      </rPr>
      <t>这么开心？</t>
    </r>
  </si>
  <si>
    <t>H1_B5_BG-12.gif</t>
  </si>
  <si>
    <t>H1_B5-12.mp3</t>
  </si>
  <si>
    <r>
      <rPr>
        <b/>
        <sz val="10"/>
        <color theme="1"/>
        <rFont val="Times New Roman"/>
      </rPr>
      <t>他们</t>
    </r>
    <r>
      <rPr>
        <sz val="10"/>
        <color theme="1"/>
        <rFont val="Times New Roman"/>
      </rPr>
      <t>是我的朋友。</t>
    </r>
  </si>
  <si>
    <t>H1_B5_BG-13.gif</t>
  </si>
  <si>
    <t>H1_B5-13.mp3</t>
  </si>
  <si>
    <r>
      <rPr>
        <b/>
        <sz val="10"/>
        <color theme="1"/>
        <rFont val="Times New Roman"/>
      </rPr>
      <t>她们</t>
    </r>
    <r>
      <rPr>
        <sz val="10"/>
        <color theme="1"/>
        <rFont val="Times New Roman"/>
      </rPr>
      <t>是中国人。</t>
    </r>
  </si>
  <si>
    <t>H1_B5_BG-14.gif</t>
  </si>
  <si>
    <t>H1_B5-14.mp3</t>
  </si>
  <si>
    <r>
      <rPr>
        <sz val="10"/>
        <color theme="1"/>
        <rFont val="Times New Roman"/>
      </rPr>
      <t>这是他的</t>
    </r>
    <r>
      <rPr>
        <b/>
        <sz val="10"/>
        <color theme="1"/>
        <rFont val="Times New Roman"/>
      </rPr>
      <t>书</t>
    </r>
    <r>
      <rPr>
        <sz val="10"/>
        <color theme="1"/>
        <rFont val="Times New Roman"/>
      </rPr>
      <t>。</t>
    </r>
  </si>
  <si>
    <t>H1_B6_BG-01.gif</t>
  </si>
  <si>
    <t>H1_B6-01.mp3</t>
  </si>
  <si>
    <r>
      <rPr>
        <sz val="10"/>
        <color theme="1"/>
        <rFont val="Times New Roman"/>
      </rPr>
      <t>你</t>
    </r>
    <r>
      <rPr>
        <b/>
        <sz val="10"/>
        <color theme="1"/>
        <rFont val="Times New Roman"/>
      </rPr>
      <t>学校</t>
    </r>
    <r>
      <rPr>
        <sz val="10"/>
        <color theme="1"/>
        <rFont val="Times New Roman"/>
      </rPr>
      <t>在哪？</t>
    </r>
  </si>
  <si>
    <t>H1_B6_BG-02.gif</t>
  </si>
  <si>
    <t>H1_B6-02.mp3</t>
  </si>
  <si>
    <r>
      <rPr>
        <sz val="10"/>
        <color theme="1"/>
        <rFont val="Times New Roman"/>
      </rPr>
      <t>我喜欢</t>
    </r>
    <r>
      <rPr>
        <b/>
        <sz val="10"/>
        <color theme="1"/>
        <rFont val="Times New Roman"/>
      </rPr>
      <t>看</t>
    </r>
    <r>
      <rPr>
        <sz val="10"/>
        <color theme="1"/>
        <rFont val="Times New Roman"/>
      </rPr>
      <t>电影。</t>
    </r>
  </si>
  <si>
    <t>H1_B6_BG-03.gif</t>
  </si>
  <si>
    <t>H1_B6-03.mp3</t>
  </si>
  <si>
    <r>
      <rPr>
        <b/>
        <sz val="10"/>
        <color theme="1"/>
        <rFont val="Times New Roman"/>
      </rPr>
      <t>请</t>
    </r>
    <r>
      <rPr>
        <sz val="10"/>
        <color theme="1"/>
        <rFont val="Times New Roman"/>
      </rPr>
      <t>进。</t>
    </r>
  </si>
  <si>
    <t>H1_B6_BG-04.gif</t>
  </si>
  <si>
    <t>H1_B6-04.mp3</t>
  </si>
  <si>
    <r>
      <rPr>
        <sz val="10"/>
        <color theme="1"/>
        <rFont val="Times New Roman"/>
      </rPr>
      <t>请</t>
    </r>
    <r>
      <rPr>
        <b/>
        <sz val="10"/>
        <color theme="1"/>
        <rFont val="Times New Roman"/>
      </rPr>
      <t>问</t>
    </r>
    <r>
      <rPr>
        <sz val="10"/>
        <color theme="1"/>
        <rFont val="Times New Roman"/>
      </rPr>
      <t>你叫什么名字？</t>
    </r>
  </si>
  <si>
    <t>H1_B6_BG-05.gif</t>
  </si>
  <si>
    <t>H1_B6-05.mp3</t>
  </si>
  <si>
    <r>
      <rPr>
        <b/>
        <sz val="10"/>
        <color theme="1"/>
        <rFont val="Times New Roman"/>
      </rPr>
      <t>今天</t>
    </r>
    <r>
      <rPr>
        <sz val="10"/>
        <color theme="1"/>
        <rFont val="Times New Roman"/>
      </rPr>
      <t>我们去哪儿？</t>
    </r>
  </si>
  <si>
    <t>H1_B6_BG-06.gif</t>
  </si>
  <si>
    <t>H1_B6-06.mp3</t>
  </si>
  <si>
    <r>
      <rPr>
        <b/>
        <sz val="10"/>
        <color theme="1"/>
        <rFont val="Times New Roman"/>
      </rPr>
      <t>明天</t>
    </r>
    <r>
      <rPr>
        <sz val="10"/>
        <color theme="1"/>
        <rFont val="Times New Roman"/>
      </rPr>
      <t>我要上课。</t>
    </r>
  </si>
  <si>
    <t>H1_B6_BG-07.gif</t>
  </si>
  <si>
    <t>H1_B6-07.mp3</t>
  </si>
  <si>
    <r>
      <rPr>
        <b/>
        <sz val="10"/>
        <color theme="1"/>
        <rFont val="Times New Roman"/>
      </rPr>
      <t>昨天</t>
    </r>
    <r>
      <rPr>
        <sz val="10"/>
        <color theme="1"/>
        <rFont val="Times New Roman"/>
      </rPr>
      <t>，我种了一棵小树。</t>
    </r>
  </si>
  <si>
    <t>H1_B6_BG-08.gif</t>
  </si>
  <si>
    <t>H1_B6-08.mp3</t>
  </si>
  <si>
    <r>
      <rPr>
        <b/>
        <sz val="10"/>
        <color theme="1"/>
        <rFont val="Times New Roman"/>
      </rPr>
      <t>星期</t>
    </r>
    <r>
      <rPr>
        <sz val="10"/>
        <color theme="1"/>
        <rFont val="Times New Roman"/>
      </rPr>
      <t>六，我会回家看外公。</t>
    </r>
  </si>
  <si>
    <t>H1_B6_BG-09.gif</t>
  </si>
  <si>
    <t>H1_B6-09.mp3</t>
  </si>
  <si>
    <r>
      <rPr>
        <sz val="10"/>
        <color theme="1"/>
        <rFont val="Times New Roman"/>
      </rPr>
      <t>今天几</t>
    </r>
    <r>
      <rPr>
        <b/>
        <sz val="10"/>
        <color theme="1"/>
        <rFont val="Times New Roman"/>
      </rPr>
      <t>月</t>
    </r>
    <r>
      <rPr>
        <sz val="10"/>
        <color theme="1"/>
        <rFont val="Times New Roman"/>
      </rPr>
      <t>几号？</t>
    </r>
  </si>
  <si>
    <t>H1_B6_BG-10.gif</t>
  </si>
  <si>
    <t>H1_B6-10.mp3</t>
  </si>
  <si>
    <t xml:space="preserve">Đi, đi đến </t>
  </si>
  <si>
    <r>
      <rPr>
        <sz val="10"/>
        <color theme="1"/>
        <rFont val="Times New Roman"/>
      </rPr>
      <t>你</t>
    </r>
    <r>
      <rPr>
        <b/>
        <sz val="10"/>
        <color theme="1"/>
        <rFont val="Times New Roman"/>
      </rPr>
      <t>去</t>
    </r>
    <r>
      <rPr>
        <sz val="10"/>
        <color theme="1"/>
        <rFont val="Times New Roman"/>
      </rPr>
      <t>哪儿？</t>
    </r>
  </si>
  <si>
    <t>H1_B6_BG-11.gif</t>
  </si>
  <si>
    <t>H1_B6-11.mp3</t>
  </si>
  <si>
    <r>
      <rPr>
        <sz val="10"/>
        <color theme="1"/>
        <rFont val="Times New Roman"/>
      </rPr>
      <t>明天几月几</t>
    </r>
    <r>
      <rPr>
        <b/>
        <sz val="10"/>
        <color theme="1"/>
        <rFont val="Times New Roman"/>
      </rPr>
      <t>号</t>
    </r>
    <r>
      <rPr>
        <sz val="10"/>
        <color theme="1"/>
        <rFont val="Times New Roman"/>
      </rPr>
      <t>？</t>
    </r>
  </si>
  <si>
    <t>H1_B6_BG-12.gif</t>
  </si>
  <si>
    <t>H1_B6-12.mp3</t>
  </si>
  <si>
    <r>
      <rPr>
        <b/>
        <sz val="10"/>
        <color rgb="FF0E0E0E"/>
        <rFont val="Times New Roman"/>
      </rPr>
      <t>下午</t>
    </r>
    <r>
      <rPr>
        <sz val="10"/>
        <color rgb="FF0E0E0E"/>
        <rFont val="Times New Roman"/>
      </rPr>
      <t>的风景很美。</t>
    </r>
  </si>
  <si>
    <t>H1_B7_BG-01.gif</t>
  </si>
  <si>
    <t>H1_B7-01.mp3</t>
  </si>
  <si>
    <r>
      <rPr>
        <sz val="10"/>
        <color theme="1"/>
        <rFont val="Times New Roman"/>
      </rPr>
      <t>我买了一</t>
    </r>
    <r>
      <rPr>
        <b/>
        <sz val="10"/>
        <color theme="1"/>
        <rFont val="Times New Roman"/>
      </rPr>
      <t>个</t>
    </r>
    <r>
      <rPr>
        <sz val="10"/>
        <color theme="1"/>
        <rFont val="Times New Roman"/>
      </rPr>
      <t>芒果。</t>
    </r>
  </si>
  <si>
    <t>H1_B7_BG-02.gif</t>
  </si>
  <si>
    <t>H1_B7-02.mp3</t>
  </si>
  <si>
    <r>
      <rPr>
        <sz val="10"/>
        <color theme="1"/>
        <rFont val="Times New Roman"/>
      </rPr>
      <t>她</t>
    </r>
    <r>
      <rPr>
        <b/>
        <sz val="10"/>
        <color theme="1"/>
        <rFont val="Times New Roman"/>
      </rPr>
      <t>买</t>
    </r>
    <r>
      <rPr>
        <sz val="10"/>
        <color theme="1"/>
        <rFont val="Times New Roman"/>
      </rPr>
      <t>饮料。</t>
    </r>
  </si>
  <si>
    <t>H1_B7_BG-03.gif</t>
  </si>
  <si>
    <t>H1_B7-03.mp3</t>
  </si>
  <si>
    <r>
      <rPr>
        <sz val="10"/>
        <color theme="1"/>
        <rFont val="Times New Roman"/>
      </rPr>
      <t>你想</t>
    </r>
    <r>
      <rPr>
        <b/>
        <sz val="10"/>
        <color theme="1"/>
        <rFont val="Times New Roman"/>
      </rPr>
      <t>吃</t>
    </r>
    <r>
      <rPr>
        <sz val="10"/>
        <color theme="1"/>
        <rFont val="Times New Roman"/>
      </rPr>
      <t>什么？</t>
    </r>
  </si>
  <si>
    <t>H1_B7_BG-04.gif</t>
  </si>
  <si>
    <t>H1_B7-04.mp3</t>
  </si>
  <si>
    <r>
      <rPr>
        <sz val="10"/>
        <color theme="1"/>
        <rFont val="Times New Roman"/>
      </rPr>
      <t>你想</t>
    </r>
    <r>
      <rPr>
        <b/>
        <sz val="10"/>
        <color theme="1"/>
        <rFont val="Times New Roman"/>
      </rPr>
      <t>喝</t>
    </r>
    <r>
      <rPr>
        <sz val="10"/>
        <color theme="1"/>
        <rFont val="Times New Roman"/>
      </rPr>
      <t>什么？</t>
    </r>
  </si>
  <si>
    <t>H1_B7_BG-05.gif</t>
  </si>
  <si>
    <t>H1_B7-05.mp3</t>
  </si>
  <si>
    <r>
      <rPr>
        <sz val="10"/>
        <color theme="1"/>
        <rFont val="Times New Roman"/>
      </rPr>
      <t>下午我想去</t>
    </r>
    <r>
      <rPr>
        <b/>
        <sz val="10"/>
        <color theme="1"/>
        <rFont val="Times New Roman"/>
      </rPr>
      <t>商店</t>
    </r>
    <r>
      <rPr>
        <sz val="10"/>
        <color theme="1"/>
        <rFont val="Times New Roman"/>
      </rPr>
      <t>。</t>
    </r>
  </si>
  <si>
    <t>H1_B7_BG-06.gif</t>
  </si>
  <si>
    <t>H1_B7-06.mp3</t>
  </si>
  <si>
    <r>
      <rPr>
        <sz val="10"/>
        <color theme="1"/>
        <rFont val="Times New Roman"/>
      </rPr>
      <t>这些衣服</t>
    </r>
    <r>
      <rPr>
        <b/>
        <sz val="10"/>
        <color theme="1"/>
        <rFont val="Times New Roman"/>
      </rPr>
      <t>多少</t>
    </r>
    <r>
      <rPr>
        <sz val="10"/>
        <color theme="1"/>
        <rFont val="Times New Roman"/>
      </rPr>
      <t>钱？</t>
    </r>
  </si>
  <si>
    <t>H1_B7_BG-07.gif</t>
  </si>
  <si>
    <t>H1_B7-07.mp3</t>
  </si>
  <si>
    <r>
      <rPr>
        <sz val="10"/>
        <color theme="1"/>
        <rFont val="Times New Roman"/>
      </rPr>
      <t>一百</t>
    </r>
    <r>
      <rPr>
        <b/>
        <sz val="10"/>
        <color theme="1"/>
        <rFont val="Times New Roman"/>
      </rPr>
      <t>块</t>
    </r>
    <r>
      <rPr>
        <sz val="10"/>
        <color theme="1"/>
        <rFont val="Times New Roman"/>
      </rPr>
      <t>钱。</t>
    </r>
  </si>
  <si>
    <t>H1_B7_BG-08.gif</t>
  </si>
  <si>
    <t>H1_B7-08.mp3</t>
  </si>
  <si>
    <r>
      <rPr>
        <sz val="10"/>
        <color theme="1"/>
        <rFont val="Times New Roman"/>
      </rPr>
      <t>她</t>
    </r>
    <r>
      <rPr>
        <b/>
        <sz val="10"/>
        <color theme="1"/>
        <rFont val="Times New Roman"/>
      </rPr>
      <t>想</t>
    </r>
    <r>
      <rPr>
        <sz val="10"/>
        <color theme="1"/>
        <rFont val="Times New Roman"/>
      </rPr>
      <t>买很多东西。</t>
    </r>
  </si>
  <si>
    <t>H1_B7_BG-09.gif</t>
  </si>
  <si>
    <t>H1_B7-09.mp3</t>
  </si>
  <si>
    <r>
      <rPr>
        <sz val="10"/>
        <color theme="1"/>
        <rFont val="Times New Roman"/>
      </rPr>
      <t>我妈妈想买一个</t>
    </r>
    <r>
      <rPr>
        <b/>
        <sz val="10"/>
        <color theme="1"/>
        <rFont val="Times New Roman"/>
      </rPr>
      <t>杯子</t>
    </r>
    <r>
      <rPr>
        <sz val="10"/>
        <color theme="1"/>
        <rFont val="Times New Roman"/>
      </rPr>
      <t>。</t>
    </r>
  </si>
  <si>
    <t>H1_B7_BG-10.gif</t>
  </si>
  <si>
    <t>H1_B7-10.mp3</t>
  </si>
  <si>
    <r>
      <rPr>
        <sz val="10"/>
        <color theme="1"/>
        <rFont val="Times New Roman"/>
      </rPr>
      <t>他想吃</t>
    </r>
    <r>
      <rPr>
        <b/>
        <sz val="10"/>
        <color theme="1"/>
        <rFont val="Times New Roman"/>
      </rPr>
      <t>米饭</t>
    </r>
    <r>
      <rPr>
        <sz val="10"/>
        <color theme="1"/>
        <rFont val="Times New Roman"/>
      </rPr>
      <t>。</t>
    </r>
  </si>
  <si>
    <t>H1_B7_BG-11.gif</t>
  </si>
  <si>
    <t>H1_B7-11.mp3</t>
  </si>
  <si>
    <r>
      <rPr>
        <sz val="10"/>
        <color theme="1"/>
        <rFont val="Times New Roman"/>
      </rPr>
      <t>我想喝</t>
    </r>
    <r>
      <rPr>
        <b/>
        <sz val="10"/>
        <color theme="1"/>
        <rFont val="Times New Roman"/>
      </rPr>
      <t>茶</t>
    </r>
    <r>
      <rPr>
        <sz val="10"/>
        <color theme="1"/>
        <rFont val="Times New Roman"/>
      </rPr>
      <t>。</t>
    </r>
  </si>
  <si>
    <t>H1_B7_BG-12.gif</t>
  </si>
  <si>
    <t>H1_B7-12.mp3</t>
  </si>
  <si>
    <r>
      <rPr>
        <b/>
        <sz val="10"/>
        <color theme="1"/>
        <rFont val="Times New Roman"/>
      </rPr>
      <t>那</t>
    </r>
    <r>
      <rPr>
        <sz val="10"/>
        <color theme="1"/>
        <rFont val="Times New Roman"/>
      </rPr>
      <t>棵树是什么树？</t>
    </r>
  </si>
  <si>
    <r>
      <rPr>
        <sz val="10"/>
        <color theme="1"/>
        <rFont val="Times New Roman"/>
      </rPr>
      <t>那个杯子三百块</t>
    </r>
    <r>
      <rPr>
        <b/>
        <sz val="10"/>
        <color theme="1"/>
        <rFont val="Times New Roman"/>
      </rPr>
      <t>钱</t>
    </r>
    <r>
      <rPr>
        <sz val="10"/>
        <color theme="1"/>
        <rFont val="Times New Roman"/>
      </rPr>
      <t>。</t>
    </r>
  </si>
  <si>
    <t>H1_B7_BG-14.gif</t>
  </si>
  <si>
    <t>H1_B7-14.mp3</t>
  </si>
  <si>
    <r>
      <rPr>
        <b/>
        <sz val="10"/>
        <color theme="1"/>
        <rFont val="Times New Roman"/>
      </rPr>
      <t>这</t>
    </r>
    <r>
      <rPr>
        <sz val="10"/>
        <color theme="1"/>
        <rFont val="Times New Roman"/>
      </rPr>
      <t>是什么？</t>
    </r>
  </si>
  <si>
    <t>H1_B7_BG-15.gif</t>
  </si>
  <si>
    <t>H1_B7-15.mp3</t>
  </si>
  <si>
    <r>
      <rPr>
        <sz val="10"/>
        <color theme="1"/>
        <rFont val="Times New Roman"/>
      </rPr>
      <t>小猫躲在桌子</t>
    </r>
    <r>
      <rPr>
        <b/>
        <sz val="10"/>
        <color theme="1"/>
        <rFont val="Times New Roman"/>
      </rPr>
      <t>下面</t>
    </r>
    <r>
      <rPr>
        <sz val="10"/>
        <color theme="1"/>
        <rFont val="Times New Roman"/>
      </rPr>
      <t>。</t>
    </r>
  </si>
  <si>
    <r>
      <rPr>
        <sz val="10"/>
        <color theme="1"/>
        <rFont val="Times New Roman"/>
      </rPr>
      <t>你妈妈在</t>
    </r>
    <r>
      <rPr>
        <b/>
        <sz val="10"/>
        <color theme="1"/>
        <rFont val="Times New Roman"/>
      </rPr>
      <t>哪儿</t>
    </r>
    <r>
      <rPr>
        <sz val="10"/>
        <color theme="1"/>
        <rFont val="Times New Roman"/>
      </rPr>
      <t>工作？</t>
    </r>
  </si>
  <si>
    <t>H1_B8_BG-02.gif</t>
  </si>
  <si>
    <t>H1_B8-02.mp3</t>
  </si>
  <si>
    <r>
      <rPr>
        <sz val="10"/>
        <color theme="1"/>
        <rFont val="Times New Roman"/>
      </rPr>
      <t>我</t>
    </r>
    <r>
      <rPr>
        <b/>
        <sz val="10"/>
        <color theme="1"/>
        <rFont val="Times New Roman"/>
      </rPr>
      <t>在</t>
    </r>
    <r>
      <rPr>
        <sz val="10"/>
        <color theme="1"/>
        <rFont val="Times New Roman"/>
      </rPr>
      <t>家看书。</t>
    </r>
  </si>
  <si>
    <t>H1_B8_BG-03.gif</t>
  </si>
  <si>
    <t>H1_B8-03.mp3</t>
  </si>
  <si>
    <t>Ở, vào, tại</t>
  </si>
  <si>
    <r>
      <rPr>
        <sz val="10"/>
        <color rgb="FF0E0E0E"/>
        <rFont val="Times New Roman"/>
      </rPr>
      <t>我的家</t>
    </r>
    <r>
      <rPr>
        <b/>
        <sz val="10"/>
        <color rgb="FF0E0E0E"/>
        <rFont val="Times New Roman"/>
      </rPr>
      <t>在</t>
    </r>
    <r>
      <rPr>
        <sz val="10"/>
        <color rgb="FF0E0E0E"/>
        <rFont val="Times New Roman"/>
      </rPr>
      <t>海边。</t>
    </r>
  </si>
  <si>
    <t>Wǒ de jiā zài hǎibiān.</t>
  </si>
  <si>
    <t>Nhà của tôi ở ven biển.</t>
  </si>
  <si>
    <t>H1_B8_BG-04.gif</t>
  </si>
  <si>
    <t>H1_B8-04.mp3</t>
  </si>
  <si>
    <r>
      <rPr>
        <sz val="10"/>
        <color theme="1"/>
        <rFont val="Times New Roman"/>
      </rPr>
      <t>商店就在</t>
    </r>
    <r>
      <rPr>
        <b/>
        <sz val="10"/>
        <color theme="1"/>
        <rFont val="Times New Roman"/>
      </rPr>
      <t>那儿</t>
    </r>
    <r>
      <rPr>
        <sz val="10"/>
        <color theme="1"/>
        <rFont val="Times New Roman"/>
      </rPr>
      <t xml:space="preserve">。 </t>
    </r>
  </si>
  <si>
    <t>H1_B8_BG-05.gif</t>
  </si>
  <si>
    <t>H1_B8-05.mp3</t>
  </si>
  <si>
    <r>
      <rPr>
        <sz val="10"/>
        <color theme="1"/>
        <rFont val="Times New Roman"/>
      </rPr>
      <t>这是我</t>
    </r>
    <r>
      <rPr>
        <b/>
        <sz val="10"/>
        <color theme="1"/>
        <rFont val="Times New Roman"/>
      </rPr>
      <t>儿子</t>
    </r>
    <r>
      <rPr>
        <sz val="10"/>
        <color theme="1"/>
        <rFont val="Times New Roman"/>
      </rPr>
      <t>。</t>
    </r>
  </si>
  <si>
    <t>H1_B8_BG-06.gif</t>
  </si>
  <si>
    <t>H1_B8-06.mp3</t>
  </si>
  <si>
    <r>
      <rPr>
        <sz val="10"/>
        <color theme="1"/>
        <rFont val="Times New Roman"/>
      </rPr>
      <t>这是我</t>
    </r>
    <r>
      <rPr>
        <b/>
        <sz val="10"/>
        <color theme="1"/>
        <rFont val="Times New Roman"/>
      </rPr>
      <t>爸爸</t>
    </r>
    <r>
      <rPr>
        <sz val="10"/>
        <color theme="1"/>
        <rFont val="Times New Roman"/>
      </rPr>
      <t>。</t>
    </r>
  </si>
  <si>
    <t>H1_B8_BG-07.gif</t>
  </si>
  <si>
    <t>H1_B8-07.mp3</t>
  </si>
  <si>
    <r>
      <rPr>
        <sz val="10"/>
        <color theme="1"/>
        <rFont val="Times New Roman"/>
      </rPr>
      <t>我妈妈是</t>
    </r>
    <r>
      <rPr>
        <b/>
        <sz val="10"/>
        <color theme="1"/>
        <rFont val="Times New Roman"/>
      </rPr>
      <t>医生</t>
    </r>
    <r>
      <rPr>
        <sz val="10"/>
        <color theme="1"/>
        <rFont val="Times New Roman"/>
      </rPr>
      <t>。</t>
    </r>
  </si>
  <si>
    <t>H1_B8_BG-08.gif</t>
  </si>
  <si>
    <t>H1_B8-08.mp3</t>
  </si>
  <si>
    <r>
      <rPr>
        <sz val="10"/>
        <color theme="1"/>
        <rFont val="Times New Roman"/>
      </rPr>
      <t>这是</t>
    </r>
    <r>
      <rPr>
        <b/>
        <sz val="10"/>
        <color theme="1"/>
        <rFont val="Times New Roman"/>
      </rPr>
      <t>医院</t>
    </r>
    <r>
      <rPr>
        <sz val="10"/>
        <color theme="1"/>
        <rFont val="Times New Roman"/>
      </rPr>
      <t>。</t>
    </r>
  </si>
  <si>
    <t>H1_B8_BG-09.gif</t>
  </si>
  <si>
    <t>H1_B8-09.mp3</t>
  </si>
  <si>
    <r>
      <rPr>
        <sz val="10"/>
        <color theme="1"/>
        <rFont val="Times New Roman"/>
      </rPr>
      <t>你儿子在哪儿</t>
    </r>
    <r>
      <rPr>
        <b/>
        <sz val="10"/>
        <color theme="1"/>
        <rFont val="Times New Roman"/>
      </rPr>
      <t>工作</t>
    </r>
    <r>
      <rPr>
        <sz val="10"/>
        <color theme="1"/>
        <rFont val="Times New Roman"/>
      </rPr>
      <t>？</t>
    </r>
  </si>
  <si>
    <t>H1_B8_BG-10.gif</t>
  </si>
  <si>
    <t>H1_B8-10.mp3</t>
  </si>
  <si>
    <r>
      <rPr>
        <sz val="10"/>
        <color theme="1"/>
        <rFont val="Times New Roman"/>
      </rPr>
      <t>这条鱼很</t>
    </r>
    <r>
      <rPr>
        <b/>
        <sz val="10"/>
        <color theme="1"/>
        <rFont val="Times New Roman"/>
      </rPr>
      <t>小</t>
    </r>
    <r>
      <rPr>
        <sz val="10"/>
        <color theme="1"/>
        <rFont val="Times New Roman"/>
      </rPr>
      <t>。</t>
    </r>
  </si>
  <si>
    <t>H1_B8_BG-11.gif</t>
  </si>
  <si>
    <t>H1_B8-11.mp3</t>
  </si>
  <si>
    <r>
      <rPr>
        <sz val="10"/>
        <color theme="1"/>
        <rFont val="Times New Roman"/>
      </rPr>
      <t>你的书在</t>
    </r>
    <r>
      <rPr>
        <b/>
        <sz val="10"/>
        <color theme="1"/>
        <rFont val="Times New Roman"/>
      </rPr>
      <t>椅子</t>
    </r>
    <r>
      <rPr>
        <sz val="10"/>
        <color theme="1"/>
        <rFont val="Times New Roman"/>
      </rPr>
      <t>下面。</t>
    </r>
  </si>
  <si>
    <t>H1_B8_BG-12.gif</t>
  </si>
  <si>
    <t>H1_B8-12.mp3</t>
  </si>
  <si>
    <r>
      <rPr>
        <sz val="10"/>
        <color theme="1"/>
        <rFont val="Times New Roman"/>
      </rPr>
      <t>我家有一只</t>
    </r>
    <r>
      <rPr>
        <b/>
        <sz val="10"/>
        <color theme="1"/>
        <rFont val="Times New Roman"/>
      </rPr>
      <t>狗</t>
    </r>
    <r>
      <rPr>
        <sz val="10"/>
        <color theme="1"/>
        <rFont val="Times New Roman"/>
      </rPr>
      <t>。</t>
    </r>
  </si>
  <si>
    <t>H1_B8_BG-13.gif</t>
  </si>
  <si>
    <t>H1_B8-13.mp3</t>
  </si>
  <si>
    <r>
      <rPr>
        <sz val="10"/>
        <color theme="1"/>
        <rFont val="Times New Roman"/>
      </rPr>
      <t>我喜欢</t>
    </r>
    <r>
      <rPr>
        <b/>
        <sz val="10"/>
        <color theme="1"/>
        <rFont val="Times New Roman"/>
      </rPr>
      <t>猫</t>
    </r>
    <r>
      <rPr>
        <sz val="10"/>
        <color theme="1"/>
        <rFont val="Times New Roman"/>
      </rPr>
      <t>。</t>
    </r>
  </si>
  <si>
    <t>H1_B8_BG-14.gif</t>
  </si>
  <si>
    <t>H1_B8-14.mp3</t>
  </si>
  <si>
    <r>
      <rPr>
        <b/>
        <sz val="10"/>
        <color theme="1"/>
        <rFont val="Times New Roman"/>
      </rPr>
      <t>上</t>
    </r>
    <r>
      <rPr>
        <sz val="10"/>
        <color theme="1"/>
        <rFont val="Times New Roman"/>
      </rPr>
      <t>面有一面旗。</t>
    </r>
  </si>
  <si>
    <t>H1_B9_BG-01.gif</t>
  </si>
  <si>
    <r>
      <rPr>
        <sz val="10"/>
        <color rgb="FF0E0E0E"/>
        <rFont val="Times New Roman"/>
      </rPr>
      <t>蓝色的车在我车</t>
    </r>
    <r>
      <rPr>
        <b/>
        <sz val="10"/>
        <color rgb="FF0E0E0E"/>
        <rFont val="Times New Roman"/>
      </rPr>
      <t>前面</t>
    </r>
    <r>
      <rPr>
        <sz val="10"/>
        <color rgb="FF0E0E0E"/>
        <rFont val="Times New Roman"/>
      </rPr>
      <t>。</t>
    </r>
  </si>
  <si>
    <r>
      <rPr>
        <sz val="10"/>
        <color rgb="FF0E0E0E"/>
        <rFont val="Times New Roman"/>
      </rPr>
      <t>蓝色的车在我车</t>
    </r>
    <r>
      <rPr>
        <b/>
        <sz val="10"/>
        <color rgb="FF0E0E0E"/>
        <rFont val="Times New Roman"/>
      </rPr>
      <t>后面</t>
    </r>
    <r>
      <rPr>
        <sz val="10"/>
        <color rgb="FF0E0E0E"/>
        <rFont val="Times New Roman"/>
      </rPr>
      <t>。</t>
    </r>
  </si>
  <si>
    <r>
      <rPr>
        <b/>
        <sz val="10"/>
        <color theme="1"/>
        <rFont val="Times New Roman"/>
      </rPr>
      <t>里</t>
    </r>
    <r>
      <rPr>
        <sz val="10"/>
        <color theme="1"/>
        <rFont val="Times New Roman"/>
      </rPr>
      <t>面有两支铅笔。</t>
    </r>
  </si>
  <si>
    <t>H1_B9_BG-04.gif</t>
  </si>
  <si>
    <r>
      <rPr>
        <b/>
        <sz val="10"/>
        <color theme="1"/>
        <rFont val="Times New Roman"/>
      </rPr>
      <t>这儿</t>
    </r>
    <r>
      <rPr>
        <sz val="10"/>
        <color theme="1"/>
        <rFont val="Times New Roman"/>
      </rPr>
      <t>有很多水果。</t>
    </r>
  </si>
  <si>
    <t>H1_B9_BG-05.gif</t>
  </si>
  <si>
    <r>
      <rPr>
        <sz val="10"/>
        <color theme="1"/>
        <rFont val="Times New Roman"/>
      </rPr>
      <t>他喜欢猫</t>
    </r>
    <r>
      <rPr>
        <b/>
        <sz val="10"/>
        <color theme="1"/>
        <rFont val="Times New Roman"/>
      </rPr>
      <t>和</t>
    </r>
    <r>
      <rPr>
        <sz val="10"/>
        <color theme="1"/>
        <rFont val="Times New Roman"/>
      </rPr>
      <t>狗。</t>
    </r>
  </si>
  <si>
    <t>H1_B9_BG-06.gif</t>
  </si>
  <si>
    <r>
      <rPr>
        <sz val="10"/>
        <color theme="1"/>
        <rFont val="Times New Roman"/>
      </rPr>
      <t>两个人</t>
    </r>
    <r>
      <rPr>
        <b/>
        <sz val="10"/>
        <color theme="1"/>
        <rFont val="Times New Roman"/>
      </rPr>
      <t>坐</t>
    </r>
    <r>
      <rPr>
        <sz val="10"/>
        <color theme="1"/>
        <rFont val="Times New Roman"/>
      </rPr>
      <t>在一起。</t>
    </r>
  </si>
  <si>
    <t>H1_B9_BG-07.gif</t>
  </si>
  <si>
    <r>
      <rPr>
        <sz val="10"/>
        <color theme="1"/>
        <rFont val="Times New Roman"/>
      </rPr>
      <t>她</t>
    </r>
    <r>
      <rPr>
        <b/>
        <sz val="10"/>
        <color theme="1"/>
        <rFont val="Times New Roman"/>
      </rPr>
      <t>没有</t>
    </r>
    <r>
      <rPr>
        <sz val="10"/>
        <color theme="1"/>
        <rFont val="Times New Roman"/>
      </rPr>
      <t>书。</t>
    </r>
  </si>
  <si>
    <t>H1_B9_BG-08.gif</t>
  </si>
  <si>
    <r>
      <rPr>
        <sz val="10"/>
        <color theme="1"/>
        <rFont val="Times New Roman"/>
      </rPr>
      <t>你</t>
    </r>
    <r>
      <rPr>
        <b/>
        <sz val="10"/>
        <color theme="1"/>
        <rFont val="Times New Roman"/>
      </rPr>
      <t>能</t>
    </r>
    <r>
      <rPr>
        <sz val="10"/>
        <color theme="1"/>
        <rFont val="Times New Roman"/>
      </rPr>
      <t>搬这个柜子吗？</t>
    </r>
  </si>
  <si>
    <t>H1_B9_BG-09.gif</t>
  </si>
  <si>
    <r>
      <rPr>
        <sz val="10"/>
        <color theme="1"/>
        <rFont val="Times New Roman"/>
      </rPr>
      <t>这本</t>
    </r>
    <r>
      <rPr>
        <b/>
        <sz val="10"/>
        <color theme="1"/>
        <rFont val="Times New Roman"/>
      </rPr>
      <t>书</t>
    </r>
    <r>
      <rPr>
        <sz val="10"/>
        <color theme="1"/>
        <rFont val="Times New Roman"/>
      </rPr>
      <t>是我的。</t>
    </r>
  </si>
  <si>
    <t>H1_B9_BG-10.gif</t>
  </si>
  <si>
    <r>
      <rPr>
        <b/>
        <sz val="10"/>
        <color theme="1"/>
        <rFont val="Times New Roman"/>
      </rPr>
      <t>桌子</t>
    </r>
    <r>
      <rPr>
        <sz val="10"/>
        <color theme="1"/>
        <rFont val="Times New Roman"/>
      </rPr>
      <t>很大。</t>
    </r>
  </si>
  <si>
    <t>H1_B9_BG-11.gif</t>
  </si>
  <si>
    <r>
      <rPr>
        <sz val="10"/>
        <color theme="1"/>
        <rFont val="Times New Roman"/>
      </rPr>
      <t>这是麦克的</t>
    </r>
    <r>
      <rPr>
        <b/>
        <sz val="10"/>
        <color theme="1"/>
        <rFont val="Times New Roman"/>
      </rPr>
      <t>电脑</t>
    </r>
    <r>
      <rPr>
        <sz val="10"/>
        <color theme="1"/>
        <rFont val="Times New Roman"/>
      </rPr>
      <t>。</t>
    </r>
  </si>
  <si>
    <t>H1_B9_BG-12.gif</t>
  </si>
  <si>
    <r>
      <rPr>
        <sz val="10"/>
        <color theme="1"/>
        <rFont val="Times New Roman"/>
      </rPr>
      <t>我们</t>
    </r>
    <r>
      <rPr>
        <b/>
        <sz val="10"/>
        <color theme="1"/>
        <rFont val="Times New Roman"/>
      </rPr>
      <t>中午</t>
    </r>
    <r>
      <rPr>
        <sz val="10"/>
        <color theme="1"/>
        <rFont val="Times New Roman"/>
      </rPr>
      <t>吃面吧！</t>
    </r>
  </si>
  <si>
    <t>H1_B10_BG-01.gif</t>
  </si>
  <si>
    <r>
      <rPr>
        <sz val="10"/>
        <color theme="1"/>
        <rFont val="Times New Roman"/>
      </rPr>
      <t>现在是下午两</t>
    </r>
    <r>
      <rPr>
        <b/>
        <sz val="10"/>
        <color theme="1"/>
        <rFont val="Times New Roman"/>
      </rPr>
      <t>点</t>
    </r>
    <r>
      <rPr>
        <sz val="10"/>
        <color theme="1"/>
        <rFont val="Times New Roman"/>
      </rPr>
      <t>。</t>
    </r>
  </si>
  <si>
    <r>
      <rPr>
        <sz val="10"/>
        <color theme="1"/>
        <rFont val="Times New Roman"/>
      </rPr>
      <t>今天下午四点十五</t>
    </r>
    <r>
      <rPr>
        <b/>
        <sz val="10"/>
        <color theme="1"/>
        <rFont val="Times New Roman"/>
      </rPr>
      <t>分</t>
    </r>
    <r>
      <rPr>
        <sz val="10"/>
        <color theme="1"/>
        <rFont val="Times New Roman"/>
      </rPr>
      <t>，我吃了西瓜。</t>
    </r>
  </si>
  <si>
    <t>H1_B10_BG-03.gif</t>
  </si>
  <si>
    <r>
      <rPr>
        <sz val="10"/>
        <color theme="1"/>
        <rFont val="Times New Roman"/>
      </rPr>
      <t>我们往</t>
    </r>
    <r>
      <rPr>
        <b/>
        <sz val="10"/>
        <color theme="1"/>
        <rFont val="Times New Roman"/>
      </rPr>
      <t>前</t>
    </r>
    <r>
      <rPr>
        <sz val="10"/>
        <color theme="1"/>
        <rFont val="Times New Roman"/>
      </rPr>
      <t>走。</t>
    </r>
  </si>
  <si>
    <t>H1_B10_BG-04.gif</t>
  </si>
  <si>
    <t xml:space="preserve">Bây giờ, hiện tại </t>
  </si>
  <si>
    <r>
      <rPr>
        <b/>
        <sz val="10"/>
        <color theme="1"/>
        <rFont val="Times New Roman"/>
      </rPr>
      <t>现在</t>
    </r>
    <r>
      <rPr>
        <sz val="10"/>
        <color theme="1"/>
        <rFont val="Times New Roman"/>
      </rPr>
      <t>几点了？</t>
    </r>
  </si>
  <si>
    <t>H1_B10_BG-05.gif</t>
  </si>
  <si>
    <r>
      <rPr>
        <sz val="10"/>
        <color theme="1"/>
        <rFont val="Times New Roman"/>
      </rPr>
      <t>你什么</t>
    </r>
    <r>
      <rPr>
        <b/>
        <sz val="10"/>
        <color theme="1"/>
        <rFont val="Times New Roman"/>
      </rPr>
      <t>时候</t>
    </r>
    <r>
      <rPr>
        <sz val="10"/>
        <color theme="1"/>
        <rFont val="Times New Roman"/>
      </rPr>
      <t>起床？</t>
    </r>
  </si>
  <si>
    <t>H1_B10_BG-06.gif</t>
  </si>
  <si>
    <t>吃饭</t>
  </si>
  <si>
    <t>&lt;ruby&gt;吃饭&lt;rt&gt;chī fàn&lt;/rt&gt;&lt;/ruby&gt;</t>
  </si>
  <si>
    <t>chī fàn</t>
  </si>
  <si>
    <t>Ăn cơm</t>
  </si>
  <si>
    <r>
      <rPr>
        <sz val="10"/>
        <color theme="1"/>
        <rFont val="Times New Roman"/>
      </rPr>
      <t>她正在</t>
    </r>
    <r>
      <rPr>
        <b/>
        <sz val="10"/>
        <color theme="1"/>
        <rFont val="Times New Roman"/>
      </rPr>
      <t>吃饭</t>
    </r>
    <r>
      <rPr>
        <sz val="10"/>
        <color theme="1"/>
        <rFont val="Times New Roman"/>
      </rPr>
      <t>。</t>
    </r>
  </si>
  <si>
    <t>Tā zhèngzài chīfàn.</t>
  </si>
  <si>
    <t>Cô ấy đang ăn cơm.</t>
  </si>
  <si>
    <t>H1_B10_BG-07.gif</t>
  </si>
  <si>
    <r>
      <rPr>
        <sz val="10"/>
        <color theme="1"/>
        <rFont val="Times New Roman"/>
      </rPr>
      <t>我晚上八点</t>
    </r>
    <r>
      <rPr>
        <b/>
        <sz val="10"/>
        <color theme="1"/>
        <rFont val="Times New Roman"/>
      </rPr>
      <t>回</t>
    </r>
    <r>
      <rPr>
        <sz val="10"/>
        <color theme="1"/>
        <rFont val="Times New Roman"/>
      </rPr>
      <t>家。</t>
    </r>
  </si>
  <si>
    <r>
      <rPr>
        <sz val="10"/>
        <color theme="1"/>
        <rFont val="Times New Roman"/>
      </rPr>
      <t>她</t>
    </r>
    <r>
      <rPr>
        <b/>
        <sz val="10"/>
        <color theme="1"/>
        <rFont val="Times New Roman"/>
      </rPr>
      <t>住</t>
    </r>
    <r>
      <rPr>
        <sz val="10"/>
        <color theme="1"/>
        <rFont val="Times New Roman"/>
      </rPr>
      <t>在这儿。</t>
    </r>
  </si>
  <si>
    <t>H1_B10_BG-09.gif</t>
  </si>
  <si>
    <r>
      <rPr>
        <b/>
        <sz val="10"/>
        <color theme="1"/>
        <rFont val="Times New Roman"/>
      </rPr>
      <t>我们</t>
    </r>
    <r>
      <rPr>
        <sz val="10"/>
        <color theme="1"/>
        <rFont val="Times New Roman"/>
      </rPr>
      <t>是一个幸福的家庭。</t>
    </r>
  </si>
  <si>
    <t>H1_B10_BG-10.gif</t>
  </si>
  <si>
    <t>电影</t>
  </si>
  <si>
    <t>&lt;ruby&gt;电影&lt;rt&gt;diàn yǐng&lt;/rt&gt;&lt;/ruby&gt;</t>
  </si>
  <si>
    <t>diàn yǐng</t>
  </si>
  <si>
    <t xml:space="preserve">Phim </t>
  </si>
  <si>
    <r>
      <rPr>
        <sz val="10"/>
        <color theme="1"/>
        <rFont val="Times New Roman"/>
      </rPr>
      <t>这部</t>
    </r>
    <r>
      <rPr>
        <b/>
        <sz val="10"/>
        <color theme="1"/>
        <rFont val="Times New Roman"/>
      </rPr>
      <t>电影</t>
    </r>
    <r>
      <rPr>
        <sz val="10"/>
        <color theme="1"/>
        <rFont val="Times New Roman"/>
      </rPr>
      <t>很好看。</t>
    </r>
  </si>
  <si>
    <t>Zhè bù diànyǐng hěn hǎokàn.</t>
  </si>
  <si>
    <t>Bộ phim này rất hay.</t>
  </si>
  <si>
    <t>H1_B10_BG-11.gif</t>
  </si>
  <si>
    <r>
      <rPr>
        <sz val="10"/>
        <color theme="1"/>
        <rFont val="Times New Roman"/>
      </rPr>
      <t>冬天常常</t>
    </r>
    <r>
      <rPr>
        <b/>
        <sz val="10"/>
        <color theme="1"/>
        <rFont val="Times New Roman"/>
      </rPr>
      <t>下</t>
    </r>
    <r>
      <rPr>
        <sz val="10"/>
        <color theme="1"/>
        <rFont val="Times New Roman"/>
      </rPr>
      <t>雪。</t>
    </r>
  </si>
  <si>
    <t>H1_B11_BG-01.gif</t>
  </si>
  <si>
    <r>
      <rPr>
        <sz val="10"/>
        <color theme="1"/>
        <rFont val="Times New Roman"/>
      </rPr>
      <t>今天下午可能</t>
    </r>
    <r>
      <rPr>
        <b/>
        <sz val="10"/>
        <color theme="1"/>
        <rFont val="Times New Roman"/>
      </rPr>
      <t>下雨</t>
    </r>
    <r>
      <rPr>
        <sz val="10"/>
        <color theme="1"/>
        <rFont val="Times New Roman"/>
      </rPr>
      <t>。</t>
    </r>
  </si>
  <si>
    <t>H1_B11_BG-02.gif</t>
  </si>
  <si>
    <r>
      <rPr>
        <b/>
        <sz val="10"/>
        <color theme="1"/>
        <rFont val="Times New Roman"/>
      </rPr>
      <t>雨</t>
    </r>
    <r>
      <rPr>
        <sz val="10"/>
        <color theme="1"/>
        <rFont val="Times New Roman"/>
      </rPr>
      <t>下得很大。</t>
    </r>
  </si>
  <si>
    <t>H1_B11_BG-03.gif</t>
  </si>
  <si>
    <r>
      <rPr>
        <sz val="10"/>
        <color theme="1"/>
        <rFont val="Times New Roman"/>
      </rPr>
      <t>今天的</t>
    </r>
    <r>
      <rPr>
        <b/>
        <sz val="10"/>
        <color theme="1"/>
        <rFont val="Times New Roman"/>
      </rPr>
      <t>天气</t>
    </r>
    <r>
      <rPr>
        <sz val="10"/>
        <color theme="1"/>
        <rFont val="Times New Roman"/>
      </rPr>
      <t>很好。</t>
    </r>
  </si>
  <si>
    <t>H1_B11_BG-04.gif</t>
  </si>
  <si>
    <r>
      <rPr>
        <sz val="10"/>
        <color theme="1"/>
        <rFont val="Times New Roman"/>
      </rPr>
      <t>北方的冬天很</t>
    </r>
    <r>
      <rPr>
        <b/>
        <sz val="10"/>
        <color theme="1"/>
        <rFont val="Times New Roman"/>
      </rPr>
      <t>冷</t>
    </r>
    <r>
      <rPr>
        <sz val="10"/>
        <color theme="1"/>
        <rFont val="Times New Roman"/>
      </rPr>
      <t>。</t>
    </r>
  </si>
  <si>
    <t>H1_B11_BG-05.gif</t>
  </si>
  <si>
    <r>
      <rPr>
        <sz val="10"/>
        <color theme="1"/>
        <rFont val="Times New Roman"/>
      </rPr>
      <t>夏天这里很</t>
    </r>
    <r>
      <rPr>
        <b/>
        <sz val="10"/>
        <color theme="1"/>
        <rFont val="Times New Roman"/>
      </rPr>
      <t>热</t>
    </r>
    <r>
      <rPr>
        <sz val="10"/>
        <color theme="1"/>
        <rFont val="Times New Roman"/>
      </rPr>
      <t>。</t>
    </r>
  </si>
  <si>
    <t>H1_B11_BG-06.gif</t>
  </si>
  <si>
    <r>
      <rPr>
        <sz val="10"/>
        <color rgb="FF0E0E0E"/>
        <rFont val="Times New Roman"/>
      </rPr>
      <t>这条裙子</t>
    </r>
    <r>
      <rPr>
        <b/>
        <sz val="10"/>
        <color rgb="FF0E0E0E"/>
        <rFont val="Times New Roman"/>
      </rPr>
      <t>太</t>
    </r>
    <r>
      <rPr>
        <sz val="10"/>
        <color rgb="FF0E0E0E"/>
        <rFont val="Times New Roman"/>
      </rPr>
      <t>漂亮。</t>
    </r>
  </si>
  <si>
    <t>H1_B11_BG-07.gif</t>
  </si>
  <si>
    <r>
      <rPr>
        <sz val="10"/>
        <color theme="1"/>
        <rFont val="Times New Roman"/>
      </rPr>
      <t>今天天气</t>
    </r>
    <r>
      <rPr>
        <b/>
        <sz val="10"/>
        <color theme="1"/>
        <rFont val="Times New Roman"/>
      </rPr>
      <t>怎么样</t>
    </r>
    <r>
      <rPr>
        <sz val="10"/>
        <color theme="1"/>
        <rFont val="Times New Roman"/>
      </rPr>
      <t>？</t>
    </r>
  </si>
  <si>
    <t>H1_B11_BG-08.gif</t>
  </si>
  <si>
    <r>
      <rPr>
        <sz val="10"/>
        <color theme="1"/>
        <rFont val="Times New Roman"/>
      </rPr>
      <t>她很</t>
    </r>
    <r>
      <rPr>
        <b/>
        <sz val="10"/>
        <color theme="1"/>
        <rFont val="Times New Roman"/>
      </rPr>
      <t>爱</t>
    </r>
    <r>
      <rPr>
        <sz val="10"/>
        <color theme="1"/>
        <rFont val="Times New Roman"/>
      </rPr>
      <t>她的妈妈。</t>
    </r>
  </si>
  <si>
    <t>H1_B11_BG-09.gif</t>
  </si>
  <si>
    <r>
      <rPr>
        <sz val="10"/>
        <color theme="1"/>
        <rFont val="Times New Roman"/>
      </rPr>
      <t>你的</t>
    </r>
    <r>
      <rPr>
        <b/>
        <sz val="10"/>
        <color theme="1"/>
        <rFont val="Times New Roman"/>
      </rPr>
      <t>身体</t>
    </r>
    <r>
      <rPr>
        <sz val="10"/>
        <color theme="1"/>
        <rFont val="Times New Roman"/>
      </rPr>
      <t>怎么样？</t>
    </r>
  </si>
  <si>
    <t>小姐</t>
  </si>
  <si>
    <t>&lt;ruby&gt;小姐&lt;rt&gt;xiǎojiě&lt;/rt&gt;&lt;/ruby&gt;</t>
  </si>
  <si>
    <t>xiǎojiě</t>
  </si>
  <si>
    <t>Tiểu thư</t>
  </si>
  <si>
    <r>
      <rPr>
        <sz val="10"/>
        <color theme="1"/>
        <rFont val="Times New Roman"/>
      </rPr>
      <t>那位</t>
    </r>
    <r>
      <rPr>
        <b/>
        <sz val="10"/>
        <color theme="1"/>
        <rFont val="Times New Roman"/>
      </rPr>
      <t>小姐</t>
    </r>
    <r>
      <rPr>
        <sz val="10"/>
        <color theme="1"/>
        <rFont val="Times New Roman"/>
      </rPr>
      <t>很漂亮。</t>
    </r>
  </si>
  <si>
    <t>Nà wèi xiǎojiě hěn piàoliang.</t>
  </si>
  <si>
    <t>Vị tiểu thư kia rất xinh đẹp.</t>
  </si>
  <si>
    <t>H1_B11_BG-11.gif</t>
  </si>
  <si>
    <r>
      <rPr>
        <sz val="10"/>
        <color theme="1"/>
        <rFont val="Times New Roman"/>
      </rPr>
      <t>她</t>
    </r>
    <r>
      <rPr>
        <b/>
        <sz val="10"/>
        <color theme="1"/>
        <rFont val="Times New Roman"/>
      </rPr>
      <t>来</t>
    </r>
    <r>
      <rPr>
        <sz val="10"/>
        <color theme="1"/>
        <rFont val="Times New Roman"/>
      </rPr>
      <t>了。</t>
    </r>
  </si>
  <si>
    <t>H1_B11_BG-12.gif</t>
  </si>
  <si>
    <r>
      <rPr>
        <sz val="10"/>
        <color theme="1"/>
        <rFont val="Times New Roman"/>
      </rPr>
      <t>请给我一杯</t>
    </r>
    <r>
      <rPr>
        <b/>
        <sz val="10"/>
        <color theme="1"/>
        <rFont val="Times New Roman"/>
      </rPr>
      <t>水</t>
    </r>
    <r>
      <rPr>
        <sz val="10"/>
        <color theme="1"/>
        <rFont val="Times New Roman"/>
      </rPr>
      <t>。</t>
    </r>
  </si>
  <si>
    <t>H1_B11_BG-13.gif</t>
  </si>
  <si>
    <r>
      <rPr>
        <sz val="10"/>
        <color theme="1"/>
        <rFont val="Times New Roman"/>
      </rPr>
      <t>我买了一些</t>
    </r>
    <r>
      <rPr>
        <b/>
        <sz val="10"/>
        <color theme="1"/>
        <rFont val="Times New Roman"/>
      </rPr>
      <t>水果</t>
    </r>
    <r>
      <rPr>
        <sz val="10"/>
        <color theme="1"/>
        <rFont val="Times New Roman"/>
      </rPr>
      <t>。</t>
    </r>
  </si>
  <si>
    <t>H1_B11_BG-14.gif</t>
  </si>
  <si>
    <t xml:space="preserve">Một ít, một số, một vài </t>
  </si>
  <si>
    <r>
      <rPr>
        <sz val="10"/>
        <color theme="1"/>
        <rFont val="Times New Roman"/>
      </rPr>
      <t>我买了</t>
    </r>
    <r>
      <rPr>
        <b/>
        <sz val="10"/>
        <color theme="1"/>
        <rFont val="Times New Roman"/>
      </rPr>
      <t>些</t>
    </r>
    <r>
      <rPr>
        <sz val="10"/>
        <color theme="1"/>
        <rFont val="Times New Roman"/>
      </rPr>
      <t>苹果。</t>
    </r>
  </si>
  <si>
    <t>H1_B11_BG-15.gif</t>
  </si>
  <si>
    <r>
      <rPr>
        <sz val="10"/>
        <color theme="1"/>
        <rFont val="Times New Roman"/>
      </rPr>
      <t>每个</t>
    </r>
    <r>
      <rPr>
        <b/>
        <sz val="10"/>
        <color theme="1"/>
        <rFont val="Times New Roman"/>
      </rPr>
      <t>上午</t>
    </r>
    <r>
      <rPr>
        <sz val="10"/>
        <color theme="1"/>
        <rFont val="Times New Roman"/>
      </rPr>
      <t>我都喝一杯咖啡。</t>
    </r>
  </si>
  <si>
    <t>H1_B12_BG-01.gif</t>
  </si>
  <si>
    <r>
      <rPr>
        <sz val="10"/>
        <color theme="1"/>
        <rFont val="Times New Roman"/>
      </rPr>
      <t>女儿在</t>
    </r>
    <r>
      <rPr>
        <b/>
        <sz val="10"/>
        <color theme="1"/>
        <rFont val="Times New Roman"/>
      </rPr>
      <t>睡觉</t>
    </r>
    <r>
      <rPr>
        <sz val="10"/>
        <color theme="1"/>
        <rFont val="Times New Roman"/>
      </rPr>
      <t>。</t>
    </r>
  </si>
  <si>
    <t xml:space="preserve">Con gái đang ngủ. </t>
  </si>
  <si>
    <t>H1_B12_BG-02.gif</t>
  </si>
  <si>
    <r>
      <rPr>
        <sz val="10"/>
        <color theme="1"/>
        <rFont val="Times New Roman"/>
      </rPr>
      <t>小明在</t>
    </r>
    <r>
      <rPr>
        <b/>
        <sz val="10"/>
        <color theme="1"/>
        <rFont val="Times New Roman"/>
      </rPr>
      <t>学习</t>
    </r>
    <r>
      <rPr>
        <sz val="10"/>
        <color theme="1"/>
        <rFont val="Times New Roman"/>
      </rPr>
      <t>。</t>
    </r>
  </si>
  <si>
    <t xml:space="preserve">Tiểu Minh đang học bài. </t>
  </si>
  <si>
    <t>H1_B12_BG-03.gif</t>
  </si>
  <si>
    <r>
      <rPr>
        <sz val="10"/>
        <color theme="1"/>
        <rFont val="Times New Roman"/>
      </rPr>
      <t>他正在给妈妈</t>
    </r>
    <r>
      <rPr>
        <b/>
        <sz val="10"/>
        <color theme="1"/>
        <rFont val="Times New Roman"/>
      </rPr>
      <t>打电话</t>
    </r>
    <r>
      <rPr>
        <sz val="10"/>
        <color theme="1"/>
        <rFont val="Times New Roman"/>
      </rPr>
      <t xml:space="preserve">。 </t>
    </r>
  </si>
  <si>
    <t xml:space="preserve">Anh ấy đang gọi điện thoại cho mẹ. </t>
  </si>
  <si>
    <t>H1_B12_BG-04.gif</t>
  </si>
  <si>
    <r>
      <rPr>
        <sz val="10"/>
        <color theme="1"/>
        <rFont val="Times New Roman"/>
      </rPr>
      <t>这台</t>
    </r>
    <r>
      <rPr>
        <b/>
        <sz val="10"/>
        <color theme="1"/>
        <rFont val="Times New Roman"/>
      </rPr>
      <t>电视</t>
    </r>
    <r>
      <rPr>
        <sz val="10"/>
        <color theme="1"/>
        <rFont val="Times New Roman"/>
      </rPr>
      <t>真大。</t>
    </r>
  </si>
  <si>
    <t>H1_B12_BG-05.gif</t>
  </si>
  <si>
    <r>
      <rPr>
        <sz val="10"/>
        <color theme="1"/>
        <rFont val="Times New Roman"/>
      </rPr>
      <t>他</t>
    </r>
    <r>
      <rPr>
        <b/>
        <sz val="10"/>
        <color theme="1"/>
        <rFont val="Times New Roman"/>
      </rPr>
      <t>给</t>
    </r>
    <r>
      <rPr>
        <sz val="10"/>
        <color theme="1"/>
        <rFont val="Times New Roman"/>
      </rPr>
      <t>我一本书。</t>
    </r>
  </si>
  <si>
    <r>
      <rPr>
        <b/>
        <sz val="10"/>
        <color theme="1"/>
        <rFont val="Times New Roman"/>
      </rPr>
      <t xml:space="preserve">喂! </t>
    </r>
    <r>
      <rPr>
        <sz val="10"/>
        <color theme="1"/>
        <rFont val="Times New Roman"/>
      </rPr>
      <t>你在做什么呢？</t>
    </r>
  </si>
  <si>
    <t>H1_B12_BG-07.gif</t>
  </si>
  <si>
    <r>
      <rPr>
        <sz val="10"/>
        <color theme="1"/>
        <rFont val="Times New Roman"/>
      </rPr>
      <t>我</t>
    </r>
    <r>
      <rPr>
        <b/>
        <sz val="10"/>
        <color theme="1"/>
        <rFont val="Times New Roman"/>
      </rPr>
      <t>也</t>
    </r>
    <r>
      <rPr>
        <sz val="10"/>
        <color theme="1"/>
        <rFont val="Times New Roman"/>
      </rPr>
      <t xml:space="preserve">喜欢看书。 </t>
    </r>
  </si>
  <si>
    <t xml:space="preserve">Tôi cũng thích đọc sách. </t>
  </si>
  <si>
    <t>H1_B12_BG-08.gif</t>
  </si>
  <si>
    <r>
      <rPr>
        <sz val="10"/>
        <color theme="1"/>
        <rFont val="Times New Roman"/>
      </rPr>
      <t>我们一起打篮球</t>
    </r>
    <r>
      <rPr>
        <b/>
        <sz val="10"/>
        <color theme="1"/>
        <rFont val="Times New Roman"/>
      </rPr>
      <t>吧</t>
    </r>
    <r>
      <rPr>
        <sz val="10"/>
        <color theme="1"/>
        <rFont val="Times New Roman"/>
      </rPr>
      <t>！</t>
    </r>
  </si>
  <si>
    <t>H1_B12_BG-09.gif</t>
  </si>
  <si>
    <r>
      <rPr>
        <sz val="10"/>
        <color theme="1"/>
        <rFont val="Times New Roman"/>
      </rPr>
      <t>他</t>
    </r>
    <r>
      <rPr>
        <b/>
        <sz val="10"/>
        <color theme="1"/>
        <rFont val="Times New Roman"/>
      </rPr>
      <t>喜欢</t>
    </r>
    <r>
      <rPr>
        <sz val="10"/>
        <color theme="1"/>
        <rFont val="Times New Roman"/>
      </rPr>
      <t>做饭。</t>
    </r>
  </si>
  <si>
    <t xml:space="preserve">Anh ấy thích nấu ăn. </t>
  </si>
  <si>
    <t>H1_B12_BG-10.gif</t>
  </si>
  <si>
    <r>
      <rPr>
        <sz val="10"/>
        <color rgb="FF0E0E0E"/>
        <rFont val="Times New Roman"/>
      </rPr>
      <t>这辆车有</t>
    </r>
    <r>
      <rPr>
        <b/>
        <sz val="10"/>
        <color rgb="FF0E0E0E"/>
        <rFont val="Times New Roman"/>
      </rPr>
      <t>一点儿</t>
    </r>
    <r>
      <rPr>
        <sz val="10"/>
        <color rgb="FF0E0E0E"/>
        <rFont val="Times New Roman"/>
      </rPr>
      <t>旧。</t>
    </r>
  </si>
  <si>
    <t>H1_B13_BG-01.gif</t>
  </si>
  <si>
    <t>不少</t>
  </si>
  <si>
    <t>&lt;ruby&gt;不少&lt;rt&gt;bùshǎo&lt;/rt&gt;&lt;/ruby&gt;</t>
  </si>
  <si>
    <t>bùshǎo</t>
  </si>
  <si>
    <t>Không ít</t>
  </si>
  <si>
    <r>
      <rPr>
        <sz val="10"/>
        <color rgb="FF0E0E0E"/>
        <rFont val="Times New Roman"/>
      </rPr>
      <t>今天的菜</t>
    </r>
    <r>
      <rPr>
        <b/>
        <sz val="10"/>
        <color rgb="FF0E0E0E"/>
        <rFont val="Times New Roman"/>
      </rPr>
      <t>不少</t>
    </r>
    <r>
      <rPr>
        <sz val="10"/>
        <color rgb="FF0E0E0E"/>
        <rFont val="Times New Roman"/>
      </rPr>
      <t>，都很美味。</t>
    </r>
  </si>
  <si>
    <t>Jīntiān de cài bù shǎo, dōu hěn měiwèi.</t>
  </si>
  <si>
    <t>Các món ăn hôm nay không ít, món nào cũng rất ngon.</t>
  </si>
  <si>
    <t>H1_B13_BG-02.gif</t>
  </si>
  <si>
    <r>
      <rPr>
        <sz val="10"/>
        <color theme="1"/>
        <rFont val="Times New Roman"/>
      </rPr>
      <t>请</t>
    </r>
    <r>
      <rPr>
        <b/>
        <sz val="10"/>
        <color theme="1"/>
        <rFont val="Times New Roman"/>
      </rPr>
      <t>少</t>
    </r>
    <r>
      <rPr>
        <sz val="10"/>
        <color theme="1"/>
        <rFont val="Times New Roman"/>
      </rPr>
      <t>放一点儿糖。</t>
    </r>
  </si>
  <si>
    <t xml:space="preserve">Hãy cho ít đường một chút. </t>
  </si>
  <si>
    <t>H1_B13_BG-03.gif</t>
  </si>
  <si>
    <r>
      <rPr>
        <sz val="10"/>
        <color theme="1"/>
        <rFont val="Times New Roman"/>
      </rPr>
      <t>我想买一些厨房的</t>
    </r>
    <r>
      <rPr>
        <b/>
        <sz val="10"/>
        <color theme="1"/>
        <rFont val="Times New Roman"/>
      </rPr>
      <t>东西</t>
    </r>
    <r>
      <rPr>
        <sz val="10"/>
        <color theme="1"/>
        <rFont val="Times New Roman"/>
      </rPr>
      <t>。</t>
    </r>
  </si>
  <si>
    <t xml:space="preserve">Tôi muốn mua một vài đồ dùng phòng bếp. </t>
  </si>
  <si>
    <t>H1_B13_BG-04.gif</t>
  </si>
  <si>
    <r>
      <rPr>
        <sz val="10"/>
        <color theme="1"/>
        <rFont val="Times New Roman"/>
      </rPr>
      <t>我买了一斤</t>
    </r>
    <r>
      <rPr>
        <b/>
        <sz val="10"/>
        <color theme="1"/>
        <rFont val="Times New Roman"/>
      </rPr>
      <t>苹果</t>
    </r>
    <r>
      <rPr>
        <sz val="10"/>
        <color theme="1"/>
        <rFont val="Times New Roman"/>
      </rPr>
      <t>。</t>
    </r>
  </si>
  <si>
    <t xml:space="preserve">Tôi mua nửa cân táo. </t>
  </si>
  <si>
    <t>H1_B13_BG-05.gif</t>
  </si>
  <si>
    <r>
      <rPr>
        <sz val="10"/>
        <color theme="1"/>
        <rFont val="Times New Roman"/>
      </rPr>
      <t>这是中国传统</t>
    </r>
    <r>
      <rPr>
        <b/>
        <sz val="10"/>
        <color theme="1"/>
        <rFont val="Times New Roman"/>
      </rPr>
      <t>衣服</t>
    </r>
    <r>
      <rPr>
        <sz val="10"/>
        <color theme="1"/>
        <rFont val="Times New Roman"/>
      </rPr>
      <t>。</t>
    </r>
  </si>
  <si>
    <t xml:space="preserve">Đây là quần áo truyền thống của Trung Quốc </t>
  </si>
  <si>
    <t>H1_B13_BG-06.gif</t>
  </si>
  <si>
    <r>
      <rPr>
        <sz val="10"/>
        <color theme="1"/>
        <rFont val="Times New Roman"/>
      </rPr>
      <t>我喜欢这辆</t>
    </r>
    <r>
      <rPr>
        <b/>
        <sz val="10"/>
        <color theme="1"/>
        <rFont val="Times New Roman"/>
      </rPr>
      <t>车</t>
    </r>
    <r>
      <rPr>
        <sz val="10"/>
        <color theme="1"/>
        <rFont val="Times New Roman"/>
      </rPr>
      <t>。</t>
    </r>
  </si>
  <si>
    <t xml:space="preserve">Tôi thích chiếc xe này. </t>
  </si>
  <si>
    <t>H1_B13_BG-07.gif</t>
  </si>
  <si>
    <r>
      <rPr>
        <sz val="10"/>
        <color theme="1"/>
        <rFont val="Times New Roman"/>
      </rPr>
      <t>李</t>
    </r>
    <r>
      <rPr>
        <b/>
        <sz val="10"/>
        <color theme="1"/>
        <rFont val="Times New Roman"/>
      </rPr>
      <t>先生</t>
    </r>
    <r>
      <rPr>
        <sz val="10"/>
        <color theme="1"/>
        <rFont val="Times New Roman"/>
      </rPr>
      <t>！请上车。</t>
    </r>
  </si>
  <si>
    <t xml:space="preserve">Ngài Lý! Xin mời lên xe. </t>
  </si>
  <si>
    <t>H1_B13_BG-08.gif</t>
  </si>
  <si>
    <r>
      <rPr>
        <b/>
        <sz val="10"/>
        <color theme="1"/>
        <rFont val="Times New Roman"/>
      </rPr>
      <t>啊</t>
    </r>
    <r>
      <rPr>
        <sz val="10"/>
        <color theme="1"/>
        <rFont val="Times New Roman"/>
      </rPr>
      <t>！有一只猫在树上！</t>
    </r>
  </si>
  <si>
    <r>
      <rPr>
        <sz val="10"/>
        <color theme="1"/>
        <rFont val="Times New Roman"/>
      </rPr>
      <t>学校</t>
    </r>
    <r>
      <rPr>
        <b/>
        <sz val="10"/>
        <color theme="1"/>
        <rFont val="Times New Roman"/>
      </rPr>
      <t>后</t>
    </r>
    <r>
      <rPr>
        <sz val="10"/>
        <color theme="1"/>
        <rFont val="Times New Roman"/>
      </rPr>
      <t xml:space="preserve">有一家饭店。 </t>
    </r>
  </si>
  <si>
    <t xml:space="preserve">Phía sau trường có một quán ăn. </t>
  </si>
  <si>
    <t>H1_B13_BG-10.gif</t>
  </si>
  <si>
    <r>
      <rPr>
        <sz val="10"/>
        <color theme="1"/>
        <rFont val="Times New Roman"/>
      </rPr>
      <t>电影8点开始，我们还有十</t>
    </r>
    <r>
      <rPr>
        <b/>
        <sz val="10"/>
        <color theme="1"/>
        <rFont val="Times New Roman"/>
      </rPr>
      <t>分钟</t>
    </r>
    <r>
      <rPr>
        <sz val="10"/>
        <color theme="1"/>
        <rFont val="Times New Roman"/>
      </rPr>
      <t>。</t>
    </r>
  </si>
  <si>
    <t>H1_B13_BG-11.gif</t>
  </si>
  <si>
    <r>
      <rPr>
        <sz val="10"/>
        <color theme="1"/>
        <rFont val="Times New Roman"/>
      </rPr>
      <t>早上应该打</t>
    </r>
    <r>
      <rPr>
        <b/>
        <sz val="10"/>
        <color theme="1"/>
        <rFont val="Times New Roman"/>
      </rPr>
      <t>开</t>
    </r>
    <r>
      <rPr>
        <sz val="10"/>
        <color theme="1"/>
        <rFont val="Times New Roman"/>
      </rPr>
      <t>窗户。</t>
    </r>
  </si>
  <si>
    <t>chi</t>
  </si>
  <si>
    <r>
      <rPr>
        <sz val="10"/>
        <color theme="1"/>
        <rFont val="Times New Roman"/>
      </rPr>
      <t>你去旅游什么时候</t>
    </r>
    <r>
      <rPr>
        <b/>
        <sz val="10"/>
        <color theme="1"/>
        <rFont val="Times New Roman"/>
      </rPr>
      <t>回来</t>
    </r>
    <r>
      <rPr>
        <sz val="10"/>
        <color theme="1"/>
        <rFont val="Times New Roman"/>
      </rPr>
      <t>?</t>
    </r>
  </si>
  <si>
    <r>
      <rPr>
        <sz val="10"/>
        <color theme="1"/>
        <rFont val="Times New Roman"/>
      </rPr>
      <t>我</t>
    </r>
    <r>
      <rPr>
        <b/>
        <sz val="10"/>
        <color theme="1"/>
        <rFont val="Times New Roman"/>
      </rPr>
      <t>看见</t>
    </r>
    <r>
      <rPr>
        <sz val="10"/>
        <color theme="1"/>
        <rFont val="Times New Roman"/>
      </rPr>
      <t>了很多玩具</t>
    </r>
  </si>
  <si>
    <t>H1_B13_BG-14.gif</t>
  </si>
  <si>
    <r>
      <rPr>
        <sz val="10"/>
        <color theme="1"/>
        <rFont val="Times New Roman"/>
      </rPr>
      <t>你的花盆真</t>
    </r>
    <r>
      <rPr>
        <b/>
        <sz val="10"/>
        <color theme="1"/>
        <rFont val="Times New Roman"/>
      </rPr>
      <t>漂亮</t>
    </r>
    <r>
      <rPr>
        <sz val="10"/>
        <color theme="1"/>
        <rFont val="Times New Roman"/>
      </rPr>
      <t>！</t>
    </r>
  </si>
  <si>
    <t>H1_B13_BG-15.gif</t>
  </si>
  <si>
    <r>
      <rPr>
        <b/>
        <sz val="10"/>
        <color theme="1"/>
        <rFont val="Times New Roman"/>
      </rPr>
      <t>这些</t>
    </r>
    <r>
      <rPr>
        <sz val="10"/>
        <color theme="1"/>
        <rFont val="Times New Roman"/>
      </rPr>
      <t>书很好看。</t>
    </r>
  </si>
  <si>
    <t>H1_B13_BG-16.gif</t>
  </si>
  <si>
    <r>
      <rPr>
        <sz val="10"/>
        <color theme="1"/>
        <rFont val="Times New Roman"/>
      </rPr>
      <t>我们</t>
    </r>
    <r>
      <rPr>
        <b/>
        <sz val="10"/>
        <color theme="1"/>
        <rFont val="Times New Roman"/>
      </rPr>
      <t>都</t>
    </r>
    <r>
      <rPr>
        <sz val="10"/>
        <color theme="1"/>
        <rFont val="Times New Roman"/>
      </rPr>
      <t>喜欢红色。</t>
    </r>
  </si>
  <si>
    <t xml:space="preserve">Chúng tôi đều thích màu đỏ. </t>
  </si>
  <si>
    <t>H1_B13_BG-17.gif</t>
  </si>
  <si>
    <r>
      <rPr>
        <sz val="10"/>
        <color theme="1"/>
        <rFont val="Times New Roman"/>
      </rPr>
      <t>我们坐</t>
    </r>
    <r>
      <rPr>
        <b/>
        <sz val="10"/>
        <color theme="1"/>
        <rFont val="Times New Roman"/>
      </rPr>
      <t>出租车</t>
    </r>
    <r>
      <rPr>
        <sz val="10"/>
        <color theme="1"/>
        <rFont val="Times New Roman"/>
      </rPr>
      <t>回去。</t>
    </r>
  </si>
  <si>
    <t xml:space="preserve">Chúng tôi đi taxi về. </t>
  </si>
  <si>
    <t>H1_B14_BG-01.gif</t>
  </si>
  <si>
    <r>
      <rPr>
        <sz val="10"/>
        <color theme="1"/>
        <rFont val="Times New Roman"/>
      </rPr>
      <t>我坐</t>
    </r>
    <r>
      <rPr>
        <b/>
        <sz val="10"/>
        <color theme="1"/>
        <rFont val="Times New Roman"/>
      </rPr>
      <t>飞机</t>
    </r>
    <r>
      <rPr>
        <sz val="10"/>
        <color theme="1"/>
        <rFont val="Times New Roman"/>
      </rPr>
      <t>去上海。</t>
    </r>
  </si>
  <si>
    <t xml:space="preserve">Tôi đi máy bay đến Thượng Hải. </t>
  </si>
  <si>
    <t>H1_B14_BG-02.gif</t>
  </si>
  <si>
    <r>
      <rPr>
        <sz val="10"/>
        <color theme="1"/>
        <rFont val="Times New Roman"/>
      </rPr>
      <t>我在中国读</t>
    </r>
    <r>
      <rPr>
        <b/>
        <sz val="10"/>
        <color theme="1"/>
        <rFont val="Times New Roman"/>
      </rPr>
      <t>大学</t>
    </r>
    <r>
      <rPr>
        <sz val="10"/>
        <color theme="1"/>
        <rFont val="Times New Roman"/>
      </rPr>
      <t xml:space="preserve">。 </t>
    </r>
  </si>
  <si>
    <t xml:space="preserve">Tôi học đại học ở Trung Quốc. </t>
  </si>
  <si>
    <t>H1_B14_BG-03.gif</t>
  </si>
  <si>
    <r>
      <rPr>
        <sz val="10"/>
        <color theme="1"/>
        <rFont val="Times New Roman"/>
      </rPr>
      <t>新</t>
    </r>
    <r>
      <rPr>
        <b/>
        <sz val="10"/>
        <color theme="1"/>
        <rFont val="Times New Roman"/>
      </rPr>
      <t>年</t>
    </r>
    <r>
      <rPr>
        <sz val="10"/>
        <color theme="1"/>
        <rFont val="Times New Roman"/>
      </rPr>
      <t>快乐！</t>
    </r>
  </si>
  <si>
    <t>H1_B14_BG-04.gif</t>
  </si>
  <si>
    <r>
      <rPr>
        <sz val="10"/>
        <color theme="1"/>
        <rFont val="Times New Roman"/>
      </rPr>
      <t>这家</t>
    </r>
    <r>
      <rPr>
        <b/>
        <sz val="10"/>
        <color theme="1"/>
        <rFont val="Times New Roman"/>
      </rPr>
      <t>饭店</t>
    </r>
    <r>
      <rPr>
        <sz val="10"/>
        <color theme="1"/>
        <rFont val="Times New Roman"/>
      </rPr>
      <t>很大。</t>
    </r>
  </si>
  <si>
    <t xml:space="preserve">Khách sạn này thật lớn. </t>
  </si>
  <si>
    <t>H1_B14_BG-05.gif</t>
  </si>
  <si>
    <r>
      <rPr>
        <sz val="10"/>
        <color theme="1"/>
        <rFont val="Times New Roman"/>
      </rPr>
      <t>每天我都听</t>
    </r>
    <r>
      <rPr>
        <b/>
        <sz val="10"/>
        <color theme="1"/>
        <rFont val="Times New Roman"/>
      </rPr>
      <t>音乐</t>
    </r>
    <r>
      <rPr>
        <sz val="10"/>
        <color theme="1"/>
        <rFont val="Times New Roman"/>
      </rPr>
      <t xml:space="preserve">。 </t>
    </r>
  </si>
  <si>
    <t xml:space="preserve">Tôi nghe nhạc mỗi ngày. </t>
  </si>
  <si>
    <t>H1_B14_BG-06.gif</t>
  </si>
  <si>
    <r>
      <rPr>
        <sz val="10"/>
        <color theme="1"/>
        <rFont val="Times New Roman"/>
      </rPr>
      <t>我</t>
    </r>
    <r>
      <rPr>
        <b/>
        <sz val="10"/>
        <color theme="1"/>
        <rFont val="Times New Roman"/>
      </rPr>
      <t>认识</t>
    </r>
    <r>
      <rPr>
        <sz val="10"/>
        <color theme="1"/>
        <rFont val="Times New Roman"/>
      </rPr>
      <t>他很久了。</t>
    </r>
  </si>
  <si>
    <t xml:space="preserve">Tôi quen anh ấy rất lâu rồi. </t>
  </si>
  <si>
    <t>H1_B14_BG-07.gif</t>
  </si>
  <si>
    <r>
      <rPr>
        <sz val="10"/>
        <color theme="1"/>
        <rFont val="Times New Roman"/>
      </rPr>
      <t>我们</t>
    </r>
    <r>
      <rPr>
        <b/>
        <sz val="10"/>
        <color theme="1"/>
        <rFont val="Times New Roman"/>
      </rPr>
      <t>一起</t>
    </r>
    <r>
      <rPr>
        <sz val="10"/>
        <color theme="1"/>
        <rFont val="Times New Roman"/>
      </rPr>
      <t>种花。</t>
    </r>
  </si>
  <si>
    <t xml:space="preserve">Vui, phấn khởi </t>
  </si>
  <si>
    <r>
      <rPr>
        <sz val="10"/>
        <color theme="1"/>
        <rFont val="Times New Roman"/>
      </rPr>
      <t>出去玩，她很</t>
    </r>
    <r>
      <rPr>
        <b/>
        <sz val="10"/>
        <color theme="1"/>
        <rFont val="Times New Roman"/>
      </rPr>
      <t>高兴</t>
    </r>
    <r>
      <rPr>
        <sz val="10"/>
        <color theme="1"/>
        <rFont val="Times New Roman"/>
      </rPr>
      <t>。</t>
    </r>
  </si>
  <si>
    <t>H1_B14_BG-09.gif</t>
  </si>
  <si>
    <t>爱护</t>
  </si>
  <si>
    <t>&lt;ruby&gt;爱护&lt;rt&gt;àihù&lt;/rt&gt;&lt;/ruby&gt;</t>
  </si>
  <si>
    <t>àihù</t>
  </si>
  <si>
    <t>yêu quý, quý trọng</t>
  </si>
  <si>
    <r>
      <rPr>
        <sz val="10"/>
        <color theme="1"/>
        <rFont val="Calibri"/>
      </rPr>
      <t>母亲总是</t>
    </r>
    <r>
      <rPr>
        <b/>
        <sz val="10"/>
        <color theme="1"/>
        <rFont val="Calibri"/>
      </rPr>
      <t>爱护</t>
    </r>
    <r>
      <rPr>
        <sz val="10"/>
        <color theme="1"/>
        <rFont val="Calibri"/>
      </rPr>
      <t>自己的孩子。</t>
    </r>
  </si>
  <si>
    <t>Người mẹ luôn yêu quý đứa con của mình.</t>
  </si>
  <si>
    <t>H5_B1_BG-01.png</t>
  </si>
  <si>
    <t>B1-01.mp3</t>
  </si>
  <si>
    <t>恩爱</t>
  </si>
  <si>
    <t>&lt;ruby&gt;恩爱&lt;rt&gt;ēn'ài&lt;/rt&gt;&lt;/ruby&gt;</t>
  </si>
  <si>
    <t>ēn'ài</t>
  </si>
  <si>
    <t>ân ái, đằm thắm (vợ chồng)</t>
  </si>
  <si>
    <r>
      <rPr>
        <sz val="11"/>
        <color rgb="FF000000"/>
        <rFont val="Calibri"/>
      </rPr>
      <t>他们是一对</t>
    </r>
    <r>
      <rPr>
        <b/>
        <sz val="11"/>
        <color rgb="FF000000"/>
        <rFont val="Calibri"/>
      </rPr>
      <t>恩爱</t>
    </r>
    <r>
      <rPr>
        <sz val="11"/>
        <color rgb="FF000000"/>
        <rFont val="Calibri"/>
      </rPr>
      <t>的夫妻。</t>
    </r>
  </si>
  <si>
    <t>Họ là một cặp vợ chồng rất tình cảm.</t>
  </si>
  <si>
    <t>H5_B1_BG-02.png</t>
  </si>
  <si>
    <t>B1-02.mp3</t>
  </si>
  <si>
    <t>婚姻</t>
  </si>
  <si>
    <t>&lt;ruby&gt;婚姻&lt;rt&gt;hūnyīn&lt;/rt&gt;&lt;/ruby&gt;</t>
  </si>
  <si>
    <t>hūnyīn</t>
  </si>
  <si>
    <t>hôn nhân</t>
  </si>
  <si>
    <r>
      <rPr>
        <sz val="11"/>
        <color rgb="FF000000"/>
        <rFont val="Calibri"/>
      </rPr>
      <t>幸福的</t>
    </r>
    <r>
      <rPr>
        <b/>
        <sz val="11"/>
        <color rgb="FF000000"/>
        <rFont val="Calibri"/>
      </rPr>
      <t>婚姻</t>
    </r>
    <r>
      <rPr>
        <sz val="11"/>
        <color rgb="FF000000"/>
        <rFont val="Calibri"/>
      </rPr>
      <t>需要两个人一起努力。</t>
    </r>
  </si>
  <si>
    <t>Một cuộc hôn nhân hạnh phúc cần sự cố gắng từ cả hai người.</t>
  </si>
  <si>
    <t>H5_B1_BG-03.png</t>
  </si>
  <si>
    <t>B1-03.mp3</t>
  </si>
  <si>
    <t>吵架</t>
  </si>
  <si>
    <t>&lt;ruby&gt;吵架&lt;rt&gt;chǎojià&lt;/rt&gt;&lt;/ruby&gt;</t>
  </si>
  <si>
    <t>chǎojià</t>
  </si>
  <si>
    <t>cãi nhau</t>
  </si>
  <si>
    <r>
      <rPr>
        <sz val="10"/>
        <color rgb="FF0E0E0E"/>
        <rFont val="Calibri"/>
      </rPr>
      <t>他们俩在</t>
    </r>
    <r>
      <rPr>
        <b/>
        <sz val="10"/>
        <color rgb="FF0E0E0E"/>
        <rFont val="Calibri"/>
      </rPr>
      <t>吵架</t>
    </r>
    <r>
      <rPr>
        <sz val="10"/>
        <color rgb="FF0E0E0E"/>
        <rFont val="Calibri"/>
      </rPr>
      <t>。</t>
    </r>
  </si>
  <si>
    <t>Hai người họ đang cãi nhau.</t>
  </si>
  <si>
    <t>H5_B1_BG-04.png</t>
  </si>
  <si>
    <t>B1-04.mp3</t>
  </si>
  <si>
    <t>Động từ/Tính từ</t>
  </si>
  <si>
    <t>làm ồn; ồn ào</t>
  </si>
  <si>
    <r>
      <rPr>
        <sz val="11"/>
        <color rgb="FF000000"/>
        <rFont val="Calibri"/>
      </rPr>
      <t>别</t>
    </r>
    <r>
      <rPr>
        <b/>
        <sz val="11"/>
        <color rgb="FF000000"/>
        <rFont val="Calibri"/>
      </rPr>
      <t>吵</t>
    </r>
    <r>
      <rPr>
        <sz val="11"/>
        <color rgb="FF000000"/>
        <rFont val="Calibri"/>
      </rPr>
      <t>了，坐下来好好说话。</t>
    </r>
  </si>
  <si>
    <t>Đừng cãi nhau nữa, ngồi xuống nói chuyện tử tế đi.</t>
  </si>
  <si>
    <t>H5_B1_BG-05.png</t>
  </si>
  <si>
    <t>B1-05.mp3</t>
  </si>
  <si>
    <t>相敬如宾</t>
  </si>
  <si>
    <t>&lt;ruby&gt;相敬如宾&lt;rt&gt;xiāngjìng rúbīn&lt;/rt&gt;&lt;/ruby&gt;</t>
  </si>
  <si>
    <t>xiāngjìng rúbīn</t>
  </si>
  <si>
    <t>tương kính như tân (tôn trọng lẫn nhau) (thành ngữ mô tả mối quan hệ 2 người, thường là vợ chồng)</t>
  </si>
  <si>
    <r>
      <rPr>
        <sz val="11"/>
        <color rgb="FF000000"/>
        <rFont val="Calibri"/>
      </rPr>
      <t>他们结婚多年，一直</t>
    </r>
    <r>
      <rPr>
        <b/>
        <sz val="11"/>
        <color rgb="FF000000"/>
        <rFont val="Calibri"/>
      </rPr>
      <t>相敬如宾</t>
    </r>
    <r>
      <rPr>
        <sz val="11"/>
        <color rgb="FF000000"/>
        <rFont val="Calibri"/>
      </rPr>
      <t>。</t>
    </r>
  </si>
  <si>
    <t>Họ đã kết hôn nhiều năm và luôn tôn trọng nhau như khách.</t>
  </si>
  <si>
    <t>H5_B1_BG-06.png</t>
  </si>
  <si>
    <t>B1-06.mp3</t>
  </si>
  <si>
    <t>患难与共</t>
  </si>
  <si>
    <t>&lt;ruby&gt;患难与共&lt;rt&gt;huànnàn yǔgòng&lt;/rt&gt;&lt;/ruby&gt;</t>
  </si>
  <si>
    <t>huànnàn yǔgòng</t>
  </si>
  <si>
    <t>hoạn nạn có nhau (thành ngữ)</t>
  </si>
  <si>
    <r>
      <rPr>
        <sz val="11"/>
        <color rgb="FF000000"/>
        <rFont val="Calibri"/>
      </rPr>
      <t>他们是一对</t>
    </r>
    <r>
      <rPr>
        <b/>
        <sz val="11"/>
        <color rgb="FF000000"/>
        <rFont val="Calibri"/>
      </rPr>
      <t>患难与共</t>
    </r>
    <r>
      <rPr>
        <sz val="11"/>
        <color rgb="FF000000"/>
        <rFont val="Calibri"/>
      </rPr>
      <t>的夫妻。</t>
    </r>
  </si>
  <si>
    <t>Họ là một cặp vợ chồng cùng nhau vượt qua hoạn nạn.</t>
  </si>
  <si>
    <t>H5_B1_BG-07.png</t>
  </si>
  <si>
    <t>B1-07.mp3</t>
  </si>
  <si>
    <t>老婆</t>
  </si>
  <si>
    <t>&lt;ruby&gt;老婆&lt;rt&gt;lǎopo&lt;/rt&gt;&lt;/ruby&gt;</t>
  </si>
  <si>
    <t>lǎopo</t>
  </si>
  <si>
    <r>
      <rPr>
        <sz val="10"/>
        <color theme="1"/>
        <rFont val="Calibri"/>
      </rPr>
      <t>我的</t>
    </r>
    <r>
      <rPr>
        <b/>
        <sz val="10"/>
        <color theme="1"/>
        <rFont val="Calibri"/>
      </rPr>
      <t>老婆</t>
    </r>
    <r>
      <rPr>
        <sz val="10"/>
        <color theme="1"/>
        <rFont val="Calibri"/>
      </rPr>
      <t>正在期待我们的宝宝出生。</t>
    </r>
  </si>
  <si>
    <t>Vợ tôi đang mong chờ em bé của chúng tôi chào đời.</t>
  </si>
  <si>
    <t>H5_B1_BG-08.png</t>
  </si>
  <si>
    <t>B1-08.mp3</t>
  </si>
  <si>
    <t>离婚</t>
  </si>
  <si>
    <t>&lt;ruby&gt;离婚&lt;rt&gt;lí hūn&lt;/rt&gt;&lt;/ruby&gt;</t>
  </si>
  <si>
    <t>lí hūn</t>
  </si>
  <si>
    <t>ly hôn</t>
  </si>
  <si>
    <r>
      <rPr>
        <sz val="11"/>
        <color rgb="FF000000"/>
        <rFont val="Calibri"/>
      </rPr>
      <t>他们因为性格不合而</t>
    </r>
    <r>
      <rPr>
        <b/>
        <sz val="11"/>
        <color rgb="FF000000"/>
        <rFont val="Calibri"/>
      </rPr>
      <t>离婚</t>
    </r>
    <r>
      <rPr>
        <sz val="11"/>
        <color rgb="FF000000"/>
        <rFont val="Calibri"/>
      </rPr>
      <t>了。</t>
    </r>
  </si>
  <si>
    <t>Họ ly hôn vì tính cách không hợp nhau.</t>
  </si>
  <si>
    <t>H5_B1_BG-09.png</t>
  </si>
  <si>
    <t>B1-09.mp3</t>
  </si>
  <si>
    <t>抱怨</t>
  </si>
  <si>
    <t>&lt;ruby&gt;抱怨&lt;rt&gt;bàoyuàn&lt;/rt&gt;&lt;/ruby&gt;</t>
  </si>
  <si>
    <t>bàoyuàn</t>
  </si>
  <si>
    <t>oán trách, phàn nàn</t>
  </si>
  <si>
    <r>
      <rPr>
        <sz val="10"/>
        <color theme="1"/>
        <rFont val="Calibri"/>
      </rPr>
      <t>爸爸在</t>
    </r>
    <r>
      <rPr>
        <b/>
        <sz val="10"/>
        <color theme="1"/>
        <rFont val="Calibri"/>
      </rPr>
      <t>抱怨</t>
    </r>
    <r>
      <rPr>
        <sz val="10"/>
        <color theme="1"/>
        <rFont val="Calibri"/>
      </rPr>
      <t>女儿不听话</t>
    </r>
  </si>
  <si>
    <t>Người bố đang phàn nàn rằng con gái không chịu nghe lời.</t>
  </si>
  <si>
    <t>H5_B1_BG-10.png</t>
  </si>
  <si>
    <t>不耐烦</t>
  </si>
  <si>
    <t>&lt;ruby&gt;不耐烦&lt;rt&gt;bú nàifán&lt;/rt&gt;&lt;/ruby&gt;</t>
  </si>
  <si>
    <t>bú nàifán</t>
  </si>
  <si>
    <t>sốt ruột, bực mình</t>
  </si>
  <si>
    <r>
      <rPr>
        <sz val="11"/>
        <color rgb="FF000000"/>
        <rFont val="Calibri"/>
      </rPr>
      <t>他听了几句就显得有点儿</t>
    </r>
    <r>
      <rPr>
        <b/>
        <sz val="11"/>
        <color rgb="FF000000"/>
        <rFont val="Calibri"/>
      </rPr>
      <t>不耐烦</t>
    </r>
    <r>
      <rPr>
        <sz val="11"/>
        <color rgb="FF000000"/>
        <rFont val="Calibri"/>
      </rPr>
      <t>了。</t>
    </r>
  </si>
  <si>
    <t>Anh ấy nghe vài câu đã tỏ ra hơi khó chịu.</t>
  </si>
  <si>
    <t>H5_B1_BG-11.png</t>
  </si>
  <si>
    <t>暗暗</t>
  </si>
  <si>
    <t>&lt;ruby&gt;暗暗&lt;rt&gt;àn'àn&lt;/rt&gt;&lt;/ruby&gt;</t>
  </si>
  <si>
    <t>àn'àn</t>
  </si>
  <si>
    <t>thầm, ngấm ngầm</t>
  </si>
  <si>
    <r>
      <rPr>
        <sz val="11"/>
        <color rgb="FF000000"/>
        <rFont val="Calibri"/>
      </rPr>
      <t>听到这句话，她心里</t>
    </r>
    <r>
      <rPr>
        <b/>
        <sz val="11"/>
        <color rgb="FF000000"/>
        <rFont val="Calibri"/>
      </rPr>
      <t>暗暗</t>
    </r>
    <r>
      <rPr>
        <sz val="11"/>
        <color rgb="FF000000"/>
        <rFont val="Calibri"/>
      </rPr>
      <t>高兴。</t>
    </r>
  </si>
  <si>
    <t>Nghe câu nói này, cô ấy lặng lẽ vui trong lòng.</t>
  </si>
  <si>
    <t>H5_B1_BG-12.png</t>
  </si>
  <si>
    <t>催</t>
  </si>
  <si>
    <t>&lt;ruby&gt;催&lt;rt&gt;cuī&lt;/rt&gt;&lt;/ruby&gt;</t>
  </si>
  <si>
    <t>cuī</t>
  </si>
  <si>
    <t>thúc giục, hối thúc</t>
  </si>
  <si>
    <r>
      <rPr>
        <sz val="11"/>
        <color rgb="FF000000"/>
        <rFont val="Calibri"/>
      </rPr>
      <t>妈妈总是</t>
    </r>
    <r>
      <rPr>
        <b/>
        <sz val="11"/>
        <color rgb="FF000000"/>
        <rFont val="Calibri"/>
      </rPr>
      <t>催</t>
    </r>
    <r>
      <rPr>
        <sz val="11"/>
        <color rgb="FF000000"/>
        <rFont val="Calibri"/>
      </rPr>
      <t>我早睡早起。</t>
    </r>
  </si>
  <si>
    <t>Mẹ lúc nào cũng thúc giục tôi đi ngủ sớm và dậy sớm.</t>
  </si>
  <si>
    <t>H5_B1_BG-13.png</t>
  </si>
  <si>
    <t>等待</t>
  </si>
  <si>
    <t>&lt;ruby&gt;等待&lt;rt&gt;děngdài&lt;/rt&gt;&lt;/ruby&gt;</t>
  </si>
  <si>
    <t>děngdài</t>
  </si>
  <si>
    <t>đợi, chờ</t>
  </si>
  <si>
    <r>
      <rPr>
        <sz val="11"/>
        <color rgb="FF000000"/>
        <rFont val="Calibri"/>
      </rPr>
      <t>我在车站</t>
    </r>
    <r>
      <rPr>
        <b/>
        <sz val="11"/>
        <color rgb="FF000000"/>
        <rFont val="Calibri"/>
      </rPr>
      <t>等待</t>
    </r>
    <r>
      <rPr>
        <sz val="11"/>
        <color rgb="FF000000"/>
        <rFont val="Calibri"/>
      </rPr>
      <t>公交车。</t>
    </r>
  </si>
  <si>
    <t>Tôi đang chờ xe buýt ở trạm xe.</t>
  </si>
  <si>
    <t>H5_B1_BG-14.png</t>
  </si>
  <si>
    <t>递</t>
  </si>
  <si>
    <t>&lt;ruby&gt;递&lt;rt&gt;dì&lt;/rt&gt;&lt;/ruby&gt;</t>
  </si>
  <si>
    <t>đưa, chuyển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</si>
  <si>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递</t>
    </r>
    <r>
      <rPr>
        <sz val="10"/>
        <color theme="1"/>
        <rFont val="Calibri"/>
      </rPr>
      <t>给我一个包裹。</t>
    </r>
  </si>
  <si>
    <t>Anh ấy đưa cho tôi một gói hàng.</t>
  </si>
  <si>
    <t>H5_B1_BG-15.png</t>
  </si>
  <si>
    <t>电台</t>
  </si>
  <si>
    <t>&lt;ruby&gt;电台&lt;rt&gt;diàntái&lt;/rt&gt;&lt;/ruby&gt;</t>
  </si>
  <si>
    <t>diàntái</t>
  </si>
  <si>
    <t>đài phát thanh</t>
  </si>
  <si>
    <r>
      <rPr>
        <sz val="11"/>
        <color rgb="FF000000"/>
        <rFont val="Calibri"/>
      </rPr>
      <t>他在</t>
    </r>
    <r>
      <rPr>
        <b/>
        <sz val="11"/>
        <color rgb="FF000000"/>
        <rFont val="Calibri"/>
      </rPr>
      <t>电台</t>
    </r>
    <r>
      <rPr>
        <sz val="11"/>
        <color rgb="FF000000"/>
        <rFont val="Calibri"/>
      </rPr>
      <t>工作已经五年了。</t>
    </r>
  </si>
  <si>
    <t>Anh ấy đã làm việc tại đài phát thanh 5 năm rồi.</t>
  </si>
  <si>
    <t>H5_B1_BG-16.png</t>
  </si>
  <si>
    <t>对比</t>
  </si>
  <si>
    <t>&lt;ruby&gt;对比&lt;rt&gt;duìbǐ&lt;/rt&gt;&lt;/ruby&gt;</t>
  </si>
  <si>
    <t>duìbǐ</t>
  </si>
  <si>
    <t>so sánh</t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</si>
  <si>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对比</t>
    </r>
    <r>
      <rPr>
        <sz val="11"/>
        <color rgb="FF000000"/>
        <rFont val="Calibri"/>
      </rPr>
      <t>了两件裙子。</t>
    </r>
  </si>
  <si>
    <t>Cô ấy so sánh hai chiếc váy.</t>
  </si>
  <si>
    <t>H5_B1_BG-17.png</t>
  </si>
  <si>
    <t>喊</t>
  </si>
  <si>
    <t>&lt;ruby&gt;喊&lt;rt&gt;hăn&lt;/rt&gt;&lt;/ruby&gt;</t>
  </si>
  <si>
    <t>hăn</t>
  </si>
  <si>
    <t>kêu, gọi</t>
  </si>
  <si>
    <r>
      <rPr>
        <sz val="11"/>
        <color rgb="FF000000"/>
        <rFont val="Calibri"/>
      </rPr>
      <t>他大声</t>
    </r>
    <r>
      <rPr>
        <b/>
        <sz val="11"/>
        <color rgb="FF000000"/>
        <rFont val="Calibri"/>
      </rPr>
      <t>喊</t>
    </r>
    <r>
      <rPr>
        <sz val="11"/>
        <color rgb="FF000000"/>
        <rFont val="Calibri"/>
      </rPr>
      <t>出了口号。</t>
    </r>
  </si>
  <si>
    <t>Anh ấy hô lớn khẩu hiệu.</t>
  </si>
  <si>
    <t>H5_B1_BG-18.png</t>
  </si>
  <si>
    <t>bà (dạng lịch sự để gọi phụ nữ)</t>
  </si>
  <si>
    <r>
      <rPr>
        <sz val="11"/>
        <color rgb="FF000000"/>
        <rFont val="Calibri"/>
      </rPr>
      <t>那位</t>
    </r>
    <r>
      <rPr>
        <b/>
        <sz val="11"/>
        <color rgb="FF000000"/>
        <rFont val="Calibri"/>
      </rPr>
      <t>女士</t>
    </r>
    <r>
      <rPr>
        <sz val="11"/>
        <color rgb="FF000000"/>
        <rFont val="Calibri"/>
      </rPr>
      <t>是我们的新老板。</t>
    </r>
  </si>
  <si>
    <t>Quý cô đó là sếp mới của chúng tôi.</t>
  </si>
  <si>
    <t>H5_B1_BG-19.png</t>
  </si>
  <si>
    <t>如何</t>
  </si>
  <si>
    <t>&lt;ruby&gt;如何&lt;rt&gt;rúhé&lt;/rt&gt;&lt;/ruby&gt;</t>
  </si>
  <si>
    <t>rúhé</t>
  </si>
  <si>
    <t>như thế nào</t>
  </si>
  <si>
    <r>
      <rPr>
        <sz val="11"/>
        <color rgb="FF000000"/>
        <rFont val="Calibri"/>
      </rPr>
      <t>你觉得这个房子</t>
    </r>
    <r>
      <rPr>
        <b/>
        <sz val="11"/>
        <color rgb="FF000000"/>
        <rFont val="Calibri"/>
      </rPr>
      <t>如何</t>
    </r>
    <r>
      <rPr>
        <sz val="11"/>
        <color rgb="FF000000"/>
        <rFont val="Calibri"/>
      </rPr>
      <t>？</t>
    </r>
  </si>
  <si>
    <t>Bạn cảm thấy ngôi nhà này thế nào?</t>
  </si>
  <si>
    <t>H5_B1_BG-20.png</t>
  </si>
  <si>
    <t>评委</t>
  </si>
  <si>
    <t>&lt;ruby&gt;评委&lt;rt&gt;píngwěi&lt;/rt&gt;&lt;/ruby&gt;</t>
  </si>
  <si>
    <t>píngwěi</t>
  </si>
  <si>
    <t>ban giám khảo</t>
  </si>
  <si>
    <r>
      <rPr>
        <b/>
        <sz val="11"/>
        <color rgb="FF000000"/>
        <rFont val="Calibri"/>
      </rPr>
      <t>评委</t>
    </r>
    <r>
      <rPr>
        <sz val="11"/>
        <color rgb="FF000000"/>
        <rFont val="Calibri"/>
      </rPr>
      <t>对选手的表现做出了详细的评价。</t>
    </r>
  </si>
  <si>
    <t>Ban giám khảo đã đưa ra đánh giá chi tiết về phần trình bày của thí sinh.</t>
  </si>
  <si>
    <t>H5_B1_BG-21.png</t>
  </si>
  <si>
    <t>叙述</t>
  </si>
  <si>
    <t>&lt;ruby&gt;叙述&lt;rt&gt;xùshù&lt;/rt&gt;&lt;/ruby&gt;</t>
  </si>
  <si>
    <t>xùshù</t>
  </si>
  <si>
    <t>thuật lại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</si>
  <si>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叙述</t>
    </r>
    <r>
      <rPr>
        <sz val="11"/>
        <color rgb="FF000000"/>
        <rFont val="Calibri"/>
      </rPr>
      <t>了事故发生的过程。</t>
    </r>
  </si>
  <si>
    <t>Anh ấy kể lại quá trình xảy ra tai nạn.</t>
  </si>
  <si>
    <t>H5_B1_BG-22.png</t>
  </si>
  <si>
    <t>项</t>
  </si>
  <si>
    <t>&lt;ruby&gt;项&lt;rt&gt;xiàng&lt;/rt&gt;&lt;/ruby&gt;</t>
  </si>
  <si>
    <t>(được dùng cho những vật được chia thành hạng mục) hạng mục, mục</t>
  </si>
  <si>
    <r>
      <rPr>
        <sz val="11"/>
        <color rgb="FF000000"/>
        <rFont val="Calibri"/>
      </rPr>
      <t>比赛规则中的每一</t>
    </r>
    <r>
      <rPr>
        <b/>
        <sz val="11"/>
        <color rgb="FF000000"/>
        <rFont val="Calibri"/>
      </rPr>
      <t>项</t>
    </r>
    <r>
      <rPr>
        <sz val="11"/>
        <color rgb="FF000000"/>
        <rFont val="Calibri"/>
      </rPr>
      <t>都需要严格遵守。</t>
    </r>
  </si>
  <si>
    <t>Mỗi hạng mục trong quy tắc thi đấu đều cần được tuân thủ nghiêm ngặt.</t>
  </si>
  <si>
    <t>H5_B1_BG-23.png</t>
  </si>
  <si>
    <t>轮</t>
  </si>
  <si>
    <t>&lt;ruby&gt;轮&lt;rt&gt;lún&lt;/rt&gt;&lt;/ruby&gt;</t>
  </si>
  <si>
    <t>lún</t>
  </si>
  <si>
    <t>luân phiên, thay phiên</t>
  </si>
  <si>
    <r>
      <rPr>
        <sz val="10"/>
        <color rgb="FF0E0E0E"/>
        <rFont val="Calibri"/>
      </rPr>
      <t>这次会议需要大家</t>
    </r>
    <r>
      <rPr>
        <b/>
        <sz val="10"/>
        <color rgb="FF0E0E0E"/>
        <rFont val="Calibri"/>
      </rPr>
      <t>轮</t>
    </r>
    <r>
      <rPr>
        <sz val="10"/>
        <color rgb="FF0E0E0E"/>
        <rFont val="Calibri"/>
      </rPr>
      <t>着发言。</t>
    </r>
  </si>
  <si>
    <t>Cuộc họp lần này cần mọi người thay phiên nhau phát biểu.</t>
  </si>
  <si>
    <t>H5_B1_BG-24.png</t>
  </si>
  <si>
    <t>肩膀</t>
  </si>
  <si>
    <t>&lt;ruby&gt;肩膀&lt;rt&gt;jiānbǎng&lt;/rt&gt;&lt;/ruby&gt;</t>
  </si>
  <si>
    <t>jiānbǎng</t>
  </si>
  <si>
    <t>bờ vai, vai</t>
  </si>
  <si>
    <r>
      <rPr>
        <sz val="11"/>
        <color rgb="FF000000"/>
        <rFont val="Calibri"/>
      </rPr>
      <t>他的</t>
    </r>
    <r>
      <rPr>
        <b/>
        <sz val="11"/>
        <color rgb="FF000000"/>
        <rFont val="Calibri"/>
      </rPr>
      <t>肩膀</t>
    </r>
    <r>
      <rPr>
        <sz val="11"/>
        <color rgb="FF000000"/>
        <rFont val="Calibri"/>
      </rPr>
      <t>很宽，看起来很有力量。</t>
    </r>
  </si>
  <si>
    <t>Vai của anh ấy rất rộng, trông rất khỏe mạnh.</t>
  </si>
  <si>
    <t>H5_B1_BG-25.png</t>
  </si>
  <si>
    <t>居然</t>
  </si>
  <si>
    <t>&lt;ruby&gt;居然&lt;rt&gt;jūrán&lt;/rt&gt;&lt;/ruby&gt;</t>
  </si>
  <si>
    <t>jūrán</t>
  </si>
  <si>
    <t>(chỉ sự bất ngờ) lại có thể, lại</t>
  </si>
  <si>
    <r>
      <rPr>
        <sz val="11"/>
        <color rgb="FF000000"/>
        <rFont val="Calibri"/>
      </rPr>
      <t>他摔倒时，</t>
    </r>
    <r>
      <rPr>
        <b/>
        <sz val="11"/>
        <color rgb="FF000000"/>
        <rFont val="Calibri"/>
      </rPr>
      <t>居然</t>
    </r>
    <r>
      <rPr>
        <sz val="11"/>
        <color rgb="FF000000"/>
        <rFont val="Calibri"/>
      </rPr>
      <t>用肩膀接住了重物</t>
    </r>
  </si>
  <si>
    <t>Khi ngã, anh ấy lại dùng vai đỡ được vật nặng.</t>
  </si>
  <si>
    <t>H5_B1_BG-26.png</t>
  </si>
  <si>
    <t>靠</t>
  </si>
  <si>
    <t>&lt;ruby&gt;靠&lt;rt&gt;kào&lt;/rt&gt;&lt;/ruby&gt;</t>
  </si>
  <si>
    <t>kào</t>
  </si>
  <si>
    <t>dựa, tựa</t>
  </si>
  <si>
    <r>
      <rPr>
        <sz val="11"/>
        <color rgb="FF000000"/>
        <rFont val="Calibri"/>
      </rPr>
      <t>她累了，</t>
    </r>
    <r>
      <rPr>
        <b/>
        <sz val="11"/>
        <color rgb="FF000000"/>
        <rFont val="Calibri"/>
      </rPr>
      <t>靠</t>
    </r>
    <r>
      <rPr>
        <sz val="11"/>
        <color rgb="FF000000"/>
        <rFont val="Calibri"/>
      </rPr>
      <t>在墙上休息了一会儿。</t>
    </r>
  </si>
  <si>
    <t>Cô ấy mệt quá, dựa vào tường nghỉ ngơi một lát.</t>
  </si>
  <si>
    <t>H5_B1_BG-27.png</t>
  </si>
  <si>
    <t>半夜</t>
  </si>
  <si>
    <t>&lt;ruby&gt;半夜&lt;rt&gt;bànyè&lt;/rt&gt;&lt;/ruby&gt;</t>
  </si>
  <si>
    <t>bànyè</t>
  </si>
  <si>
    <t>nửa đêm, đêm hôm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</si>
  <si>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半夜</t>
    </r>
    <r>
      <rPr>
        <sz val="11"/>
        <color rgb="FF000000"/>
        <rFont val="Calibri"/>
      </rPr>
      <t>醒来，发现头很疼。</t>
    </r>
  </si>
  <si>
    <t>Anh ấy tỉnh dậy lúc nửa đêm, phát hiện đầu rất đau.</t>
  </si>
  <si>
    <t>H5_B1_BG-28.png</t>
  </si>
  <si>
    <t>脑袋</t>
  </si>
  <si>
    <t>&lt;ruby&gt;脑袋&lt;rt&gt;nǎodai&lt;/rt&gt;&lt;/ruby&gt;</t>
  </si>
  <si>
    <t>nǎodai</t>
  </si>
  <si>
    <t>đầu</t>
  </si>
  <si>
    <r>
      <rPr>
        <sz val="11"/>
        <color rgb="FF000000"/>
        <rFont val="Calibri"/>
      </rPr>
      <t>他的</t>
    </r>
    <r>
      <rPr>
        <b/>
        <sz val="11"/>
        <color rgb="FF000000"/>
        <rFont val="Calibri"/>
      </rPr>
      <t>脑袋</t>
    </r>
    <r>
      <rPr>
        <sz val="11"/>
        <color rgb="FF000000"/>
        <rFont val="Calibri"/>
      </rPr>
      <t>经常会疼，需要去医院检查一下。</t>
    </r>
  </si>
  <si>
    <t>Đầu anh ấy thường xuyên đau, cần đến bệnh viện kiểm tra.</t>
  </si>
  <si>
    <t>H5_B1_BG-29.png</t>
  </si>
  <si>
    <t>伸</t>
  </si>
  <si>
    <t>&lt;ruby&gt;伸&lt;rt&gt;shēn&lt;/rt&gt;&lt;/ruby&gt;</t>
  </si>
  <si>
    <t>duỗi, chìa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</si>
  <si>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伸</t>
    </r>
    <r>
      <rPr>
        <sz val="11"/>
        <color rgb="FF000000"/>
        <rFont val="Calibri"/>
      </rPr>
      <t>出手指，指向了前面的方向。</t>
    </r>
  </si>
  <si>
    <t xml:space="preserve"> Anh ấy vươn ngón tay, chỉ về phía trước.</t>
  </si>
  <si>
    <t>H5_B1_BG-30.png</t>
  </si>
  <si>
    <t>手指</t>
  </si>
  <si>
    <t>&lt;ruby&gt;手指&lt;rt&gt;shǒuzhǐ&lt;/rt&gt;&lt;/ruby&gt;</t>
  </si>
  <si>
    <t>shǒuzhǐ</t>
  </si>
  <si>
    <t>ngón tay</t>
  </si>
  <si>
    <r>
      <rPr>
        <sz val="10"/>
        <color theme="1"/>
        <rFont val="Calibri"/>
      </rPr>
      <t>人的</t>
    </r>
    <r>
      <rPr>
        <b/>
        <sz val="10"/>
        <color theme="1"/>
        <rFont val="Calibri"/>
      </rPr>
      <t>手指</t>
    </r>
    <r>
      <rPr>
        <sz val="10"/>
        <color theme="1"/>
        <rFont val="Calibri"/>
      </rPr>
      <t>很灵活，可以做很多精细的动作。</t>
    </r>
  </si>
  <si>
    <t>Ngón tay của con người rất linh hoạt, có thể thực hiện nhiều động tác tinh tế.</t>
  </si>
  <si>
    <t>H5_B1_BG-31.png</t>
  </si>
  <si>
    <t>细节</t>
  </si>
  <si>
    <t>&lt;ruby&gt;细节&lt;rt&gt;xìjié&lt;/rt&gt;&lt;/ruby&gt;</t>
  </si>
  <si>
    <t>xìjié</t>
  </si>
  <si>
    <t>chi tiết</t>
  </si>
  <si>
    <r>
      <rPr>
        <sz val="11"/>
        <color rgb="FF000000"/>
        <rFont val="Calibri"/>
      </rPr>
      <t>这幅画的</t>
    </r>
    <r>
      <rPr>
        <b/>
        <sz val="11"/>
        <color rgb="FF000000"/>
        <rFont val="Calibri"/>
      </rPr>
      <t>细节</t>
    </r>
    <r>
      <rPr>
        <sz val="11"/>
        <color rgb="FF000000"/>
        <rFont val="Calibri"/>
      </rPr>
      <t>很丰富。</t>
    </r>
  </si>
  <si>
    <t>Chi tiết của bức tranh rất phong phú.</t>
  </si>
  <si>
    <t>H5_B1_BG-32.png</t>
  </si>
  <si>
    <t>自杀</t>
  </si>
  <si>
    <t>&lt;ruby&gt;自杀&lt;rt&gt;zìshā&lt;/rt&gt;&lt;/ruby&gt;</t>
  </si>
  <si>
    <t>zìshā</t>
  </si>
  <si>
    <t>tự tử</t>
  </si>
  <si>
    <r>
      <rPr>
        <sz val="10"/>
        <color theme="1"/>
        <rFont val="Calibri"/>
      </rPr>
      <t>生命很宝贵，你千万不要选择</t>
    </r>
    <r>
      <rPr>
        <b/>
        <sz val="10"/>
        <color theme="1"/>
        <rFont val="Calibri"/>
      </rPr>
      <t>自杀</t>
    </r>
    <r>
      <rPr>
        <sz val="10"/>
        <color theme="1"/>
        <rFont val="Calibri"/>
      </rPr>
      <t>!</t>
    </r>
  </si>
  <si>
    <t>Cuộc sống rất quý giá, bạn nhất định đừng chọn tự tử!</t>
  </si>
  <si>
    <t>H5_B1_BG-33.png</t>
  </si>
  <si>
    <t>瘫痪</t>
  </si>
  <si>
    <t>&lt;ruby&gt;瘫痪&lt;rt&gt;tānhuàn&lt;/rt&gt;&lt;/ruby&gt;</t>
  </si>
  <si>
    <t>tānhuàn</t>
  </si>
  <si>
    <t>bị liệt</t>
  </si>
  <si>
    <r>
      <rPr>
        <sz val="11"/>
        <color rgb="FF000000"/>
        <rFont val="Calibri"/>
      </rPr>
      <t>意外导致他的下半身</t>
    </r>
    <r>
      <rPr>
        <b/>
        <sz val="11"/>
        <color rgb="FF000000"/>
        <rFont val="Calibri"/>
      </rPr>
      <t>瘫痪</t>
    </r>
    <r>
      <rPr>
        <sz val="11"/>
        <color rgb="FF000000"/>
        <rFont val="Calibri"/>
      </rPr>
      <t>了。</t>
    </r>
  </si>
  <si>
    <t>Tai nạn khiến anh ấy bị liệt nửa dưới cơ thể.</t>
  </si>
  <si>
    <t>H5_B1_BG-34.png</t>
  </si>
  <si>
    <t>歪歪扭扭</t>
  </si>
  <si>
    <t>&lt;ruby&gt;歪歪扭扭&lt;rt&gt;wāiwāiniǔniǔ&lt;/rt&gt;&lt;/ruby&gt;</t>
  </si>
  <si>
    <t>wāiwāiniǔniǔ</t>
  </si>
  <si>
    <t xml:space="preserve">xiêu vẹo, nguệch ngoac </t>
  </si>
  <si>
    <r>
      <rPr>
        <sz val="10"/>
        <color theme="1"/>
        <rFont val="Calibri"/>
      </rPr>
      <t>他写的字</t>
    </r>
    <r>
      <rPr>
        <b/>
        <sz val="10"/>
        <color theme="1"/>
        <rFont val="Calibri"/>
      </rPr>
      <t>歪歪扭扭</t>
    </r>
    <r>
      <rPr>
        <sz val="10"/>
        <color theme="1"/>
        <rFont val="Calibri"/>
      </rPr>
      <t>的，看不清楚。</t>
    </r>
  </si>
  <si>
    <t>Chữ anh ấy viết xiêu vẹo, nhìn không rõ.</t>
  </si>
  <si>
    <t>H5_B1_BG-35.png</t>
  </si>
  <si>
    <t>入围</t>
  </si>
  <si>
    <t>&lt;ruby&gt;入围&lt;rt&gt;rùwéi&lt;/rt&gt;&lt;/ruby&gt;</t>
  </si>
  <si>
    <t>rùwéi</t>
  </si>
  <si>
    <t>vượt qua vòng sơ tuyển</t>
  </si>
  <si>
    <r>
      <rPr>
        <sz val="11"/>
        <color rgb="FF000000"/>
        <rFont val="Calibri"/>
      </rPr>
      <t>他在比赛中表现出色，成功</t>
    </r>
    <r>
      <rPr>
        <b/>
        <sz val="11"/>
        <color rgb="FF000000"/>
        <rFont val="Calibri"/>
      </rPr>
      <t>入围</t>
    </r>
    <r>
      <rPr>
        <sz val="11"/>
        <color rgb="FF000000"/>
        <rFont val="Calibri"/>
      </rPr>
      <t>了决赛。</t>
    </r>
  </si>
  <si>
    <t>Anh ấy có màn trình diễn xuất sắc trong cuộc thi và lọt vào chung kết.</t>
  </si>
  <si>
    <t>H5_B1_BG-36.png</t>
  </si>
  <si>
    <t>蚊子</t>
  </si>
  <si>
    <t>&lt;ruby&gt;蚊子&lt;rt&gt;wénzi&lt;/rt&gt;&lt;/ruby&gt;</t>
  </si>
  <si>
    <t>wénzi</t>
  </si>
  <si>
    <t>con muỗi</t>
  </si>
  <si>
    <r>
      <rPr>
        <sz val="11"/>
        <color rgb="FF000000"/>
        <rFont val="Calibri"/>
      </rPr>
      <t>半夜的时候，他的肩膀被</t>
    </r>
    <r>
      <rPr>
        <b/>
        <sz val="11"/>
        <color rgb="FF000000"/>
        <rFont val="Calibri"/>
      </rPr>
      <t>蚊子</t>
    </r>
    <r>
      <rPr>
        <sz val="11"/>
        <color rgb="FF000000"/>
        <rFont val="Calibri"/>
      </rPr>
      <t>叮了。</t>
    </r>
  </si>
  <si>
    <t>Nửa đêm, vai anh ấy bị muỗi đốt.</t>
  </si>
  <si>
    <t>H5_B1_BG-37.png</t>
  </si>
  <si>
    <t>B1-37.mp3</t>
  </si>
  <si>
    <t>B1_VD_37.mp3</t>
  </si>
  <si>
    <t>叮</t>
  </si>
  <si>
    <t>&lt;ruby&gt;叮&lt;rt&gt;dīng&lt;/rt&gt;&lt;/ruby&gt;</t>
  </si>
  <si>
    <t>dīng</t>
  </si>
  <si>
    <t>đốt, chích</t>
  </si>
  <si>
    <r>
      <rPr>
        <sz val="11"/>
        <color rgb="FF000000"/>
        <rFont val="Calibri"/>
      </rPr>
      <t>他的手指被蚊子</t>
    </r>
    <r>
      <rPr>
        <b/>
        <sz val="11"/>
        <color rgb="FF000000"/>
        <rFont val="Calibri"/>
      </rPr>
      <t>叮</t>
    </r>
    <r>
      <rPr>
        <sz val="11"/>
        <color rgb="FF000000"/>
        <rFont val="Calibri"/>
      </rPr>
      <t>出了一个小红点。</t>
    </r>
  </si>
  <si>
    <t>Ngón tay anh ấy bị muỗi đốt, xuất hiện một chấm đỏ nhỏ.</t>
  </si>
  <si>
    <t>H5_B1_BG-38.png</t>
  </si>
  <si>
    <t>B1-38.mp3</t>
  </si>
  <si>
    <t>B1_VD_38.mp3</t>
  </si>
  <si>
    <t>姑姑</t>
  </si>
  <si>
    <t>&lt;ruby&gt;姑姑&lt;rt&gt;gūgu&lt;/rt&gt;&lt;/ruby&gt;</t>
  </si>
  <si>
    <t>gūgu</t>
  </si>
  <si>
    <t>cô</t>
  </si>
  <si>
    <r>
      <rPr>
        <sz val="10"/>
        <color rgb="FF000000"/>
        <rFont val="Calibri"/>
      </rPr>
      <t>我的</t>
    </r>
    <r>
      <rPr>
        <b/>
        <sz val="10"/>
        <color rgb="FF000000"/>
        <rFont val="Calibri"/>
      </rPr>
      <t>姑姑</t>
    </r>
    <r>
      <rPr>
        <sz val="10"/>
        <color rgb="FF000000"/>
        <rFont val="Calibri"/>
      </rPr>
      <t>总是给我买我最喜欢的糖果。</t>
    </r>
  </si>
  <si>
    <t>Cô của tôi luôn mua những viên kẹo mà tôi thích nhất.</t>
  </si>
  <si>
    <t>H5_B2_BG-01.png</t>
  </si>
  <si>
    <t>B2-01.mp3</t>
  </si>
  <si>
    <t>姥姥</t>
  </si>
  <si>
    <t>&lt;ruby&gt;姥姥&lt;rt&gt;lǎolao&lt;/rt&gt;&lt;/ruby&gt;</t>
  </si>
  <si>
    <t>lǎolao</t>
  </si>
  <si>
    <t>bà ngoại</t>
  </si>
  <si>
    <r>
      <rPr>
        <sz val="11"/>
        <color rgb="FF000000"/>
        <rFont val="Calibri"/>
      </rPr>
      <t>每次去</t>
    </r>
    <r>
      <rPr>
        <b/>
        <sz val="11"/>
        <color rgb="FF000000"/>
        <rFont val="Calibri"/>
      </rPr>
      <t>姥姥</t>
    </r>
    <r>
      <rPr>
        <sz val="11"/>
        <color rgb="FF000000"/>
        <rFont val="Calibri"/>
      </rPr>
      <t>家，她都会做一桌丰盛的饭菜。</t>
    </r>
  </si>
  <si>
    <t>Mỗi lần đến nhà bà ngoại, bà đều nấu một bàn đầy đồ ăn ngon.</t>
  </si>
  <si>
    <t>H5_B2_BG-02.png</t>
  </si>
  <si>
    <t>B2-02.mp3</t>
  </si>
  <si>
    <t>舅舅</t>
  </si>
  <si>
    <t>&lt;ruby&gt;舅舅&lt;rt&gt;jiùjiu&lt;/rt&gt;&lt;/ruby&gt;</t>
  </si>
  <si>
    <t>jiùjiu</t>
  </si>
  <si>
    <t>cậu</t>
  </si>
  <si>
    <r>
      <rPr>
        <b/>
        <sz val="11"/>
        <color rgb="FF000000"/>
        <rFont val="Calibri"/>
      </rPr>
      <t>舅舅</t>
    </r>
    <r>
      <rPr>
        <sz val="11"/>
        <color rgb="FF000000"/>
        <rFont val="Calibri"/>
      </rPr>
      <t>总是带我去公园玩。</t>
    </r>
  </si>
  <si>
    <t>Cậu thường đưa tôi đi chơi công viên.</t>
  </si>
  <si>
    <t>H5_B2_BG-03.png</t>
  </si>
  <si>
    <t>B2-03.mp3</t>
  </si>
  <si>
    <t>一辈子</t>
  </si>
  <si>
    <t>&lt;ruby&gt;一辈子&lt;rt&gt;yíbèizi&lt;/rt&gt;&lt;/ruby&gt;</t>
  </si>
  <si>
    <t>yíbèizi</t>
  </si>
  <si>
    <t>suốt đời, cả đời</t>
  </si>
  <si>
    <r>
      <rPr>
        <sz val="11"/>
        <color rgb="FF000000"/>
        <rFont val="Calibri"/>
      </rPr>
      <t>我希望</t>
    </r>
    <r>
      <rPr>
        <b/>
        <sz val="11"/>
        <color rgb="FF000000"/>
        <rFont val="Calibri"/>
      </rPr>
      <t>一辈子</t>
    </r>
    <r>
      <rPr>
        <sz val="11"/>
        <color rgb="FF000000"/>
        <rFont val="Calibri"/>
      </rPr>
      <t>都能像现在这样和家人在一起。</t>
    </r>
  </si>
  <si>
    <t>Tôi hy vọng cả đời này có thể ở bên gia đình giống như bây giờ.</t>
  </si>
  <si>
    <t>H5_B2_BG-04.png</t>
  </si>
  <si>
    <t>B2-04.mp3</t>
  </si>
  <si>
    <t>微笑</t>
  </si>
  <si>
    <t>&lt;ruby&gt;微笑&lt;rt&gt;wēixiào&lt;/rt&gt;&lt;/ruby&gt;</t>
  </si>
  <si>
    <t>wēixiào</t>
  </si>
  <si>
    <t>mỉm cười; vẻ mặt tươi cười, nụ cười</t>
  </si>
  <si>
    <r>
      <rPr>
        <sz val="11"/>
        <color rgb="FF000000"/>
        <rFont val="Calibri"/>
      </rPr>
      <t>母亲的</t>
    </r>
    <r>
      <rPr>
        <b/>
        <sz val="11"/>
        <color rgb="FF000000"/>
        <rFont val="Calibri"/>
      </rPr>
      <t>微笑</t>
    </r>
    <r>
      <rPr>
        <sz val="11"/>
        <color rgb="FF000000"/>
        <rFont val="Calibri"/>
      </rPr>
      <t>总能让我感到安心和幸福。</t>
    </r>
  </si>
  <si>
    <t>Nụ cười của mẹ luôn khiến tôi cảm thấy yên tâm và hạnh phúc.</t>
  </si>
  <si>
    <t>H5_B2_BG-05.png</t>
  </si>
  <si>
    <t>B2-05.mp3</t>
  </si>
  <si>
    <t>温暖</t>
  </si>
  <si>
    <t>&lt;ruby&gt;温暖&lt;rt&gt;wēnnuăn&lt;/rt&gt;&lt;/ruby&gt;</t>
  </si>
  <si>
    <t>wēnnuăn</t>
  </si>
  <si>
    <t>Tính từ/Động từ</t>
  </si>
  <si>
    <t>ấm áp; sưởi ấm</t>
  </si>
  <si>
    <r>
      <rPr>
        <b/>
        <sz val="11"/>
        <color rgb="FF000000"/>
        <rFont val="Calibri"/>
      </rPr>
      <t>温暖</t>
    </r>
    <r>
      <rPr>
        <sz val="11"/>
        <color rgb="FF000000"/>
        <rFont val="Calibri"/>
      </rPr>
      <t>的火炉带来了舒适。</t>
    </r>
  </si>
  <si>
    <t>Lò sưởi ấm áp tạo cảm giác dễ chịu.</t>
  </si>
  <si>
    <t>H5_B2_BG-06.png</t>
  </si>
  <si>
    <t>B2-06.mp3</t>
  </si>
  <si>
    <t>流泪</t>
  </si>
  <si>
    <t>&lt;ruby&gt;流泪&lt;rt&gt;liú lèi&lt;/rt&gt;&lt;/ruby&gt;</t>
  </si>
  <si>
    <t>liú lèi</t>
  </si>
  <si>
    <t>chảy nước mắt</t>
  </si>
  <si>
    <r>
      <rPr>
        <sz val="10"/>
        <color theme="1"/>
        <rFont val="Calibri"/>
      </rPr>
      <t>小男孩因为考试失败而</t>
    </r>
    <r>
      <rPr>
        <b/>
        <sz val="10"/>
        <color theme="1"/>
        <rFont val="Calibri"/>
      </rPr>
      <t>流泪</t>
    </r>
    <r>
      <rPr>
        <sz val="10"/>
        <color theme="1"/>
        <rFont val="Calibri"/>
      </rPr>
      <t>了。</t>
    </r>
  </si>
  <si>
    <t>Cậu bé đã khóc vì thi trượt.</t>
  </si>
  <si>
    <t>H5_B2_BG-07.png</t>
  </si>
  <si>
    <t>B2-07.mp3</t>
  </si>
  <si>
    <t>感受</t>
  </si>
  <si>
    <t>&lt;ruby&gt;感受&lt;rt&gt;gǎnshòu&lt;/rt&gt;&lt;/ruby&gt;</t>
  </si>
  <si>
    <t>gǎnshòu</t>
  </si>
  <si>
    <t>cảm nhận; sự cảm nhận</t>
  </si>
  <si>
    <r>
      <rPr>
        <sz val="10"/>
        <color rgb="FF000000"/>
        <rFont val="Calibri"/>
      </rPr>
      <t>他</t>
    </r>
    <r>
      <rPr>
        <b/>
        <sz val="10"/>
        <color rgb="FF000000"/>
        <rFont val="Calibri"/>
      </rPr>
      <t>感受</t>
    </r>
    <r>
      <rPr>
        <sz val="10"/>
        <color rgb="FF000000"/>
        <rFont val="Calibri"/>
      </rPr>
      <t>到了巨大的压力。</t>
    </r>
  </si>
  <si>
    <t>Anh ấy cảm thấy áp lực vô cùng.</t>
  </si>
  <si>
    <t>H5_B2_BG-08.png</t>
  </si>
  <si>
    <t>B2-08.mp3</t>
  </si>
  <si>
    <t>想象</t>
  </si>
  <si>
    <t>&lt;ruby&gt;想象&lt;rt&gt;xiăngxiàng&lt;/rt&gt;&lt;/ruby&gt;</t>
  </si>
  <si>
    <t>xiăngxiàng</t>
  </si>
  <si>
    <t>tưởng tượng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</si>
  <si>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想象</t>
    </r>
    <r>
      <rPr>
        <sz val="11"/>
        <color rgb="FF000000"/>
        <rFont val="Calibri"/>
      </rPr>
      <t>自己是个英雄。</t>
    </r>
  </si>
  <si>
    <t>Anh ấy tưởng tượng mình là một anh hùng.</t>
  </si>
  <si>
    <t>H5_B2_BG-09.png</t>
  </si>
  <si>
    <t>B2-09.mp3</t>
  </si>
  <si>
    <t>夜</t>
  </si>
  <si>
    <t>&lt;ruby&gt;夜&lt;rt&gt;yè&lt;/rt&gt;&lt;/ruby&gt;</t>
  </si>
  <si>
    <t>ban đêm</t>
  </si>
  <si>
    <r>
      <rPr>
        <sz val="11"/>
        <color rgb="FF000000"/>
        <rFont val="Calibri"/>
      </rPr>
      <t>小时候，我经常听妈妈在</t>
    </r>
    <r>
      <rPr>
        <b/>
        <sz val="11"/>
        <color rgb="FF000000"/>
        <rFont val="Calibri"/>
      </rPr>
      <t>夜</t>
    </r>
    <r>
      <rPr>
        <sz val="11"/>
        <color rgb="FF000000"/>
        <rFont val="Calibri"/>
      </rPr>
      <t>里讲故事。</t>
    </r>
  </si>
  <si>
    <t>Khi còn nhỏ, tôi thường nghe mẹ kể chuyện vào ban đêm.</t>
  </si>
  <si>
    <t>H5_B2_BG-10.png</t>
  </si>
  <si>
    <t>B2-10.mp3</t>
  </si>
  <si>
    <t>强烈</t>
  </si>
  <si>
    <t>&lt;ruby&gt;强烈&lt;rt&gt;qiángliè&lt;/rt&gt;&lt;/ruby&gt;</t>
  </si>
  <si>
    <t>qiángliè</t>
  </si>
  <si>
    <t>mãnh liệt, kịch liệt, cố gắng hết mức</t>
  </si>
  <si>
    <r>
      <rPr>
        <sz val="11"/>
        <color rgb="FF000000"/>
        <rFont val="Calibri"/>
      </rPr>
      <t>每次听到家人的声音，我都会有一种</t>
    </r>
    <r>
      <rPr>
        <b/>
        <sz val="11"/>
        <color rgb="FF000000"/>
        <rFont val="Calibri"/>
      </rPr>
      <t>强烈</t>
    </r>
    <r>
      <rPr>
        <sz val="11"/>
        <color rgb="FF000000"/>
        <rFont val="Calibri"/>
      </rPr>
      <t>的安全感。</t>
    </r>
  </si>
  <si>
    <t>Mỗi lần nghe thấy giọng nói của gia đình, tôi đều có cảm giác an toàn mãnh liệt.</t>
  </si>
  <si>
    <t>H5_B2_BG-11.png</t>
  </si>
  <si>
    <t>B2-11.mp3</t>
  </si>
  <si>
    <t>被子</t>
  </si>
  <si>
    <t>&lt;ruby&gt;被子&lt;rt&gt;bèizi&lt;/rt&gt;&lt;/ruby&gt;</t>
  </si>
  <si>
    <t>bèizi</t>
  </si>
  <si>
    <t>mền, chăn</t>
  </si>
  <si>
    <r>
      <rPr>
        <sz val="10"/>
        <color rgb="FF000000"/>
        <rFont val="Calibri"/>
      </rPr>
      <t>冬天的晚上，盖着厚厚的</t>
    </r>
    <r>
      <rPr>
        <b/>
        <sz val="10"/>
        <color rgb="FF000000"/>
        <rFont val="Calibri"/>
      </rPr>
      <t>被子</t>
    </r>
    <r>
      <rPr>
        <sz val="10"/>
        <color rgb="FF000000"/>
        <rFont val="Calibri"/>
      </rPr>
      <t>感觉特别暖和。</t>
    </r>
  </si>
  <si>
    <t>Vào buổi tối mùa đông, đắp chăn dày cảm thấy rất ấm áp.</t>
  </si>
  <si>
    <t>H5_B2_BG-12.png</t>
  </si>
  <si>
    <t>B2-12.mp3</t>
  </si>
  <si>
    <t>灰尘</t>
  </si>
  <si>
    <t>&lt;ruby&gt;灰尘&lt;rt&gt;huīchén&lt;/rt&gt;&lt;/ruby&gt;</t>
  </si>
  <si>
    <t>huīchén</t>
  </si>
  <si>
    <t>bụi bặm</t>
  </si>
  <si>
    <r>
      <rPr>
        <sz val="10"/>
        <color rgb="FF000000"/>
        <rFont val="Calibri"/>
      </rPr>
      <t>窗户好久没擦了，上面积满了</t>
    </r>
    <r>
      <rPr>
        <b/>
        <sz val="10"/>
        <color rgb="FF000000"/>
        <rFont val="Calibri"/>
      </rPr>
      <t>灰尘</t>
    </r>
    <r>
      <rPr>
        <sz val="10"/>
        <color rgb="FF000000"/>
        <rFont val="Calibri"/>
      </rPr>
      <t>。</t>
    </r>
  </si>
  <si>
    <t>Cửa sổ lâu ngày không lau, trên đó phủ đầy bụi.</t>
  </si>
  <si>
    <t>H5_B2_BG-13.png</t>
  </si>
  <si>
    <t>B2-13.mp3</t>
  </si>
  <si>
    <t>农村</t>
  </si>
  <si>
    <t>&lt;ruby&gt;农村&lt;rt&gt;nóngcūn&lt;/rt&gt;&lt;/ruby&gt;</t>
  </si>
  <si>
    <t>nóngcūn</t>
  </si>
  <si>
    <t>nông thôn</t>
  </si>
  <si>
    <r>
      <rPr>
        <sz val="11"/>
        <color rgb="FF000000"/>
        <rFont val="Calibri"/>
      </rPr>
      <t>我喜欢</t>
    </r>
    <r>
      <rPr>
        <b/>
        <sz val="11"/>
        <color rgb="FF000000"/>
        <rFont val="Calibri"/>
      </rPr>
      <t>农村</t>
    </r>
    <r>
      <rPr>
        <sz val="11"/>
        <color rgb="FF000000"/>
        <rFont val="Calibri"/>
      </rPr>
      <t>的生活。</t>
    </r>
  </si>
  <si>
    <t>Tôi thích cuộc sống ở nông thôn.</t>
  </si>
  <si>
    <t>H5_B2_BG-14.png</t>
  </si>
  <si>
    <t>B2-14.mp3</t>
  </si>
  <si>
    <t>卧室</t>
  </si>
  <si>
    <t>&lt;ruby&gt;卧室&lt;rt&gt;wòshì&lt;/rt&gt;&lt;/ruby&gt;</t>
  </si>
  <si>
    <t>wòshì</t>
  </si>
  <si>
    <t>phòng ngủ</t>
  </si>
  <si>
    <r>
      <rPr>
        <sz val="11"/>
        <color rgb="FF000000"/>
        <rFont val="Calibri"/>
      </rPr>
      <t>她的</t>
    </r>
    <r>
      <rPr>
        <b/>
        <sz val="11"/>
        <color rgb="FF000000"/>
        <rFont val="Calibri"/>
      </rPr>
      <t>卧室</t>
    </r>
    <r>
      <rPr>
        <sz val="11"/>
        <color rgb="FF000000"/>
        <rFont val="Calibri"/>
      </rPr>
      <t>布置得非常温馨，还有一张柔软的大床。</t>
    </r>
  </si>
  <si>
    <t>Phòng ngủ của cô ấy được trang trí rất ấm cúng, còn có một chiếc giường lớn êm ái.</t>
  </si>
  <si>
    <t>H5_B2_BG-15.png</t>
  </si>
  <si>
    <t>B2-15.mp3</t>
  </si>
  <si>
    <t>屋（子）</t>
  </si>
  <si>
    <t>&lt;ruby&gt;屋（子）&lt;rt&gt;wū (zi)&lt;/rt&gt;&lt;/ruby&gt;</t>
  </si>
  <si>
    <t>wū (zi)</t>
  </si>
  <si>
    <t>nhà</t>
  </si>
  <si>
    <r>
      <rPr>
        <b/>
        <sz val="11"/>
        <color rgb="FF000000"/>
        <rFont val="Calibri"/>
      </rPr>
      <t>屋子</t>
    </r>
    <r>
      <rPr>
        <sz val="11"/>
        <color rgb="FF000000"/>
        <rFont val="Calibri"/>
      </rPr>
      <t>里面有点暗。</t>
    </r>
  </si>
  <si>
    <t>Trong nhà có chút hơi tối.</t>
  </si>
  <si>
    <t>H5_B2_BG-16.png</t>
  </si>
  <si>
    <t>B2-16.mp3</t>
  </si>
  <si>
    <t>县</t>
  </si>
  <si>
    <t>&lt;ruby&gt;县&lt;rt&gt;xiàn&lt;/rt&gt;&lt;/ruby&gt;</t>
  </si>
  <si>
    <t>xiàn</t>
  </si>
  <si>
    <t>huyện</t>
  </si>
  <si>
    <r>
      <rPr>
        <sz val="11"/>
        <color rgb="FF000000"/>
        <rFont val="Calibri"/>
      </rPr>
      <t>我住在这个</t>
    </r>
    <r>
      <rPr>
        <b/>
        <sz val="11"/>
        <color rgb="FF000000"/>
        <rFont val="Calibri"/>
      </rPr>
      <t>县</t>
    </r>
    <r>
      <rPr>
        <sz val="11"/>
        <color rgb="FF000000"/>
        <rFont val="Calibri"/>
      </rPr>
      <t>。</t>
    </r>
  </si>
  <si>
    <t>Tôi sống ở huyện này.</t>
  </si>
  <si>
    <t>H5_B2_BG-17.png</t>
  </si>
  <si>
    <t>B2-17.mp3</t>
  </si>
  <si>
    <t>装修</t>
  </si>
  <si>
    <t>&lt;ruby&gt;装修&lt;rt&gt;zhuāngxiū&lt;/rt&gt;&lt;/ruby&gt;</t>
  </si>
  <si>
    <t>zhuāngxiū</t>
  </si>
  <si>
    <t>sửa sang, trang hoàng</t>
  </si>
  <si>
    <r>
      <rPr>
        <sz val="11"/>
        <color rgb="FF000000"/>
        <rFont val="Calibri"/>
      </rPr>
      <t>我们正在</t>
    </r>
    <r>
      <rPr>
        <b/>
        <sz val="11"/>
        <color rgb="FF000000"/>
        <rFont val="Calibri"/>
      </rPr>
      <t>装修</t>
    </r>
    <r>
      <rPr>
        <sz val="11"/>
        <color rgb="FF000000"/>
        <rFont val="Calibri"/>
      </rPr>
      <t>新家。</t>
    </r>
  </si>
  <si>
    <t>Chúng tôi đang sửa sang nhà mới.</t>
  </si>
  <si>
    <t>H5_B2_BG-18.png</t>
  </si>
  <si>
    <t>B2-18.mp3</t>
  </si>
  <si>
    <t>铺</t>
  </si>
  <si>
    <t>&lt;ruby&gt;铺&lt;rt&gt;pū&lt;/rt&gt;&lt;/ruby&gt;</t>
  </si>
  <si>
    <t>pū</t>
  </si>
  <si>
    <t>trải</t>
  </si>
  <si>
    <r>
      <rPr>
        <sz val="11"/>
        <color rgb="FF000000"/>
        <rFont val="Calibri"/>
      </rPr>
      <t>地板上</t>
    </r>
    <r>
      <rPr>
        <b/>
        <sz val="11"/>
        <color rgb="FF000000"/>
        <rFont val="Calibri"/>
      </rPr>
      <t>铺</t>
    </r>
    <r>
      <rPr>
        <sz val="11"/>
        <color rgb="FF000000"/>
        <rFont val="Calibri"/>
      </rPr>
      <t>了一张漂亮的地毯，看起来很舒适。</t>
    </r>
  </si>
  <si>
    <t>Trên sàn trải một tấm thảm đẹp, trông rất thoải mái.</t>
  </si>
  <si>
    <t>H5_B2_BG-19.png</t>
  </si>
  <si>
    <t>B2-19.mp3</t>
  </si>
  <si>
    <t>套</t>
  </si>
  <si>
    <t>&lt;ruby&gt;套&lt;rt&gt;tào&lt;/rt&gt;&lt;/ruby&gt;</t>
  </si>
  <si>
    <t>tào</t>
  </si>
  <si>
    <t>bộ, căn, cái</t>
  </si>
  <si>
    <r>
      <rPr>
        <sz val="11"/>
        <color rgb="FF000000"/>
        <rFont val="Calibri"/>
      </rPr>
      <t>他们买了一</t>
    </r>
    <r>
      <rPr>
        <b/>
        <sz val="11"/>
        <color rgb="FF000000"/>
        <rFont val="Calibri"/>
      </rPr>
      <t>套</t>
    </r>
    <r>
      <rPr>
        <sz val="11"/>
        <color rgb="FF000000"/>
        <rFont val="Calibri"/>
      </rPr>
      <t>大房子，准备搬进去住。</t>
    </r>
  </si>
  <si>
    <t>Họ đã mua một căn nhà lớn, chuẩn bị chuyển vào ở.</t>
  </si>
  <si>
    <t>H5_B2_BG-20.png</t>
  </si>
  <si>
    <t>B2-20.mp3</t>
  </si>
  <si>
    <t>锁</t>
  </si>
  <si>
    <t>&lt;ruby&gt;锁&lt;rt&gt;suǒ&lt;/rt&gt;&lt;/ruby&gt;</t>
  </si>
  <si>
    <t>suǒ</t>
  </si>
  <si>
    <t>cái khóa; khóa</t>
  </si>
  <si>
    <r>
      <rPr>
        <sz val="11"/>
        <color rgb="FF000000"/>
        <rFont val="Calibri"/>
      </rPr>
      <t>离开家前，请一定要记得把门</t>
    </r>
    <r>
      <rPr>
        <b/>
        <sz val="11"/>
        <color rgb="FF000000"/>
        <rFont val="Calibri"/>
      </rPr>
      <t>锁</t>
    </r>
    <r>
      <rPr>
        <sz val="11"/>
        <color rgb="FF000000"/>
        <rFont val="Calibri"/>
      </rPr>
      <t>好。</t>
    </r>
  </si>
  <si>
    <t>Trước khi rời nhà, nhất định phải nhớ khóa cửa.</t>
  </si>
  <si>
    <t>H5_B2_BG-21.png</t>
  </si>
  <si>
    <t>B2-21.mp3</t>
  </si>
  <si>
    <t>sáng; tỏa sáng</t>
  </si>
  <si>
    <r>
      <rPr>
        <sz val="11"/>
        <color rgb="FF000000"/>
        <rFont val="Calibri"/>
      </rPr>
      <t>阳光从窗外照进来，整个屋子变得特别</t>
    </r>
    <r>
      <rPr>
        <b/>
        <sz val="11"/>
        <color rgb="FF000000"/>
        <rFont val="Calibri"/>
      </rPr>
      <t>亮</t>
    </r>
    <r>
      <rPr>
        <sz val="11"/>
        <color rgb="FF000000"/>
        <rFont val="Calibri"/>
      </rPr>
      <t>。</t>
    </r>
  </si>
  <si>
    <t>Ánh nắng chiếu qua cửa sổ, làm cả căn nhà trở nên sáng bừng.</t>
  </si>
  <si>
    <t>H5_B2_BG-22.png</t>
  </si>
  <si>
    <t>B2-22.mp3</t>
  </si>
  <si>
    <t>晒</t>
  </si>
  <si>
    <t>&lt;ruby&gt;晒&lt;rt&gt;shài&lt;/rt&gt;&lt;/ruby&gt;</t>
  </si>
  <si>
    <t>shài</t>
  </si>
  <si>
    <t>phơi</t>
  </si>
  <si>
    <r>
      <rPr>
        <sz val="11"/>
        <color rgb="FF000000"/>
        <rFont val="Calibri"/>
      </rPr>
      <t>妈妈把被子拿到院子里</t>
    </r>
    <r>
      <rPr>
        <b/>
        <sz val="11"/>
        <color rgb="FF000000"/>
        <rFont val="Calibri"/>
      </rPr>
      <t>晒</t>
    </r>
    <r>
      <rPr>
        <sz val="11"/>
        <color rgb="FF000000"/>
        <rFont val="Calibri"/>
      </rPr>
      <t>了一下午，现在特别暖和。</t>
    </r>
  </si>
  <si>
    <t>Mẹ đã mang chăn ra sân phơi cả buổi chiều, giờ rất ấm áp.</t>
  </si>
  <si>
    <t>H5_B2_BG-23.png</t>
  </si>
  <si>
    <t>B2-23.mp3</t>
  </si>
  <si>
    <t>不得了</t>
  </si>
  <si>
    <t>&lt;ruby&gt;不得了&lt;rt&gt;bùdéliǎo&lt;/rt&gt;&lt;/ruby&gt;</t>
  </si>
  <si>
    <t>bùdéliǎo</t>
  </si>
  <si>
    <t>cực kỳ, vô cùng</t>
  </si>
  <si>
    <r>
      <rPr>
        <sz val="10"/>
        <color rgb="FF000000"/>
        <rFont val="Calibri"/>
      </rPr>
      <t>他跑了一整天，累得</t>
    </r>
    <r>
      <rPr>
        <b/>
        <sz val="10"/>
        <color rgb="FF000000"/>
        <rFont val="Calibri"/>
      </rPr>
      <t>不得了</t>
    </r>
    <r>
      <rPr>
        <sz val="10"/>
        <color rgb="FF000000"/>
        <rFont val="Calibri"/>
      </rPr>
      <t>。</t>
    </r>
  </si>
  <si>
    <t>Anh ấy chạy suốt cả ngày, mệt không chịu nổi.</t>
  </si>
  <si>
    <t>H5_B2_BG-24.png</t>
  </si>
  <si>
    <t>B2-24.mp3</t>
  </si>
  <si>
    <t>长途</t>
  </si>
  <si>
    <t>&lt;ruby&gt;长途&lt;rt&gt;chángtú&lt;/rt&gt;&lt;/ruby&gt;</t>
  </si>
  <si>
    <t>chángtú</t>
  </si>
  <si>
    <t>đường dài</t>
  </si>
  <si>
    <r>
      <rPr>
        <sz val="10"/>
        <color rgb="FF000000"/>
        <rFont val="Calibri"/>
      </rPr>
      <t>他们刚完成了一次</t>
    </r>
    <r>
      <rPr>
        <b/>
        <sz val="10"/>
        <color rgb="FF000000"/>
        <rFont val="Calibri"/>
      </rPr>
      <t>长途</t>
    </r>
    <r>
      <rPr>
        <sz val="10"/>
        <color rgb="FF000000"/>
        <rFont val="Calibri"/>
      </rPr>
      <t>旅行。</t>
    </r>
  </si>
  <si>
    <t>Họ vừa hoàn thành một chuyến du lịch đường dài.</t>
  </si>
  <si>
    <t>H5_B2_BG-25.png</t>
  </si>
  <si>
    <t>B2-25.mp3</t>
  </si>
  <si>
    <t>打工</t>
  </si>
  <si>
    <t>&lt;ruby&gt;打工&lt;rt&gt;dǎ gōng&lt;/rt&gt;&lt;/ruby&gt;</t>
  </si>
  <si>
    <t>dǎ gōng</t>
  </si>
  <si>
    <t>làm thuê, làm công</t>
  </si>
  <si>
    <r>
      <rPr>
        <sz val="10"/>
        <color rgb="FF000000"/>
        <rFont val="Calibri"/>
      </rPr>
      <t>为了支付学费，他晚上去餐馆</t>
    </r>
    <r>
      <rPr>
        <b/>
        <sz val="10"/>
        <color rgb="FF000000"/>
        <rFont val="Calibri"/>
      </rPr>
      <t>打工</t>
    </r>
    <r>
      <rPr>
        <sz val="10"/>
        <color rgb="FF000000"/>
        <rFont val="Calibri"/>
      </rPr>
      <t>。</t>
    </r>
  </si>
  <si>
    <t>Để trả học phí, anh ấy đi làm thêm ở nhà hàng vào buổi tối.</t>
  </si>
  <si>
    <t>H5_B2_BG-26.png</t>
  </si>
  <si>
    <t>B2-26.mp3</t>
  </si>
  <si>
    <t>冻</t>
  </si>
  <si>
    <t>&lt;ruby&gt;冻&lt;rt&gt;dòng&lt;/rt&gt;&lt;/ruby&gt;</t>
  </si>
  <si>
    <t>bị cóng, rét</t>
  </si>
  <si>
    <r>
      <rPr>
        <sz val="10"/>
        <color theme="1"/>
        <rFont val="Calibri"/>
      </rPr>
      <t>天气太冷了，他</t>
    </r>
    <r>
      <rPr>
        <b/>
        <sz val="10"/>
        <color theme="1"/>
        <rFont val="Calibri"/>
      </rPr>
      <t>冻</t>
    </r>
    <r>
      <rPr>
        <sz val="10"/>
        <color theme="1"/>
        <rFont val="Calibri"/>
      </rPr>
      <t>得直发抖。</t>
    </r>
  </si>
  <si>
    <t>Trời quá lạnh, anh ấy rét đến mức run cầm cập.</t>
  </si>
  <si>
    <t>H5_B2_BG-27.png</t>
  </si>
  <si>
    <t>B2-27.mp3</t>
  </si>
  <si>
    <t>断</t>
  </si>
  <si>
    <t>&lt;ruby&gt;断&lt;rt&gt;duàn&lt;/rt&gt;&lt;/ruby&gt;</t>
  </si>
  <si>
    <t>dứt, cai</t>
  </si>
  <si>
    <r>
      <rPr>
        <sz val="10"/>
        <color theme="1"/>
        <rFont val="Calibri"/>
      </rPr>
      <t>他决定</t>
    </r>
    <r>
      <rPr>
        <b/>
        <sz val="10"/>
        <color theme="1"/>
        <rFont val="Calibri"/>
      </rPr>
      <t>断</t>
    </r>
    <r>
      <rPr>
        <sz val="10"/>
        <color theme="1"/>
        <rFont val="Calibri"/>
      </rPr>
      <t>掉每天喝酒的习惯。</t>
    </r>
  </si>
  <si>
    <t>Anh ấy quyết định từ bỏ thói quen uống rượu mỗi ngày.</t>
  </si>
  <si>
    <t>H5_B2_BG-28.png</t>
  </si>
  <si>
    <t>B2-28.mp3</t>
  </si>
  <si>
    <t>坚决</t>
  </si>
  <si>
    <t>&lt;ruby&gt;坚决&lt;rt&gt;jiānjué&lt;/rt&gt;&lt;/ruby&gt;</t>
  </si>
  <si>
    <t>jiānjué</t>
  </si>
  <si>
    <t>kiên quyết</t>
  </si>
  <si>
    <r>
      <rPr>
        <sz val="10"/>
        <color rgb="FF000000"/>
        <rFont val="Calibri"/>
      </rPr>
      <t>我们</t>
    </r>
    <r>
      <rPr>
        <b/>
        <sz val="10"/>
        <color rgb="FF000000"/>
        <rFont val="Calibri"/>
      </rPr>
      <t>坚决</t>
    </r>
    <r>
      <rPr>
        <sz val="10"/>
        <color rgb="FF000000"/>
        <rFont val="Calibri"/>
      </rPr>
      <t>反对这个决定。</t>
    </r>
  </si>
  <si>
    <t>Chúng tôi kiên quyết phản đối quyết định này.</t>
  </si>
  <si>
    <t>H5_B2_BG-29.png</t>
  </si>
  <si>
    <t>B2-29.mp3</t>
  </si>
  <si>
    <t>临</t>
  </si>
  <si>
    <t>&lt;ruby&gt;临&lt;rt&gt;lín&lt;/rt&gt;&lt;/ruby&gt;</t>
  </si>
  <si>
    <t>lín</t>
  </si>
  <si>
    <t>sắp, gần</t>
  </si>
  <si>
    <r>
      <rPr>
        <b/>
        <sz val="11"/>
        <color rgb="FF000000"/>
        <rFont val="Calibri"/>
      </rPr>
      <t>临</t>
    </r>
    <r>
      <rPr>
        <sz val="11"/>
        <color rgb="FF000000"/>
        <rFont val="Calibri"/>
      </rPr>
      <t>出门前，他又检查了一遍门锁。</t>
    </r>
  </si>
  <si>
    <t>Trước khi ra khỏi nhà, anh ấy lại kiểm tra khóa cửa một lần nữa.</t>
  </si>
  <si>
    <t>H5_B2_BG-30.png</t>
  </si>
  <si>
    <t>B2-30.mp3</t>
  </si>
  <si>
    <t>飘</t>
  </si>
  <si>
    <t>&lt;ruby&gt;飘&lt;rt&gt;piāo&lt;/rt&gt;&lt;/ruby&gt;</t>
  </si>
  <si>
    <t>piāo</t>
  </si>
  <si>
    <t>thoảng đưa, thoang thoảng</t>
  </si>
  <si>
    <r>
      <rPr>
        <sz val="10"/>
        <color theme="1"/>
        <rFont val="Calibri"/>
      </rPr>
      <t>微风吹过，花香</t>
    </r>
    <r>
      <rPr>
        <b/>
        <sz val="10"/>
        <color theme="1"/>
        <rFont val="Calibri"/>
      </rPr>
      <t>飘</t>
    </r>
    <r>
      <rPr>
        <sz val="10"/>
        <color theme="1"/>
        <rFont val="Calibri"/>
      </rPr>
      <t>进了房间。</t>
    </r>
  </si>
  <si>
    <t>Cơn gió nhẹ thổi qua, hương hoa thoảng vào phòng.</t>
  </si>
  <si>
    <t>H5_B2_BG-31.png</t>
  </si>
  <si>
    <t>B2-31.mp3</t>
  </si>
  <si>
    <t>悄悄</t>
  </si>
  <si>
    <t>&lt;ruby&gt;悄悄&lt;rt&gt;qiāoqiāo&lt;/rt&gt;&lt;/ruby&gt;</t>
  </si>
  <si>
    <t>qiāoqiāo</t>
  </si>
  <si>
    <t>lặng lẽ, nhẹ nhàng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</si>
  <si>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悄悄</t>
    </r>
    <r>
      <rPr>
        <sz val="11"/>
        <color rgb="FF000000"/>
        <rFont val="Calibri"/>
      </rPr>
      <t>地把信放在桌子上。</t>
    </r>
  </si>
  <si>
    <t>Anh ấy lặng lẽ đặt lá thư lên bàn.</t>
  </si>
  <si>
    <t>H5_B2_BG-32.png</t>
  </si>
  <si>
    <t>B2-32.mp3</t>
  </si>
  <si>
    <t>以来</t>
  </si>
  <si>
    <t>&lt;ruby&gt;以来&lt;rt&gt;yǐlái&lt;/rt&gt;&lt;/ruby&gt;</t>
  </si>
  <si>
    <t>yǐlái</t>
  </si>
  <si>
    <t>đến nay</t>
  </si>
  <si>
    <r>
      <rPr>
        <sz val="11"/>
        <color rgb="FF000000"/>
        <rFont val="Calibri"/>
      </rPr>
      <t>结婚</t>
    </r>
    <r>
      <rPr>
        <b/>
        <sz val="11"/>
        <color rgb="FF000000"/>
        <rFont val="Calibri"/>
      </rPr>
      <t>以来</t>
    </r>
    <r>
      <rPr>
        <sz val="11"/>
        <color rgb="FF000000"/>
        <rFont val="Calibri"/>
      </rPr>
      <t>，他们很幸福。</t>
    </r>
  </si>
  <si>
    <t>Kể từ khi kết hôn, họ rất hạnh phúc.</t>
  </si>
  <si>
    <t>H5_B2_BG-33.png</t>
  </si>
  <si>
    <t>B2-33.mp3</t>
  </si>
  <si>
    <t>阵</t>
  </si>
  <si>
    <t>&lt;ruby&gt;阵&lt;rt&gt;zhèn&lt;/rt&gt;&lt;/ruby&gt;</t>
  </si>
  <si>
    <t>zhèn</t>
  </si>
  <si>
    <t>(chỉ giai đoạn trải qua của sự việc hoặc hành động) trận, cơn, làn</t>
  </si>
  <si>
    <r>
      <rPr>
        <sz val="10"/>
        <color theme="1"/>
        <rFont val="Calibri"/>
      </rPr>
      <t>天空突然刮起了一</t>
    </r>
    <r>
      <rPr>
        <b/>
        <sz val="10"/>
        <color theme="1"/>
        <rFont val="Calibri"/>
      </rPr>
      <t>阵</t>
    </r>
    <r>
      <rPr>
        <sz val="10"/>
        <color theme="1"/>
        <rFont val="Calibri"/>
      </rPr>
      <t>大风，把旗子吹得飘动起来。</t>
    </r>
  </si>
  <si>
    <t>Trên trời bỗng nổi lên một cơn gió lớn, làm lá cờ bay phấp phới.</t>
  </si>
  <si>
    <t>H5_B2_BG-34.png</t>
  </si>
  <si>
    <t>B2-34.mp3</t>
  </si>
  <si>
    <t>挣</t>
  </si>
  <si>
    <t>&lt;ruby&gt;挣&lt;rt&gt;zhèng&lt;/rt&gt;&lt;/ruby&gt;</t>
  </si>
  <si>
    <r>
      <rPr>
        <sz val="11"/>
        <color rgb="FF000000"/>
        <rFont val="Calibri"/>
      </rPr>
      <t>他每天努力工作，希望多</t>
    </r>
    <r>
      <rPr>
        <b/>
        <sz val="11"/>
        <color rgb="FF000000"/>
        <rFont val="Calibri"/>
      </rPr>
      <t>挣</t>
    </r>
    <r>
      <rPr>
        <sz val="11"/>
        <color rgb="FF000000"/>
        <rFont val="Calibri"/>
      </rPr>
      <t>点钱养家。</t>
    </r>
  </si>
  <si>
    <t>Anh ấy làm việc chăm chỉ mỗi ngày, hy vọng kiếm được nhiều tiền để nuôi gia đình.</t>
  </si>
  <si>
    <t>H5_B2_BG-35.png</t>
  </si>
  <si>
    <t>B2-35.mp3</t>
  </si>
  <si>
    <t>B2_VD_35.mp3</t>
  </si>
  <si>
    <t>醉</t>
  </si>
  <si>
    <t>&lt;ruby&gt;醉&lt;rt&gt;zuì&lt;/rt&gt;&lt;/ruby&gt;</t>
  </si>
  <si>
    <t>say (rượu)</t>
  </si>
  <si>
    <r>
      <rPr>
        <sz val="11"/>
        <color rgb="FF000000"/>
        <rFont val="Calibri"/>
      </rPr>
      <t>他喝了很多酒，</t>
    </r>
    <r>
      <rPr>
        <b/>
        <sz val="11"/>
        <color rgb="FF000000"/>
        <rFont val="Calibri"/>
      </rPr>
      <t>醉</t>
    </r>
    <r>
      <rPr>
        <sz val="11"/>
        <color rgb="FF000000"/>
        <rFont val="Calibri"/>
      </rPr>
      <t>得连路都走不稳了。</t>
    </r>
  </si>
  <si>
    <t>Anh ấy uống quá nhiều rượu, say đến mức đi không vững.</t>
  </si>
  <si>
    <t>H5_B2_BG-36.png</t>
  </si>
  <si>
    <t>B2-36.mp3</t>
  </si>
  <si>
    <t>B2_VD_36.mp3</t>
  </si>
  <si>
    <t>串</t>
  </si>
  <si>
    <t>&lt;ruby&gt;串&lt;rt&gt;chuàn&lt;/rt&gt;&lt;/ruby&gt;</t>
  </si>
  <si>
    <t>chuàn</t>
  </si>
  <si>
    <t>xâu, chuỗi, đời</t>
  </si>
  <si>
    <r>
      <rPr>
        <sz val="11"/>
        <color rgb="FF000000"/>
        <rFont val="Calibri"/>
      </rPr>
      <t>门口挂着一</t>
    </r>
    <r>
      <rPr>
        <b/>
        <sz val="11"/>
        <color rgb="FF000000"/>
        <rFont val="Calibri"/>
      </rPr>
      <t>串</t>
    </r>
    <r>
      <rPr>
        <sz val="11"/>
        <color rgb="FF000000"/>
        <rFont val="Calibri"/>
      </rPr>
      <t>红色的灯笼，非常喜庆。</t>
    </r>
  </si>
  <si>
    <t>Trước cửa treo một chuỗi đèn lồng đỏ, rất rực rỡ.</t>
  </si>
  <si>
    <t>H5_B2_BG-37.png</t>
  </si>
  <si>
    <t>B2-37.mp3</t>
  </si>
  <si>
    <t>B2_VD_37.mp3</t>
  </si>
  <si>
    <t>立刻</t>
  </si>
  <si>
    <t>&lt;ruby&gt;立刻&lt;rt&gt;lìkè&lt;/rt&gt;&lt;/ruby&gt;</t>
  </si>
  <si>
    <t>lìkè</t>
  </si>
  <si>
    <t>lập tức</t>
  </si>
  <si>
    <r>
      <rPr>
        <sz val="11"/>
        <color rgb="FF000000"/>
        <rFont val="Calibri"/>
      </rPr>
      <t>听到电话响，她</t>
    </r>
    <r>
      <rPr>
        <b/>
        <sz val="11"/>
        <color rgb="FF000000"/>
        <rFont val="Calibri"/>
      </rPr>
      <t>立刻</t>
    </r>
    <r>
      <rPr>
        <sz val="11"/>
        <color rgb="FF000000"/>
        <rFont val="Calibri"/>
      </rPr>
      <t>跑过去接听。</t>
    </r>
  </si>
  <si>
    <t xml:space="preserve"> Nghe thấy điện thoại reo, cô ấy lập tức chạy đến nghe máy.</t>
  </si>
  <si>
    <t>H5_B2_BG-38.png</t>
  </si>
  <si>
    <t>B2-38.mp3</t>
  </si>
  <si>
    <t>B2_VD_38.mp3</t>
  </si>
  <si>
    <t>扑</t>
  </si>
  <si>
    <t>&lt;ruby&gt;扑&lt;rt&gt;pū&lt;/rt&gt;&lt;/ruby&gt;</t>
  </si>
  <si>
    <t>bổ nhào, lao vào, (mùi) phả vào</t>
  </si>
  <si>
    <r>
      <rPr>
        <sz val="10"/>
        <color theme="1"/>
        <rFont val="Calibri"/>
      </rPr>
      <t>孩子们为了抢球，一起</t>
    </r>
    <r>
      <rPr>
        <b/>
        <sz val="10"/>
        <color theme="1"/>
        <rFont val="Calibri"/>
      </rPr>
      <t>扑</t>
    </r>
    <r>
      <rPr>
        <sz val="10"/>
        <color theme="1"/>
        <rFont val="Calibri"/>
      </rPr>
      <t>向足球。</t>
    </r>
  </si>
  <si>
    <t>Lũ trẻ cùng lao về phía quả bóng để tranh giành.</t>
  </si>
  <si>
    <t>H5_B2_BG-39.png</t>
  </si>
  <si>
    <t>B2-39.mp3</t>
  </si>
  <si>
    <t>B2_VD_39.mp3</t>
  </si>
  <si>
    <t>包括</t>
  </si>
  <si>
    <t>&lt;ruby&gt;包括&lt;rt&gt;bāokuò&lt;/rt&gt;&lt;/ruby&gt;</t>
  </si>
  <si>
    <t>bāokuò</t>
  </si>
  <si>
    <t>bao gồm</t>
  </si>
  <si>
    <t>我们家有六口人，包括爷爷、奶奶、爸爸、妈妈、哥哥和我。</t>
  </si>
  <si>
    <t>Nhà tôi có sáu người, bao gồm ông nội, bà nội, bố, mẹ, anh trai và tôi.</t>
  </si>
  <si>
    <t>H5_B3_BG-01.png</t>
  </si>
  <si>
    <t>B3-01.mp3</t>
  </si>
  <si>
    <t>干活儿</t>
  </si>
  <si>
    <t>&lt;ruby&gt;干活儿&lt;rt&gt;gàn huór&lt;/rt&gt;&lt;/ruby&gt;</t>
  </si>
  <si>
    <t>gàn huór</t>
  </si>
  <si>
    <t>làm việc</t>
  </si>
  <si>
    <r>
      <rPr>
        <sz val="11"/>
        <color rgb="FF000000"/>
        <rFont val="Calibri"/>
      </rPr>
      <t>她正在</t>
    </r>
    <r>
      <rPr>
        <b/>
        <sz val="11"/>
        <color rgb="FF000000"/>
        <rFont val="Calibri"/>
      </rPr>
      <t>干活儿</t>
    </r>
    <r>
      <rPr>
        <sz val="11"/>
        <color rgb="FF000000"/>
        <rFont val="Calibri"/>
      </rPr>
      <t>，跟客户通过视频会议沟通。</t>
    </r>
  </si>
  <si>
    <t>Cô ấy đang làm việc, trao đổi với khách hàng qua cuộc họp video.</t>
  </si>
  <si>
    <t>H5_B3_BG-02.png</t>
  </si>
  <si>
    <t>B3-02.mp3</t>
  </si>
  <si>
    <t>工人</t>
  </si>
  <si>
    <t>&lt;ruby&gt;工人&lt;rt&gt;gōngrén&lt;/rt&gt;&lt;/ruby&gt;</t>
  </si>
  <si>
    <t>gōngrén</t>
  </si>
  <si>
    <t>công nhân</t>
  </si>
  <si>
    <r>
      <rPr>
        <b/>
        <sz val="11"/>
        <color rgb="FF000000"/>
        <rFont val="Calibri"/>
      </rPr>
      <t>工人</t>
    </r>
    <r>
      <rPr>
        <sz val="11"/>
        <color rgb="FF000000"/>
        <rFont val="Calibri"/>
      </rPr>
      <t>们每天早上六点开始工作，一直到傍晚才休息。</t>
    </r>
  </si>
  <si>
    <t>Các công nhân mỗi ngày bắt đầu làm việc từ sáu giờ sáng, mãi đến chiều tối mới được nghỉ ngơi.</t>
  </si>
  <si>
    <t>H5_B3_BG-03.png</t>
  </si>
  <si>
    <t>B3-03.mp3</t>
  </si>
  <si>
    <t>辞职</t>
  </si>
  <si>
    <t>&lt;ruby&gt;辞职&lt;rt&gt;cí zhí&lt;/rt&gt;&lt;/ruby&gt;</t>
  </si>
  <si>
    <t>cí zhí</t>
  </si>
  <si>
    <t>từ chức</t>
  </si>
  <si>
    <r>
      <rPr>
        <sz val="11"/>
        <color rgb="FF000000"/>
        <rFont val="Calibri"/>
      </rPr>
      <t>她因为个人原因向公司提出了</t>
    </r>
    <r>
      <rPr>
        <b/>
        <sz val="11"/>
        <color rgb="FF000000"/>
        <rFont val="Calibri"/>
      </rPr>
      <t>辞职</t>
    </r>
    <r>
      <rPr>
        <sz val="11"/>
        <color rgb="FF000000"/>
        <rFont val="Calibri"/>
      </rPr>
      <t>。</t>
    </r>
  </si>
  <si>
    <t>Cô ấy đã nộp đơn xin nghỉ việc với lý do cá nhân.</t>
  </si>
  <si>
    <t>H5_B3_BG-04.png</t>
  </si>
  <si>
    <t>B3-04.mp3</t>
  </si>
  <si>
    <t>各自</t>
  </si>
  <si>
    <t>&lt;ruby&gt;各自&lt;rt&gt;gèzì&lt;/rt&gt;&lt;/ruby&gt;</t>
  </si>
  <si>
    <t>gèzì</t>
  </si>
  <si>
    <t>từng người, riêng mình, mỗi</t>
  </si>
  <si>
    <r>
      <rPr>
        <sz val="10"/>
        <color theme="1"/>
        <rFont val="Calibri"/>
      </rPr>
      <t>每个人都可以根据</t>
    </r>
    <r>
      <rPr>
        <b/>
        <sz val="10"/>
        <color theme="1"/>
        <rFont val="Calibri"/>
      </rPr>
      <t>各自</t>
    </r>
    <r>
      <rPr>
        <sz val="10"/>
        <color theme="1"/>
        <rFont val="Calibri"/>
      </rPr>
      <t>的兴趣选择活动。</t>
    </r>
  </si>
  <si>
    <t>Mỗi người có thể chọn hoạt động theo sở thích của mình.</t>
  </si>
  <si>
    <t>H5_B3_BG-05.png</t>
  </si>
  <si>
    <t>B3-05.mp3</t>
  </si>
  <si>
    <t>时刻</t>
  </si>
  <si>
    <t>&lt;ruby&gt;时刻&lt;rt&gt;shíkè&lt;/rt&gt;&lt;/ruby&gt;</t>
  </si>
  <si>
    <t>shíkè</t>
  </si>
  <si>
    <t>thời khắc, thời gian</t>
  </si>
  <si>
    <r>
      <rPr>
        <sz val="11"/>
        <color rgb="FF000000"/>
        <rFont val="Calibri"/>
      </rPr>
      <t>作为医生，她必须</t>
    </r>
    <r>
      <rPr>
        <b/>
        <sz val="11"/>
        <color rgb="FF000000"/>
        <rFont val="Calibri"/>
      </rPr>
      <t>时刻</t>
    </r>
    <r>
      <rPr>
        <sz val="11"/>
        <color rgb="FF000000"/>
        <rFont val="Calibri"/>
      </rPr>
      <t>准备应对突发情况。</t>
    </r>
  </si>
  <si>
    <t xml:space="preserve"> Là một bác sĩ, cô ấy phải luôn sẵn sàng ứng phó với các tình huống khẩn cấp.</t>
  </si>
  <si>
    <t>H5_B3_BG-06.png</t>
  </si>
  <si>
    <t>B3-06.mp3</t>
  </si>
  <si>
    <t>随时</t>
  </si>
  <si>
    <t>&lt;ruby&gt;随时&lt;rt&gt;suíshí&lt;/rt&gt;&lt;/ruby&gt;</t>
  </si>
  <si>
    <t>suíshí</t>
  </si>
  <si>
    <t>bất cứ lúc nào</t>
  </si>
  <si>
    <r>
      <rPr>
        <b/>
        <sz val="11"/>
        <color rgb="FF000000"/>
        <rFont val="Calibri"/>
      </rPr>
      <t>随时</t>
    </r>
    <r>
      <rPr>
        <sz val="11"/>
        <color rgb="FF000000"/>
        <rFont val="Calibri"/>
      </rPr>
      <t>有热水供应吗？</t>
    </r>
  </si>
  <si>
    <t>Nước nóng có sẵn bất cứ khi nào cần không?</t>
  </si>
  <si>
    <t>H5_B3_BG-07.png</t>
  </si>
  <si>
    <t>B3-07.mp3</t>
  </si>
  <si>
    <t>盼望</t>
  </si>
  <si>
    <t>&lt;ruby&gt;盼望&lt;rt&gt;pànwàng&lt;/rt&gt;&lt;/ruby&gt;</t>
  </si>
  <si>
    <t>pànwàng</t>
  </si>
  <si>
    <t>trông mong, mong mỏi</t>
  </si>
  <si>
    <r>
      <rPr>
        <sz val="10"/>
        <color rgb="FF0E0E0E"/>
        <rFont val="Calibri"/>
      </rPr>
      <t>他努力学习，</t>
    </r>
    <r>
      <rPr>
        <b/>
        <sz val="10"/>
        <color rgb="FF0E0E0E"/>
        <rFont val="Calibri"/>
      </rPr>
      <t>盼望</t>
    </r>
    <r>
      <rPr>
        <sz val="10"/>
        <color rgb="FF0E0E0E"/>
        <rFont val="Calibri"/>
      </rPr>
      <t>将来能有一份稳定的工作。</t>
    </r>
  </si>
  <si>
    <t>Anh ấy chăm chỉ học hành mong rằng sau này sẽ có một công việc ổn định.</t>
  </si>
  <si>
    <t>H5_B3_BG-08.png</t>
  </si>
  <si>
    <t>B3-08.mp3</t>
  </si>
  <si>
    <t>稳定</t>
  </si>
  <si>
    <t>&lt;ruby&gt;稳定&lt;rt&gt;wěndìng&lt;/rt&gt;&lt;/ruby&gt;</t>
  </si>
  <si>
    <t>wěndìng</t>
  </si>
  <si>
    <t>ổn định</t>
  </si>
  <si>
    <r>
      <rPr>
        <sz val="11"/>
        <color rgb="FF000000"/>
        <rFont val="Calibri"/>
      </rPr>
      <t>她的目标是找到一份收入</t>
    </r>
    <r>
      <rPr>
        <b/>
        <sz val="11"/>
        <color rgb="FF000000"/>
        <rFont val="Calibri"/>
      </rPr>
      <t>稳定</t>
    </r>
    <r>
      <rPr>
        <sz val="11"/>
        <color rgb="FF000000"/>
        <rFont val="Calibri"/>
      </rPr>
      <t>的工作。</t>
    </r>
  </si>
  <si>
    <t>Mục tiêu của cô ấy là tìm một công việc có thu nhập ổn định.</t>
  </si>
  <si>
    <t>H5_B3_BG-09.png</t>
  </si>
  <si>
    <t>B3-09.mp3</t>
  </si>
  <si>
    <t>舒适</t>
  </si>
  <si>
    <t>&lt;ruby&gt;舒适&lt;rt&gt;shūshì&lt;/rt&gt;&lt;/ruby&gt;</t>
  </si>
  <si>
    <t>shūshì</t>
  </si>
  <si>
    <t>dễ chịu, thoải mái</t>
  </si>
  <si>
    <r>
      <rPr>
        <sz val="10"/>
        <color theme="1"/>
        <rFont val="Calibri"/>
      </rPr>
      <t>这个床很</t>
    </r>
    <r>
      <rPr>
        <b/>
        <sz val="10"/>
        <color theme="1"/>
        <rFont val="Calibri"/>
      </rPr>
      <t>舒适</t>
    </r>
    <r>
      <rPr>
        <sz val="10"/>
        <color theme="1"/>
        <rFont val="Calibri"/>
      </rPr>
      <t>，睡得很好。</t>
    </r>
  </si>
  <si>
    <t>Cái giường này rất thoải mái, tôi ngủ rất ngon.</t>
  </si>
  <si>
    <t>H5_B3_BG-10.png</t>
  </si>
  <si>
    <t>B3-10.mp3</t>
  </si>
  <si>
    <t>发愁</t>
  </si>
  <si>
    <t>&lt;ruby&gt;发愁&lt;rt&gt;fā chóu&lt;/rt&gt;&lt;/ruby&gt;</t>
  </si>
  <si>
    <t>fā chóu</t>
  </si>
  <si>
    <t>lo âu, buồn rầu</t>
  </si>
  <si>
    <r>
      <rPr>
        <sz val="11"/>
        <color rgb="FF000000"/>
        <rFont val="Calibri"/>
      </rPr>
      <t>她正在为找不到合适的工作</t>
    </r>
    <r>
      <rPr>
        <b/>
        <sz val="11"/>
        <color rgb="FF000000"/>
        <rFont val="Calibri"/>
      </rPr>
      <t>发愁</t>
    </r>
    <r>
      <rPr>
        <sz val="11"/>
        <color rgb="FF000000"/>
        <rFont val="Calibri"/>
      </rPr>
      <t>。</t>
    </r>
  </si>
  <si>
    <t>Cô ấy đang lo lắng vì không tìm được công việc phù hợp.</t>
  </si>
  <si>
    <t>H5_B3_BG-11.png</t>
  </si>
  <si>
    <t>B3-11.mp3</t>
  </si>
  <si>
    <t>未来</t>
  </si>
  <si>
    <t>&lt;ruby&gt;未来&lt;rt&gt;wèilái&lt;/rt&gt;&lt;/ruby&gt;</t>
  </si>
  <si>
    <t>wèilái</t>
  </si>
  <si>
    <r>
      <rPr>
        <b/>
        <sz val="11"/>
        <color rgb="FF000000"/>
        <rFont val="Calibri"/>
      </rPr>
      <t>未来</t>
    </r>
    <r>
      <rPr>
        <sz val="11"/>
        <color rgb="FF000000"/>
        <rFont val="Calibri"/>
      </rPr>
      <t>她想成为一名医生。</t>
    </r>
  </si>
  <si>
    <t>Tương lai cô ấy muốn trở thành bác sĩ.</t>
  </si>
  <si>
    <t>H5_B3_BG-12.png</t>
  </si>
  <si>
    <t>B3-12.mp3</t>
  </si>
  <si>
    <t>待遇</t>
  </si>
  <si>
    <t>&lt;ruby&gt;待遇&lt;rt&gt;dàiyù&lt;/rt&gt;&lt;/ruby&gt;</t>
  </si>
  <si>
    <t>dàiyù</t>
  </si>
  <si>
    <t>sự đãi ngộ</t>
  </si>
  <si>
    <r>
      <rPr>
        <sz val="11"/>
        <color rgb="FF000000"/>
        <rFont val="Calibri"/>
      </rPr>
      <t>她的</t>
    </r>
    <r>
      <rPr>
        <b/>
        <sz val="11"/>
        <color rgb="FF000000"/>
        <rFont val="Calibri"/>
      </rPr>
      <t>待遇</t>
    </r>
    <r>
      <rPr>
        <sz val="11"/>
        <color rgb="FF000000"/>
        <rFont val="Calibri"/>
      </rPr>
      <t>包括奖金和福利。</t>
    </r>
  </si>
  <si>
    <t>Đãi ngộ của cô ấy bao gồm tiền thưởng và phúc lợi.</t>
  </si>
  <si>
    <t>H5_B3_BG-13.png</t>
  </si>
  <si>
    <t>B3-13.mp3</t>
  </si>
  <si>
    <t>钓</t>
  </si>
  <si>
    <t>&lt;ruby&gt;钓&lt;rt&gt;diào&lt;/rt&gt;&lt;/ruby&gt;</t>
  </si>
  <si>
    <t>câu (cá)</t>
  </si>
  <si>
    <r>
      <rPr>
        <sz val="11"/>
        <color rgb="FF000000"/>
        <rFont val="Calibri"/>
      </rPr>
      <t>周末他和朋友一起去河边</t>
    </r>
    <r>
      <rPr>
        <b/>
        <sz val="11"/>
        <color rgb="FF000000"/>
        <rFont val="Calibri"/>
      </rPr>
      <t>钓</t>
    </r>
    <r>
      <rPr>
        <sz val="11"/>
        <color rgb="FF000000"/>
        <rFont val="Calibri"/>
      </rPr>
      <t>鱼。</t>
    </r>
  </si>
  <si>
    <t xml:space="preserve"> Cuối tuần anh ấy cùng bạn đi câu cá bên sông.</t>
  </si>
  <si>
    <t>H5_B3_BG-14.png</t>
  </si>
  <si>
    <t>B3-14.mp3</t>
  </si>
  <si>
    <t>顿</t>
  </si>
  <si>
    <t>&lt;ruby&gt;顿&lt;rt&gt;dùn&lt;/rt&gt;&lt;/ruby&gt;</t>
  </si>
  <si>
    <t>dùn</t>
  </si>
  <si>
    <t>bữa</t>
  </si>
  <si>
    <r>
      <rPr>
        <sz val="11"/>
        <color rgb="FF000000"/>
        <rFont val="Calibri"/>
      </rPr>
      <t>忙了一整天，他好好吃了一</t>
    </r>
    <r>
      <rPr>
        <b/>
        <sz val="11"/>
        <color rgb="FF000000"/>
        <rFont val="Calibri"/>
      </rPr>
      <t>顿</t>
    </r>
    <r>
      <rPr>
        <sz val="11"/>
        <color rgb="FF000000"/>
        <rFont val="Calibri"/>
      </rPr>
      <t>晚饭。</t>
    </r>
  </si>
  <si>
    <t>Sau một ngày bận rộn, anh ấy đã ăn một bữa tối thật ngon.</t>
  </si>
  <si>
    <t>H5_B3_BG-15.png</t>
  </si>
  <si>
    <t>B3-15.mp3</t>
  </si>
  <si>
    <t>疯</t>
  </si>
  <si>
    <t>&lt;ruby&gt;疯&lt;rt&gt;fēng&lt;/rt&gt;&lt;/ruby&gt;</t>
  </si>
  <si>
    <t>phát điên, hóa điên</t>
  </si>
  <si>
    <r>
      <rPr>
        <sz val="11"/>
        <color rgb="FF000000"/>
        <rFont val="Calibri"/>
      </rPr>
      <t>他最近工作太忙了，感觉快</t>
    </r>
    <r>
      <rPr>
        <b/>
        <sz val="11"/>
        <color rgb="FF000000"/>
        <rFont val="Calibri"/>
      </rPr>
      <t>疯</t>
    </r>
    <r>
      <rPr>
        <sz val="11"/>
        <color rgb="FF000000"/>
        <rFont val="Calibri"/>
      </rPr>
      <t>了。</t>
    </r>
  </si>
  <si>
    <t>Gần đây anh ấy làm việc quá bận, cảm thấy sắp phát điên.</t>
  </si>
  <si>
    <t>H5_B3_BG-16.png</t>
  </si>
  <si>
    <t>B3-16.mp3</t>
  </si>
  <si>
    <t>轮流</t>
  </si>
  <si>
    <t>&lt;ruby&gt;轮流&lt;rt&gt;lúnliú&lt;/rt&gt;&lt;/ruby&gt;</t>
  </si>
  <si>
    <t>lúnliú</t>
  </si>
  <si>
    <t>luân phiên</t>
  </si>
  <si>
    <r>
      <rPr>
        <sz val="10"/>
        <color theme="1"/>
        <rFont val="Calibri"/>
      </rPr>
      <t>我们每天</t>
    </r>
    <r>
      <rPr>
        <b/>
        <sz val="10"/>
        <color theme="1"/>
        <rFont val="Calibri"/>
      </rPr>
      <t>轮流</t>
    </r>
    <r>
      <rPr>
        <sz val="10"/>
        <color theme="1"/>
        <rFont val="Calibri"/>
      </rPr>
      <t>打扫卫生。</t>
    </r>
  </si>
  <si>
    <t>Chúng tôi mỗi ngày luân phiên dọn dẹp vệ sinh.</t>
  </si>
  <si>
    <t>H5_B3_BG-17.png</t>
  </si>
  <si>
    <t>B3-17.mp3</t>
  </si>
  <si>
    <t>海鲜</t>
  </si>
  <si>
    <t>&lt;ruby&gt;海鲜&lt;rt&gt;hǎixiān&lt;/rt&gt;&lt;/ruby&gt;</t>
  </si>
  <si>
    <t>hǎixiān</t>
  </si>
  <si>
    <t>hải sản</t>
  </si>
  <si>
    <r>
      <rPr>
        <sz val="11"/>
        <color rgb="FF000000"/>
        <rFont val="Calibri"/>
      </rPr>
      <t>去海边旅游的时候，他吃了很多新鲜的</t>
    </r>
    <r>
      <rPr>
        <b/>
        <sz val="11"/>
        <color rgb="FF000000"/>
        <rFont val="Calibri"/>
      </rPr>
      <t>海鲜</t>
    </r>
    <r>
      <rPr>
        <sz val="11"/>
        <color rgb="FF000000"/>
        <rFont val="Calibri"/>
      </rPr>
      <t>。</t>
    </r>
  </si>
  <si>
    <t>Khi đi du lịch biển, anh ấy đã ăn rất nhiều hải sản tươi ngon.</t>
  </si>
  <si>
    <t>H5_B3_BG-18.png</t>
  </si>
  <si>
    <t>B3-18.mp3</t>
  </si>
  <si>
    <t>勿</t>
  </si>
  <si>
    <t>&lt;ruby&gt;勿&lt;rt&gt;wù&lt;/rt&gt;&lt;/ruby&gt;</t>
  </si>
  <si>
    <t>wù</t>
  </si>
  <si>
    <t xml:space="preserve"> (được dùng trong câu mệnh lệnh) chớ, đừng</t>
  </si>
  <si>
    <r>
      <rPr>
        <sz val="11"/>
        <color rgb="FF000000"/>
        <rFont val="Calibri"/>
      </rPr>
      <t>请</t>
    </r>
    <r>
      <rPr>
        <b/>
        <sz val="11"/>
        <color rgb="FF000000"/>
        <rFont val="Calibri"/>
      </rPr>
      <t>勿</t>
    </r>
    <r>
      <rPr>
        <sz val="11"/>
        <color rgb="FF000000"/>
        <rFont val="Calibri"/>
      </rPr>
      <t>在图书馆里大声说话。</t>
    </r>
  </si>
  <si>
    <t>Xin đừng nói chuyện lớn tiếng trong thư viện.</t>
  </si>
  <si>
    <t>H5_B3_BG-19.png</t>
  </si>
  <si>
    <t>B3-19.mp3</t>
  </si>
  <si>
    <t>二手</t>
  </si>
  <si>
    <t>&lt;ruby&gt;二手&lt;rt&gt;èrshǒu&lt;/rt&gt;&lt;/ruby&gt;</t>
  </si>
  <si>
    <t>èrshǒu</t>
  </si>
  <si>
    <t>đã qua sử dụng, second-hand</t>
  </si>
  <si>
    <r>
      <rPr>
        <sz val="11"/>
        <color rgb="FF000000"/>
        <rFont val="Calibri"/>
      </rPr>
      <t>他买了一辆</t>
    </r>
    <r>
      <rPr>
        <b/>
        <sz val="11"/>
        <color rgb="FF000000"/>
        <rFont val="Calibri"/>
      </rPr>
      <t>二手</t>
    </r>
    <r>
      <rPr>
        <sz val="11"/>
        <color rgb="FF000000"/>
        <rFont val="Calibri"/>
      </rPr>
      <t>车，因为价格比较便宜。</t>
    </r>
  </si>
  <si>
    <t>Anh ấy mua một chiếc xe cũ vì giá cả tương đối rẻ.</t>
  </si>
  <si>
    <t>H5_B3_BG-20.png</t>
  </si>
  <si>
    <t>B3-20.mp3</t>
  </si>
  <si>
    <t>漏</t>
  </si>
  <si>
    <t>&lt;ruby&gt;漏&lt;rt&gt;lòu&lt;/rt&gt;&lt;/ruby&gt;</t>
  </si>
  <si>
    <t>lòu</t>
  </si>
  <si>
    <t>chảy, rỉ</t>
  </si>
  <si>
    <r>
      <rPr>
        <sz val="11"/>
        <color rgb="FF000000"/>
        <rFont val="Calibri"/>
      </rPr>
      <t>壶里的水</t>
    </r>
    <r>
      <rPr>
        <b/>
        <sz val="11"/>
        <color rgb="FF000000"/>
        <rFont val="Calibri"/>
      </rPr>
      <t>漏</t>
    </r>
    <r>
      <rPr>
        <sz val="11"/>
        <color rgb="FF000000"/>
        <rFont val="Calibri"/>
      </rPr>
      <t>光了。</t>
    </r>
  </si>
  <si>
    <t>Nước trong ấm chảy hết rồi.</t>
  </si>
  <si>
    <t>H5_B3_BG-21.png</t>
  </si>
  <si>
    <t>B3-21.mp3</t>
  </si>
  <si>
    <t>平静</t>
  </si>
  <si>
    <t>&lt;ruby&gt;平静&lt;rt&gt;píngjìng&lt;/rt&gt;&lt;/ruby&gt;</t>
  </si>
  <si>
    <t>píngjìng</t>
  </si>
  <si>
    <t>yên ổn, yên ả</t>
  </si>
  <si>
    <r>
      <rPr>
        <b/>
        <sz val="11"/>
        <color rgb="FF000000"/>
        <rFont val="Calibri"/>
      </rPr>
      <t>平静</t>
    </r>
    <r>
      <rPr>
        <sz val="11"/>
        <color rgb="FF000000"/>
        <rFont val="Calibri"/>
      </rPr>
      <t>的湖面没有一丝波澜。</t>
    </r>
  </si>
  <si>
    <t>Mặt hồ phẳng lặng không có gợn sóng.</t>
  </si>
  <si>
    <t>H5_B3_BG-22.png</t>
  </si>
  <si>
    <t>B3-22.mp3</t>
  </si>
  <si>
    <r>
      <rPr>
        <sz val="11"/>
        <color rgb="FF000000"/>
        <rFont val="Calibri"/>
      </rPr>
      <t>他的</t>
    </r>
    <r>
      <rPr>
        <b/>
        <sz val="11"/>
        <color rgb="FF000000"/>
        <rFont val="Calibri"/>
      </rPr>
      <t>太太</t>
    </r>
    <r>
      <rPr>
        <sz val="11"/>
        <color rgb="FF000000"/>
        <rFont val="Calibri"/>
      </rPr>
      <t>怀孕了。</t>
    </r>
  </si>
  <si>
    <t>Vợ anh ấy mang bầu rồi.</t>
  </si>
  <si>
    <t>H5_B3_BG-23.png</t>
  </si>
  <si>
    <t>B3-23.mp3</t>
  </si>
  <si>
    <t>人生</t>
  </si>
  <si>
    <t>&lt;ruby&gt;人生&lt;rt&gt;rénshēng&lt;/rt&gt;&lt;/ruby&gt;</t>
  </si>
  <si>
    <t>rénshēng</t>
  </si>
  <si>
    <t>đời nguời</t>
  </si>
  <si>
    <r>
      <rPr>
        <b/>
        <sz val="10"/>
        <color theme="1"/>
        <rFont val="Calibri"/>
      </rPr>
      <t>人生</t>
    </r>
    <r>
      <rPr>
        <sz val="10"/>
        <color theme="1"/>
        <rFont val="Calibri"/>
      </rPr>
      <t>有时很难，但要坚持。</t>
    </r>
  </si>
  <si>
    <t>Đời người đôi khi rất khó khăn, nhưng phải kiên trì.</t>
  </si>
  <si>
    <t>H5_B3_BG-24.png</t>
  </si>
  <si>
    <t>B3-24.mp3</t>
  </si>
  <si>
    <t>时代</t>
  </si>
  <si>
    <t>&lt;ruby&gt;时代&lt;rt&gt;shídài&lt;/rt&gt;&lt;/ruby&gt;</t>
  </si>
  <si>
    <t>shídài</t>
  </si>
  <si>
    <t>thời đại</t>
  </si>
  <si>
    <r>
      <rPr>
        <sz val="11"/>
        <color rgb="FF000000"/>
        <rFont val="Calibri"/>
      </rPr>
      <t>现在是信息</t>
    </r>
    <r>
      <rPr>
        <b/>
        <sz val="11"/>
        <color rgb="FF000000"/>
        <rFont val="Calibri"/>
      </rPr>
      <t>时代</t>
    </r>
    <r>
      <rPr>
        <sz val="11"/>
        <color rgb="FF000000"/>
        <rFont val="Calibri"/>
      </rPr>
      <t>，科技发展非常快。</t>
    </r>
  </si>
  <si>
    <t>Hiện nay là thời đại thông tin, công nghệ phát triển rất nhanh.</t>
  </si>
  <si>
    <t>H5_B3_BG-25.png</t>
  </si>
  <si>
    <t>B3-25.mp3</t>
  </si>
  <si>
    <t>台阶</t>
  </si>
  <si>
    <t>&lt;ruby&gt;台阶&lt;rt&gt;táijiē&lt;/rt&gt;&lt;/ruby&gt;</t>
  </si>
  <si>
    <t>táijiē</t>
  </si>
  <si>
    <t>bậc thềm</t>
  </si>
  <si>
    <r>
      <rPr>
        <sz val="11"/>
        <color rgb="FF000000"/>
        <rFont val="Calibri"/>
      </rPr>
      <t>她坐在</t>
    </r>
    <r>
      <rPr>
        <b/>
        <sz val="11"/>
        <color rgb="FF000000"/>
        <rFont val="Calibri"/>
      </rPr>
      <t>台阶</t>
    </r>
    <r>
      <rPr>
        <sz val="11"/>
        <color rgb="FF000000"/>
        <rFont val="Calibri"/>
      </rPr>
      <t>上，静静地看着夕阳。</t>
    </r>
  </si>
  <si>
    <t xml:space="preserve"> Cô ấy ngồi trên bậc thang, lặng lẽ ngắm hoàng hôn.</t>
  </si>
  <si>
    <t>H5_B3_BG-26.png</t>
  </si>
  <si>
    <t>B3-26.mp3</t>
  </si>
  <si>
    <t>拥抱</t>
  </si>
  <si>
    <t>&lt;ruby&gt;拥抱&lt;rt&gt;yōngbào&lt;/rt&gt;&lt;/ruby&gt;</t>
  </si>
  <si>
    <t>yōngbào</t>
  </si>
  <si>
    <t>ôm chặt</t>
  </si>
  <si>
    <r>
      <rPr>
        <sz val="11"/>
        <color rgb="FF000000"/>
        <rFont val="Calibri"/>
      </rPr>
      <t>她们给了对方一个温暖的</t>
    </r>
    <r>
      <rPr>
        <b/>
        <sz val="11"/>
        <color rgb="FF000000"/>
        <rFont val="Calibri"/>
      </rPr>
      <t>拥抱</t>
    </r>
    <r>
      <rPr>
        <sz val="11"/>
        <color rgb="FF000000"/>
        <rFont val="Calibri"/>
      </rPr>
      <t>。</t>
    </r>
  </si>
  <si>
    <t>Họ dành cho nhau một cái ôm ấm áp.</t>
  </si>
  <si>
    <t>H5_B3_BG-27.png</t>
  </si>
  <si>
    <t>B3-27.mp3</t>
  </si>
  <si>
    <t>着火</t>
  </si>
  <si>
    <t>&lt;ruby&gt;着火&lt;rt&gt;zháo huǒ&lt;/rt&gt;&lt;/ruby&gt;</t>
  </si>
  <si>
    <t>zháo huǒ</t>
  </si>
  <si>
    <t>bốc cháy, cháy</t>
  </si>
  <si>
    <r>
      <rPr>
        <sz val="11"/>
        <color rgb="FF000000"/>
        <rFont val="Calibri"/>
      </rPr>
      <t>那堆柴火正在</t>
    </r>
    <r>
      <rPr>
        <b/>
        <sz val="11"/>
        <color rgb="FF000000"/>
        <rFont val="Calibri"/>
      </rPr>
      <t>着火</t>
    </r>
    <r>
      <rPr>
        <sz val="11"/>
        <color rgb="FF000000"/>
        <rFont val="Calibri"/>
      </rPr>
      <t>。</t>
    </r>
  </si>
  <si>
    <t>Đống củi đó đang bốc cháy.</t>
  </si>
  <si>
    <t>H5_B3_BG-28.png</t>
  </si>
  <si>
    <t>B3-28.mp3</t>
  </si>
  <si>
    <t>撞</t>
  </si>
  <si>
    <t>&lt;ruby&gt;撞&lt;rt&gt;zhuàng&lt;/rt&gt;&lt;/ruby&gt;</t>
  </si>
  <si>
    <t>zhuàng</t>
  </si>
  <si>
    <t>đụng, đâm vào</t>
  </si>
  <si>
    <r>
      <rPr>
        <sz val="10"/>
        <color theme="1"/>
        <rFont val="Calibri"/>
      </rPr>
      <t>车子</t>
    </r>
    <r>
      <rPr>
        <b/>
        <sz val="10"/>
        <color theme="1"/>
        <rFont val="Calibri"/>
      </rPr>
      <t>撞</t>
    </r>
    <r>
      <rPr>
        <sz val="10"/>
        <color theme="1"/>
        <rFont val="Calibri"/>
      </rPr>
      <t>到树上了。</t>
    </r>
  </si>
  <si>
    <t>Xe đâm vào cây rồi.</t>
  </si>
  <si>
    <t>H5_B3_BG-29.png</t>
  </si>
  <si>
    <t>B3-29.mp3</t>
  </si>
  <si>
    <t>海里</t>
  </si>
  <si>
    <t>&lt;ruby&gt;海里&lt;rt&gt;hǎilǐ&lt;/rt&gt;&lt;/ruby&gt;</t>
  </si>
  <si>
    <t>hǎilǐ</t>
  </si>
  <si>
    <t>hải lý</t>
  </si>
  <si>
    <r>
      <rPr>
        <b/>
        <sz val="10"/>
        <color theme="1"/>
        <rFont val="Calibri"/>
      </rPr>
      <t>海里</t>
    </r>
    <r>
      <rPr>
        <sz val="10"/>
        <color theme="1"/>
        <rFont val="Calibri"/>
      </rPr>
      <t>是一个测量距离的单位。</t>
    </r>
  </si>
  <si>
    <t>Hải lý là một đơn vị đo khoảng cách.</t>
  </si>
  <si>
    <t>H5_B3_BG-30.png</t>
  </si>
  <si>
    <t>B3-30.mp3</t>
  </si>
  <si>
    <t>帆船</t>
  </si>
  <si>
    <t>&lt;ruby&gt;帆船&lt;rt&gt;fānchuán&lt;/rt&gt;&lt;/ruby&gt;</t>
  </si>
  <si>
    <t>fānchuán</t>
  </si>
  <si>
    <t>thuyền buồm</t>
  </si>
  <si>
    <r>
      <rPr>
        <sz val="11"/>
        <color rgb="FF000000"/>
        <rFont val="Calibri"/>
      </rPr>
      <t>我们坐着</t>
    </r>
    <r>
      <rPr>
        <b/>
        <sz val="11"/>
        <color rgb="FF000000"/>
        <rFont val="Calibri"/>
      </rPr>
      <t>帆船</t>
    </r>
    <r>
      <rPr>
        <sz val="11"/>
        <color rgb="FF000000"/>
        <rFont val="Calibri"/>
      </rPr>
      <t>在海上旅行，欣赏美丽的风景。</t>
    </r>
  </si>
  <si>
    <t>Chúng tôi đi thuyền buồm trên biển, ngắm cảnh đẹp.</t>
  </si>
  <si>
    <t>H5_B3_BG-31.png</t>
  </si>
  <si>
    <t>B3-31.mp3</t>
  </si>
  <si>
    <t>艘</t>
  </si>
  <si>
    <t>&lt;ruby&gt;艘&lt;rt&gt;sōu&lt;/rt&gt;&lt;/ruby&gt;</t>
  </si>
  <si>
    <t>sōu</t>
  </si>
  <si>
    <t xml:space="preserve">(được dùng cho tàu/thuyền) chiếc, con </t>
  </si>
  <si>
    <r>
      <rPr>
        <sz val="10"/>
        <color theme="1"/>
        <rFont val="Calibri"/>
      </rPr>
      <t>这</t>
    </r>
    <r>
      <rPr>
        <b/>
        <sz val="10"/>
        <color theme="1"/>
        <rFont val="Calibri"/>
      </rPr>
      <t>艘</t>
    </r>
    <r>
      <rPr>
        <sz val="10"/>
        <color theme="1"/>
        <rFont val="Calibri"/>
      </rPr>
      <t>船非常大，可以载很多人。</t>
    </r>
  </si>
  <si>
    <t>Chiếc tàu này rất lớn, có thể chở được rất nhiều người.</t>
  </si>
  <si>
    <t>H5_B3_BG-32.png</t>
  </si>
  <si>
    <t>B3-32.mp3</t>
  </si>
  <si>
    <t>航行</t>
  </si>
  <si>
    <t>&lt;ruby&gt;航行&lt;rt&gt;hángxíng&lt;/rt&gt;&lt;/ruby&gt;</t>
  </si>
  <si>
    <t>hángxíng</t>
  </si>
  <si>
    <t>đi tàu thủy, đi thuyền buồm, giong thuyền</t>
  </si>
  <si>
    <r>
      <rPr>
        <sz val="11"/>
        <color rgb="FF000000"/>
        <rFont val="Calibri"/>
      </rPr>
      <t>这艘船已经在海上</t>
    </r>
    <r>
      <rPr>
        <b/>
        <sz val="11"/>
        <color rgb="FF000000"/>
        <rFont val="Calibri"/>
      </rPr>
      <t>航行</t>
    </r>
    <r>
      <rPr>
        <sz val="11"/>
        <color rgb="FF000000"/>
        <rFont val="Calibri"/>
      </rPr>
      <t>了三天了。</t>
    </r>
  </si>
  <si>
    <t>Con tàu này đã đi trên biển được ba ngày rồi.</t>
  </si>
  <si>
    <t>H5_B3_BG-33.png</t>
  </si>
  <si>
    <t>B3-33.mp3</t>
  </si>
  <si>
    <t>闪电</t>
  </si>
  <si>
    <t>&lt;ruby&gt;闪电&lt;rt&gt;shǎndiàn&lt;/rt&gt;&lt;/ruby&gt;</t>
  </si>
  <si>
    <t>shǎndiàn</t>
  </si>
  <si>
    <t>chớp</t>
  </si>
  <si>
    <r>
      <rPr>
        <sz val="11"/>
        <color rgb="FF000000"/>
        <rFont val="Calibri"/>
      </rPr>
      <t>昨晚雷雨很大，天上不停地</t>
    </r>
    <r>
      <rPr>
        <b/>
        <sz val="11"/>
        <color rgb="FF000000"/>
        <rFont val="Calibri"/>
      </rPr>
      <t>闪电</t>
    </r>
    <r>
      <rPr>
        <sz val="11"/>
        <color rgb="FF000000"/>
        <rFont val="Calibri"/>
      </rPr>
      <t>。</t>
    </r>
  </si>
  <si>
    <t>Tối qua có cơn mưa giông lớn, trên trời chớp liên tục.</t>
  </si>
  <si>
    <t>H5_B3_BG-34.png</t>
  </si>
  <si>
    <t>B3-34.mp3</t>
  </si>
  <si>
    <t>积蓄</t>
  </si>
  <si>
    <t>&lt;ruby&gt;积蓄&lt;rt&gt;jīxù&lt;/rt&gt;&lt;/ruby&gt;</t>
  </si>
  <si>
    <t>jīxù</t>
  </si>
  <si>
    <t>tiền để dành; dành dụm</t>
  </si>
  <si>
    <r>
      <rPr>
        <sz val="10"/>
        <color rgb="FF0E0E0E"/>
        <rFont val="Calibri"/>
      </rPr>
      <t>妹妹把存下来的</t>
    </r>
    <r>
      <rPr>
        <b/>
        <sz val="10"/>
        <color rgb="FF0E0E0E"/>
        <rFont val="Calibri"/>
      </rPr>
      <t>积蓄</t>
    </r>
    <r>
      <rPr>
        <sz val="10"/>
        <color rgb="FF0E0E0E"/>
        <rFont val="Calibri"/>
      </rPr>
      <t>放进储蓄罐里。</t>
    </r>
  </si>
  <si>
    <t>Em gái đút tiền tích kiệm vào trong con heo đất.</t>
  </si>
  <si>
    <t>H5_B3_BG-35.png</t>
  </si>
  <si>
    <t>B3-35.mp3</t>
  </si>
  <si>
    <t>B3_VD_35.mp3</t>
  </si>
  <si>
    <t>傍晚</t>
  </si>
  <si>
    <t>&lt;ruby&gt;傍晚&lt;rt&gt;bàngwăn&lt;/rt&gt;&lt;/ruby&gt;</t>
  </si>
  <si>
    <t>bàngwăn</t>
  </si>
  <si>
    <t>hoàng hôn, lúc chạng vạng</t>
  </si>
  <si>
    <r>
      <rPr>
        <sz val="11"/>
        <color rgb="FF000000"/>
        <rFont val="Calibri"/>
      </rPr>
      <t>今天的</t>
    </r>
    <r>
      <rPr>
        <b/>
        <sz val="11"/>
        <color rgb="FF000000"/>
        <rFont val="Calibri"/>
      </rPr>
      <t>傍晚</t>
    </r>
    <r>
      <rPr>
        <sz val="11"/>
        <color rgb="FF000000"/>
        <rFont val="Calibri"/>
      </rPr>
      <t>真美。</t>
    </r>
  </si>
  <si>
    <t>Cảnh hoàng hôn hôm nay thật đẹp.</t>
  </si>
  <si>
    <t>H5_B3_BG-36.png</t>
  </si>
  <si>
    <t>B3-36.mp3</t>
  </si>
  <si>
    <t>B3_VD_36.mp3</t>
  </si>
  <si>
    <t>彩虹</t>
  </si>
  <si>
    <t>&lt;ruby&gt;彩虹&lt;rt&gt;cǎihóng&lt;/rt&gt;&lt;/ruby&gt;</t>
  </si>
  <si>
    <t>cǎihóng</t>
  </si>
  <si>
    <t>cầu vồng</t>
  </si>
  <si>
    <r>
      <rPr>
        <sz val="11"/>
        <color rgb="FF000000"/>
        <rFont val="Calibri"/>
      </rPr>
      <t>雨后，天空出现了一道美丽的</t>
    </r>
    <r>
      <rPr>
        <b/>
        <sz val="11"/>
        <color rgb="FF000000"/>
        <rFont val="Calibri"/>
      </rPr>
      <t>彩虹</t>
    </r>
    <r>
      <rPr>
        <sz val="11"/>
        <color rgb="FF000000"/>
        <rFont val="Calibri"/>
      </rPr>
      <t>。</t>
    </r>
  </si>
  <si>
    <t>Sau cơn mưa, bầu trời xuất hiện một cầu vồng tuyệt đẹp.</t>
  </si>
  <si>
    <t>H5_B3_BG-37.png</t>
  </si>
  <si>
    <t>B3-37.mp3</t>
  </si>
  <si>
    <t>B3_VD_37.mp3</t>
  </si>
  <si>
    <t>陆地</t>
  </si>
  <si>
    <t>&lt;ruby&gt;陆地&lt;rt&gt;lùdì&lt;/rt&gt;&lt;/ruby&gt;</t>
  </si>
  <si>
    <t>lùdì</t>
  </si>
  <si>
    <t>đất liền</t>
  </si>
  <si>
    <r>
      <rPr>
        <sz val="10"/>
        <color theme="1"/>
        <rFont val="Calibri"/>
      </rPr>
      <t>飞机终于降落在</t>
    </r>
    <r>
      <rPr>
        <b/>
        <sz val="10"/>
        <color theme="1"/>
        <rFont val="Calibri"/>
      </rPr>
      <t>陆地</t>
    </r>
    <r>
      <rPr>
        <sz val="10"/>
        <color theme="1"/>
        <rFont val="Calibri"/>
      </rPr>
      <t>上了。</t>
    </r>
  </si>
  <si>
    <t>Máy bay cuối cùng đã hạ cánh xuống đất liền.</t>
  </si>
  <si>
    <t>H5_B3_BG-38.png</t>
  </si>
  <si>
    <t>B3-38.mp3</t>
  </si>
  <si>
    <t>B3_VD_38.mp3</t>
  </si>
  <si>
    <t>雷</t>
  </si>
  <si>
    <t>&lt;ruby&gt;雷&lt;rt&gt;léi&lt;/rt&gt;&lt;/ruby&gt;</t>
  </si>
  <si>
    <t>léi</t>
  </si>
  <si>
    <t>sấm</t>
  </si>
  <si>
    <r>
      <rPr>
        <sz val="11"/>
        <color rgb="FF000000"/>
        <rFont val="Calibri"/>
      </rPr>
      <t>打</t>
    </r>
    <r>
      <rPr>
        <b/>
        <sz val="11"/>
        <color rgb="FF000000"/>
        <rFont val="Calibri"/>
      </rPr>
      <t>雷</t>
    </r>
    <r>
      <rPr>
        <sz val="11"/>
        <color rgb="FF000000"/>
        <rFont val="Calibri"/>
      </rPr>
      <t>的时候，最好不要站在树下。</t>
    </r>
  </si>
  <si>
    <t>Khi có sấm sét, tốt nhất không nên đứng dưới gốc cây.</t>
  </si>
  <si>
    <t>H5_B3_BG-39.png</t>
  </si>
  <si>
    <t>B3-39.mp3</t>
  </si>
  <si>
    <t>B3_VD_39.mp3</t>
  </si>
  <si>
    <t>驾驶</t>
  </si>
  <si>
    <t>&lt;ruby&gt;驾驶&lt;rt&gt;jiàshǐ&lt;/rt&gt;&lt;/ruby&gt;</t>
  </si>
  <si>
    <t>jiàshǐ</t>
  </si>
  <si>
    <t>điều khiển</t>
  </si>
  <si>
    <r>
      <rPr>
        <sz val="11"/>
        <color rgb="FF000000"/>
        <rFont val="Calibri"/>
      </rPr>
      <t>她正在学习如何</t>
    </r>
    <r>
      <rPr>
        <b/>
        <sz val="11"/>
        <color rgb="FF000000"/>
        <rFont val="Calibri"/>
      </rPr>
      <t>驾驶</t>
    </r>
    <r>
      <rPr>
        <sz val="11"/>
        <color rgb="FF000000"/>
        <rFont val="Calibri"/>
      </rPr>
      <t>。</t>
    </r>
  </si>
  <si>
    <t>Cô ấy đang học cách lái xe.</t>
  </si>
  <si>
    <t>H5_B3_BG-40.png</t>
  </si>
  <si>
    <t>B3-40.mp3</t>
  </si>
  <si>
    <t>B3_VD_40.mp3</t>
  </si>
  <si>
    <t>击</t>
  </si>
  <si>
    <t>&lt;ruby&gt;击&lt;rt&gt;jī&lt;/rt&gt;&lt;/ruby&gt;</t>
  </si>
  <si>
    <t>đánh</t>
  </si>
  <si>
    <r>
      <rPr>
        <sz val="10"/>
        <color theme="1"/>
        <rFont val="Calibri"/>
      </rPr>
      <t>闪电</t>
    </r>
    <r>
      <rPr>
        <b/>
        <sz val="10"/>
        <color theme="1"/>
        <rFont val="Calibri"/>
      </rPr>
      <t>击</t>
    </r>
    <r>
      <rPr>
        <sz val="10"/>
        <color theme="1"/>
        <rFont val="Calibri"/>
      </rPr>
      <t>中了大树。</t>
    </r>
  </si>
  <si>
    <t>Sấm sét đánh trúng cây lớn.</t>
  </si>
  <si>
    <t>H5_B3_BG-41.png</t>
  </si>
  <si>
    <t>B3-41.mp3</t>
  </si>
  <si>
    <t>B3_VD_41.mp3</t>
  </si>
  <si>
    <t>背</t>
  </si>
  <si>
    <t>&lt;ruby&gt;背&lt;rt&gt;bēi&lt;/rt&gt;&lt;/ruby&gt;</t>
  </si>
  <si>
    <t>vác, cõng</t>
  </si>
  <si>
    <r>
      <rPr>
        <sz val="11"/>
        <color rgb="FF000000"/>
        <rFont val="Calibri"/>
      </rPr>
      <t>我</t>
    </r>
    <r>
      <rPr>
        <b/>
        <sz val="11"/>
        <color rgb="FF000000"/>
        <rFont val="Calibri"/>
      </rPr>
      <t>背</t>
    </r>
    <r>
      <rPr>
        <sz val="11"/>
        <color rgb="FF000000"/>
        <rFont val="Calibri"/>
      </rPr>
      <t xml:space="preserve">书包去学校。
</t>
    </r>
  </si>
  <si>
    <t>Tôi mang cặp sách đến trường.</t>
  </si>
  <si>
    <t>H5_B4_BG-01.png</t>
  </si>
  <si>
    <t>B4-01.mp3</t>
  </si>
  <si>
    <t>本领</t>
  </si>
  <si>
    <t>&lt;ruby&gt;本领&lt;rt&gt;běnlǐng&lt;/rt&gt;&lt;/ruby&gt;</t>
  </si>
  <si>
    <t>běnlǐng</t>
  </si>
  <si>
    <t>bản lĩnh, năng lực</t>
  </si>
  <si>
    <r>
      <rPr>
        <sz val="11"/>
        <color rgb="FF000000"/>
        <rFont val="Calibri"/>
      </rPr>
      <t>她的</t>
    </r>
    <r>
      <rPr>
        <b/>
        <sz val="11"/>
        <color rgb="FF000000"/>
        <rFont val="Calibri"/>
      </rPr>
      <t>本领</t>
    </r>
    <r>
      <rPr>
        <sz val="11"/>
        <color rgb="FF000000"/>
        <rFont val="Calibri"/>
      </rPr>
      <t xml:space="preserve">很特别。
</t>
    </r>
  </si>
  <si>
    <t>Tài năng của cô ấy rất đặc biệt.</t>
  </si>
  <si>
    <t>H5_B4_BG-02.png</t>
  </si>
  <si>
    <t>B4-02.mp3</t>
  </si>
  <si>
    <t>成就</t>
  </si>
  <si>
    <t>&lt;ruby&gt;成就&lt;rt&gt;chéngjiù&lt;/rt&gt;&lt;/ruby&gt;</t>
  </si>
  <si>
    <t>chéngjiù</t>
  </si>
  <si>
    <t>thành tựu, thành quả</t>
  </si>
  <si>
    <r>
      <rPr>
        <sz val="11"/>
        <color rgb="FF000000"/>
        <rFont val="Calibri"/>
      </rPr>
      <t>通过努力，他取得了很大的</t>
    </r>
    <r>
      <rPr>
        <b/>
        <sz val="11"/>
        <color rgb="FF000000"/>
        <rFont val="Calibri"/>
      </rPr>
      <t>成就</t>
    </r>
    <r>
      <rPr>
        <sz val="11"/>
        <color rgb="FF000000"/>
        <rFont val="Calibri"/>
      </rPr>
      <t xml:space="preserve">。
</t>
    </r>
  </si>
  <si>
    <t>Bằng nỗ lực, anh ấy đạt được thành tựu lớn.</t>
  </si>
  <si>
    <t>H5_B4_BG-03.png</t>
  </si>
  <si>
    <t>B4-03.mp3</t>
  </si>
  <si>
    <t>诚恳</t>
  </si>
  <si>
    <t>&lt;ruby&gt;诚恳&lt;rt&gt;chéngkěn&lt;/rt&gt;&lt;/ruby&gt;</t>
  </si>
  <si>
    <t>chéngkěn</t>
  </si>
  <si>
    <t>thành khẩn, chân thành</t>
  </si>
  <si>
    <r>
      <rPr>
        <sz val="11"/>
        <color rgb="FF000000"/>
        <rFont val="Calibri"/>
      </rPr>
      <t>孩子们</t>
    </r>
    <r>
      <rPr>
        <b/>
        <sz val="11"/>
        <color rgb="FF000000"/>
        <rFont val="Calibri"/>
      </rPr>
      <t>诚恳</t>
    </r>
    <r>
      <rPr>
        <sz val="11"/>
        <color rgb="FF000000"/>
        <rFont val="Calibri"/>
      </rPr>
      <t>地向老师道歉，并表示以后一定改正错误。</t>
    </r>
  </si>
  <si>
    <t>Những đứa trẻ chân thành xin lỗi cô giáo và hứa sẽ sửa sai trong tương lai.</t>
  </si>
  <si>
    <t>H5_B4_BG-04.png</t>
  </si>
  <si>
    <t>B4-04.mp3</t>
  </si>
  <si>
    <t>从前</t>
  </si>
  <si>
    <t>&lt;ruby&gt;从前&lt;rt&gt;cóngqián&lt;/rt&gt;&lt;/ruby&gt;</t>
  </si>
  <si>
    <t>cóngqián</t>
  </si>
  <si>
    <t>trước đây, ngày xưa</t>
  </si>
  <si>
    <r>
      <rPr>
        <b/>
        <sz val="11"/>
        <color rgb="FF000000"/>
        <rFont val="Calibri"/>
      </rPr>
      <t>从前</t>
    </r>
    <r>
      <rPr>
        <sz val="11"/>
        <color rgb="FF000000"/>
        <rFont val="Calibri"/>
      </rPr>
      <t>到现在，他常常帮助有需要的人。</t>
    </r>
  </si>
  <si>
    <t>Từ trước đến nay, anh ấy lthường xuyên giúp đỡ những người cần hỗ trợ.</t>
  </si>
  <si>
    <t>H5_B4_BG-05.png</t>
  </si>
  <si>
    <t>B4-05.mp3</t>
  </si>
  <si>
    <t>老实</t>
  </si>
  <si>
    <t>&lt;ruby&gt;老实&lt;rt&gt;lǎoshi&lt;/rt&gt;&lt;/ruby&gt;</t>
  </si>
  <si>
    <t>lǎoshi</t>
  </si>
  <si>
    <t>trung thực, thật thà</t>
  </si>
  <si>
    <r>
      <rPr>
        <sz val="11"/>
        <color rgb="FF000000"/>
        <rFont val="Calibri"/>
      </rPr>
      <t>她是一个</t>
    </r>
    <r>
      <rPr>
        <b/>
        <sz val="11"/>
        <color rgb="FF000000"/>
        <rFont val="Calibri"/>
      </rPr>
      <t>老实</t>
    </r>
    <r>
      <rPr>
        <sz val="11"/>
        <color rgb="FF000000"/>
        <rFont val="Calibri"/>
      </rPr>
      <t>的人，从来都不撒谎。</t>
    </r>
  </si>
  <si>
    <t>Cô ấy là người thật thà, từ trước đến giờ không bao giờ nói dối.</t>
  </si>
  <si>
    <t>H5_B4_BG-06.png</t>
  </si>
  <si>
    <t>B4-06.mp3</t>
  </si>
  <si>
    <t>美德</t>
  </si>
  <si>
    <t>&lt;ruby&gt;美德&lt;rt&gt;měidé&lt;/rt&gt;&lt;/ruby&gt;</t>
  </si>
  <si>
    <t>měidé</t>
  </si>
  <si>
    <t>phẩm chất tốt, đức tính tốt</t>
  </si>
  <si>
    <r>
      <rPr>
        <sz val="11"/>
        <color rgb="FF000000"/>
        <rFont val="Calibri"/>
      </rPr>
      <t>勤奋工作是</t>
    </r>
    <r>
      <rPr>
        <b/>
        <sz val="11"/>
        <color rgb="FF000000"/>
        <rFont val="Calibri"/>
      </rPr>
      <t>美德</t>
    </r>
    <r>
      <rPr>
        <sz val="11"/>
        <color rgb="FF000000"/>
        <rFont val="Calibri"/>
      </rPr>
      <t xml:space="preserve">。
</t>
    </r>
  </si>
  <si>
    <t>Chăm chỉ làm việc là một đức tính tốt.</t>
  </si>
  <si>
    <t>H5_B4_BG-07.png</t>
  </si>
  <si>
    <t>B4-07.mp3</t>
  </si>
  <si>
    <t>结实</t>
  </si>
  <si>
    <t>&lt;ruby&gt;结实&lt;rt&gt;jiēshi&lt;/rt&gt;&lt;/ruby&gt;</t>
  </si>
  <si>
    <t>jiēshi</t>
  </si>
  <si>
    <t>cường tráng, khỏe mạnh</t>
  </si>
  <si>
    <r>
      <rPr>
        <sz val="11"/>
        <color rgb="FF000000"/>
        <rFont val="Calibri"/>
      </rPr>
      <t>他从小锻炼身体，所以长得很</t>
    </r>
    <r>
      <rPr>
        <b/>
        <sz val="11"/>
        <color rgb="FF000000"/>
        <rFont val="Calibri"/>
      </rPr>
      <t>结实</t>
    </r>
    <r>
      <rPr>
        <sz val="11"/>
        <color rgb="FF000000"/>
        <rFont val="Calibri"/>
      </rPr>
      <t>。</t>
    </r>
  </si>
  <si>
    <t>Từ nhỏ anh ấy đã rèn luyện cơ thể nên lớn lên rất cường tráng.</t>
  </si>
  <si>
    <t>H5_B4_BG-08.png</t>
  </si>
  <si>
    <t>B4-08.mp3</t>
  </si>
  <si>
    <t>满足</t>
  </si>
  <si>
    <t>&lt;ruby&gt;满足&lt;rt&gt;mănzú&lt;/rt&gt;&lt;/ruby&gt;</t>
  </si>
  <si>
    <t>mănzú</t>
  </si>
  <si>
    <t>thỏa mãn, cảm thấy hài lòng</t>
  </si>
  <si>
    <r>
      <rPr>
        <sz val="11"/>
        <color rgb="FF000000"/>
        <rFont val="Calibri"/>
      </rPr>
      <t xml:space="preserve"> 她看到自己种的花终于开了，脸上露出了</t>
    </r>
    <r>
      <rPr>
        <b/>
        <sz val="11"/>
        <color rgb="FF000000"/>
        <rFont val="Calibri"/>
      </rPr>
      <t>满足</t>
    </r>
    <r>
      <rPr>
        <sz val="11"/>
        <color rgb="FF000000"/>
        <rFont val="Calibri"/>
      </rPr>
      <t>的笑容。</t>
    </r>
  </si>
  <si>
    <t>Cô ấy nhìn thấy bông hoa mình trồng cuối cùng cũng nở, nụ cười mãn nguyện hiện trên khuôn mặt.</t>
  </si>
  <si>
    <t>H5_B4_BG-09.png</t>
  </si>
  <si>
    <t>B4-09.mp3</t>
  </si>
  <si>
    <t>人才</t>
  </si>
  <si>
    <t>&lt;ruby&gt;人才&lt;rt&gt;réncái&lt;/rt&gt;&lt;/ruby&gt;</t>
  </si>
  <si>
    <t>réncái</t>
  </si>
  <si>
    <t>người có tài</t>
  </si>
  <si>
    <r>
      <rPr>
        <sz val="11"/>
        <color rgb="FF000000"/>
        <rFont val="Calibri"/>
      </rPr>
      <t>他是个不可多得的</t>
    </r>
    <r>
      <rPr>
        <b/>
        <sz val="11"/>
        <color rgb="FF000000"/>
        <rFont val="Calibri"/>
      </rPr>
      <t>人才</t>
    </r>
    <r>
      <rPr>
        <sz val="11"/>
        <color rgb="FF000000"/>
        <rFont val="Calibri"/>
      </rPr>
      <t>，公司的发展离不开他的努力。</t>
    </r>
  </si>
  <si>
    <t>Anh ấy là một nhân tài hiếm có, sự phát triển của công ty không thể thiếu sự nỗ lực của anh ấy.</t>
  </si>
  <si>
    <t>H5_B4_BG-10.png</t>
  </si>
  <si>
    <t>B4-10.mp3</t>
  </si>
  <si>
    <t>孝敬</t>
  </si>
  <si>
    <t>&lt;ruby&gt;孝敬&lt;rt&gt;xiàojìng&lt;/rt&gt;&lt;/ruby&gt;</t>
  </si>
  <si>
    <t>xiàojìng</t>
  </si>
  <si>
    <t>hiếu kính</t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</si>
  <si>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孝敬</t>
    </r>
    <r>
      <rPr>
        <sz val="11"/>
        <color rgb="FF000000"/>
        <rFont val="Calibri"/>
      </rPr>
      <t xml:space="preserve">父母，每年都会带父母去旅游。
</t>
    </r>
  </si>
  <si>
    <t>Cô ấy hiếu thảo với cha mẹ, mỗi năm đều đưa cha mẹ đi du lịch.</t>
  </si>
  <si>
    <t>H5_B4_BG-11.png</t>
  </si>
  <si>
    <t>B4-11.mp3</t>
  </si>
  <si>
    <t>孝顺</t>
  </si>
  <si>
    <t>&lt;ruby&gt;孝顺&lt;rt&gt;xiàoshùn&lt;/rt&gt;&lt;/ruby&gt;</t>
  </si>
  <si>
    <t>xiàoshùn</t>
  </si>
  <si>
    <t xml:space="preserve">Động từ/Tính từ </t>
  </si>
  <si>
    <t>thể hiện lòng hiếu thảo; hiếu thảo</t>
  </si>
  <si>
    <r>
      <rPr>
        <sz val="11"/>
        <color rgb="FF000000"/>
        <rFont val="Calibri"/>
      </rPr>
      <t>他从小就很</t>
    </r>
    <r>
      <rPr>
        <b/>
        <sz val="11"/>
        <color rgb="FF000000"/>
        <rFont val="Calibri"/>
      </rPr>
      <t>孝顺</t>
    </r>
    <r>
      <rPr>
        <sz val="11"/>
        <color rgb="FF000000"/>
        <rFont val="Calibri"/>
      </rPr>
      <t>，总是为父母分担家务。</t>
    </r>
  </si>
  <si>
    <t>Từ nhỏ anh ấy đã rất hiếu thảo, luôn giúp đỡ cha mẹ làm việc nhà.</t>
  </si>
  <si>
    <t>H5_B4_BG-12.png</t>
  </si>
  <si>
    <t>B4-12.mp3</t>
  </si>
  <si>
    <t>银（子）</t>
  </si>
  <si>
    <t>&lt;ruby&gt;银（子）&lt;rt&gt;yín (zi)&lt;/rt&gt;&lt;/ruby&gt;</t>
  </si>
  <si>
    <t>yín (zi)</t>
  </si>
  <si>
    <t>bạc</t>
  </si>
  <si>
    <r>
      <rPr>
        <sz val="11"/>
        <color rgb="FF000000"/>
        <rFont val="Calibri"/>
      </rPr>
      <t>他赚了很多</t>
    </r>
    <r>
      <rPr>
        <b/>
        <sz val="11"/>
        <color rgb="FF000000"/>
        <rFont val="Calibri"/>
      </rPr>
      <t>银子</t>
    </r>
    <r>
      <rPr>
        <sz val="11"/>
        <color rgb="FF000000"/>
        <rFont val="Calibri"/>
      </rPr>
      <t xml:space="preserve">。
</t>
    </r>
  </si>
  <si>
    <t>Anh ấy kiếm được rất nhiều tiền.</t>
  </si>
  <si>
    <t>H5_B4_BG-13.png</t>
  </si>
  <si>
    <t>B4-13.mp3</t>
  </si>
  <si>
    <t>惭愧</t>
  </si>
  <si>
    <t>&lt;ruby&gt;惭愧&lt;rt&gt;cánkuì&lt;/rt&gt;&lt;/ruby&gt;</t>
  </si>
  <si>
    <t>cánkuì</t>
  </si>
  <si>
    <t>hổ thẹn</t>
  </si>
  <si>
    <r>
      <rPr>
        <sz val="11"/>
        <color rgb="FF000000"/>
        <rFont val="Calibri"/>
      </rPr>
      <t>他因为没有及时完成任务，感到非常</t>
    </r>
    <r>
      <rPr>
        <b/>
        <sz val="11"/>
        <color rgb="FF000000"/>
        <rFont val="Calibri"/>
      </rPr>
      <t>惭愧</t>
    </r>
    <r>
      <rPr>
        <sz val="11"/>
        <color rgb="FF000000"/>
        <rFont val="Calibri"/>
      </rPr>
      <t>。</t>
    </r>
  </si>
  <si>
    <t xml:space="preserve">Anh ấy cảm thấy rất hổ thẹn vì không hoàn thành nhiệm vụ đúng hạn. </t>
  </si>
  <si>
    <t>H5_B4_BG-14.png</t>
  </si>
  <si>
    <t>B4-14.mp3</t>
  </si>
  <si>
    <t>反而</t>
  </si>
  <si>
    <t>&lt;ruby&gt;反而&lt;rt&gt;fǎn'ér &lt;/rt&gt;&lt;/ruby&gt;</t>
  </si>
  <si>
    <t xml:space="preserve">fǎn'ér </t>
  </si>
  <si>
    <r>
      <rPr>
        <sz val="11"/>
        <color rgb="FF000000"/>
        <rFont val="Calibri"/>
      </rPr>
      <t>他本来以为努力工作会得到奖励，</t>
    </r>
    <r>
      <rPr>
        <b/>
        <sz val="11"/>
        <color rgb="FF000000"/>
        <rFont val="Calibri"/>
      </rPr>
      <t>反而</t>
    </r>
    <r>
      <rPr>
        <sz val="11"/>
        <color rgb="FF000000"/>
        <rFont val="Calibri"/>
      </rPr>
      <t>被上司批评了。</t>
    </r>
  </si>
  <si>
    <t>Anh ấy tưởng rằng làm việc chăm chỉ sẽ được thưởng, nhưng lại bị sếp phê bình.</t>
  </si>
  <si>
    <t>H5_B4_BG-15.png</t>
  </si>
  <si>
    <t>B4-15.mp3</t>
  </si>
  <si>
    <t>古代</t>
  </si>
  <si>
    <t>&lt;ruby&gt;古代&lt;rt&gt;gǔdài&lt;/rt&gt;&lt;/ruby&gt;</t>
  </si>
  <si>
    <t>gǔdài</t>
  </si>
  <si>
    <t>ngày xưa</t>
  </si>
  <si>
    <r>
      <rPr>
        <b/>
        <sz val="11"/>
        <color rgb="FF000000"/>
        <rFont val="Calibri"/>
      </rPr>
      <t>古代</t>
    </r>
    <r>
      <rPr>
        <sz val="11"/>
        <color rgb="FF000000"/>
        <rFont val="Calibri"/>
      </rPr>
      <t>社会男人也常常留长头发，象征着身份和力量。</t>
    </r>
  </si>
  <si>
    <t>Trong xã hội cổ đại, đàn ông thường để tóc dài, tượng trưng cho địa vị và sức mạnh.</t>
  </si>
  <si>
    <t>H5_B4_BG-16.png</t>
  </si>
  <si>
    <t>B4-16.mp3</t>
  </si>
  <si>
    <t>官</t>
  </si>
  <si>
    <t>&lt;ruby&gt;官&lt;rt&gt;guān&lt;/rt&gt;&lt;/ruby&gt;</t>
  </si>
  <si>
    <t>quan</t>
  </si>
  <si>
    <r>
      <rPr>
        <sz val="11"/>
        <color rgb="FF000000"/>
        <rFont val="Calibri"/>
      </rPr>
      <t>作为一名</t>
    </r>
    <r>
      <rPr>
        <b/>
        <sz val="11"/>
        <color rgb="FF000000"/>
        <rFont val="Calibri"/>
      </rPr>
      <t>官</t>
    </r>
    <r>
      <rPr>
        <sz val="11"/>
        <color rgb="FF000000"/>
        <rFont val="Calibri"/>
      </rPr>
      <t>员，要始终坚持公正无私才赢得了人民的尊敬。</t>
    </r>
  </si>
  <si>
    <t>Là một quan chức, phải luôn luôn công bằng và vô tư mới giành được sự kính trọng từ người dân.</t>
  </si>
  <si>
    <t>H5_B4_BG-17.png</t>
  </si>
  <si>
    <t>B4-17.mp3</t>
  </si>
  <si>
    <t>镇</t>
  </si>
  <si>
    <t>&lt;ruby&gt;镇&lt;rt&gt;zhèn&lt;/rt&gt;&lt;/ruby&gt;</t>
  </si>
  <si>
    <t>thị trấn</t>
  </si>
  <si>
    <r>
      <rPr>
        <sz val="11"/>
        <color rgb="FF000000"/>
        <rFont val="Calibri"/>
      </rPr>
      <t>这个</t>
    </r>
    <r>
      <rPr>
        <b/>
        <sz val="11"/>
        <color rgb="FF000000"/>
        <rFont val="Calibri"/>
      </rPr>
      <t>镇</t>
    </r>
    <r>
      <rPr>
        <sz val="11"/>
        <color rgb="FF000000"/>
        <rFont val="Calibri"/>
      </rPr>
      <t xml:space="preserve">很安静。
</t>
    </r>
  </si>
  <si>
    <t>Thị trấn này rất yên tĩnh.</t>
  </si>
  <si>
    <t>H5_B4_BG-18.png</t>
  </si>
  <si>
    <t>B4-18.mp3</t>
  </si>
  <si>
    <t>团圆</t>
  </si>
  <si>
    <t>&lt;ruby&gt;团圆&lt;rt&gt;tuányuán&lt;/rt&gt;&lt;/ruby&gt;</t>
  </si>
  <si>
    <t>tuányuán</t>
  </si>
  <si>
    <t xml:space="preserve"> sum họp, đoàn tụ</t>
  </si>
  <si>
    <r>
      <rPr>
        <sz val="10"/>
        <color theme="1"/>
        <rFont val="Calibri"/>
      </rPr>
      <t>每到节假日，很多家庭都会</t>
    </r>
    <r>
      <rPr>
        <b/>
        <sz val="10"/>
        <color theme="1"/>
        <rFont val="Calibri"/>
      </rPr>
      <t>团圆</t>
    </r>
    <r>
      <rPr>
        <sz val="10"/>
        <color theme="1"/>
        <rFont val="Calibri"/>
      </rPr>
      <t>，共享天伦之乐。</t>
    </r>
  </si>
  <si>
    <t>Mỗi dịp lễ Tết, nhiều gia đình sẽ quây quần bên nhau, cùng tận hưởng niềm vui sum vầy.</t>
  </si>
  <si>
    <t>H5_B4_BG-19.png</t>
  </si>
  <si>
    <t>B4-19.mp3</t>
  </si>
  <si>
    <t>国君</t>
  </si>
  <si>
    <t>&lt;ruby&gt;国君&lt;rt&gt;guójūn&lt;/rt&gt;&lt;/ruby&gt;</t>
  </si>
  <si>
    <t>guójūn</t>
  </si>
  <si>
    <t>vua</t>
  </si>
  <si>
    <r>
      <rPr>
        <b/>
        <sz val="11"/>
        <color rgb="FF000000"/>
        <rFont val="Calibri"/>
      </rPr>
      <t>国君</t>
    </r>
    <r>
      <rPr>
        <sz val="11"/>
        <color rgb="FF000000"/>
        <rFont val="Calibri"/>
      </rPr>
      <t xml:space="preserve">穿着华丽的衣服。
</t>
    </r>
  </si>
  <si>
    <t>Quốc vương mặc đồ lộng lẫy.</t>
  </si>
  <si>
    <t>H5_B4_BG-20.png</t>
  </si>
  <si>
    <t>B4-20.mp3</t>
  </si>
  <si>
    <t>决心</t>
  </si>
  <si>
    <t>&lt;ruby&gt;决心&lt;rt&gt;juéxīn&lt;/rt&gt;&lt;/ruby&gt;</t>
  </si>
  <si>
    <t>juéxīn</t>
  </si>
  <si>
    <t>quyết tâm; sự quyết tâm</t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</si>
  <si>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决心</t>
    </r>
    <r>
      <rPr>
        <sz val="11"/>
        <color rgb="FF000000"/>
        <rFont val="Calibri"/>
      </rPr>
      <t>考上大学。</t>
    </r>
  </si>
  <si>
    <t xml:space="preserve">Cô ấy quyết tâm thi đỗ đại học. </t>
  </si>
  <si>
    <t>H5_B4_BG-21.png</t>
  </si>
  <si>
    <t>B4-21.mp3</t>
  </si>
  <si>
    <t>后背</t>
  </si>
  <si>
    <t>&lt;ruby&gt;后背&lt;rt&gt;hòubèi&lt;/rt&gt;&lt;/ruby&gt;</t>
  </si>
  <si>
    <t>hòubèi</t>
  </si>
  <si>
    <t>lưng (người)</t>
  </si>
  <si>
    <r>
      <rPr>
        <sz val="10"/>
        <color theme="1"/>
        <rFont val="Calibri"/>
      </rPr>
      <t>他的</t>
    </r>
    <r>
      <rPr>
        <b/>
        <sz val="10"/>
        <color theme="1"/>
        <rFont val="Calibri"/>
      </rPr>
      <t>后背</t>
    </r>
    <r>
      <rPr>
        <sz val="10"/>
        <color theme="1"/>
        <rFont val="Calibri"/>
      </rPr>
      <t>很疼。</t>
    </r>
  </si>
  <si>
    <t>Lưng của anh ấy rất đau.</t>
  </si>
  <si>
    <t>H5_B4_BG-22.png</t>
  </si>
  <si>
    <t>B4-22.mp3</t>
  </si>
  <si>
    <t>去世</t>
  </si>
  <si>
    <t>&lt;ruby&gt;去世&lt;rt&gt;qùshì&lt;/rt&gt;&lt;/ruby&gt;</t>
  </si>
  <si>
    <t>qùshì</t>
  </si>
  <si>
    <t xml:space="preserve"> qua đời, từ trần</t>
  </si>
  <si>
    <r>
      <rPr>
        <b/>
        <sz val="11"/>
        <color rgb="FF000000"/>
        <rFont val="Calibri"/>
      </rPr>
      <t>去世</t>
    </r>
    <r>
      <rPr>
        <sz val="11"/>
        <color rgb="FF000000"/>
        <rFont val="Calibri"/>
      </rPr>
      <t xml:space="preserve">的消息让我们很难过。
</t>
    </r>
  </si>
  <si>
    <t>Tin về cái chết làm chúng tôi rất buồn.</t>
  </si>
  <si>
    <t>H5_B4_BG-23.png</t>
  </si>
  <si>
    <t>B4-23.mp3</t>
  </si>
  <si>
    <t>主人</t>
  </si>
  <si>
    <t>&lt;ruby&gt;主人&lt;rt&gt;zhǔrén&lt;/rt&gt;&lt;/ruby&gt;</t>
  </si>
  <si>
    <t>zhǔrén</t>
  </si>
  <si>
    <t>người chủ</t>
  </si>
  <si>
    <r>
      <rPr>
        <sz val="11"/>
        <color rgb="FF000000"/>
        <rFont val="Calibri"/>
      </rPr>
      <t>那只流浪狗终于找到了一个好</t>
    </r>
    <r>
      <rPr>
        <b/>
        <sz val="11"/>
        <color rgb="FF000000"/>
        <rFont val="Calibri"/>
      </rPr>
      <t>主人</t>
    </r>
    <r>
      <rPr>
        <sz val="11"/>
        <color rgb="FF000000"/>
        <rFont val="Calibri"/>
      </rPr>
      <t>，不再流浪街头。</t>
    </r>
  </si>
  <si>
    <t>Con chó hoang đó cuối cùng đã tìm được một chủ nhân tốt, không còn lang thang trên phố nữa.</t>
  </si>
  <si>
    <t>H5_B4_BG-24.png</t>
  </si>
  <si>
    <t>B4-24.mp3</t>
  </si>
  <si>
    <t>不行</t>
  </si>
  <si>
    <t>&lt;ruby&gt;不行&lt;rt&gt;bùxíng&lt;/rt&gt;&lt;/ruby&gt;</t>
  </si>
  <si>
    <t>bùxíng</t>
  </si>
  <si>
    <t>(chỉ mức độ, cường độ...) ghê gớm, kinh khủng, cực kỳ</t>
  </si>
  <si>
    <r>
      <rPr>
        <sz val="11"/>
        <color rgb="FF000000"/>
        <rFont val="Calibri"/>
      </rPr>
      <t>他的计划被上司否定了，因为那样做</t>
    </r>
    <r>
      <rPr>
        <b/>
        <sz val="11"/>
        <color rgb="FF000000"/>
        <rFont val="Calibri"/>
      </rPr>
      <t>不行</t>
    </r>
    <r>
      <rPr>
        <sz val="11"/>
        <color rgb="FF000000"/>
        <rFont val="Calibri"/>
      </rPr>
      <t>。</t>
    </r>
  </si>
  <si>
    <t>Kế hoạch của anh ấy đã bị sếp bác bỏ vì làm như vậy là không khả thi.</t>
  </si>
  <si>
    <t>H5_B4_BG-25.png</t>
  </si>
  <si>
    <t>B4-25.mp3</t>
  </si>
  <si>
    <t>打听</t>
  </si>
  <si>
    <t>&lt;ruby&gt;打听&lt;rt&gt;dǎtīng&lt;/rt&gt;&lt;/ruby&gt;</t>
  </si>
  <si>
    <t>dǎtīng</t>
  </si>
  <si>
    <t>hỏi thăm, nghe ngóng</t>
  </si>
  <si>
    <r>
      <rPr>
        <sz val="11"/>
        <color rgb="FF000000"/>
        <rFont val="Calibri"/>
      </rPr>
      <t>我想</t>
    </r>
    <r>
      <rPr>
        <b/>
        <sz val="11"/>
        <color rgb="FF000000"/>
        <rFont val="Calibri"/>
      </rPr>
      <t>打听</t>
    </r>
    <r>
      <rPr>
        <sz val="11"/>
        <color rgb="FF000000"/>
        <rFont val="Calibri"/>
      </rPr>
      <t>一下附近有没有好的餐厅。</t>
    </r>
  </si>
  <si>
    <t>Tôi muốn hỏi xem gần đây có nhà hàng tốt nào không.</t>
  </si>
  <si>
    <t>H5_B4_BG-26.png</t>
  </si>
  <si>
    <t>B4-26.mp3</t>
  </si>
  <si>
    <t>顶</t>
  </si>
  <si>
    <t>&lt;ruby&gt;顶&lt;rt&gt;dǐng&lt;/rt&gt;&lt;/ruby&gt;</t>
  </si>
  <si>
    <t>dǐng</t>
  </si>
  <si>
    <t>đi ngược, chống lại, đối mặt</t>
  </si>
  <si>
    <r>
      <rPr>
        <sz val="11"/>
        <color rgb="FF000000"/>
        <rFont val="Calibri"/>
      </rPr>
      <t>这座山</t>
    </r>
    <r>
      <rPr>
        <b/>
        <sz val="11"/>
        <color rgb="FF000000"/>
        <rFont val="Calibri"/>
      </rPr>
      <t>顶</t>
    </r>
    <r>
      <rPr>
        <sz val="11"/>
        <color rgb="FF000000"/>
        <rFont val="Calibri"/>
      </rPr>
      <t xml:space="preserve">很高。
</t>
    </r>
  </si>
  <si>
    <t>Đỉnh của ngọn núi này rất cao.</t>
  </si>
  <si>
    <t>H5_B4_BG-27.png</t>
  </si>
  <si>
    <t>B4-27.mp3</t>
  </si>
  <si>
    <t>流传</t>
  </si>
  <si>
    <t>&lt;ruby&gt;流传&lt;rt&gt;liúchuán&lt;/rt&gt;&lt;/ruby&gt;</t>
  </si>
  <si>
    <t>liúchuán</t>
  </si>
  <si>
    <t>lưu truyền</t>
  </si>
  <si>
    <r>
      <rPr>
        <sz val="11"/>
        <color rgb="FF000000"/>
        <rFont val="Calibri"/>
      </rPr>
      <t>月饼的故事在民间</t>
    </r>
    <r>
      <rPr>
        <b/>
        <sz val="11"/>
        <color rgb="FF000000"/>
        <rFont val="Calibri"/>
      </rPr>
      <t>流传</t>
    </r>
    <r>
      <rPr>
        <sz val="11"/>
        <color rgb="FF000000"/>
        <rFont val="Calibri"/>
      </rPr>
      <t>了几千年。</t>
    </r>
  </si>
  <si>
    <t>Câu chuyện về bánh Trung thu đã được lưu truyền trong dân gian hàng nghìn năm.</t>
  </si>
  <si>
    <t>H5_B4_BG-28.png</t>
  </si>
  <si>
    <t>B4-28.mp3</t>
  </si>
  <si>
    <t>扶</t>
  </si>
  <si>
    <t>&lt;ruby&gt;扶&lt;rt&gt;fú&lt;/rt&gt;&lt;/ruby&gt;</t>
  </si>
  <si>
    <t>fú</t>
  </si>
  <si>
    <t>đỡ, vịn</t>
  </si>
  <si>
    <r>
      <rPr>
        <sz val="10"/>
        <color theme="1"/>
        <rFont val="Calibri"/>
      </rPr>
      <t>小女孩</t>
    </r>
    <r>
      <rPr>
        <b/>
        <sz val="10"/>
        <color theme="1"/>
        <rFont val="Calibri"/>
      </rPr>
      <t>扶</t>
    </r>
    <r>
      <rPr>
        <sz val="10"/>
        <color theme="1"/>
        <rFont val="Calibri"/>
      </rPr>
      <t>着栏杆，认真地练习舞蹈。</t>
    </r>
  </si>
  <si>
    <t>Cô bé đang vịn vào lan can, chăm chỉ luyện tập múa.</t>
  </si>
  <si>
    <t>H5_B4_BG-29.png</t>
  </si>
  <si>
    <t>B4-29.mp3</t>
  </si>
  <si>
    <t>战争</t>
  </si>
  <si>
    <t>&lt;ruby&gt;战争&lt;rt&gt;zhànzhēng&lt;/rt&gt;&lt;/ruby&gt;</t>
  </si>
  <si>
    <t>zhànzhēng</t>
  </si>
  <si>
    <t>chiến tranh</t>
  </si>
  <si>
    <r>
      <rPr>
        <b/>
        <sz val="10"/>
        <color theme="1"/>
        <rFont val="Calibri"/>
      </rPr>
      <t>战争</t>
    </r>
    <r>
      <rPr>
        <sz val="10"/>
        <color theme="1"/>
        <rFont val="Calibri"/>
      </rPr>
      <t xml:space="preserve">让很多家庭失去了亲人。 </t>
    </r>
  </si>
  <si>
    <t>Chiến tranh khiến nhiều gia đình mất đi người thân.</t>
  </si>
  <si>
    <t>H5_B4_BG-30.png</t>
  </si>
  <si>
    <t>B4-30.mp3</t>
  </si>
  <si>
    <t>滑</t>
  </si>
  <si>
    <t>&lt;ruby&gt;滑&lt;rt&gt;huá&lt;/rt&gt;&lt;/ruby&gt;</t>
  </si>
  <si>
    <t>huá</t>
  </si>
  <si>
    <t>Tính từ /Động từ</t>
  </si>
  <si>
    <t>trơn; trượt</t>
  </si>
  <si>
    <r>
      <rPr>
        <sz val="11"/>
        <color rgb="FF000000"/>
        <rFont val="Calibri"/>
      </rPr>
      <t>雪落使道路非常</t>
    </r>
    <r>
      <rPr>
        <b/>
        <sz val="11"/>
        <color rgb="FF000000"/>
        <rFont val="Calibri"/>
      </rPr>
      <t>滑</t>
    </r>
    <r>
      <rPr>
        <sz val="11"/>
        <color rgb="FF000000"/>
        <rFont val="Calibri"/>
      </rPr>
      <t>。</t>
    </r>
  </si>
  <si>
    <t xml:space="preserve">Tuyết rơi khiến đường rất trơn. </t>
  </si>
  <si>
    <t>H5_B4_BG-31.png</t>
  </si>
  <si>
    <t>B4-31.mp3</t>
  </si>
  <si>
    <t>农民</t>
  </si>
  <si>
    <t>&lt;ruby&gt;农民&lt;rt&gt;nóngmín&lt;/rt&gt;&lt;/ruby&gt;</t>
  </si>
  <si>
    <t>nóngmín</t>
  </si>
  <si>
    <t>nông dân</t>
  </si>
  <si>
    <r>
      <rPr>
        <sz val="11"/>
        <color rgb="FF000000"/>
        <rFont val="Calibri"/>
      </rPr>
      <t>他是一个勤劳的</t>
    </r>
    <r>
      <rPr>
        <b/>
        <sz val="11"/>
        <color rgb="FF000000"/>
        <rFont val="Calibri"/>
      </rPr>
      <t>农民</t>
    </r>
    <r>
      <rPr>
        <sz val="11"/>
        <color rgb="FF000000"/>
        <rFont val="Calibri"/>
      </rPr>
      <t xml:space="preserve">。
</t>
    </r>
  </si>
  <si>
    <t>Anh ấy là một nông dân chăm chỉ.</t>
  </si>
  <si>
    <t>H5_B4_BG-32.png</t>
  </si>
  <si>
    <t>B4-32.mp3</t>
  </si>
  <si>
    <t>勤奋</t>
  </si>
  <si>
    <t>&lt;ruby&gt;勤奋&lt;rt&gt;qínfèn&lt;/rt&gt;&lt;/ruby&gt;</t>
  </si>
  <si>
    <t>qínfèn</t>
  </si>
  <si>
    <t>cần cù, siêng năng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</si>
  <si>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勤奋</t>
    </r>
    <r>
      <rPr>
        <sz val="11"/>
        <color rgb="FF000000"/>
        <rFont val="Calibri"/>
      </rPr>
      <t>工作，为家人创造了更好的生活。</t>
    </r>
  </si>
  <si>
    <t>Anh ấy làm việc chăm chỉ để tạo ra cuộc sống tốt hơn cho gia đình.</t>
  </si>
  <si>
    <t>H5_B4_BG-33.png</t>
  </si>
  <si>
    <t>B4-33.mp3</t>
  </si>
  <si>
    <t>甩</t>
  </si>
  <si>
    <t>&lt;ruby&gt;甩&lt;rt&gt;shuǎi&lt;/rt&gt;&lt;/ruby&gt;</t>
  </si>
  <si>
    <t>shuǎi</t>
  </si>
  <si>
    <t>quăng, vung, ném</t>
  </si>
  <si>
    <r>
      <rPr>
        <sz val="11"/>
        <color rgb="FF000000"/>
        <rFont val="Calibri"/>
      </rPr>
      <t>他把香蕉皮</t>
    </r>
    <r>
      <rPr>
        <b/>
        <sz val="11"/>
        <color rgb="FF000000"/>
        <rFont val="Calibri"/>
      </rPr>
      <t>甩</t>
    </r>
    <r>
      <rPr>
        <sz val="11"/>
        <color rgb="FF000000"/>
        <rFont val="Calibri"/>
      </rPr>
      <t>进了垃圾桶。</t>
    </r>
  </si>
  <si>
    <t xml:space="preserve">Anh ta ném vỏ chuối vào thùng rác. </t>
  </si>
  <si>
    <t>H5_B4_BG-34.png</t>
  </si>
  <si>
    <t>B4-34.mp3</t>
  </si>
  <si>
    <t>B4_VD_34.mp3</t>
  </si>
  <si>
    <t>时期</t>
  </si>
  <si>
    <t>&lt;ruby&gt;时期&lt;rt&gt;shíqī&lt;/rt&gt;&lt;/ruby&gt;</t>
  </si>
  <si>
    <t>shíqī</t>
  </si>
  <si>
    <t>thời kỳ</t>
  </si>
  <si>
    <r>
      <rPr>
        <sz val="11"/>
        <color rgb="FF000000"/>
        <rFont val="Calibri"/>
      </rPr>
      <t>在那个</t>
    </r>
    <r>
      <rPr>
        <b/>
        <sz val="11"/>
        <color rgb="FF000000"/>
        <rFont val="Calibri"/>
      </rPr>
      <t>时期</t>
    </r>
    <r>
      <rPr>
        <sz val="11"/>
        <color rgb="FF000000"/>
        <rFont val="Calibri"/>
      </rPr>
      <t xml:space="preserve">，很多人过得很艰苦。
</t>
    </r>
  </si>
  <si>
    <t>Vào thời kỳ đó, nhiều người sống rất khó khăn.</t>
  </si>
  <si>
    <t>H5_B4_BG-35.png</t>
  </si>
  <si>
    <t>B4-35.mp3</t>
  </si>
  <si>
    <t>B4_VD_35.mp3</t>
  </si>
  <si>
    <t>食物</t>
  </si>
  <si>
    <t>&lt;ruby&gt;食物&lt;rt&gt;shíwù&lt;/rt&gt;&lt;/ruby&gt;</t>
  </si>
  <si>
    <t>shíwù</t>
  </si>
  <si>
    <t>thức ăn</t>
  </si>
  <si>
    <r>
      <rPr>
        <sz val="11"/>
        <color rgb="FF000000"/>
        <rFont val="Calibri"/>
      </rPr>
      <t>冰箱里有很多新鲜的</t>
    </r>
    <r>
      <rPr>
        <b/>
        <sz val="11"/>
        <color rgb="FF000000"/>
        <rFont val="Calibri"/>
      </rPr>
      <t>食物</t>
    </r>
    <r>
      <rPr>
        <sz val="11"/>
        <color rgb="FF000000"/>
        <rFont val="Calibri"/>
      </rPr>
      <t xml:space="preserve">。
</t>
    </r>
  </si>
  <si>
    <t>Trong tủ lạnh có nhiều thức ăn tươi.</t>
  </si>
  <si>
    <t>H5_B4_BG-36.png</t>
  </si>
  <si>
    <t>B4-36.mp3</t>
  </si>
  <si>
    <t>B4_VD_36.mp3</t>
  </si>
  <si>
    <t>委屈</t>
  </si>
  <si>
    <t>&lt;ruby&gt;委屈&lt;rt&gt;wěiqu&lt;/rt&gt;&lt;/ruby&gt;</t>
  </si>
  <si>
    <t>wěiqu</t>
  </si>
  <si>
    <t>để ai chịu thiệt thòi; tủi thân</t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</si>
  <si>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委屈</t>
    </r>
    <r>
      <rPr>
        <sz val="11"/>
        <color rgb="FF000000"/>
        <rFont val="Calibri"/>
      </rPr>
      <t>地哭了起来。</t>
    </r>
  </si>
  <si>
    <t>Cô ấy tủi thân bật khóc nức nở.</t>
  </si>
  <si>
    <t>H5_B4_BG-37.png</t>
  </si>
  <si>
    <t>B4-37.mp3</t>
  </si>
  <si>
    <t>B4_VD_37.mp3</t>
  </si>
  <si>
    <t>物质</t>
  </si>
  <si>
    <t>&lt;ruby&gt;物质&lt;rt&gt;wùzhì&lt;/rt&gt;&lt;/ruby&gt;</t>
  </si>
  <si>
    <t>wùzhì</t>
  </si>
  <si>
    <t>vật chất</t>
  </si>
  <si>
    <r>
      <rPr>
        <sz val="11"/>
        <color rgb="FF000000"/>
        <rFont val="Calibri"/>
      </rPr>
      <t>他们生活在缺乏</t>
    </r>
    <r>
      <rPr>
        <b/>
        <sz val="11"/>
        <color rgb="FF000000"/>
        <rFont val="Calibri"/>
      </rPr>
      <t>物质</t>
    </r>
    <r>
      <rPr>
        <sz val="11"/>
        <color rgb="FF000000"/>
        <rFont val="Calibri"/>
      </rPr>
      <t>的环境中。</t>
    </r>
  </si>
  <si>
    <t>Họ sống trong một môi trường thiếu thốn vật chất.</t>
  </si>
  <si>
    <t>H5_B4_BG-38.png</t>
  </si>
  <si>
    <t>B4-38.mp3</t>
  </si>
  <si>
    <t>B4_VD_38.mp3</t>
  </si>
  <si>
    <t>占</t>
  </si>
  <si>
    <t>&lt;ruby&gt;占&lt;rt&gt;zhàn&lt;/rt&gt;&lt;/ruby&gt;</t>
  </si>
  <si>
    <t>chiếm, giữ</t>
  </si>
  <si>
    <r>
      <rPr>
        <sz val="11"/>
        <color rgb="FF000000"/>
        <rFont val="Calibri"/>
      </rPr>
      <t>这个国家的森林</t>
    </r>
    <r>
      <rPr>
        <b/>
        <sz val="11"/>
        <color rgb="FF000000"/>
        <rFont val="Calibri"/>
      </rPr>
      <t>占</t>
    </r>
    <r>
      <rPr>
        <sz val="11"/>
        <color rgb="FF000000"/>
        <rFont val="Calibri"/>
      </rPr>
      <t xml:space="preserve">了一半的土地。
</t>
    </r>
  </si>
  <si>
    <t>Rừng chiếm một nửa diện tích đất nước này.</t>
  </si>
  <si>
    <t>H5_B4_BG-39.png</t>
  </si>
  <si>
    <t>B4-39.mp3</t>
  </si>
  <si>
    <t>B4_VD_39.mp3</t>
  </si>
  <si>
    <t>至今</t>
  </si>
  <si>
    <t>&lt;ruby&gt;至今&lt;rt&gt;zhìjīn&lt;/rt&gt;&lt;/ruby&gt;</t>
  </si>
  <si>
    <t>zhìjīn</t>
  </si>
  <si>
    <t>đến nay, đến bây giờ</t>
  </si>
  <si>
    <r>
      <rPr>
        <sz val="10"/>
        <color theme="1"/>
        <rFont val="Calibri"/>
      </rPr>
      <t>这棵古树</t>
    </r>
    <r>
      <rPr>
        <b/>
        <sz val="10"/>
        <color theme="1"/>
        <rFont val="Calibri"/>
      </rPr>
      <t>至今</t>
    </r>
    <r>
      <rPr>
        <sz val="10"/>
        <color theme="1"/>
        <rFont val="Calibri"/>
      </rPr>
      <t>已近300年。</t>
    </r>
  </si>
  <si>
    <t>Cây cổ thụ này đến nay đã gần 300 năm tuổi.</t>
  </si>
  <si>
    <t>H5_B4_BG-40.png</t>
  </si>
  <si>
    <t>B4-40.mp3</t>
  </si>
  <si>
    <t>B4_VD_40.mp3</t>
  </si>
  <si>
    <t>表面</t>
  </si>
  <si>
    <t>&lt;ruby&gt;表面&lt;rt&gt;biǎomiàn&lt;/rt&gt;&lt;/ruby&gt;</t>
  </si>
  <si>
    <t>biǎomiàn</t>
  </si>
  <si>
    <t>bề mặt, phía ngoài</t>
  </si>
  <si>
    <r>
      <rPr>
        <sz val="10"/>
        <color theme="1"/>
        <rFont val="Calibri"/>
      </rPr>
      <t>这些石头的</t>
    </r>
    <r>
      <rPr>
        <b/>
        <sz val="10"/>
        <color theme="1"/>
        <rFont val="Calibri"/>
      </rPr>
      <t>表面</t>
    </r>
    <r>
      <rPr>
        <sz val="10"/>
        <color theme="1"/>
        <rFont val="Calibri"/>
      </rPr>
      <t>非常光滑。</t>
    </r>
  </si>
  <si>
    <t>Bề mặt của những hòn sỏi này rất nhẵn.</t>
  </si>
  <si>
    <t>H5_B5_BG-01.png</t>
  </si>
  <si>
    <t>B5-01.mp3</t>
  </si>
  <si>
    <t>（躲）藏</t>
  </si>
  <si>
    <t>&lt;ruby&gt;（躲）藏&lt;rt&gt;(duǒ) cáng&lt;/rt&gt;&lt;/ruby&gt;</t>
  </si>
  <si>
    <t>(duǒ) cáng</t>
  </si>
  <si>
    <t>giấu, ẩn núp</t>
  </si>
  <si>
    <r>
      <rPr>
        <sz val="10"/>
        <color rgb="FF0E0E0E"/>
        <rFont val="Calibri"/>
      </rPr>
      <t>孩子们</t>
    </r>
    <r>
      <rPr>
        <b/>
        <sz val="10"/>
        <color rgb="FF0E0E0E"/>
        <rFont val="Calibri"/>
      </rPr>
      <t>躲藏</t>
    </r>
    <r>
      <rPr>
        <sz val="10"/>
        <color rgb="FF0E0E0E"/>
        <rFont val="Calibri"/>
      </rPr>
      <t>在后面。</t>
    </r>
  </si>
  <si>
    <t>Những đứa trẻ trốn ở phía sau.</t>
  </si>
  <si>
    <t>H5_B5_BG-02.png</t>
  </si>
  <si>
    <t>B5-02.mp3</t>
  </si>
  <si>
    <t>产生</t>
  </si>
  <si>
    <t>&lt;ruby&gt;产生&lt;rt&gt;chănshēng&lt;/rt&gt;&lt;/ruby&gt;</t>
  </si>
  <si>
    <t>chănshēng</t>
  </si>
  <si>
    <t>sản sinh, xuất hiện</t>
  </si>
  <si>
    <r>
      <rPr>
        <sz val="10"/>
        <color theme="1"/>
        <rFont val="Calibri"/>
      </rPr>
      <t>这种花会</t>
    </r>
    <r>
      <rPr>
        <b/>
        <sz val="10"/>
        <color theme="1"/>
        <rFont val="Calibri"/>
      </rPr>
      <t>产生</t>
    </r>
    <r>
      <rPr>
        <sz val="10"/>
        <color theme="1"/>
        <rFont val="Calibri"/>
      </rPr>
      <t>一种香味。</t>
    </r>
  </si>
  <si>
    <t>Loài hoa này sẽ sản sinh ra một mùi hương.</t>
  </si>
  <si>
    <t>H5_B5_BG-03.png</t>
  </si>
  <si>
    <t>B5-03.mp3</t>
  </si>
  <si>
    <t>充满</t>
  </si>
  <si>
    <t>&lt;ruby&gt;充满&lt;rt&gt;chōngmǎn&lt;/rt&gt;&lt;/ruby&gt;</t>
  </si>
  <si>
    <t>chōngmǎn</t>
  </si>
  <si>
    <t>chan chứa, tràn ngập</t>
  </si>
  <si>
    <r>
      <rPr>
        <sz val="10"/>
        <color theme="1"/>
        <rFont val="Calibri"/>
      </rPr>
      <t>她的眼神</t>
    </r>
    <r>
      <rPr>
        <b/>
        <sz val="10"/>
        <color theme="1"/>
        <rFont val="Calibri"/>
      </rPr>
      <t>充满</t>
    </r>
    <r>
      <rPr>
        <sz val="10"/>
        <color theme="1"/>
        <rFont val="Calibri"/>
      </rPr>
      <t>了希望。</t>
    </r>
  </si>
  <si>
    <t>Ánh mắt của cô ấy tràn ngập hy vọng.</t>
  </si>
  <si>
    <t>H5_B5_BG-04.png</t>
  </si>
  <si>
    <t>B5-04.mp3</t>
  </si>
  <si>
    <t>从而</t>
  </si>
  <si>
    <t>&lt;ruby&gt;从而&lt;rt&gt;cóng'ér&lt;/rt&gt;&lt;/ruby&gt;</t>
  </si>
  <si>
    <t>cóng'ér</t>
  </si>
  <si>
    <t xml:space="preserve">Liên từ </t>
  </si>
  <si>
    <r>
      <rPr>
        <sz val="10"/>
        <color theme="1"/>
        <rFont val="Calibri"/>
      </rPr>
      <t>他努力学习，</t>
    </r>
    <r>
      <rPr>
        <b/>
        <sz val="10"/>
        <color theme="1"/>
        <rFont val="Calibri"/>
      </rPr>
      <t>从而</t>
    </r>
    <r>
      <rPr>
        <sz val="10"/>
        <color theme="1"/>
        <rFont val="Calibri"/>
      </rPr>
      <t>得到了好成绩。</t>
    </r>
  </si>
  <si>
    <t>Anh ấy chăm chỉ học tập, vì vậy đã đạt được thành tích tốt.</t>
  </si>
  <si>
    <t>H5_B5_BG-05.png</t>
  </si>
  <si>
    <t>B5-05.mp3</t>
  </si>
  <si>
    <t>独特</t>
  </si>
  <si>
    <t>&lt;ruby&gt;独特&lt;rt&gt;dútè&lt;/rt&gt;&lt;/ruby&gt;</t>
  </si>
  <si>
    <t>dútè</t>
  </si>
  <si>
    <r>
      <rPr>
        <sz val="10"/>
        <color theme="1"/>
        <rFont val="Calibri"/>
      </rPr>
      <t>这辆车的设计非常</t>
    </r>
    <r>
      <rPr>
        <b/>
        <sz val="10"/>
        <color theme="1"/>
        <rFont val="Calibri"/>
      </rPr>
      <t>独特</t>
    </r>
    <r>
      <rPr>
        <sz val="10"/>
        <color theme="1"/>
        <rFont val="Calibri"/>
      </rPr>
      <t>。</t>
    </r>
  </si>
  <si>
    <t>Thiết kế của chiếc xe này rất đặc biệt.</t>
  </si>
  <si>
    <t>H5_B5_BG-06.png</t>
  </si>
  <si>
    <t>B5-06.mp3</t>
  </si>
  <si>
    <t>感激</t>
  </si>
  <si>
    <t>&lt;ruby&gt;感激&lt;rt&gt;gǎnjī&lt;/rt&gt;&lt;/ruby&gt;</t>
  </si>
  <si>
    <t>gǎnjī</t>
  </si>
  <si>
    <t>cảm kích, biết ơn</t>
  </si>
  <si>
    <r>
      <rPr>
        <sz val="10"/>
        <color theme="1"/>
        <rFont val="Calibri"/>
      </rPr>
      <t>我很</t>
    </r>
    <r>
      <rPr>
        <b/>
        <sz val="10"/>
        <color theme="1"/>
        <rFont val="Calibri"/>
      </rPr>
      <t>感激</t>
    </r>
    <r>
      <rPr>
        <sz val="10"/>
        <color theme="1"/>
        <rFont val="Calibri"/>
      </rPr>
      <t>父母对我的支持和帮助。</t>
    </r>
  </si>
  <si>
    <t>Tôi rất biết ơn sự ủng hộ và giúp đỡ của bố mẹ.</t>
  </si>
  <si>
    <t>H5_B5_BG-07.png</t>
  </si>
  <si>
    <t>B5-07.mp3</t>
  </si>
  <si>
    <t>救</t>
  </si>
  <si>
    <t>&lt;ruby&gt;救&lt;rt&gt;jiù&lt;/rt&gt;&lt;/ruby&gt;</t>
  </si>
  <si>
    <t>cứu, cứu giúp</t>
  </si>
  <si>
    <r>
      <rPr>
        <sz val="10"/>
        <color rgb="FF0E0E0E"/>
        <rFont val="Calibri"/>
      </rPr>
      <t>他及时</t>
    </r>
    <r>
      <rPr>
        <b/>
        <sz val="10"/>
        <color rgb="FF0E0E0E"/>
        <rFont val="Calibri"/>
      </rPr>
      <t>救</t>
    </r>
    <r>
      <rPr>
        <sz val="10"/>
        <color rgb="FF0E0E0E"/>
        <rFont val="Calibri"/>
      </rPr>
      <t>了那个掉进河里的男孩。</t>
    </r>
  </si>
  <si>
    <t>Anh ấy đã kịp thời cứu cậu bé bị rơi xuống sông.</t>
  </si>
  <si>
    <t>H5_B5_BG-08.png</t>
  </si>
  <si>
    <t>B5-08.mp3</t>
  </si>
  <si>
    <t>老百姓</t>
  </si>
  <si>
    <t>&lt;ruby&gt;老百姓&lt;rt&gt;lǎobǎixìng&lt;/rt&gt;&lt;/ruby&gt;</t>
  </si>
  <si>
    <t>lǎobǎixìng</t>
  </si>
  <si>
    <t>người dân, thường dân</t>
  </si>
  <si>
    <r>
      <rPr>
        <b/>
        <sz val="10"/>
        <color theme="1"/>
        <rFont val="Calibri"/>
      </rPr>
      <t>老百姓</t>
    </r>
    <r>
      <rPr>
        <sz val="10"/>
        <color theme="1"/>
        <rFont val="Calibri"/>
      </rPr>
      <t>喜欢种菜。</t>
    </r>
  </si>
  <si>
    <t>Người dân thích trồng rau.</t>
  </si>
  <si>
    <t>H5_B5_BG-09.png</t>
  </si>
  <si>
    <t>B5-09.mp3</t>
  </si>
  <si>
    <t>抢</t>
  </si>
  <si>
    <t>&lt;ruby&gt;抢&lt;rt&gt;qiăng&lt;/rt&gt;&lt;/ruby&gt;</t>
  </si>
  <si>
    <t>qiăng</t>
  </si>
  <si>
    <t>cướp, cướp đoạt, cướp lấy, lấy</t>
  </si>
  <si>
    <r>
      <rPr>
        <sz val="10"/>
        <color rgb="FF0E0E0E"/>
        <rFont val="Calibri"/>
      </rPr>
      <t>哥哥</t>
    </r>
    <r>
      <rPr>
        <b/>
        <sz val="10"/>
        <color rgb="FF0E0E0E"/>
        <rFont val="Calibri"/>
      </rPr>
      <t>抢</t>
    </r>
    <r>
      <rPr>
        <sz val="10"/>
        <color rgb="FF0E0E0E"/>
        <rFont val="Calibri"/>
      </rPr>
      <t>走了弟弟的玩具。</t>
    </r>
  </si>
  <si>
    <t>Anh trai đã cướp lấy đồ chơi của em trai.</t>
  </si>
  <si>
    <t>H5_B5_BG-10.png</t>
  </si>
  <si>
    <t>B5-10.mp3</t>
  </si>
  <si>
    <t>善良</t>
  </si>
  <si>
    <t>&lt;ruby&gt;善良&lt;rt&gt;shànliáng&lt;/rt&gt;&lt;/ruby&gt;</t>
  </si>
  <si>
    <t>shànliáng</t>
  </si>
  <si>
    <t>lương thiện, tốt bụng</t>
  </si>
  <si>
    <r>
      <rPr>
        <sz val="10"/>
        <color theme="1"/>
        <rFont val="Calibri"/>
      </rPr>
      <t>她是一个非常</t>
    </r>
    <r>
      <rPr>
        <b/>
        <sz val="10"/>
        <color theme="1"/>
        <rFont val="Calibri"/>
      </rPr>
      <t>善良</t>
    </r>
    <r>
      <rPr>
        <sz val="10"/>
        <color theme="1"/>
        <rFont val="Calibri"/>
      </rPr>
      <t>的人，总是帮助别人。</t>
    </r>
  </si>
  <si>
    <t>Cô ấy là một người rất lương thiện, luôn giúp đỡ người khác.</t>
  </si>
  <si>
    <t>H5_B5_BG-11.png</t>
  </si>
  <si>
    <t>B5-11.mp3</t>
  </si>
  <si>
    <t>&lt;ruby&gt;为&lt;rt&gt;wéi&lt;/rt&gt;&lt;/ruby&gt;</t>
  </si>
  <si>
    <t>wéi</t>
  </si>
  <si>
    <r>
      <rPr>
        <sz val="10"/>
        <color rgb="FF0E0E0E"/>
        <rFont val="Calibri"/>
      </rPr>
      <t>他想</t>
    </r>
    <r>
      <rPr>
        <b/>
        <sz val="10"/>
        <color rgb="FF0E0E0E"/>
        <rFont val="Calibri"/>
      </rPr>
      <t>为</t>
    </r>
    <r>
      <rPr>
        <sz val="10"/>
        <color rgb="FF0E0E0E"/>
        <rFont val="Calibri"/>
      </rPr>
      <t>一名医生，因此很认真学习。</t>
    </r>
  </si>
  <si>
    <t>Anh ấy muốn trở thành một bác sĩ, vì vậy anh ấy học rất chăm chỉ.</t>
  </si>
  <si>
    <t>H5_B5_BG-12.png</t>
  </si>
  <si>
    <t>B5-12.mp3</t>
  </si>
  <si>
    <t>于</t>
  </si>
  <si>
    <t>&lt;ruby&gt;于&lt;rt&gt;yú&lt;/rt&gt;&lt;/ruby&gt;</t>
  </si>
  <si>
    <t xml:space="preserve">Giới từ </t>
  </si>
  <si>
    <t>từ, ở, vào</t>
  </si>
  <si>
    <r>
      <rPr>
        <sz val="10"/>
        <color theme="1"/>
        <rFont val="Calibri"/>
      </rPr>
      <t>他住</t>
    </r>
    <r>
      <rPr>
        <b/>
        <sz val="10"/>
        <color theme="1"/>
        <rFont val="Calibri"/>
      </rPr>
      <t>于</t>
    </r>
    <r>
      <rPr>
        <sz val="10"/>
        <color theme="1"/>
        <rFont val="Calibri"/>
      </rPr>
      <t>上海。</t>
    </r>
  </si>
  <si>
    <t>Anh ấy sống ở Thượng Hải.</t>
  </si>
  <si>
    <t>H5_B5_BG-13.png</t>
  </si>
  <si>
    <t>B5-13.mp3</t>
  </si>
  <si>
    <t>晕</t>
  </si>
  <si>
    <t>&lt;ruby&gt;晕&lt;rt&gt;yūn&lt;/rt&gt;&lt;/ruby&gt;</t>
  </si>
  <si>
    <t>yūn</t>
  </si>
  <si>
    <t>hôn mê, bất tỉnh</t>
  </si>
  <si>
    <r>
      <rPr>
        <sz val="10"/>
        <color theme="1"/>
        <rFont val="Calibri"/>
      </rPr>
      <t>他因为太累</t>
    </r>
    <r>
      <rPr>
        <b/>
        <sz val="10"/>
        <color theme="1"/>
        <rFont val="Calibri"/>
      </rPr>
      <t>晕</t>
    </r>
    <r>
      <rPr>
        <sz val="10"/>
        <color theme="1"/>
        <rFont val="Calibri"/>
      </rPr>
      <t>倒了。</t>
    </r>
  </si>
  <si>
    <t>Anh ấy bị ngất vì quá mệt.</t>
  </si>
  <si>
    <t>H5_B5_BG-14.png</t>
  </si>
  <si>
    <t>B5-14.mp3</t>
  </si>
  <si>
    <t>治（疗）</t>
  </si>
  <si>
    <t>&lt;ruby&gt;治（疗）&lt;rt&gt;zhì (liáo)&lt;/rt&gt;&lt;/ruby&gt;</t>
  </si>
  <si>
    <t>zhì (liáo)</t>
  </si>
  <si>
    <t>điều trị, chữa bệnh</t>
  </si>
  <si>
    <r>
      <rPr>
        <sz val="10"/>
        <color theme="1"/>
        <rFont val="Calibri"/>
      </rPr>
      <t>她的病需要长期</t>
    </r>
    <r>
      <rPr>
        <b/>
        <sz val="10"/>
        <color theme="1"/>
        <rFont val="Calibri"/>
      </rPr>
      <t>治疗</t>
    </r>
    <r>
      <rPr>
        <sz val="10"/>
        <color theme="1"/>
        <rFont val="Calibri"/>
      </rPr>
      <t>。</t>
    </r>
  </si>
  <si>
    <t>Bệnh của cô ấy cần điều trị lâu dài.</t>
  </si>
  <si>
    <t>H5_B5_BG-15.png</t>
  </si>
  <si>
    <t>B5-15.mp3</t>
  </si>
  <si>
    <t>冲</t>
  </si>
  <si>
    <t>&lt;ruby&gt;冲&lt;rt&gt;chōng&lt;/rt&gt;&lt;/ruby&gt;</t>
  </si>
  <si>
    <t>chōng</t>
  </si>
  <si>
    <t>xông thẳng lên</t>
  </si>
  <si>
    <r>
      <rPr>
        <sz val="10"/>
        <color theme="1"/>
        <rFont val="Calibri"/>
      </rPr>
      <t>小猫</t>
    </r>
    <r>
      <rPr>
        <b/>
        <sz val="10"/>
        <color theme="1"/>
        <rFont val="Calibri"/>
      </rPr>
      <t>冲</t>
    </r>
    <r>
      <rPr>
        <sz val="10"/>
        <color theme="1"/>
        <rFont val="Calibri"/>
      </rPr>
      <t>过来了。</t>
    </r>
  </si>
  <si>
    <t>Chú mèo con đang xông tới đây.</t>
  </si>
  <si>
    <t>H5_B5_BG-16.png</t>
  </si>
  <si>
    <t>B5-16.mp3</t>
  </si>
  <si>
    <t>挡</t>
  </si>
  <si>
    <t>&lt;ruby&gt;挡&lt;rt&gt;dǎng&lt;/rt&gt;&lt;/ruby&gt;</t>
  </si>
  <si>
    <t>dǎng</t>
  </si>
  <si>
    <t>chặn, cản</t>
  </si>
  <si>
    <t>他用手挡住了阳光。</t>
  </si>
  <si>
    <t>Anh ấy dùng tay để che ánh nắng.</t>
  </si>
  <si>
    <t>H5_B5_BG-17.png</t>
  </si>
  <si>
    <t>B5-17.mp3</t>
  </si>
  <si>
    <t>地区</t>
  </si>
  <si>
    <t>&lt;ruby&gt;地区&lt;rt&gt;dìqū&lt;/rt&gt;&lt;/ruby&gt;</t>
  </si>
  <si>
    <t>dìqū</t>
  </si>
  <si>
    <t>khu vực, vùng</t>
  </si>
  <si>
    <r>
      <rPr>
        <sz val="10"/>
        <color theme="1"/>
        <rFont val="Calibri"/>
      </rPr>
      <t>这个</t>
    </r>
    <r>
      <rPr>
        <b/>
        <sz val="10"/>
        <color theme="1"/>
        <rFont val="Calibri"/>
      </rPr>
      <t>地区</t>
    </r>
    <r>
      <rPr>
        <sz val="10"/>
        <color theme="1"/>
        <rFont val="Calibri"/>
      </rPr>
      <t>的地势非常复杂。</t>
    </r>
  </si>
  <si>
    <t>Địa thế của khu vực này rất phức tạp.</t>
  </si>
  <si>
    <t>H5_B5_BG-18.png</t>
  </si>
  <si>
    <t>B5-18.mp3</t>
  </si>
  <si>
    <t>地势</t>
  </si>
  <si>
    <t>&lt;ruby&gt;地势&lt;rt&gt;dìshì&lt;/rt&gt;&lt;/ruby&gt;</t>
  </si>
  <si>
    <t>dìshì</t>
  </si>
  <si>
    <t>địa thế</t>
  </si>
  <si>
    <r>
      <rPr>
        <b/>
        <sz val="10"/>
        <color theme="1"/>
        <rFont val="Calibri"/>
      </rPr>
      <t>地势</t>
    </r>
    <r>
      <rPr>
        <sz val="10"/>
        <color theme="1"/>
        <rFont val="Calibri"/>
      </rPr>
      <t>较高的地方通常较冷。</t>
    </r>
  </si>
  <si>
    <t>Những nơi có địa thế cao thường lạnh hơn.</t>
  </si>
  <si>
    <t>H5_B5_BG-19.png</t>
  </si>
  <si>
    <t>B5-19.mp3</t>
  </si>
  <si>
    <t>分布</t>
  </si>
  <si>
    <t>&lt;ruby&gt;分布&lt;rt&gt;fēnbù&lt;/rt&gt;&lt;/ruby&gt;</t>
  </si>
  <si>
    <t>fēnbù</t>
  </si>
  <si>
    <t>phân bố</t>
  </si>
  <si>
    <r>
      <rPr>
        <sz val="10"/>
        <color theme="1"/>
        <rFont val="Calibri"/>
      </rPr>
      <t>火山的</t>
    </r>
    <r>
      <rPr>
        <b/>
        <sz val="10"/>
        <color theme="1"/>
        <rFont val="Calibri"/>
      </rPr>
      <t>分布</t>
    </r>
    <r>
      <rPr>
        <sz val="10"/>
        <color theme="1"/>
        <rFont val="Calibri"/>
      </rPr>
      <t>与地壳运动有关。</t>
    </r>
  </si>
  <si>
    <t>Sự phân bố của núi lửa liên quan đến sự vận động của vỏ trái đất.</t>
  </si>
  <si>
    <t>H5_B5_BG-20.png</t>
  </si>
  <si>
    <t>B5-20.mp3</t>
  </si>
  <si>
    <t>广大</t>
  </si>
  <si>
    <t>&lt;ruby&gt;广大&lt;rt&gt;guăngdà&lt;/rt&gt;&lt;/ruby&gt;</t>
  </si>
  <si>
    <t>guăngdà</t>
  </si>
  <si>
    <t>rộng, rộng lớn</t>
  </si>
  <si>
    <r>
      <rPr>
        <sz val="10"/>
        <color theme="1"/>
        <rFont val="Calibri"/>
      </rPr>
      <t>这片</t>
    </r>
    <r>
      <rPr>
        <b/>
        <sz val="10"/>
        <color theme="1"/>
        <rFont val="Calibri"/>
      </rPr>
      <t>广大</t>
    </r>
    <r>
      <rPr>
        <sz val="10"/>
        <color theme="1"/>
        <rFont val="Calibri"/>
      </rPr>
      <t>地区覆盖着森林和山脉。</t>
    </r>
  </si>
  <si>
    <t>Khu vực rộng lớn này bao phủ bởi rừng và núi.</t>
  </si>
  <si>
    <t>H5_B5_BG-21.png</t>
  </si>
  <si>
    <t>B5-21.mp3</t>
  </si>
  <si>
    <t>火成岩</t>
  </si>
  <si>
    <t>&lt;ruby&gt;火成岩&lt;rt&gt;huǒchéngyán&lt;/rt&gt;&lt;/ruby&gt;</t>
  </si>
  <si>
    <t>huǒchéngyán</t>
  </si>
  <si>
    <t>đá phun trào, đá mác-ma</t>
  </si>
  <si>
    <r>
      <rPr>
        <b/>
        <sz val="10"/>
        <color theme="1"/>
        <rFont val="Calibri"/>
      </rPr>
      <t>火成岩</t>
    </r>
    <r>
      <rPr>
        <sz val="10"/>
        <color theme="1"/>
        <rFont val="Calibri"/>
      </rPr>
      <t>是由熔岩冷却形成的。</t>
    </r>
  </si>
  <si>
    <t>Đá mác-ma được hình thành từ dung nham nguội.</t>
  </si>
  <si>
    <t xml:space="preserve">H5_B5_BG-22.png </t>
  </si>
  <si>
    <t>B5-22.mp3</t>
  </si>
  <si>
    <t>埋</t>
  </si>
  <si>
    <t>&lt;ruby&gt;埋&lt;rt&gt;mái&lt;/rt&gt;&lt;/ruby&gt;</t>
  </si>
  <si>
    <t>mái</t>
  </si>
  <si>
    <t>chôn</t>
  </si>
  <si>
    <r>
      <rPr>
        <sz val="10"/>
        <color rgb="FF0E0E0E"/>
        <rFont val="Calibri"/>
      </rPr>
      <t>他们</t>
    </r>
    <r>
      <rPr>
        <b/>
        <sz val="10"/>
        <color rgb="FF0E0E0E"/>
        <rFont val="Calibri"/>
      </rPr>
      <t>埋</t>
    </r>
    <r>
      <rPr>
        <sz val="10"/>
        <color rgb="FF0E0E0E"/>
        <rFont val="Calibri"/>
      </rPr>
      <t>东西在院子里。</t>
    </r>
  </si>
  <si>
    <t>Họ chôn đồ vật ở trong sân.</t>
  </si>
  <si>
    <t>H5_B5_BG-23.png</t>
  </si>
  <si>
    <t>B5-23.mp3</t>
  </si>
  <si>
    <t>碰</t>
  </si>
  <si>
    <t>&lt;ruby&gt;碰&lt;rt&gt;pèng&lt;/rt&gt;&lt;/ruby&gt;</t>
  </si>
  <si>
    <t>pèng</t>
  </si>
  <si>
    <t>đụng, gặp phải</t>
  </si>
  <si>
    <r>
      <rPr>
        <sz val="10"/>
        <color rgb="FF0E0E0E"/>
        <rFont val="Calibri"/>
      </rPr>
      <t>我不小心</t>
    </r>
    <r>
      <rPr>
        <b/>
        <sz val="10"/>
        <color rgb="FF0E0E0E"/>
        <rFont val="Calibri"/>
      </rPr>
      <t>碰</t>
    </r>
    <r>
      <rPr>
        <sz val="10"/>
        <color rgb="FF0E0E0E"/>
        <rFont val="Calibri"/>
      </rPr>
      <t>倒了杯子。</t>
    </r>
  </si>
  <si>
    <t>Tôi vô ý làm đổ cái cốc.</t>
  </si>
  <si>
    <t>H5_B5_BG-24.png</t>
  </si>
  <si>
    <t>B5-24.mp3</t>
  </si>
  <si>
    <t>石灰岩</t>
  </si>
  <si>
    <t>&lt;ruby&gt;石灰岩&lt;rt&gt;shíhuīyán&lt;/rt&gt;&lt;/ruby&gt;</t>
  </si>
  <si>
    <t>shíhuīyán</t>
  </si>
  <si>
    <t>đá vôi</t>
  </si>
  <si>
    <r>
      <rPr>
        <b/>
        <sz val="10"/>
        <color rgb="FF0E0E0E"/>
        <rFont val="Calibri"/>
      </rPr>
      <t>石灰岩</t>
    </r>
    <r>
      <rPr>
        <sz val="10"/>
        <color rgb="FF0E0E0E"/>
        <rFont val="Calibri"/>
      </rPr>
      <t>被用来制作黑板粉笔。</t>
    </r>
  </si>
  <si>
    <t>Đá vôi được dùng làm phấn viết bảng</t>
  </si>
  <si>
    <t>H5_B5_BG-25.png</t>
  </si>
  <si>
    <t>B5-25.mp3</t>
  </si>
  <si>
    <t>天然</t>
  </si>
  <si>
    <t>&lt;ruby&gt;天然&lt;rt&gt;tiānrán&lt;/rt&gt;&lt;/ruby&gt;</t>
  </si>
  <si>
    <t>tiānrán</t>
  </si>
  <si>
    <t>tự nhiên, (thuộc) thiên nhiên</t>
  </si>
  <si>
    <r>
      <rPr>
        <sz val="10"/>
        <color theme="1"/>
        <rFont val="Calibri"/>
      </rPr>
      <t>这里有很多</t>
    </r>
    <r>
      <rPr>
        <b/>
        <sz val="10"/>
        <color theme="1"/>
        <rFont val="Calibri"/>
      </rPr>
      <t>天然</t>
    </r>
    <r>
      <rPr>
        <sz val="10"/>
        <color theme="1"/>
        <rFont val="Calibri"/>
      </rPr>
      <t>的洞穴。</t>
    </r>
  </si>
  <si>
    <t>Ở đây có rất nhiều hang động tự nhiên.</t>
  </si>
  <si>
    <t>H5_B5_BG-26.png</t>
  </si>
  <si>
    <t>B5-26.mp3</t>
  </si>
  <si>
    <t>斜</t>
  </si>
  <si>
    <t>&lt;ruby&gt;斜&lt;rt&gt;xié&lt;/rt&gt;&lt;/ruby&gt;</t>
  </si>
  <si>
    <t>xiên, nghiêng</t>
  </si>
  <si>
    <r>
      <rPr>
        <sz val="10"/>
        <color rgb="FF0E0E0E"/>
        <rFont val="Calibri"/>
      </rPr>
      <t>这棵树长得有点</t>
    </r>
    <r>
      <rPr>
        <b/>
        <sz val="10"/>
        <color rgb="FF0E0E0E"/>
        <rFont val="Calibri"/>
      </rPr>
      <t>斜</t>
    </r>
    <r>
      <rPr>
        <sz val="10"/>
        <color rgb="FF0E0E0E"/>
        <rFont val="Calibri"/>
      </rPr>
      <t>。</t>
    </r>
  </si>
  <si>
    <t>Cây này mọc hơi nghiêng.</t>
  </si>
  <si>
    <t>H5_B5_BG-27.png</t>
  </si>
  <si>
    <t>B5-27.mp3</t>
  </si>
  <si>
    <t>形成</t>
  </si>
  <si>
    <t>&lt;ruby&gt;形成&lt;rt&gt;xíngchéng&lt;/rt&gt;&lt;/ruby&gt;</t>
  </si>
  <si>
    <t>xíngchéng</t>
  </si>
  <si>
    <t>hình thành</t>
  </si>
  <si>
    <r>
      <rPr>
        <sz val="10"/>
        <color theme="1"/>
        <rFont val="Calibri"/>
      </rPr>
      <t>山脉是如何</t>
    </r>
    <r>
      <rPr>
        <b/>
        <sz val="10"/>
        <color theme="1"/>
        <rFont val="Calibri"/>
      </rPr>
      <t>形成</t>
    </r>
    <r>
      <rPr>
        <sz val="10"/>
        <color theme="1"/>
        <rFont val="Calibri"/>
      </rPr>
      <t>的？</t>
    </r>
  </si>
  <si>
    <t>Các dãy núi được hình thành như thế nào?</t>
  </si>
  <si>
    <t>H5_B5_BG-28.png</t>
  </si>
  <si>
    <t>B5-28.mp3</t>
  </si>
  <si>
    <t>形状</t>
  </si>
  <si>
    <t>&lt;ruby&gt;形状&lt;rt&gt;xíngzhuàng&lt;/rt&gt;&lt;/ruby&gt;</t>
  </si>
  <si>
    <t>xíngzhuàng</t>
  </si>
  <si>
    <t>hình dạng</t>
  </si>
  <si>
    <r>
      <rPr>
        <sz val="10"/>
        <color theme="1"/>
        <rFont val="Calibri"/>
      </rPr>
      <t>月亮的</t>
    </r>
    <r>
      <rPr>
        <b/>
        <sz val="10"/>
        <color theme="1"/>
        <rFont val="Calibri"/>
      </rPr>
      <t>形状</t>
    </r>
    <r>
      <rPr>
        <sz val="10"/>
        <color theme="1"/>
        <rFont val="Calibri"/>
      </rPr>
      <t>像香蕉。</t>
    </r>
  </si>
  <si>
    <t>Hình dạng của mặt trăng giống như quả chuối.</t>
  </si>
  <si>
    <t>H5_B5_BG-29.png</t>
  </si>
  <si>
    <t>B5-29.mp3</t>
  </si>
  <si>
    <t>岩石</t>
  </si>
  <si>
    <t>&lt;ruby&gt;岩石&lt;rt&gt;yánshí&lt;/rt&gt;&lt;/ruby&gt;</t>
  </si>
  <si>
    <t>yánshí</t>
  </si>
  <si>
    <t>nham thạch</t>
  </si>
  <si>
    <r>
      <rPr>
        <sz val="10"/>
        <color theme="1"/>
        <rFont val="Calibri"/>
      </rPr>
      <t>火山喷发后留下了许多熔化的</t>
    </r>
    <r>
      <rPr>
        <b/>
        <sz val="10"/>
        <color theme="1"/>
        <rFont val="Calibri"/>
      </rPr>
      <t>岩石</t>
    </r>
    <r>
      <rPr>
        <sz val="10"/>
        <color theme="1"/>
        <rFont val="Calibri"/>
      </rPr>
      <t>。</t>
    </r>
  </si>
  <si>
    <t>Sau khi núi lửa phun trào, đã để lại nhiều nham thạch nóng chảy.</t>
  </si>
  <si>
    <t>H5_B5_BG-30.png</t>
  </si>
  <si>
    <t>B5-30.mp3</t>
  </si>
  <si>
    <t>玉</t>
  </si>
  <si>
    <t>&lt;ruby&gt;玉&lt;rt&gt;yù&lt;/rt&gt;&lt;/ruby&gt;</t>
  </si>
  <si>
    <t>yù</t>
  </si>
  <si>
    <t>ngọc thạch</t>
  </si>
  <si>
    <r>
      <rPr>
        <sz val="10"/>
        <color rgb="FF0E0E0E"/>
        <rFont val="Calibri"/>
      </rPr>
      <t>这是一块非常珍贵的</t>
    </r>
    <r>
      <rPr>
        <b/>
        <sz val="10"/>
        <color rgb="FF0E0E0E"/>
        <rFont val="Calibri"/>
      </rPr>
      <t>玉</t>
    </r>
    <r>
      <rPr>
        <sz val="10"/>
        <color rgb="FF0E0E0E"/>
        <rFont val="Calibri"/>
      </rPr>
      <t>。</t>
    </r>
  </si>
  <si>
    <t>Đây là một viên ngọc rất quý giá.</t>
  </si>
  <si>
    <t>H5_B5_BG-31.png</t>
  </si>
  <si>
    <t>B5-31.mp3</t>
  </si>
  <si>
    <t>珍珠</t>
  </si>
  <si>
    <t>&lt;ruby&gt;珍珠&lt;rt&gt;zhēnzhū&lt;/rt&gt;&lt;/ruby&gt;</t>
  </si>
  <si>
    <t>zhēnzhū</t>
  </si>
  <si>
    <t>trân châu, ngọc trai</t>
  </si>
  <si>
    <r>
      <rPr>
        <sz val="10"/>
        <color theme="1"/>
        <rFont val="Calibri"/>
      </rPr>
      <t>她的项链上有很多</t>
    </r>
    <r>
      <rPr>
        <b/>
        <sz val="10"/>
        <color theme="1"/>
        <rFont val="Calibri"/>
      </rPr>
      <t>珍珠</t>
    </r>
    <r>
      <rPr>
        <sz val="10"/>
        <color theme="1"/>
        <rFont val="Calibri"/>
      </rPr>
      <t>。</t>
    </r>
  </si>
  <si>
    <t>Trên dây chuyền của cô ấy có nhiều viên ngọc trai.</t>
  </si>
  <si>
    <t>H5_B5_BG-32.png</t>
  </si>
  <si>
    <t>B5-32.mp3</t>
  </si>
  <si>
    <t>传说</t>
  </si>
  <si>
    <t>&lt;ruby&gt;传说&lt;rt&gt;chuánshuō&lt;/rt&gt;&lt;/ruby&gt;</t>
  </si>
  <si>
    <t>chuánshuō</t>
  </si>
  <si>
    <t>truyền thuyết</t>
  </si>
  <si>
    <r>
      <rPr>
        <sz val="11"/>
        <color rgb="FF000000"/>
        <rFont val="Calibri"/>
      </rPr>
      <t>这个地区有关于龙的</t>
    </r>
    <r>
      <rPr>
        <b/>
        <sz val="11"/>
        <color rgb="FF000000"/>
        <rFont val="Calibri"/>
      </rPr>
      <t>传说</t>
    </r>
    <r>
      <rPr>
        <sz val="11"/>
        <color rgb="FF000000"/>
        <rFont val="Calibri"/>
      </rPr>
      <t>。</t>
    </r>
  </si>
  <si>
    <t>Khu vực này có truyền thuyết về rồng.</t>
  </si>
  <si>
    <t>H5_B5_BG-33.png</t>
  </si>
  <si>
    <t>B5-33.mp3</t>
  </si>
  <si>
    <t>反映</t>
  </si>
  <si>
    <t>&lt;ruby&gt;反映&lt;rt&gt;fǎnyìng&lt;/rt&gt;&lt;/ruby&gt;</t>
  </si>
  <si>
    <t>fǎnyìng</t>
  </si>
  <si>
    <t>phản ánh/thể hiện</t>
  </si>
  <si>
    <r>
      <rPr>
        <sz val="10"/>
        <color theme="1"/>
        <rFont val="Calibri"/>
      </rPr>
      <t>镜子</t>
    </r>
    <r>
      <rPr>
        <b/>
        <sz val="10"/>
        <color theme="1"/>
        <rFont val="Calibri"/>
      </rPr>
      <t>反映</t>
    </r>
    <r>
      <rPr>
        <sz val="10"/>
        <color theme="1"/>
        <rFont val="Calibri"/>
      </rPr>
      <t>出我的样子。</t>
    </r>
  </si>
  <si>
    <t>Gương phản chiếu hình dáng của tôi.</t>
  </si>
  <si>
    <t>H5_B5_BG-34.png</t>
  </si>
  <si>
    <t>B5-34.mp3</t>
  </si>
  <si>
    <t>壶</t>
  </si>
  <si>
    <t>&lt;ruby&gt;壶&lt;rt&gt;hú&lt;/rt&gt;&lt;/ruby&gt;</t>
  </si>
  <si>
    <t>hú</t>
  </si>
  <si>
    <t>ấm, bình</t>
  </si>
  <si>
    <r>
      <rPr>
        <sz val="10"/>
        <color rgb="FF0E0E0E"/>
        <rFont val="Calibri"/>
      </rPr>
      <t>请给我一</t>
    </r>
    <r>
      <rPr>
        <b/>
        <sz val="10"/>
        <color rgb="FF0E0E0E"/>
        <rFont val="Calibri"/>
      </rPr>
      <t>壶</t>
    </r>
    <r>
      <rPr>
        <sz val="10"/>
        <color rgb="FF0E0E0E"/>
        <rFont val="Calibri"/>
      </rPr>
      <t>茶。</t>
    </r>
  </si>
  <si>
    <t>Làm ơn cho tôi một ấm trà.</t>
  </si>
  <si>
    <t>H5_B5_BG-35.png</t>
  </si>
  <si>
    <t>B5-35.mp3</t>
  </si>
  <si>
    <t>角度</t>
  </si>
  <si>
    <t>&lt;ruby&gt;角度&lt;rt&gt;jiǎodù&lt;/rt&gt;&lt;/ruby&gt;</t>
  </si>
  <si>
    <t>jiǎodù</t>
  </si>
  <si>
    <t>độ, độ của góc</t>
  </si>
  <si>
    <r>
      <rPr>
        <sz val="10"/>
        <color theme="1"/>
        <rFont val="Calibri"/>
      </rPr>
      <t>从这个</t>
    </r>
    <r>
      <rPr>
        <b/>
        <sz val="10"/>
        <color theme="1"/>
        <rFont val="Calibri"/>
      </rPr>
      <t>角度</t>
    </r>
    <r>
      <rPr>
        <sz val="10"/>
        <color theme="1"/>
        <rFont val="Calibri"/>
      </rPr>
      <t>看，山很高。</t>
    </r>
  </si>
  <si>
    <t>Nhìn từ góc độ này, ngọn núi rất cao.</t>
  </si>
  <si>
    <t>H5_B5_BG-36.png</t>
  </si>
  <si>
    <t>B5-36.mp3</t>
  </si>
  <si>
    <t>B5_VD_36.mp3</t>
  </si>
  <si>
    <t>记载</t>
  </si>
  <si>
    <t>&lt;ruby&gt;记载&lt;rt&gt;jìzǎi&lt;/rt&gt;&lt;/ruby&gt;</t>
  </si>
  <si>
    <t>jìzǎi</t>
  </si>
  <si>
    <t>ghi chép, ghi lại</t>
  </si>
  <si>
    <r>
      <rPr>
        <sz val="10"/>
        <color theme="1"/>
        <rFont val="Calibri"/>
      </rPr>
      <t>历史书上</t>
    </r>
    <r>
      <rPr>
        <b/>
        <sz val="10"/>
        <color theme="1"/>
        <rFont val="Calibri"/>
      </rPr>
      <t>记载</t>
    </r>
    <r>
      <rPr>
        <sz val="10"/>
        <color theme="1"/>
        <rFont val="Calibri"/>
      </rPr>
      <t>了很多重要的事件。</t>
    </r>
  </si>
  <si>
    <t>Sách lịch sử ghi chép nhiều sự kiện quan trọng.</t>
  </si>
  <si>
    <t>H5_B5_BG-37.png</t>
  </si>
  <si>
    <t>B5-37.mp3</t>
  </si>
  <si>
    <t>B5_VD_37.mp3</t>
  </si>
  <si>
    <t>龙</t>
  </si>
  <si>
    <t>&lt;ruby&gt;龙&lt;rt&gt;lóng&lt;/rt&gt;&lt;/ruby&gt;</t>
  </si>
  <si>
    <t>lóng</t>
  </si>
  <si>
    <t>rồng</t>
  </si>
  <si>
    <r>
      <rPr>
        <sz val="11"/>
        <color rgb="FF000000"/>
        <rFont val="Calibri"/>
      </rPr>
      <t>中国人把</t>
    </r>
    <r>
      <rPr>
        <b/>
        <sz val="11"/>
        <color rgb="FF000000"/>
        <rFont val="Calibri"/>
      </rPr>
      <t>龙</t>
    </r>
    <r>
      <rPr>
        <sz val="11"/>
        <color rgb="FF000000"/>
        <rFont val="Calibri"/>
      </rPr>
      <t>视为吉祥的象征。</t>
    </r>
  </si>
  <si>
    <t>Người Trung Quốc coi rồng là biểu tượng may mắn.</t>
  </si>
  <si>
    <t>H5_B5_BG-38.png</t>
  </si>
  <si>
    <t>B5-38.mp3</t>
  </si>
  <si>
    <t>B5_VD_38.mp3</t>
  </si>
  <si>
    <t>描写</t>
  </si>
  <si>
    <t>&lt;ruby&gt;描写&lt;rt&gt;miáoxiě&lt;/rt&gt;&lt;/ruby&gt;</t>
  </si>
  <si>
    <t>miáoxiě</t>
  </si>
  <si>
    <t>miêu tả</t>
  </si>
  <si>
    <r>
      <rPr>
        <sz val="10"/>
        <color theme="1"/>
        <rFont val="Calibri"/>
      </rPr>
      <t>老师让学生</t>
    </r>
    <r>
      <rPr>
        <b/>
        <sz val="10"/>
        <color theme="1"/>
        <rFont val="Calibri"/>
      </rPr>
      <t>描写</t>
    </r>
    <r>
      <rPr>
        <sz val="10"/>
        <color theme="1"/>
        <rFont val="Calibri"/>
      </rPr>
      <t>这里的山水。</t>
    </r>
  </si>
  <si>
    <t>Giáo viên yêu cầu học sinh miêu tả núi non và sông nước ở đây.</t>
  </si>
  <si>
    <t>H5_B5_BG-39.png</t>
  </si>
  <si>
    <t>B5-39.mp3</t>
  </si>
  <si>
    <t>B5_VD_39.mp3</t>
  </si>
  <si>
    <t>如今</t>
  </si>
  <si>
    <t>&lt;ruby&gt;如今&lt;rt&gt;rújīn&lt;/rt&gt;&lt;/ruby&gt;</t>
  </si>
  <si>
    <t>rújīn</t>
  </si>
  <si>
    <t>ngày nay</t>
  </si>
  <si>
    <r>
      <rPr>
        <b/>
        <sz val="10"/>
        <color theme="1"/>
        <rFont val="Calibri"/>
      </rPr>
      <t>如今</t>
    </r>
    <r>
      <rPr>
        <sz val="10"/>
        <color theme="1"/>
        <rFont val="Calibri"/>
      </rPr>
      <t>，大家都用手机。</t>
    </r>
  </si>
  <si>
    <t>Ngày nay, mọi người đều dùng điện thoại.</t>
  </si>
  <si>
    <t>H5_B5_BG-40.png</t>
  </si>
  <si>
    <t>B5-40.mp3</t>
  </si>
  <si>
    <t>B5_VD_40.mp3</t>
  </si>
  <si>
    <t>诗</t>
  </si>
  <si>
    <t>&lt;ruby&gt;诗&lt;rt&gt;shī&lt;/rt&gt;&lt;/ruby&gt;</t>
  </si>
  <si>
    <t>shī</t>
  </si>
  <si>
    <t>thơ</t>
  </si>
  <si>
    <r>
      <rPr>
        <sz val="10"/>
        <color rgb="FF0E0E0E"/>
        <rFont val="Calibri"/>
      </rPr>
      <t>他喜欢写</t>
    </r>
    <r>
      <rPr>
        <b/>
        <sz val="10"/>
        <color rgb="FF0E0E0E"/>
        <rFont val="Calibri"/>
      </rPr>
      <t>诗</t>
    </r>
    <r>
      <rPr>
        <sz val="10"/>
        <color rgb="FF0E0E0E"/>
        <rFont val="Calibri"/>
      </rPr>
      <t>。</t>
    </r>
  </si>
  <si>
    <t>Anh ấy thích viết thơ.</t>
  </si>
  <si>
    <t>H5_B5_BG-41.png</t>
  </si>
  <si>
    <t>B5-41.mp3</t>
  </si>
  <si>
    <t>B5_VD_41.mp3</t>
  </si>
  <si>
    <t>文字</t>
  </si>
  <si>
    <t>&lt;ruby&gt;文字&lt;rt&gt;wénzì&lt;/rt&gt;&lt;/ruby&gt;</t>
  </si>
  <si>
    <t>wénzì</t>
  </si>
  <si>
    <t>văn tự (ngôn ngữ viết)</t>
  </si>
  <si>
    <r>
      <rPr>
        <sz val="10"/>
        <color theme="1"/>
        <rFont val="Calibri"/>
      </rPr>
      <t>汉字是中国古老的</t>
    </r>
    <r>
      <rPr>
        <b/>
        <sz val="10"/>
        <color theme="1"/>
        <rFont val="Calibri"/>
      </rPr>
      <t>文字</t>
    </r>
    <r>
      <rPr>
        <sz val="10"/>
        <color theme="1"/>
        <rFont val="Calibri"/>
      </rPr>
      <t>。</t>
    </r>
  </si>
  <si>
    <t>Chữ Hán là văn tự cổ xưa của Trung Quốc.</t>
  </si>
  <si>
    <t>H5_B5_BG-42.png</t>
  </si>
  <si>
    <t>B5-42.mp3</t>
  </si>
  <si>
    <t>B5_VD_42.mp3</t>
  </si>
  <si>
    <t>亿</t>
  </si>
  <si>
    <t>&lt;ruby&gt;亿&lt;rt&gt;yì&lt;/rt&gt;&lt;/ruby&gt;</t>
  </si>
  <si>
    <t>yì</t>
  </si>
  <si>
    <t>số.</t>
  </si>
  <si>
    <t>một trăm triệu</t>
  </si>
  <si>
    <r>
      <rPr>
        <sz val="11"/>
        <color rgb="FF000000"/>
        <rFont val="Calibri"/>
      </rPr>
      <t>这张支票的金额是</t>
    </r>
    <r>
      <rPr>
        <b/>
        <sz val="11"/>
        <color rgb="FF000000"/>
        <rFont val="Calibri"/>
      </rPr>
      <t>一亿</t>
    </r>
    <r>
      <rPr>
        <sz val="11"/>
        <color rgb="FF000000"/>
        <rFont val="Calibri"/>
      </rPr>
      <t>。</t>
    </r>
  </si>
  <si>
    <t>Số tiền trên tấm séc này là một trăm triệu.</t>
  </si>
  <si>
    <t>H5_B5_BG-43.png</t>
  </si>
  <si>
    <t>B5-43.mp3</t>
  </si>
  <si>
    <t>B5_VD_43.mp3</t>
  </si>
  <si>
    <t>悠久</t>
  </si>
  <si>
    <t>&lt;ruby&gt;悠久&lt;rt&gt;yōujiǔ&lt;/rt&gt;&lt;/ruby&gt;</t>
  </si>
  <si>
    <t>yōujiǔ</t>
  </si>
  <si>
    <t>lâu đời</t>
  </si>
  <si>
    <r>
      <rPr>
        <sz val="10"/>
        <color theme="1"/>
        <rFont val="Calibri"/>
      </rPr>
      <t>这是一座</t>
    </r>
    <r>
      <rPr>
        <b/>
        <sz val="10"/>
        <color theme="1"/>
        <rFont val="Calibri"/>
      </rPr>
      <t>悠久</t>
    </r>
    <r>
      <rPr>
        <sz val="10"/>
        <color theme="1"/>
        <rFont val="Calibri"/>
      </rPr>
      <t>的城市。</t>
    </r>
  </si>
  <si>
    <t>Đây là một thành phố lâu đời.</t>
  </si>
  <si>
    <t>H5_B5_BG-44.png</t>
  </si>
  <si>
    <t>B5-44.mp3</t>
  </si>
  <si>
    <t>B5_VD_44.mp3</t>
  </si>
  <si>
    <t>优美</t>
  </si>
  <si>
    <t>&lt;ruby&gt;优美&lt;rt&gt;yōuměi&lt;/rt&gt;&lt;/ruby&gt;</t>
  </si>
  <si>
    <t>yōuměi</t>
  </si>
  <si>
    <t>đẹp đẽ, tốt đẹp</t>
  </si>
  <si>
    <r>
      <rPr>
        <sz val="10"/>
        <color theme="1"/>
        <rFont val="Calibri"/>
      </rPr>
      <t>这个地方的风景很</t>
    </r>
    <r>
      <rPr>
        <b/>
        <sz val="10"/>
        <color theme="1"/>
        <rFont val="Calibri"/>
      </rPr>
      <t>优美</t>
    </r>
    <r>
      <rPr>
        <sz val="10"/>
        <color theme="1"/>
        <rFont val="Calibri"/>
      </rPr>
      <t>。</t>
    </r>
  </si>
  <si>
    <t>Phong cảnh nơi này rất đẹp đẽ.</t>
  </si>
  <si>
    <t>H5_B5_BG-45.png</t>
  </si>
  <si>
    <t>B5-45.mp3</t>
  </si>
  <si>
    <t>B5_VD_45.mp3</t>
  </si>
  <si>
    <t>赞美</t>
  </si>
  <si>
    <t>&lt;ruby&gt;赞美&lt;rt&gt;zànměi&lt;/rt&gt;&lt;/ruby&gt;</t>
  </si>
  <si>
    <t>zànměi</t>
  </si>
  <si>
    <t>ca ngợi, ca tụng</t>
  </si>
  <si>
    <r>
      <rPr>
        <sz val="10"/>
        <color theme="1"/>
        <rFont val="Calibri"/>
      </rPr>
      <t>老师</t>
    </r>
    <r>
      <rPr>
        <b/>
        <sz val="10"/>
        <color theme="1"/>
        <rFont val="Calibri"/>
      </rPr>
      <t>赞美</t>
    </r>
    <r>
      <rPr>
        <sz val="10"/>
        <color theme="1"/>
        <rFont val="Calibri"/>
      </rPr>
      <t>了我的画。</t>
    </r>
  </si>
  <si>
    <t>Cô giáo khen bức tranh của tôi.</t>
  </si>
  <si>
    <t>H5_B5_BG-46.png</t>
  </si>
  <si>
    <t>B5-46.mp3</t>
  </si>
  <si>
    <t>B5_VD_46.mp3</t>
  </si>
  <si>
    <t>熬夜</t>
  </si>
  <si>
    <t>&lt;ruby&gt;熬夜&lt;rt&gt;áo yè&lt;/rt&gt;&lt;/ruby&gt;</t>
  </si>
  <si>
    <t>áo yè</t>
  </si>
  <si>
    <t>thức khuya</t>
  </si>
  <si>
    <t>孩子们最喜欢熬夜过年，因为可以看烟花，还能拿到红包。</t>
  </si>
  <si>
    <t>Trẻ em thích thức khuya vào đêm giao thừa vì có thể xem pháo hoa và nhận lì xì.</t>
  </si>
  <si>
    <t>H5_B6_BG-01.png</t>
  </si>
  <si>
    <t>B6-01.mp3</t>
  </si>
  <si>
    <t>鞭炮</t>
  </si>
  <si>
    <t>&lt;ruby&gt;鞭炮&lt;rt&gt;biānpào&lt;/rt&gt;&lt;/ruby&gt;</t>
  </si>
  <si>
    <t>biānpào</t>
  </si>
  <si>
    <t>pháo</t>
  </si>
  <si>
    <r>
      <rPr>
        <sz val="11"/>
        <color rgb="FF000000"/>
        <rFont val="Calibri"/>
      </rPr>
      <t>过春节的时候，孩子们喜欢放</t>
    </r>
    <r>
      <rPr>
        <b/>
        <sz val="11"/>
        <color rgb="FF000000"/>
        <rFont val="Calibri"/>
      </rPr>
      <t>鞭炮</t>
    </r>
    <r>
      <rPr>
        <sz val="11"/>
        <color rgb="FF000000"/>
        <rFont val="Calibri"/>
      </rPr>
      <t>。</t>
    </r>
  </si>
  <si>
    <t>Vào dịp Tết, trẻ em thích đốt pháo.</t>
  </si>
  <si>
    <t>H5_B6_BG-02.png</t>
  </si>
  <si>
    <t>B6-02.mp3</t>
  </si>
  <si>
    <t>除</t>
  </si>
  <si>
    <t>&lt;ruby&gt;除&lt;rt&gt;chú&lt;/rt&gt;&lt;/ruby&gt;</t>
  </si>
  <si>
    <t>chú</t>
  </si>
  <si>
    <t>trừ khử</t>
  </si>
  <si>
    <r>
      <rPr>
        <sz val="10"/>
        <color theme="1"/>
        <rFont val="Calibri"/>
      </rPr>
      <t>他决定</t>
    </r>
    <r>
      <rPr>
        <b/>
        <sz val="10"/>
        <color theme="1"/>
        <rFont val="Calibri"/>
      </rPr>
      <t>除</t>
    </r>
    <r>
      <rPr>
        <sz val="10"/>
        <color theme="1"/>
        <rFont val="Calibri"/>
      </rPr>
      <t>去所有不必要的东西，把房间收拾得更整洁。</t>
    </r>
  </si>
  <si>
    <t>Anh ấy quyết định loại bỏ tất cả những thứ không cần thiết và dọn dẹp phòng trở nên gọn gàng hơn.</t>
  </si>
  <si>
    <t>H5_B6_BG-03.png</t>
  </si>
  <si>
    <t>B6-03.mp3</t>
  </si>
  <si>
    <t>除夕</t>
  </si>
  <si>
    <t>&lt;ruby&gt;除夕&lt;rt&gt;chúxi&lt;/rt&gt;&lt;/ruby&gt;</t>
  </si>
  <si>
    <t>chúxi</t>
  </si>
  <si>
    <t>đêm giao thừa, trừ tịch</t>
  </si>
  <si>
    <r>
      <rPr>
        <b/>
        <sz val="11"/>
        <color rgb="FF000000"/>
        <rFont val="Calibri"/>
      </rPr>
      <t>除夕</t>
    </r>
    <r>
      <rPr>
        <sz val="11"/>
        <color rgb="FF000000"/>
        <rFont val="Calibri"/>
      </rPr>
      <t>夜，我们全家一起吃年夜饭、看烟花。</t>
    </r>
  </si>
  <si>
    <t>Đêm giao thừa, cả gia đình chúng tôi cùng nhau ăn bữa cơm tất niên và xem pháo hoa.</t>
  </si>
  <si>
    <t>H5_B6_BG-04.png</t>
  </si>
  <si>
    <t>B6-04.mp3</t>
  </si>
  <si>
    <t>纷纷</t>
  </si>
  <si>
    <t>&lt;ruby&gt;纷纷&lt;rt&gt;fēnfēn&lt;/rt&gt;&lt;/ruby&gt;</t>
  </si>
  <si>
    <t>fēnfēn</t>
  </si>
  <si>
    <t>Tính từ /Phó từ</t>
  </si>
  <si>
    <t>tới tấp, dồn dập; nhao nhao, sôi nổi</t>
  </si>
  <si>
    <r>
      <rPr>
        <sz val="10"/>
        <color theme="1"/>
        <rFont val="Calibri"/>
      </rPr>
      <t>消息刚刚传出，网友们</t>
    </r>
    <r>
      <rPr>
        <b/>
        <sz val="10"/>
        <color theme="1"/>
        <rFont val="Calibri"/>
      </rPr>
      <t>纷纷</t>
    </r>
    <r>
      <rPr>
        <sz val="10"/>
        <color theme="1"/>
        <rFont val="Calibri"/>
      </rPr>
      <t>在社交媒体上开始发表评论。</t>
    </r>
  </si>
  <si>
    <t>Tin tức vừa phát ra, các cư dân mạng lập tức bắt đầu đăng bình luận trên mạng xã hội.</t>
  </si>
  <si>
    <t>H5_B6_BG-05.png</t>
  </si>
  <si>
    <t>B6-05.mp3</t>
  </si>
  <si>
    <t>风俗</t>
  </si>
  <si>
    <t>&lt;ruby&gt;风俗&lt;rt&gt;fēngsú&lt;/rt&gt;&lt;/ruby&gt;</t>
  </si>
  <si>
    <t>fēngsú</t>
  </si>
  <si>
    <t>phong tục, tục lệ</t>
  </si>
  <si>
    <r>
      <rPr>
        <sz val="10"/>
        <color theme="1"/>
        <rFont val="Calibri"/>
      </rPr>
      <t>每个国家都有自己的</t>
    </r>
    <r>
      <rPr>
        <b/>
        <sz val="10"/>
        <color theme="1"/>
        <rFont val="Calibri"/>
      </rPr>
      <t>风俗</t>
    </r>
    <r>
      <rPr>
        <sz val="10"/>
        <color theme="1"/>
        <rFont val="Calibri"/>
      </rPr>
      <t>习惯，我们应该尊重不同文化的风俗。</t>
    </r>
  </si>
  <si>
    <t>Mỗi quốc gia đều có phong tục tập quán riêng, chúng ta nên tôn trọng phong tục của các nền văn hóa khác nhau.</t>
  </si>
  <si>
    <t>H5_B6_BG-06.png</t>
  </si>
  <si>
    <t>B6-06.mp3</t>
  </si>
  <si>
    <t>赶紧</t>
  </si>
  <si>
    <t>&lt;ruby&gt;赶紧&lt;rt&gt;gănjǐn&lt;/rt&gt;&lt;/ruby&gt;</t>
  </si>
  <si>
    <t>gănjǐn</t>
  </si>
  <si>
    <t>ngay lập tức</t>
  </si>
  <si>
    <r>
      <rPr>
        <sz val="11"/>
        <color rgb="FF000000"/>
        <rFont val="Calibri"/>
      </rPr>
      <t>知道考试快开始了，他</t>
    </r>
    <r>
      <rPr>
        <b/>
        <sz val="11"/>
        <color rgb="FF000000"/>
        <rFont val="Calibri"/>
      </rPr>
      <t>赶紧</t>
    </r>
    <r>
      <rPr>
        <sz val="11"/>
        <color rgb="FF000000"/>
        <rFont val="Calibri"/>
      </rPr>
      <t>复习。</t>
    </r>
  </si>
  <si>
    <t>Biết kỳ thi sắp bắt đầu, cậu ấy liền ôn tập ngay lập tức.</t>
  </si>
  <si>
    <t>H5_B6_BG-07.png</t>
  </si>
  <si>
    <t>B6-07.mp3</t>
  </si>
  <si>
    <t>杀</t>
  </si>
  <si>
    <t>&lt;ruby&gt;杀&lt;rt&gt;shā&lt;/rt&gt;&lt;/ruby&gt;</t>
  </si>
  <si>
    <t>shā</t>
  </si>
  <si>
    <t>giết</t>
  </si>
  <si>
    <r>
      <rPr>
        <sz val="11"/>
        <color rgb="FF000000"/>
        <rFont val="Calibri"/>
      </rPr>
      <t>他为了保护自己，不得不</t>
    </r>
    <r>
      <rPr>
        <b/>
        <sz val="11"/>
        <color rgb="FF000000"/>
        <rFont val="Calibri"/>
      </rPr>
      <t>杀</t>
    </r>
    <r>
      <rPr>
        <sz val="11"/>
        <color rgb="FF000000"/>
        <rFont val="Calibri"/>
      </rPr>
      <t>死那只野兽。</t>
    </r>
  </si>
  <si>
    <t>Anh ấy buộc phải giết con thú hoang để bảo vệ bản thân.</t>
  </si>
  <si>
    <t>H5_B6_BG-08.png</t>
  </si>
  <si>
    <t>B6-08.mp3</t>
  </si>
  <si>
    <t>射（击）</t>
  </si>
  <si>
    <t>&lt;ruby&gt;射（击）&lt;rt&gt;shè (jī)&lt;/rt&gt;&lt;/ruby&gt;</t>
  </si>
  <si>
    <t>shè (jī)</t>
  </si>
  <si>
    <t>bắn</t>
  </si>
  <si>
    <r>
      <rPr>
        <sz val="10"/>
        <color theme="1"/>
        <rFont val="Calibri"/>
      </rPr>
      <t>他在比赛中</t>
    </r>
    <r>
      <rPr>
        <b/>
        <sz val="10"/>
        <color theme="1"/>
        <rFont val="Calibri"/>
      </rPr>
      <t>射</t>
    </r>
    <r>
      <rPr>
        <sz val="10"/>
        <color theme="1"/>
        <rFont val="Calibri"/>
      </rPr>
      <t>箭非常出色，赢得了冠军。</t>
    </r>
  </si>
  <si>
    <t>Anh ấy bắn cung rất xuất sắc trong cuộc thi và đã giành được chức vô địch.</t>
  </si>
  <si>
    <t>H5_B6_BG-09.png</t>
  </si>
  <si>
    <t>B6-09.mp3</t>
  </si>
  <si>
    <t>守岁</t>
  </si>
  <si>
    <t>&lt;ruby&gt;守岁&lt;rt&gt;shǒusuì&lt;/rt&gt;&lt;/ruby&gt;</t>
  </si>
  <si>
    <t>shǒusuì</t>
  </si>
  <si>
    <t>đón giao thừa</t>
  </si>
  <si>
    <r>
      <rPr>
        <sz val="10"/>
        <color theme="1"/>
        <rFont val="Calibri"/>
      </rPr>
      <t>我们全家一起看烟花</t>
    </r>
    <r>
      <rPr>
        <b/>
        <sz val="10"/>
        <color theme="1"/>
        <rFont val="Calibri"/>
      </rPr>
      <t>守岁</t>
    </r>
    <r>
      <rPr>
        <sz val="10"/>
        <color theme="1"/>
        <rFont val="Calibri"/>
      </rPr>
      <t>。</t>
    </r>
  </si>
  <si>
    <t>Cả nhà chúng tôi cùng nhau xem pháo hoa đón giao thừa.</t>
  </si>
  <si>
    <t>H5_B6_BG-10.png</t>
  </si>
  <si>
    <t>B6-10.mp3</t>
  </si>
  <si>
    <t>逃</t>
  </si>
  <si>
    <t>&lt;ruby&gt;逃&lt;rt&gt;táo&lt;/rt&gt;&lt;/ruby&gt;</t>
  </si>
  <si>
    <t>táo</t>
  </si>
  <si>
    <t>chạy trốn</t>
  </si>
  <si>
    <r>
      <rPr>
        <sz val="10"/>
        <color theme="1"/>
        <rFont val="Calibri"/>
      </rPr>
      <t>他在车着火之前</t>
    </r>
    <r>
      <rPr>
        <b/>
        <sz val="10"/>
        <color theme="1"/>
        <rFont val="Calibri"/>
      </rPr>
      <t>逃</t>
    </r>
    <r>
      <rPr>
        <sz val="10"/>
        <color theme="1"/>
        <rFont val="Calibri"/>
      </rPr>
      <t>了出来。</t>
    </r>
  </si>
  <si>
    <t>Anh ấy đã thoát khỏi xe hơi, tước khi nó bị cháy.</t>
  </si>
  <si>
    <t>H5_B6_BG-11.png</t>
  </si>
  <si>
    <t>B6-11.mp3</t>
  </si>
  <si>
    <t>（代）替</t>
  </si>
  <si>
    <t>&lt;ruby&gt;（代）替&lt;rt&gt;(dài) tì&lt;/rt&gt;&lt;/ruby&gt;</t>
  </si>
  <si>
    <t>(dài) tì</t>
  </si>
  <si>
    <t>thay thế</t>
  </si>
  <si>
    <r>
      <rPr>
        <sz val="10"/>
        <color theme="1"/>
        <rFont val="Calibri"/>
      </rPr>
      <t>黄老师生病了，今天的课由李老师</t>
    </r>
    <r>
      <rPr>
        <b/>
        <sz val="10"/>
        <color theme="1"/>
        <rFont val="Calibri"/>
      </rPr>
      <t>代替</t>
    </r>
    <r>
      <rPr>
        <sz val="10"/>
        <color theme="1"/>
        <rFont val="Calibri"/>
      </rPr>
      <t>他讲授。</t>
    </r>
  </si>
  <si>
    <t>Thầy Hoàng bị ốm rồi, hôm nay bài giảng sẽ do cô Lý thay thầy ấy giảng dạy.</t>
  </si>
  <si>
    <t>H5_B6_BG-12.png</t>
  </si>
  <si>
    <t>B6-12.mp3</t>
  </si>
  <si>
    <t>制造</t>
  </si>
  <si>
    <t>&lt;ruby&gt;制造&lt;rt&gt;zhìzào&lt;/rt&gt;&lt;/ruby&gt;</t>
  </si>
  <si>
    <t>zhìzào</t>
  </si>
  <si>
    <t>gây ra, sản xuất</t>
  </si>
  <si>
    <r>
      <rPr>
        <sz val="10"/>
        <color theme="1"/>
        <rFont val="Calibri"/>
      </rPr>
      <t>这场火灾</t>
    </r>
    <r>
      <rPr>
        <b/>
        <sz val="10"/>
        <color theme="1"/>
        <rFont val="Calibri"/>
      </rPr>
      <t>制造</t>
    </r>
    <r>
      <rPr>
        <sz val="10"/>
        <color theme="1"/>
        <rFont val="Calibri"/>
      </rPr>
      <t>了很大的损失，对我们家影响很大。</t>
    </r>
  </si>
  <si>
    <t>Hỏa hoạn này đã gây ra rất nhiều thiệt hại đối với gia đình tôi.</t>
  </si>
  <si>
    <t>H5_B6_BG-13.png</t>
  </si>
  <si>
    <t>B6-13.mp3</t>
  </si>
  <si>
    <t>追</t>
  </si>
  <si>
    <t>&lt;ruby&gt;追&lt;rt&gt;zhuī&lt;/rt&gt;&lt;/ruby&gt;</t>
  </si>
  <si>
    <t>zhuī</t>
  </si>
  <si>
    <t>đuổi theo</t>
  </si>
  <si>
    <r>
      <rPr>
        <sz val="11"/>
        <color rgb="FF000000"/>
        <rFont val="Calibri"/>
      </rPr>
      <t>孩子们在操场上</t>
    </r>
    <r>
      <rPr>
        <b/>
        <sz val="11"/>
        <color rgb="FF000000"/>
        <rFont val="Calibri"/>
      </rPr>
      <t>追</t>
    </r>
    <r>
      <rPr>
        <sz val="11"/>
        <color rgb="FF000000"/>
        <rFont val="Calibri"/>
      </rPr>
      <t>来</t>
    </r>
    <r>
      <rPr>
        <b/>
        <sz val="11"/>
        <color rgb="FF000000"/>
        <rFont val="Calibri"/>
      </rPr>
      <t>追</t>
    </r>
    <r>
      <rPr>
        <sz val="11"/>
        <color rgb="FF000000"/>
        <rFont val="Calibri"/>
      </rPr>
      <t>去，笑得特别开心。</t>
    </r>
  </si>
  <si>
    <t>Lũ trẻ đuổi nhau trên sân chơi, cười đùa vô cùng vui vẻ!</t>
  </si>
  <si>
    <t>H5_B6_BG-14.png</t>
  </si>
  <si>
    <t>B6-14.mp3</t>
  </si>
  <si>
    <t>农历</t>
  </si>
  <si>
    <t>&lt;ruby&gt;农历&lt;rt&gt;nónglì&lt;/rt&gt;&lt;/ruby&gt;</t>
  </si>
  <si>
    <t>nónglì</t>
  </si>
  <si>
    <t>âm lịch, Nông lịch</t>
  </si>
  <si>
    <r>
      <rPr>
        <sz val="11"/>
        <color rgb="FF000000"/>
        <rFont val="Calibri"/>
      </rPr>
      <t>农历五月初五是端午节，大家都会吃</t>
    </r>
    <r>
      <rPr>
        <b/>
        <sz val="11"/>
        <color rgb="FF000000"/>
        <rFont val="Calibri"/>
      </rPr>
      <t>粽子</t>
    </r>
    <r>
      <rPr>
        <sz val="11"/>
        <color rgb="FF000000"/>
        <rFont val="Calibri"/>
      </rPr>
      <t>。</t>
    </r>
  </si>
  <si>
    <t>Ngày 5 tháng 5 âm lịch là Tết Đoan Ngọ, mọi người đều ăn bánh ú.</t>
  </si>
  <si>
    <t>H5_B6_BG-15.png</t>
  </si>
  <si>
    <t>B6-15.mp3</t>
  </si>
  <si>
    <t>此外</t>
  </si>
  <si>
    <t>&lt;ruby&gt;此外&lt;rt&gt;cǐwài&lt;/rt&gt;&lt;/ruby&gt;</t>
  </si>
  <si>
    <t>cǐwài</t>
  </si>
  <si>
    <t>ngoài ra, hơn nữa</t>
  </si>
  <si>
    <r>
      <rPr>
        <sz val="10"/>
        <color theme="1"/>
        <rFont val="Calibri"/>
      </rPr>
      <t>他很喜欢运动，</t>
    </r>
    <r>
      <rPr>
        <b/>
        <sz val="10"/>
        <color theme="1"/>
        <rFont val="Calibri"/>
      </rPr>
      <t>此外</t>
    </r>
    <r>
      <rPr>
        <sz val="10"/>
        <color theme="1"/>
        <rFont val="Calibri"/>
      </rPr>
      <t>也很喜欢唱歌和弹琴。</t>
    </r>
  </si>
  <si>
    <t>Anh ấy rất thích chơi thể thao, ngoài ra anh ấy cũng rất thích đàn hát.</t>
  </si>
  <si>
    <t>H5_B6_BG-16.png</t>
  </si>
  <si>
    <t>B6-16.mp3</t>
  </si>
  <si>
    <t>姑娘</t>
  </si>
  <si>
    <t>&lt;ruby&gt;姑娘&lt;rt&gt;gūniang&lt;/rt&gt;&lt;/ruby&gt;</t>
  </si>
  <si>
    <t>gūniang</t>
  </si>
  <si>
    <t>cô gái, thiếu nữ</t>
  </si>
  <si>
    <r>
      <rPr>
        <sz val="10"/>
        <color theme="1"/>
        <rFont val="Calibri"/>
      </rPr>
      <t>曾经的小女孩，现在已经成为一位漂亮的</t>
    </r>
    <r>
      <rPr>
        <b/>
        <sz val="10"/>
        <color theme="1"/>
        <rFont val="Calibri"/>
      </rPr>
      <t>姑娘</t>
    </r>
    <r>
      <rPr>
        <sz val="10"/>
        <color theme="1"/>
        <rFont val="Calibri"/>
      </rPr>
      <t>。</t>
    </r>
  </si>
  <si>
    <t>Cô bé ngày nào, giờ đã thành thiếu nữ.</t>
  </si>
  <si>
    <t>H5_B6_BG-17.png</t>
  </si>
  <si>
    <t>B6-17.mp3</t>
  </si>
  <si>
    <t>锅</t>
  </si>
  <si>
    <t>&lt;ruby&gt;锅&lt;rt&gt;guō&lt;/rt&gt;&lt;/ruby&gt;</t>
  </si>
  <si>
    <t>guō</t>
  </si>
  <si>
    <t>(cái) nồi</t>
  </si>
  <si>
    <r>
      <rPr>
        <sz val="10"/>
        <color theme="1"/>
        <rFont val="Calibri"/>
      </rPr>
      <t>妈妈正在用</t>
    </r>
    <r>
      <rPr>
        <b/>
        <sz val="10"/>
        <color theme="1"/>
        <rFont val="Calibri"/>
      </rPr>
      <t>锅</t>
    </r>
    <r>
      <rPr>
        <sz val="10"/>
        <color theme="1"/>
        <rFont val="Calibri"/>
      </rPr>
      <t>煮汤，香味飘满了整个厨房。</t>
    </r>
  </si>
  <si>
    <t>Mẹ đang dùng nồi nấu canh, hương thơm lan tỏa khắp cả bếp.</t>
  </si>
  <si>
    <t>H5_B6_BG-18.png</t>
  </si>
  <si>
    <t>B6-18.mp3</t>
  </si>
  <si>
    <t>盆（子）</t>
  </si>
  <si>
    <t>&lt;ruby&gt;盆（子）&lt;rt&gt;pén (zi)&lt;/rt&gt;&lt;/ruby&gt;</t>
  </si>
  <si>
    <t>pén (zi)</t>
  </si>
  <si>
    <t>chậu, bồn</t>
  </si>
  <si>
    <r>
      <rPr>
        <sz val="10"/>
        <color rgb="FF0E0E0E"/>
        <rFont val="Calibri"/>
      </rPr>
      <t>他拿着一个</t>
    </r>
    <r>
      <rPr>
        <b/>
        <sz val="10"/>
        <color rgb="FF0E0E0E"/>
        <rFont val="Calibri"/>
      </rPr>
      <t>盆子</t>
    </r>
    <r>
      <rPr>
        <sz val="10"/>
        <color rgb="FF0E0E0E"/>
        <rFont val="Calibri"/>
      </rPr>
      <t>去打水。</t>
    </r>
  </si>
  <si>
    <t>Anh ấy cầm một cái chậu đi lấy nước.</t>
  </si>
  <si>
    <t>H5_B6_BG-19.png</t>
  </si>
  <si>
    <t>B6-19.mp3</t>
  </si>
  <si>
    <t>外公</t>
  </si>
  <si>
    <t>&lt;ruby&gt;外公&lt;rt&gt;wàigōng&lt;/rt&gt;&lt;/ruby&gt;</t>
  </si>
  <si>
    <t>wàigōng</t>
  </si>
  <si>
    <t>ông ngoại</t>
  </si>
  <si>
    <r>
      <rPr>
        <sz val="11"/>
        <color rgb="FF000000"/>
        <rFont val="Calibri"/>
      </rPr>
      <t>每个周末我都会去看望</t>
    </r>
    <r>
      <rPr>
        <b/>
        <sz val="11"/>
        <color rgb="FF000000"/>
        <rFont val="Calibri"/>
      </rPr>
      <t>外公</t>
    </r>
    <r>
      <rPr>
        <sz val="11"/>
        <color rgb="FF000000"/>
        <rFont val="Calibri"/>
      </rPr>
      <t>。</t>
    </r>
  </si>
  <si>
    <t>Mỗi cuối tuần, tôi đều đến thăm ông ngoại.</t>
  </si>
  <si>
    <t>H5_B6_BG-20.png</t>
  </si>
  <si>
    <t>B6-20.mp3</t>
  </si>
  <si>
    <t>影子</t>
  </si>
  <si>
    <t>&lt;ruby&gt;影子&lt;rt&gt;yǐngzi&lt;/rt&gt;&lt;/ruby&gt;</t>
  </si>
  <si>
    <t>yǐngzi</t>
  </si>
  <si>
    <t>bóng dáng</t>
  </si>
  <si>
    <r>
      <rPr>
        <sz val="10"/>
        <color theme="1"/>
        <rFont val="Calibri"/>
      </rPr>
      <t>在镜子里，我看到自己的</t>
    </r>
    <r>
      <rPr>
        <b/>
        <sz val="10"/>
        <color theme="1"/>
        <rFont val="Calibri"/>
      </rPr>
      <t>影子</t>
    </r>
    <r>
      <rPr>
        <sz val="10"/>
        <color theme="1"/>
        <rFont val="Calibri"/>
      </rPr>
      <t>，觉得像是另一个人。</t>
    </r>
  </si>
  <si>
    <t>Trong gương, tôi thấy bóng dáng của mình, cảm giác như là một người khác.</t>
  </si>
  <si>
    <t>H5_B6_BG-21.png</t>
  </si>
  <si>
    <t>B6-21.mp3</t>
  </si>
  <si>
    <t>灾害</t>
  </si>
  <si>
    <t>&lt;ruby&gt;灾害&lt;rt&gt;zāihài&lt;/rt&gt;&lt;/ruby&gt;</t>
  </si>
  <si>
    <t>zāihài</t>
  </si>
  <si>
    <t>tai họa</t>
  </si>
  <si>
    <r>
      <rPr>
        <sz val="10"/>
        <color theme="1"/>
        <rFont val="Calibri"/>
      </rPr>
      <t>这场台风造成了严重的</t>
    </r>
    <r>
      <rPr>
        <b/>
        <sz val="10"/>
        <color theme="1"/>
        <rFont val="Calibri"/>
      </rPr>
      <t>灾害</t>
    </r>
    <r>
      <rPr>
        <sz val="10"/>
        <color theme="1"/>
        <rFont val="Calibri"/>
      </rPr>
      <t>，许多人失去了家园。</t>
    </r>
  </si>
  <si>
    <t>Cơn bão này gây ra tai họa nghiêm trọng, nhiều người đã mất nhà cửa.</t>
  </si>
  <si>
    <t>H5_B6_BG-22.png</t>
  </si>
  <si>
    <t>B6-22.mp3</t>
  </si>
  <si>
    <t>整个</t>
  </si>
  <si>
    <t>&lt;ruby&gt;整个&lt;rt&gt;zhěnggè&lt;/rt&gt;&lt;/ruby&gt;</t>
  </si>
  <si>
    <t>zhěnggè</t>
  </si>
  <si>
    <t>cả</t>
  </si>
  <si>
    <r>
      <rPr>
        <b/>
        <sz val="10"/>
        <color theme="1"/>
        <rFont val="Calibri"/>
      </rPr>
      <t>整个</t>
    </r>
    <r>
      <rPr>
        <sz val="10"/>
        <color theme="1"/>
        <rFont val="Calibri"/>
      </rPr>
      <t>城市都被大雪覆盖，街道上非常安静。</t>
    </r>
  </si>
  <si>
    <t>Toàn thành phố đều bị tuyết lớn phủ kín, trên các con phố rất yên tĩnh.</t>
  </si>
  <si>
    <t>H5_B6_BG-23.png</t>
  </si>
  <si>
    <t>B6-23.mp3</t>
  </si>
  <si>
    <t>由来</t>
  </si>
  <si>
    <t>&lt;ruby&gt;由来&lt;rt&gt;yóulái &lt;/rt&gt;&lt;/ruby&gt;</t>
  </si>
  <si>
    <t xml:space="preserve">yóulái </t>
  </si>
  <si>
    <t>nguồn gốc</t>
  </si>
  <si>
    <r>
      <rPr>
        <sz val="10"/>
        <color theme="1"/>
        <rFont val="Calibri"/>
      </rPr>
      <t>这座古庙有着悠久的</t>
    </r>
    <r>
      <rPr>
        <b/>
        <sz val="10"/>
        <color theme="1"/>
        <rFont val="Calibri"/>
      </rPr>
      <t>由来</t>
    </r>
    <r>
      <rPr>
        <sz val="10"/>
        <color theme="1"/>
        <rFont val="Calibri"/>
      </rPr>
      <t>，是几百年来的宗教中心。</t>
    </r>
  </si>
  <si>
    <t>Ngôi chùa cổ này có nguồn gốc lâu dài, là trung tâm tôn giáo từ hàng trăm năm trước</t>
  </si>
  <si>
    <t>H5_B6_BG-24.png</t>
  </si>
  <si>
    <t>B6-24.mp3</t>
  </si>
  <si>
    <t>怪物</t>
  </si>
  <si>
    <t>&lt;ruby&gt;怪物&lt;rt&gt;guàiwù&lt;/rt&gt;&lt;/ruby&gt;</t>
  </si>
  <si>
    <t>guàiwù</t>
  </si>
  <si>
    <t>quái vật</t>
  </si>
  <si>
    <r>
      <rPr>
        <sz val="10"/>
        <color theme="1"/>
        <rFont val="Calibri"/>
      </rPr>
      <t>电影里的</t>
    </r>
    <r>
      <rPr>
        <b/>
        <sz val="10"/>
        <color theme="1"/>
        <rFont val="Calibri"/>
      </rPr>
      <t>怪物</t>
    </r>
    <r>
      <rPr>
        <sz val="10"/>
        <color theme="1"/>
        <rFont val="Calibri"/>
      </rPr>
      <t>非常可怕，所有人都被吓坏了。</t>
    </r>
  </si>
  <si>
    <t>Con quái vật trong bộ phim rất đáng sợ, mọi người đều bị nó làm cho hoảng sợ.</t>
  </si>
  <si>
    <t>H5_B6_BG-25.png</t>
  </si>
  <si>
    <t>B6-25.mp3</t>
  </si>
  <si>
    <t>箭</t>
  </si>
  <si>
    <t>&lt;ruby&gt;箭&lt;rt&gt;jiàn&lt;/rt&gt;&lt;/ruby&gt;</t>
  </si>
  <si>
    <t>mũi tên</t>
  </si>
  <si>
    <r>
      <rPr>
        <sz val="10"/>
        <color rgb="FF0E0E0E"/>
        <rFont val="Calibri"/>
      </rPr>
      <t>这支</t>
    </r>
    <r>
      <rPr>
        <b/>
        <sz val="10"/>
        <color rgb="FF0E0E0E"/>
        <rFont val="Calibri"/>
      </rPr>
      <t>箭</t>
    </r>
    <r>
      <rPr>
        <sz val="10"/>
        <color rgb="FF0E0E0E"/>
        <rFont val="Calibri"/>
      </rPr>
      <t>的设计非常精美，看起来像一件艺术品。</t>
    </r>
  </si>
  <si>
    <t>Mũi tên này được thiết kế rất tinh xảo, trông giống như một tác phẩm nghệ thuật.</t>
  </si>
  <si>
    <t>H5_B6_BG-26.png</t>
  </si>
  <si>
    <t>B6-26.mp3</t>
  </si>
  <si>
    <t>英雄</t>
  </si>
  <si>
    <t>&lt;ruby&gt;英雄&lt;rt&gt;yīngxióng&lt;/rt&gt;&lt;/ruby&gt;</t>
  </si>
  <si>
    <t>yīngxióng</t>
  </si>
  <si>
    <t>anh hùng</t>
  </si>
  <si>
    <r>
      <rPr>
        <sz val="10"/>
        <color theme="1"/>
        <rFont val="Calibri"/>
      </rPr>
      <t>他希望将来能成为一个</t>
    </r>
    <r>
      <rPr>
        <b/>
        <sz val="10"/>
        <color theme="1"/>
        <rFont val="Calibri"/>
      </rPr>
      <t>英雄</t>
    </r>
    <r>
      <rPr>
        <sz val="10"/>
        <color theme="1"/>
        <rFont val="Calibri"/>
      </rPr>
      <t>，保护大家。</t>
    </r>
  </si>
  <si>
    <t>Cậu ấy mong rằng sau này mình sẽ là anh hùng bảo vệ mọi người.</t>
  </si>
  <si>
    <t>H5_B6_BG-27.png</t>
  </si>
  <si>
    <t>B6-27.mp3</t>
  </si>
  <si>
    <t>表达</t>
  </si>
  <si>
    <t>&lt;ruby&gt;表达&lt;rt&gt;biǎodá&lt;/rt&gt;&lt;/ruby&gt;</t>
  </si>
  <si>
    <t>biǎodá</t>
  </si>
  <si>
    <t>bày tỏ, giãi bày</t>
  </si>
  <si>
    <r>
      <rPr>
        <sz val="10"/>
        <color theme="1"/>
        <rFont val="Calibri"/>
      </rPr>
      <t>我用绘画</t>
    </r>
    <r>
      <rPr>
        <b/>
        <sz val="10"/>
        <color theme="1"/>
        <rFont val="Calibri"/>
      </rPr>
      <t>表达</t>
    </r>
    <r>
      <rPr>
        <sz val="10"/>
        <color theme="1"/>
        <rFont val="Calibri"/>
      </rPr>
      <t>对大自然的热爱。</t>
    </r>
  </si>
  <si>
    <t>Tôi dùng hội họa để bày tỏ tình yêu với thiên nhiên.</t>
  </si>
  <si>
    <t>H5_B6_BG-28.png</t>
  </si>
  <si>
    <t>B6-28.mp3</t>
  </si>
  <si>
    <t>骨（头）</t>
  </si>
  <si>
    <t>&lt;ruby&gt;骨（头）&lt;rt&gt;gŭ (tou)&lt;/rt&gt;&lt;/ruby&gt;</t>
  </si>
  <si>
    <t>gŭ (tou)</t>
  </si>
  <si>
    <t>xương</t>
  </si>
  <si>
    <r>
      <rPr>
        <sz val="10"/>
        <color theme="1"/>
        <rFont val="Calibri"/>
      </rPr>
      <t>他摔倒时</t>
    </r>
    <r>
      <rPr>
        <b/>
        <sz val="10"/>
        <color theme="1"/>
        <rFont val="Calibri"/>
      </rPr>
      <t>骨头</t>
    </r>
    <r>
      <rPr>
        <sz val="10"/>
        <color theme="1"/>
        <rFont val="Calibri"/>
      </rPr>
      <t>断了，胳膊现在还在打石膏。</t>
    </r>
  </si>
  <si>
    <t>Anh ấy ngã và đập mạnh xuống đất, kết quả là bj gãy tay.</t>
  </si>
  <si>
    <t>H5_B6_BG-29.png</t>
  </si>
  <si>
    <t>B6-29.mp3</t>
  </si>
  <si>
    <t>果然</t>
  </si>
  <si>
    <t>&lt;ruby&gt;果然&lt;rt&gt;guǒrán&lt;/rt&gt;&lt;/ruby&gt;</t>
  </si>
  <si>
    <t>guǒrán</t>
  </si>
  <si>
    <t>quả nhiên</t>
  </si>
  <si>
    <r>
      <rPr>
        <b/>
        <sz val="10"/>
        <color theme="1"/>
        <rFont val="Calibri"/>
      </rPr>
      <t>果然</t>
    </r>
    <r>
      <rPr>
        <sz val="10"/>
        <color theme="1"/>
        <rFont val="Calibri"/>
      </rPr>
      <t>，他赢得了比赛，大家都为他感到骄傲。</t>
    </r>
  </si>
  <si>
    <t>Quả nhiên anh ấy đã giành chiến thắng trong cuộc thi, mọi người đều cảm thấy tự hào về anh ấy.</t>
  </si>
  <si>
    <t>H5_B6_BG-30.png</t>
  </si>
  <si>
    <t>B6-30.mp3</t>
  </si>
  <si>
    <t>恨</t>
  </si>
  <si>
    <t>&lt;ruby&gt;恨&lt;rt&gt;hèn&lt;/rt&gt;&lt;/ruby&gt;</t>
  </si>
  <si>
    <t>hèn</t>
  </si>
  <si>
    <t>oán hận, căm ghét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</si>
  <si>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恨</t>
    </r>
    <r>
      <rPr>
        <sz val="10"/>
        <color theme="1"/>
        <rFont val="Calibri"/>
      </rPr>
      <t>那只老鼠，因为它偷走了他的面包。</t>
    </r>
  </si>
  <si>
    <t>Anh ấy căm ghét con chuột đó vì nó đã ăn trộm chiếc bánh mì của anh ấy.</t>
  </si>
  <si>
    <t>H5_B6_BG-31.png</t>
  </si>
  <si>
    <t>B6-31.mp3</t>
  </si>
  <si>
    <t>伤害</t>
  </si>
  <si>
    <t>&lt;ruby&gt;伤害&lt;rt&gt;shānghài&lt;/rt&gt;&lt;/ruby&gt;</t>
  </si>
  <si>
    <t>shānghài</t>
  </si>
  <si>
    <t>làm hại</t>
  </si>
  <si>
    <r>
      <rPr>
        <sz val="10"/>
        <color theme="1"/>
        <rFont val="Calibri"/>
      </rPr>
      <t>他的话</t>
    </r>
    <r>
      <rPr>
        <b/>
        <sz val="10"/>
        <color theme="1"/>
        <rFont val="Calibri"/>
      </rPr>
      <t>伤害</t>
    </r>
    <r>
      <rPr>
        <sz val="10"/>
        <color theme="1"/>
        <rFont val="Calibri"/>
      </rPr>
      <t>了她的感情。</t>
    </r>
  </si>
  <si>
    <t>Những lời anh ấy nói đã làm tổn thương cảm xúc của cô ấy.</t>
  </si>
  <si>
    <t>H5_B6_BG-32.png</t>
  </si>
  <si>
    <t>B6-32.mp3</t>
  </si>
  <si>
    <t>似的</t>
  </si>
  <si>
    <t>&lt;ruby&gt;似的&lt;rt&gt;shide&lt;/rt&gt;&lt;/ruby&gt;</t>
  </si>
  <si>
    <t>shide</t>
  </si>
  <si>
    <t>trợ.</t>
  </si>
  <si>
    <t>(chỉ sự giống nhau) dường như, tựa như</t>
  </si>
  <si>
    <r>
      <rPr>
        <sz val="11"/>
        <color rgb="FF000000"/>
        <rFont val="Calibri"/>
      </rPr>
      <t>他跑得像风</t>
    </r>
    <r>
      <rPr>
        <b/>
        <sz val="11"/>
        <color rgb="FF000000"/>
        <rFont val="Calibri"/>
      </rPr>
      <t>似的</t>
    </r>
    <r>
      <rPr>
        <sz val="11"/>
        <color rgb="FF000000"/>
        <rFont val="Calibri"/>
      </rPr>
      <t>，完全追不上。</t>
    </r>
  </si>
  <si>
    <t>Anh ấy chạy nhanh như gió, hoàn toàn không thể đuổi kịp.</t>
  </si>
  <si>
    <t>H5_B6_BG-33.png</t>
  </si>
  <si>
    <t>B6-33.mp3</t>
  </si>
  <si>
    <t>说不定</t>
  </si>
  <si>
    <t>&lt;ruby&gt;说不定&lt;rt&gt;shuōbuding&lt;/rt&gt;&lt;/ruby&gt;</t>
  </si>
  <si>
    <t>shuōbuding</t>
  </si>
  <si>
    <t>có lẽ, có thể</t>
  </si>
  <si>
    <r>
      <rPr>
        <b/>
        <sz val="10"/>
        <color theme="1"/>
        <rFont val="Calibri"/>
      </rPr>
      <t>说不定</t>
    </r>
    <r>
      <rPr>
        <sz val="10"/>
        <color theme="1"/>
        <rFont val="Calibri"/>
      </rPr>
      <t>明天会下雨，最好带把伞。</t>
    </r>
  </si>
  <si>
    <t>Có lẽ ngày mai sẽ mưa, tốt nhất là mang theo ô.</t>
  </si>
  <si>
    <t>H5_B6_BG-34.png</t>
  </si>
  <si>
    <t>B6-34.mp3</t>
  </si>
  <si>
    <t>天真</t>
  </si>
  <si>
    <t>&lt;ruby&gt;天真&lt;rt&gt;tiānzhēn&lt;/rt&gt;&lt;/ruby&gt;</t>
  </si>
  <si>
    <t>tiānzhēn</t>
  </si>
  <si>
    <t>ngây thơ, hồn nhiên</t>
  </si>
  <si>
    <r>
      <rPr>
        <sz val="10"/>
        <color theme="1"/>
        <rFont val="Calibri"/>
      </rPr>
      <t>她</t>
    </r>
    <r>
      <rPr>
        <b/>
        <sz val="10"/>
        <color theme="1"/>
        <rFont val="Calibri"/>
      </rPr>
      <t>天真</t>
    </r>
    <r>
      <rPr>
        <sz val="10"/>
        <color theme="1"/>
        <rFont val="Calibri"/>
      </rPr>
      <t>无邪，眼里充满了对世界的好奇。</t>
    </r>
  </si>
  <si>
    <t>Cô ấy ngây thơ và trong sáng, đôi mắt đầy sự tò mò với thế giới.</t>
  </si>
  <si>
    <t>H5_B6_BG-35.png</t>
  </si>
  <si>
    <t>B6-35.mp3</t>
  </si>
  <si>
    <t>无奈</t>
  </si>
  <si>
    <t>&lt;ruby&gt;无奈&lt;rt&gt;wúnài&lt;/rt&gt;&lt;/ruby&gt;</t>
  </si>
  <si>
    <t>wúnài</t>
  </si>
  <si>
    <t>không biết làm sao, không có cách nào</t>
  </si>
  <si>
    <r>
      <rPr>
        <sz val="10"/>
        <color theme="1"/>
        <rFont val="Calibri"/>
      </rPr>
      <t>他因为无法像以前一样走路而感到</t>
    </r>
    <r>
      <rPr>
        <b/>
        <sz val="10"/>
        <color theme="1"/>
        <rFont val="Calibri"/>
      </rPr>
      <t>无奈</t>
    </r>
    <r>
      <rPr>
        <sz val="10"/>
        <color theme="1"/>
        <rFont val="Calibri"/>
      </rPr>
      <t>。</t>
    </r>
  </si>
  <si>
    <t>Anh ấy bất lực vì mình không thể đi lại như trước.</t>
  </si>
  <si>
    <t>H5_B6_BG-36.png</t>
  </si>
  <si>
    <t>B6-36.mp3</t>
  </si>
  <si>
    <t>吓</t>
  </si>
  <si>
    <t>&lt;ruby&gt;吓&lt;rt&gt;xià&lt;/rt&gt;&lt;/ruby&gt;</t>
  </si>
  <si>
    <t>làm cho khiếp sợ</t>
  </si>
  <si>
    <r>
      <rPr>
        <sz val="10"/>
        <color theme="1"/>
        <rFont val="Calibri"/>
      </rPr>
      <t>他突然从背后冒出来，</t>
    </r>
    <r>
      <rPr>
        <b/>
        <sz val="10"/>
        <color theme="1"/>
        <rFont val="Calibri"/>
      </rPr>
      <t>吓</t>
    </r>
    <r>
      <rPr>
        <sz val="10"/>
        <color theme="1"/>
        <rFont val="Calibri"/>
      </rPr>
      <t>了我一跳。</t>
    </r>
  </si>
  <si>
    <t>Anh ấy đột nhiên xuất hiện từ phía sau, làm tôi khiếp sợ.</t>
  </si>
  <si>
    <t>H5_B6_BG-37.png</t>
  </si>
  <si>
    <t>B6-37.mp3</t>
  </si>
  <si>
    <t>B6_VD_37.mp3</t>
  </si>
  <si>
    <t>询问</t>
  </si>
  <si>
    <t>&lt;ruby&gt;询问&lt;rt&gt;xúnwèn&lt;/rt&gt;&lt;/ruby&gt;</t>
  </si>
  <si>
    <t>xúnwèn</t>
  </si>
  <si>
    <t>hỏi thăm</t>
  </si>
  <si>
    <r>
      <rPr>
        <sz val="10"/>
        <color theme="1"/>
        <rFont val="Calibri"/>
      </rPr>
      <t>我想</t>
    </r>
    <r>
      <rPr>
        <b/>
        <sz val="10"/>
        <color theme="1"/>
        <rFont val="Calibri"/>
      </rPr>
      <t>询问</t>
    </r>
    <r>
      <rPr>
        <sz val="10"/>
        <color theme="1"/>
        <rFont val="Calibri"/>
      </rPr>
      <t>一下，最近有没有新的工作机会？</t>
    </r>
  </si>
  <si>
    <t>Tôi muốn hỏi thăm một chút, gần đây có cơ hội việc làm mới nào không?</t>
  </si>
  <si>
    <t>H5_B6_BG-38.png</t>
  </si>
  <si>
    <t>B6-38.mp3</t>
  </si>
  <si>
    <t>B6_VD_38.mp3</t>
  </si>
  <si>
    <t>咬</t>
  </si>
  <si>
    <t>&lt;ruby&gt;咬&lt;rt&gt;yǎo&lt;/rt&gt;&lt;/ruby&gt;</t>
  </si>
  <si>
    <t>yǎo</t>
  </si>
  <si>
    <t>cắn</t>
  </si>
  <si>
    <r>
      <rPr>
        <sz val="10"/>
        <color theme="1"/>
        <rFont val="Calibri"/>
      </rPr>
      <t>那只狗突然</t>
    </r>
    <r>
      <rPr>
        <b/>
        <sz val="10"/>
        <color theme="1"/>
        <rFont val="Calibri"/>
      </rPr>
      <t>咬</t>
    </r>
    <r>
      <rPr>
        <sz val="10"/>
        <color theme="1"/>
        <rFont val="Calibri"/>
      </rPr>
      <t>了他一口，幸好没有受伤。</t>
    </r>
  </si>
  <si>
    <t>Con chó đó đột nhiên cắn anh ấy một cái, may mà không bị thương.</t>
  </si>
  <si>
    <t>H5_B6_BG-39.png</t>
  </si>
  <si>
    <t>B6-39.mp3</t>
  </si>
  <si>
    <t>B6_VD_39.mp3</t>
  </si>
  <si>
    <t>意义</t>
  </si>
  <si>
    <t>&lt;ruby&gt;意义&lt;rt&gt;yiyi&lt;/rt&gt;&lt;/ruby&gt;</t>
  </si>
  <si>
    <t>yiyi</t>
  </si>
  <si>
    <t>ý nghĩa, tầm quan trọng</t>
  </si>
  <si>
    <r>
      <rPr>
        <sz val="11"/>
        <color rgb="FF000000"/>
        <rFont val="Calibri"/>
      </rPr>
      <t>这次旅行对我来说有着特别的</t>
    </r>
    <r>
      <rPr>
        <b/>
        <sz val="11"/>
        <color rgb="FF000000"/>
        <rFont val="Calibri"/>
      </rPr>
      <t>意义</t>
    </r>
    <r>
      <rPr>
        <sz val="11"/>
        <color rgb="FF000000"/>
        <rFont val="Calibri"/>
      </rPr>
      <t>。</t>
    </r>
  </si>
  <si>
    <t>Chuyến đi này đối với tôi có một ý nghĩa đặc biệt.</t>
  </si>
  <si>
    <t>H5_B6_BG-40.png</t>
  </si>
  <si>
    <t>B6-40.mp3</t>
  </si>
  <si>
    <t>B6_VD_40.mp3</t>
  </si>
  <si>
    <t>英俊</t>
  </si>
  <si>
    <t>&lt;ruby&gt;英俊&lt;rt&gt;yīngjùn&lt;/rt&gt;&lt;/ruby&gt;</t>
  </si>
  <si>
    <t>yīngjùn</t>
  </si>
  <si>
    <t>anh tuấn, khôi ngô</t>
  </si>
  <si>
    <r>
      <rPr>
        <sz val="10"/>
        <color theme="1"/>
        <rFont val="Calibri"/>
      </rPr>
      <t>他是个</t>
    </r>
    <r>
      <rPr>
        <b/>
        <sz val="10"/>
        <color theme="1"/>
        <rFont val="Calibri"/>
      </rPr>
      <t>英俊</t>
    </r>
    <r>
      <rPr>
        <sz val="10"/>
        <color theme="1"/>
        <rFont val="Calibri"/>
      </rPr>
      <t>的小伙子，经常吸引大家的目光。</t>
    </r>
  </si>
  <si>
    <t>Anh ấy là một chàng trai khôi ngô, thường xuyên thu hút ánh nhìn của mọi người.</t>
  </si>
  <si>
    <t>H5_B6_BG-41.png</t>
  </si>
  <si>
    <t>B6-41.mp3</t>
  </si>
  <si>
    <t>B6_VD_41.mp3</t>
  </si>
  <si>
    <t>不要紧</t>
  </si>
  <si>
    <t>&lt;ruby&gt;不要紧&lt;rt&gt;bú yàojǐn&lt;/rt&gt;&lt;/ruby&gt;</t>
  </si>
  <si>
    <t>bú yàojǐn</t>
  </si>
  <si>
    <t>không hề gì, không sao cả</t>
  </si>
  <si>
    <r>
      <rPr>
        <sz val="10"/>
        <color theme="1"/>
        <rFont val="Calibri"/>
      </rPr>
      <t>我滑了一跤，还好</t>
    </r>
    <r>
      <rPr>
        <b/>
        <sz val="10"/>
        <color theme="1"/>
        <rFont val="Calibri"/>
      </rPr>
      <t>不要紧</t>
    </r>
    <r>
      <rPr>
        <sz val="10"/>
        <color theme="1"/>
        <rFont val="Calibri"/>
      </rPr>
      <t>。</t>
    </r>
  </si>
  <si>
    <t>Tôi bị trượt chân ngã, thật may là không sao cả.</t>
  </si>
  <si>
    <t>H5_B7_BG-01.png</t>
  </si>
  <si>
    <t>根</t>
  </si>
  <si>
    <t>&lt;ruby&gt;根&lt;rt&gt;gēn&lt;/rt&gt;&lt;/ruby&gt;</t>
  </si>
  <si>
    <t xml:space="preserve">Danh từ/Lượng từ </t>
  </si>
  <si>
    <t>rễ cây, chân; (lượng từ được dùng cho vật dài và mảnh) chiếc, cái</t>
  </si>
  <si>
    <r>
      <rPr>
        <sz val="11"/>
        <color rgb="FF000000"/>
        <rFont val="Calibri"/>
      </rPr>
      <t>这棵树的</t>
    </r>
    <r>
      <rPr>
        <b/>
        <sz val="11"/>
        <color rgb="FF000000"/>
        <rFont val="Calibri"/>
      </rPr>
      <t>根</t>
    </r>
    <r>
      <rPr>
        <sz val="11"/>
        <color rgb="FF000000"/>
        <rFont val="Calibri"/>
      </rPr>
      <t>很深。</t>
    </r>
  </si>
  <si>
    <t>Rễ cây của cái cây này rất sâu.</t>
  </si>
  <si>
    <t>H5_B7_BG-02.png</t>
  </si>
  <si>
    <t>忽然</t>
  </si>
  <si>
    <t>&lt;ruby&gt;忽然&lt;rt&gt;hūrán&lt;/rt&gt;&lt;/ruby&gt;</t>
  </si>
  <si>
    <t>hūrán</t>
  </si>
  <si>
    <t>thình lình, bỗng nhiên</t>
  </si>
  <si>
    <r>
      <rPr>
        <sz val="11"/>
        <color rgb="FF000000"/>
        <rFont val="Calibri"/>
      </rPr>
      <t>我正在做饭，</t>
    </r>
    <r>
      <rPr>
        <b/>
        <sz val="11"/>
        <color rgb="FF000000"/>
        <rFont val="Calibri"/>
      </rPr>
      <t>忽然</t>
    </r>
    <r>
      <rPr>
        <sz val="11"/>
        <color rgb="FF000000"/>
        <rFont val="Calibri"/>
      </rPr>
      <t>电话响了。</t>
    </r>
  </si>
  <si>
    <t>Tôi đang nấu ăn thì bỗng nhiên điện thoại reo.</t>
  </si>
  <si>
    <t>H5_B7_BG-03.png</t>
  </si>
  <si>
    <t>胡说</t>
  </si>
  <si>
    <t>&lt;ruby&gt;胡说&lt;rt&gt;húshuō&lt;/rt&gt;&lt;/ruby&gt;</t>
  </si>
  <si>
    <t>húshuō</t>
  </si>
  <si>
    <t>nói bậy, nói bừa, nói linh tinh</t>
  </si>
  <si>
    <r>
      <rPr>
        <sz val="11"/>
        <color rgb="FF000000"/>
        <rFont val="Calibri"/>
      </rPr>
      <t>别</t>
    </r>
    <r>
      <rPr>
        <b/>
        <sz val="11"/>
        <color rgb="FF000000"/>
        <rFont val="Calibri"/>
      </rPr>
      <t>胡说</t>
    </r>
    <r>
      <rPr>
        <sz val="11"/>
        <color rgb="FF000000"/>
        <rFont val="Calibri"/>
      </rPr>
      <t>了，快去学习！</t>
    </r>
  </si>
  <si>
    <t>Đừng nói linh tinh nữa, mau đi học đi!</t>
  </si>
  <si>
    <t>H5_B7_BG-04.png</t>
  </si>
  <si>
    <t>片面</t>
  </si>
  <si>
    <t>&lt;ruby&gt;片面&lt;rt&gt;piànmiàn&lt;/rt&gt;&lt;/ruby&gt;</t>
  </si>
  <si>
    <t>piànmiàn</t>
  </si>
  <si>
    <t>phiến diện</t>
  </si>
  <si>
    <r>
      <rPr>
        <sz val="11"/>
        <color rgb="FF000000"/>
        <rFont val="Calibri"/>
      </rPr>
      <t>这篇文章很</t>
    </r>
    <r>
      <rPr>
        <b/>
        <sz val="11"/>
        <color rgb="FF000000"/>
        <rFont val="Calibri"/>
      </rPr>
      <t>片面</t>
    </r>
    <r>
      <rPr>
        <sz val="11"/>
        <color rgb="FF000000"/>
        <rFont val="Calibri"/>
      </rPr>
      <t>，缺少很多细节。</t>
    </r>
  </si>
  <si>
    <t>Bài báo này rất phiến diện, thiếu nhiều chi tiết.</t>
  </si>
  <si>
    <t>H5_B7_BG-05.png</t>
  </si>
  <si>
    <t>平</t>
  </si>
  <si>
    <t>&lt;ruby&gt;平&lt;rt&gt;píng&lt;/rt&gt;&lt;/ruby&gt;</t>
  </si>
  <si>
    <t>píng</t>
  </si>
  <si>
    <t>bằng phẳng</t>
  </si>
  <si>
    <r>
      <rPr>
        <sz val="11"/>
        <color rgb="FF000000"/>
        <rFont val="Calibri"/>
      </rPr>
      <t>这条路很</t>
    </r>
    <r>
      <rPr>
        <b/>
        <sz val="11"/>
        <color rgb="FF000000"/>
        <rFont val="Calibri"/>
      </rPr>
      <t>平</t>
    </r>
    <r>
      <rPr>
        <sz val="11"/>
        <color rgb="FF000000"/>
        <rFont val="Calibri"/>
      </rPr>
      <t>。</t>
    </r>
  </si>
  <si>
    <t>Con đường này rất bằng phẳng.</t>
  </si>
  <si>
    <t>H5_B7_BG-06.png</t>
  </si>
  <si>
    <t>善于</t>
  </si>
  <si>
    <t>&lt;ruby&gt;善于&lt;rt&gt;shànyú&lt;/rt&gt;&lt;/ruby&gt;</t>
  </si>
  <si>
    <t>shànyú</t>
  </si>
  <si>
    <t>giỏi về, có sở trường</t>
  </si>
  <si>
    <r>
      <rPr>
        <sz val="11"/>
        <color rgb="FF000000"/>
        <rFont val="Calibri"/>
      </rPr>
      <t>她很</t>
    </r>
    <r>
      <rPr>
        <b/>
        <sz val="11"/>
        <color rgb="FF000000"/>
        <rFont val="Calibri"/>
      </rPr>
      <t>善于</t>
    </r>
    <r>
      <rPr>
        <sz val="11"/>
        <color rgb="FF000000"/>
        <rFont val="Calibri"/>
      </rPr>
      <t>沟通。</t>
    </r>
  </si>
  <si>
    <t>Cô ấy giỏi về giao tiếp.</t>
  </si>
  <si>
    <t>H5_B7_BG-07.png</t>
  </si>
  <si>
    <t>瞎</t>
  </si>
  <si>
    <t>&lt;ruby&gt;瞎&lt;rt&gt;xiā&lt;/rt&gt;&lt;/ruby&gt;</t>
  </si>
  <si>
    <t>xiā</t>
  </si>
  <si>
    <t>Động từ/Phó từ</t>
  </si>
  <si>
    <t>bị mù; mù quáng, vớ vẩn</t>
  </si>
  <si>
    <r>
      <rPr>
        <sz val="11"/>
        <color rgb="FF000000"/>
        <rFont val="Calibri"/>
      </rPr>
      <t>他眼睛</t>
    </r>
    <r>
      <rPr>
        <b/>
        <sz val="11"/>
        <color rgb="FF000000"/>
        <rFont val="Calibri"/>
      </rPr>
      <t>瞎</t>
    </r>
    <r>
      <rPr>
        <sz val="11"/>
        <color rgb="FF000000"/>
        <rFont val="Calibri"/>
      </rPr>
      <t>了，但依然过得很乐观。</t>
    </r>
  </si>
  <si>
    <t>Anh ấy bị mù, nhưng vẫn sống rất lạc quan.</t>
  </si>
  <si>
    <t>H5_B7_BG-08.png</t>
  </si>
  <si>
    <t>硬</t>
  </si>
  <si>
    <t>&lt;ruby&gt;硬&lt;rt&gt;yìng&lt;/rt&gt;&lt;/ruby&gt;</t>
  </si>
  <si>
    <t>yìng</t>
  </si>
  <si>
    <t>cứng, rắn</t>
  </si>
  <si>
    <r>
      <rPr>
        <sz val="11"/>
        <color rgb="FF000000"/>
        <rFont val="Calibri"/>
      </rPr>
      <t>这块石头很</t>
    </r>
    <r>
      <rPr>
        <b/>
        <sz val="11"/>
        <color rgb="FF000000"/>
        <rFont val="Calibri"/>
      </rPr>
      <t>硬。</t>
    </r>
  </si>
  <si>
    <t>Viên đá này rất cứng.</t>
  </si>
  <si>
    <t>H5_B7_BG-09.png</t>
  </si>
  <si>
    <t>则</t>
  </si>
  <si>
    <t>&lt;ruby&gt;则&lt;rt&gt;zé&lt;/rt&gt;&lt;/ruby&gt;</t>
  </si>
  <si>
    <t>zé</t>
  </si>
  <si>
    <t>(được dùng cho bài văn chia mục hoặc tự thành đoạn) mẩu, bản</t>
  </si>
  <si>
    <r>
      <rPr>
        <sz val="10"/>
        <color rgb="FF0E0E0E"/>
        <rFont val="Calibri"/>
      </rPr>
      <t>这本书分成十</t>
    </r>
    <r>
      <rPr>
        <b/>
        <sz val="10"/>
        <color rgb="FF0E0E0E"/>
        <rFont val="Calibri"/>
      </rPr>
      <t>则</t>
    </r>
    <r>
      <rPr>
        <sz val="10"/>
        <color rgb="FF0E0E0E"/>
        <rFont val="Calibri"/>
      </rPr>
      <t>小故事。</t>
    </r>
  </si>
  <si>
    <t>Cuốn sách này được chia thành mười câu chuyện nhỏ.</t>
  </si>
  <si>
    <t>H5_B7_BG-10.png</t>
  </si>
  <si>
    <t>智慧</t>
  </si>
  <si>
    <t>&lt;ruby&gt;智慧&lt;rt&gt;zhìhuì&lt;/rt&gt;&lt;/ruby&gt;</t>
  </si>
  <si>
    <t>zhìhuì</t>
  </si>
  <si>
    <t>trí tuệ, sự sáng suốt</t>
  </si>
  <si>
    <r>
      <rPr>
        <sz val="11"/>
        <color rgb="FF000000"/>
        <rFont val="Calibri"/>
      </rPr>
      <t>他的</t>
    </r>
    <r>
      <rPr>
        <b/>
        <sz val="11"/>
        <color rgb="FF000000"/>
        <rFont val="Calibri"/>
      </rPr>
      <t>智慧</t>
    </r>
    <r>
      <rPr>
        <sz val="11"/>
        <color rgb="FF000000"/>
        <rFont val="Calibri"/>
      </rPr>
      <t>帮我们解决了很多难题。</t>
    </r>
  </si>
  <si>
    <t>Trí tuệ của anh ấy đã giúp chúng tôi giải quyết nhiều vấn đề khó khăn.</t>
  </si>
  <si>
    <t>H5_B7_BG-11.png</t>
  </si>
  <si>
    <t>姿势</t>
  </si>
  <si>
    <t>&lt;ruby&gt;姿势&lt;rt&gt;zīshì&lt;/rt&gt;&lt;/ruby&gt;</t>
  </si>
  <si>
    <t>zīshì</t>
  </si>
  <si>
    <t>tư thế</t>
  </si>
  <si>
    <r>
      <rPr>
        <sz val="11"/>
        <color rgb="FF000000"/>
        <rFont val="Calibri"/>
      </rPr>
      <t>他的</t>
    </r>
    <r>
      <rPr>
        <b/>
        <sz val="11"/>
        <color rgb="FF000000"/>
        <rFont val="Calibri"/>
      </rPr>
      <t>姿势</t>
    </r>
    <r>
      <rPr>
        <sz val="11"/>
        <color rgb="FF000000"/>
        <rFont val="Calibri"/>
      </rPr>
      <t>很放松，看起来很舒服。</t>
    </r>
  </si>
  <si>
    <t>Tư thế của anh ấy rất thư giãn, trông rất thoải mái.</t>
  </si>
  <si>
    <t>H5_B7_BG-12.png</t>
  </si>
  <si>
    <t>盲人</t>
  </si>
  <si>
    <t>&lt;ruby&gt;盲人&lt;rt&gt;mángrén&lt;/rt&gt;&lt;/ruby&gt;</t>
  </si>
  <si>
    <t>mángrén</t>
  </si>
  <si>
    <t>người mù</t>
  </si>
  <si>
    <r>
      <rPr>
        <sz val="11"/>
        <color rgb="FF000000"/>
        <rFont val="Calibri"/>
      </rPr>
      <t>在公共场所，我们应该帮助</t>
    </r>
    <r>
      <rPr>
        <b/>
        <sz val="11"/>
        <color rgb="FF000000"/>
        <rFont val="Calibri"/>
      </rPr>
      <t>盲人</t>
    </r>
    <r>
      <rPr>
        <sz val="11"/>
        <color rgb="FF000000"/>
        <rFont val="Calibri"/>
      </rPr>
      <t>过马路。</t>
    </r>
  </si>
  <si>
    <t>Ở nơi công cộng, chúng ta nên giúp đỡ người mù qua đường.</t>
  </si>
  <si>
    <t>H5_B7_BG-13.png</t>
  </si>
  <si>
    <t>精诚所至，金石为开</t>
  </si>
  <si>
    <t>&lt;ruby&gt;精诚所至，金石为开&lt;rt&gt;jīngchéng suǒzhì, jīnshí wéi kāi&lt;/rt&gt;&lt;/ruby&gt;</t>
  </si>
  <si>
    <t>jīngchéng suǒzhì, jīnshí wéi kāi</t>
  </si>
  <si>
    <t>lòng thành cảm động đất trời, đá vàng cũng phải vỡ (chỉ cần thành tâm làm hết sức mình thì có thể giải quyết được mọi vấn đề nan giải)</t>
  </si>
  <si>
    <r>
      <rPr>
        <sz val="11"/>
        <color rgb="FF000000"/>
        <rFont val="Calibri"/>
      </rPr>
      <t>只要你</t>
    </r>
    <r>
      <rPr>
        <b/>
        <sz val="11"/>
        <color rgb="FF000000"/>
        <rFont val="Calibri"/>
      </rPr>
      <t>精诚所至，金石为开</t>
    </r>
    <r>
      <rPr>
        <sz val="11"/>
        <color rgb="FF000000"/>
        <rFont val="Calibri"/>
      </rPr>
      <t>，任何困难都能克服。</t>
    </r>
  </si>
  <si>
    <t>Chỉ cần bạn làm hết lòng, mọi khó khăn đều có thể vượt qua.</t>
  </si>
  <si>
    <t>H5_B7_BG-14.png</t>
  </si>
  <si>
    <t>哎</t>
  </si>
  <si>
    <t>&lt;ruby&gt;哎&lt;rt&gt;āi&lt;/rt&gt;&lt;/ruby&gt;</t>
  </si>
  <si>
    <t>āi</t>
  </si>
  <si>
    <t>Từ cảm thán</t>
  </si>
  <si>
    <t>(được dùng để diễn tả sự ngạc nhiên hoặc sự không hài lòng) ái chà, trời ơi</t>
  </si>
  <si>
    <r>
      <rPr>
        <b/>
        <sz val="10"/>
        <color theme="1"/>
        <rFont val="Calibri"/>
      </rPr>
      <t>哎</t>
    </r>
    <r>
      <rPr>
        <sz val="10"/>
        <color theme="1"/>
        <rFont val="Calibri"/>
      </rPr>
      <t>！我的衣服被风吹走了！</t>
    </r>
  </si>
  <si>
    <t>Trời ơi! Quần áo của tôi bị gió thổi bay rồi!</t>
  </si>
  <si>
    <t>H5_B7_BG-15.png</t>
  </si>
  <si>
    <t>唉</t>
  </si>
  <si>
    <t>&lt;ruby&gt;唉&lt;rt&gt;ài&lt;/rt&gt;&lt;/ruby&gt;</t>
  </si>
  <si>
    <t xml:space="preserve">Từ cảm thán </t>
  </si>
  <si>
    <t>(được dùng để diễn tả sự thương cảm hoặc hối tiếc) ôi, than ôi, chao ơi</t>
  </si>
  <si>
    <r>
      <rPr>
        <b/>
        <sz val="11"/>
        <color rgb="FF000000"/>
        <rFont val="Calibri"/>
      </rPr>
      <t>唉</t>
    </r>
    <r>
      <rPr>
        <sz val="11"/>
        <color rgb="FF000000"/>
        <rFont val="Calibri"/>
      </rPr>
      <t>，我忘了带手机。</t>
    </r>
  </si>
  <si>
    <t>Ôi, tôi quên mang điện thoại rồi.</t>
  </si>
  <si>
    <t>H5_B7_BG-16.png</t>
  </si>
  <si>
    <t>摆</t>
  </si>
  <si>
    <t>&lt;ruby&gt;摆&lt;rt&gt;bǎi&lt;/rt&gt;&lt;/ruby&gt;</t>
  </si>
  <si>
    <t>bày biện, sắp đặt (tư thế)</t>
  </si>
  <si>
    <r>
      <rPr>
        <sz val="11"/>
        <color rgb="FF000000"/>
        <rFont val="Calibri"/>
      </rPr>
      <t>她把花瓶</t>
    </r>
    <r>
      <rPr>
        <b/>
        <sz val="11"/>
        <color rgb="FF000000"/>
        <rFont val="Calibri"/>
      </rPr>
      <t>摆</t>
    </r>
    <r>
      <rPr>
        <sz val="11"/>
        <color rgb="FF000000"/>
        <rFont val="Calibri"/>
      </rPr>
      <t>在桌子上。</t>
    </r>
  </si>
  <si>
    <t>Cô ấy bày biện bình hoa trên bàn.</t>
  </si>
  <si>
    <t>H5_B7_BG-17.png</t>
  </si>
  <si>
    <t>便</t>
  </si>
  <si>
    <t>&lt;ruby&gt;便&lt;rt&gt;biàn&lt;/rt&gt;&lt;/ruby&gt;</t>
  </si>
  <si>
    <t>(được dùng để chỉ việc gì xảy ra một cách tự nhiên trong điều kiện hoặc tình huống nào đó) thì, liền, bèn, là</t>
  </si>
  <si>
    <r>
      <rPr>
        <sz val="11"/>
        <color rgb="FF000000"/>
        <rFont val="Calibri"/>
      </rPr>
      <t>学完后，我</t>
    </r>
    <r>
      <rPr>
        <b/>
        <sz val="11"/>
        <color rgb="FF000000"/>
        <rFont val="Calibri"/>
      </rPr>
      <t>便</t>
    </r>
    <r>
      <rPr>
        <sz val="11"/>
        <color rgb="FF000000"/>
        <rFont val="Calibri"/>
      </rPr>
      <t>帮妈妈做家务。</t>
    </r>
  </si>
  <si>
    <t>Sau khi học xong, tôi liền giúp mẹ làm việc nhà.</t>
  </si>
  <si>
    <t>H5_B7_BG-18.png</t>
  </si>
  <si>
    <t>称</t>
  </si>
  <si>
    <t>&lt;ruby&gt;称&lt;rt&gt;chēng&lt;/rt&gt;&lt;/ruby&gt;</t>
  </si>
  <si>
    <t>chēng</t>
  </si>
  <si>
    <t>gọi là, tán dương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</si>
  <si>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称</t>
    </r>
    <r>
      <rPr>
        <sz val="11"/>
        <color rgb="FF000000"/>
        <rFont val="Calibri"/>
      </rPr>
      <t>赞了她的努力。</t>
    </r>
  </si>
  <si>
    <t>Anh ấy tán dương sự nỗ lực của cô ấy.</t>
  </si>
  <si>
    <t>H5_B7_BG-19.png</t>
  </si>
  <si>
    <t>蹲</t>
  </si>
  <si>
    <t>&lt;ruby&gt;蹲&lt;rt&gt;dūn&lt;/rt&gt;&lt;/ruby&gt;</t>
  </si>
  <si>
    <t>dūn</t>
  </si>
  <si>
    <t>ngồi xổm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</si>
  <si>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蹲</t>
    </r>
    <r>
      <rPr>
        <sz val="11"/>
        <color rgb="FF000000"/>
        <rFont val="Calibri"/>
      </rPr>
      <t>在地上看那只猫。</t>
    </r>
  </si>
  <si>
    <t>Anh ấy ngồi xổm trên đất ngắm con mèo.</t>
  </si>
  <si>
    <t>H5_B7_BG-20.png</t>
  </si>
  <si>
    <t>反应</t>
  </si>
  <si>
    <t>&lt;ruby&gt;反应&lt;rt&gt;fǎnyìng&lt;/rt&gt;&lt;/ruby&gt;</t>
  </si>
  <si>
    <t>phản ứng; sự phản ứng</t>
  </si>
  <si>
    <r>
      <rPr>
        <sz val="11"/>
        <color rgb="FF000000"/>
        <rFont val="Calibri"/>
      </rPr>
      <t>看到这张照片时，他的</t>
    </r>
    <r>
      <rPr>
        <b/>
        <sz val="11"/>
        <color rgb="FF000000"/>
        <rFont val="Calibri"/>
      </rPr>
      <t>反应</t>
    </r>
    <r>
      <rPr>
        <sz val="11"/>
        <color rgb="FF000000"/>
        <rFont val="Calibri"/>
      </rPr>
      <t>很惊讶。</t>
    </r>
  </si>
  <si>
    <t>Khi nhìn thấy bức ảnh này, phản ứng của anh ấy rất ngạc nhiên.</t>
  </si>
  <si>
    <t>H5_B7_BG-21.png</t>
  </si>
  <si>
    <t>尽（力）</t>
  </si>
  <si>
    <t>&lt;ruby&gt;尽（力）&lt;rt&gt;jìn (lì)&lt;/rt&gt;&lt;/ruby&gt;</t>
  </si>
  <si>
    <t>jìn (lì)</t>
  </si>
  <si>
    <t>gắng hết sức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</si>
  <si>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尽力</t>
    </r>
    <r>
      <rPr>
        <sz val="11"/>
        <color rgb="FF000000"/>
        <rFont val="Calibri"/>
      </rPr>
      <t>搬动了这个箱子。</t>
    </r>
  </si>
  <si>
    <t>Anh ấy đã gắng hết sức để di chuyển thùng đồ này.</t>
  </si>
  <si>
    <t>H5_B7_BG-22.png</t>
  </si>
  <si>
    <t>连续</t>
  </si>
  <si>
    <t>&lt;ruby&gt;连续&lt;rt&gt;liánxù&lt;/rt&gt;&lt;/ruby&gt;</t>
  </si>
  <si>
    <t>liánxù</t>
  </si>
  <si>
    <t>liên tục, liên tiếp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</si>
  <si>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连续</t>
    </r>
    <r>
      <rPr>
        <sz val="11"/>
        <color rgb="FF000000"/>
        <rFont val="Calibri"/>
      </rPr>
      <t>工作了12小时，感觉很累。</t>
    </r>
  </si>
  <si>
    <t>Anh ấy đã làm việc liên tục 12 tiếng và cảm thấy rất mệt.</t>
  </si>
  <si>
    <t>H5_B7_BG-23.png</t>
  </si>
  <si>
    <t>摸</t>
  </si>
  <si>
    <t>&lt;ruby&gt;摸&lt;rt&gt;mō&lt;/rt&gt;&lt;/ruby&gt;</t>
  </si>
  <si>
    <t>mō</t>
  </si>
  <si>
    <t>mò, sờ</t>
  </si>
  <si>
    <r>
      <rPr>
        <sz val="11"/>
        <color rgb="FF000000"/>
        <rFont val="Calibri"/>
      </rPr>
      <t>她闭着眼</t>
    </r>
    <r>
      <rPr>
        <b/>
        <sz val="11"/>
        <color rgb="FF000000"/>
        <rFont val="Calibri"/>
      </rPr>
      <t>摸</t>
    </r>
    <r>
      <rPr>
        <sz val="11"/>
        <color rgb="FF000000"/>
        <rFont val="Calibri"/>
      </rPr>
      <t>到了正确的路。</t>
    </r>
  </si>
  <si>
    <t>Cô ấy nhắm mắt nhưng vẫn mò được đúng đường.</t>
  </si>
  <si>
    <t>H5_B7_BG-24.png</t>
  </si>
  <si>
    <t>确定</t>
  </si>
  <si>
    <t>&lt;ruby&gt;确定&lt;rt&gt;quèding&lt;/rt&gt;&lt;/ruby&gt;</t>
  </si>
  <si>
    <t>quèding</t>
  </si>
  <si>
    <t>xác định, khẳng định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</si>
  <si>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确定</t>
    </r>
    <r>
      <rPr>
        <sz val="11"/>
        <color rgb="FF000000"/>
        <rFont val="Calibri"/>
      </rPr>
      <t>以后想做飞行员。</t>
    </r>
  </si>
  <si>
    <t>Cậu ấy xác định sau này sẽ làm phi công giống ba mình.</t>
  </si>
  <si>
    <t>H5_B7_BG-25.png</t>
  </si>
  <si>
    <t>碎</t>
  </si>
  <si>
    <t>&lt;ruby&gt;碎&lt;rt&gt;suì&lt;/rt&gt;&lt;/ruby&gt;</t>
  </si>
  <si>
    <t>vỡ; vụn vặt</t>
  </si>
  <si>
    <r>
      <rPr>
        <sz val="11"/>
        <color rgb="FF000000"/>
        <rFont val="Calibri"/>
      </rPr>
      <t>杯子掉到地上摔</t>
    </r>
    <r>
      <rPr>
        <b/>
        <sz val="11"/>
        <color rgb="FF000000"/>
        <rFont val="Calibri"/>
      </rPr>
      <t>碎</t>
    </r>
    <r>
      <rPr>
        <sz val="11"/>
        <color rgb="FF000000"/>
        <rFont val="Calibri"/>
      </rPr>
      <t>了。</t>
    </r>
  </si>
  <si>
    <t>Chiếc cốc rơi xuống đất và vỡ tan.</t>
  </si>
  <si>
    <t>H5_B7_BG-26.png</t>
  </si>
  <si>
    <t>寻找</t>
  </si>
  <si>
    <t>&lt;ruby&gt;寻找&lt;rt&gt;xúnzhǎo&lt;/rt&gt;&lt;/ruby&gt;</t>
  </si>
  <si>
    <t>xúnzhǎo</t>
  </si>
  <si>
    <r>
      <rPr>
        <sz val="11"/>
        <color rgb="FF000000"/>
        <rFont val="Calibri"/>
      </rPr>
      <t>她正在网上</t>
    </r>
    <r>
      <rPr>
        <b/>
        <sz val="11"/>
        <color rgb="FF000000"/>
        <rFont val="Calibri"/>
      </rPr>
      <t>寻找</t>
    </r>
    <r>
      <rPr>
        <sz val="11"/>
        <color rgb="FF000000"/>
        <rFont val="Calibri"/>
      </rPr>
      <t>工作。</t>
    </r>
  </si>
  <si>
    <t>Cô ấy đang tìm việc qua mạng</t>
  </si>
  <si>
    <t>H5_B7_BG-27.png</t>
  </si>
  <si>
    <t>摇</t>
  </si>
  <si>
    <t>&lt;ruby&gt;摇&lt;rt&gt;yáo&lt;/rt&gt;&lt;/ruby&gt;</t>
  </si>
  <si>
    <t>yáo</t>
  </si>
  <si>
    <t>lắc, vẫy</t>
  </si>
  <si>
    <r>
      <rPr>
        <sz val="11"/>
        <color rgb="FF000000"/>
        <rFont val="Calibri"/>
      </rPr>
      <t>小孩子在院子里</t>
    </r>
    <r>
      <rPr>
        <b/>
        <sz val="11"/>
        <color rgb="FF000000"/>
        <rFont val="Calibri"/>
      </rPr>
      <t>摇</t>
    </r>
    <r>
      <rPr>
        <sz val="11"/>
        <color rgb="FF000000"/>
        <rFont val="Calibri"/>
      </rPr>
      <t>着木马，开心极了。</t>
    </r>
  </si>
  <si>
    <t>Đứa trẻ đang lắc con ngựa gỗ trong sân, vui vẻ vô cùng.</t>
  </si>
  <si>
    <t>H5_B7_BG-28.png</t>
  </si>
  <si>
    <t>打猎</t>
  </si>
  <si>
    <t>&lt;ruby&gt;打猎&lt;rt&gt;dǎ liè &lt;/rt&gt;&lt;/ruby&gt;</t>
  </si>
  <si>
    <t xml:space="preserve">dǎ liè </t>
  </si>
  <si>
    <t>đi săn</t>
  </si>
  <si>
    <r>
      <rPr>
        <sz val="11"/>
        <color rgb="FF000000"/>
        <rFont val="Calibri"/>
      </rPr>
      <t>他很有</t>
    </r>
    <r>
      <rPr>
        <b/>
        <sz val="11"/>
        <color rgb="FF000000"/>
        <rFont val="Calibri"/>
      </rPr>
      <t>打猎</t>
    </r>
    <r>
      <rPr>
        <sz val="11"/>
        <color rgb="FF000000"/>
        <rFont val="Calibri"/>
      </rPr>
      <t>的经验。</t>
    </r>
  </si>
  <si>
    <t>Anh ấy rất có kinh nghiệm đi săn.</t>
  </si>
  <si>
    <t>H5_B7_BG-29.png</t>
  </si>
  <si>
    <t>全神贯注</t>
  </si>
  <si>
    <t>&lt;ruby&gt;全神贯注&lt;rt&gt;quánshén guànzhù &lt;/rt&gt;&lt;/ruby&gt;</t>
  </si>
  <si>
    <t xml:space="preserve">quánshén guànzhù </t>
  </si>
  <si>
    <t>tập trung tinh thần</t>
  </si>
  <si>
    <r>
      <rPr>
        <sz val="10"/>
        <color rgb="FF0E0E0E"/>
        <rFont val="Calibri"/>
      </rPr>
      <t>他</t>
    </r>
    <r>
      <rPr>
        <b/>
        <sz val="10"/>
        <color rgb="FF0E0E0E"/>
        <rFont val="Calibri"/>
      </rPr>
      <t>全神贯注</t>
    </r>
    <r>
      <rPr>
        <sz val="10"/>
        <color rgb="FF0E0E0E"/>
        <rFont val="Calibri"/>
      </rPr>
      <t>地看着书，连有人叫他都没听见。</t>
    </r>
  </si>
  <si>
    <t>Anh ấy tập trung cao độ vào việc đọc sách, đến mức có người gọi cũng không nghe thấy.</t>
  </si>
  <si>
    <t>H5_B7_BG-30.png</t>
  </si>
  <si>
    <t>成语</t>
  </si>
  <si>
    <t>&lt;ruby&gt;成语&lt;rt&gt;chéngyǔ&lt;/rt&gt;&lt;/ruby&gt;</t>
  </si>
  <si>
    <t>chéngyǔ</t>
  </si>
  <si>
    <t>thành ngữ</t>
  </si>
  <si>
    <r>
      <rPr>
        <sz val="11"/>
        <color rgb="FF000000"/>
        <rFont val="Calibri"/>
      </rPr>
      <t>她很喜欢学习</t>
    </r>
    <r>
      <rPr>
        <b/>
        <sz val="11"/>
        <color rgb="FF000000"/>
        <rFont val="Calibri"/>
      </rPr>
      <t>成语</t>
    </r>
    <r>
      <rPr>
        <sz val="11"/>
        <color rgb="FF000000"/>
        <rFont val="Calibri"/>
      </rPr>
      <t>。</t>
    </r>
  </si>
  <si>
    <t>Cô ấy rất thích học thành ngữ.</t>
  </si>
  <si>
    <t>H5_B7_BG-31.png</t>
  </si>
  <si>
    <t>分别</t>
  </si>
  <si>
    <t>&lt;ruby&gt;分别&lt;rt&gt;fēnbié&lt;/rt&gt;&lt;/ruby&gt;</t>
  </si>
  <si>
    <t>fēnbié</t>
  </si>
  <si>
    <t>riêng rẽ, từng người</t>
  </si>
  <si>
    <r>
      <rPr>
        <sz val="10"/>
        <color theme="1"/>
        <rFont val="Calibri"/>
      </rPr>
      <t>我们</t>
    </r>
    <r>
      <rPr>
        <b/>
        <sz val="10"/>
        <color theme="1"/>
        <rFont val="Calibri"/>
      </rPr>
      <t>分别</t>
    </r>
    <r>
      <rPr>
        <sz val="10"/>
        <color theme="1"/>
        <rFont val="Calibri"/>
      </rPr>
      <t>朝不同的方向走。</t>
    </r>
  </si>
  <si>
    <t>Chúng tôi đi riêng rẽ về các hướng khác nhau.</t>
  </si>
  <si>
    <t>H5_B7_BG-32.png</t>
  </si>
  <si>
    <t>结论</t>
  </si>
  <si>
    <t>&lt;ruby&gt;结论&lt;rt&gt;jiélùn&lt;/rt&gt;&lt;/ruby&gt;</t>
  </si>
  <si>
    <t>jiélùn</t>
  </si>
  <si>
    <t>kết luận</t>
  </si>
  <si>
    <r>
      <rPr>
        <sz val="11"/>
        <color rgb="FF000000"/>
        <rFont val="Calibri"/>
      </rPr>
      <t>老师为今天的课程得出了清楚的</t>
    </r>
    <r>
      <rPr>
        <b/>
        <sz val="11"/>
        <color rgb="FF000000"/>
        <rFont val="Calibri"/>
      </rPr>
      <t>结论</t>
    </r>
    <r>
      <rPr>
        <sz val="11"/>
        <color rgb="FF000000"/>
        <rFont val="Calibri"/>
      </rPr>
      <t>。</t>
    </r>
  </si>
  <si>
    <t>Giáo viên đưa ra một kết luận rõ ràng cho bài học hôm nay.</t>
  </si>
  <si>
    <t>H5_B7_BG-33.png</t>
  </si>
  <si>
    <t>金属</t>
  </si>
  <si>
    <t>&lt;ruby&gt;金属&lt;rt&gt;jīnshŭ&lt;/rt&gt;&lt;/ruby&gt;</t>
  </si>
  <si>
    <t>jīnshŭ</t>
  </si>
  <si>
    <t>kim loại</t>
  </si>
  <si>
    <r>
      <rPr>
        <sz val="11"/>
        <color rgb="FF000000"/>
        <rFont val="Calibri"/>
      </rPr>
      <t>这把钥匙是</t>
    </r>
    <r>
      <rPr>
        <b/>
        <sz val="11"/>
        <color rgb="FF000000"/>
        <rFont val="Calibri"/>
      </rPr>
      <t>金属</t>
    </r>
    <r>
      <rPr>
        <sz val="11"/>
        <color rgb="FF000000"/>
        <rFont val="Calibri"/>
      </rPr>
      <t>制成的。</t>
    </r>
  </si>
  <si>
    <t>Chiếc chìa khóa này làm bằng kim loại.</t>
  </si>
  <si>
    <t>H5_B7_BG-34.png</t>
  </si>
  <si>
    <t>墙</t>
  </si>
  <si>
    <t>&lt;ruby&gt;墙&lt;rt&gt;qiáng&lt;/rt&gt;&lt;/ruby&gt;</t>
  </si>
  <si>
    <t>qiáng</t>
  </si>
  <si>
    <t>(bức) tường</t>
  </si>
  <si>
    <r>
      <rPr>
        <sz val="11"/>
        <color rgb="FF000000"/>
        <rFont val="Calibri"/>
      </rPr>
      <t>这座房子的</t>
    </r>
    <r>
      <rPr>
        <b/>
        <sz val="11"/>
        <color rgb="FF000000"/>
        <rFont val="Calibri"/>
      </rPr>
      <t>墙</t>
    </r>
    <r>
      <rPr>
        <sz val="11"/>
        <color rgb="FF000000"/>
        <rFont val="Calibri"/>
      </rPr>
      <t>很厚，冬天不冷。</t>
    </r>
  </si>
  <si>
    <t>Tường của ngôi nhà này rất dày, mùa đông không lạnh.</t>
  </si>
  <si>
    <t>H5_B7_BG-35.png</t>
  </si>
  <si>
    <t>扇子</t>
  </si>
  <si>
    <t>&lt;ruby&gt;扇子&lt;rt&gt;shànzi&lt;/rt&gt;&lt;/ruby&gt;</t>
  </si>
  <si>
    <t>shànzi</t>
  </si>
  <si>
    <t>(cái) quạt</t>
  </si>
  <si>
    <r>
      <rPr>
        <sz val="11"/>
        <color rgb="FF000000"/>
        <rFont val="Calibri"/>
      </rPr>
      <t>夏天，我经常用</t>
    </r>
    <r>
      <rPr>
        <b/>
        <sz val="11"/>
        <color rgb="FF000000"/>
        <rFont val="Calibri"/>
      </rPr>
      <t>扇子</t>
    </r>
    <r>
      <rPr>
        <sz val="11"/>
        <color rgb="FF000000"/>
        <rFont val="Calibri"/>
      </rPr>
      <t>。</t>
    </r>
  </si>
  <si>
    <t>Vào mùa hè, tôi thường dùng quạt.</t>
  </si>
  <si>
    <t>H5_B7_BG-36.png</t>
  </si>
  <si>
    <t>绳子</t>
  </si>
  <si>
    <t>&lt;ruby&gt;绳子&lt;rt&gt;shéngzi&lt;/rt&gt;&lt;/ruby&gt;</t>
  </si>
  <si>
    <t>shéngzi</t>
  </si>
  <si>
    <t>dây thừng</t>
  </si>
  <si>
    <r>
      <rPr>
        <sz val="11"/>
        <color rgb="FF000000"/>
        <rFont val="Calibri"/>
      </rPr>
      <t>这根</t>
    </r>
    <r>
      <rPr>
        <b/>
        <sz val="11"/>
        <color rgb="FF000000"/>
        <rFont val="Calibri"/>
      </rPr>
      <t>绳子</t>
    </r>
    <r>
      <rPr>
        <sz val="11"/>
        <color rgb="FF000000"/>
        <rFont val="Calibri"/>
      </rPr>
      <t>很长。</t>
    </r>
  </si>
  <si>
    <t>Sợi dây thừng này rất dài.</t>
  </si>
  <si>
    <t>H5_B7_BG-37.png</t>
  </si>
  <si>
    <t>石头</t>
  </si>
  <si>
    <t>&lt;ruby&gt;石头&lt;rt&gt;shítou&lt;/rt&gt;&lt;/ruby&gt;</t>
  </si>
  <si>
    <t>shítou</t>
  </si>
  <si>
    <t>đá</t>
  </si>
  <si>
    <r>
      <rPr>
        <sz val="11"/>
        <color rgb="FF000000"/>
        <rFont val="Calibri"/>
      </rPr>
      <t>地上有一块大</t>
    </r>
    <r>
      <rPr>
        <b/>
        <sz val="11"/>
        <color rgb="FF000000"/>
        <rFont val="Calibri"/>
      </rPr>
      <t>石头</t>
    </r>
    <r>
      <rPr>
        <sz val="11"/>
        <color rgb="FF000000"/>
        <rFont val="Calibri"/>
      </rPr>
      <t>。</t>
    </r>
  </si>
  <si>
    <t>Trên mặt đất có một hòn đá lớn.</t>
  </si>
  <si>
    <t>H5_B7_BG-38.png</t>
  </si>
  <si>
    <t>B7_38.mp3</t>
  </si>
  <si>
    <t>B7_VD_38.mp3</t>
  </si>
  <si>
    <t>士兵</t>
  </si>
  <si>
    <t>&lt;ruby&gt;士兵&lt;rt&gt;shìbīng&lt;/rt&gt;&lt;/ruby&gt;</t>
  </si>
  <si>
    <t>shìbīng</t>
  </si>
  <si>
    <t>binh lính</t>
  </si>
  <si>
    <r>
      <rPr>
        <b/>
        <sz val="11"/>
        <color rgb="FF000000"/>
        <rFont val="Calibri"/>
      </rPr>
      <t>士兵</t>
    </r>
    <r>
      <rPr>
        <sz val="11"/>
        <color rgb="FF000000"/>
        <rFont val="Calibri"/>
      </rPr>
      <t>在保卫国家。</t>
    </r>
  </si>
  <si>
    <t>Binh lính đang chiến đấu bảo vệ đất nước.</t>
  </si>
  <si>
    <t>H5_B7_BG-39.png</t>
  </si>
  <si>
    <t>B7_39.mp3</t>
  </si>
  <si>
    <t>B7_VD_39.mp3</t>
  </si>
  <si>
    <t>尾巴</t>
  </si>
  <si>
    <t>&lt;ruby&gt;尾巴&lt;rt&gt;wěiba&lt;/rt&gt;&lt;/ruby&gt;</t>
  </si>
  <si>
    <t>wěiba</t>
  </si>
  <si>
    <t>cái đuôi</t>
  </si>
  <si>
    <r>
      <rPr>
        <sz val="11"/>
        <color rgb="FF000000"/>
        <rFont val="Calibri"/>
      </rPr>
      <t>猫的</t>
    </r>
    <r>
      <rPr>
        <b/>
        <sz val="11"/>
        <color rgb="FF000000"/>
        <rFont val="Calibri"/>
      </rPr>
      <t>尾巴</t>
    </r>
    <r>
      <rPr>
        <sz val="11"/>
        <color rgb="FF000000"/>
        <rFont val="Calibri"/>
      </rPr>
      <t>很长。</t>
    </r>
  </si>
  <si>
    <t>Cái đuôi của con mèo rất dài.</t>
  </si>
  <si>
    <t>H5_B7_BG-40.png</t>
  </si>
  <si>
    <t>B7_40.mp3</t>
  </si>
  <si>
    <t>B7_VD_40.mp3</t>
  </si>
  <si>
    <t>（大）象</t>
  </si>
  <si>
    <t>&lt;ruby&gt;（大）象&lt;rt&gt;(dà) xiàng&lt;/rt&gt;&lt;/ruby&gt;</t>
  </si>
  <si>
    <t>(dà) xiàng</t>
  </si>
  <si>
    <t>con voi</t>
  </si>
  <si>
    <r>
      <rPr>
        <b/>
        <sz val="11"/>
        <color rgb="FF000000"/>
        <rFont val="Calibri"/>
      </rPr>
      <t>大象</t>
    </r>
    <r>
      <rPr>
        <sz val="11"/>
        <color rgb="FF000000"/>
        <rFont val="Calibri"/>
      </rPr>
      <t>的耳朵很大。</t>
    </r>
  </si>
  <si>
    <t>Tai của con voi rất lớn.</t>
  </si>
  <si>
    <t>H5_B7_BG-41.png</t>
  </si>
  <si>
    <t>B7_41.mp3</t>
  </si>
  <si>
    <t>B7_VD_41.mp3</t>
  </si>
  <si>
    <t>牙齿</t>
  </si>
  <si>
    <t>&lt;ruby&gt;牙齿&lt;rt&gt;yáchǐ&lt;/rt&gt;&lt;/ruby&gt;</t>
  </si>
  <si>
    <t>yáchǐ</t>
  </si>
  <si>
    <t>răng</t>
  </si>
  <si>
    <r>
      <rPr>
        <sz val="11"/>
        <color rgb="FF000000"/>
        <rFont val="Calibri"/>
      </rPr>
      <t>老虎的</t>
    </r>
    <r>
      <rPr>
        <b/>
        <sz val="11"/>
        <color rgb="FF000000"/>
        <rFont val="Calibri"/>
      </rPr>
      <t>牙齿</t>
    </r>
    <r>
      <rPr>
        <sz val="11"/>
        <color rgb="FF000000"/>
        <rFont val="Calibri"/>
      </rPr>
      <t>很锋利。</t>
    </r>
  </si>
  <si>
    <t>Răng của con hổ rất sắc bén.</t>
  </si>
  <si>
    <t>H5_B7_BG-42.png</t>
  </si>
  <si>
    <t>B7_42.mp3</t>
  </si>
  <si>
    <t>B7_VD_42.mp3</t>
  </si>
  <si>
    <t>支</t>
  </si>
  <si>
    <t>&lt;ruby&gt;支&lt;rt&gt;zhī&lt;/rt&gt;&lt;/ruby&gt;</t>
  </si>
  <si>
    <t>(dùng cho vật dài, mảnh, không uốn được) cây</t>
  </si>
  <si>
    <r>
      <rPr>
        <sz val="11"/>
        <color rgb="FF000000"/>
        <rFont val="Calibri"/>
      </rPr>
      <t>桌子上放着五</t>
    </r>
    <r>
      <rPr>
        <b/>
        <sz val="11"/>
        <color rgb="FF000000"/>
        <rFont val="Calibri"/>
      </rPr>
      <t>支</t>
    </r>
    <r>
      <rPr>
        <sz val="11"/>
        <color rgb="FF000000"/>
        <rFont val="Calibri"/>
      </rPr>
      <t>笔。</t>
    </r>
  </si>
  <si>
    <t>Trên bàn có năm cây bút.</t>
  </si>
  <si>
    <t>H5_B7_BG-43.png</t>
  </si>
  <si>
    <t>B7_43.mp3</t>
  </si>
  <si>
    <t>B7_VD_43.mp3</t>
  </si>
  <si>
    <t>将军</t>
  </si>
  <si>
    <t>&lt;ruby&gt;将军&lt;rt&gt;jiāngjūn&lt;/rt&gt;&lt;/ruby&gt;</t>
  </si>
  <si>
    <t>jiāngjūn</t>
  </si>
  <si>
    <t>tướng quân</t>
  </si>
  <si>
    <r>
      <rPr>
        <b/>
        <sz val="11"/>
        <color rgb="FF000000"/>
        <rFont val="Calibri"/>
      </rPr>
      <t>将军</t>
    </r>
    <r>
      <rPr>
        <sz val="11"/>
        <color rgb="FF000000"/>
        <rFont val="Calibri"/>
      </rPr>
      <t>是战斗的指挥者。</t>
    </r>
  </si>
  <si>
    <t>Tướng quân là người chỉ huy trận chiến.</t>
  </si>
  <si>
    <t>H5_B7_BG-44.png</t>
  </si>
  <si>
    <t>B7_44.mp3</t>
  </si>
  <si>
    <t>B7_VD_44.mp3</t>
  </si>
  <si>
    <t>杆</t>
  </si>
  <si>
    <t>&lt;ruby&gt;杆&lt;rt&gt;gǎn&lt;/rt&gt;&lt;/ruby&gt;</t>
  </si>
  <si>
    <t>cán, báng</t>
  </si>
  <si>
    <r>
      <rPr>
        <sz val="11"/>
        <color rgb="FF000000"/>
        <rFont val="Calibri"/>
      </rPr>
      <t>这把伞的</t>
    </r>
    <r>
      <rPr>
        <b/>
        <sz val="11"/>
        <color rgb="FF000000"/>
        <rFont val="Calibri"/>
      </rPr>
      <t>杆</t>
    </r>
    <r>
      <rPr>
        <sz val="11"/>
        <color rgb="FF000000"/>
        <rFont val="Calibri"/>
      </rPr>
      <t>很长。</t>
    </r>
  </si>
  <si>
    <t>Cán của chiếc ô này rất dài.</t>
  </si>
  <si>
    <t>H5_B7_BG-45.png</t>
  </si>
  <si>
    <t>B7_45.mp3</t>
  </si>
  <si>
    <t>B7_VD_45.mp3</t>
  </si>
  <si>
    <t>财产</t>
  </si>
  <si>
    <t>&lt;ruby&gt;财产&lt;rt&gt;cáichǎn&lt;/rt&gt;&lt;/ruby&gt;</t>
  </si>
  <si>
    <t>cáichǎn</t>
  </si>
  <si>
    <t>tài sản, của cải</t>
  </si>
  <si>
    <r>
      <rPr>
        <sz val="10"/>
        <color theme="1"/>
        <rFont val="Calibri"/>
      </rPr>
      <t>这辆车是我的</t>
    </r>
    <r>
      <rPr>
        <b/>
        <sz val="10"/>
        <color theme="1"/>
        <rFont val="Calibri"/>
      </rPr>
      <t>财产</t>
    </r>
    <r>
      <rPr>
        <sz val="10"/>
        <color theme="1"/>
        <rFont val="Calibri"/>
      </rPr>
      <t>。</t>
    </r>
  </si>
  <si>
    <t>Chiếc xe này là tài sản của tôi.</t>
  </si>
  <si>
    <t>H5_B8_BG-01.png</t>
  </si>
  <si>
    <t>吃亏</t>
  </si>
  <si>
    <t>&lt;ruby&gt;吃亏&lt;rt&gt;chī kuī&lt;/rt&gt;&lt;/ruby&gt;</t>
  </si>
  <si>
    <t>chī kuī</t>
  </si>
  <si>
    <t>chịu thiệt, thiệt thòi</t>
  </si>
  <si>
    <r>
      <rPr>
        <sz val="10"/>
        <color theme="1"/>
        <rFont val="Calibri"/>
      </rPr>
      <t>我因为没有条件上学，所以</t>
    </r>
    <r>
      <rPr>
        <b/>
        <sz val="10"/>
        <color theme="1"/>
        <rFont val="Calibri"/>
      </rPr>
      <t>吃亏</t>
    </r>
    <r>
      <rPr>
        <sz val="10"/>
        <color theme="1"/>
        <rFont val="Calibri"/>
      </rPr>
      <t>了。</t>
    </r>
  </si>
  <si>
    <t>Tôi thiệt thòi hơn các bạn vì không có điều kiện đến trường.</t>
  </si>
  <si>
    <t>H5_B8_BG-02.png</t>
  </si>
  <si>
    <t>(chỉ sự trái ngược với điều được mong đợi hoặc suy nghĩ) lại</t>
  </si>
  <si>
    <r>
      <rPr>
        <sz val="10"/>
        <color theme="1"/>
        <rFont val="Calibri"/>
      </rPr>
      <t>我以为今天会下雨，</t>
    </r>
    <r>
      <rPr>
        <b/>
        <sz val="10"/>
        <color theme="1"/>
        <rFont val="Calibri"/>
      </rPr>
      <t>倒</t>
    </r>
    <r>
      <rPr>
        <sz val="10"/>
        <color theme="1"/>
        <rFont val="Calibri"/>
      </rPr>
      <t>是个晴天。</t>
    </r>
  </si>
  <si>
    <t>Tôi nghĩ hôm nay sẽ mưa, lại là một ngày nắng.</t>
  </si>
  <si>
    <t>H5_B8_BG-03.png</t>
  </si>
  <si>
    <t>固定</t>
  </si>
  <si>
    <t>&lt;ruby&gt;固定&lt;rt&gt;gùdìng&lt;/rt&gt;&lt;/ruby&gt;</t>
  </si>
  <si>
    <t>gùdìng</t>
  </si>
  <si>
    <t>cố định; ổn định</t>
  </si>
  <si>
    <r>
      <rPr>
        <sz val="10"/>
        <color theme="1"/>
        <rFont val="Calibri"/>
      </rPr>
      <t>这份工作帮助我每个月有</t>
    </r>
    <r>
      <rPr>
        <b/>
        <sz val="10"/>
        <color theme="1"/>
        <rFont val="Calibri"/>
      </rPr>
      <t>固定</t>
    </r>
    <r>
      <rPr>
        <sz val="10"/>
        <color theme="1"/>
        <rFont val="Calibri"/>
      </rPr>
      <t>的收入。</t>
    </r>
  </si>
  <si>
    <t>Công việc này giúp tôi có thu nhập cố định mỗi tháng.</t>
  </si>
  <si>
    <t>H5_B8_BG-04.png</t>
  </si>
  <si>
    <t>果实</t>
  </si>
  <si>
    <t>&lt;ruby&gt;果实&lt;rt&gt;guǒshí&lt;/rt&gt;&lt;/ruby&gt;</t>
  </si>
  <si>
    <t>guǒshí</t>
  </si>
  <si>
    <t>quả, trái cây</t>
  </si>
  <si>
    <r>
      <rPr>
        <sz val="10"/>
        <color theme="1"/>
        <rFont val="Calibri"/>
      </rPr>
      <t xml:space="preserve"> 我们终于在院子里收获了</t>
    </r>
    <r>
      <rPr>
        <b/>
        <sz val="10"/>
        <color theme="1"/>
        <rFont val="Calibri"/>
      </rPr>
      <t>果实</t>
    </r>
    <r>
      <rPr>
        <sz val="10"/>
        <color theme="1"/>
        <rFont val="Calibri"/>
      </rPr>
      <t>。</t>
    </r>
  </si>
  <si>
    <t>Cuối cùng chúng tôi cũng được thu hoạch được trái cây trong vườn.</t>
  </si>
  <si>
    <t>H5_B8_BG-05.png</t>
  </si>
  <si>
    <t>节省</t>
  </si>
  <si>
    <t>&lt;ruby&gt;节省&lt;rt&gt;jiéshěng&lt;/rt&gt;&lt;/ruby&gt;</t>
  </si>
  <si>
    <t>jiéshěng</t>
  </si>
  <si>
    <t>tiết kiệm, dành dụm</t>
  </si>
  <si>
    <r>
      <rPr>
        <sz val="10"/>
        <color theme="1"/>
        <rFont val="Calibri"/>
      </rPr>
      <t>我把零花钱</t>
    </r>
    <r>
      <rPr>
        <b/>
        <sz val="10"/>
        <color theme="1"/>
        <rFont val="Calibri"/>
      </rPr>
      <t>节省</t>
    </r>
    <r>
      <rPr>
        <sz val="10"/>
        <color theme="1"/>
        <rFont val="Calibri"/>
      </rPr>
      <t>下来，买了礼物送给妈妈。</t>
    </r>
  </si>
  <si>
    <t>Tôi đã tiết kiệm tiền tiêu vặt để mua quà tặng mẹ.</t>
  </si>
  <si>
    <t>H5_B8_BG-06.png</t>
  </si>
  <si>
    <t>结构</t>
  </si>
  <si>
    <t>&lt;ruby&gt;结构&lt;rt&gt;jiégòu&lt;/rt&gt;&lt;/ruby&gt;</t>
  </si>
  <si>
    <t>jiégòu</t>
  </si>
  <si>
    <t>kết cấu, cấu trúc</t>
  </si>
  <si>
    <r>
      <rPr>
        <sz val="10"/>
        <color theme="1"/>
        <rFont val="Calibri"/>
      </rPr>
      <t>这座建筑的</t>
    </r>
    <r>
      <rPr>
        <b/>
        <sz val="10"/>
        <color theme="1"/>
        <rFont val="Calibri"/>
      </rPr>
      <t>结构</t>
    </r>
    <r>
      <rPr>
        <sz val="10"/>
        <color theme="1"/>
        <rFont val="Calibri"/>
      </rPr>
      <t>非常复杂。</t>
    </r>
  </si>
  <si>
    <t>Kết cấu của tòa nhà này rất phức tạp.</t>
  </si>
  <si>
    <t>H5_B8_BG-07.png</t>
  </si>
  <si>
    <t>粮食</t>
  </si>
  <si>
    <t>&lt;ruby&gt;粮食&lt;rt&gt;liángshi&lt;/rt&gt;&lt;/ruby&gt;</t>
  </si>
  <si>
    <t>liángshi</t>
  </si>
  <si>
    <t>lương thực</t>
  </si>
  <si>
    <r>
      <rPr>
        <sz val="10"/>
        <color theme="1"/>
        <rFont val="Calibri"/>
      </rPr>
      <t>他种了很多种类的</t>
    </r>
    <r>
      <rPr>
        <b/>
        <sz val="10"/>
        <color theme="1"/>
        <rFont val="Calibri"/>
      </rPr>
      <t>粮食</t>
    </r>
    <r>
      <rPr>
        <sz val="10"/>
        <color theme="1"/>
        <rFont val="Calibri"/>
      </rPr>
      <t>。</t>
    </r>
  </si>
  <si>
    <t>Anh ấy trồng được rất nhiều loại lương thực.</t>
  </si>
  <si>
    <t>H5_B8_BG-08.png</t>
  </si>
  <si>
    <t>馒头</t>
  </si>
  <si>
    <t>&lt;ruby&gt;馒头&lt;rt&gt;mántou&lt;/rt&gt;&lt;/ruby&gt;</t>
  </si>
  <si>
    <t>mántou</t>
  </si>
  <si>
    <t>màn thầu, bánh bao không nhân</t>
  </si>
  <si>
    <r>
      <rPr>
        <sz val="10"/>
        <color theme="1"/>
        <rFont val="Calibri"/>
      </rPr>
      <t xml:space="preserve"> 我每天早上都吃</t>
    </r>
    <r>
      <rPr>
        <b/>
        <sz val="10"/>
        <color theme="1"/>
        <rFont val="Calibri"/>
      </rPr>
      <t>馒头</t>
    </r>
    <r>
      <rPr>
        <sz val="10"/>
        <color theme="1"/>
        <rFont val="Calibri"/>
      </rPr>
      <t>。</t>
    </r>
  </si>
  <si>
    <t>Mỗi sáng tôi đều ăn màn thầu.</t>
  </si>
  <si>
    <t>H5_B8_BG-09.png</t>
  </si>
  <si>
    <t>蔬菜</t>
  </si>
  <si>
    <t>&lt;ruby&gt;蔬菜&lt;rt&gt;shūcài&lt;/rt&gt;&lt;/ruby&gt;</t>
  </si>
  <si>
    <t>shūcài</t>
  </si>
  <si>
    <t>rau cải</t>
  </si>
  <si>
    <r>
      <rPr>
        <sz val="10"/>
        <color theme="1"/>
        <rFont val="Calibri"/>
      </rPr>
      <t xml:space="preserve"> 我的女儿很喜欢吃</t>
    </r>
    <r>
      <rPr>
        <b/>
        <sz val="10"/>
        <color theme="1"/>
        <rFont val="Calibri"/>
      </rPr>
      <t>蔬菜</t>
    </r>
    <r>
      <rPr>
        <sz val="10"/>
        <color theme="1"/>
        <rFont val="Calibri"/>
      </rPr>
      <t>，特别是</t>
    </r>
    <r>
      <rPr>
        <b/>
        <sz val="10"/>
        <color theme="1"/>
        <rFont val="Calibri"/>
      </rPr>
      <t>蔬菜</t>
    </r>
    <r>
      <rPr>
        <sz val="10"/>
        <color theme="1"/>
        <rFont val="Calibri"/>
      </rPr>
      <t>白菜，非常好吃。</t>
    </r>
  </si>
  <si>
    <t>con gái tôi rất thích ăn rau xanh đặc biệt là rau cải, nó rất ngon.</t>
  </si>
  <si>
    <t>H5_B8_BG-10.png</t>
  </si>
  <si>
    <t>限制</t>
  </si>
  <si>
    <t>&lt;ruby&gt;限制&lt;rt&gt;xiànzhì&lt;/rt&gt;&lt;/ruby&gt;</t>
  </si>
  <si>
    <t>xiànzhì</t>
  </si>
  <si>
    <t>hạn chế</t>
  </si>
  <si>
    <r>
      <rPr>
        <sz val="10"/>
        <color theme="1"/>
        <rFont val="Calibri"/>
      </rPr>
      <t>为了健康，我已经</t>
    </r>
    <r>
      <rPr>
        <b/>
        <sz val="10"/>
        <color theme="1"/>
        <rFont val="Calibri"/>
      </rPr>
      <t>限制</t>
    </r>
    <r>
      <rPr>
        <sz val="10"/>
        <color theme="1"/>
        <rFont val="Calibri"/>
      </rPr>
      <t>了吃甜食。</t>
    </r>
  </si>
  <si>
    <t>để tốt cho sức khỏe, tôi đã hạn chế việc ăn đồ ngọt.</t>
  </si>
  <si>
    <t>H5_B8_BG-11.png</t>
  </si>
  <si>
    <t>消费</t>
  </si>
  <si>
    <t>&lt;ruby&gt;消费&lt;rt&gt;xiāofèi&lt;/rt&gt;&lt;/ruby&gt;</t>
  </si>
  <si>
    <t>xiāofèi</t>
  </si>
  <si>
    <t>tiêu thụ, tiêu dùng</t>
  </si>
  <si>
    <r>
      <rPr>
        <sz val="10"/>
        <color theme="1"/>
        <rFont val="Calibri"/>
      </rPr>
      <t>小女孩买了很多零食，她的</t>
    </r>
    <r>
      <rPr>
        <b/>
        <sz val="10"/>
        <color theme="1"/>
        <rFont val="Calibri"/>
      </rPr>
      <t>消费</t>
    </r>
    <r>
      <rPr>
        <sz val="10"/>
        <color theme="1"/>
        <rFont val="Calibri"/>
      </rPr>
      <t>习惯很特别。</t>
    </r>
  </si>
  <si>
    <t>Cô bé đã mua rất nhiều đồ ăn vặt, thói quen tiêu dùng của cô ấy rất đặc biệt.</t>
  </si>
  <si>
    <t>H5_B8_BG-12.png</t>
  </si>
  <si>
    <t>行为</t>
  </si>
  <si>
    <t>&lt;ruby&gt;行为&lt;rt&gt;xíngwéi&lt;/rt&gt;&lt;/ruby&gt;</t>
  </si>
  <si>
    <t>xíngwéi</t>
  </si>
  <si>
    <t>hành vi, hành động</t>
  </si>
  <si>
    <r>
      <rPr>
        <sz val="10"/>
        <color theme="1"/>
        <rFont val="Calibri"/>
      </rPr>
      <t>老师表扬了她的</t>
    </r>
    <r>
      <rPr>
        <b/>
        <sz val="10"/>
        <color theme="1"/>
        <rFont val="Calibri"/>
      </rPr>
      <t>行为</t>
    </r>
    <r>
      <rPr>
        <sz val="10"/>
        <color theme="1"/>
        <rFont val="Calibri"/>
      </rPr>
      <t>。</t>
    </r>
  </si>
  <si>
    <t>Giáo viên khen ngợi hành vi của cô bé.</t>
  </si>
  <si>
    <t>H5_B8_BG-13.png</t>
  </si>
  <si>
    <t>喂养</t>
  </si>
  <si>
    <t>&lt;ruby&gt;喂养&lt;rt&gt;wèiyǎng&lt;/rt&gt;&lt;/ruby&gt;</t>
  </si>
  <si>
    <t>wèiyǎng</t>
  </si>
  <si>
    <t>nuôi</t>
  </si>
  <si>
    <r>
      <rPr>
        <sz val="11"/>
        <color rgb="FF000000"/>
        <rFont val="Calibri"/>
      </rPr>
      <t>在家里，他</t>
    </r>
    <r>
      <rPr>
        <b/>
        <sz val="11"/>
        <color rgb="FF000000"/>
        <rFont val="Calibri"/>
      </rPr>
      <t>喂养</t>
    </r>
    <r>
      <rPr>
        <sz val="11"/>
        <color rgb="FF000000"/>
        <rFont val="Calibri"/>
      </rPr>
      <t>了一只狗。</t>
    </r>
  </si>
  <si>
    <t>ở nhà, anh ấy có nuôi một chú chó cưng.</t>
  </si>
  <si>
    <t>H5_B8_BG-14.png</t>
  </si>
  <si>
    <t>橡子</t>
  </si>
  <si>
    <t>&lt;ruby&gt;橡子&lt;rt&gt;xiàngzi&lt;/rt&gt;&lt;/ruby&gt;</t>
  </si>
  <si>
    <t>xiàngzi</t>
  </si>
  <si>
    <t>quả đấu, hạt dẻ rừng</t>
  </si>
  <si>
    <r>
      <rPr>
        <sz val="11"/>
        <color rgb="FF000000"/>
        <rFont val="Calibri"/>
      </rPr>
      <t>松鼠非常喜欢吃</t>
    </r>
    <r>
      <rPr>
        <b/>
        <sz val="11"/>
        <color rgb="FF000000"/>
        <rFont val="Calibri"/>
      </rPr>
      <t>橡子</t>
    </r>
    <r>
      <rPr>
        <sz val="11"/>
        <color rgb="FF000000"/>
        <rFont val="Calibri"/>
      </rPr>
      <t>。</t>
    </r>
  </si>
  <si>
    <t>Loài sóc rất thích ăn quả đấu.</t>
  </si>
  <si>
    <t>H5_B8_BG-15.png</t>
  </si>
  <si>
    <t>颗</t>
  </si>
  <si>
    <t>&lt;ruby&gt;颗&lt;rt&gt;kē&lt;/rt&gt;&lt;/ruby&gt;</t>
  </si>
  <si>
    <t>(được dùng cho vật có dạng hạt tròn nhỏ) hạt, viên</t>
  </si>
  <si>
    <r>
      <rPr>
        <sz val="11"/>
        <color rgb="FF000000"/>
        <rFont val="Calibri"/>
      </rPr>
      <t>我吃了几</t>
    </r>
    <r>
      <rPr>
        <b/>
        <sz val="11"/>
        <color rgb="FF000000"/>
        <rFont val="Calibri"/>
      </rPr>
      <t>颗</t>
    </r>
    <r>
      <rPr>
        <sz val="11"/>
        <color rgb="FF000000"/>
        <rFont val="Calibri"/>
      </rPr>
      <t>糖。</t>
    </r>
  </si>
  <si>
    <t>Tôi ăn mấy viên kẹo.</t>
  </si>
  <si>
    <t>H5_B8_BG-16.png</t>
  </si>
  <si>
    <t>安慰</t>
  </si>
  <si>
    <t>&lt;ruby&gt;安慰&lt;rt&gt;ānwèi&lt;/rt&gt;&lt;/ruby&gt;</t>
  </si>
  <si>
    <t>ānwèi</t>
  </si>
  <si>
    <t>an ủi, dỗ dành</t>
  </si>
  <si>
    <r>
      <rPr>
        <sz val="10"/>
        <color theme="1"/>
        <rFont val="Calibri"/>
      </rPr>
      <t>他每次妻子难过时，总是能</t>
    </r>
    <r>
      <rPr>
        <b/>
        <sz val="10"/>
        <color theme="1"/>
        <rFont val="Calibri"/>
      </rPr>
      <t>安慰</t>
    </r>
    <r>
      <rPr>
        <sz val="10"/>
        <color theme="1"/>
        <rFont val="Calibri"/>
      </rPr>
      <t>她。</t>
    </r>
  </si>
  <si>
    <t>Anh ấy luôn biết cách ăn ủi vợ mình, mỗi khi cô ấy buồn.</t>
  </si>
  <si>
    <t>H5_B8_BG-17.png</t>
  </si>
  <si>
    <t>彼此</t>
  </si>
  <si>
    <t>&lt;ruby&gt;彼此&lt;rt&gt;bǐcǐ&lt;/rt&gt;&lt;/ruby&gt;</t>
  </si>
  <si>
    <t>bǐcǐ</t>
  </si>
  <si>
    <t>hai bên</t>
  </si>
  <si>
    <r>
      <rPr>
        <sz val="10"/>
        <color theme="1"/>
        <rFont val="Calibri"/>
      </rPr>
      <t>我们应该</t>
    </r>
    <r>
      <rPr>
        <b/>
        <sz val="10"/>
        <color theme="1"/>
        <rFont val="Calibri"/>
      </rPr>
      <t>彼此</t>
    </r>
    <r>
      <rPr>
        <sz val="10"/>
        <color theme="1"/>
        <rFont val="Calibri"/>
      </rPr>
      <t>帮助。</t>
    </r>
  </si>
  <si>
    <t>Chúng ta giúp đỡ nhau.</t>
  </si>
  <si>
    <t>H5_B8_BG-18.png</t>
  </si>
  <si>
    <t>表情</t>
  </si>
  <si>
    <t>&lt;ruby&gt;表情&lt;rt&gt;biǎoqíng&lt;/rt&gt;&lt;/ruby&gt;</t>
  </si>
  <si>
    <t>biǎoqíng</t>
  </si>
  <si>
    <t>nét mặt, vẻ mặt</t>
  </si>
  <si>
    <r>
      <rPr>
        <sz val="10"/>
        <color theme="1"/>
        <rFont val="Calibri"/>
      </rPr>
      <t>她想着即将到来的家庭旅行，</t>
    </r>
    <r>
      <rPr>
        <b/>
        <sz val="10"/>
        <color theme="1"/>
        <rFont val="Calibri"/>
      </rPr>
      <t>表情</t>
    </r>
    <r>
      <rPr>
        <sz val="10"/>
        <color theme="1"/>
        <rFont val="Calibri"/>
      </rPr>
      <t>很高兴。</t>
    </r>
  </si>
  <si>
    <t>Vẻ mặt của cô ấy rất vui khi nghĩ về chuyến du lịch cùng gia đình sắp tới.</t>
  </si>
  <si>
    <t>H5_B8_BG-19.png</t>
  </si>
  <si>
    <t>对方</t>
  </si>
  <si>
    <t>&lt;ruby&gt;对方&lt;rt&gt;duìfāng&lt;/rt&gt;&lt;/ruby&gt;</t>
  </si>
  <si>
    <t>duìfāng</t>
  </si>
  <si>
    <t>đối phương, phía bên kia</t>
  </si>
  <si>
    <r>
      <rPr>
        <sz val="10"/>
        <color theme="1"/>
        <rFont val="Calibri"/>
      </rPr>
      <t>我们与</t>
    </r>
    <r>
      <rPr>
        <b/>
        <sz val="10"/>
        <color theme="1"/>
        <rFont val="Calibri"/>
      </rPr>
      <t>对方</t>
    </r>
    <r>
      <rPr>
        <sz val="10"/>
        <color theme="1"/>
        <rFont val="Calibri"/>
      </rPr>
      <t>进行了长时间的谈判。</t>
    </r>
  </si>
  <si>
    <t>Chúng tôi đã có cuộc đàm phán dài với đối phương.</t>
  </si>
  <si>
    <t>H5_B8_BG-20.png</t>
  </si>
  <si>
    <r>
      <rPr>
        <sz val="10"/>
        <color theme="1"/>
        <rFont val="Calibri"/>
      </rPr>
      <t>每个人都有不同的学习</t>
    </r>
    <r>
      <rPr>
        <b/>
        <sz val="10"/>
        <color theme="1"/>
        <rFont val="Calibri"/>
      </rPr>
      <t>方式</t>
    </r>
    <r>
      <rPr>
        <sz val="10"/>
        <color theme="1"/>
        <rFont val="Calibri"/>
      </rPr>
      <t>。</t>
    </r>
  </si>
  <si>
    <t>Mỗi người có một phương thức học tập khác nhau.</t>
  </si>
  <si>
    <t>H5_B8_BG-21.png</t>
  </si>
  <si>
    <t>格外</t>
  </si>
  <si>
    <t>&lt;ruby&gt;格外&lt;rt&gt;géwài&lt;/rt&gt;&lt;/ruby&gt;</t>
  </si>
  <si>
    <t>géwài</t>
  </si>
  <si>
    <t>vô cùng, hết sức</t>
  </si>
  <si>
    <r>
      <rPr>
        <sz val="10"/>
        <color theme="1"/>
        <rFont val="Calibri"/>
      </rPr>
      <t>今天的天气</t>
    </r>
    <r>
      <rPr>
        <b/>
        <sz val="10"/>
        <color theme="1"/>
        <rFont val="Calibri"/>
      </rPr>
      <t>格外</t>
    </r>
    <r>
      <rPr>
        <sz val="10"/>
        <color theme="1"/>
        <rFont val="Calibri"/>
      </rPr>
      <t>寒冷。</t>
    </r>
  </si>
  <si>
    <t>Thời tiết hôm nay vô cùng lạnh.</t>
  </si>
  <si>
    <t>H5_B8_BG-22.png</t>
  </si>
  <si>
    <t>哈</t>
  </si>
  <si>
    <t>&lt;ruby&gt;哈&lt;rt&gt;hā&lt;/rt&gt;&lt;/ruby&gt;</t>
  </si>
  <si>
    <t>hā</t>
  </si>
  <si>
    <t xml:space="preserve">Từ tượng thanh/ từ cảm thán </t>
  </si>
  <si>
    <t>(từ tượng thanh chỉ tiếng cười) ha ha, ha hả; (từ cảm thán chỉ sự đắc chí hoặc hài lòng) a ha, ha</t>
  </si>
  <si>
    <r>
      <rPr>
        <sz val="10"/>
        <color theme="1"/>
        <rFont val="Calibri"/>
      </rPr>
      <t>他讲了一个笑话，大家都</t>
    </r>
    <r>
      <rPr>
        <b/>
        <sz val="10"/>
        <color theme="1"/>
        <rFont val="Calibri"/>
      </rPr>
      <t>哈哈</t>
    </r>
    <r>
      <rPr>
        <sz val="10"/>
        <color theme="1"/>
        <rFont val="Calibri"/>
      </rPr>
      <t>大笑起来。</t>
    </r>
  </si>
  <si>
    <t xml:space="preserve">Anh ấy kể một câu chuyện cười, mọi người đều cười ha ha.
</t>
  </si>
  <si>
    <t>H5_B8_BG-23.png</t>
  </si>
  <si>
    <t>情景</t>
  </si>
  <si>
    <t>&lt;ruby&gt;情景&lt;rt&gt;qíngjīng&lt;/rt&gt;&lt;/ruby&gt;</t>
  </si>
  <si>
    <t>qíngjīng</t>
  </si>
  <si>
    <t>tình cảnh, cảnh tượng</t>
  </si>
  <si>
    <r>
      <rPr>
        <sz val="10"/>
        <color theme="1"/>
        <rFont val="Calibri"/>
      </rPr>
      <t>我永远不会忘记那个举杯庆祝的</t>
    </r>
    <r>
      <rPr>
        <b/>
        <sz val="10"/>
        <color theme="1"/>
        <rFont val="Calibri"/>
      </rPr>
      <t>情景</t>
    </r>
    <r>
      <rPr>
        <sz val="10"/>
        <color theme="1"/>
        <rFont val="Calibri"/>
      </rPr>
      <t>。</t>
    </r>
  </si>
  <si>
    <t>Cảnh tượng nâng cup vô định, tôi mãi không quên.</t>
  </si>
  <si>
    <t>H5_B8_BG-24.png</t>
  </si>
  <si>
    <t>似乎</t>
  </si>
  <si>
    <t>&lt;ruby&gt;似乎&lt;rt&gt;sìhū&lt;/rt&gt;&lt;/ruby&gt;</t>
  </si>
  <si>
    <t>sìhū</t>
  </si>
  <si>
    <t>dường như</t>
  </si>
  <si>
    <r>
      <rPr>
        <b/>
        <sz val="10"/>
        <color theme="1"/>
        <rFont val="Calibri"/>
      </rPr>
      <t>似乎</t>
    </r>
    <r>
      <rPr>
        <sz val="10"/>
        <color theme="1"/>
        <rFont val="Calibri"/>
      </rPr>
      <t>他很忙，没有时间和我聊天。</t>
    </r>
  </si>
  <si>
    <t>Dường như anh ấy rất bận, không có thời gian trò chuyện với tôi.</t>
  </si>
  <si>
    <t>H5_B8_BG-25.png</t>
  </si>
  <si>
    <t>显得</t>
  </si>
  <si>
    <t>&lt;ruby&gt;显得&lt;rt&gt;xiǎnde&lt;/rt&gt;&lt;/ruby&gt;</t>
  </si>
  <si>
    <t>xiǎnde</t>
  </si>
  <si>
    <t>tỏ ra, có vẻ</t>
  </si>
  <si>
    <r>
      <rPr>
        <sz val="10"/>
        <color theme="1"/>
        <rFont val="Calibri"/>
      </rPr>
      <t>今天他</t>
    </r>
    <r>
      <rPr>
        <b/>
        <sz val="10"/>
        <color theme="1"/>
        <rFont val="Calibri"/>
      </rPr>
      <t>显得</t>
    </r>
    <r>
      <rPr>
        <sz val="10"/>
        <color theme="1"/>
        <rFont val="Calibri"/>
      </rPr>
      <t>很疲倦。</t>
    </r>
  </si>
  <si>
    <t>Hôm nay anh ấy tỏ ra rất mệt mỏi.</t>
  </si>
  <si>
    <t>H5_B8_BG-26.png</t>
  </si>
  <si>
    <t>相处</t>
  </si>
  <si>
    <t>&lt;ruby&gt;相处&lt;rt&gt;xiāngchǔ&lt;/rt&gt;&lt;/ruby&gt;</t>
  </si>
  <si>
    <t>xiāngchǔ</t>
  </si>
  <si>
    <t>chung sống</t>
  </si>
  <si>
    <r>
      <rPr>
        <sz val="10"/>
        <color theme="1"/>
        <rFont val="Calibri"/>
      </rPr>
      <t>我们全家</t>
    </r>
    <r>
      <rPr>
        <b/>
        <sz val="10"/>
        <color theme="1"/>
        <rFont val="Calibri"/>
      </rPr>
      <t>相处</t>
    </r>
    <r>
      <rPr>
        <sz val="10"/>
        <color theme="1"/>
        <rFont val="Calibri"/>
      </rPr>
      <t>得非常和谐。</t>
    </r>
  </si>
  <si>
    <t>gia đình tôi chung sống rất hòa hợp.</t>
  </si>
  <si>
    <t>H5_B8_BG-27.png</t>
  </si>
  <si>
    <t>要不</t>
  </si>
  <si>
    <t>&lt;ruby&gt;要不&lt;rt&gt;yàobu&lt;/rt&gt;&lt;/ruby&gt;</t>
  </si>
  <si>
    <t>yàobu</t>
  </si>
  <si>
    <t>nếu không thì</t>
  </si>
  <si>
    <r>
      <rPr>
        <sz val="10"/>
        <color theme="1"/>
        <rFont val="Calibri"/>
      </rPr>
      <t>你可以吃点儿蛋糕，</t>
    </r>
    <r>
      <rPr>
        <b/>
        <sz val="10"/>
        <color theme="1"/>
        <rFont val="Calibri"/>
      </rPr>
      <t>要不</t>
    </r>
    <r>
      <rPr>
        <sz val="10"/>
        <color theme="1"/>
        <rFont val="Calibri"/>
      </rPr>
      <t>就喝点儿牛奶。</t>
    </r>
  </si>
  <si>
    <t>Con có thể ăn một ít bánh, nếu không thì uống sữa.</t>
  </si>
  <si>
    <t>H5_B8_BG-28.png</t>
  </si>
  <si>
    <t>不足</t>
  </si>
  <si>
    <t>&lt;ruby&gt;不足&lt;rt&gt;bùzú&lt;/rt&gt;&lt;/ruby&gt;</t>
  </si>
  <si>
    <t>bùzú</t>
  </si>
  <si>
    <t xml:space="preserve">Tính từ /Động từ </t>
  </si>
  <si>
    <t>thiếu; không đủ</t>
  </si>
  <si>
    <r>
      <rPr>
        <sz val="10"/>
        <color theme="1"/>
        <rFont val="Calibri"/>
      </rPr>
      <t>我的钱</t>
    </r>
    <r>
      <rPr>
        <b/>
        <sz val="10"/>
        <color theme="1"/>
        <rFont val="Calibri"/>
      </rPr>
      <t>不足</t>
    </r>
    <r>
      <rPr>
        <sz val="10"/>
        <color theme="1"/>
        <rFont val="Calibri"/>
      </rPr>
      <t>以买这座房子。</t>
    </r>
  </si>
  <si>
    <t>số tiền  tôi có không đủ để mua ngôi nhà này.</t>
  </si>
  <si>
    <t>H5_B8_BG-29.png</t>
  </si>
  <si>
    <t>宠物</t>
  </si>
  <si>
    <t>&lt;ruby&gt;宠物&lt;rt&gt;chǒngwù&lt;/rt&gt;&lt;/ruby&gt;</t>
  </si>
  <si>
    <t>chǒngwù</t>
  </si>
  <si>
    <t>vật cưng, thú cưng</t>
  </si>
  <si>
    <r>
      <rPr>
        <sz val="10"/>
        <color theme="1"/>
        <rFont val="Calibri"/>
      </rPr>
      <t>这只猫是她的</t>
    </r>
    <r>
      <rPr>
        <b/>
        <sz val="10"/>
        <color theme="1"/>
        <rFont val="Calibri"/>
      </rPr>
      <t>宠物</t>
    </r>
    <r>
      <rPr>
        <sz val="10"/>
        <color theme="1"/>
        <rFont val="Calibri"/>
      </rPr>
      <t>。</t>
    </r>
  </si>
  <si>
    <t>Chú mèo này chính là thú cưng của cô ấy</t>
  </si>
  <si>
    <t>H5_B8_BG-30.png</t>
  </si>
  <si>
    <t>词汇</t>
  </si>
  <si>
    <t>&lt;ruby&gt;词汇&lt;rt&gt;cíhuì&lt;/rt&gt;&lt;/ruby&gt;</t>
  </si>
  <si>
    <t>cíhuì</t>
  </si>
  <si>
    <t>từ vựng</t>
  </si>
  <si>
    <r>
      <rPr>
        <sz val="10"/>
        <color theme="1"/>
        <rFont val="Calibri"/>
      </rPr>
      <t>他正在学习新的</t>
    </r>
    <r>
      <rPr>
        <b/>
        <sz val="10"/>
        <color theme="1"/>
        <rFont val="Calibri"/>
      </rPr>
      <t>词汇</t>
    </r>
    <r>
      <rPr>
        <sz val="10"/>
        <color theme="1"/>
        <rFont val="Calibri"/>
      </rPr>
      <t>，以提高他的英语水平。</t>
    </r>
  </si>
  <si>
    <t>Anh ấy đang học từ vựng mới để nâng cao trình độ tiếng Anh.</t>
  </si>
  <si>
    <t>H5_B8_BG-31.png</t>
  </si>
  <si>
    <t>猴子</t>
  </si>
  <si>
    <t>&lt;ruby&gt;猴子&lt;rt&gt;hóuzi&lt;/rt&gt;&lt;/ruby&gt;</t>
  </si>
  <si>
    <t>hóuzi</t>
  </si>
  <si>
    <t>con khỉ</t>
  </si>
  <si>
    <r>
      <rPr>
        <sz val="10"/>
        <color theme="1"/>
        <rFont val="Calibri"/>
      </rPr>
      <t>这只</t>
    </r>
    <r>
      <rPr>
        <b/>
        <sz val="10"/>
        <color theme="1"/>
        <rFont val="Calibri"/>
      </rPr>
      <t>猴子</t>
    </r>
    <r>
      <rPr>
        <sz val="10"/>
        <color theme="1"/>
        <rFont val="Calibri"/>
      </rPr>
      <t>很聪明。</t>
    </r>
  </si>
  <si>
    <t>Con khỉ này rất thông minh.</t>
  </si>
  <si>
    <t>H5_B8_BG-32.png</t>
  </si>
  <si>
    <t>家庭</t>
  </si>
  <si>
    <t>&lt;ruby&gt;家庭&lt;rt&gt;jiātíng&lt;/rt&gt;&lt;/ruby&gt;</t>
  </si>
  <si>
    <t>jiātíng</t>
  </si>
  <si>
    <t>gia đình</t>
  </si>
  <si>
    <r>
      <rPr>
        <sz val="10"/>
        <color theme="1"/>
        <rFont val="Calibri"/>
      </rPr>
      <t>我的</t>
    </r>
    <r>
      <rPr>
        <b/>
        <sz val="10"/>
        <color theme="1"/>
        <rFont val="Calibri"/>
      </rPr>
      <t>家庭</t>
    </r>
    <r>
      <rPr>
        <sz val="10"/>
        <color theme="1"/>
        <rFont val="Calibri"/>
      </rPr>
      <t>有四口人。</t>
    </r>
  </si>
  <si>
    <t>Gia đình tôi có bốn người.</t>
  </si>
  <si>
    <t>H5_B8_BG-33.png</t>
  </si>
  <si>
    <t>群</t>
  </si>
  <si>
    <t>&lt;ruby&gt;群&lt;rt&gt;qún&lt;/rt&gt;&lt;/ruby&gt;</t>
  </si>
  <si>
    <t>qún</t>
  </si>
  <si>
    <t>bầy, đàn</t>
  </si>
  <si>
    <r>
      <rPr>
        <sz val="10"/>
        <color theme="1"/>
        <rFont val="Calibri"/>
      </rPr>
      <t>一</t>
    </r>
    <r>
      <rPr>
        <b/>
        <sz val="10"/>
        <color theme="1"/>
        <rFont val="Calibri"/>
      </rPr>
      <t>群</t>
    </r>
    <r>
      <rPr>
        <sz val="10"/>
        <color theme="1"/>
        <rFont val="Calibri"/>
      </rPr>
      <t>蝌蚪在湖边游来游去</t>
    </r>
  </si>
  <si>
    <t>Một bầy nòng nọc đang bơi quanh hồ.</t>
  </si>
  <si>
    <t>H5_B8_BG-34.png</t>
  </si>
  <si>
    <t>淘气</t>
  </si>
  <si>
    <t>&lt;ruby&gt;淘气&lt;rt&gt;táoqì&lt;/rt&gt;&lt;/ruby&gt;</t>
  </si>
  <si>
    <t>táoqì</t>
  </si>
  <si>
    <t>nghịch ngợm</t>
  </si>
  <si>
    <r>
      <rPr>
        <sz val="10"/>
        <color theme="1"/>
        <rFont val="Calibri"/>
      </rPr>
      <t>这些小猫非常</t>
    </r>
    <r>
      <rPr>
        <b/>
        <sz val="10"/>
        <color theme="1"/>
        <rFont val="Calibri"/>
      </rPr>
      <t>淘气</t>
    </r>
    <r>
      <rPr>
        <sz val="10"/>
        <color theme="1"/>
        <rFont val="Calibri"/>
      </rPr>
      <t>，喜欢咬鞋子和玩绳子。</t>
    </r>
  </si>
  <si>
    <t>Những chú mèo này  rất nghịch ngợm, thích cắn giày và chơi với sợi dây.</t>
  </si>
  <si>
    <t>H5_B8_BG-35.png</t>
  </si>
  <si>
    <t>调皮</t>
  </si>
  <si>
    <t>&lt;ruby&gt;调皮&lt;rt&gt;tiáopí&lt;/rt&gt;&lt;/ruby&gt;</t>
  </si>
  <si>
    <t>tiáopí</t>
  </si>
  <si>
    <t>nghịch ngợm, tinh nghịch</t>
  </si>
  <si>
    <r>
      <rPr>
        <sz val="10"/>
        <color theme="1"/>
        <rFont val="Calibri"/>
      </rPr>
      <t>这些孩子们非常</t>
    </r>
    <r>
      <rPr>
        <b/>
        <sz val="10"/>
        <color theme="1"/>
        <rFont val="Calibri"/>
      </rPr>
      <t>调皮</t>
    </r>
    <r>
      <rPr>
        <sz val="10"/>
        <color theme="1"/>
        <rFont val="Calibri"/>
      </rPr>
      <t>。</t>
    </r>
  </si>
  <si>
    <t>Những đứa trẻ này rất tinh nghịch.</t>
  </si>
  <si>
    <t>H5_B8_BG-36.png</t>
  </si>
  <si>
    <t>完整</t>
  </si>
  <si>
    <t>&lt;ruby&gt;完整&lt;rt&gt;wánzhěng&lt;/rt&gt;&lt;/ruby&gt;</t>
  </si>
  <si>
    <t>wánzhěng</t>
  </si>
  <si>
    <t>hoàn chỉnh, trọn vẹn</t>
  </si>
  <si>
    <r>
      <rPr>
        <sz val="10"/>
        <color theme="1"/>
        <rFont val="Calibri"/>
      </rPr>
      <t>只差一块拼图，我们就能拼出</t>
    </r>
    <r>
      <rPr>
        <b/>
        <sz val="10"/>
        <color theme="1"/>
        <rFont val="Calibri"/>
      </rPr>
      <t>完整</t>
    </r>
    <r>
      <rPr>
        <sz val="10"/>
        <color theme="1"/>
        <rFont val="Calibri"/>
      </rPr>
      <t>的图形了。</t>
    </r>
  </si>
  <si>
    <t>Một mảnh ghép nữa, ta sẽ có một hình vuông hoàn chỉnh.</t>
  </si>
  <si>
    <t>H5_B8_BG-37.png</t>
  </si>
  <si>
    <t>B8_37.mp3</t>
  </si>
  <si>
    <t>B8_VD_37.mp3</t>
  </si>
  <si>
    <t>整体</t>
  </si>
  <si>
    <t>&lt;ruby&gt;整体&lt;rt&gt;zhěngtǐ&lt;/rt&gt;&lt;/ruby&gt;</t>
  </si>
  <si>
    <t>zhěngtǐ</t>
  </si>
  <si>
    <t>chỉnh thể, toàn thể</t>
  </si>
  <si>
    <r>
      <rPr>
        <sz val="10"/>
        <color theme="1"/>
        <rFont val="Calibri"/>
      </rPr>
      <t>这座城市的</t>
    </r>
    <r>
      <rPr>
        <b/>
        <sz val="10"/>
        <color theme="1"/>
        <rFont val="Calibri"/>
      </rPr>
      <t>整体</t>
    </r>
    <r>
      <rPr>
        <sz val="10"/>
        <color theme="1"/>
        <rFont val="Calibri"/>
      </rPr>
      <t>交通系统需要改善。</t>
    </r>
  </si>
  <si>
    <t>Hệ thống giao thông của toàn thể thành phố này cần được cải thiện.</t>
  </si>
  <si>
    <t>H5_B8_BG-38.png</t>
  </si>
  <si>
    <t>B8_38.mp3</t>
  </si>
  <si>
    <t>B8_VD_38.mp3</t>
  </si>
  <si>
    <t>猪</t>
  </si>
  <si>
    <t>&lt;ruby&gt;猪&lt;rt&gt;zhū&lt;/rt&gt;&lt;/ruby&gt;</t>
  </si>
  <si>
    <t>zhū</t>
  </si>
  <si>
    <t>heo</t>
  </si>
  <si>
    <r>
      <rPr>
        <sz val="10"/>
        <color theme="1"/>
        <rFont val="Calibri"/>
      </rPr>
      <t>这只</t>
    </r>
    <r>
      <rPr>
        <b/>
        <sz val="10"/>
        <color theme="1"/>
        <rFont val="Calibri"/>
      </rPr>
      <t>猪</t>
    </r>
    <r>
      <rPr>
        <sz val="10"/>
        <color theme="1"/>
        <rFont val="Calibri"/>
      </rPr>
      <t>非常肥。</t>
    </r>
  </si>
  <si>
    <t>Con lợn này rất béo.</t>
  </si>
  <si>
    <t>H5_B8_BG-39.png</t>
  </si>
  <si>
    <t>B8_39.mp3</t>
  </si>
  <si>
    <t>B8_VD_39.mp3</t>
  </si>
  <si>
    <t>综合</t>
  </si>
  <si>
    <t>&lt;ruby&gt;综合&lt;rt&gt;zōnghé&lt;/rt&gt;&lt;/ruby&gt;</t>
  </si>
  <si>
    <t>zōnghé</t>
  </si>
  <si>
    <t>tổng hợp lại; tổng hợp</t>
  </si>
  <si>
    <r>
      <rPr>
        <sz val="10"/>
        <color theme="1"/>
        <rFont val="Calibri"/>
      </rPr>
      <t>这次考试</t>
    </r>
    <r>
      <rPr>
        <b/>
        <sz val="10"/>
        <color theme="1"/>
        <rFont val="Calibri"/>
      </rPr>
      <t>综合</t>
    </r>
    <r>
      <rPr>
        <sz val="10"/>
        <color theme="1"/>
        <rFont val="Calibri"/>
      </rPr>
      <t>了我学过的所有内容。</t>
    </r>
  </si>
  <si>
    <t>Đề thi lần này tổng hợp tất cả các nội dung  tôi  đã học.</t>
  </si>
  <si>
    <t>H5_B8_BG-40.png</t>
  </si>
  <si>
    <t>B8_40.mp3</t>
  </si>
  <si>
    <t>B8_VD_40.mp3</t>
  </si>
  <si>
    <t>朝三暮四</t>
  </si>
  <si>
    <t>&lt;ruby&gt;朝三暮四&lt;rt&gt;zhāosān mùsì &lt;/rt&gt;&lt;/ruby&gt;</t>
  </si>
  <si>
    <t xml:space="preserve">zhāosān mùsì </t>
  </si>
  <si>
    <t>sáng ba chiều bốn (thay đổi thất thường)</t>
  </si>
  <si>
    <r>
      <rPr>
        <sz val="11"/>
        <color rgb="FF000000"/>
        <rFont val="Calibri"/>
      </rPr>
      <t>他总是</t>
    </r>
    <r>
      <rPr>
        <b/>
        <sz val="11"/>
        <color rgb="FF000000"/>
        <rFont val="Calibri"/>
      </rPr>
      <t>朝三暮四</t>
    </r>
    <r>
      <rPr>
        <sz val="11"/>
        <color rgb="FF000000"/>
        <rFont val="Calibri"/>
      </rPr>
      <t>，今天喜欢这个，明天又不喜欢了。</t>
    </r>
  </si>
  <si>
    <t>Anh ấy rất thay đổi thất thường, hôm nay thích cái này, ngày mai lại không thích nữa.</t>
  </si>
  <si>
    <t>H5_B8_BG-41.png</t>
  </si>
  <si>
    <t>B8_41.mp3</t>
  </si>
  <si>
    <t>B8_VD_41.mp3</t>
  </si>
  <si>
    <t>哲学家</t>
  </si>
  <si>
    <t>&lt;ruby&gt;哲学家&lt;rt&gt;zhéxuéjiā&lt;/rt&gt;&lt;/ruby&gt;</t>
  </si>
  <si>
    <t>zhéxuéjiā</t>
  </si>
  <si>
    <t>nhà triết học</t>
  </si>
  <si>
    <r>
      <rPr>
        <sz val="11"/>
        <color rgb="FF000000"/>
        <rFont val="Calibri"/>
      </rPr>
      <t>他虽然年轻，但已经是一个著名的</t>
    </r>
    <r>
      <rPr>
        <b/>
        <sz val="11"/>
        <color rgb="FF000000"/>
        <rFont val="Calibri"/>
      </rPr>
      <t>哲学家</t>
    </r>
    <r>
      <rPr>
        <sz val="11"/>
        <color rgb="FF000000"/>
        <rFont val="Calibri"/>
      </rPr>
      <t>。</t>
    </r>
  </si>
  <si>
    <t>Dù còn rất trẻ, nhưng anh ấy đã là một trà triết học nổi tiếng.</t>
  </si>
  <si>
    <t>H5_B8_BG-42.png</t>
  </si>
  <si>
    <t>B8_42.mp3</t>
  </si>
  <si>
    <t>B8_VD_42.mp3</t>
  </si>
  <si>
    <t>寓言</t>
  </si>
  <si>
    <t>&lt;ruby&gt;寓言&lt;rt&gt;yùyán&lt;/rt&gt;&lt;/ruby&gt;</t>
  </si>
  <si>
    <t>yùyán</t>
  </si>
  <si>
    <t>truyện ngụ ngôn</t>
  </si>
  <si>
    <r>
      <rPr>
        <sz val="11"/>
        <color rgb="FF000000"/>
        <rFont val="Calibri"/>
      </rPr>
      <t>他很喜欢读</t>
    </r>
    <r>
      <rPr>
        <b/>
        <sz val="11"/>
        <color rgb="FF000000"/>
        <rFont val="Calibri"/>
      </rPr>
      <t>寓言</t>
    </r>
    <r>
      <rPr>
        <sz val="11"/>
        <color rgb="FF000000"/>
        <rFont val="Calibri"/>
      </rPr>
      <t>故事，因为这些故事总是包含深刻的道理。</t>
    </r>
  </si>
  <si>
    <t>Anh ấy rất thích đọc truyện ngụ ngôn vì chúng luôn chứa đựng những bài học sâu sắc.</t>
  </si>
  <si>
    <t>H5_B8_BG-43.png</t>
  </si>
  <si>
    <t>B8_43.mp3</t>
  </si>
  <si>
    <t>B8_VD_43.mp3</t>
  </si>
  <si>
    <t>保存</t>
  </si>
  <si>
    <t>&lt;ruby&gt;保存&lt;rt&gt;bǎocún&lt;/rt&gt;&lt;/ruby&gt;</t>
  </si>
  <si>
    <t>bǎocún</t>
  </si>
  <si>
    <t>giữ gìn, bảo tồn</t>
  </si>
  <si>
    <r>
      <rPr>
        <sz val="11"/>
        <color rgb="FF000000"/>
        <rFont val="Calibri"/>
      </rPr>
      <t>这个古建筑</t>
    </r>
    <r>
      <rPr>
        <b/>
        <sz val="11"/>
        <color rgb="FF000000"/>
        <rFont val="Calibri"/>
      </rPr>
      <t>保存</t>
    </r>
    <r>
      <rPr>
        <sz val="11"/>
        <color rgb="FF000000"/>
        <rFont val="Calibri"/>
      </rPr>
      <t>得非常完好。</t>
    </r>
  </si>
  <si>
    <t>Công trình cổ này được bảo tồn rất tốt.</t>
  </si>
  <si>
    <t>H5_B9_BG-01.png</t>
  </si>
  <si>
    <t>表现</t>
  </si>
  <si>
    <t>&lt;ruby&gt;表现&lt;rt&gt;biǎoxiàn&lt;/rt&gt;&lt;/ruby&gt;</t>
  </si>
  <si>
    <t>biǎoxiàn</t>
  </si>
  <si>
    <t>thể hiện; biểu hiện</t>
  </si>
  <si>
    <r>
      <rPr>
        <sz val="11"/>
        <color rgb="FF000000"/>
        <rFont val="Calibri"/>
      </rPr>
      <t>他在音乐比赛中</t>
    </r>
    <r>
      <rPr>
        <b/>
        <sz val="11"/>
        <color rgb="FF000000"/>
        <rFont val="Calibri"/>
      </rPr>
      <t>表现</t>
    </r>
    <r>
      <rPr>
        <sz val="11"/>
        <color rgb="FF000000"/>
        <rFont val="Calibri"/>
      </rPr>
      <t>得非常出色。</t>
    </r>
  </si>
  <si>
    <t>Cậu ấy thể hiện rất xuất sắc trong cuộc thi âm nhạc.</t>
  </si>
  <si>
    <t>H5_B9_BG-02.png</t>
  </si>
  <si>
    <t>地道</t>
  </si>
  <si>
    <t>&lt;ruby&gt;地道&lt;rt&gt;dìdao&lt;/rt&gt;&lt;/ruby&gt;</t>
  </si>
  <si>
    <t>dìdao</t>
  </si>
  <si>
    <t>đích thực, chân chính, chính cống</t>
  </si>
  <si>
    <r>
      <rPr>
        <sz val="10"/>
        <color theme="1"/>
        <rFont val="Calibri"/>
      </rPr>
      <t>这家咖啡厅的越南咖啡很</t>
    </r>
    <r>
      <rPr>
        <b/>
        <sz val="10"/>
        <color theme="1"/>
        <rFont val="Calibri"/>
      </rPr>
      <t>地道</t>
    </r>
    <r>
      <rPr>
        <sz val="10"/>
        <color theme="1"/>
        <rFont val="Calibri"/>
      </rPr>
      <t>。</t>
    </r>
  </si>
  <si>
    <t>Cà phê Việt Nam ở quán cà phê này rất chuẩn vị.</t>
  </si>
  <si>
    <t>H5_B9_BG-03.png</t>
  </si>
  <si>
    <t>点心</t>
  </si>
  <si>
    <t>&lt;ruby&gt;点心&lt;rt&gt;diănxin&lt;/rt&gt;&lt;/ruby&gt;</t>
  </si>
  <si>
    <t>diănxin</t>
  </si>
  <si>
    <t>bánh ngọt, điểm tâm</t>
  </si>
  <si>
    <r>
      <rPr>
        <sz val="11"/>
        <color rgb="FF000000"/>
        <rFont val="Calibri"/>
      </rPr>
      <t xml:space="preserve"> 今天早上妈妈为我准备了一桌非常好吃的</t>
    </r>
    <r>
      <rPr>
        <b/>
        <sz val="11"/>
        <color rgb="FF000000"/>
        <rFont val="Calibri"/>
      </rPr>
      <t>点心</t>
    </r>
    <r>
      <rPr>
        <sz val="11"/>
        <color rgb="FF000000"/>
        <rFont val="Calibri"/>
      </rPr>
      <t>。</t>
    </r>
  </si>
  <si>
    <t>Sáng nay mẹ đã chuẩn bị cho tôi một bàn điểm tâm rất ngon.</t>
  </si>
  <si>
    <t>H5_B9_BG-04.png</t>
  </si>
  <si>
    <t>讲究</t>
  </si>
  <si>
    <t>&lt;ruby&gt;讲究&lt;rt&gt;jiăngjiu&lt;/rt&gt;&lt;/ruby&gt;</t>
  </si>
  <si>
    <t>jiăngjiu</t>
  </si>
  <si>
    <t>chú ý, chú trọng; đẹp đẽ</t>
  </si>
  <si>
    <r>
      <rPr>
        <sz val="11"/>
        <color rgb="FF000000"/>
        <rFont val="Calibri"/>
      </rPr>
      <t>他很</t>
    </r>
    <r>
      <rPr>
        <b/>
        <sz val="11"/>
        <color rgb="FF000000"/>
        <rFont val="Calibri"/>
      </rPr>
      <t>讲究</t>
    </r>
    <r>
      <rPr>
        <sz val="11"/>
        <color rgb="FF000000"/>
        <rFont val="Calibri"/>
      </rPr>
      <t>健康，所以他总是早起锻炼身体。</t>
    </r>
  </si>
  <si>
    <t>Anh ấy rất chú trọng đến sức khỏe, vì thế anh ấy luôn dậy sớm và tập thể dục.</t>
  </si>
  <si>
    <t>H5_B9_BG-05.png</t>
  </si>
  <si>
    <t>戒</t>
  </si>
  <si>
    <t>&lt;ruby&gt;戒&lt;rt&gt;jiè&lt;/rt&gt;&lt;/ruby&gt;</t>
  </si>
  <si>
    <t>cai, bỏ</t>
  </si>
  <si>
    <r>
      <rPr>
        <sz val="11"/>
        <color rgb="FF000000"/>
        <rFont val="Calibri"/>
      </rPr>
      <t>他决定</t>
    </r>
    <r>
      <rPr>
        <b/>
        <sz val="11"/>
        <color rgb="FF000000"/>
        <rFont val="Calibri"/>
      </rPr>
      <t>戒</t>
    </r>
    <r>
      <rPr>
        <sz val="11"/>
        <color rgb="FF000000"/>
        <rFont val="Calibri"/>
      </rPr>
      <t>烟，开始过上更健康的生活。</t>
    </r>
  </si>
  <si>
    <t>Anh ấy quyết định bỏ thuốc lá, bắt đầu sống một cuộc sống lành mạnh hơn.</t>
  </si>
  <si>
    <t>H5_B9_BG-06.png</t>
  </si>
  <si>
    <t>亲自</t>
  </si>
  <si>
    <t>&lt;ruby&gt;亲自&lt;rt&gt;qīnzì&lt;/rt&gt;&lt;/ruby&gt;</t>
  </si>
  <si>
    <t>qīnzì</t>
  </si>
  <si>
    <t>tự, đích thân</t>
  </si>
  <si>
    <r>
      <rPr>
        <sz val="11"/>
        <color rgb="FF000000"/>
        <rFont val="Calibri"/>
      </rPr>
      <t>我</t>
    </r>
    <r>
      <rPr>
        <b/>
        <sz val="11"/>
        <color rgb="FF000000"/>
        <rFont val="Calibri"/>
      </rPr>
      <t>亲自</t>
    </r>
    <r>
      <rPr>
        <sz val="11"/>
        <color rgb="FF000000"/>
        <rFont val="Calibri"/>
      </rPr>
      <t>把妈妈刚洗的衣服都晒好了。</t>
    </r>
  </si>
  <si>
    <t>Tôi tự mình phơi hết chỗ đồ mẹ mới giặt.</t>
  </si>
  <si>
    <t>H5_B9_BG-07.png</t>
  </si>
  <si>
    <t>胃</t>
  </si>
  <si>
    <t>&lt;ruby&gt;胃&lt;rt&gt;wèi&lt;/rt&gt;&lt;/ruby&gt;</t>
  </si>
  <si>
    <t>dạ dày, bao tử</t>
  </si>
  <si>
    <r>
      <rPr>
        <sz val="11"/>
        <color rgb="FF000000"/>
        <rFont val="Calibri"/>
      </rPr>
      <t>我肚子疼，可能是</t>
    </r>
    <r>
      <rPr>
        <b/>
        <sz val="11"/>
        <color rgb="FF000000"/>
        <rFont val="Calibri"/>
      </rPr>
      <t>胃</t>
    </r>
    <r>
      <rPr>
        <sz val="11"/>
        <color rgb="FF000000"/>
        <rFont val="Calibri"/>
      </rPr>
      <t>不舒服。</t>
    </r>
  </si>
  <si>
    <t>Tôi đau bụng, có thể là do dạ dày không thoải mái.</t>
  </si>
  <si>
    <t>H5_B9_BG-08.png</t>
  </si>
  <si>
    <t>胃口</t>
  </si>
  <si>
    <t>&lt;ruby&gt;胃口&lt;rt&gt;wèikǒu&lt;/rt&gt;&lt;/ruby&gt;</t>
  </si>
  <si>
    <t>wèikǒu</t>
  </si>
  <si>
    <t>khẩu vị, sự thèm ăn</t>
  </si>
  <si>
    <r>
      <rPr>
        <sz val="11"/>
        <color rgb="FF000000"/>
        <rFont val="Calibri"/>
      </rPr>
      <t>这道菜很好吃，大家都说很合</t>
    </r>
    <r>
      <rPr>
        <b/>
        <sz val="11"/>
        <color rgb="FF000000"/>
        <rFont val="Calibri"/>
      </rPr>
      <t>胃口</t>
    </r>
    <r>
      <rPr>
        <sz val="11"/>
        <color rgb="FF000000"/>
        <rFont val="Calibri"/>
      </rPr>
      <t>。</t>
    </r>
  </si>
  <si>
    <t>Món ăn này rất ngon, mọi người đều nói có khẩu vị.</t>
  </si>
  <si>
    <t>H5_B9_BG-09.png</t>
  </si>
  <si>
    <t>招待</t>
  </si>
  <si>
    <t>&lt;ruby&gt;招待&lt;rt&gt;zhāodài&lt;/rt&gt;&lt;/ruby&gt;</t>
  </si>
  <si>
    <t>zhāodài</t>
  </si>
  <si>
    <t>chiêu đãi, thết đãi</t>
  </si>
  <si>
    <r>
      <rPr>
        <sz val="11"/>
        <color rgb="FF000000"/>
        <rFont val="Calibri"/>
      </rPr>
      <t>为了庆祝找到新工作，他</t>
    </r>
    <r>
      <rPr>
        <b/>
        <sz val="11"/>
        <color rgb="FF000000"/>
        <rFont val="Calibri"/>
      </rPr>
      <t>招待</t>
    </r>
    <r>
      <rPr>
        <sz val="11"/>
        <color rgb="FF000000"/>
        <rFont val="Calibri"/>
      </rPr>
      <t>我喝咖啡。</t>
    </r>
  </si>
  <si>
    <t>Nhân dịp tìm đượ công việc mới, anh ấy chiêu đãi tôi uống caffe.</t>
  </si>
  <si>
    <t>H5_B9_BG-10.png</t>
  </si>
  <si>
    <t>行家</t>
  </si>
  <si>
    <t>&lt;ruby&gt;行家&lt;rt&gt;hángjia&lt;/rt&gt;&lt;/ruby&gt;</t>
  </si>
  <si>
    <t>hángjia</t>
  </si>
  <si>
    <t>người trong nghề, người thạo nghề</t>
  </si>
  <si>
    <r>
      <rPr>
        <sz val="11"/>
        <color rgb="FF000000"/>
        <rFont val="Calibri"/>
      </rPr>
      <t>她是一个烹饪</t>
    </r>
    <r>
      <rPr>
        <b/>
        <sz val="11"/>
        <color rgb="FF000000"/>
        <rFont val="Calibri"/>
      </rPr>
      <t>行家</t>
    </r>
    <r>
      <rPr>
        <sz val="11"/>
        <color rgb="FF000000"/>
        <rFont val="Calibri"/>
      </rPr>
      <t>，她做的菜非常好吃。</t>
    </r>
  </si>
  <si>
    <t>Cố ấy là một người thạo nghề nấu ăn, món ăn cô ấy làm rất ngon.</t>
  </si>
  <si>
    <t>H5_B9_BG-11.png</t>
  </si>
  <si>
    <t>见解</t>
  </si>
  <si>
    <t>&lt;ruby&gt;见解&lt;rt&gt;jiànjiě&lt;/rt&gt;&lt;/ruby&gt;</t>
  </si>
  <si>
    <t>jiànjiě</t>
  </si>
  <si>
    <t>cách nhìn, quan niệm</t>
  </si>
  <si>
    <r>
      <rPr>
        <sz val="11"/>
        <color rgb="FF000000"/>
        <rFont val="Calibri"/>
      </rPr>
      <t>我们的</t>
    </r>
    <r>
      <rPr>
        <b/>
        <sz val="11"/>
        <color rgb="FF000000"/>
        <rFont val="Calibri"/>
      </rPr>
      <t>见解</t>
    </r>
    <r>
      <rPr>
        <sz val="11"/>
        <color rgb="FF000000"/>
        <rFont val="Calibri"/>
      </rPr>
      <t>不同，所以我们经常发生矛盾。</t>
    </r>
  </si>
  <si>
    <t>Quan điểm của chúng tôi khác nhau, vì thế chúng tôi thường xuyên bất hòa.</t>
  </si>
  <si>
    <t>H5_B9_BG-12.png</t>
  </si>
  <si>
    <t>光临</t>
  </si>
  <si>
    <t>&lt;ruby&gt;光临&lt;rt&gt;guānglín&lt;/rt&gt;&lt;/ruby&gt;</t>
  </si>
  <si>
    <t>guānglín</t>
  </si>
  <si>
    <t>đến dự, hay lui tới</t>
  </si>
  <si>
    <r>
      <rPr>
        <sz val="11"/>
        <color rgb="FF000000"/>
        <rFont val="Calibri"/>
      </rPr>
      <t>欢迎</t>
    </r>
    <r>
      <rPr>
        <b/>
        <sz val="11"/>
        <color rgb="FF000000"/>
        <rFont val="Calibri"/>
      </rPr>
      <t>光临</t>
    </r>
    <r>
      <rPr>
        <sz val="11"/>
        <color rgb="FF000000"/>
        <rFont val="Calibri"/>
      </rPr>
      <t>！</t>
    </r>
  </si>
  <si>
    <t>Chào mừng quý khách!</t>
  </si>
  <si>
    <t>H5_B9_BG-13.png</t>
  </si>
  <si>
    <t>胡同</t>
  </si>
  <si>
    <t>&lt;ruby&gt;胡同&lt;rt&gt;hútòng&lt;/rt&gt;&lt;/ruby&gt;</t>
  </si>
  <si>
    <t>hútòng</t>
  </si>
  <si>
    <t>ngõ hẻm</t>
  </si>
  <si>
    <r>
      <rPr>
        <sz val="11"/>
        <color rgb="FF000000"/>
        <rFont val="Calibri"/>
      </rPr>
      <t>我的家住在靠近海边的一个</t>
    </r>
    <r>
      <rPr>
        <b/>
        <sz val="11"/>
        <color rgb="FF000000"/>
        <rFont val="Calibri"/>
      </rPr>
      <t>胡同</t>
    </r>
    <r>
      <rPr>
        <sz val="11"/>
        <color rgb="FF000000"/>
        <rFont val="Calibri"/>
      </rPr>
      <t>里。</t>
    </r>
  </si>
  <si>
    <t>Gia đình tôi sống trong một ngõ hẻm gần biển.</t>
  </si>
  <si>
    <t>H5_B9_BG-14.png</t>
  </si>
  <si>
    <t>时尚</t>
  </si>
  <si>
    <t>&lt;ruby&gt;时尚&lt;rt&gt;shíshàng&lt;/rt&gt;&lt;/ruby&gt;</t>
  </si>
  <si>
    <t>shíshàng</t>
  </si>
  <si>
    <t>mốt, thời trang</t>
  </si>
  <si>
    <r>
      <rPr>
        <sz val="11"/>
        <color rgb="FF000000"/>
        <rFont val="Calibri"/>
      </rPr>
      <t>她穿的那套衣服非常</t>
    </r>
    <r>
      <rPr>
        <b/>
        <sz val="11"/>
        <color rgb="FF000000"/>
        <rFont val="Calibri"/>
      </rPr>
      <t>时尚</t>
    </r>
    <r>
      <rPr>
        <sz val="11"/>
        <color rgb="FF000000"/>
        <rFont val="Calibri"/>
      </rPr>
      <t>。</t>
    </r>
  </si>
  <si>
    <t>Bộ đồ cô ấy mặc rất thời trang.</t>
  </si>
  <si>
    <t>H5_B9_BG-15.png</t>
  </si>
  <si>
    <t>首</t>
  </si>
  <si>
    <t>&lt;ruby&gt;首&lt;rt&gt;shǒu&lt;/rt&gt;&lt;/ruby&gt;</t>
  </si>
  <si>
    <t>người (vật) đứng đầu; bài (hát)</t>
  </si>
  <si>
    <r>
      <rPr>
        <sz val="11"/>
        <color rgb="FF000000"/>
        <rFont val="Calibri"/>
      </rPr>
      <t>他是我们部落的</t>
    </r>
    <r>
      <rPr>
        <b/>
        <sz val="11"/>
        <color rgb="FF000000"/>
        <rFont val="Calibri"/>
      </rPr>
      <t>首</t>
    </r>
    <r>
      <rPr>
        <sz val="11"/>
        <color rgb="FF000000"/>
        <rFont val="Calibri"/>
      </rPr>
      <t>领。</t>
    </r>
  </si>
  <si>
    <t>Ông ấy là thủ lĩnh của bộ tộc chúng tôi.</t>
  </si>
  <si>
    <t>H5_B9_BG-16.png</t>
  </si>
  <si>
    <t>位于</t>
  </si>
  <si>
    <t>&lt;ruby&gt;位于&lt;rt&gt;wèiyú&lt;/rt&gt;&lt;/ruby&gt;</t>
  </si>
  <si>
    <t>wèiyú</t>
  </si>
  <si>
    <t>nằm ở</t>
  </si>
  <si>
    <r>
      <rPr>
        <sz val="11"/>
        <color rgb="FF000000"/>
        <rFont val="Calibri"/>
      </rPr>
      <t>万里长城</t>
    </r>
    <r>
      <rPr>
        <b/>
        <sz val="11"/>
        <color rgb="FF000000"/>
        <rFont val="Calibri"/>
      </rPr>
      <t>位于</t>
    </r>
    <r>
      <rPr>
        <sz val="11"/>
        <color rgb="FF000000"/>
        <rFont val="Calibri"/>
      </rPr>
      <t>中国的北方。</t>
    </r>
  </si>
  <si>
    <t>Vạn Lý Trường Thành nằm ở phía Bắc của Trung Quốc.</t>
  </si>
  <si>
    <t>H5_B9_BG-17.png</t>
  </si>
  <si>
    <t>文学家</t>
  </si>
  <si>
    <t>&lt;ruby&gt;文学家&lt;rt&gt;wénxuéjiā&lt;/rt&gt;&lt;/ruby&gt;</t>
  </si>
  <si>
    <t>wénxuéjiā</t>
  </si>
  <si>
    <r>
      <rPr>
        <sz val="11"/>
        <color rgb="FF000000"/>
        <rFont val="Calibri"/>
      </rPr>
      <t>我一直希望将来能成为一名著名的</t>
    </r>
    <r>
      <rPr>
        <b/>
        <sz val="11"/>
        <color rgb="FF000000"/>
        <rFont val="Calibri"/>
      </rPr>
      <t>文学家</t>
    </r>
    <r>
      <rPr>
        <sz val="11"/>
        <color rgb="FF000000"/>
        <rFont val="Calibri"/>
      </rPr>
      <t>。</t>
    </r>
  </si>
  <si>
    <t>Tôi luôn mong rằng sau này tôi sẽ là một nhà văn nổi tiếng.</t>
  </si>
  <si>
    <t>H5_B9_BG-18.png</t>
  </si>
  <si>
    <t>写作</t>
  </si>
  <si>
    <t>&lt;ruby&gt;写作&lt;rt&gt;xiězuò&lt;/rt&gt;&lt;/ruby&gt;</t>
  </si>
  <si>
    <t>xiězuò</t>
  </si>
  <si>
    <t>sáng tác</t>
  </si>
  <si>
    <r>
      <rPr>
        <sz val="11"/>
        <color rgb="FF000000"/>
        <rFont val="Calibri"/>
      </rPr>
      <t>虽然年纪小，这个男孩已经能自己</t>
    </r>
    <r>
      <rPr>
        <b/>
        <sz val="11"/>
        <color rgb="FF000000"/>
        <rFont val="Calibri"/>
      </rPr>
      <t>写作</t>
    </r>
    <r>
      <rPr>
        <sz val="11"/>
        <color rgb="FF000000"/>
        <rFont val="Calibri"/>
      </rPr>
      <t>出动听的歌曲了。</t>
    </r>
  </si>
  <si>
    <t>Tuy nhỏ tuổi nhưng thằng bé đã có thể tự sáng tác các ca khúc hay.</t>
  </si>
  <si>
    <t>H5_B9_BG-19.png</t>
  </si>
  <si>
    <t>形容</t>
  </si>
  <si>
    <t>&lt;ruby&gt;形容&lt;rt&gt;xíngróng&lt;/rt&gt;&lt;/ruby&gt;</t>
  </si>
  <si>
    <t>xíngróng</t>
  </si>
  <si>
    <t>hình dung, miêu tả</t>
  </si>
  <si>
    <r>
      <rPr>
        <sz val="11"/>
        <color rgb="FF000000"/>
        <rFont val="Calibri"/>
      </rPr>
      <t>这座山的美丽无法用语言</t>
    </r>
    <r>
      <rPr>
        <b/>
        <sz val="11"/>
        <color rgb="FF000000"/>
        <rFont val="Calibri"/>
      </rPr>
      <t>形容</t>
    </r>
    <r>
      <rPr>
        <sz val="11"/>
        <color rgb="FF000000"/>
        <rFont val="Calibri"/>
      </rPr>
      <t>。</t>
    </r>
  </si>
  <si>
    <t>Vẻ đẹp của ngọn núi này không thể dùng lời để miêu tả.</t>
  </si>
  <si>
    <t>H5_B9_BG-20.png</t>
  </si>
  <si>
    <t>形象</t>
  </si>
  <si>
    <t>&lt;ruby&gt;形象&lt;rt&gt;xíngxiàng&lt;/rt&gt;&lt;/ruby&gt;</t>
  </si>
  <si>
    <t>xíngxiàng</t>
  </si>
  <si>
    <t>sinh động</t>
  </si>
  <si>
    <r>
      <rPr>
        <sz val="11"/>
        <color rgb="FF000000"/>
        <rFont val="Calibri"/>
      </rPr>
      <t>这幅画的</t>
    </r>
    <r>
      <rPr>
        <b/>
        <sz val="11"/>
        <color rgb="FF000000"/>
        <rFont val="Calibri"/>
      </rPr>
      <t>形象</t>
    </r>
    <r>
      <rPr>
        <sz val="11"/>
        <color rgb="FF000000"/>
        <rFont val="Calibri"/>
      </rPr>
      <t>非常生动。</t>
    </r>
  </si>
  <si>
    <t>Hình ảnh trong bức tranh này rất sinh động.</t>
  </si>
  <si>
    <t>H5_B9_BG-21.png</t>
  </si>
  <si>
    <t>学问</t>
  </si>
  <si>
    <t>&lt;ruby&gt;学问&lt;rt&gt;xuéwen&lt;/rt&gt;&lt;/ruby&gt;</t>
  </si>
  <si>
    <t>xuéwen</t>
  </si>
  <si>
    <t>tri thức, học thức</t>
  </si>
  <si>
    <r>
      <rPr>
        <sz val="11"/>
        <color rgb="FF000000"/>
        <rFont val="Calibri"/>
      </rPr>
      <t>他有着非常渊博的</t>
    </r>
    <r>
      <rPr>
        <b/>
        <sz val="11"/>
        <color rgb="FF000000"/>
        <rFont val="Calibri"/>
      </rPr>
      <t>学问</t>
    </r>
    <r>
      <rPr>
        <sz val="11"/>
        <color rgb="FF000000"/>
        <rFont val="Calibri"/>
      </rPr>
      <t>。</t>
    </r>
  </si>
  <si>
    <t>Anh ấy có một học thức rất sâu rộng.</t>
  </si>
  <si>
    <t>H5_B9_BG-22.png</t>
  </si>
  <si>
    <t>资料</t>
  </si>
  <si>
    <t>&lt;ruby&gt;资料&lt;rt&gt;zīliào&lt;/rt&gt;&lt;/ruby&gt;</t>
  </si>
  <si>
    <t>zīliào</t>
  </si>
  <si>
    <t>tài liệu, tư liệu</t>
  </si>
  <si>
    <r>
      <rPr>
        <sz val="11"/>
        <color rgb="FF000000"/>
        <rFont val="Calibri"/>
      </rPr>
      <t>我必须加班准备明天会议的</t>
    </r>
    <r>
      <rPr>
        <b/>
        <sz val="11"/>
        <color rgb="FF000000"/>
        <rFont val="Calibri"/>
      </rPr>
      <t>资料</t>
    </r>
    <r>
      <rPr>
        <sz val="11"/>
        <color rgb="FF000000"/>
        <rFont val="Calibri"/>
      </rPr>
      <t>。</t>
    </r>
  </si>
  <si>
    <t>Tôi phải tăng ca để chuẩn bị tài liệu cho cuộc họp ngày mai.</t>
  </si>
  <si>
    <t>H5_B9_BG-23.png</t>
  </si>
  <si>
    <t>近代</t>
  </si>
  <si>
    <t>&lt;ruby&gt;近代&lt;rt&gt;jìndài&lt;/rt&gt;&lt;/ruby&gt;</t>
  </si>
  <si>
    <t>jìndài</t>
  </si>
  <si>
    <t>thời cận đại (chỉ khoảng thời gian từ giữa thế kỷ 19 đến năm 1919 trong lịch sử Trung Quốc)</t>
  </si>
  <si>
    <r>
      <rPr>
        <b/>
        <sz val="10"/>
        <color rgb="FF0E0E0E"/>
        <rFont val="Calibri"/>
      </rPr>
      <t>近代</t>
    </r>
    <r>
      <rPr>
        <sz val="10"/>
        <color rgb="FF0E0E0E"/>
        <rFont val="Calibri"/>
      </rPr>
      <t>的蒸汽火车改变了人们的出行方式。</t>
    </r>
  </si>
  <si>
    <t>Tàu hỏa hơi nước thời cận đại đã thay đổi cách con người di chuyển.</t>
  </si>
  <si>
    <t>H5_B9_BG-24.png</t>
  </si>
  <si>
    <t>蒙眬</t>
  </si>
  <si>
    <t>&lt;ruby&gt;蒙眬&lt;rt&gt;ménglóng&lt;/rt&gt;&lt;/ruby&gt;</t>
  </si>
  <si>
    <t>ménglóng</t>
  </si>
  <si>
    <t>lờ mờ, mơ màng, mờ ảo</t>
  </si>
  <si>
    <r>
      <rPr>
        <sz val="11"/>
        <color rgb="FF000000"/>
        <rFont val="Calibri"/>
      </rPr>
      <t>他的眼睛</t>
    </r>
    <r>
      <rPr>
        <b/>
        <sz val="11"/>
        <color rgb="FF000000"/>
        <rFont val="Calibri"/>
      </rPr>
      <t>蒙眬</t>
    </r>
    <r>
      <rPr>
        <sz val="11"/>
        <color rgb="FF000000"/>
        <rFont val="Calibri"/>
      </rPr>
      <t>，看不清楚东西。</t>
    </r>
  </si>
  <si>
    <t>Đôi mắt của anh ấy lờ mờ, không thể nhìn rõ.</t>
  </si>
  <si>
    <t>H5_B9_BG-25.png</t>
  </si>
  <si>
    <t>悠悠</t>
  </si>
  <si>
    <t>&lt;ruby&gt;悠悠&lt;rt&gt;yōuyōu&lt;/rt&gt;&lt;/ruby&gt;</t>
  </si>
  <si>
    <t>yōuyōu</t>
  </si>
  <si>
    <t>thong thả, ung dung</t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</si>
  <si>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悠悠</t>
    </r>
    <r>
      <rPr>
        <sz val="11"/>
        <color rgb="FF000000"/>
        <rFont val="Calibri"/>
      </rPr>
      <t>地带着宠物狗在公园散步。</t>
    </r>
  </si>
  <si>
    <t>Cô ấy thong thả dắt cún cưng đi dạo trong công viên.</t>
  </si>
  <si>
    <t>H5_B9_BG-26.png</t>
  </si>
  <si>
    <t>曾经</t>
  </si>
  <si>
    <t>&lt;ruby&gt;曾经&lt;rt&gt;céngjīng&lt;/rt&gt;&lt;/ruby&gt;</t>
  </si>
  <si>
    <t>céngjīng</t>
  </si>
  <si>
    <t>đã từng</t>
  </si>
  <si>
    <r>
      <rPr>
        <sz val="11"/>
        <color rgb="FF000000"/>
        <rFont val="Calibri"/>
      </rPr>
      <t>我们一家人</t>
    </r>
    <r>
      <rPr>
        <b/>
        <sz val="11"/>
        <color rgb="FF000000"/>
        <rFont val="Calibri"/>
      </rPr>
      <t>曾经</t>
    </r>
    <r>
      <rPr>
        <sz val="11"/>
        <color rgb="FF000000"/>
        <rFont val="Calibri"/>
      </rPr>
      <t>一起去过很多地方旅游。</t>
    </r>
  </si>
  <si>
    <t>gia đình tôi đã từng cùng nhau du lịch nhiều nơi.</t>
  </si>
  <si>
    <t>H5_B9_BG-27.png</t>
  </si>
  <si>
    <t>大方</t>
  </si>
  <si>
    <t>&lt;ruby&gt;大方&lt;rt&gt;dàfang&lt;/rt&gt;&lt;/ruby&gt;</t>
  </si>
  <si>
    <t>dàfang</t>
  </si>
  <si>
    <t>rộng rãi, hào phóng</t>
  </si>
  <si>
    <r>
      <rPr>
        <sz val="11"/>
        <color rgb="FF000000"/>
        <rFont val="Calibri"/>
      </rPr>
      <t>她是一个非常</t>
    </r>
    <r>
      <rPr>
        <b/>
        <sz val="11"/>
        <color rgb="FF000000"/>
        <rFont val="Calibri"/>
      </rPr>
      <t>大方</t>
    </r>
    <r>
      <rPr>
        <sz val="11"/>
        <color rgb="FF000000"/>
        <rFont val="Calibri"/>
      </rPr>
      <t>的人，总是把好吃的分享给朋友们。</t>
    </r>
  </si>
  <si>
    <t>Cô ấy là một người rất hào phóng, luôn chia đồ ăn ngon cho bạn bè.</t>
  </si>
  <si>
    <t>H5_B9_BG-28.png</t>
  </si>
  <si>
    <t>高档</t>
  </si>
  <si>
    <t>&lt;ruby&gt;高档&lt;rt&gt;gāodàng&lt;/rt&gt;&lt;/ruby&gt;</t>
  </si>
  <si>
    <t>gāodàng</t>
  </si>
  <si>
    <t>hảo hạng, cao cấp</t>
  </si>
  <si>
    <r>
      <rPr>
        <sz val="11"/>
        <color rgb="FF000000"/>
        <rFont val="Calibri"/>
      </rPr>
      <t>这块手表是一个</t>
    </r>
    <r>
      <rPr>
        <b/>
        <sz val="11"/>
        <color rgb="FF000000"/>
        <rFont val="Calibri"/>
      </rPr>
      <t>高档</t>
    </r>
    <r>
      <rPr>
        <sz val="11"/>
        <color rgb="FF000000"/>
        <rFont val="Calibri"/>
      </rPr>
      <t>品牌的产品。</t>
    </r>
  </si>
  <si>
    <t>Chiếc đồng hồ này là của một thương hiệu cao cấp.</t>
  </si>
  <si>
    <t>H5_B9_BG-29.png</t>
  </si>
  <si>
    <t>豪华</t>
  </si>
  <si>
    <t>&lt;ruby&gt;豪华&lt;rt&gt;háohuá&lt;/rt&gt;&lt;/ruby&gt;</t>
  </si>
  <si>
    <t>háohuá</t>
  </si>
  <si>
    <t>sang trọng, lộng lẫy</t>
  </si>
  <si>
    <r>
      <rPr>
        <sz val="11"/>
        <color rgb="FF000000"/>
        <rFont val="Calibri"/>
      </rPr>
      <t>这家酒店的大堂非常</t>
    </r>
    <r>
      <rPr>
        <b/>
        <sz val="11"/>
        <color rgb="FF000000"/>
        <rFont val="Calibri"/>
      </rPr>
      <t>豪华</t>
    </r>
    <r>
      <rPr>
        <sz val="11"/>
        <color rgb="FF000000"/>
        <rFont val="Calibri"/>
      </rPr>
      <t>。</t>
    </r>
  </si>
  <si>
    <t>Sảnh của khách sạn này rất sang trọng.</t>
  </si>
  <si>
    <t>H5_B9_BG-30.png</t>
  </si>
  <si>
    <t>好客</t>
  </si>
  <si>
    <t>&lt;ruby&gt;好客&lt;rt&gt;hàokè&lt;/rt&gt;&lt;/ruby&gt;</t>
  </si>
  <si>
    <t>hàokè</t>
  </si>
  <si>
    <t>hiếu khách, mến khách</t>
  </si>
  <si>
    <r>
      <rPr>
        <sz val="11"/>
        <color rgb="FF000000"/>
        <rFont val="Calibri"/>
      </rPr>
      <t>他是一个很热情</t>
    </r>
    <r>
      <rPr>
        <b/>
        <sz val="11"/>
        <color rgb="FF000000"/>
        <rFont val="Calibri"/>
      </rPr>
      <t>好客</t>
    </r>
    <r>
      <rPr>
        <sz val="11"/>
        <color rgb="FF000000"/>
        <rFont val="Calibri"/>
      </rPr>
      <t>的人，经常邀请朋友来家里。</t>
    </r>
  </si>
  <si>
    <t>Anh ấy là một người rất hiếu khách, thường xuyên mời bạn bè đến nhà.</t>
  </si>
  <si>
    <t>H5_B9_BG-31.png</t>
  </si>
  <si>
    <t>呼朋唤友</t>
  </si>
  <si>
    <t>&lt;ruby&gt;呼朋唤友&lt;rt&gt;hūpéng huànyǒu&lt;/rt&gt;&lt;/ruby&gt;</t>
  </si>
  <si>
    <t>hūpéng huànyǒu</t>
  </si>
  <si>
    <t>mời mọc bạn bè, tập hợp bạn bè</t>
  </si>
  <si>
    <r>
      <rPr>
        <sz val="11"/>
        <color rgb="FF000000"/>
        <rFont val="Calibri"/>
      </rPr>
      <t>我常常</t>
    </r>
    <r>
      <rPr>
        <b/>
        <sz val="11"/>
        <color rgb="FF000000"/>
        <rFont val="Calibri"/>
      </rPr>
      <t>呼朋唤友</t>
    </r>
    <r>
      <rPr>
        <sz val="11"/>
        <color rgb="FF000000"/>
        <rFont val="Calibri"/>
      </rPr>
      <t>来家里一起学习。</t>
    </r>
  </si>
  <si>
    <t>Tôi thường mời bạn bè đén nhà mình học nhóm.</t>
  </si>
  <si>
    <t>H5_B9_BG-32.png</t>
  </si>
  <si>
    <t>交际</t>
  </si>
  <si>
    <t>&lt;ruby&gt;交际&lt;rt&gt;jiāojì&lt;/rt&gt;&lt;/ruby&gt;</t>
  </si>
  <si>
    <t>jiāojì</t>
  </si>
  <si>
    <t>xã giao, sự giao thiệp</t>
  </si>
  <si>
    <r>
      <rPr>
        <sz val="11"/>
        <color rgb="FF000000"/>
        <rFont val="Calibri"/>
      </rPr>
      <t>她很擅长</t>
    </r>
    <r>
      <rPr>
        <b/>
        <sz val="11"/>
        <color rgb="FF000000"/>
        <rFont val="Calibri"/>
      </rPr>
      <t>交际</t>
    </r>
    <r>
      <rPr>
        <sz val="11"/>
        <color rgb="FF000000"/>
        <rFont val="Calibri"/>
      </rPr>
      <t>，认识了很多人。</t>
    </r>
  </si>
  <si>
    <t>Cô ấy rất giỏi trong việc giao thiệp, quen biết rất nhiều người.</t>
  </si>
  <si>
    <t>H5_B9_BG-33.png</t>
  </si>
  <si>
    <t>明明</t>
  </si>
  <si>
    <t>&lt;ruby&gt;明明&lt;rt&gt;míngmíng&lt;/rt&gt;&lt;/ruby&gt;</t>
  </si>
  <si>
    <t>míngmíng</t>
  </si>
  <si>
    <t>rõ ràng, chắc chắn</t>
  </si>
  <si>
    <r>
      <rPr>
        <sz val="11"/>
        <color rgb="FF000000"/>
        <rFont val="Calibri"/>
      </rPr>
      <t>这</t>
    </r>
    <r>
      <rPr>
        <b/>
        <sz val="11"/>
        <color rgb="FF000000"/>
        <rFont val="Calibri"/>
      </rPr>
      <t>明明</t>
    </r>
    <r>
      <rPr>
        <sz val="11"/>
        <color rgb="FF000000"/>
        <rFont val="Calibri"/>
      </rPr>
      <t>是一本非常好的书。</t>
    </r>
  </si>
  <si>
    <t>Đây rõ ràng là một cuốn sách hay.</t>
  </si>
  <si>
    <t>H5_B9_BG-34.png</t>
  </si>
  <si>
    <t>平均</t>
  </si>
  <si>
    <t>&lt;ruby&gt;平均&lt;rt&gt;píngjūn&lt;/rt&gt;&lt;/ruby&gt;</t>
  </si>
  <si>
    <t>píngjūn</t>
  </si>
  <si>
    <t>tính trung bình</t>
  </si>
  <si>
    <r>
      <rPr>
        <sz val="11"/>
        <color rgb="FF000000"/>
        <rFont val="Calibri"/>
      </rPr>
      <t>今天的</t>
    </r>
    <r>
      <rPr>
        <b/>
        <sz val="11"/>
        <color rgb="FF000000"/>
        <rFont val="Calibri"/>
      </rPr>
      <t>平均</t>
    </r>
    <r>
      <rPr>
        <sz val="11"/>
        <color rgb="FF000000"/>
        <rFont val="Calibri"/>
      </rPr>
      <t>气温是20度。</t>
    </r>
  </si>
  <si>
    <t>Nhiệt độ trung bình của hôm này là 20 độ.</t>
  </si>
  <si>
    <t>H5_B9_BG-35.png</t>
  </si>
  <si>
    <t>B9_35.mp3</t>
  </si>
  <si>
    <t>B9_VD_35.mp3</t>
  </si>
  <si>
    <t>算</t>
  </si>
  <si>
    <t>&lt;ruby&gt;算&lt;rt&gt;suàn&lt;/rt&gt;&lt;/ruby&gt;</t>
  </si>
  <si>
    <t>suàn</t>
  </si>
  <si>
    <t>coi là, xem là</t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</si>
  <si>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算</t>
    </r>
    <r>
      <rPr>
        <sz val="11"/>
        <color rgb="FF000000"/>
        <rFont val="Calibri"/>
      </rPr>
      <t>是我最好的朋友。</t>
    </r>
  </si>
  <si>
    <t>Cô ấy coi như là bạn tốt của tôi.</t>
  </si>
  <si>
    <t>H5_B9_BG-36.png</t>
  </si>
  <si>
    <t>B9_36.mp3</t>
  </si>
  <si>
    <t>B9_VD_36.mp3</t>
  </si>
  <si>
    <t>突出</t>
  </si>
  <si>
    <t>&lt;ruby&gt;突出&lt;rt&gt;tūchū&lt;/rt&gt;&lt;/ruby&gt;</t>
  </si>
  <si>
    <t>tūchū</t>
  </si>
  <si>
    <t>nổi bật, nổi trội</t>
  </si>
  <si>
    <r>
      <rPr>
        <sz val="11"/>
        <color rgb="FF000000"/>
        <rFont val="Calibri"/>
      </rPr>
      <t>他的学习成绩非常</t>
    </r>
    <r>
      <rPr>
        <b/>
        <sz val="11"/>
        <color rgb="FF000000"/>
        <rFont val="Calibri"/>
      </rPr>
      <t>突出</t>
    </r>
    <r>
      <rPr>
        <sz val="11"/>
        <color rgb="FF000000"/>
        <rFont val="Calibri"/>
      </rPr>
      <t>。</t>
    </r>
  </si>
  <si>
    <t>Kết quả học tập của anh ấy rất nổi bật.</t>
  </si>
  <si>
    <t>H5_B9_BG-37.png</t>
  </si>
  <si>
    <t>B9_37.mp3</t>
  </si>
  <si>
    <t>B9_VD_37.mp3</t>
  </si>
  <si>
    <t>作为</t>
  </si>
  <si>
    <t>&lt;ruby&gt;作为&lt;rt&gt;zuòwéi&lt;/rt&gt;&lt;/ruby&gt;</t>
  </si>
  <si>
    <t>zuòwéi</t>
  </si>
  <si>
    <t xml:space="preserve">Động từ/Giới từ </t>
  </si>
  <si>
    <t>coi như; với tư cách</t>
  </si>
  <si>
    <r>
      <rPr>
        <b/>
        <sz val="11"/>
        <color rgb="FF000000"/>
        <rFont val="Calibri"/>
      </rPr>
      <t>作为</t>
    </r>
    <r>
      <rPr>
        <sz val="11"/>
        <color rgb="FF000000"/>
        <rFont val="Calibri"/>
      </rPr>
      <t>医生，她救了很多人。</t>
    </r>
  </si>
  <si>
    <t>Với tư cách là bác sĩ, cô ấy đã cứu được nhiều người.</t>
  </si>
  <si>
    <t>H5_B9_BG-38.png</t>
  </si>
  <si>
    <t>B9_38.mp3</t>
  </si>
  <si>
    <t>B9_VD_38.mp3</t>
  </si>
  <si>
    <t>操场</t>
  </si>
  <si>
    <t>&lt;ruby&gt;操场&lt;rt&gt;cāochǎng&lt;/rt&gt;&lt;/ruby&gt;</t>
  </si>
  <si>
    <t>cāochǎng</t>
  </si>
  <si>
    <t>sân thể thao, bãi tập</t>
  </si>
  <si>
    <r>
      <rPr>
        <sz val="11"/>
        <color rgb="FF000000"/>
        <rFont val="Calibri"/>
      </rPr>
      <t>放学后，我经常在</t>
    </r>
    <r>
      <rPr>
        <b/>
        <sz val="11"/>
        <color rgb="FF000000"/>
        <rFont val="Calibri"/>
      </rPr>
      <t>操场</t>
    </r>
    <r>
      <rPr>
        <sz val="11"/>
        <color rgb="FF000000"/>
        <rFont val="Calibri"/>
      </rPr>
      <t>上打篮球。</t>
    </r>
  </si>
  <si>
    <t>Sau giờ học, tôi thường chơi bóng rổ trên sân thể thao.</t>
  </si>
  <si>
    <t>H5_B10_BG-01.png</t>
  </si>
  <si>
    <t>差距</t>
  </si>
  <si>
    <t>&lt;ruby&gt;差距&lt;rt&gt;chājù&lt;/rt&gt;&lt;/ruby&gt;</t>
  </si>
  <si>
    <t>chājù</t>
  </si>
  <si>
    <t>sự chênh lệch, sự khác nhau</t>
  </si>
  <si>
    <r>
      <rPr>
        <sz val="11"/>
        <color rgb="FF000000"/>
        <rFont val="Calibri"/>
      </rPr>
      <t>他和我的分数</t>
    </r>
    <r>
      <rPr>
        <b/>
        <sz val="11"/>
        <color rgb="FF000000"/>
        <rFont val="Calibri"/>
      </rPr>
      <t>差距</t>
    </r>
    <r>
      <rPr>
        <sz val="11"/>
        <color rgb="FF000000"/>
        <rFont val="Calibri"/>
      </rPr>
      <t>很小。</t>
    </r>
  </si>
  <si>
    <t>Điểm của anh ấy và của tôi chênh lệch rất nhỏ.</t>
  </si>
  <si>
    <t>H5_B10_BG-02.png</t>
  </si>
  <si>
    <t>插</t>
  </si>
  <si>
    <t>&lt;ruby&gt;插&lt;rt&gt;chā&lt;/rt&gt;&lt;/ruby&gt;</t>
  </si>
  <si>
    <t>chā</t>
  </si>
  <si>
    <t>cắm (vào)</t>
  </si>
  <si>
    <r>
      <rPr>
        <sz val="11"/>
        <color rgb="FF000000"/>
        <rFont val="Calibri"/>
      </rPr>
      <t>她正在欣赏自己刚</t>
    </r>
    <r>
      <rPr>
        <b/>
        <sz val="11"/>
        <color rgb="FF000000"/>
        <rFont val="Calibri"/>
      </rPr>
      <t>插</t>
    </r>
    <r>
      <rPr>
        <sz val="11"/>
        <color rgb="FF000000"/>
        <rFont val="Calibri"/>
      </rPr>
      <t>好的花瓶。</t>
    </r>
  </si>
  <si>
    <t>Cô ấy đang ngồi ngắm lọ hoa mình vừa cắm xong.</t>
  </si>
  <si>
    <t>H5_B10_BG-03.png</t>
  </si>
  <si>
    <t>艰苦</t>
  </si>
  <si>
    <t>&lt;ruby&gt;艰苦&lt;rt&gt;jiānkǔ&lt;/rt&gt;&lt;/ruby&gt;</t>
  </si>
  <si>
    <t>jiānkǔ</t>
  </si>
  <si>
    <t>gian khổ</t>
  </si>
  <si>
    <r>
      <rPr>
        <sz val="11"/>
        <color rgb="FF000000"/>
        <rFont val="Calibri"/>
      </rPr>
      <t>这个男孩过着</t>
    </r>
    <r>
      <rPr>
        <b/>
        <sz val="11"/>
        <color rgb="FF000000"/>
        <rFont val="Calibri"/>
      </rPr>
      <t>艰苦</t>
    </r>
    <r>
      <rPr>
        <sz val="11"/>
        <color rgb="FF000000"/>
        <rFont val="Calibri"/>
      </rPr>
      <t>的生活。</t>
    </r>
  </si>
  <si>
    <t>Cậu bé này sống một cuộc sống gian khổ.</t>
  </si>
  <si>
    <t>H5_B10_BG-04.png</t>
  </si>
  <si>
    <t>始终</t>
  </si>
  <si>
    <t>&lt;ruby&gt;始终&lt;rt&gt;shǐzhōng&lt;/rt&gt;&lt;/ruby&gt;</t>
  </si>
  <si>
    <t>shǐzhōng</t>
  </si>
  <si>
    <t>từ đầu đến cuối</t>
  </si>
  <si>
    <r>
      <rPr>
        <sz val="11"/>
        <color rgb="FF000000"/>
        <rFont val="Calibri"/>
      </rPr>
      <t xml:space="preserve"> 她</t>
    </r>
    <r>
      <rPr>
        <b/>
        <sz val="11"/>
        <color rgb="FF000000"/>
        <rFont val="Calibri"/>
      </rPr>
      <t>始终</t>
    </r>
    <r>
      <rPr>
        <sz val="11"/>
        <color rgb="FF000000"/>
        <rFont val="Calibri"/>
      </rPr>
      <t>对我很友好。</t>
    </r>
  </si>
  <si>
    <t>Cô ấy từ đầu đến cuối luôn rất thân thiện với tôi.</t>
  </si>
  <si>
    <t>H5_B10_BG-05.png</t>
  </si>
  <si>
    <t>说服</t>
  </si>
  <si>
    <t>&lt;ruby&gt;说服&lt;rt&gt;shuōfú&lt;/rt&gt;&lt;/ruby&gt;</t>
  </si>
  <si>
    <t>shuōfú</t>
  </si>
  <si>
    <t>thuyết phục</t>
  </si>
  <si>
    <r>
      <rPr>
        <sz val="11"/>
        <color rgb="FF000000"/>
        <rFont val="Calibri"/>
      </rPr>
      <t>我</t>
    </r>
    <r>
      <rPr>
        <b/>
        <sz val="11"/>
        <color rgb="FF000000"/>
        <rFont val="Calibri"/>
      </rPr>
      <t>说服</t>
    </r>
    <r>
      <rPr>
        <sz val="11"/>
        <color rgb="FF000000"/>
        <rFont val="Calibri"/>
      </rPr>
      <t>了妈妈给我买一辆自行车。</t>
    </r>
  </si>
  <si>
    <t>Tôi đã thuyết phục mẹ mua cho mình một chiếc xe đạp</t>
  </si>
  <si>
    <t>H5_B10_BG-06.png</t>
  </si>
  <si>
    <t>兄弟</t>
  </si>
  <si>
    <t>&lt;ruby&gt;兄弟&lt;rt&gt;xiōngdi&lt;/rt&gt;&lt;/ruby&gt;</t>
  </si>
  <si>
    <t>xiōngdi</t>
  </si>
  <si>
    <t>anh em trai</t>
  </si>
  <si>
    <r>
      <rPr>
        <sz val="11"/>
        <color rgb="FF000000"/>
        <rFont val="Calibri"/>
      </rPr>
      <t>我和我的</t>
    </r>
    <r>
      <rPr>
        <b/>
        <sz val="11"/>
        <color rgb="FF000000"/>
        <rFont val="Calibri"/>
      </rPr>
      <t>兄弟</t>
    </r>
    <r>
      <rPr>
        <sz val="11"/>
        <color rgb="FF000000"/>
        <rFont val="Calibri"/>
      </rPr>
      <t>一起长大。</t>
    </r>
  </si>
  <si>
    <t>Hai anh em tôi đã lớn lên cùng nhau.</t>
  </si>
  <si>
    <t>H5_B10_BG-07.png</t>
  </si>
  <si>
    <t>争论</t>
  </si>
  <si>
    <t>&lt;ruby&gt;争论&lt;rt&gt;zhēnglùn&lt;/rt&gt;&lt;/ruby&gt;</t>
  </si>
  <si>
    <t>zhēnglùn</t>
  </si>
  <si>
    <t>tranh luận</t>
  </si>
  <si>
    <r>
      <rPr>
        <sz val="11"/>
        <color rgb="FF000000"/>
        <rFont val="Calibri"/>
      </rPr>
      <t>我们在小组讨论中</t>
    </r>
    <r>
      <rPr>
        <b/>
        <sz val="11"/>
        <color rgb="FF000000"/>
        <rFont val="Calibri"/>
      </rPr>
      <t>争论</t>
    </r>
    <r>
      <rPr>
        <sz val="11"/>
        <color rgb="FF000000"/>
        <rFont val="Calibri"/>
      </rPr>
      <t>了很久。</t>
    </r>
  </si>
  <si>
    <t>Chúng tôi đã tranh luận rất lâu trong giờ học nhóm.</t>
  </si>
  <si>
    <t>H5_B10_BG-08.png</t>
  </si>
  <si>
    <t>逐渐</t>
  </si>
  <si>
    <t>&lt;ruby&gt;逐渐&lt;rt&gt;zhújiàn&lt;/rt&gt;&lt;/ruby&gt;</t>
  </si>
  <si>
    <t>zhújiàn</t>
  </si>
  <si>
    <t>dần dần</t>
  </si>
  <si>
    <r>
      <rPr>
        <sz val="11"/>
        <color rgb="FF000000"/>
        <rFont val="Calibri"/>
      </rPr>
      <t>天色</t>
    </r>
    <r>
      <rPr>
        <b/>
        <sz val="11"/>
        <color rgb="FF000000"/>
        <rFont val="Calibri"/>
      </rPr>
      <t>逐渐</t>
    </r>
    <r>
      <rPr>
        <sz val="11"/>
        <color rgb="FF000000"/>
        <rFont val="Calibri"/>
      </rPr>
      <t>暗了下来。</t>
    </r>
  </si>
  <si>
    <t>Trời dần dần tối lại.</t>
  </si>
  <si>
    <t>H5_B10_BG-09.png</t>
  </si>
  <si>
    <t>奔跑</t>
  </si>
  <si>
    <t>&lt;ruby&gt;奔跑&lt;rt&gt;bēnpǎo&lt;/rt&gt;&lt;/ruby&gt;</t>
  </si>
  <si>
    <t>bēnpǎo</t>
  </si>
  <si>
    <t>chạy nhanh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</si>
  <si>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奔跑</t>
    </r>
    <r>
      <rPr>
        <sz val="11"/>
        <color rgb="FF000000"/>
        <rFont val="Calibri"/>
      </rPr>
      <t>得像一阵风一样。</t>
    </r>
  </si>
  <si>
    <t>Anh ấy chạy nhanh như một cơn gió</t>
  </si>
  <si>
    <t>H5_B10_BG-10.png</t>
  </si>
  <si>
    <t>啦</t>
  </si>
  <si>
    <t>&lt;ruby&gt;啦&lt;rt&gt;la&lt;/rt&gt;&lt;/ruby&gt;</t>
  </si>
  <si>
    <t>la</t>
  </si>
  <si>
    <t xml:space="preserve">Trợ từ </t>
  </si>
  <si>
    <t>(là hợp âm của "了 (le)" và "啊 (a)", biểu thị sự cảm thán, sự chất vấn...) đấy, à, nhé</t>
  </si>
  <si>
    <r>
      <rPr>
        <sz val="11"/>
        <color rgb="FF000000"/>
        <rFont val="Calibri"/>
      </rPr>
      <t>我们都准备好了，快出发</t>
    </r>
    <r>
      <rPr>
        <b/>
        <sz val="11"/>
        <color rgb="FF000000"/>
        <rFont val="Calibri"/>
      </rPr>
      <t>啦</t>
    </r>
    <r>
      <rPr>
        <sz val="11"/>
        <color rgb="FF000000"/>
        <rFont val="Calibri"/>
      </rPr>
      <t>！</t>
    </r>
  </si>
  <si>
    <t>Tất cả chúng ta chuẩn bị xong rồi, đi thôi nào.</t>
  </si>
  <si>
    <t>H5_B10_BG-11.png</t>
  </si>
  <si>
    <t>棍</t>
  </si>
  <si>
    <t>&lt;ruby&gt;棍&lt;rt&gt;gùn&lt;/rt&gt;&lt;/ruby&gt;</t>
  </si>
  <si>
    <t>gùn</t>
  </si>
  <si>
    <t>gậy</t>
  </si>
  <si>
    <r>
      <rPr>
        <sz val="11"/>
        <color rgb="FF000000"/>
        <rFont val="Calibri"/>
      </rPr>
      <t>这根</t>
    </r>
    <r>
      <rPr>
        <b/>
        <sz val="11"/>
        <color rgb="FF000000"/>
        <rFont val="Calibri"/>
      </rPr>
      <t>棍</t>
    </r>
    <r>
      <rPr>
        <sz val="11"/>
        <color rgb="FF000000"/>
        <rFont val="Calibri"/>
      </rPr>
      <t>又长又直。</t>
    </r>
  </si>
  <si>
    <t>Chiếc gậy này vừa dài vừa thẳng.</t>
  </si>
  <si>
    <t>H5_B10_BG-12.png</t>
  </si>
  <si>
    <t>拦</t>
  </si>
  <si>
    <t>&lt;ruby&gt;拦&lt;rt&gt;lán&lt;/rt&gt;&lt;/ruby&gt;</t>
  </si>
  <si>
    <r>
      <rPr>
        <sz val="11"/>
        <color rgb="FF000000"/>
        <rFont val="Calibri"/>
      </rPr>
      <t>我把他给</t>
    </r>
    <r>
      <rPr>
        <b/>
        <sz val="11"/>
        <color rgb="FF000000"/>
        <rFont val="Calibri"/>
      </rPr>
      <t>拦</t>
    </r>
    <r>
      <rPr>
        <sz val="11"/>
        <color rgb="FF000000"/>
        <rFont val="Calibri"/>
      </rPr>
      <t>住了。</t>
    </r>
  </si>
  <si>
    <t>Tôi đã ngăn anh ấy lại rồi.</t>
  </si>
  <si>
    <t>H5_B10_BG-13.png</t>
  </si>
  <si>
    <t>洞</t>
  </si>
  <si>
    <t>&lt;ruby&gt;洞&lt;rt&gt;dòng&lt;/rt&gt;&lt;/ruby&gt;</t>
  </si>
  <si>
    <t>hốc, lỗ</t>
  </si>
  <si>
    <r>
      <rPr>
        <sz val="11"/>
        <color rgb="FF000000"/>
        <rFont val="Calibri"/>
      </rPr>
      <t>这个地方有一个</t>
    </r>
    <r>
      <rPr>
        <b/>
        <sz val="11"/>
        <color rgb="FF000000"/>
        <rFont val="Calibri"/>
      </rPr>
      <t>洞</t>
    </r>
    <r>
      <rPr>
        <sz val="11"/>
        <color rgb="FF000000"/>
        <rFont val="Calibri"/>
      </rPr>
      <t>。</t>
    </r>
  </si>
  <si>
    <t>Ở đây có một cái hang.</t>
  </si>
  <si>
    <t>H5_B10_BG-14.png</t>
  </si>
  <si>
    <t>改进</t>
  </si>
  <si>
    <t>&lt;ruby&gt;改进&lt;rt&gt;gǎijìn&lt;/rt&gt;&lt;/ruby&gt;</t>
  </si>
  <si>
    <t>gǎijìn</t>
  </si>
  <si>
    <t>cải thiện, cải tiến</t>
  </si>
  <si>
    <r>
      <rPr>
        <sz val="11"/>
        <color rgb="FF000000"/>
        <rFont val="Calibri"/>
      </rPr>
      <t>我每天都练习来</t>
    </r>
    <r>
      <rPr>
        <b/>
        <sz val="11"/>
        <color rgb="FF000000"/>
        <rFont val="Calibri"/>
      </rPr>
      <t>改进</t>
    </r>
    <r>
      <rPr>
        <sz val="11"/>
        <color rgb="FF000000"/>
        <rFont val="Calibri"/>
      </rPr>
      <t>我的写作能力。</t>
    </r>
  </si>
  <si>
    <t>Mỗi ngày tôi đều rèn luyện để cải thiện kỹ năng viết của mình.</t>
  </si>
  <si>
    <t>H5_B10_BG-15.png</t>
  </si>
  <si>
    <t>系</t>
  </si>
  <si>
    <t>&lt;ruby&gt;系&lt;rt&gt;jì&lt;/rt&gt;&lt;/ruby&gt;</t>
  </si>
  <si>
    <t>cột, buộc</t>
  </si>
  <si>
    <r>
      <rPr>
        <sz val="11"/>
        <color rgb="FF000000"/>
        <rFont val="Calibri"/>
      </rPr>
      <t>我把鞋带</t>
    </r>
    <r>
      <rPr>
        <b/>
        <sz val="11"/>
        <color rgb="FF000000"/>
        <rFont val="Calibri"/>
      </rPr>
      <t>系</t>
    </r>
    <r>
      <rPr>
        <sz val="11"/>
        <color rgb="FF000000"/>
        <rFont val="Calibri"/>
      </rPr>
      <t>得很漂亮。</t>
    </r>
  </si>
  <si>
    <t>Tôi buộc dây giày rất đẹp</t>
  </si>
  <si>
    <t>H5_B10_BG-16.png</t>
  </si>
  <si>
    <t>奇迹</t>
  </si>
  <si>
    <t>&lt;ruby&gt;奇迹&lt;rt&gt;qíjì&lt;/rt&gt;&lt;/ruby&gt;</t>
  </si>
  <si>
    <t>qíjì</t>
  </si>
  <si>
    <t>kỳ tích</t>
  </si>
  <si>
    <r>
      <rPr>
        <sz val="11"/>
        <color rgb="FF000000"/>
        <rFont val="Calibri"/>
      </rPr>
      <t xml:space="preserve"> 经过多次尝试，她终于成功了，这真是一个</t>
    </r>
    <r>
      <rPr>
        <b/>
        <sz val="11"/>
        <color rgb="FF000000"/>
        <rFont val="Calibri"/>
      </rPr>
      <t>奇迹</t>
    </r>
    <r>
      <rPr>
        <sz val="11"/>
        <color rgb="FF000000"/>
        <rFont val="Calibri"/>
      </rPr>
      <t>。</t>
    </r>
  </si>
  <si>
    <t>Sau nhiều lần thử sức, cuối cùng cô ấy đã thành công, đó là một kỳ tích.</t>
  </si>
  <si>
    <t>H5_B10_BG-17.png</t>
  </si>
  <si>
    <t>显示</t>
  </si>
  <si>
    <t>&lt;ruby&gt;显示&lt;rt&gt;xiǎnshì&lt;/rt&gt;&lt;/ruby&gt;</t>
  </si>
  <si>
    <t>xiǎnshì</t>
  </si>
  <si>
    <t>thể hiện, cho thấy</t>
  </si>
  <si>
    <r>
      <rPr>
        <sz val="11"/>
        <color rgb="FF000000"/>
        <rFont val="Calibri"/>
      </rPr>
      <t>研究</t>
    </r>
    <r>
      <rPr>
        <b/>
        <sz val="11"/>
        <color rgb="FF000000"/>
        <rFont val="Calibri"/>
      </rPr>
      <t>显示</t>
    </r>
    <r>
      <rPr>
        <sz val="11"/>
        <color rgb="FF000000"/>
        <rFont val="Calibri"/>
      </rPr>
      <t>，练习瑜伽对健康有很大的好处。</t>
    </r>
  </si>
  <si>
    <t xml:space="preserve">Nghiên cứu cho thấy, tập yoga có lợi rất lớn cho sức khỏe.
</t>
  </si>
  <si>
    <t>H5_B10_BG-18.png</t>
  </si>
  <si>
    <t>蹄（子）</t>
  </si>
  <si>
    <t>&lt;ruby&gt;蹄（子）&lt;rt&gt;tí (zi)&lt;/rt&gt;&lt;/ruby&gt;</t>
  </si>
  <si>
    <t>tí (zi)</t>
  </si>
  <si>
    <t>móng guốc</t>
  </si>
  <si>
    <r>
      <rPr>
        <sz val="11"/>
        <color rgb="FF000000"/>
        <rFont val="Calibri"/>
      </rPr>
      <t>长颈鹿的</t>
    </r>
    <r>
      <rPr>
        <b/>
        <sz val="11"/>
        <color rgb="FF000000"/>
        <rFont val="Calibri"/>
      </rPr>
      <t>蹄子</t>
    </r>
    <r>
      <rPr>
        <sz val="11"/>
        <color rgb="FF000000"/>
        <rFont val="Calibri"/>
      </rPr>
      <t>非常坚硬。</t>
    </r>
  </si>
  <si>
    <t>Móng guốc của hươu cao cổ rất cứng.</t>
  </si>
  <si>
    <t>H5_B10_BG-19.png</t>
  </si>
  <si>
    <t>青蛙</t>
  </si>
  <si>
    <t>&lt;ruby&gt;青蛙&lt;rt&gt;qīngwā&lt;/rt&gt;&lt;/ruby&gt;</t>
  </si>
  <si>
    <t>qīngwā</t>
  </si>
  <si>
    <t>ếch, nhái</t>
  </si>
  <si>
    <r>
      <rPr>
        <sz val="11"/>
        <color rgb="FF000000"/>
        <rFont val="Calibri"/>
      </rPr>
      <t>池塘里有很多</t>
    </r>
    <r>
      <rPr>
        <b/>
        <sz val="11"/>
        <color rgb="FF000000"/>
        <rFont val="Calibri"/>
      </rPr>
      <t>青蛙</t>
    </r>
    <r>
      <rPr>
        <sz val="11"/>
        <color rgb="FF000000"/>
        <rFont val="Calibri"/>
      </rPr>
      <t>。</t>
    </r>
  </si>
  <si>
    <t>Trong ao có rất nhiều ếch.</t>
  </si>
  <si>
    <t>H5_B10_BG-20.png</t>
  </si>
  <si>
    <t>意识</t>
  </si>
  <si>
    <t>&lt;ruby&gt;意识&lt;rt&gt;yìshí&lt;/rt&gt;&lt;/ruby&gt;</t>
  </si>
  <si>
    <t>yìshí</t>
  </si>
  <si>
    <t>ý thức; nhận thức rõ</t>
  </si>
  <si>
    <r>
      <rPr>
        <sz val="11"/>
        <color rgb="FF000000"/>
        <rFont val="Calibri"/>
      </rPr>
      <t>他有很强的环保</t>
    </r>
    <r>
      <rPr>
        <b/>
        <sz val="11"/>
        <color rgb="FF000000"/>
        <rFont val="Calibri"/>
      </rPr>
      <t>意识</t>
    </r>
    <r>
      <rPr>
        <sz val="11"/>
        <color rgb="FF000000"/>
        <rFont val="Calibri"/>
      </rPr>
      <t>。</t>
    </r>
  </si>
  <si>
    <t>Anh ấy có ý thức bảo vệ môi trường rất mạnh mẽ.</t>
  </si>
  <si>
    <t>H5_B10_BG-21.png</t>
  </si>
  <si>
    <t>瞬间</t>
  </si>
  <si>
    <t>&lt;ruby&gt;瞬间&lt;rt&gt;shùnjiān&lt;/rt&gt;&lt;/ruby&gt;</t>
  </si>
  <si>
    <t>shùnjiān</t>
  </si>
  <si>
    <t>chốc lát, khoảnh khắc</t>
  </si>
  <si>
    <r>
      <rPr>
        <sz val="10"/>
        <color theme="1"/>
        <rFont val="Calibri"/>
      </rPr>
      <t>在拿到冠军奖杯的</t>
    </r>
    <r>
      <rPr>
        <b/>
        <sz val="10"/>
        <color theme="1"/>
        <rFont val="Calibri"/>
      </rPr>
      <t>瞬间</t>
    </r>
    <r>
      <rPr>
        <sz val="10"/>
        <color theme="1"/>
        <rFont val="Calibri"/>
      </rPr>
      <t>，我所有的疲惫都消失了。</t>
    </r>
  </si>
  <si>
    <t>Trong khoảnh khắc nhận cup vô địch, tất cả sự mệt mỏi của tôi đều biến mất.</t>
  </si>
  <si>
    <t>H5_B10_BG-22.png</t>
  </si>
  <si>
    <t>试验</t>
  </si>
  <si>
    <t>&lt;ruby&gt;试验&lt;rt&gt;shìyàn&lt;/rt&gt;&lt;/ruby&gt;</t>
  </si>
  <si>
    <t>shìyàn</t>
  </si>
  <si>
    <t>sự thử nghiệm; thử nghiệm</t>
  </si>
  <si>
    <r>
      <rPr>
        <sz val="11"/>
        <color rgb="FF000000"/>
        <rFont val="Calibri"/>
      </rPr>
      <t>这种药还需要经过很多次</t>
    </r>
    <r>
      <rPr>
        <b/>
        <sz val="11"/>
        <color rgb="FF000000"/>
        <rFont val="Calibri"/>
      </rPr>
      <t>试验</t>
    </r>
    <r>
      <rPr>
        <sz val="11"/>
        <color rgb="FF000000"/>
        <rFont val="Calibri"/>
      </rPr>
      <t>。</t>
    </r>
  </si>
  <si>
    <t xml:space="preserve">Thuốc này vẫn cần phải trải qua nhiều lần thử nghiệm.
</t>
  </si>
  <si>
    <t>H5_B10_BG-23.png</t>
  </si>
  <si>
    <t>脖子</t>
  </si>
  <si>
    <t>&lt;ruby&gt;脖子&lt;rt&gt;bózi&lt;/rt&gt;&lt;/ruby&gt;</t>
  </si>
  <si>
    <t>bózi</t>
  </si>
  <si>
    <t>(cái) cổ</t>
  </si>
  <si>
    <r>
      <rPr>
        <sz val="11"/>
        <color rgb="FF000000"/>
        <rFont val="Calibri"/>
      </rPr>
      <t>她的</t>
    </r>
    <r>
      <rPr>
        <b/>
        <sz val="11"/>
        <color rgb="FF000000"/>
        <rFont val="Calibri"/>
      </rPr>
      <t>脖子</t>
    </r>
    <r>
      <rPr>
        <sz val="11"/>
        <color rgb="FF000000"/>
        <rFont val="Calibri"/>
      </rPr>
      <t>上戴着一条很漂亮的项链。</t>
    </r>
  </si>
  <si>
    <t>Cổ cô ấy đeo một chiếc vòng rất đẹp</t>
  </si>
  <si>
    <t>H5_B10_BG-24.png</t>
  </si>
  <si>
    <t>匹</t>
  </si>
  <si>
    <t>&lt;ruby&gt;匹&lt;rt&gt;pǐ&lt;/rt&gt;&lt;/ruby&gt;</t>
  </si>
  <si>
    <t>pǐ</t>
  </si>
  <si>
    <t>(được dùng cho ngựa) con</t>
  </si>
  <si>
    <r>
      <rPr>
        <sz val="11"/>
        <color rgb="FF000000"/>
        <rFont val="Calibri"/>
      </rPr>
      <t>这</t>
    </r>
    <r>
      <rPr>
        <b/>
        <sz val="11"/>
        <color rgb="FF000000"/>
        <rFont val="Calibri"/>
      </rPr>
      <t>匹</t>
    </r>
    <r>
      <rPr>
        <sz val="11"/>
        <color rgb="FF000000"/>
        <rFont val="Calibri"/>
      </rPr>
      <t>马跑得非常快。</t>
    </r>
  </si>
  <si>
    <t>H5_B10_BG-25.png</t>
  </si>
  <si>
    <t>毕竟</t>
  </si>
  <si>
    <t>&lt;ruby&gt;毕竟&lt;rt&gt;bìjìng&lt;/rt&gt;&lt;/ruby&gt;</t>
  </si>
  <si>
    <t>bìjìng</t>
  </si>
  <si>
    <t>rốt cuộc, cuối cùng, suy cho cùng</t>
  </si>
  <si>
    <r>
      <rPr>
        <b/>
        <sz val="11"/>
        <color rgb="FF000000"/>
        <rFont val="Calibri"/>
      </rPr>
      <t>毕竟</t>
    </r>
    <r>
      <rPr>
        <sz val="11"/>
        <color rgb="FF000000"/>
        <rFont val="Calibri"/>
      </rPr>
      <t>他只是个孩子，你不能要求太高。</t>
    </r>
  </si>
  <si>
    <t>Suy cho cùng, cậu ấy chỉ là một đứa trẻ, bạn không thể yêu cầu quá cao.</t>
  </si>
  <si>
    <t>H5_B10_BG-26.png</t>
  </si>
  <si>
    <t>辩论</t>
  </si>
  <si>
    <t>&lt;ruby&gt;辩论&lt;rt&gt;biànlùn&lt;/rt&gt;&lt;/ruby&gt;</t>
  </si>
  <si>
    <t>biànlùn</t>
  </si>
  <si>
    <t>biện luận, tranh luận</t>
  </si>
  <si>
    <r>
      <rPr>
        <sz val="11"/>
        <color rgb="FF000000"/>
        <rFont val="Calibri"/>
      </rPr>
      <t>会议结束后，他们仍在为刚刚讨论的问题</t>
    </r>
    <r>
      <rPr>
        <b/>
        <sz val="11"/>
        <color rgb="FF000000"/>
        <rFont val="Calibri"/>
      </rPr>
      <t>辩论</t>
    </r>
    <r>
      <rPr>
        <sz val="11"/>
        <color rgb="FF000000"/>
        <rFont val="Calibri"/>
      </rPr>
      <t>。</t>
    </r>
  </si>
  <si>
    <t>Sau cuộc họp họ vẫn tranh luận về vấn đề vừa diễn ra</t>
  </si>
  <si>
    <t>H5_B10_BG-27.png</t>
  </si>
  <si>
    <t>成熟</t>
  </si>
  <si>
    <t>&lt;ruby&gt;成熟&lt;rt&gt;chéngshú&lt;/rt&gt;&lt;/ruby&gt;</t>
  </si>
  <si>
    <t>chéngshú</t>
  </si>
  <si>
    <t>chín muồi; hoàn thiện; thành thục</t>
  </si>
  <si>
    <r>
      <rPr>
        <sz val="11"/>
        <color rgb="FF000000"/>
        <rFont val="Calibri"/>
      </rPr>
      <t>她的演讲技巧已经非常</t>
    </r>
    <r>
      <rPr>
        <b/>
        <sz val="11"/>
        <color rgb="FF000000"/>
        <rFont val="Calibri"/>
      </rPr>
      <t>成熟</t>
    </r>
    <r>
      <rPr>
        <sz val="11"/>
        <color rgb="FF000000"/>
        <rFont val="Calibri"/>
      </rPr>
      <t>了。</t>
    </r>
  </si>
  <si>
    <t>Kỹ năng thuyết trình của cô ấy đã rất thành thục.</t>
  </si>
  <si>
    <t>H5_B10_BG-28.png</t>
  </si>
  <si>
    <t>导演</t>
  </si>
  <si>
    <t>&lt;ruby&gt;导演&lt;rt&gt;dǎoyǎn&lt;/rt&gt;&lt;/ruby&gt;</t>
  </si>
  <si>
    <t>dǎoyǎn</t>
  </si>
  <si>
    <t>nhà đạo diễn; đạo diễn</t>
  </si>
  <si>
    <r>
      <rPr>
        <sz val="11"/>
        <color rgb="FF000000"/>
        <rFont val="Calibri"/>
      </rPr>
      <t>他虽然年轻，但已经是许多著名电影的</t>
    </r>
    <r>
      <rPr>
        <b/>
        <sz val="11"/>
        <color rgb="FF000000"/>
        <rFont val="Calibri"/>
      </rPr>
      <t>导演</t>
    </r>
    <r>
      <rPr>
        <sz val="11"/>
        <color rgb="FF000000"/>
        <rFont val="Calibri"/>
      </rPr>
      <t>。</t>
    </r>
  </si>
  <si>
    <t>Dù còn trẻ nhưng anh ấy đã là một nhà đạo diễn của nhiều bộ phim nổi tiếng.</t>
  </si>
  <si>
    <t>H5_B10_BG-29.png</t>
  </si>
  <si>
    <t>或许</t>
  </si>
  <si>
    <t>&lt;ruby&gt;或许&lt;rt&gt;huòxŭ&lt;/rt&gt;&lt;/ruby&gt;</t>
  </si>
  <si>
    <t>huòxŭ</t>
  </si>
  <si>
    <r>
      <rPr>
        <b/>
        <sz val="11"/>
        <color rgb="FF000000"/>
        <rFont val="Calibri"/>
      </rPr>
      <t>或许</t>
    </r>
    <r>
      <rPr>
        <sz val="11"/>
        <color rgb="FF000000"/>
        <rFont val="Calibri"/>
      </rPr>
      <t>明天会下很大的雨。</t>
    </r>
  </si>
  <si>
    <t>Có lẽ ngày mai sẽ mưa rất to.</t>
  </si>
  <si>
    <t>H5_B10_BG-30.png</t>
  </si>
  <si>
    <t>纪念</t>
  </si>
  <si>
    <t>&lt;ruby&gt;纪念&lt;rt&gt;jiniàn&lt;/rt&gt;&lt;/ruby&gt;</t>
  </si>
  <si>
    <t>jiniàn</t>
  </si>
  <si>
    <t>kỷ niệm, tưởng niệm</t>
  </si>
  <si>
    <r>
      <rPr>
        <sz val="11"/>
        <color rgb="FF000000"/>
        <rFont val="Calibri"/>
      </rPr>
      <t>这是我父母结婚</t>
    </r>
    <r>
      <rPr>
        <b/>
        <sz val="11"/>
        <color rgb="FF000000"/>
        <rFont val="Calibri"/>
      </rPr>
      <t>纪念</t>
    </r>
    <r>
      <rPr>
        <sz val="11"/>
        <color rgb="FF000000"/>
        <rFont val="Calibri"/>
      </rPr>
      <t>日的礼物。</t>
    </r>
  </si>
  <si>
    <t>Đây là vật kỷ niệm ngày cưới của ba mẹ tôi.</t>
  </si>
  <si>
    <t>H5_B10_BG-31.png</t>
  </si>
  <si>
    <t>B10_31.mp3</t>
  </si>
  <si>
    <t>B10_VD_31.mp3</t>
  </si>
  <si>
    <t>请求</t>
  </si>
  <si>
    <t>&lt;ruby&gt;请求&lt;rt&gt;qǐngqiú&lt;/rt&gt;&lt;/ruby&gt;</t>
  </si>
  <si>
    <t>qǐngqiú</t>
  </si>
  <si>
    <t>yêu cầu, đề nghị; lời thỉnh cầu</t>
  </si>
  <si>
    <r>
      <rPr>
        <sz val="11"/>
        <color rgb="FF000000"/>
        <rFont val="Calibri"/>
      </rPr>
      <t>老板</t>
    </r>
    <r>
      <rPr>
        <b/>
        <sz val="11"/>
        <color rgb="FF000000"/>
        <rFont val="Calibri"/>
      </rPr>
      <t>请求</t>
    </r>
    <r>
      <rPr>
        <sz val="11"/>
        <color rgb="FF000000"/>
        <rFont val="Calibri"/>
      </rPr>
      <t>我留下来加班以赶上进度。</t>
    </r>
  </si>
  <si>
    <t xml:space="preserve">Sếp yêu cầu tôi ở lại tăng ca cho kịp tiến độ.
</t>
  </si>
  <si>
    <t>H5_B10_BG-32.png</t>
  </si>
  <si>
    <t>B10_32.mp3</t>
  </si>
  <si>
    <t>B10_VD_32.mp3</t>
  </si>
  <si>
    <t>摄影师</t>
  </si>
  <si>
    <t>&lt;ruby&gt;摄影师&lt;rt&gt;shèyǐngshī&lt;/rt&gt;&lt;/ruby&gt;</t>
  </si>
  <si>
    <t>shèyǐngshī</t>
  </si>
  <si>
    <t>nhà nhiếp ảnh</t>
  </si>
  <si>
    <r>
      <rPr>
        <sz val="11"/>
        <color rgb="FF000000"/>
        <rFont val="Calibri"/>
      </rPr>
      <t>作为一名</t>
    </r>
    <r>
      <rPr>
        <b/>
        <sz val="11"/>
        <color rgb="FF000000"/>
        <rFont val="Calibri"/>
      </rPr>
      <t>摄影师</t>
    </r>
    <r>
      <rPr>
        <sz val="11"/>
        <color rgb="FF000000"/>
        <rFont val="Calibri"/>
      </rPr>
      <t>，我经常去各地拍摄美丽的照片。</t>
    </r>
  </si>
  <si>
    <t>Là một nhà nhiếp ảnh tôi luôn đi khắp nơi để chụp lại những bức ảnh đẹp.</t>
  </si>
  <si>
    <t>H5_B10_BG-33.png</t>
  </si>
  <si>
    <t>B10_33.mp3</t>
  </si>
  <si>
    <t>B10_VD_33.mp3</t>
  </si>
  <si>
    <t>围绕</t>
  </si>
  <si>
    <t>&lt;ruby&gt;围绕&lt;rt&gt;wéirào&lt;/rt&gt;&lt;/ruby&gt;</t>
  </si>
  <si>
    <t>wéirào</t>
  </si>
  <si>
    <t>xoay quanh</t>
  </si>
  <si>
    <r>
      <rPr>
        <sz val="11"/>
        <color rgb="FF000000"/>
        <rFont val="Calibri"/>
      </rPr>
      <t>这次会议</t>
    </r>
    <r>
      <rPr>
        <b/>
        <sz val="11"/>
        <color rgb="FF000000"/>
        <rFont val="Calibri"/>
      </rPr>
      <t>围绕</t>
    </r>
    <r>
      <rPr>
        <sz val="11"/>
        <color rgb="FF000000"/>
        <rFont val="Calibri"/>
      </rPr>
      <t>公司的发展进行讨论。</t>
    </r>
  </si>
  <si>
    <t>Cuộc họp này xoay quanh sự phát triển của công ty.</t>
  </si>
  <si>
    <t>H5_B10_BG-34.png</t>
  </si>
  <si>
    <t>B10_34.mp3</t>
  </si>
  <si>
    <t>B10_VD_34.mp3</t>
  </si>
  <si>
    <t>重大</t>
  </si>
  <si>
    <t>&lt;ruby&gt;重大&lt;rt&gt;zhòngdà&lt;/rt&gt;&lt;/ruby&gt;</t>
  </si>
  <si>
    <t>zhòngdà</t>
  </si>
  <si>
    <t>trọng đại, to lớn</t>
  </si>
  <si>
    <r>
      <rPr>
        <sz val="11"/>
        <color rgb="FF000000"/>
        <rFont val="Calibri"/>
      </rPr>
      <t>他为公司做出了</t>
    </r>
    <r>
      <rPr>
        <b/>
        <sz val="11"/>
        <color rgb="FF000000"/>
        <rFont val="Calibri"/>
      </rPr>
      <t>重大</t>
    </r>
    <r>
      <rPr>
        <sz val="11"/>
        <color rgb="FF000000"/>
        <rFont val="Calibri"/>
      </rPr>
      <t>的贡献。</t>
    </r>
  </si>
  <si>
    <t>Anh ấy đã có những đóng góp to lớn cho công ty.</t>
  </si>
  <si>
    <t>H5_B10_BG-35.png</t>
  </si>
  <si>
    <t>B10_35.mp3</t>
  </si>
  <si>
    <t>B10_VD_35.mp3</t>
  </si>
  <si>
    <t>播放</t>
  </si>
  <si>
    <t>&lt;ruby&gt;播放&lt;rt&gt;bōfàng&lt;/rt&gt;&lt;/ruby&gt;</t>
  </si>
  <si>
    <t>bōfàng</t>
  </si>
  <si>
    <t>phát sóng, chiếu</t>
  </si>
  <si>
    <r>
      <rPr>
        <sz val="11"/>
        <color rgb="FF000000"/>
        <rFont val="Calibri"/>
      </rPr>
      <t xml:space="preserve"> 电视节目将在晚上八点</t>
    </r>
    <r>
      <rPr>
        <b/>
        <sz val="11"/>
        <color rgb="FF000000"/>
        <rFont val="Calibri"/>
      </rPr>
      <t>播放</t>
    </r>
    <r>
      <rPr>
        <sz val="11"/>
        <color rgb="FF000000"/>
        <rFont val="Calibri"/>
      </rPr>
      <t>。</t>
    </r>
  </si>
  <si>
    <t xml:space="preserve">Chương trình truyền hình sẽ phát sóng lúc 8 giờ tối.
</t>
  </si>
  <si>
    <t>H5_B10_BG-36.png</t>
  </si>
  <si>
    <t>B10_36.mp3</t>
  </si>
  <si>
    <t>B10_VD_36.mp3</t>
  </si>
  <si>
    <t>拍</t>
  </si>
  <si>
    <t>&lt;ruby&gt;拍&lt;rt&gt;pāi&lt;/rt&gt;&lt;/ruby&gt;</t>
  </si>
  <si>
    <t>pāi</t>
  </si>
  <si>
    <t>quay (phim), chụp (ảnh)</t>
  </si>
  <si>
    <r>
      <rPr>
        <sz val="11"/>
        <color rgb="FF000000"/>
        <rFont val="Calibri"/>
      </rPr>
      <t>我很喜欢</t>
    </r>
    <r>
      <rPr>
        <b/>
        <sz val="11"/>
        <color rgb="FF000000"/>
        <rFont val="Calibri"/>
      </rPr>
      <t>拍</t>
    </r>
    <r>
      <rPr>
        <sz val="11"/>
        <color rgb="FF000000"/>
        <rFont val="Calibri"/>
      </rPr>
      <t>照，记录青春的美好瞬间。</t>
    </r>
  </si>
  <si>
    <t>Tôi rất thích chụp ảnh, để lưu lại những khoảnh khắc đẹp của thanh xuân</t>
  </si>
  <si>
    <t>H5_B10_BG-37.png</t>
  </si>
  <si>
    <t>B10_37.mp3</t>
  </si>
  <si>
    <t>B10_VD_37.mp3</t>
  </si>
  <si>
    <t>必要</t>
  </si>
  <si>
    <t>&lt;ruby&gt;必要&lt;rt&gt;bìyào&lt;/rt&gt;&lt;/ruby&gt;</t>
  </si>
  <si>
    <t>bìyào</t>
  </si>
  <si>
    <t>cần thiết, thiết yếu</t>
  </si>
  <si>
    <r>
      <rPr>
        <sz val="11"/>
        <color rgb="FF000000"/>
        <rFont val="Calibri"/>
      </rPr>
      <t>为了身体健康，经常锻炼是</t>
    </r>
    <r>
      <rPr>
        <b/>
        <sz val="11"/>
        <color rgb="FF000000"/>
        <rFont val="Calibri"/>
      </rPr>
      <t>必要</t>
    </r>
    <r>
      <rPr>
        <sz val="11"/>
        <color rgb="FF000000"/>
        <rFont val="Calibri"/>
      </rPr>
      <t>的。</t>
    </r>
  </si>
  <si>
    <t>Để có sức khỏe tốt, tập thể dục thường xuyên là điều cần thiết.</t>
  </si>
  <si>
    <t>H5_B11_BG-01.png</t>
  </si>
  <si>
    <t>避免</t>
  </si>
  <si>
    <t>&lt;ruby&gt;避免&lt;rt&gt;bìmiǎn&lt;/rt&gt;&lt;/ruby&gt;</t>
  </si>
  <si>
    <t>bìmiǎn</t>
  </si>
  <si>
    <t>tránh, ngăn ngừa</t>
  </si>
  <si>
    <r>
      <rPr>
        <sz val="11"/>
        <color rgb="FF000000"/>
        <rFont val="Calibri"/>
      </rPr>
      <t>戴口罩可以</t>
    </r>
    <r>
      <rPr>
        <b/>
        <sz val="11"/>
        <color rgb="FF000000"/>
        <rFont val="Calibri"/>
      </rPr>
      <t>避免</t>
    </r>
    <r>
      <rPr>
        <sz val="11"/>
        <color rgb="FF000000"/>
        <rFont val="Calibri"/>
      </rPr>
      <t>病毒传播。</t>
    </r>
  </si>
  <si>
    <t>Đeo khẩu trang có thể tránh lây nhiễm virus.</t>
  </si>
  <si>
    <t>H5_B11_BG-02.png</t>
  </si>
  <si>
    <t>低落</t>
  </si>
  <si>
    <t>&lt;ruby&gt;低落&lt;rt&gt;dīluò&lt;/rt&gt;&lt;/ruby&gt;</t>
  </si>
  <si>
    <t>dīluò</t>
  </si>
  <si>
    <t>suy nhược, ủ rũ</t>
  </si>
  <si>
    <r>
      <rPr>
        <sz val="11"/>
        <color rgb="FF000000"/>
        <rFont val="Calibri"/>
      </rPr>
      <t>最近他工作压力大，看起来有点</t>
    </r>
    <r>
      <rPr>
        <b/>
        <sz val="11"/>
        <color rgb="FF000000"/>
        <rFont val="Calibri"/>
      </rPr>
      <t>低落</t>
    </r>
    <r>
      <rPr>
        <sz val="11"/>
        <color rgb="FF000000"/>
        <rFont val="Calibri"/>
      </rPr>
      <t>。</t>
    </r>
  </si>
  <si>
    <t>Gần đây anh ấy có nhiều áp lực công việc, nhìn có vẻ ủ rũ.</t>
  </si>
  <si>
    <t>H5_B11_BG-03.png</t>
  </si>
  <si>
    <t>规律</t>
  </si>
  <si>
    <t>&lt;ruby&gt;规律&lt;rt&gt;guīlǜ&lt;/rt&gt;&lt;/ruby&gt;</t>
  </si>
  <si>
    <t>guīlǜ</t>
  </si>
  <si>
    <t>quy luât; đều đều, có nhịp điệu</t>
  </si>
  <si>
    <r>
      <rPr>
        <sz val="11"/>
        <color rgb="FF000000"/>
        <rFont val="Calibri"/>
      </rPr>
      <t>他的作息时间很有</t>
    </r>
    <r>
      <rPr>
        <b/>
        <sz val="11"/>
        <color rgb="FF000000"/>
        <rFont val="Calibri"/>
      </rPr>
      <t>规律</t>
    </r>
    <r>
      <rPr>
        <sz val="11"/>
        <color rgb="FF000000"/>
        <rFont val="Calibri"/>
      </rPr>
      <t>，每天早上六点起床。</t>
    </r>
  </si>
  <si>
    <t>Thời gian sinh hoạt của anh ấy rất đều đặn, mỗi ngày đều thức dậy vào lúc 6 giờ.</t>
  </si>
  <si>
    <t>H5_B11_BG-04.png</t>
  </si>
  <si>
    <t>呼吸</t>
  </si>
  <si>
    <t>&lt;ruby&gt;呼吸&lt;rt&gt;hūxī&lt;/rt&gt;&lt;/ruby&gt;</t>
  </si>
  <si>
    <t>hūxī</t>
  </si>
  <si>
    <t xml:space="preserve">hít thở </t>
  </si>
  <si>
    <r>
      <rPr>
        <sz val="11"/>
        <color rgb="FF000000"/>
        <rFont val="Calibri"/>
      </rPr>
      <t>深</t>
    </r>
    <r>
      <rPr>
        <b/>
        <sz val="11"/>
        <color rgb="FF000000"/>
        <rFont val="Calibri"/>
      </rPr>
      <t>呼吸</t>
    </r>
    <r>
      <rPr>
        <sz val="11"/>
        <color rgb="FF000000"/>
        <rFont val="Calibri"/>
      </rPr>
      <t>可以帮助放松身体。</t>
    </r>
  </si>
  <si>
    <t>Hít thở sâu giúp thư giãn cơ thể.</t>
  </si>
  <si>
    <t>H5_B11_BG-05.png</t>
  </si>
  <si>
    <t>浅</t>
  </si>
  <si>
    <t>&lt;ruby&gt;浅&lt;rt&gt;qiǎn&lt;/rt&gt;&lt;/ruby&gt;</t>
  </si>
  <si>
    <t>qiǎn</t>
  </si>
  <si>
    <t>nông, cạn</t>
  </si>
  <si>
    <r>
      <rPr>
        <sz val="11"/>
        <color rgb="FF000000"/>
        <rFont val="Calibri"/>
      </rPr>
      <t>这个湖很</t>
    </r>
    <r>
      <rPr>
        <b/>
        <sz val="11"/>
        <color rgb="FF000000"/>
        <rFont val="Calibri"/>
      </rPr>
      <t>浅</t>
    </r>
    <r>
      <rPr>
        <sz val="11"/>
        <color rgb="FF000000"/>
        <rFont val="Calibri"/>
      </rPr>
      <t>，可以下去捉鱼。</t>
    </r>
  </si>
  <si>
    <t>Hồ nước này khá nông, có thể xuống bắt cá được.</t>
  </si>
  <si>
    <t>H5_B11_BG-06.png</t>
  </si>
  <si>
    <t>失眠</t>
  </si>
  <si>
    <t>&lt;ruby&gt;失眠&lt;rt&gt;shīmián&lt;/rt&gt;&lt;/ruby&gt;</t>
  </si>
  <si>
    <t>shīmián</t>
  </si>
  <si>
    <t>mất ngủ</t>
  </si>
  <si>
    <r>
      <rPr>
        <sz val="11"/>
        <color rgb="FF000000"/>
        <rFont val="Calibri"/>
      </rPr>
      <t>最近因为工作压力太大，我经常</t>
    </r>
    <r>
      <rPr>
        <b/>
        <sz val="11"/>
        <color rgb="FF000000"/>
        <rFont val="Calibri"/>
      </rPr>
      <t>失眠</t>
    </r>
    <r>
      <rPr>
        <sz val="11"/>
        <color rgb="FF000000"/>
        <rFont val="Calibri"/>
      </rPr>
      <t>。</t>
    </r>
  </si>
  <si>
    <t>Gần đây tôi thường mất ngủ vì áp lực công việc quá lớn.</t>
  </si>
  <si>
    <t>H5_B11_BG-07.png</t>
  </si>
  <si>
    <t>状态</t>
  </si>
  <si>
    <t>&lt;ruby&gt;状态&lt;rt&gt;zhuàngtài&lt;/rt&gt;&lt;/ruby&gt;</t>
  </si>
  <si>
    <t>zhuàngtài</t>
  </si>
  <si>
    <t>trạng thái, tình trạng</t>
  </si>
  <si>
    <r>
      <rPr>
        <sz val="11"/>
        <color rgb="FF000000"/>
        <rFont val="Calibri"/>
      </rPr>
      <t>我最近</t>
    </r>
    <r>
      <rPr>
        <b/>
        <sz val="11"/>
        <color rgb="FF000000"/>
        <rFont val="Calibri"/>
      </rPr>
      <t>状态</t>
    </r>
    <r>
      <rPr>
        <sz val="11"/>
        <color rgb="FF000000"/>
        <rFont val="Calibri"/>
      </rPr>
      <t>不好，总是感到很疲劳。</t>
    </r>
  </si>
  <si>
    <t>Trạng thái của tôi gần đây không tốt, thường xuyên cảm thấy mệt mỏi.</t>
  </si>
  <si>
    <t>H5_B11_BG-08.png</t>
  </si>
  <si>
    <t>机制</t>
  </si>
  <si>
    <t>&lt;ruby&gt;机制&lt;rt&gt;jīzhì&lt;/rt&gt;&lt;/ruby&gt;</t>
  </si>
  <si>
    <t>jīzhì</t>
  </si>
  <si>
    <t>cơ chế</t>
  </si>
  <si>
    <r>
      <rPr>
        <sz val="11"/>
        <color rgb="FF000000"/>
        <rFont val="Calibri"/>
      </rPr>
      <t>大脑的记忆</t>
    </r>
    <r>
      <rPr>
        <b/>
        <sz val="11"/>
        <color rgb="FF000000"/>
        <rFont val="Calibri"/>
      </rPr>
      <t>机制</t>
    </r>
    <r>
      <rPr>
        <sz val="11"/>
        <color rgb="FF000000"/>
        <rFont val="Calibri"/>
      </rPr>
      <t>非常复杂。</t>
    </r>
  </si>
  <si>
    <t>Cơ chế ghi nhớ của não bộ rất phức tạp.</t>
  </si>
  <si>
    <t>H5_B11_BG-09.png</t>
  </si>
  <si>
    <t>生物</t>
  </si>
  <si>
    <t>&lt;ruby&gt;生物&lt;rt&gt;shēngwù&lt;/rt&gt;&lt;/ruby&gt;</t>
  </si>
  <si>
    <t>shēngwù</t>
  </si>
  <si>
    <t>sinh vật</t>
  </si>
  <si>
    <r>
      <rPr>
        <sz val="11"/>
        <color rgb="FF000000"/>
        <rFont val="Calibri"/>
      </rPr>
      <t>海洋是地球上</t>
    </r>
    <r>
      <rPr>
        <b/>
        <sz val="11"/>
        <color rgb="FF000000"/>
        <rFont val="Calibri"/>
      </rPr>
      <t>生物</t>
    </r>
    <r>
      <rPr>
        <sz val="11"/>
        <color rgb="FF000000"/>
        <rFont val="Calibri"/>
      </rPr>
      <t>最丰富的环境之一。</t>
    </r>
  </si>
  <si>
    <t>Đại dương là một trong những môi trường sống có sinh vật phong phú nhất trên trái đất.</t>
  </si>
  <si>
    <t>H5_B11_BG-10.png</t>
  </si>
  <si>
    <t>慌（张）</t>
  </si>
  <si>
    <t>&lt;ruby&gt;慌（张）&lt;rt&gt;huāng (zhāng)&lt;/rt&gt;&lt;/ruby&gt;</t>
  </si>
  <si>
    <t>huāng (zhāng)</t>
  </si>
  <si>
    <t>luống cuống, bối rối</t>
  </si>
  <si>
    <r>
      <rPr>
        <sz val="11"/>
        <color rgb="FF000000"/>
        <rFont val="Calibri"/>
      </rPr>
      <t>每次靠近她，我都</t>
    </r>
    <r>
      <rPr>
        <b/>
        <sz val="11"/>
        <color rgb="FF000000"/>
        <rFont val="Calibri"/>
      </rPr>
      <t>慌张</t>
    </r>
    <r>
      <rPr>
        <sz val="11"/>
        <color rgb="FF000000"/>
        <rFont val="Calibri"/>
      </rPr>
      <t>得不知道说什么。</t>
    </r>
  </si>
  <si>
    <t>Mỗi khi gần cô ấy, tôi lại bối rối không biết nói gì.</t>
  </si>
  <si>
    <t>H5_B11_BG-11.png</t>
  </si>
  <si>
    <t>采用</t>
  </si>
  <si>
    <t>&lt;ruby&gt;采用&lt;rt&gt;căiyòng&lt;/rt&gt;&lt;/ruby&gt;</t>
  </si>
  <si>
    <t>căiyòng</t>
  </si>
  <si>
    <t>chọn dùng, áp dụng</t>
  </si>
  <si>
    <r>
      <rPr>
        <sz val="11"/>
        <color rgb="FF000000"/>
        <rFont val="Calibri"/>
      </rPr>
      <t>学校决定</t>
    </r>
    <r>
      <rPr>
        <b/>
        <sz val="11"/>
        <color rgb="FF000000"/>
        <rFont val="Calibri"/>
      </rPr>
      <t>采用</t>
    </r>
    <r>
      <rPr>
        <sz val="11"/>
        <color rgb="FF000000"/>
        <rFont val="Calibri"/>
      </rPr>
      <t>在线教学的方法。</t>
    </r>
  </si>
  <si>
    <t>Trường học quyết định áp dụng phương pháp học trực tuyến.</t>
  </si>
  <si>
    <t>H5_B11_BG-12.png</t>
  </si>
  <si>
    <t>产品</t>
  </si>
  <si>
    <t>&lt;ruby&gt;产品&lt;rt&gt;chǎnpǐn&lt;/rt&gt;&lt;/ruby&gt;</t>
  </si>
  <si>
    <t>chǎnpǐn</t>
  </si>
  <si>
    <t>sản phẩm</t>
  </si>
  <si>
    <r>
      <rPr>
        <sz val="11"/>
        <color rgb="FF000000"/>
        <rFont val="Calibri"/>
      </rPr>
      <t>我们公司推出了新款手机</t>
    </r>
    <r>
      <rPr>
        <b/>
        <sz val="11"/>
        <color rgb="FF000000"/>
        <rFont val="Calibri"/>
      </rPr>
      <t>产品</t>
    </r>
    <r>
      <rPr>
        <sz val="11"/>
        <color rgb="FF000000"/>
        <rFont val="Calibri"/>
      </rPr>
      <t>。</t>
    </r>
  </si>
  <si>
    <t>Công ty của chúng tôi đã ra mắt sản phẩm điện thoại mới.</t>
  </si>
  <si>
    <t>H5_B11_BG-13.png</t>
  </si>
  <si>
    <t>计算</t>
  </si>
  <si>
    <t>&lt;ruby&gt;计算&lt;rt&gt;jìsuàn&lt;/rt&gt;&lt;/ruby&gt;</t>
  </si>
  <si>
    <t>jìsuàn</t>
  </si>
  <si>
    <t>tính toán</t>
  </si>
  <si>
    <r>
      <rPr>
        <sz val="11"/>
        <color rgb="FF000000"/>
        <rFont val="Calibri"/>
      </rPr>
      <t>这个问题需要仔细</t>
    </r>
    <r>
      <rPr>
        <b/>
        <sz val="11"/>
        <color rgb="FF000000"/>
        <rFont val="Calibri"/>
      </rPr>
      <t>计算</t>
    </r>
    <r>
      <rPr>
        <sz val="11"/>
        <color rgb="FF000000"/>
        <rFont val="Calibri"/>
      </rPr>
      <t>才能得出正确答案。</t>
    </r>
  </si>
  <si>
    <t>Câu hỏi này cần phải tính toán kỹ lưỡng mới có thể đưa ra câu trả lời chính xác.</t>
  </si>
  <si>
    <t>H5_B11_BG-14.png</t>
  </si>
  <si>
    <t>记忆</t>
  </si>
  <si>
    <t>&lt;ruby&gt;记忆&lt;rt&gt;jìyì&lt;/rt&gt;&lt;/ruby&gt;</t>
  </si>
  <si>
    <t>jìyì</t>
  </si>
  <si>
    <t>Động từ /Danh từ</t>
  </si>
  <si>
    <t>nhớ; ký ức</t>
  </si>
  <si>
    <r>
      <rPr>
        <sz val="11"/>
        <color rgb="FF000000"/>
        <rFont val="Calibri"/>
      </rPr>
      <t>每天我都会回忆一些美好的</t>
    </r>
    <r>
      <rPr>
        <b/>
        <sz val="11"/>
        <color rgb="FF000000"/>
        <rFont val="Calibri"/>
      </rPr>
      <t>记忆</t>
    </r>
    <r>
      <rPr>
        <sz val="11"/>
        <color rgb="FF000000"/>
        <rFont val="Calibri"/>
      </rPr>
      <t>。</t>
    </r>
  </si>
  <si>
    <t>Mỗi ngày tôi đều hồi tưởng lại một số ký ức đẹp.</t>
  </si>
  <si>
    <t>H5_B11_BG-15.png</t>
  </si>
  <si>
    <t>铃</t>
  </si>
  <si>
    <t>&lt;ruby&gt;铃&lt;rt&gt;líng&lt;/rt&gt;&lt;/ruby&gt;</t>
  </si>
  <si>
    <t>(cái) chuông</t>
  </si>
  <si>
    <r>
      <rPr>
        <sz val="11"/>
        <color rgb="FF000000"/>
        <rFont val="Calibri"/>
      </rPr>
      <t>这口</t>
    </r>
    <r>
      <rPr>
        <b/>
        <sz val="11"/>
        <color rgb="FF000000"/>
        <rFont val="Calibri"/>
      </rPr>
      <t>铃</t>
    </r>
    <r>
      <rPr>
        <sz val="11"/>
        <color rgb="FF000000"/>
        <rFont val="Calibri"/>
      </rPr>
      <t>有着非常悠久的历史。</t>
    </r>
  </si>
  <si>
    <t>Chiếc chuông này có lịch sử rất lâu đời.</t>
  </si>
  <si>
    <t>H5_B11_BG-16.png</t>
  </si>
  <si>
    <t>模仿</t>
  </si>
  <si>
    <t>&lt;ruby&gt;模仿&lt;rt&gt;mófăng&lt;/rt&gt;&lt;/ruby&gt;</t>
  </si>
  <si>
    <t>mófăng</t>
  </si>
  <si>
    <t>mô phỏng, bắt chước</t>
  </si>
  <si>
    <r>
      <rPr>
        <sz val="11"/>
        <color rgb="FF000000"/>
        <rFont val="Calibri"/>
      </rPr>
      <t>小狗正在</t>
    </r>
    <r>
      <rPr>
        <b/>
        <sz val="11"/>
        <color rgb="FF000000"/>
        <rFont val="Calibri"/>
      </rPr>
      <t>模仿</t>
    </r>
    <r>
      <rPr>
        <sz val="11"/>
        <color rgb="FF000000"/>
        <rFont val="Calibri"/>
      </rPr>
      <t>主人的动作。</t>
    </r>
  </si>
  <si>
    <t>Chó con đang bắt chước hành động của chủ nhân.</t>
  </si>
  <si>
    <t>H5_B11_BG-17.png</t>
  </si>
  <si>
    <r>
      <rPr>
        <sz val="11"/>
        <color rgb="FF000000"/>
        <rFont val="Calibri"/>
      </rPr>
      <t>每天早上我都靠</t>
    </r>
    <r>
      <rPr>
        <b/>
        <sz val="11"/>
        <color rgb="FF000000"/>
        <rFont val="Calibri"/>
      </rPr>
      <t>闹钟</t>
    </r>
    <r>
      <rPr>
        <sz val="11"/>
        <color rgb="FF000000"/>
        <rFont val="Calibri"/>
      </rPr>
      <t>起床。</t>
    </r>
  </si>
  <si>
    <t>Mỗi sáng, tôi đều thức dậy nhờ vào đồng hồ báo thức.</t>
  </si>
  <si>
    <t>H5_B11_BG-18.png</t>
  </si>
  <si>
    <t>市场</t>
  </si>
  <si>
    <t>&lt;ruby&gt;市场&lt;rt&gt;shìchǎng&lt;/rt&gt;&lt;/ruby&gt;</t>
  </si>
  <si>
    <t>shìchǎng</t>
  </si>
  <si>
    <t>thị trường, chợ</t>
  </si>
  <si>
    <r>
      <rPr>
        <sz val="11"/>
        <color rgb="FF000000"/>
        <rFont val="Calibri"/>
      </rPr>
      <t>这个</t>
    </r>
    <r>
      <rPr>
        <b/>
        <sz val="11"/>
        <color rgb="FF000000"/>
        <rFont val="Calibri"/>
      </rPr>
      <t>市场</t>
    </r>
    <r>
      <rPr>
        <sz val="11"/>
        <color rgb="FF000000"/>
        <rFont val="Calibri"/>
      </rPr>
      <t>的蔬菜水果非常便宜。</t>
    </r>
  </si>
  <si>
    <t>Rau củ quả ở chợ này rất rẻ.</t>
  </si>
  <si>
    <t>H5_B11_BG-19.png</t>
  </si>
  <si>
    <t>数</t>
  </si>
  <si>
    <t>&lt;ruby&gt;数&lt;rt&gt;shù&lt;/rt&gt;&lt;/ruby&gt;</t>
  </si>
  <si>
    <t>vài, mấy</t>
  </si>
  <si>
    <r>
      <rPr>
        <sz val="11"/>
        <color rgb="FF000000"/>
        <rFont val="Calibri"/>
      </rPr>
      <t>桌子上有</t>
    </r>
    <r>
      <rPr>
        <b/>
        <sz val="11"/>
        <color rgb="FF000000"/>
        <rFont val="Calibri"/>
      </rPr>
      <t>数</t>
    </r>
    <r>
      <rPr>
        <sz val="11"/>
        <color rgb="FF000000"/>
        <rFont val="Calibri"/>
      </rPr>
      <t>颗糖果。</t>
    </r>
  </si>
  <si>
    <t>Trên bàn có vài viên kẹo.</t>
  </si>
  <si>
    <t>H5_B11_BG-20.png</t>
  </si>
  <si>
    <t>所</t>
  </si>
  <si>
    <t>&lt;ruby&gt;所&lt;rt&gt;suǒ&lt;/rt&gt;&lt;/ruby&gt;</t>
  </si>
  <si>
    <t>(được dùng trước động từ của kết cấu chủ vị làm định ngữ, từ trung tâm là đối tượng chịu sự chi phối của hành động) mà</t>
  </si>
  <si>
    <r>
      <rPr>
        <sz val="11"/>
        <color rgb="FF000000"/>
        <rFont val="Calibri"/>
      </rPr>
      <t>我们</t>
    </r>
    <r>
      <rPr>
        <b/>
        <sz val="11"/>
        <color rgb="FF000000"/>
        <rFont val="Calibri"/>
      </rPr>
      <t>所</t>
    </r>
    <r>
      <rPr>
        <sz val="11"/>
        <color rgb="FF000000"/>
        <rFont val="Calibri"/>
      </rPr>
      <t>看到的风景很美。</t>
    </r>
  </si>
  <si>
    <t>Phong cảnh mà chúng tôi nhìn thấy rất đẹp.</t>
  </si>
  <si>
    <t>H5_B11_BG-21.png</t>
  </si>
  <si>
    <t>现代</t>
  </si>
  <si>
    <t>&lt;ruby&gt;现代&lt;rt&gt;xiàndài&lt;/rt&gt;&lt;/ruby&gt;</t>
  </si>
  <si>
    <t>xiàndài</t>
  </si>
  <si>
    <t>thời đại ngày nay; hiện đại</t>
  </si>
  <si>
    <r>
      <rPr>
        <b/>
        <sz val="11"/>
        <color rgb="FF000000"/>
        <rFont val="Calibri"/>
      </rPr>
      <t>现代</t>
    </r>
    <r>
      <rPr>
        <sz val="11"/>
        <color rgb="FF000000"/>
        <rFont val="Calibri"/>
      </rPr>
      <t>科技使我们的生活变得更加方便。</t>
    </r>
  </si>
  <si>
    <t>Công nghệ hiện đại làm cho cuộc sống của chúng ta trở nên thuận tiện hơn.</t>
  </si>
  <si>
    <t>H5_B11_BG-22.png</t>
  </si>
  <si>
    <t>亨受</t>
  </si>
  <si>
    <t>&lt;ruby&gt;亨受&lt;rt&gt;xiǎngshòu&lt;/rt&gt;&lt;/ruby&gt;</t>
  </si>
  <si>
    <t>xiǎngshòu</t>
  </si>
  <si>
    <t>hưởng thụ</t>
  </si>
  <si>
    <r>
      <rPr>
        <sz val="11"/>
        <color rgb="FF000000"/>
        <rFont val="Calibri"/>
      </rPr>
      <t>我们会</t>
    </r>
    <r>
      <rPr>
        <b/>
        <sz val="11"/>
        <color rgb="FF000000"/>
        <rFont val="Calibri"/>
      </rPr>
      <t>享受</t>
    </r>
    <r>
      <rPr>
        <sz val="11"/>
        <color rgb="FF000000"/>
        <rFont val="Calibri"/>
      </rPr>
      <t>这次旅行中的美好时光。</t>
    </r>
  </si>
  <si>
    <t>chúng tôi sẽ tận hưởng nhưng giây phút tuyệt vời ở chuyến đi này.</t>
  </si>
  <si>
    <t>H5_B11_BG-23.png</t>
  </si>
  <si>
    <t>用途</t>
  </si>
  <si>
    <t>&lt;ruby&gt;用途&lt;rt&gt;yòngtú&lt;/rt&gt;&lt;/ruby&gt;</t>
  </si>
  <si>
    <t>yòngtú</t>
  </si>
  <si>
    <t>công dụng</t>
  </si>
  <si>
    <r>
      <rPr>
        <sz val="11"/>
        <color rgb="FF000000"/>
        <rFont val="Calibri"/>
      </rPr>
      <t>这种药的</t>
    </r>
    <r>
      <rPr>
        <b/>
        <sz val="11"/>
        <color rgb="FF000000"/>
        <rFont val="Calibri"/>
      </rPr>
      <t>用途</t>
    </r>
    <r>
      <rPr>
        <sz val="11"/>
        <color rgb="FF000000"/>
        <rFont val="Calibri"/>
      </rPr>
      <t>很好，每次头痛我都会用它。</t>
    </r>
  </si>
  <si>
    <t>Công dụng của thuốc này rất tốt, mỗi khi đau đầu tôi đều sử dụng chúng.</t>
  </si>
  <si>
    <t>H5_B11_BG-24.png</t>
  </si>
  <si>
    <t>专家</t>
  </si>
  <si>
    <t>&lt;ruby&gt;专家&lt;rt&gt;zhuānjiā&lt;/rt&gt;&lt;/ruby&gt;</t>
  </si>
  <si>
    <t>zhuānjiā</t>
  </si>
  <si>
    <t>chuyên gia</t>
  </si>
  <si>
    <r>
      <rPr>
        <sz val="11"/>
        <color rgb="FF000000"/>
        <rFont val="Calibri"/>
      </rPr>
      <t>他是一名计算机技术</t>
    </r>
    <r>
      <rPr>
        <b/>
        <sz val="11"/>
        <color rgb="FF000000"/>
        <rFont val="Calibri"/>
      </rPr>
      <t>专家</t>
    </r>
    <r>
      <rPr>
        <sz val="11"/>
        <color rgb="FF000000"/>
        <rFont val="Calibri"/>
      </rPr>
      <t>。</t>
    </r>
  </si>
  <si>
    <t>Anh ấy là một chuyên gia công nghệ máy tính.</t>
  </si>
  <si>
    <t>H5_B11_BG-25.png</t>
  </si>
  <si>
    <t>持续</t>
  </si>
  <si>
    <t>&lt;ruby&gt;持续&lt;rt&gt;chíxù&lt;/rt&gt;&lt;/ruby&gt;</t>
  </si>
  <si>
    <t>chíxù</t>
  </si>
  <si>
    <t>kéo dài, duy trì lâu dài</t>
  </si>
  <si>
    <r>
      <rPr>
        <sz val="11"/>
        <color rgb="FF000000"/>
        <rFont val="Calibri"/>
      </rPr>
      <t>他们的爱情已经</t>
    </r>
    <r>
      <rPr>
        <b/>
        <sz val="11"/>
        <color rgb="FF000000"/>
        <rFont val="Calibri"/>
      </rPr>
      <t>持续</t>
    </r>
    <r>
      <rPr>
        <sz val="11"/>
        <color rgb="FF000000"/>
        <rFont val="Calibri"/>
      </rPr>
      <t>了十年。</t>
    </r>
  </si>
  <si>
    <t>Tình yêu của họ đã kéo dài được mười năm.</t>
  </si>
  <si>
    <t>H5_B11_BG-26.png</t>
  </si>
  <si>
    <t>传统</t>
  </si>
  <si>
    <t>&lt;ruby&gt;传统&lt;rt&gt;chuántǒng&lt;/rt&gt;&lt;/ruby&gt;</t>
  </si>
  <si>
    <t>chuántǒng</t>
  </si>
  <si>
    <t>truyền thống; (thuộc) truyền thống</t>
  </si>
  <si>
    <r>
      <rPr>
        <sz val="11"/>
        <color rgb="FF000000"/>
        <rFont val="Calibri"/>
      </rPr>
      <t>中秋节是中国的</t>
    </r>
    <r>
      <rPr>
        <b/>
        <sz val="11"/>
        <color rgb="FF000000"/>
        <rFont val="Calibri"/>
      </rPr>
      <t>传统</t>
    </r>
    <r>
      <rPr>
        <sz val="11"/>
        <color rgb="FF000000"/>
        <rFont val="Calibri"/>
      </rPr>
      <t>节日。</t>
    </r>
  </si>
  <si>
    <t>Tết Trung Thu là ngày lễ truyền thống của Trung Quốc.</t>
  </si>
  <si>
    <t>H5_B11_BG-27.png</t>
  </si>
  <si>
    <t>窗帘</t>
  </si>
  <si>
    <t>&lt;ruby&gt;窗帘&lt;rt&gt;chuānglián&lt;/rt&gt;&lt;/ruby&gt;</t>
  </si>
  <si>
    <t>chuānglián</t>
  </si>
  <si>
    <t>rèm cửa sổ</t>
  </si>
  <si>
    <r>
      <rPr>
        <sz val="11"/>
        <color rgb="FF000000"/>
        <rFont val="Calibri"/>
      </rPr>
      <t>我喜欢在卧室挂漂亮的</t>
    </r>
    <r>
      <rPr>
        <b/>
        <sz val="11"/>
        <color rgb="FF000000"/>
        <rFont val="Calibri"/>
      </rPr>
      <t>窗帘</t>
    </r>
    <r>
      <rPr>
        <sz val="11"/>
        <color rgb="FF000000"/>
        <rFont val="Calibri"/>
      </rPr>
      <t>。</t>
    </r>
  </si>
  <si>
    <t>Tôi thích treo những chiếc rèm cửa sổ đẹp trong phòng ngủ.</t>
  </si>
  <si>
    <t>H5_B11_BG-28.png</t>
  </si>
  <si>
    <t>导致</t>
  </si>
  <si>
    <t>&lt;ruby&gt;导致&lt;rt&gt;dǎozhì&lt;/rt&gt;&lt;/ruby&gt;</t>
  </si>
  <si>
    <t>dǎozhì</t>
  </si>
  <si>
    <t>dẫn đến, gây ra</t>
  </si>
  <si>
    <r>
      <rPr>
        <sz val="11"/>
        <color rgb="FF000000"/>
        <rFont val="Calibri"/>
      </rPr>
      <t>交通事故</t>
    </r>
    <r>
      <rPr>
        <b/>
        <sz val="11"/>
        <color rgb="FF000000"/>
        <rFont val="Calibri"/>
      </rPr>
      <t>导致</t>
    </r>
    <r>
      <rPr>
        <sz val="11"/>
        <color rgb="FF000000"/>
        <rFont val="Calibri"/>
      </rPr>
      <t>了我很多损失。</t>
    </r>
  </si>
  <si>
    <t>Tai nạn giao thông đã gây ra nhiều thiệt hại cho tôi.</t>
  </si>
  <si>
    <t>H5_B11_BG-29.png</t>
  </si>
  <si>
    <t>光线</t>
  </si>
  <si>
    <t>&lt;ruby&gt;光线&lt;rt&gt;guāngxiàn&lt;/rt&gt;&lt;/ruby&gt;</t>
  </si>
  <si>
    <t>guāngxiàn</t>
  </si>
  <si>
    <t>ánh sáng, tia sáng</t>
  </si>
  <si>
    <r>
      <rPr>
        <sz val="11"/>
        <color rgb="FF000000"/>
        <rFont val="Calibri"/>
      </rPr>
      <t>这家咖啡馆的</t>
    </r>
    <r>
      <rPr>
        <b/>
        <sz val="11"/>
        <color rgb="FF000000"/>
        <rFont val="Calibri"/>
      </rPr>
      <t>光线</t>
    </r>
    <r>
      <rPr>
        <sz val="11"/>
        <color rgb="FF000000"/>
        <rFont val="Calibri"/>
      </rPr>
      <t>很好，适合拍照。</t>
    </r>
  </si>
  <si>
    <t>Ánh sáng trong quán cà phê này rất tốt, thích hợp để chụp ảnh.</t>
  </si>
  <si>
    <t>H5_B11_BG-30.png</t>
  </si>
  <si>
    <t>情绪</t>
  </si>
  <si>
    <t>&lt;ruby&gt;情绪&lt;rt&gt;qíngxù&lt;/rt&gt;&lt;/ruby&gt;</t>
  </si>
  <si>
    <t>qíngxù</t>
  </si>
  <si>
    <t>tâm trạng, tinh thần</t>
  </si>
  <si>
    <r>
      <rPr>
        <sz val="11"/>
        <color rgb="FF000000"/>
        <rFont val="Calibri"/>
      </rPr>
      <t>她的</t>
    </r>
    <r>
      <rPr>
        <b/>
        <sz val="11"/>
        <color rgb="FF000000"/>
        <rFont val="Calibri"/>
      </rPr>
      <t>情绪</t>
    </r>
    <r>
      <rPr>
        <sz val="11"/>
        <color rgb="FF000000"/>
        <rFont val="Calibri"/>
      </rPr>
      <t>不好，因为考试成绩很低。</t>
    </r>
  </si>
  <si>
    <t>Tâm trạng của cô ấy không tốt lắm vì điểm thi thấp.</t>
  </si>
  <si>
    <t>H5_B11_BG-31.png</t>
  </si>
  <si>
    <t>B11_31.mp3</t>
  </si>
  <si>
    <t>B11_VD_31.mp3</t>
  </si>
  <si>
    <t>人类</t>
  </si>
  <si>
    <t>&lt;ruby&gt;人类&lt;rt&gt;rénlèi&lt;/rt&gt;&lt;/ruby&gt;</t>
  </si>
  <si>
    <t>rénlèi</t>
  </si>
  <si>
    <t>loài người</t>
  </si>
  <si>
    <r>
      <rPr>
        <b/>
        <sz val="11"/>
        <color rgb="FF000000"/>
        <rFont val="Calibri"/>
      </rPr>
      <t>人类</t>
    </r>
    <r>
      <rPr>
        <sz val="11"/>
        <color rgb="FF000000"/>
        <rFont val="Calibri"/>
      </rPr>
      <t>应该一起保护环境。</t>
    </r>
  </si>
  <si>
    <t>Loài người nên chung tay bảo vệ môi trường.</t>
  </si>
  <si>
    <t>H5_B11_BG-32.png</t>
  </si>
  <si>
    <t>B11_32.mp3</t>
  </si>
  <si>
    <t>B11_VD_32.mp3</t>
  </si>
  <si>
    <t>实验</t>
  </si>
  <si>
    <t>&lt;ruby&gt;实验&lt;rt&gt;shíyàn&lt;/rt&gt;&lt;/ruby&gt;</t>
  </si>
  <si>
    <t>shíyàn</t>
  </si>
  <si>
    <t>thực nghiệm; công việc thực nghiệm</t>
  </si>
  <si>
    <r>
      <rPr>
        <sz val="11"/>
        <color rgb="FF000000"/>
        <rFont val="Calibri"/>
      </rPr>
      <t>我正在做一个简单的</t>
    </r>
    <r>
      <rPr>
        <b/>
        <sz val="11"/>
        <color rgb="FF000000"/>
        <rFont val="Calibri"/>
      </rPr>
      <t>实验</t>
    </r>
    <r>
      <rPr>
        <sz val="11"/>
        <color rgb="FF000000"/>
        <rFont val="Calibri"/>
      </rPr>
      <t>。</t>
    </r>
  </si>
  <si>
    <t>Tôi đang làm một thí nghiệm đơn giản.</t>
  </si>
  <si>
    <t>H5_B11_BG-33.png</t>
  </si>
  <si>
    <t>B11_33.mp3</t>
  </si>
  <si>
    <t>B11_VD_33.mp3</t>
  </si>
  <si>
    <t>危害</t>
  </si>
  <si>
    <t>&lt;ruby&gt;危害&lt;rt&gt;wēihài&lt;/rt&gt;&lt;/ruby&gt;</t>
  </si>
  <si>
    <t>wēihài</t>
  </si>
  <si>
    <t>gây nguy hại, làm hại</t>
  </si>
  <si>
    <r>
      <rPr>
        <sz val="11"/>
        <color rgb="FF000000"/>
        <rFont val="Calibri"/>
      </rPr>
      <t>吸烟会</t>
    </r>
    <r>
      <rPr>
        <b/>
        <sz val="11"/>
        <color rgb="FF000000"/>
        <rFont val="Calibri"/>
      </rPr>
      <t>危害</t>
    </r>
    <r>
      <rPr>
        <sz val="11"/>
        <color rgb="FF000000"/>
        <rFont val="Calibri"/>
      </rPr>
      <t>健康。</t>
    </r>
  </si>
  <si>
    <t>Hút thuốc sẽ gây hại cho sức khỏe.</t>
  </si>
  <si>
    <t>H5_B11_BG-34.png</t>
  </si>
  <si>
    <t>B11_34.mp3</t>
  </si>
  <si>
    <t>B11_VD_34.mp3</t>
  </si>
  <si>
    <t>相当</t>
  </si>
  <si>
    <t>&lt;ruby&gt;相当&lt;rt&gt;xiāngdāng&lt;/rt&gt;&lt;/ruby&gt;</t>
  </si>
  <si>
    <t>xiāngdāng</t>
  </si>
  <si>
    <t>tương đương với, ngang nhau</t>
  </si>
  <si>
    <r>
      <rPr>
        <sz val="11"/>
        <color rgb="FF000000"/>
        <rFont val="Calibri"/>
      </rPr>
      <t>这两个价格</t>
    </r>
    <r>
      <rPr>
        <b/>
        <sz val="11"/>
        <color rgb="FF000000"/>
        <rFont val="Calibri"/>
      </rPr>
      <t>相当</t>
    </r>
    <r>
      <rPr>
        <sz val="11"/>
        <color rgb="FF000000"/>
        <rFont val="Calibri"/>
      </rPr>
      <t>，你可以选择其中一种水果。</t>
    </r>
  </si>
  <si>
    <t>Hai mức giá này tương đương, bạn có thể chọn một trong hai loại trái cây này.</t>
  </si>
  <si>
    <t>H5_B11_BG-35.png</t>
  </si>
  <si>
    <t>B11_35.mp3</t>
  </si>
  <si>
    <t>B11_VD_35.mp3</t>
  </si>
  <si>
    <t>心理</t>
  </si>
  <si>
    <t>&lt;ruby&gt;心理&lt;rt&gt;xīnlĭ&lt;/rt&gt;&lt;/ruby&gt;</t>
  </si>
  <si>
    <t>xīnlĭ</t>
  </si>
  <si>
    <t>tâm lý</t>
  </si>
  <si>
    <r>
      <rPr>
        <sz val="11"/>
        <color rgb="FF000000"/>
        <rFont val="Calibri"/>
      </rPr>
      <t>她的</t>
    </r>
    <r>
      <rPr>
        <b/>
        <sz val="11"/>
        <color rgb="FF000000"/>
        <rFont val="Calibri"/>
      </rPr>
      <t>心理</t>
    </r>
    <r>
      <rPr>
        <sz val="11"/>
        <color rgb="FF000000"/>
        <rFont val="Calibri"/>
      </rPr>
      <t>压力很大，导致她不得不辞职。</t>
    </r>
  </si>
  <si>
    <t>Áp lực tâm lý của cô ấy rất lớn, khiến cô ấy phải xin thôi việc.</t>
  </si>
  <si>
    <t>H5_B11_BG-36.png</t>
  </si>
  <si>
    <t>B11_36.mp3</t>
  </si>
  <si>
    <t>B11_VD_36.mp3</t>
  </si>
  <si>
    <t>愿望</t>
  </si>
  <si>
    <t>&lt;ruby&gt;愿望&lt;rt&gt;yuànwàng&lt;/rt&gt;&lt;/ruby&gt;</t>
  </si>
  <si>
    <t>yuànwàng</t>
  </si>
  <si>
    <t>ước muốn, điều mong muốn</t>
  </si>
  <si>
    <r>
      <rPr>
        <sz val="11"/>
        <color rgb="FF000000"/>
        <rFont val="Calibri"/>
      </rPr>
      <t>我的</t>
    </r>
    <r>
      <rPr>
        <b/>
        <sz val="11"/>
        <color rgb="FF000000"/>
        <rFont val="Calibri"/>
      </rPr>
      <t>愿望</t>
    </r>
    <r>
      <rPr>
        <sz val="11"/>
        <color rgb="FF000000"/>
        <rFont val="Calibri"/>
      </rPr>
      <t>是能成为像妈妈一样的医生。</t>
    </r>
  </si>
  <si>
    <t>Ước muốn của tôi là có thể trở thành bác sỹ giống mẹ của mình.</t>
  </si>
  <si>
    <t>H5_B11_BG-37.png</t>
  </si>
  <si>
    <t>B11_37.mp3</t>
  </si>
  <si>
    <t>B11_VD_37.mp3</t>
  </si>
  <si>
    <t>柔和</t>
  </si>
  <si>
    <t>&lt;ruby&gt;柔和&lt;rt&gt;róuhé&lt;/rt&gt;&lt;/ruby&gt;</t>
  </si>
  <si>
    <t>róuhé</t>
  </si>
  <si>
    <t>êm dịu</t>
  </si>
  <si>
    <r>
      <rPr>
        <sz val="11"/>
        <color rgb="FF000000"/>
        <rFont val="Calibri"/>
      </rPr>
      <t>这首音乐的声音很</t>
    </r>
    <r>
      <rPr>
        <b/>
        <sz val="11"/>
        <color rgb="FF000000"/>
        <rFont val="Calibri"/>
      </rPr>
      <t>柔和</t>
    </r>
    <r>
      <rPr>
        <sz val="11"/>
        <color rgb="FF000000"/>
        <rFont val="Calibri"/>
      </rPr>
      <t>，让人感到放松。</t>
    </r>
  </si>
  <si>
    <t>Âm thanh của bản nhạc này rất êm dịu, khiến người nghe cảm thấy thư giãn.</t>
  </si>
  <si>
    <t>H5_B11_BG-38.png</t>
  </si>
  <si>
    <t>B11_38.mp3</t>
  </si>
  <si>
    <t>B11_VD_38.mp3</t>
  </si>
  <si>
    <t>清醒</t>
  </si>
  <si>
    <t>&lt;ruby&gt;清醒&lt;rt&gt;qīngxǐng&lt;/rt&gt;&lt;/ruby&gt;</t>
  </si>
  <si>
    <t>qīngxǐng</t>
  </si>
  <si>
    <t>tỉnh táo, tỉnh lại</t>
  </si>
  <si>
    <r>
      <rPr>
        <sz val="11"/>
        <color rgb="FF000000"/>
        <rFont val="Calibri"/>
      </rPr>
      <t>事故发生一天后，他现在已经</t>
    </r>
    <r>
      <rPr>
        <b/>
        <sz val="11"/>
        <color rgb="FF000000"/>
        <rFont val="Calibri"/>
      </rPr>
      <t>清醒</t>
    </r>
    <r>
      <rPr>
        <sz val="11"/>
        <color rgb="FF000000"/>
        <rFont val="Calibri"/>
      </rPr>
      <t>了。</t>
    </r>
  </si>
  <si>
    <t>Anh ấy bất tỉnh một ngày sau vụ tai nạn, bây giờ đã tỉnh lại.</t>
  </si>
  <si>
    <t>H5_B11_BG-39.png</t>
  </si>
  <si>
    <t>B11_39.mp3</t>
  </si>
  <si>
    <t>B11_VD_39.mp3</t>
  </si>
  <si>
    <t>Danh từ /Tính từ</t>
  </si>
  <si>
    <t>tinh thần, sôi nổi, hoạt bát</t>
  </si>
  <si>
    <r>
      <rPr>
        <sz val="11"/>
        <color rgb="FF000000"/>
        <rFont val="Calibri"/>
      </rPr>
      <t>小狗跑来跑去，非常</t>
    </r>
    <r>
      <rPr>
        <b/>
        <sz val="11"/>
        <color rgb="FF000000"/>
        <rFont val="Calibri"/>
      </rPr>
      <t>精神</t>
    </r>
    <r>
      <rPr>
        <sz val="11"/>
        <color rgb="FF000000"/>
        <rFont val="Calibri"/>
      </rPr>
      <t>。</t>
    </r>
  </si>
  <si>
    <t>Chú chó chạy đi chạy lại, rất sôi nổi.</t>
  </si>
  <si>
    <t>H5_B11_BG-40.png</t>
  </si>
  <si>
    <t>B11_40.mp3</t>
  </si>
  <si>
    <t>B11_VD_40.mp3</t>
  </si>
  <si>
    <t>过度</t>
  </si>
  <si>
    <t>&lt;ruby&gt;过度&lt;rt&gt;guòdù&lt;/rt&gt;&lt;/ruby&gt;</t>
  </si>
  <si>
    <t>guòdù</t>
  </si>
  <si>
    <t>quá độ, chuyển tiếp</t>
  </si>
  <si>
    <r>
      <rPr>
        <sz val="11"/>
        <color rgb="FF000000"/>
        <rFont val="Calibri"/>
      </rPr>
      <t>长期</t>
    </r>
    <r>
      <rPr>
        <b/>
        <sz val="11"/>
        <color rgb="FF000000"/>
        <rFont val="Calibri"/>
      </rPr>
      <t>过度</t>
    </r>
    <r>
      <rPr>
        <sz val="11"/>
        <color rgb="FF000000"/>
        <rFont val="Calibri"/>
      </rPr>
      <t>工作会让人感到非常疲惫。</t>
    </r>
  </si>
  <si>
    <t>Làm việc quá độ trong thời gian dài sẽ cảm thấy rất mệt mỏi.</t>
  </si>
  <si>
    <t>H5_B11_BG-41.png</t>
  </si>
  <si>
    <t>B11_41.mp3</t>
  </si>
  <si>
    <t>B11_VD_41.mp3</t>
  </si>
  <si>
    <t>程度</t>
  </si>
  <si>
    <t>&lt;ruby&gt;程度&lt;rt&gt;chéngdù&lt;/rt&gt;&lt;/ruby&gt;</t>
  </si>
  <si>
    <t>chéngdù</t>
  </si>
  <si>
    <t>trình độ, mức độ</t>
  </si>
  <si>
    <r>
      <rPr>
        <sz val="10"/>
        <color theme="1"/>
        <rFont val="Calibri"/>
      </rPr>
      <t>他的羽毛球</t>
    </r>
    <r>
      <rPr>
        <b/>
        <sz val="10"/>
        <color theme="1"/>
        <rFont val="Calibri"/>
      </rPr>
      <t>程度</t>
    </r>
    <r>
      <rPr>
        <sz val="10"/>
        <color theme="1"/>
        <rFont val="Calibri"/>
      </rPr>
      <t>让他得到了第一的位置。</t>
    </r>
  </si>
  <si>
    <t>Trình độ cầu lông của cậu bé đã giúp cho cậu ấy đạt được vị trí số 1</t>
  </si>
  <si>
    <t>H5_B12_BG1.png</t>
  </si>
  <si>
    <t>当地</t>
  </si>
  <si>
    <t>&lt;ruby&gt;当地&lt;rt&gt;dāngdì&lt;/rt&gt;&lt;/ruby&gt;</t>
  </si>
  <si>
    <t>dāngdì</t>
  </si>
  <si>
    <t>bản địa, bản xứ</t>
  </si>
  <si>
    <r>
      <rPr>
        <sz val="10"/>
        <color theme="1"/>
        <rFont val="Calibri"/>
      </rPr>
      <t>外国人正在向</t>
    </r>
    <r>
      <rPr>
        <b/>
        <sz val="10"/>
        <color theme="1"/>
        <rFont val="Calibri"/>
      </rPr>
      <t>当地</t>
    </r>
    <r>
      <rPr>
        <sz val="10"/>
        <color theme="1"/>
        <rFont val="Calibri"/>
      </rPr>
      <t>人问路。</t>
    </r>
  </si>
  <si>
    <t>Người nước ngoài đang hỏi đường người bản địa</t>
  </si>
  <si>
    <t>H5_B12_BG2.png</t>
  </si>
  <si>
    <t>地位</t>
  </si>
  <si>
    <t>&lt;ruby&gt;地位&lt;rt&gt;dìwèi&lt;/rt&gt;&lt;/ruby&gt;</t>
  </si>
  <si>
    <t>dìwèi</t>
  </si>
  <si>
    <t xml:space="preserve">địa vị, vị trí </t>
  </si>
  <si>
    <r>
      <rPr>
        <sz val="10"/>
        <color theme="1"/>
        <rFont val="Calibri"/>
      </rPr>
      <t>他在公司中的</t>
    </r>
    <r>
      <rPr>
        <b/>
        <sz val="10"/>
        <color theme="1"/>
        <rFont val="Calibri"/>
      </rPr>
      <t>地位</t>
    </r>
    <r>
      <rPr>
        <sz val="10"/>
        <color theme="1"/>
        <rFont val="Calibri"/>
      </rPr>
      <t>是整个部门的经理。</t>
    </r>
  </si>
  <si>
    <t>Địa vị của anh ấy trong công ty này chính là người quản lý của cả một phòng ban.</t>
  </si>
  <si>
    <t>H5_B12_BG3.png</t>
  </si>
  <si>
    <t>高级</t>
  </si>
  <si>
    <t>&lt;ruby&gt;高级&lt;rt&gt;gāojí&lt;/rt&gt;&lt;/ruby&gt;</t>
  </si>
  <si>
    <t>gāojí</t>
  </si>
  <si>
    <t>cao cấp</t>
  </si>
  <si>
    <r>
      <rPr>
        <sz val="10"/>
        <color theme="1"/>
        <rFont val="Calibri"/>
      </rPr>
      <t>这是一个</t>
    </r>
    <r>
      <rPr>
        <b/>
        <sz val="10"/>
        <color theme="1"/>
        <rFont val="Calibri"/>
      </rPr>
      <t>高级</t>
    </r>
    <r>
      <rPr>
        <sz val="10"/>
        <color theme="1"/>
        <rFont val="Calibri"/>
      </rPr>
      <t>洗衣机。</t>
    </r>
  </si>
  <si>
    <t xml:space="preserve">Đây là một chiếc máy giặt cao cấp. </t>
  </si>
  <si>
    <t>H5_B12_BG4.png</t>
  </si>
  <si>
    <t>现实</t>
  </si>
  <si>
    <t>&lt;ruby&gt;现实&lt;rt&gt;xiànshí&lt;/rt&gt;&lt;/ruby&gt;</t>
  </si>
  <si>
    <t>xiànshí</t>
  </si>
  <si>
    <t>hiện thực</t>
  </si>
  <si>
    <r>
      <rPr>
        <sz val="10"/>
        <color theme="1"/>
        <rFont val="Calibri"/>
      </rPr>
      <t>这个小男孩讲述的梦境变成了</t>
    </r>
    <r>
      <rPr>
        <b/>
        <sz val="10"/>
        <color theme="1"/>
        <rFont val="Calibri"/>
      </rPr>
      <t>现实</t>
    </r>
    <r>
      <rPr>
        <sz val="10"/>
        <color theme="1"/>
        <rFont val="Calibri"/>
      </rPr>
      <t>，他在夏威夷游泳。</t>
    </r>
  </si>
  <si>
    <t>Cậu bé đang kể giấc mơ trở thành hiện thực , cậu ấy đang bơi ở Hawaii.</t>
  </si>
  <si>
    <t>H5_B12_BG5.png</t>
  </si>
  <si>
    <t>相关</t>
  </si>
  <si>
    <t>&lt;ruby&gt;相关&lt;rt&gt;xiāngguān&lt;/rt&gt;&lt;/ruby&gt;</t>
  </si>
  <si>
    <t>xiāngguān</t>
  </si>
  <si>
    <t>liên quan, tương quan</t>
  </si>
  <si>
    <r>
      <rPr>
        <sz val="10"/>
        <color theme="1"/>
        <rFont val="Calibri"/>
      </rPr>
      <t>我们需要</t>
    </r>
    <r>
      <rPr>
        <b/>
        <sz val="10"/>
        <color theme="1"/>
        <rFont val="Calibri"/>
      </rPr>
      <t>相关</t>
    </r>
    <r>
      <rPr>
        <sz val="10"/>
        <color theme="1"/>
        <rFont val="Calibri"/>
      </rPr>
      <t>的信息。</t>
    </r>
  </si>
  <si>
    <t>Chúng tôi cần thông tin liên quan.</t>
  </si>
  <si>
    <t>H5_B12_BG6.png</t>
  </si>
  <si>
    <t>移动</t>
  </si>
  <si>
    <t>&lt;ruby&gt;移动&lt;rt&gt;yídòng&lt;/rt&gt;&lt;/ruby&gt;</t>
  </si>
  <si>
    <t>yídòng</t>
  </si>
  <si>
    <t>di động, di chuyển</t>
  </si>
  <si>
    <r>
      <rPr>
        <sz val="10"/>
        <color theme="1"/>
        <rFont val="Calibri"/>
      </rPr>
      <t>传送带正在</t>
    </r>
    <r>
      <rPr>
        <b/>
        <sz val="10"/>
        <color theme="1"/>
        <rFont val="Calibri"/>
      </rPr>
      <t>移动</t>
    </r>
    <r>
      <rPr>
        <sz val="10"/>
        <color theme="1"/>
        <rFont val="Calibri"/>
      </rPr>
      <t>货物。</t>
    </r>
  </si>
  <si>
    <t>Băng truyền đang di chuyển hàng hóa</t>
  </si>
  <si>
    <t>H5_B12_BG7.png</t>
  </si>
  <si>
    <t>移民</t>
  </si>
  <si>
    <t>&lt;ruby&gt;移民&lt;rt&gt;yímín&lt;/rt&gt;&lt;/ruby&gt;</t>
  </si>
  <si>
    <t>yímín</t>
  </si>
  <si>
    <t>dân di cu</t>
  </si>
  <si>
    <r>
      <rPr>
        <sz val="10"/>
        <color theme="1"/>
        <rFont val="Calibri"/>
      </rPr>
      <t>那一大群</t>
    </r>
    <r>
      <rPr>
        <b/>
        <sz val="10"/>
        <color theme="1"/>
        <rFont val="Calibri"/>
      </rPr>
      <t>移民</t>
    </r>
    <r>
      <rPr>
        <sz val="10"/>
        <color theme="1"/>
        <rFont val="Calibri"/>
      </rPr>
      <t>正在寻找新的家园。</t>
    </r>
  </si>
  <si>
    <t>Dòng người dân di cư đang tìm nơi ở mới.</t>
  </si>
  <si>
    <t>H5_B12_BG8.png</t>
  </si>
  <si>
    <t>应用</t>
  </si>
  <si>
    <t>&lt;ruby&gt;应用&lt;rt&gt;yìngyòng&lt;/rt&gt;&lt;/ruby&gt;</t>
  </si>
  <si>
    <t>yìngyòng</t>
  </si>
  <si>
    <t xml:space="preserve">Danh từ/Động từ </t>
  </si>
  <si>
    <t>(tin học) trình ứng dụng; ứng dụng</t>
  </si>
  <si>
    <r>
      <rPr>
        <sz val="10"/>
        <color theme="1"/>
        <rFont val="Calibri"/>
      </rPr>
      <t>这是一个非常好的数学学习</t>
    </r>
    <r>
      <rPr>
        <b/>
        <sz val="10"/>
        <color theme="1"/>
        <rFont val="Calibri"/>
      </rPr>
      <t>应用</t>
    </r>
    <r>
      <rPr>
        <sz val="10"/>
        <color theme="1"/>
        <rFont val="Calibri"/>
      </rPr>
      <t>程序。</t>
    </r>
  </si>
  <si>
    <t>Đây là một ứng dụng để học toán rất hay.</t>
  </si>
  <si>
    <t>H5_B12_BG9.png</t>
  </si>
  <si>
    <t>召开</t>
  </si>
  <si>
    <t>&lt;ruby&gt;召开&lt;rt&gt;zhàokāi&lt;/rt&gt;&lt;/ruby&gt;</t>
  </si>
  <si>
    <t>zhàokāi</t>
  </si>
  <si>
    <t>mời dự họp, tổ chức</t>
  </si>
  <si>
    <r>
      <rPr>
        <sz val="10"/>
        <color theme="1"/>
        <rFont val="Calibri"/>
      </rPr>
      <t>明天公司将</t>
    </r>
    <r>
      <rPr>
        <b/>
        <sz val="10"/>
        <color theme="1"/>
        <rFont val="Calibri"/>
      </rPr>
      <t>召开</t>
    </r>
    <r>
      <rPr>
        <sz val="10"/>
        <color theme="1"/>
        <rFont val="Calibri"/>
      </rPr>
      <t>一个重要会议。</t>
    </r>
  </si>
  <si>
    <t>Ngày mai công ty mở cuộc họp quan trọng.</t>
  </si>
  <si>
    <t>H5_B12_BG10.png</t>
  </si>
  <si>
    <t>针对</t>
  </si>
  <si>
    <t>&lt;ruby&gt;针对&lt;rt&gt;zhēnduì&lt;/rt&gt;&lt;/ruby&gt;</t>
  </si>
  <si>
    <t>zhēnduì</t>
  </si>
  <si>
    <t>nhằm vào, chĩa vào</t>
  </si>
  <si>
    <r>
      <rPr>
        <sz val="10"/>
        <color theme="1"/>
        <rFont val="Calibri"/>
      </rPr>
      <t>这个计划</t>
    </r>
    <r>
      <rPr>
        <b/>
        <sz val="10"/>
        <color theme="1"/>
        <rFont val="Calibri"/>
      </rPr>
      <t>针对</t>
    </r>
    <r>
      <rPr>
        <sz val="10"/>
        <color theme="1"/>
        <rFont val="Calibri"/>
      </rPr>
      <t>特定客户。</t>
    </r>
  </si>
  <si>
    <t>Kế hoạch này nhằm vào các khách hàng cụ thể.</t>
  </si>
  <si>
    <t>H5_B12_BG11.png</t>
  </si>
  <si>
    <t>中心</t>
  </si>
  <si>
    <t>&lt;ruby&gt;中心&lt;rt&gt;zhōngxīn&lt;/rt&gt;&lt;/ruby&gt;</t>
  </si>
  <si>
    <t>zhōngxīn</t>
  </si>
  <si>
    <t>trung tâm</t>
  </si>
  <si>
    <r>
      <rPr>
        <sz val="10"/>
        <color theme="1"/>
        <rFont val="Calibri"/>
      </rPr>
      <t>这家超市位于市</t>
    </r>
    <r>
      <rPr>
        <b/>
        <sz val="10"/>
        <color theme="1"/>
        <rFont val="Calibri"/>
      </rPr>
      <t>中心</t>
    </r>
    <r>
      <rPr>
        <sz val="10"/>
        <color theme="1"/>
        <rFont val="Calibri"/>
      </rPr>
      <t>。</t>
    </r>
  </si>
  <si>
    <t>Siêu thị này nằm ở trung tâm thành phố.</t>
  </si>
  <si>
    <t>H5_B12_BG12.png</t>
  </si>
  <si>
    <t>注册</t>
  </si>
  <si>
    <t>&lt;ruby&gt;注册&lt;rt&gt;zhùcè&lt;/rt&gt;&lt;/ruby&gt;</t>
  </si>
  <si>
    <t>zhùcè</t>
  </si>
  <si>
    <t>đăng ký</t>
  </si>
  <si>
    <r>
      <rPr>
        <sz val="10"/>
        <color theme="1"/>
        <rFont val="Calibri"/>
      </rPr>
      <t>我们必须在月底前完成</t>
    </r>
    <r>
      <rPr>
        <b/>
        <sz val="10"/>
        <color theme="1"/>
        <rFont val="Calibri"/>
      </rPr>
      <t>注册</t>
    </r>
    <r>
      <rPr>
        <sz val="10"/>
        <color theme="1"/>
        <rFont val="Calibri"/>
      </rPr>
      <t>。</t>
    </r>
  </si>
  <si>
    <t>Chúng tôi phải hoàn thành đăng ký trước cuối tháng.</t>
  </si>
  <si>
    <t>H5_B12_BG13.png</t>
  </si>
  <si>
    <t>颠球</t>
  </si>
  <si>
    <t>&lt;ruby&gt;颠球&lt;rt&gt;diān qiú&lt;/rt&gt;&lt;/ruby&gt;</t>
  </si>
  <si>
    <t>diān qiú</t>
  </si>
  <si>
    <t xml:space="preserve">tung hứng </t>
  </si>
  <si>
    <r>
      <rPr>
        <sz val="10"/>
        <color theme="1"/>
        <rFont val="Calibri"/>
      </rPr>
      <t>那个男孩正在表演</t>
    </r>
    <r>
      <rPr>
        <b/>
        <sz val="10"/>
        <color theme="1"/>
        <rFont val="Calibri"/>
      </rPr>
      <t>颠球</t>
    </r>
    <r>
      <rPr>
        <sz val="10"/>
        <color theme="1"/>
        <rFont val="Calibri"/>
      </rPr>
      <t>。</t>
    </r>
  </si>
  <si>
    <t>Cậu bé đang tung hứng biểu diễn</t>
  </si>
  <si>
    <t>H5_B12_BG14.png</t>
  </si>
  <si>
    <t>直播</t>
  </si>
  <si>
    <t>&lt;ruby&gt;直播&lt;rt&gt;zhíbō&lt;/rt&gt;&lt;/ruby&gt;</t>
  </si>
  <si>
    <t>zhíbō</t>
  </si>
  <si>
    <t xml:space="preserve">phát sóng trực tiếp </t>
  </si>
  <si>
    <r>
      <rPr>
        <sz val="10"/>
        <color theme="1"/>
        <rFont val="Calibri"/>
      </rPr>
      <t>那个男孩正在社交媒体上</t>
    </r>
    <r>
      <rPr>
        <b/>
        <sz val="10"/>
        <color theme="1"/>
        <rFont val="Calibri"/>
      </rPr>
      <t>直播</t>
    </r>
    <r>
      <rPr>
        <sz val="10"/>
        <color theme="1"/>
        <rFont val="Calibri"/>
      </rPr>
      <t>。</t>
    </r>
  </si>
  <si>
    <t>Cậu bé đang phát sóng trực tiếp trên mạng xã hội.</t>
  </si>
  <si>
    <t>H5_B12_BG15.png</t>
  </si>
  <si>
    <t>手笔</t>
  </si>
  <si>
    <t>&lt;ruby&gt;手笔&lt;rt&gt;shǒubǐ&lt;/rt&gt;&lt;/ruby&gt;</t>
  </si>
  <si>
    <t>shǒubǐ</t>
  </si>
  <si>
    <t xml:space="preserve">sự mạnh tay, sự phô trương </t>
  </si>
  <si>
    <r>
      <rPr>
        <sz val="10"/>
        <color theme="1"/>
        <rFont val="Calibri"/>
      </rPr>
      <t>这封信有他的</t>
    </r>
    <r>
      <rPr>
        <b/>
        <sz val="10"/>
        <color theme="1"/>
        <rFont val="Calibri"/>
      </rPr>
      <t>手笔</t>
    </r>
    <r>
      <rPr>
        <sz val="10"/>
        <color theme="1"/>
        <rFont val="Calibri"/>
      </rPr>
      <t>。</t>
    </r>
  </si>
  <si>
    <t>Bức thư này có bút tích của anh ấy.</t>
  </si>
  <si>
    <t>H5_B12_BG16.png</t>
  </si>
  <si>
    <t>覆盖</t>
  </si>
  <si>
    <t>&lt;ruby&gt;覆盖&lt;rt&gt;fùgài&lt;/rt&gt;&lt;/ruby&gt;</t>
  </si>
  <si>
    <t>fùgài</t>
  </si>
  <si>
    <t xml:space="preserve">bao trùm </t>
  </si>
  <si>
    <r>
      <rPr>
        <sz val="10"/>
        <color theme="1"/>
        <rFont val="Calibri"/>
      </rPr>
      <t>雪已经</t>
    </r>
    <r>
      <rPr>
        <b/>
        <sz val="10"/>
        <color theme="1"/>
        <rFont val="Calibri"/>
      </rPr>
      <t>覆盖</t>
    </r>
    <r>
      <rPr>
        <sz val="10"/>
        <color theme="1"/>
        <rFont val="Calibri"/>
      </rPr>
      <t>了整个山谷。</t>
    </r>
  </si>
  <si>
    <t>Tuyết đã bao trùm cả thung lũng.</t>
  </si>
  <si>
    <t>H5_B12_BG17.png</t>
  </si>
  <si>
    <t>通信</t>
  </si>
  <si>
    <t>&lt;ruby&gt;通信&lt;rt&gt;tōngxìn&lt;/rt&gt;&lt;/ruby&gt;</t>
  </si>
  <si>
    <t>tōngxìn</t>
  </si>
  <si>
    <t xml:space="preserve">sự thông tin; liên lạc </t>
  </si>
  <si>
    <r>
      <rPr>
        <sz val="10"/>
        <color theme="1"/>
        <rFont val="Calibri"/>
      </rPr>
      <t>客服人员正在与客户进行</t>
    </r>
    <r>
      <rPr>
        <b/>
        <sz val="10"/>
        <color theme="1"/>
        <rFont val="Calibri"/>
      </rPr>
      <t>通信</t>
    </r>
    <r>
      <rPr>
        <sz val="10"/>
        <color theme="1"/>
        <rFont val="Calibri"/>
      </rPr>
      <t>。</t>
    </r>
  </si>
  <si>
    <t>Tổng đài viên đang liên lạc với khách hàng</t>
  </si>
  <si>
    <t>H5_B12_BG18.png</t>
  </si>
  <si>
    <t>称霸</t>
  </si>
  <si>
    <t>&lt;ruby&gt;称霸&lt;rt&gt;chēngbà&lt;/rt&gt;&lt;/ruby&gt;</t>
  </si>
  <si>
    <t>chēngbà</t>
  </si>
  <si>
    <t xml:space="preserve">xưng bá, thống trị </t>
  </si>
  <si>
    <r>
      <rPr>
        <sz val="10"/>
        <color theme="1"/>
        <rFont val="Calibri"/>
      </rPr>
      <t>贪官曾靠金钱</t>
    </r>
    <r>
      <rPr>
        <b/>
        <sz val="10"/>
        <color theme="1"/>
        <rFont val="Calibri"/>
      </rPr>
      <t>称霸</t>
    </r>
    <r>
      <rPr>
        <sz val="10"/>
        <color theme="1"/>
        <rFont val="Calibri"/>
      </rPr>
      <t>政界，最终落入法网。</t>
    </r>
  </si>
  <si>
    <t>Quan tham từng dùng tiền để xưng bá chính trường, cuối cùng sa lưới pháp luật.</t>
  </si>
  <si>
    <t>H5_B12_BG19.png</t>
  </si>
  <si>
    <t>发达</t>
  </si>
  <si>
    <t>&lt;ruby&gt;发达&lt;rt&gt;fādá&lt;/rt&gt;&lt;/ruby&gt;</t>
  </si>
  <si>
    <t>fādá</t>
  </si>
  <si>
    <r>
      <rPr>
        <sz val="10"/>
        <color theme="1"/>
        <rFont val="Calibri"/>
      </rPr>
      <t>我们的家乡不太</t>
    </r>
    <r>
      <rPr>
        <b/>
        <sz val="10"/>
        <color theme="1"/>
        <rFont val="Calibri"/>
      </rPr>
      <t>发达</t>
    </r>
    <r>
      <rPr>
        <sz val="10"/>
        <color theme="1"/>
        <rFont val="Calibri"/>
      </rPr>
      <t>。</t>
    </r>
  </si>
  <si>
    <t>Quê chúng tôi không phát triển lắm.</t>
  </si>
  <si>
    <t>H5_B12_BG20.png</t>
  </si>
  <si>
    <t>合作</t>
  </si>
  <si>
    <t>&lt;ruby&gt;合作&lt;rt&gt;hézuò&lt;/rt&gt;&lt;/ruby&gt;</t>
  </si>
  <si>
    <t>hézuò</t>
  </si>
  <si>
    <t>hợp tác</t>
  </si>
  <si>
    <r>
      <rPr>
        <b/>
        <sz val="10"/>
        <color theme="1"/>
        <rFont val="Calibri"/>
      </rPr>
      <t>合作</t>
    </r>
    <r>
      <rPr>
        <sz val="10"/>
        <color theme="1"/>
        <rFont val="Calibri"/>
      </rPr>
      <t>愉快！</t>
    </r>
  </si>
  <si>
    <t>Hợp tác vui vẻ!</t>
  </si>
  <si>
    <t>H5_B12_BG21.png</t>
  </si>
  <si>
    <t>企业</t>
  </si>
  <si>
    <t>&lt;ruby&gt;企业&lt;rt&gt;qǐyè&lt;/rt&gt;&lt;/ruby&gt;</t>
  </si>
  <si>
    <t>qǐyè</t>
  </si>
  <si>
    <t>xí nghiệp, công ty</t>
  </si>
  <si>
    <r>
      <rPr>
        <sz val="10"/>
        <color theme="1"/>
        <rFont val="Calibri"/>
      </rPr>
      <t>这家</t>
    </r>
    <r>
      <rPr>
        <b/>
        <sz val="10"/>
        <color theme="1"/>
        <rFont val="Calibri"/>
      </rPr>
      <t>企业</t>
    </r>
    <r>
      <rPr>
        <sz val="10"/>
        <color theme="1"/>
        <rFont val="Calibri"/>
      </rPr>
      <t>非常大。</t>
    </r>
  </si>
  <si>
    <t>Xí nghiệp này rất lớn.</t>
  </si>
  <si>
    <t>H5_B12_BG22.png</t>
  </si>
  <si>
    <t>实现</t>
  </si>
  <si>
    <t>&lt;ruby&gt;实现&lt;rt&gt;shíxiàn&lt;/rt&gt;&lt;/ruby&gt;</t>
  </si>
  <si>
    <t>shíxiàn</t>
  </si>
  <si>
    <t>thực hiện</t>
  </si>
  <si>
    <r>
      <rPr>
        <sz val="10"/>
        <color theme="1"/>
        <rFont val="Calibri"/>
      </rPr>
      <t>那个小男孩正在用头</t>
    </r>
    <r>
      <rPr>
        <b/>
        <sz val="10"/>
        <color theme="1"/>
        <rFont val="Calibri"/>
      </rPr>
      <t>实现</t>
    </r>
    <r>
      <rPr>
        <sz val="10"/>
        <color theme="1"/>
        <rFont val="Calibri"/>
      </rPr>
      <t>踢球的动作。</t>
    </r>
  </si>
  <si>
    <t>Cậu bé đang thực hiện tâng bóng bằng đầu.</t>
  </si>
  <si>
    <t>H5_B12_BG23.png</t>
  </si>
  <si>
    <t>推广</t>
  </si>
  <si>
    <t>&lt;ruby&gt;推广&lt;rt&gt;tuīguăng&lt;/rt&gt;&lt;/ruby&gt;</t>
  </si>
  <si>
    <t>tuīguăng</t>
  </si>
  <si>
    <t>phổ biến, mở rộng</t>
  </si>
  <si>
    <r>
      <rPr>
        <sz val="10"/>
        <color theme="1"/>
        <rFont val="Calibri"/>
      </rPr>
      <t>羽毛球在全球</t>
    </r>
    <r>
      <rPr>
        <b/>
        <sz val="10"/>
        <color theme="1"/>
        <rFont val="Calibri"/>
      </rPr>
      <t>推广</t>
    </r>
    <r>
      <rPr>
        <sz val="10"/>
        <color theme="1"/>
        <rFont val="Calibri"/>
      </rPr>
      <t>。</t>
    </r>
  </si>
  <si>
    <t>Cầu lông đang phổ biến trên thế giới.</t>
  </si>
  <si>
    <t>H5_B12_BG24.png</t>
  </si>
  <si>
    <t>销售</t>
  </si>
  <si>
    <t>&lt;ruby&gt;销售&lt;rt&gt;xiāoshòu&lt;/rt&gt;&lt;/ruby&gt;</t>
  </si>
  <si>
    <t>xiāoshòu</t>
  </si>
  <si>
    <t>tiêu thụ (hàng hóa)</t>
  </si>
  <si>
    <r>
      <rPr>
        <sz val="10"/>
        <color theme="1"/>
        <rFont val="Calibri"/>
      </rPr>
      <t>工厂提高了产量，以满足市场</t>
    </r>
    <r>
      <rPr>
        <b/>
        <sz val="10"/>
        <color theme="1"/>
        <rFont val="Calibri"/>
      </rPr>
      <t>销售</t>
    </r>
    <r>
      <rPr>
        <sz val="10"/>
        <color theme="1"/>
        <rFont val="Calibri"/>
      </rPr>
      <t>需求。</t>
    </r>
  </si>
  <si>
    <t>Nhà máy đã tăng sản lượng để đáp ứng nhu cầu tiêu thụ trên thị trường.</t>
  </si>
  <si>
    <t>H5_B12_BG25.png</t>
  </si>
  <si>
    <t>宣传</t>
  </si>
  <si>
    <t>&lt;ruby&gt;宣传&lt;rt&gt;xuānchuán&lt;/rt&gt;&lt;/ruby&gt;</t>
  </si>
  <si>
    <t>xuānchuán</t>
  </si>
  <si>
    <t>tuyên truyền</t>
  </si>
  <si>
    <r>
      <rPr>
        <sz val="10"/>
        <color theme="1"/>
        <rFont val="Calibri"/>
      </rPr>
      <t>那个女人正在</t>
    </r>
    <r>
      <rPr>
        <b/>
        <sz val="10"/>
        <color theme="1"/>
        <rFont val="Calibri"/>
      </rPr>
      <t>宣传</t>
    </r>
    <r>
      <rPr>
        <sz val="10"/>
        <color theme="1"/>
        <rFont val="Calibri"/>
      </rPr>
      <t>蚊子带来的危害。</t>
    </r>
  </si>
  <si>
    <t>Người phụ nữ đang tuyên truyền tác hại của muỗi.</t>
  </si>
  <si>
    <t>H5_B12_BG26.png</t>
  </si>
  <si>
    <t>业务</t>
  </si>
  <si>
    <t>&lt;ruby&gt;业务&lt;rt&gt;yèwù&lt;/rt&gt;&lt;/ruby&gt;</t>
  </si>
  <si>
    <t>yèwù</t>
  </si>
  <si>
    <t>nghiệp vu</t>
  </si>
  <si>
    <r>
      <rPr>
        <sz val="10"/>
        <color theme="1"/>
        <rFont val="Calibri"/>
      </rPr>
      <t>这位女警正在执行交通指挥</t>
    </r>
    <r>
      <rPr>
        <b/>
        <sz val="10"/>
        <color theme="1"/>
        <rFont val="Calibri"/>
      </rPr>
      <t>业务</t>
    </r>
    <r>
      <rPr>
        <sz val="10"/>
        <color theme="1"/>
        <rFont val="Calibri"/>
      </rPr>
      <t>。</t>
    </r>
  </si>
  <si>
    <t>Cô cảnh sát này đang thực hiện nghiệp vụ điều tiết giao thông.</t>
  </si>
  <si>
    <t>H5_B12_BG27.png</t>
  </si>
  <si>
    <t>开发</t>
  </si>
  <si>
    <t>&lt;ruby&gt;开发&lt;rt&gt;kāifā&lt;/rt&gt;&lt;/ruby&gt;</t>
  </si>
  <si>
    <t>kāifā</t>
  </si>
  <si>
    <t xml:space="preserve">khai thác, phát triển </t>
  </si>
  <si>
    <r>
      <rPr>
        <sz val="10"/>
        <color theme="1"/>
        <rFont val="Calibri"/>
      </rPr>
      <t>我们需要</t>
    </r>
    <r>
      <rPr>
        <b/>
        <sz val="10"/>
        <color theme="1"/>
        <rFont val="Calibri"/>
      </rPr>
      <t>开发</t>
    </r>
    <r>
      <rPr>
        <sz val="10"/>
        <color theme="1"/>
        <rFont val="Calibri"/>
      </rPr>
      <t>这些资源。</t>
    </r>
  </si>
  <si>
    <t>Chúng ta cần khai thác tài nguyên.</t>
  </si>
  <si>
    <t>H5_B12_BG28.png</t>
  </si>
  <si>
    <t>创新</t>
  </si>
  <si>
    <t>&lt;ruby&gt;创新&lt;rt&gt;chuàngxīn&lt;/rt&gt;&lt;/ruby&gt;</t>
  </si>
  <si>
    <t>chuàngxīn</t>
  </si>
  <si>
    <t xml:space="preserve">sáng tạo cái mới, đổi mới </t>
  </si>
  <si>
    <r>
      <rPr>
        <sz val="10"/>
        <color theme="1"/>
        <rFont val="Calibri"/>
      </rPr>
      <t>那个小男孩正在</t>
    </r>
    <r>
      <rPr>
        <b/>
        <sz val="10"/>
        <color theme="1"/>
        <rFont val="Calibri"/>
      </rPr>
      <t>创新</t>
    </r>
    <r>
      <rPr>
        <sz val="10"/>
        <color theme="1"/>
        <rFont val="Calibri"/>
      </rPr>
      <t>绘画风格。</t>
    </r>
  </si>
  <si>
    <t>Cậu bé đang đổi mới phong cách vẽ.</t>
  </si>
  <si>
    <t>H5_B12_BG29.png</t>
  </si>
  <si>
    <t>经营</t>
  </si>
  <si>
    <t>&lt;ruby&gt;经营&lt;rt&gt;jīngyíng&lt;/rt&gt;&lt;/ruby&gt;</t>
  </si>
  <si>
    <t>jīngyíng</t>
  </si>
  <si>
    <t xml:space="preserve">kinh doanh </t>
  </si>
  <si>
    <r>
      <rPr>
        <sz val="10"/>
        <color theme="1"/>
        <rFont val="Calibri"/>
      </rPr>
      <t>他已经</t>
    </r>
    <r>
      <rPr>
        <b/>
        <sz val="10"/>
        <color theme="1"/>
        <rFont val="Calibri"/>
      </rPr>
      <t>经营</t>
    </r>
    <r>
      <rPr>
        <sz val="10"/>
        <color theme="1"/>
        <rFont val="Calibri"/>
      </rPr>
      <t>了咖啡店一段时间了。</t>
    </r>
  </si>
  <si>
    <t>Anh ấy đã kinh doanh một quán cà phê được 1 thời gian.</t>
  </si>
  <si>
    <t>H5_B12_BG30.png</t>
  </si>
  <si>
    <t>宝贝</t>
  </si>
  <si>
    <t>&lt;ruby&gt;宝贝&lt;rt&gt;bǎobèi&lt;/rt&gt;&lt;/ruby&gt;</t>
  </si>
  <si>
    <t>bǎobèi</t>
  </si>
  <si>
    <t>cuc cưng</t>
  </si>
  <si>
    <r>
      <rPr>
        <sz val="10"/>
        <color theme="1"/>
        <rFont val="Calibri"/>
      </rPr>
      <t>妈妈对女儿说：“你是妈妈的</t>
    </r>
    <r>
      <rPr>
        <b/>
        <sz val="10"/>
        <color theme="1"/>
        <rFont val="Calibri"/>
      </rPr>
      <t>宝贝</t>
    </r>
    <r>
      <rPr>
        <sz val="10"/>
        <color theme="1"/>
        <rFont val="Calibri"/>
      </rPr>
      <t>。”</t>
    </r>
  </si>
  <si>
    <t>Mẹ nói với con gái: "Con là cục cưng của mẹ."</t>
  </si>
  <si>
    <t>H5_B12_BG31.png</t>
  </si>
  <si>
    <t>背景</t>
  </si>
  <si>
    <t>&lt;ruby&gt;背景&lt;rt&gt;bèijǐng&lt;/rt&gt;&lt;/ruby&gt;</t>
  </si>
  <si>
    <t>bèijǐng</t>
  </si>
  <si>
    <t xml:space="preserve">bối cảnh </t>
  </si>
  <si>
    <r>
      <rPr>
        <sz val="10"/>
        <color theme="1"/>
        <rFont val="Calibri"/>
      </rPr>
      <t>戏剧的</t>
    </r>
    <r>
      <rPr>
        <b/>
        <sz val="10"/>
        <color theme="1"/>
        <rFont val="Calibri"/>
      </rPr>
      <t>背景</t>
    </r>
    <r>
      <rPr>
        <sz val="10"/>
        <color theme="1"/>
        <rFont val="Calibri"/>
      </rPr>
      <t>是狼和兔子。</t>
    </r>
  </si>
  <si>
    <t>Diễn kịch nói với bối cảnh sói và thỏ.</t>
  </si>
  <si>
    <t>H5_B12_BG32.png</t>
  </si>
  <si>
    <t>逗</t>
  </si>
  <si>
    <t>&lt;ruby&gt;逗&lt;rt&gt;dòu&lt;/rt&gt;&lt;/ruby&gt;</t>
  </si>
  <si>
    <t>dòu</t>
  </si>
  <si>
    <t>gây cười, chọc cười</t>
  </si>
  <si>
    <r>
      <rPr>
        <sz val="10"/>
        <color theme="1"/>
        <rFont val="Calibri"/>
      </rPr>
      <t>她的话</t>
    </r>
    <r>
      <rPr>
        <b/>
        <sz val="10"/>
        <color theme="1"/>
        <rFont val="Calibri"/>
      </rPr>
      <t>逗</t>
    </r>
    <r>
      <rPr>
        <sz val="10"/>
        <color theme="1"/>
        <rFont val="Calibri"/>
      </rPr>
      <t>我们都乐了。</t>
    </r>
  </si>
  <si>
    <t>Những lời của cô ấy khiến chúng tôi đều cười.</t>
  </si>
  <si>
    <t>H5_B12_BG33.png</t>
  </si>
  <si>
    <t>个人</t>
  </si>
  <si>
    <t>&lt;ruby&gt;个人&lt;rt&gt;gèrén&lt;/rt&gt;&lt;/ruby&gt;</t>
  </si>
  <si>
    <t>gèrén</t>
  </si>
  <si>
    <t>cá nhân</t>
  </si>
  <si>
    <r>
      <rPr>
        <b/>
        <sz val="10"/>
        <color theme="1"/>
        <rFont val="Calibri"/>
      </rPr>
      <t>个人</t>
    </r>
    <r>
      <rPr>
        <sz val="10"/>
        <color theme="1"/>
        <rFont val="Calibri"/>
      </rPr>
      <t>信息请保密。</t>
    </r>
  </si>
  <si>
    <t>Thông tin cá nhân xin giữ kín.</t>
  </si>
  <si>
    <t>H5_B12_BG34.png</t>
  </si>
  <si>
    <t>B12_34.mp3</t>
  </si>
  <si>
    <t>B12_VD_34.mp3</t>
  </si>
  <si>
    <t>华裔</t>
  </si>
  <si>
    <t>&lt;ruby&gt;华裔&lt;rt&gt;huáyì&lt;/rt&gt;&lt;/ruby&gt;</t>
  </si>
  <si>
    <t>huáyì</t>
  </si>
  <si>
    <t>người gốc Hoa</t>
  </si>
  <si>
    <r>
      <rPr>
        <sz val="10"/>
        <color theme="1"/>
        <rFont val="Calibri"/>
      </rPr>
      <t>他是一个</t>
    </r>
    <r>
      <rPr>
        <b/>
        <sz val="10"/>
        <color theme="1"/>
        <rFont val="Calibri"/>
      </rPr>
      <t>华裔</t>
    </r>
    <r>
      <rPr>
        <sz val="10"/>
        <color theme="1"/>
        <rFont val="Calibri"/>
      </rPr>
      <t>美国人。</t>
    </r>
  </si>
  <si>
    <t>Anh ấy là người gốc Hoa sinh ra tại Mỹ.</t>
  </si>
  <si>
    <t>H5_B12_BG35.png</t>
  </si>
  <si>
    <t>B12_35.mp3</t>
  </si>
  <si>
    <t>B12_VD_35.mp3</t>
  </si>
  <si>
    <t>伙伴</t>
  </si>
  <si>
    <t>&lt;ruby&gt;伙伴&lt;rt&gt;huǒbàn&lt;/rt&gt;&lt;/ruby&gt;</t>
  </si>
  <si>
    <t>huǒbàn</t>
  </si>
  <si>
    <t>cộng sư, đối tác</t>
  </si>
  <si>
    <r>
      <rPr>
        <sz val="10"/>
        <color theme="1"/>
        <rFont val="Calibri"/>
      </rPr>
      <t>他是我的商业</t>
    </r>
    <r>
      <rPr>
        <b/>
        <sz val="10"/>
        <color theme="1"/>
        <rFont val="Calibri"/>
      </rPr>
      <t>伙伴</t>
    </r>
    <r>
      <rPr>
        <sz val="10"/>
        <color theme="1"/>
        <rFont val="Calibri"/>
      </rPr>
      <t>。</t>
    </r>
  </si>
  <si>
    <t>Anh ấy là đối tác kinh doanh của tôi.</t>
  </si>
  <si>
    <t>H5_B12_BG36.png</t>
  </si>
  <si>
    <t>B12_36.mp3</t>
  </si>
  <si>
    <t>B12_VD_36.mp3</t>
  </si>
  <si>
    <t>领导</t>
  </si>
  <si>
    <t>&lt;ruby&gt;领导&lt;rt&gt;lǐngdǎo&lt;/rt&gt;&lt;/ruby&gt;</t>
  </si>
  <si>
    <t>lǐngdǎo</t>
  </si>
  <si>
    <t>lãnh đạo</t>
  </si>
  <si>
    <r>
      <rPr>
        <b/>
        <sz val="10"/>
        <color theme="1"/>
        <rFont val="Calibri"/>
      </rPr>
      <t>领导</t>
    </r>
    <r>
      <rPr>
        <sz val="10"/>
        <color theme="1"/>
        <rFont val="Calibri"/>
      </rPr>
      <t>在会议中宣布了一个重要任务。</t>
    </r>
  </si>
  <si>
    <t>Lãnh đạo đã thông báo một công việc quan trọng trong cuộc họp.</t>
  </si>
  <si>
    <t>H5_B12_BG37.png</t>
  </si>
  <si>
    <t>B12_37.mp3</t>
  </si>
  <si>
    <t>B12_VD_37.mp3</t>
  </si>
  <si>
    <t>明星</t>
  </si>
  <si>
    <t>&lt;ruby&gt;明星&lt;rt&gt;míngxīng&lt;/rt&gt;&lt;/ruby&gt;</t>
  </si>
  <si>
    <t>míngxīng</t>
  </si>
  <si>
    <t>minh tinh, ngôi sao</t>
  </si>
  <si>
    <r>
      <rPr>
        <sz val="10"/>
        <color theme="1"/>
        <rFont val="Calibri"/>
      </rPr>
      <t>她是我最喜欢的</t>
    </r>
    <r>
      <rPr>
        <b/>
        <sz val="10"/>
        <color theme="1"/>
        <rFont val="Calibri"/>
      </rPr>
      <t>明星</t>
    </r>
    <r>
      <rPr>
        <sz val="10"/>
        <color theme="1"/>
        <rFont val="Calibri"/>
      </rPr>
      <t>。</t>
    </r>
  </si>
  <si>
    <t>Cô ấy là ngôi sao mà tôi yêu thích nhất.</t>
  </si>
  <si>
    <t>H5_B12_BG38.png</t>
  </si>
  <si>
    <t>B12_38.mp3</t>
  </si>
  <si>
    <t>B12_VD_38.mp3</t>
  </si>
  <si>
    <t>以及</t>
  </si>
  <si>
    <t>&lt;ruby&gt;以及&lt;rt&gt;yǐjí&lt;/rt&gt;&lt;/ruby&gt;</t>
  </si>
  <si>
    <t>yǐjí</t>
  </si>
  <si>
    <t>và</t>
  </si>
  <si>
    <r>
      <rPr>
        <sz val="10"/>
        <color theme="1"/>
        <rFont val="Calibri"/>
      </rPr>
      <t>这家公司生产电子产品</t>
    </r>
    <r>
      <rPr>
        <b/>
        <sz val="10"/>
        <color theme="1"/>
        <rFont val="Calibri"/>
      </rPr>
      <t>以及</t>
    </r>
    <r>
      <rPr>
        <sz val="10"/>
        <color theme="1"/>
        <rFont val="Calibri"/>
      </rPr>
      <t>家用电器。</t>
    </r>
  </si>
  <si>
    <t>Công ty này sản xuất các sản phẩm điện tử và đồ điện gia dụng.</t>
  </si>
  <si>
    <t>H5_B12_BG39.png</t>
  </si>
  <si>
    <t>B12_39.mp3</t>
  </si>
  <si>
    <t>B12_VD_39.mp3</t>
  </si>
  <si>
    <t>总裁</t>
  </si>
  <si>
    <t>&lt;ruby&gt;总裁&lt;rt&gt;zǒngcái&lt;/rt&gt;&lt;/ruby&gt;</t>
  </si>
  <si>
    <t>zǒngcái</t>
  </si>
  <si>
    <t>chủ tịch, president</t>
  </si>
  <si>
    <r>
      <rPr>
        <sz val="10"/>
        <color theme="1"/>
        <rFont val="Calibri"/>
      </rPr>
      <t>他是这家公司的</t>
    </r>
    <r>
      <rPr>
        <b/>
        <sz val="10"/>
        <color theme="1"/>
        <rFont val="Calibri"/>
      </rPr>
      <t>总裁</t>
    </r>
    <r>
      <rPr>
        <sz val="10"/>
        <color theme="1"/>
        <rFont val="Calibri"/>
      </rPr>
      <t>，负责所有决策。</t>
    </r>
  </si>
  <si>
    <t>Ông ấy là tổng giám đốc của công ty này, chịu trách nhiệm mọi quyết định.</t>
  </si>
  <si>
    <t>H5_B12_BG40.png</t>
  </si>
  <si>
    <t>B12_40.mp3</t>
  </si>
  <si>
    <t>B12_VD_40.mp3</t>
  </si>
  <si>
    <t>用户</t>
  </si>
  <si>
    <t>&lt;ruby&gt;用户&lt;rt&gt;yònghù&lt;/rt&gt;&lt;/ruby&gt;</t>
  </si>
  <si>
    <t>yònghù</t>
  </si>
  <si>
    <t>người dùng</t>
  </si>
  <si>
    <r>
      <rPr>
        <sz val="10"/>
        <color theme="1"/>
        <rFont val="Calibri"/>
      </rPr>
      <t>这个应用有很多活跃</t>
    </r>
    <r>
      <rPr>
        <b/>
        <sz val="10"/>
        <color theme="1"/>
        <rFont val="Calibri"/>
      </rPr>
      <t>用户</t>
    </r>
    <r>
      <rPr>
        <sz val="10"/>
        <color theme="1"/>
        <rFont val="Calibri"/>
      </rPr>
      <t>。</t>
    </r>
  </si>
  <si>
    <t>Ứng dụng này có rất nhiều người dùng tích cực.</t>
  </si>
  <si>
    <t>H5_B12_BG41.png</t>
  </si>
  <si>
    <t>B12_41.mp3</t>
  </si>
  <si>
    <t>B12_VD_41.mp3</t>
  </si>
  <si>
    <t>副</t>
  </si>
  <si>
    <t>&lt;ruby&gt;副&lt;rt&gt;fù&lt;/rt&gt;&lt;/ruby&gt;</t>
  </si>
  <si>
    <t xml:space="preserve">phó, phụ </t>
  </si>
  <si>
    <r>
      <rPr>
        <sz val="10"/>
        <color theme="1"/>
        <rFont val="Calibri"/>
      </rPr>
      <t>他是这家公司的</t>
    </r>
    <r>
      <rPr>
        <b/>
        <sz val="10"/>
        <color theme="1"/>
        <rFont val="Calibri"/>
      </rPr>
      <t>副</t>
    </r>
    <r>
      <rPr>
        <sz val="10"/>
        <color theme="1"/>
        <rFont val="Calibri"/>
      </rPr>
      <t>总裁。</t>
    </r>
  </si>
  <si>
    <t>Anh ấy là phó chủ tịch của công ty này.</t>
  </si>
  <si>
    <t>H5_B12_BG42.png</t>
  </si>
  <si>
    <t>B12_42.mp3</t>
  </si>
  <si>
    <t>B12_VD_42.mp3</t>
  </si>
  <si>
    <t>代言</t>
  </si>
  <si>
    <t>&lt;ruby&gt;代言&lt;rt&gt;dàiyán&lt;/rt&gt;&lt;/ruby&gt;</t>
  </si>
  <si>
    <t>dàiyán</t>
  </si>
  <si>
    <t xml:space="preserve">phát ngôn  </t>
  </si>
  <si>
    <r>
      <rPr>
        <sz val="10"/>
        <color theme="1"/>
        <rFont val="Calibri"/>
      </rPr>
      <t>她美丽的外貌非常适合为知名品牌</t>
    </r>
    <r>
      <rPr>
        <b/>
        <sz val="10"/>
        <color theme="1"/>
        <rFont val="Calibri"/>
      </rPr>
      <t>代言</t>
    </r>
    <r>
      <rPr>
        <sz val="10"/>
        <color theme="1"/>
        <rFont val="Calibri"/>
      </rPr>
      <t>。</t>
    </r>
  </si>
  <si>
    <t xml:space="preserve">Dáng vẻ xinh đẹp của cô ấy rất phù hợp làm đại diện nhãn hàng nổi tiếng. </t>
  </si>
  <si>
    <t>H5_B12_BG43.png</t>
  </si>
  <si>
    <t>B12_43.mp3</t>
  </si>
  <si>
    <t>B12_VD_43.mp3</t>
  </si>
  <si>
    <t>安装</t>
  </si>
  <si>
    <t>&lt;ruby&gt;安装&lt;rt&gt;ānzhuāng&lt;/rt&gt;&lt;/ruby&gt;</t>
  </si>
  <si>
    <t>ānzhuāng</t>
  </si>
  <si>
    <t>lắp đặt, gắn</t>
  </si>
  <si>
    <r>
      <rPr>
        <sz val="10"/>
        <color theme="1"/>
        <rFont val="Calibri"/>
      </rPr>
      <t>我们需要请专家来</t>
    </r>
    <r>
      <rPr>
        <b/>
        <sz val="10"/>
        <color theme="1"/>
        <rFont val="Calibri"/>
      </rPr>
      <t>安装</t>
    </r>
    <r>
      <rPr>
        <sz val="10"/>
        <color theme="1"/>
        <rFont val="Calibri"/>
      </rPr>
      <t>这台设备。</t>
    </r>
  </si>
  <si>
    <t>Chúng tôi cần mời chuyên gia đến lắp đặt thiết bị này.</t>
  </si>
  <si>
    <t>H5_B13_BG-01.png</t>
  </si>
  <si>
    <t>工程师</t>
  </si>
  <si>
    <t>&lt;ruby&gt;工程师&lt;rt&gt;gōngchéngshī&lt;/rt&gt;&lt;/ruby&gt;</t>
  </si>
  <si>
    <t>gōngchéngshī</t>
  </si>
  <si>
    <t>kỹ sư</t>
  </si>
  <si>
    <r>
      <rPr>
        <sz val="10"/>
        <color theme="1"/>
        <rFont val="Calibri"/>
      </rPr>
      <t>他是一位非常有经验的</t>
    </r>
    <r>
      <rPr>
        <b/>
        <sz val="10"/>
        <color theme="1"/>
        <rFont val="Calibri"/>
      </rPr>
      <t>工程师</t>
    </r>
    <r>
      <rPr>
        <sz val="10"/>
        <color theme="1"/>
        <rFont val="Calibri"/>
      </rPr>
      <t>。</t>
    </r>
  </si>
  <si>
    <t>Anh ấy là một kỹ sư rất có kinh nghiệm.</t>
  </si>
  <si>
    <t>H5_B13_BG-02.png</t>
  </si>
  <si>
    <t>工具</t>
  </si>
  <si>
    <t>&lt;ruby&gt;工具&lt;rt&gt;gōngjù&lt;/rt&gt;&lt;/ruby&gt;</t>
  </si>
  <si>
    <t>gōngjù</t>
  </si>
  <si>
    <t xml:space="preserve">công cụ </t>
  </si>
  <si>
    <r>
      <rPr>
        <sz val="10"/>
        <color theme="1"/>
        <rFont val="Calibri"/>
      </rPr>
      <t>这个</t>
    </r>
    <r>
      <rPr>
        <b/>
        <sz val="10"/>
        <color theme="1"/>
        <rFont val="Calibri"/>
      </rPr>
      <t>工具</t>
    </r>
    <r>
      <rPr>
        <sz val="10"/>
        <color theme="1"/>
        <rFont val="Calibri"/>
      </rPr>
      <t>在修理中非常有用。</t>
    </r>
  </si>
  <si>
    <t>Công cụ này rất hữu ích trong việc sửa chữa</t>
  </si>
  <si>
    <t>H5_B13_BG-03.png</t>
  </si>
  <si>
    <t>机器</t>
  </si>
  <si>
    <t>&lt;ruby&gt;机器&lt;rt&gt;jīqì&lt;/rt&gt;&lt;/ruby&gt;</t>
  </si>
  <si>
    <t>jīqì</t>
  </si>
  <si>
    <t>máy móc</t>
  </si>
  <si>
    <r>
      <rPr>
        <sz val="10"/>
        <color theme="1"/>
        <rFont val="Calibri"/>
      </rPr>
      <t>这台</t>
    </r>
    <r>
      <rPr>
        <b/>
        <sz val="10"/>
        <color theme="1"/>
        <rFont val="Calibri"/>
      </rPr>
      <t>机器</t>
    </r>
    <r>
      <rPr>
        <sz val="10"/>
        <color theme="1"/>
        <rFont val="Calibri"/>
      </rPr>
      <t>可以帮助我们更快地完成工作。</t>
    </r>
  </si>
  <si>
    <t>Chiếc máy này có thể giúp chúng tôi hoàn thành công việc nhanh hơn.</t>
  </si>
  <si>
    <t>H5_B13_BG-04.png</t>
  </si>
  <si>
    <t>项目</t>
  </si>
  <si>
    <t>&lt;ruby&gt;项目&lt;rt&gt;xiàngmù&lt;/rt&gt;&lt;/ruby&gt;</t>
  </si>
  <si>
    <t>xiàngmù</t>
  </si>
  <si>
    <t>hạng mục</t>
  </si>
  <si>
    <r>
      <rPr>
        <sz val="10"/>
        <color theme="1"/>
        <rFont val="Calibri"/>
      </rPr>
      <t>会议结束后，我们每个人被分配了不同的</t>
    </r>
    <r>
      <rPr>
        <b/>
        <sz val="10"/>
        <color theme="1"/>
        <rFont val="Calibri"/>
      </rPr>
      <t>项目</t>
    </r>
    <r>
      <rPr>
        <sz val="10"/>
        <color theme="1"/>
        <rFont val="Calibri"/>
      </rPr>
      <t>。</t>
    </r>
  </si>
  <si>
    <t>Sau cuộc họp chúng tôi mỗi người được phân công một hạng mục khác nhau.</t>
  </si>
  <si>
    <t>H5_B13_BG-05.png</t>
  </si>
  <si>
    <t>造成</t>
  </si>
  <si>
    <t>&lt;ruby&gt;造成&lt;rt&gt;zàochéng&lt;/rt&gt;&lt;/ruby&gt;</t>
  </si>
  <si>
    <t>zàochéng</t>
  </si>
  <si>
    <t>tạo thành, gây ra</t>
  </si>
  <si>
    <r>
      <rPr>
        <sz val="10"/>
        <color theme="1"/>
        <rFont val="Calibri"/>
      </rPr>
      <t>大雨</t>
    </r>
    <r>
      <rPr>
        <b/>
        <sz val="10"/>
        <color theme="1"/>
        <rFont val="Calibri"/>
      </rPr>
      <t>造成</t>
    </r>
    <r>
      <rPr>
        <sz val="10"/>
        <color theme="1"/>
        <rFont val="Calibri"/>
      </rPr>
      <t>了严重的交通堵塞。</t>
    </r>
  </si>
  <si>
    <t>Mưa lớn đã gây ra tình trạng tắc nghẽn giao thông nghiêm trọng.</t>
  </si>
  <si>
    <t>H5_B13_BG-06.png</t>
  </si>
  <si>
    <t>装</t>
  </si>
  <si>
    <t>&lt;ruby&gt;装&lt;rt&gt;zhuāng&lt;/rt&gt;&lt;/ruby&gt;</t>
  </si>
  <si>
    <t>zhuāng</t>
  </si>
  <si>
    <t xml:space="preserve">đựng, để vào </t>
  </si>
  <si>
    <r>
      <rPr>
        <sz val="10"/>
        <color theme="1"/>
        <rFont val="Calibri"/>
      </rPr>
      <t>她把很多东西</t>
    </r>
    <r>
      <rPr>
        <b/>
        <sz val="10"/>
        <color theme="1"/>
        <rFont val="Calibri"/>
      </rPr>
      <t>装</t>
    </r>
    <r>
      <rPr>
        <sz val="10"/>
        <color theme="1"/>
        <rFont val="Calibri"/>
      </rPr>
      <t>进了行李箱。</t>
    </r>
  </si>
  <si>
    <t>Cô ấy đã đựng rất nhiều đồ vào trong vali.</t>
  </si>
  <si>
    <t>H5_B13_BG-07.png</t>
  </si>
  <si>
    <t>锯子</t>
  </si>
  <si>
    <t>&lt;ruby&gt;锯子&lt;rt&gt;jùzi&lt;/rt&gt;&lt;/ruby&gt;</t>
  </si>
  <si>
    <t>cái cưa</t>
  </si>
  <si>
    <r>
      <rPr>
        <sz val="10"/>
        <color theme="1"/>
        <rFont val="Calibri"/>
      </rPr>
      <t>他用</t>
    </r>
    <r>
      <rPr>
        <b/>
        <sz val="10"/>
        <color theme="1"/>
        <rFont val="Calibri"/>
      </rPr>
      <t>锯子</t>
    </r>
    <r>
      <rPr>
        <sz val="10"/>
        <color theme="1"/>
        <rFont val="Calibri"/>
      </rPr>
      <t>把木头锯成了两段。</t>
    </r>
  </si>
  <si>
    <t>Anh ấy đã dùng cái cưa cắt khúc gỗ thành hai phần.</t>
  </si>
  <si>
    <t>H5_B13_BG-08.png</t>
  </si>
  <si>
    <t>栏杆</t>
  </si>
  <si>
    <t>&lt;ruby&gt;栏杆&lt;rt&gt;lángān&lt;/rt&gt;&lt;/ruby&gt;</t>
  </si>
  <si>
    <t>lángān</t>
  </si>
  <si>
    <t>hàng lan can</t>
  </si>
  <si>
    <r>
      <rPr>
        <sz val="10"/>
        <color theme="1"/>
        <rFont val="Calibri"/>
      </rPr>
      <t>这座桥的</t>
    </r>
    <r>
      <rPr>
        <b/>
        <sz val="10"/>
        <color theme="1"/>
        <rFont val="Calibri"/>
      </rPr>
      <t>栏杆</t>
    </r>
    <r>
      <rPr>
        <sz val="10"/>
        <color theme="1"/>
        <rFont val="Calibri"/>
      </rPr>
      <t>很漂亮。</t>
    </r>
  </si>
  <si>
    <t>Lan can của cây cầu này rất đẹp.</t>
  </si>
  <si>
    <t>H5_B13_BG-09.png</t>
  </si>
  <si>
    <t>思维</t>
  </si>
  <si>
    <t>&lt;ruby&gt;思维&lt;rt&gt;sīwéi&lt;/rt&gt;&lt;/ruby&gt;</t>
  </si>
  <si>
    <t>sīwéi</t>
  </si>
  <si>
    <t xml:space="preserve">tư duy, suy nghĩ </t>
  </si>
  <si>
    <r>
      <rPr>
        <sz val="10"/>
        <color theme="1"/>
        <rFont val="Calibri"/>
      </rPr>
      <t>他的</t>
    </r>
    <r>
      <rPr>
        <b/>
        <sz val="10"/>
        <color theme="1"/>
        <rFont val="Calibri"/>
      </rPr>
      <t>思维</t>
    </r>
    <r>
      <rPr>
        <sz val="10"/>
        <color theme="1"/>
        <rFont val="Calibri"/>
      </rPr>
      <t>非常灵活，总能想到解决问题的方法。</t>
    </r>
  </si>
  <si>
    <t>Tư duy của anh ấy rất linh hoạt, luôn có thể nghĩ ra các phương án giải quyết khác nhau.</t>
  </si>
  <si>
    <t>H5_B13_BG-10.png</t>
  </si>
  <si>
    <t>阻碍</t>
  </si>
  <si>
    <t>&lt;ruby&gt;阻碍&lt;rt&gt;zǔ'ài&lt;/rt&gt;&lt;/ruby&gt;</t>
  </si>
  <si>
    <t>zǔ'ài</t>
  </si>
  <si>
    <t xml:space="preserve">ngăn cản, cản trở </t>
  </si>
  <si>
    <r>
      <rPr>
        <sz val="10"/>
        <color theme="1"/>
        <rFont val="Calibri"/>
      </rPr>
      <t>贫穷</t>
    </r>
    <r>
      <rPr>
        <b/>
        <sz val="10"/>
        <color theme="1"/>
        <rFont val="Calibri"/>
      </rPr>
      <t>阻碍</t>
    </r>
    <r>
      <rPr>
        <sz val="10"/>
        <color theme="1"/>
        <rFont val="Calibri"/>
      </rPr>
      <t>了这个孩子的学习机会。</t>
    </r>
  </si>
  <si>
    <t>Nghèo đói đã cản trở cơ hội học tập của cậu bé này.</t>
  </si>
  <si>
    <t>H5_B13_BG-11.png</t>
  </si>
  <si>
    <t>踩</t>
  </si>
  <si>
    <t>&lt;ruby&gt;踩&lt;rt&gt;căi&lt;/rt&gt;&lt;/ruby&gt;</t>
  </si>
  <si>
    <t>căi</t>
  </si>
  <si>
    <t>giẫm, đạp</t>
  </si>
  <si>
    <r>
      <rPr>
        <sz val="10"/>
        <color theme="1"/>
        <rFont val="Calibri"/>
      </rPr>
      <t>我不小心</t>
    </r>
    <r>
      <rPr>
        <b/>
        <sz val="10"/>
        <color theme="1"/>
        <rFont val="Calibri"/>
      </rPr>
      <t>踩</t>
    </r>
    <r>
      <rPr>
        <sz val="10"/>
        <color theme="1"/>
        <rFont val="Calibri"/>
      </rPr>
      <t>到地上的水摔倒了。</t>
    </r>
  </si>
  <si>
    <t>Không may tôi đã bị ngã do giẫm vào vũng nước trên sàn.</t>
  </si>
  <si>
    <t>H5_B13_BG-12.png</t>
  </si>
  <si>
    <t>重复</t>
  </si>
  <si>
    <t>&lt;ruby&gt;重复&lt;rt&gt;chóngfù&lt;/rt&gt;&lt;/ruby&gt;</t>
  </si>
  <si>
    <t>chóngfù</t>
  </si>
  <si>
    <t>lặp lại, lại</t>
  </si>
  <si>
    <r>
      <rPr>
        <sz val="10"/>
        <color theme="1"/>
        <rFont val="Calibri"/>
      </rPr>
      <t>这本书非常有趣，我已经</t>
    </r>
    <r>
      <rPr>
        <b/>
        <sz val="10"/>
        <color theme="1"/>
        <rFont val="Calibri"/>
      </rPr>
      <t>重复</t>
    </r>
    <r>
      <rPr>
        <sz val="10"/>
        <color theme="1"/>
        <rFont val="Calibri"/>
      </rPr>
      <t>读了很多次。</t>
    </r>
  </si>
  <si>
    <t>Quyển sách này rất hay tôi đã đọc lại nó nhiều lần.</t>
  </si>
  <si>
    <t>H5_B13_BG-13.png</t>
  </si>
  <si>
    <t>激烈</t>
  </si>
  <si>
    <t>&lt;ruby&gt;激烈&lt;rt&gt;jīliè&lt;/rt&gt;&lt;/ruby&gt;</t>
  </si>
  <si>
    <t>jīliè</t>
  </si>
  <si>
    <t>kịch liệt, sôi nổi</t>
  </si>
  <si>
    <r>
      <rPr>
        <sz val="10"/>
        <color theme="1"/>
        <rFont val="Calibri"/>
      </rPr>
      <t>两队之间的比赛非常</t>
    </r>
    <r>
      <rPr>
        <b/>
        <sz val="10"/>
        <color theme="1"/>
        <rFont val="Calibri"/>
      </rPr>
      <t>激烈</t>
    </r>
    <r>
      <rPr>
        <sz val="10"/>
        <color theme="1"/>
        <rFont val="Calibri"/>
      </rPr>
      <t>，最终越南以3比2战胜了泰国。</t>
    </r>
  </si>
  <si>
    <t>Trận đấu giữa hai đội rất kịch liệt, cuối cùng Việt Nam đã thắng Thái Lan với tỉ số 3-2</t>
  </si>
  <si>
    <t>H5_B13_BG-14.png</t>
  </si>
  <si>
    <t>甲</t>
  </si>
  <si>
    <t>&lt;ruby&gt;甲&lt;rt&gt;jiă&lt;/rt&gt;&lt;/ruby&gt;</t>
  </si>
  <si>
    <t>jiă</t>
  </si>
  <si>
    <t xml:space="preserve">người (đội) thứ nhất </t>
  </si>
  <si>
    <r>
      <rPr>
        <sz val="10"/>
        <color theme="1"/>
        <rFont val="Calibri"/>
      </rPr>
      <t>在这场比赛中，</t>
    </r>
    <r>
      <rPr>
        <b/>
        <sz val="10"/>
        <color theme="1"/>
        <rFont val="Calibri"/>
      </rPr>
      <t>甲</t>
    </r>
    <r>
      <rPr>
        <sz val="10"/>
        <color theme="1"/>
        <rFont val="Calibri"/>
      </rPr>
      <t>队赢了乙队。</t>
    </r>
  </si>
  <si>
    <t>Ở trận đấu này, đội A đã thắng đội B.</t>
  </si>
  <si>
    <t>H5_B13_BG-15.png</t>
  </si>
  <si>
    <t>瞧</t>
  </si>
  <si>
    <t>&lt;ruby&gt;瞧&lt;rt&gt;qiáo&lt;/rt&gt;&lt;/ruby&gt;</t>
  </si>
  <si>
    <t>nhìn</t>
  </si>
  <si>
    <r>
      <rPr>
        <b/>
        <sz val="10"/>
        <color theme="1"/>
        <rFont val="Calibri"/>
      </rPr>
      <t>瞧</t>
    </r>
    <r>
      <rPr>
        <sz val="10"/>
        <color theme="1"/>
        <rFont val="Calibri"/>
      </rPr>
      <t>，这些小猫多可爱！</t>
    </r>
  </si>
  <si>
    <t>Nhìn này, những chú mèo này đẹp thật!</t>
  </si>
  <si>
    <t>H5_B13_BG-16.png</t>
  </si>
  <si>
    <t>球迷</t>
  </si>
  <si>
    <t>&lt;ruby&gt;球迷&lt;rt&gt;qiúmí&lt;/rt&gt;&lt;/ruby&gt;</t>
  </si>
  <si>
    <t>qiúmí</t>
  </si>
  <si>
    <t>người mê bóng</t>
  </si>
  <si>
    <r>
      <rPr>
        <sz val="10"/>
        <color theme="1"/>
        <rFont val="Calibri"/>
      </rPr>
      <t>作为一个</t>
    </r>
    <r>
      <rPr>
        <b/>
        <sz val="10"/>
        <color theme="1"/>
        <rFont val="Calibri"/>
      </rPr>
      <t>球迷</t>
    </r>
    <r>
      <rPr>
        <sz val="10"/>
        <color theme="1"/>
        <rFont val="Calibri"/>
      </rPr>
      <t>，他每周都去球场训练。</t>
    </r>
  </si>
  <si>
    <t>Là một fan bóng đá, tuần nào a ấy cũng ra sân tập luyện.</t>
  </si>
  <si>
    <t>H5_B13_BG-17.png</t>
  </si>
  <si>
    <t>缺乏</t>
  </si>
  <si>
    <t>&lt;ruby&gt;缺乏&lt;rt&gt;quēfá&lt;/rt&gt;&lt;/ruby&gt;</t>
  </si>
  <si>
    <t>quēfá</t>
  </si>
  <si>
    <t>thiếu, không dủ</t>
  </si>
  <si>
    <r>
      <rPr>
        <sz val="10"/>
        <color theme="1"/>
        <rFont val="Calibri"/>
      </rPr>
      <t>因为</t>
    </r>
    <r>
      <rPr>
        <b/>
        <sz val="10"/>
        <color theme="1"/>
        <rFont val="Calibri"/>
      </rPr>
      <t>缺乏</t>
    </r>
    <r>
      <rPr>
        <sz val="10"/>
        <color theme="1"/>
        <rFont val="Calibri"/>
      </rPr>
      <t>经验，我至今还没找到工作。</t>
    </r>
  </si>
  <si>
    <t>Vì thiếu kinh nghiệm, nên tôi vẫn chưa tìm được việc làm.</t>
  </si>
  <si>
    <t>H5_B13_BG-18.png</t>
  </si>
  <si>
    <t>投篮</t>
  </si>
  <si>
    <t>&lt;ruby&gt;投篮&lt;rt&gt;tóu lán&lt;/rt&gt;&lt;/ruby&gt;</t>
  </si>
  <si>
    <t>tóu lán</t>
  </si>
  <si>
    <t>ném bóng vào rổ</t>
  </si>
  <si>
    <r>
      <rPr>
        <sz val="10"/>
        <color theme="1"/>
        <rFont val="Calibri"/>
      </rPr>
      <t>他每天都练习</t>
    </r>
    <r>
      <rPr>
        <b/>
        <sz val="10"/>
        <color theme="1"/>
        <rFont val="Calibri"/>
      </rPr>
      <t>投篮</t>
    </r>
    <r>
      <rPr>
        <sz val="10"/>
        <color theme="1"/>
        <rFont val="Calibri"/>
      </rPr>
      <t>，进步很快。</t>
    </r>
  </si>
  <si>
    <t>Anh ấy mỗi ngày đều luyện tập ném bóng vào rổ, tiến bộ rất nhanh.</t>
  </si>
  <si>
    <t>H5_B13_BG-19.png</t>
  </si>
  <si>
    <t>训练</t>
  </si>
  <si>
    <t>&lt;ruby&gt;训练&lt;rt&gt;xùnliàn&lt;/rt&gt;&lt;/ruby&gt;</t>
  </si>
  <si>
    <t>xùnliàn</t>
  </si>
  <si>
    <t>huấn luyện</t>
  </si>
  <si>
    <r>
      <rPr>
        <sz val="10"/>
        <color theme="1"/>
        <rFont val="Calibri"/>
      </rPr>
      <t>他正在</t>
    </r>
    <r>
      <rPr>
        <b/>
        <sz val="10"/>
        <color theme="1"/>
        <rFont val="Calibri"/>
      </rPr>
      <t>训练</t>
    </r>
    <r>
      <rPr>
        <sz val="10"/>
        <color theme="1"/>
        <rFont val="Calibri"/>
      </rPr>
      <t>自己的小狗。</t>
    </r>
  </si>
  <si>
    <t>Anh ấy đang huấn luyện chú chó của mình.</t>
  </si>
  <si>
    <t>H5_B13_BG-20.png</t>
  </si>
  <si>
    <t>乙</t>
  </si>
  <si>
    <t>&lt;ruby&gt;乙&lt;rt&gt;yǐ&lt;/rt&gt;&lt;/ruby&gt;</t>
  </si>
  <si>
    <t>người (đội) thứ hai</t>
  </si>
  <si>
    <r>
      <rPr>
        <sz val="10"/>
        <color theme="1"/>
        <rFont val="Calibri"/>
      </rPr>
      <t>在这场比赛中，</t>
    </r>
    <r>
      <rPr>
        <b/>
        <sz val="10"/>
        <color theme="1"/>
        <rFont val="Calibri"/>
      </rPr>
      <t>乙</t>
    </r>
    <r>
      <rPr>
        <sz val="10"/>
        <color theme="1"/>
        <rFont val="Calibri"/>
      </rPr>
      <t>队输给了甲队。</t>
    </r>
  </si>
  <si>
    <t>Ở trận đấu này, đội B đã thua đội A.</t>
  </si>
  <si>
    <t>H5_B13_BG-21.png</t>
  </si>
  <si>
    <t>顺畅</t>
  </si>
  <si>
    <t>&lt;ruby&gt;顺畅&lt;rt&gt;shùnchàng&lt;/rt&gt;&lt;/ruby&gt;</t>
  </si>
  <si>
    <t>shùnchàng</t>
  </si>
  <si>
    <t>trôi chảy</t>
  </si>
  <si>
    <r>
      <rPr>
        <sz val="10"/>
        <color theme="1"/>
        <rFont val="Calibri"/>
      </rPr>
      <t>会议进行得非常</t>
    </r>
    <r>
      <rPr>
        <b/>
        <sz val="10"/>
        <color theme="1"/>
        <rFont val="Calibri"/>
      </rPr>
      <t>顺畅</t>
    </r>
    <r>
      <rPr>
        <sz val="10"/>
        <color theme="1"/>
        <rFont val="Calibri"/>
      </rPr>
      <t>。</t>
    </r>
  </si>
  <si>
    <t>Cuộc họp diễn ra rất trôi chảy.</t>
  </si>
  <si>
    <t>H5_B13_BG-22.png</t>
  </si>
  <si>
    <t>困扰</t>
  </si>
  <si>
    <t>&lt;ruby&gt;困扰&lt;rt&gt;kùnrǎo&lt;/rt&gt;&lt;/ruby&gt;</t>
  </si>
  <si>
    <t>kùnrǎo</t>
  </si>
  <si>
    <t>làm phiền, gây rối</t>
  </si>
  <si>
    <r>
      <rPr>
        <sz val="10"/>
        <color rgb="FF0E0E0E"/>
        <rFont val="Calibri"/>
      </rPr>
      <t>失眠的问题已经</t>
    </r>
    <r>
      <rPr>
        <b/>
        <sz val="10"/>
        <color rgb="FF0E0E0E"/>
        <rFont val="Calibri"/>
      </rPr>
      <t>困扰</t>
    </r>
    <r>
      <rPr>
        <sz val="10"/>
        <color rgb="FF0E0E0E"/>
        <rFont val="Calibri"/>
      </rPr>
      <t>她很久了。</t>
    </r>
  </si>
  <si>
    <t>Vấn đề mất ngủ đã làm phiền cô ấy lâu rồi.</t>
  </si>
  <si>
    <t>H5_B13_BG-23.png</t>
  </si>
  <si>
    <t>呆</t>
  </si>
  <si>
    <t>&lt;ruby&gt;呆&lt;rt&gt;dāi&lt;/rt&gt;&lt;/ruby&gt;</t>
  </si>
  <si>
    <t>dāi</t>
  </si>
  <si>
    <t xml:space="preserve">Tính từ/Động từ </t>
  </si>
  <si>
    <t>đần độn, ngu ngốc; nán lại, ở lại</t>
  </si>
  <si>
    <r>
      <rPr>
        <sz val="10"/>
        <color theme="1"/>
        <rFont val="Calibri"/>
      </rPr>
      <t>听到这个问题，他显得很</t>
    </r>
    <r>
      <rPr>
        <b/>
        <sz val="10"/>
        <color theme="1"/>
        <rFont val="Calibri"/>
      </rPr>
      <t>呆</t>
    </r>
    <r>
      <rPr>
        <sz val="10"/>
        <color theme="1"/>
        <rFont val="Calibri"/>
      </rPr>
      <t>。</t>
    </r>
  </si>
  <si>
    <t>Nghe đến câu hỏi này, anh ấy trông rất ngốc nghếch.</t>
  </si>
  <si>
    <t>H5_B13_BG-24.png</t>
  </si>
  <si>
    <t>断断续续</t>
  </si>
  <si>
    <t>&lt;ruby&gt;断断续续&lt;rt&gt;duànduàn xùxù&lt;/rt&gt;&lt;/ruby&gt;</t>
  </si>
  <si>
    <t>duànduàn xùxù</t>
  </si>
  <si>
    <t>không liên tục, gián đoạn</t>
  </si>
  <si>
    <r>
      <rPr>
        <sz val="10"/>
        <color theme="1"/>
        <rFont val="Calibri"/>
      </rPr>
      <t>他的网络连接</t>
    </r>
    <r>
      <rPr>
        <b/>
        <sz val="10"/>
        <color theme="1"/>
        <rFont val="Calibri"/>
      </rPr>
      <t>断断续续</t>
    </r>
    <r>
      <rPr>
        <sz val="10"/>
        <color theme="1"/>
        <rFont val="Calibri"/>
      </rPr>
      <t>，无法正常工作。</t>
    </r>
  </si>
  <si>
    <t>Kết nối mạng của anh ấy không ổn định, khiến anh ấy không thể làm việc bình thường.</t>
  </si>
  <si>
    <t>H5_B13_BG-25.png</t>
  </si>
  <si>
    <t>多亏</t>
  </si>
  <si>
    <t>&lt;ruby&gt;多亏&lt;rt&gt;duōkuī&lt;/rt&gt;&lt;/ruby&gt;</t>
  </si>
  <si>
    <t>duōkuī</t>
  </si>
  <si>
    <t>may mà (có), nhờ có</t>
  </si>
  <si>
    <r>
      <rPr>
        <b/>
        <sz val="10"/>
        <color theme="1"/>
        <rFont val="Calibri"/>
      </rPr>
      <t>多亏</t>
    </r>
    <r>
      <rPr>
        <sz val="10"/>
        <color theme="1"/>
        <rFont val="Calibri"/>
      </rPr>
      <t>小朋友的帮助，我才能顺利过马路。</t>
    </r>
  </si>
  <si>
    <t>May mà có sự giúp đỡ của bạn nhỏ, tôi mới có thể qua đường.</t>
  </si>
  <si>
    <t>H5_B13_BG-26.png</t>
  </si>
  <si>
    <t>仿佛</t>
  </si>
  <si>
    <t>&lt;ruby&gt;仿佛&lt;rt&gt;făngfú&lt;/rt&gt;&lt;/ruby&gt;</t>
  </si>
  <si>
    <t>făngfú</t>
  </si>
  <si>
    <t xml:space="preserve">Phó từ/Động từ </t>
  </si>
  <si>
    <t>dường như; giống như</t>
  </si>
  <si>
    <r>
      <rPr>
        <sz val="10"/>
        <color theme="1"/>
        <rFont val="Calibri"/>
      </rPr>
      <t>这里的景色</t>
    </r>
    <r>
      <rPr>
        <b/>
        <sz val="10"/>
        <color theme="1"/>
        <rFont val="Calibri"/>
      </rPr>
      <t>仿佛</t>
    </r>
    <r>
      <rPr>
        <sz val="10"/>
        <color theme="1"/>
        <rFont val="Calibri"/>
      </rPr>
      <t>是人间仙境。</t>
    </r>
  </si>
  <si>
    <t>Nơi này dường như là một thiên đường trên trần gian.</t>
  </si>
  <si>
    <t>H5_B13_BG-27.png</t>
  </si>
  <si>
    <t>好奇</t>
  </si>
  <si>
    <t>&lt;ruby&gt;好奇&lt;rt&gt;hàogí&lt;/rt&gt;&lt;/ruby&gt;</t>
  </si>
  <si>
    <t>hàogí</t>
  </si>
  <si>
    <t>hiếu kỳ, tò mò</t>
  </si>
  <si>
    <r>
      <rPr>
        <sz val="10"/>
        <color theme="1"/>
        <rFont val="Calibri"/>
      </rPr>
      <t>他对世界上的各个国家非常</t>
    </r>
    <r>
      <rPr>
        <b/>
        <sz val="10"/>
        <color theme="1"/>
        <rFont val="Calibri"/>
      </rPr>
      <t>好奇</t>
    </r>
    <r>
      <rPr>
        <sz val="10"/>
        <color theme="1"/>
        <rFont val="Calibri"/>
      </rPr>
      <t>。</t>
    </r>
  </si>
  <si>
    <t>Anh ấy rất tò mò về các quốc gia trên thế giới</t>
  </si>
  <si>
    <t>H5_B13_BG-28.png</t>
  </si>
  <si>
    <t>何必</t>
  </si>
  <si>
    <t>&lt;ruby&gt;何必&lt;rt&gt;hébì&lt;/rt&gt;&lt;/ruby&gt;</t>
  </si>
  <si>
    <t>hébì</t>
  </si>
  <si>
    <t>(chỉ sự không cần) hà tất, cần gì</t>
  </si>
  <si>
    <r>
      <rPr>
        <sz val="10"/>
        <color theme="1"/>
        <rFont val="Calibri"/>
      </rPr>
      <t>你已经做得很好了，</t>
    </r>
    <r>
      <rPr>
        <b/>
        <sz val="10"/>
        <color theme="1"/>
        <rFont val="Calibri"/>
      </rPr>
      <t>何必</t>
    </r>
    <r>
      <rPr>
        <sz val="10"/>
        <color theme="1"/>
        <rFont val="Calibri"/>
      </rPr>
      <t>再难过呢？</t>
    </r>
  </si>
  <si>
    <t>Bạn đã làm rất tốt rồi, cần gì phải buồn như vậy ?</t>
  </si>
  <si>
    <t>H5_B13_BG-29.png</t>
  </si>
  <si>
    <t>何况</t>
  </si>
  <si>
    <t>&lt;ruby&gt;何况&lt;rt&gt;hékuàng&lt;/rt&gt;&lt;/ruby&gt;</t>
  </si>
  <si>
    <t>hékuàng</t>
  </si>
  <si>
    <t>huống hồ, huống chi</t>
  </si>
  <si>
    <r>
      <rPr>
        <sz val="10"/>
        <color theme="1"/>
        <rFont val="Calibri"/>
      </rPr>
      <t>今天我已经很忙了，</t>
    </r>
    <r>
      <rPr>
        <b/>
        <sz val="10"/>
        <color theme="1"/>
        <rFont val="Calibri"/>
      </rPr>
      <t>何况</t>
    </r>
    <r>
      <rPr>
        <sz val="10"/>
        <color theme="1"/>
        <rFont val="Calibri"/>
      </rPr>
      <t>明天还要加班。</t>
    </r>
  </si>
  <si>
    <t>Hôm nay tôi đã rất bận rồi, huống hồ ngày mai còn phải làm thêm giờ.</t>
  </si>
  <si>
    <t>H5_B13_BG-30.png</t>
  </si>
  <si>
    <t>连忙</t>
  </si>
  <si>
    <t>&lt;ruby&gt;连忙&lt;rt&gt;liánmáng&lt;/rt&gt;&lt;/ruby&gt;</t>
  </si>
  <si>
    <t>liánmáng</t>
  </si>
  <si>
    <r>
      <rPr>
        <sz val="10"/>
        <color theme="1"/>
        <rFont val="Calibri"/>
      </rPr>
      <t>她听到电话铃声，</t>
    </r>
    <r>
      <rPr>
        <b/>
        <sz val="10"/>
        <color theme="1"/>
        <rFont val="Calibri"/>
      </rPr>
      <t>连忙</t>
    </r>
    <r>
      <rPr>
        <sz val="10"/>
        <color theme="1"/>
        <rFont val="Calibri"/>
      </rPr>
      <t>跑去接电话。</t>
    </r>
  </si>
  <si>
    <t>Cô ấy nghe thấy tiếng chuông điện thoại, ngay lập tức đi nhận điện thoại.</t>
  </si>
  <si>
    <t>H5_B13_BG-31.png</t>
  </si>
  <si>
    <t>启发</t>
  </si>
  <si>
    <t>&lt;ruby&gt;启发&lt;rt&gt;qǐfā&lt;/rt&gt;&lt;/ruby&gt;</t>
  </si>
  <si>
    <t>qǐfā</t>
  </si>
  <si>
    <t xml:space="preserve">gợi ý </t>
  </si>
  <si>
    <r>
      <rPr>
        <sz val="10"/>
        <color theme="1"/>
        <rFont val="Calibri"/>
      </rPr>
      <t>妈妈为我</t>
    </r>
    <r>
      <rPr>
        <b/>
        <sz val="10"/>
        <color theme="1"/>
        <rFont val="Calibri"/>
      </rPr>
      <t>启发</t>
    </r>
    <r>
      <rPr>
        <sz val="10"/>
        <color theme="1"/>
        <rFont val="Calibri"/>
      </rPr>
      <t xml:space="preserve"> 了很多关于教师节的好创意。</t>
    </r>
  </si>
  <si>
    <t>Mẹ đã gợi ý cho tôi rất nhiều ý tưởng hay cho dịp 20/11 tới</t>
  </si>
  <si>
    <t>H5_B13_BG-32.png</t>
  </si>
  <si>
    <t>气氛</t>
  </si>
  <si>
    <t>&lt;ruby&gt;气氛&lt;rt&gt;qìfēn&lt;/rt&gt;&lt;/ruby&gt;</t>
  </si>
  <si>
    <t>qìfēn</t>
  </si>
  <si>
    <t>bầu không khí</t>
  </si>
  <si>
    <r>
      <rPr>
        <sz val="10"/>
        <color theme="1"/>
        <rFont val="Calibri"/>
      </rPr>
      <t>节日的</t>
    </r>
    <r>
      <rPr>
        <b/>
        <sz val="10"/>
        <color theme="1"/>
        <rFont val="Calibri"/>
      </rPr>
      <t>气氛</t>
    </r>
    <r>
      <rPr>
        <sz val="10"/>
        <color theme="1"/>
        <rFont val="Calibri"/>
      </rPr>
      <t>让人感到非常温暖。</t>
    </r>
  </si>
  <si>
    <t>Bầu không khí của ngày lễ khiến người ta cảm thấy rất ấm áp.</t>
  </si>
  <si>
    <t>H5_B13_BG-33.png</t>
  </si>
  <si>
    <t>一再</t>
  </si>
  <si>
    <t>&lt;ruby&gt;一再&lt;rt&gt;yízài&lt;/rt&gt;&lt;/ruby&gt;</t>
  </si>
  <si>
    <t>yízài</t>
  </si>
  <si>
    <t>nhiều lần, hết lần này đến lần khác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</si>
  <si>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一再</t>
    </r>
    <r>
      <rPr>
        <sz val="10"/>
        <color theme="1"/>
        <rFont val="Calibri"/>
      </rPr>
      <t>提醒我要好好吃饭。</t>
    </r>
  </si>
  <si>
    <t xml:space="preserve"> Anh ấy hết lần này đến lần khác nhắc tôi ăn uống đầy đủ</t>
  </si>
  <si>
    <t>H5_B13_BG-34.png</t>
  </si>
  <si>
    <t>B13_34.mp3</t>
  </si>
  <si>
    <t>B13_VD_34.mp3</t>
  </si>
  <si>
    <t>幼儿园</t>
  </si>
  <si>
    <t>&lt;ruby&gt;幼儿园&lt;rt&gt;yòu'éryuán&lt;/rt&gt;&lt;/ruby&gt;</t>
  </si>
  <si>
    <t>yòu'éryuán</t>
  </si>
  <si>
    <t>nhà trẻ</t>
  </si>
  <si>
    <r>
      <rPr>
        <sz val="10"/>
        <color theme="1"/>
        <rFont val="Calibri"/>
      </rPr>
      <t>她的孩子刚刚开始上</t>
    </r>
    <r>
      <rPr>
        <b/>
        <sz val="10"/>
        <color theme="1"/>
        <rFont val="Calibri"/>
      </rPr>
      <t>幼儿园</t>
    </r>
    <r>
      <rPr>
        <sz val="10"/>
        <color theme="1"/>
        <rFont val="Calibri"/>
      </rPr>
      <t>。</t>
    </r>
  </si>
  <si>
    <t>Con của cô ấy vừa mới bắt đầu đi học mẫu giáo.</t>
  </si>
  <si>
    <t>H5_B13_BG-35.png</t>
  </si>
  <si>
    <t>B13_35.mp3</t>
  </si>
  <si>
    <t>B13_VD_35.mp3</t>
  </si>
  <si>
    <t>筐</t>
  </si>
  <si>
    <t>&lt;ruby&gt;筐&lt;rt&gt;kuāng&lt;/rt&gt;&lt;/ruby&gt;</t>
  </si>
  <si>
    <t>kuāng</t>
  </si>
  <si>
    <t>giỏ, sọt</t>
  </si>
  <si>
    <r>
      <rPr>
        <sz val="10"/>
        <color theme="1"/>
        <rFont val="Calibri"/>
      </rPr>
      <t>她用</t>
    </r>
    <r>
      <rPr>
        <b/>
        <sz val="10"/>
        <color theme="1"/>
        <rFont val="Calibri"/>
      </rPr>
      <t>筐</t>
    </r>
    <r>
      <rPr>
        <sz val="10"/>
        <color theme="1"/>
        <rFont val="Calibri"/>
      </rPr>
      <t>装了很多苹果。</t>
    </r>
  </si>
  <si>
    <t>Cô ấy dùng giỏ để đựng rất nhiều táo.</t>
  </si>
  <si>
    <t>H5_B13_BG-36.png</t>
  </si>
  <si>
    <t>B13_36.mp3</t>
  </si>
  <si>
    <t>B13_VD_36.mp3</t>
  </si>
  <si>
    <t>桃</t>
  </si>
  <si>
    <t>&lt;ruby&gt;桃&lt;rt&gt;táo&lt;/rt&gt;&lt;/ruby&gt;</t>
  </si>
  <si>
    <t xml:space="preserve">(trái) đào </t>
  </si>
  <si>
    <r>
      <rPr>
        <sz val="10"/>
        <color theme="1"/>
        <rFont val="Calibri"/>
      </rPr>
      <t>我最喜欢吃</t>
    </r>
    <r>
      <rPr>
        <b/>
        <sz val="10"/>
        <color theme="1"/>
        <rFont val="Calibri"/>
      </rPr>
      <t>桃</t>
    </r>
    <r>
      <rPr>
        <sz val="10"/>
        <color theme="1"/>
        <rFont val="Calibri"/>
      </rPr>
      <t>子，因为它又甜又多汁。</t>
    </r>
  </si>
  <si>
    <t>Tôi thích ăn đào nhất, vì nó vừa ngọt vừa mọng nước.</t>
  </si>
  <si>
    <t>H5_B13_BG-37.png</t>
  </si>
  <si>
    <t>B13_37.mp3</t>
  </si>
  <si>
    <t>B13_VD_37.mp3</t>
  </si>
  <si>
    <t>方</t>
  </si>
  <si>
    <t>&lt;ruby&gt;方&lt;rt&gt;fāng&lt;/rt&gt;&lt;/ruby&gt;</t>
  </si>
  <si>
    <t>fāng</t>
  </si>
  <si>
    <t>vuông</t>
  </si>
  <si>
    <r>
      <rPr>
        <sz val="10"/>
        <color theme="1"/>
        <rFont val="Calibri"/>
      </rPr>
      <t>这个图案的主要形状是一个红色的</t>
    </r>
    <r>
      <rPr>
        <b/>
        <sz val="10"/>
        <color theme="1"/>
        <rFont val="Calibri"/>
      </rPr>
      <t>方</t>
    </r>
    <r>
      <rPr>
        <sz val="10"/>
        <color theme="1"/>
        <rFont val="Calibri"/>
      </rPr>
      <t>形，象征着稳定和平衡。</t>
    </r>
  </si>
  <si>
    <t>Hình dạng chính của biểu tượng này là một hình vuông màu đỏ, tượng trưng cho sự ổn định và cân bằng.</t>
  </si>
  <si>
    <t>H5_B14_BG-01.png</t>
  </si>
  <si>
    <t>功能</t>
  </si>
  <si>
    <t>&lt;ruby&gt;功能&lt;rt&gt;gōngnéng&lt;/rt&gt;&lt;/ruby&gt;</t>
  </si>
  <si>
    <t>gōngnéng</t>
  </si>
  <si>
    <t>chức năng, công dụng</t>
  </si>
  <si>
    <r>
      <rPr>
        <sz val="10"/>
        <color theme="1"/>
        <rFont val="Calibri"/>
      </rPr>
      <t>这个手机有很多新的</t>
    </r>
    <r>
      <rPr>
        <b/>
        <sz val="10"/>
        <color theme="1"/>
        <rFont val="Calibri"/>
      </rPr>
      <t>功能</t>
    </r>
    <r>
      <rPr>
        <sz val="10"/>
        <color theme="1"/>
        <rFont val="Calibri"/>
      </rPr>
      <t>。</t>
    </r>
  </si>
  <si>
    <t>Chiếc điện thoại này có rất nhiều chức năng mới.</t>
  </si>
  <si>
    <t>H5_B14_BG-02.png</t>
  </si>
  <si>
    <t>广泛</t>
  </si>
  <si>
    <t>&lt;ruby&gt;广泛&lt;rt&gt;guăngfàn&lt;/rt&gt;&lt;/ruby&gt;</t>
  </si>
  <si>
    <t>guăngfàn</t>
  </si>
  <si>
    <t>rộng rãi, phổ biến</t>
  </si>
  <si>
    <r>
      <rPr>
        <sz val="10"/>
        <color theme="1"/>
        <rFont val="Calibri"/>
      </rPr>
      <t>中文在世界上使用得很</t>
    </r>
    <r>
      <rPr>
        <b/>
        <sz val="10"/>
        <color theme="1"/>
        <rFont val="Calibri"/>
      </rPr>
      <t>广泛</t>
    </r>
    <r>
      <rPr>
        <sz val="10"/>
        <color theme="1"/>
        <rFont val="Calibri"/>
      </rPr>
      <t>。</t>
    </r>
  </si>
  <si>
    <t>Tiếng Trung được sử dụng rất rộng rãi trên thế giới.</t>
  </si>
  <si>
    <t>H5_B14_BG-03.png</t>
  </si>
  <si>
    <t>建筑</t>
  </si>
  <si>
    <t>&lt;ruby&gt;建筑&lt;rt&gt;jiànzhù&lt;/rt&gt;&lt;/ruby&gt;</t>
  </si>
  <si>
    <t>jiànzhù</t>
  </si>
  <si>
    <t>kiến trúc, công trình kiến trúc</t>
  </si>
  <si>
    <r>
      <rPr>
        <sz val="10"/>
        <color theme="1"/>
        <rFont val="Calibri"/>
      </rPr>
      <t>这座</t>
    </r>
    <r>
      <rPr>
        <b/>
        <sz val="10"/>
        <color theme="1"/>
        <rFont val="Calibri"/>
      </rPr>
      <t>建筑</t>
    </r>
    <r>
      <rPr>
        <sz val="10"/>
        <color theme="1"/>
        <rFont val="Calibri"/>
      </rPr>
      <t>很古老。</t>
    </r>
  </si>
  <si>
    <t>Tòa kiến trúc này rất cổ kính.</t>
  </si>
  <si>
    <t>H5_B14_BG-04.png</t>
  </si>
  <si>
    <r>
      <rPr>
        <sz val="10"/>
        <color rgb="FF0E0E0E"/>
        <rFont val="Calibri"/>
      </rPr>
      <t>大熊猫喜欢吃</t>
    </r>
    <r>
      <rPr>
        <b/>
        <sz val="10"/>
        <color rgb="FF0E0E0E"/>
        <rFont val="Calibri"/>
      </rPr>
      <t>竹子</t>
    </r>
    <r>
      <rPr>
        <sz val="10"/>
        <color rgb="FF0E0E0E"/>
        <rFont val="Calibri"/>
      </rPr>
      <t>。</t>
    </r>
  </si>
  <si>
    <t>组成</t>
  </si>
  <si>
    <t>&lt;ruby&gt;组成&lt;rt&gt;zǔchéng&lt;/rt&gt;&lt;/ruby&gt;</t>
  </si>
  <si>
    <t>zǔchéng</t>
  </si>
  <si>
    <t>tạo thành, hợp thành</t>
  </si>
  <si>
    <r>
      <rPr>
        <sz val="10"/>
        <color theme="1"/>
        <rFont val="Calibri"/>
      </rPr>
      <t>这座公园由花园和步道</t>
    </r>
    <r>
      <rPr>
        <b/>
        <sz val="10"/>
        <color theme="1"/>
        <rFont val="Calibri"/>
      </rPr>
      <t>组成</t>
    </r>
    <r>
      <rPr>
        <sz val="10"/>
        <color theme="1"/>
        <rFont val="Calibri"/>
      </rPr>
      <t>。</t>
    </r>
  </si>
  <si>
    <t>Công viên này được tạo thành từ vườn hoa và lối đi bộ.</t>
  </si>
  <si>
    <t>H5_B14_BG-06.png</t>
  </si>
  <si>
    <t>组合</t>
  </si>
  <si>
    <t>&lt;ruby&gt;组合&lt;rt&gt;zǔhé&lt;/rt&gt;&lt;/ruby&gt;</t>
  </si>
  <si>
    <t>zǔhé</t>
  </si>
  <si>
    <t>kết hợp; tổ hợp</t>
  </si>
  <si>
    <r>
      <rPr>
        <sz val="10"/>
        <color theme="1"/>
        <rFont val="Calibri"/>
      </rPr>
      <t>这些家具的</t>
    </r>
    <r>
      <rPr>
        <b/>
        <sz val="10"/>
        <color theme="1"/>
        <rFont val="Calibri"/>
      </rPr>
      <t>组合</t>
    </r>
    <r>
      <rPr>
        <sz val="10"/>
        <color theme="1"/>
        <rFont val="Calibri"/>
      </rPr>
      <t>很美观。</t>
    </r>
  </si>
  <si>
    <t>Sự kết hợp của những món đồ nội thất này rất đẹp mắt.</t>
  </si>
  <si>
    <t>H5_B14_BG-07.png</t>
  </si>
  <si>
    <t>四合院</t>
  </si>
  <si>
    <t>&lt;ruby&gt;四合院&lt;rt&gt;sìhéyuàn&lt;/rt&gt;&lt;/ruby&gt;</t>
  </si>
  <si>
    <t>sìhéyuàn</t>
  </si>
  <si>
    <t>tứ hợp viện</t>
  </si>
  <si>
    <r>
      <rPr>
        <sz val="10"/>
        <color theme="1"/>
        <rFont val="Calibri"/>
      </rPr>
      <t>北京的</t>
    </r>
    <r>
      <rPr>
        <b/>
        <sz val="10"/>
        <color theme="1"/>
        <rFont val="Calibri"/>
      </rPr>
      <t>四合院</t>
    </r>
    <r>
      <rPr>
        <sz val="10"/>
        <color theme="1"/>
        <rFont val="Calibri"/>
      </rPr>
      <t>是中国传统建筑的代表。</t>
    </r>
  </si>
  <si>
    <t>Tứ hợp viện ở Bắc Kinh là đại diện của kiến trúc truyền thống Trung Quốc.</t>
  </si>
  <si>
    <t>H5_B14_BG-08.png</t>
  </si>
  <si>
    <t>民居</t>
  </si>
  <si>
    <t>&lt;ruby&gt;民居&lt;rt&gt;mínjū&lt;/rt&gt;&lt;/ruby&gt;</t>
  </si>
  <si>
    <t>mínjū</t>
  </si>
  <si>
    <t>nhà ở của dân</t>
  </si>
  <si>
    <r>
      <rPr>
        <sz val="10"/>
        <color theme="1"/>
        <rFont val="Calibri"/>
      </rPr>
      <t>这个圆形的建筑是中国传统的客家</t>
    </r>
    <r>
      <rPr>
        <b/>
        <sz val="10"/>
        <color theme="1"/>
        <rFont val="Calibri"/>
      </rPr>
      <t>民居</t>
    </r>
    <r>
      <rPr>
        <sz val="10"/>
        <color theme="1"/>
        <rFont val="Calibri"/>
      </rPr>
      <t>，叫做土楼。</t>
    </r>
  </si>
  <si>
    <t>Tòa nhà hình tròn này là nhà ở truyền thống của người Khách Gia ở Trung Quốc, được gọi là "Thổ Lâu" (nhà đất).</t>
  </si>
  <si>
    <t>H5_B14_BG-09.png</t>
  </si>
  <si>
    <t>并列</t>
  </si>
  <si>
    <t>&lt;ruby&gt;并列&lt;rt&gt;bìngliè&lt;/rt&gt;&lt;/ruby&gt;</t>
  </si>
  <si>
    <t>bìngliè</t>
  </si>
  <si>
    <t>đặt song song, đứng cạnh nhau</t>
  </si>
  <si>
    <r>
      <rPr>
        <sz val="10"/>
        <color theme="1"/>
        <rFont val="Calibri"/>
      </rPr>
      <t>两座房子</t>
    </r>
    <r>
      <rPr>
        <b/>
        <sz val="10"/>
        <color theme="1"/>
        <rFont val="Calibri"/>
      </rPr>
      <t>并列</t>
    </r>
    <r>
      <rPr>
        <sz val="10"/>
        <color theme="1"/>
        <rFont val="Calibri"/>
      </rPr>
      <t>在一起。</t>
    </r>
  </si>
  <si>
    <t>Hai ngôi nhà được xây song song với nhau.</t>
  </si>
  <si>
    <t>H5_B14_BG-10.png</t>
  </si>
  <si>
    <t>具备</t>
  </si>
  <si>
    <t>&lt;ruby&gt;具备&lt;rt&gt;jùbèi&lt;/rt&gt;&lt;/ruby&gt;</t>
  </si>
  <si>
    <t>jùbèi</t>
  </si>
  <si>
    <t>có đủ, có, sở hữu</t>
  </si>
  <si>
    <r>
      <rPr>
        <sz val="10"/>
        <color theme="1"/>
        <rFont val="Calibri"/>
      </rPr>
      <t>这栋楼</t>
    </r>
    <r>
      <rPr>
        <b/>
        <sz val="10"/>
        <color theme="1"/>
        <rFont val="Calibri"/>
      </rPr>
      <t>具备</t>
    </r>
    <r>
      <rPr>
        <sz val="10"/>
        <color theme="1"/>
        <rFont val="Calibri"/>
      </rPr>
      <t>所有现代化的设备。</t>
    </r>
  </si>
  <si>
    <t>Tòa nhà này có đầy đủ các thiết bị hiện đại.</t>
  </si>
  <si>
    <t>H5_B14_BG-11.png</t>
  </si>
  <si>
    <t>厢房</t>
  </si>
  <si>
    <t>&lt;ruby&gt;厢房&lt;rt&gt;xiāngfáng&lt;/rt&gt;&lt;/ruby&gt;</t>
  </si>
  <si>
    <t>xiāngfáng</t>
  </si>
  <si>
    <t>chái nhà, hiên nhà</t>
  </si>
  <si>
    <r>
      <rPr>
        <sz val="10"/>
        <color theme="1"/>
        <rFont val="Calibri"/>
      </rPr>
      <t>老房子的</t>
    </r>
    <r>
      <rPr>
        <b/>
        <sz val="10"/>
        <color theme="1"/>
        <rFont val="Calibri"/>
      </rPr>
      <t>厢房</t>
    </r>
    <r>
      <rPr>
        <sz val="10"/>
        <color theme="1"/>
        <rFont val="Calibri"/>
      </rPr>
      <t>被改造成了储藏室。</t>
    </r>
  </si>
  <si>
    <t>Phòng phụ của ngôi nhà cũ đã được cải tạo thành nhà kho.</t>
  </si>
  <si>
    <t>H5_B14_BG-12.png</t>
  </si>
  <si>
    <t>走廊</t>
  </si>
  <si>
    <t>&lt;ruby&gt;走廊&lt;rt&gt;zǒuláng&lt;/rt&gt;&lt;/ruby&gt;</t>
  </si>
  <si>
    <t>zǒuláng</t>
  </si>
  <si>
    <t>hành lang, hàng hiên</t>
  </si>
  <si>
    <r>
      <rPr>
        <sz val="10"/>
        <color theme="1"/>
        <rFont val="Calibri"/>
      </rPr>
      <t>这家酒店的</t>
    </r>
    <r>
      <rPr>
        <b/>
        <sz val="10"/>
        <color theme="1"/>
        <rFont val="Calibri"/>
      </rPr>
      <t>走廊</t>
    </r>
    <r>
      <rPr>
        <sz val="10"/>
        <color theme="1"/>
        <rFont val="Calibri"/>
      </rPr>
      <t>装饰得很漂亮。</t>
    </r>
  </si>
  <si>
    <t>Hành lang của khách sạn này được trang trí rất đẹp.</t>
  </si>
  <si>
    <t>H5_B14_BG-13.png</t>
  </si>
  <si>
    <t>封闭</t>
  </si>
  <si>
    <t>&lt;ruby&gt;封闭&lt;rt&gt;fēngbì&lt;/rt&gt;&lt;/ruby&gt;</t>
  </si>
  <si>
    <t>fēngbì</t>
  </si>
  <si>
    <t>khép kín</t>
  </si>
  <si>
    <r>
      <rPr>
        <sz val="10"/>
        <color theme="1"/>
        <rFont val="Calibri"/>
      </rPr>
      <t>这个房间是一个</t>
    </r>
    <r>
      <rPr>
        <b/>
        <sz val="10"/>
        <color theme="1"/>
        <rFont val="Calibri"/>
      </rPr>
      <t>封闭</t>
    </r>
    <r>
      <rPr>
        <sz val="10"/>
        <color theme="1"/>
        <rFont val="Calibri"/>
      </rPr>
      <t>的空间，没有窗户。</t>
    </r>
  </si>
  <si>
    <t>Căn phòng này là một không gian kín, không có cửa sổ.</t>
  </si>
  <si>
    <t>H5_B14_BG-14.png</t>
  </si>
  <si>
    <t>空间</t>
  </si>
  <si>
    <t>&lt;ruby&gt;空间&lt;rt&gt;kōngjiān&lt;/rt&gt;&lt;/ruby&gt;</t>
  </si>
  <si>
    <t>kōngjiān</t>
  </si>
  <si>
    <t>không gian</t>
  </si>
  <si>
    <r>
      <rPr>
        <sz val="10"/>
        <color theme="1"/>
        <rFont val="Calibri"/>
      </rPr>
      <t>这个房间的</t>
    </r>
    <r>
      <rPr>
        <b/>
        <sz val="10"/>
        <color theme="1"/>
        <rFont val="Calibri"/>
      </rPr>
      <t>空间</t>
    </r>
    <r>
      <rPr>
        <sz val="10"/>
        <color theme="1"/>
        <rFont val="Calibri"/>
      </rPr>
      <t>很大。</t>
    </r>
  </si>
  <si>
    <t>Không gian của căn phòng này rất rộng.</t>
  </si>
  <si>
    <t>H5_B14_BG-15.png</t>
  </si>
  <si>
    <t>&lt;ruby&gt;种&lt;rt&gt;zhòng&lt;/rt&gt;&lt;/ruby&gt;</t>
  </si>
  <si>
    <t>trồng</t>
  </si>
  <si>
    <r>
      <rPr>
        <sz val="10"/>
        <color theme="1"/>
        <rFont val="Calibri"/>
      </rPr>
      <t>爷爷在院子里</t>
    </r>
    <r>
      <rPr>
        <b/>
        <sz val="10"/>
        <color theme="1"/>
        <rFont val="Calibri"/>
      </rPr>
      <t>种</t>
    </r>
    <r>
      <rPr>
        <sz val="10"/>
        <color theme="1"/>
        <rFont val="Calibri"/>
      </rPr>
      <t>了很多花。</t>
    </r>
  </si>
  <si>
    <t>Ông nội đã trồng rất nhiều hoa trong sân.</t>
  </si>
  <si>
    <t>H5_B14_BG-16.png</t>
  </si>
  <si>
    <t>打交道</t>
  </si>
  <si>
    <t>&lt;ruby&gt;打交道&lt;rt&gt;dă jiāodào&lt;/rt&gt;&lt;/ruby&gt;</t>
  </si>
  <si>
    <t>dă jiāodào</t>
  </si>
  <si>
    <t>tiếp xúc, kết giao, giao thiệp</t>
  </si>
  <si>
    <r>
      <rPr>
        <sz val="10"/>
        <color theme="1"/>
        <rFont val="Calibri"/>
      </rPr>
      <t>他经常和外国客户</t>
    </r>
    <r>
      <rPr>
        <b/>
        <sz val="10"/>
        <color theme="1"/>
        <rFont val="Calibri"/>
      </rPr>
      <t>打交道</t>
    </r>
    <r>
      <rPr>
        <sz val="10"/>
        <color theme="1"/>
        <rFont val="Calibri"/>
      </rPr>
      <t>，所以英语说得很好。</t>
    </r>
  </si>
  <si>
    <t>Anh ấy thường xuyên tiếp xúc với khách hàng nước ngoài, vì vậy nói tiếng Anh rất tốt.</t>
  </si>
  <si>
    <t>H5_B14_BG-17.png</t>
  </si>
  <si>
    <t>接待</t>
  </si>
  <si>
    <t>&lt;ruby&gt;接待&lt;rt&gt;jiēdài&lt;/rt&gt;&lt;/ruby&gt;</t>
  </si>
  <si>
    <t>jiēdài</t>
  </si>
  <si>
    <t>tiếp đãi</t>
  </si>
  <si>
    <r>
      <rPr>
        <sz val="10"/>
        <color theme="1"/>
        <rFont val="Calibri"/>
      </rPr>
      <t>小男孩热情地</t>
    </r>
    <r>
      <rPr>
        <b/>
        <sz val="10"/>
        <color theme="1"/>
        <rFont val="Calibri"/>
      </rPr>
      <t>接待</t>
    </r>
    <r>
      <rPr>
        <sz val="10"/>
        <color theme="1"/>
        <rFont val="Calibri"/>
      </rPr>
      <t>了来访的小女孩。</t>
    </r>
  </si>
  <si>
    <t>Cậu bé nhiệt tình tiếp đãi cô bé đến thăm.</t>
  </si>
  <si>
    <t>H5_B14_BG-18.png</t>
  </si>
  <si>
    <t>令</t>
  </si>
  <si>
    <t>&lt;ruby&gt;令&lt;rt&gt;lìng&lt;/rt&gt;&lt;/ruby&gt;</t>
  </si>
  <si>
    <t>lìng</t>
  </si>
  <si>
    <t>khiến, làm cho</t>
  </si>
  <si>
    <r>
      <rPr>
        <sz val="10"/>
        <color theme="1"/>
        <rFont val="Calibri"/>
      </rPr>
      <t>这个消息</t>
    </r>
    <r>
      <rPr>
        <b/>
        <sz val="10"/>
        <color theme="1"/>
        <rFont val="Calibri"/>
      </rPr>
      <t>令</t>
    </r>
    <r>
      <rPr>
        <sz val="10"/>
        <color theme="1"/>
        <rFont val="Calibri"/>
      </rPr>
      <t>我非常高兴。</t>
    </r>
  </si>
  <si>
    <t>Tin tức này khiến tôi rất vui.</t>
  </si>
  <si>
    <t>H5_B14_BG-19.png</t>
  </si>
  <si>
    <t>矛盾</t>
  </si>
  <si>
    <t>&lt;ruby&gt;矛盾&lt;rt&gt;máodùn&lt;/rt&gt;&lt;/ruby&gt;</t>
  </si>
  <si>
    <t>máodùn</t>
  </si>
  <si>
    <t>sự mâu thuẫn; mâu thuẫn</t>
  </si>
  <si>
    <r>
      <rPr>
        <sz val="10"/>
        <color theme="1"/>
        <rFont val="Calibri"/>
      </rPr>
      <t>他们之间的</t>
    </r>
    <r>
      <rPr>
        <b/>
        <sz val="10"/>
        <color theme="1"/>
        <rFont val="Calibri"/>
      </rPr>
      <t>矛盾</t>
    </r>
    <r>
      <rPr>
        <sz val="10"/>
        <color theme="1"/>
        <rFont val="Calibri"/>
      </rPr>
      <t>越来越深。</t>
    </r>
  </si>
  <si>
    <t>Mâu thuẫn giữa họ ngày càng sâu sắc.</t>
  </si>
  <si>
    <t>H5_B14_BG-20.png</t>
  </si>
  <si>
    <t>亲切</t>
  </si>
  <si>
    <t>&lt;ruby&gt;亲切&lt;rt&gt;qīnqiè&lt;/rt&gt;&lt;/ruby&gt;</t>
  </si>
  <si>
    <t>qīnqiè</t>
  </si>
  <si>
    <t>thân thiết, gần gũi</t>
  </si>
  <si>
    <r>
      <rPr>
        <sz val="10"/>
        <color theme="1"/>
        <rFont val="Calibri"/>
      </rPr>
      <t>邻居们对我非常</t>
    </r>
    <r>
      <rPr>
        <b/>
        <sz val="10"/>
        <color theme="1"/>
        <rFont val="Calibri"/>
      </rPr>
      <t>亲切</t>
    </r>
    <r>
      <rPr>
        <sz val="10"/>
        <color theme="1"/>
        <rFont val="Calibri"/>
      </rPr>
      <t>，总是主动打招呼。</t>
    </r>
  </si>
  <si>
    <t>Hàng xóm đối xử với tôi rất thân thiện, luôn chủ động chào hỏi.</t>
  </si>
  <si>
    <t>H5_B14_BG-21.png</t>
  </si>
  <si>
    <t>日常</t>
  </si>
  <si>
    <t>&lt;ruby&gt;日常&lt;rt&gt;rìcháng&lt;/rt&gt;&lt;/ruby&gt;</t>
  </si>
  <si>
    <t>rìcháng</t>
  </si>
  <si>
    <t>hằng ngày</t>
  </si>
  <si>
    <r>
      <rPr>
        <sz val="10"/>
        <color theme="1"/>
        <rFont val="Calibri"/>
      </rPr>
      <t>她喜欢拍</t>
    </r>
    <r>
      <rPr>
        <b/>
        <sz val="10"/>
        <color theme="1"/>
        <rFont val="Calibri"/>
      </rPr>
      <t>日常</t>
    </r>
    <r>
      <rPr>
        <sz val="10"/>
        <color theme="1"/>
        <rFont val="Calibri"/>
      </rPr>
      <t>生活的视频。</t>
    </r>
  </si>
  <si>
    <t>Cô ấy thích quay video về cuộc sống thường ngày.</t>
  </si>
  <si>
    <t>H5_B14_BG-22.png</t>
  </si>
  <si>
    <t>日子</t>
  </si>
  <si>
    <t>&lt;ruby&gt;日子&lt;rt&gt;rìzi&lt;/rt&gt;&lt;/ruby&gt;</t>
  </si>
  <si>
    <t>rìzi</t>
  </si>
  <si>
    <t>cuộc sống, ngày tháng</t>
  </si>
  <si>
    <r>
      <rPr>
        <sz val="10"/>
        <color theme="1"/>
        <rFont val="Calibri"/>
      </rPr>
      <t>我们的</t>
    </r>
    <r>
      <rPr>
        <b/>
        <sz val="10"/>
        <color theme="1"/>
        <rFont val="Calibri"/>
      </rPr>
      <t>日子</t>
    </r>
    <r>
      <rPr>
        <sz val="10"/>
        <color theme="1"/>
        <rFont val="Calibri"/>
      </rPr>
      <t>过得很开心。</t>
    </r>
  </si>
  <si>
    <t>Cuộc sống của chúng tôi trôi qua rất vui vẻ</t>
  </si>
  <si>
    <t>H5_B14_BG-23.png</t>
  </si>
  <si>
    <t>所谓</t>
  </si>
  <si>
    <t>&lt;ruby&gt;所谓&lt;rt&gt;suǒwèi&lt;/rt&gt;&lt;/ruby&gt;</t>
  </si>
  <si>
    <t>suǒwèi</t>
  </si>
  <si>
    <t>gọi là, cái gọi là</t>
  </si>
  <si>
    <r>
      <rPr>
        <b/>
        <sz val="10"/>
        <color theme="1"/>
        <rFont val="Calibri"/>
      </rPr>
      <t>所谓</t>
    </r>
    <r>
      <rPr>
        <sz val="10"/>
        <color theme="1"/>
        <rFont val="Calibri"/>
      </rPr>
      <t>朋友，就是能互相帮助的人。</t>
    </r>
  </si>
  <si>
    <t>Cái gọi là bạn bè là người có thể giúp đỡ lẫn nhau.</t>
  </si>
  <si>
    <t>H5_B14_BG-24.png</t>
  </si>
  <si>
    <t>通常</t>
  </si>
  <si>
    <t>&lt;ruby&gt;通常&lt;rt&gt;tōngcháng&lt;/rt&gt;&lt;/ruby&gt;</t>
  </si>
  <si>
    <t>tōngcháng</t>
  </si>
  <si>
    <t>thường, thông thường, bình thường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</si>
  <si>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通常</t>
    </r>
    <r>
      <rPr>
        <sz val="10"/>
        <color theme="1"/>
        <rFont val="Calibri"/>
      </rPr>
      <t>早上七点起床，开始一天的工作。</t>
    </r>
  </si>
  <si>
    <t>Anh ấy thường thức dậy lúc 7 giờ sáng và bắt đầu công việc trong ngày.</t>
  </si>
  <si>
    <t>H5_B14_BG-25.png</t>
  </si>
  <si>
    <t>(thường được dùng với "所") bị, được</t>
  </si>
  <si>
    <r>
      <rPr>
        <sz val="10"/>
        <color theme="1"/>
        <rFont val="Calibri"/>
      </rPr>
      <t>他的行为</t>
    </r>
    <r>
      <rPr>
        <b/>
        <sz val="10"/>
        <color theme="1"/>
        <rFont val="Calibri"/>
      </rPr>
      <t>为</t>
    </r>
    <r>
      <rPr>
        <sz val="10"/>
        <color theme="1"/>
        <rFont val="Calibri"/>
      </rPr>
      <t>大家</t>
    </r>
    <r>
      <rPr>
        <b/>
        <sz val="10"/>
        <color theme="1"/>
        <rFont val="Calibri"/>
      </rPr>
      <t>所</t>
    </r>
    <r>
      <rPr>
        <sz val="10"/>
        <color theme="1"/>
        <rFont val="Calibri"/>
      </rPr>
      <t>赞赏。</t>
    </r>
  </si>
  <si>
    <t>Hành vi của anh ấy được mọi người tán thưởng.</t>
  </si>
  <si>
    <t>H5_B14_BG-26.png</t>
  </si>
  <si>
    <t>形式</t>
  </si>
  <si>
    <t>&lt;ruby&gt;形式&lt;rt&gt;xíngshì&lt;/rt&gt;&lt;/ruby&gt;</t>
  </si>
  <si>
    <t>xíngshì</t>
  </si>
  <si>
    <t>hình thức, kiểu</t>
  </si>
  <si>
    <r>
      <rPr>
        <sz val="10"/>
        <color theme="1"/>
        <rFont val="Calibri"/>
      </rPr>
      <t>他的表演</t>
    </r>
    <r>
      <rPr>
        <b/>
        <sz val="10"/>
        <color theme="1"/>
        <rFont val="Calibri"/>
      </rPr>
      <t>形式</t>
    </r>
    <r>
      <rPr>
        <sz val="10"/>
        <color theme="1"/>
        <rFont val="Calibri"/>
      </rPr>
      <t>很特别。</t>
    </r>
  </si>
  <si>
    <t>Hình thức biểu diễn của anh ấy rất đặc biệt.</t>
  </si>
  <si>
    <t>H5_B14_BG-27.png</t>
  </si>
  <si>
    <t>长辈</t>
  </si>
  <si>
    <t>&lt;ruby&gt;长辈&lt;rt&gt;zhǎngbèi&lt;/rt&gt;&lt;/ruby&gt;</t>
  </si>
  <si>
    <t>zhǎngbèi</t>
  </si>
  <si>
    <t>bề trên, người lớn tuổi, bậc cha chú</t>
  </si>
  <si>
    <r>
      <rPr>
        <sz val="10"/>
        <color theme="1"/>
        <rFont val="Calibri"/>
      </rPr>
      <t>我们每个人都要尊敬</t>
    </r>
    <r>
      <rPr>
        <b/>
        <sz val="10"/>
        <color theme="1"/>
        <rFont val="Calibri"/>
      </rPr>
      <t>长辈</t>
    </r>
    <r>
      <rPr>
        <sz val="10"/>
        <color theme="1"/>
        <rFont val="Calibri"/>
      </rPr>
      <t>。</t>
    </r>
  </si>
  <si>
    <t>Mỗi người chúng ta đều phải kính trọng người lớn tuổi.</t>
  </si>
  <si>
    <t>H5_B14_BG-28.png</t>
  </si>
  <si>
    <t>劳动</t>
  </si>
  <si>
    <t>&lt;ruby&gt;劳动&lt;rt&gt;láodòng&lt;/rt&gt;&lt;/ruby&gt;</t>
  </si>
  <si>
    <t>láodòng</t>
  </si>
  <si>
    <t>lao động, công việc; làm việc, lao động (bằng chân tay)</t>
  </si>
  <si>
    <r>
      <rPr>
        <sz val="10"/>
        <color theme="1"/>
        <rFont val="Calibri"/>
      </rPr>
      <t>学生们通过</t>
    </r>
    <r>
      <rPr>
        <b/>
        <sz val="10"/>
        <color theme="1"/>
        <rFont val="Calibri"/>
      </rPr>
      <t>劳动</t>
    </r>
    <r>
      <rPr>
        <sz val="10"/>
        <color theme="1"/>
        <rFont val="Calibri"/>
      </rPr>
      <t>学到了很多实践知识。</t>
    </r>
  </si>
  <si>
    <t>Các học sinh đã học được nhiều kiến thức thực tiễn thông qua lao động.</t>
  </si>
  <si>
    <t>H5_B14_BG-29.png</t>
  </si>
  <si>
    <t>起居</t>
  </si>
  <si>
    <t>&lt;ruby&gt;起居&lt;rt&gt;qǐjū&lt;/rt&gt;&lt;/ruby&gt;</t>
  </si>
  <si>
    <t>qǐjū</t>
  </si>
  <si>
    <t>sinh hoạt hàng ngày</t>
  </si>
  <si>
    <r>
      <rPr>
        <sz val="10"/>
        <color theme="1"/>
        <rFont val="Calibri"/>
      </rPr>
      <t>她的</t>
    </r>
    <r>
      <rPr>
        <b/>
        <sz val="10"/>
        <color theme="1"/>
        <rFont val="Calibri"/>
      </rPr>
      <t>起居</t>
    </r>
    <r>
      <rPr>
        <sz val="10"/>
        <color theme="1"/>
        <rFont val="Calibri"/>
      </rPr>
      <t>习惯非常健康，每天都会亲自准备营养丰富的饭菜。</t>
    </r>
  </si>
  <si>
    <t>Thói quen sinh hoạt hàng ngày của cô ấy rất lành mạnh, mỗi ngày đều tự tay chuẩn bị những bữa ăn giàu dinh dưỡng.</t>
  </si>
  <si>
    <t>H5_B14_BG-30.png</t>
  </si>
  <si>
    <t>创造</t>
  </si>
  <si>
    <t>&lt;ruby&gt;创造&lt;rt&gt;chuàngzào&lt;/rt&gt;&lt;/ruby&gt;</t>
  </si>
  <si>
    <t>chuàngzào</t>
  </si>
  <si>
    <t>tạo ra, sáng tạo</t>
  </si>
  <si>
    <r>
      <rPr>
        <sz val="10"/>
        <color theme="1"/>
        <rFont val="Calibri"/>
      </rPr>
      <t>她在</t>
    </r>
    <r>
      <rPr>
        <b/>
        <sz val="10"/>
        <color theme="1"/>
        <rFont val="Calibri"/>
      </rPr>
      <t>创造</t>
    </r>
    <r>
      <rPr>
        <sz val="10"/>
        <color theme="1"/>
        <rFont val="Calibri"/>
      </rPr>
      <t>一幅画。</t>
    </r>
  </si>
  <si>
    <t>Cô ấy đang tạo ra một bức tranh.</t>
  </si>
  <si>
    <t>H5_B14_BG-31.png</t>
  </si>
  <si>
    <t>đại biểu; đại diện</t>
  </si>
  <si>
    <r>
      <rPr>
        <sz val="10"/>
        <color theme="1"/>
        <rFont val="Calibri"/>
      </rPr>
      <t>她是我们学校的学生</t>
    </r>
    <r>
      <rPr>
        <b/>
        <sz val="10"/>
        <color theme="1"/>
        <rFont val="Calibri"/>
      </rPr>
      <t>代表</t>
    </r>
    <r>
      <rPr>
        <sz val="10"/>
        <color theme="1"/>
        <rFont val="Calibri"/>
      </rPr>
      <t>。</t>
    </r>
  </si>
  <si>
    <t>Cô ấy là đại biểu học sinh của trường chúng tôi.</t>
  </si>
  <si>
    <t>H5_B14_BG-32.png</t>
  </si>
  <si>
    <t>关闭</t>
  </si>
  <si>
    <t>&lt;ruby&gt;关闭&lt;rt&gt;guānbì&lt;/rt&gt;&lt;/ruby&gt;</t>
  </si>
  <si>
    <t>guānbì</t>
  </si>
  <si>
    <t>đóng kín</t>
  </si>
  <si>
    <r>
      <rPr>
        <sz val="10"/>
        <color theme="1"/>
        <rFont val="Calibri"/>
      </rPr>
      <t>他把门</t>
    </r>
    <r>
      <rPr>
        <b/>
        <sz val="10"/>
        <color theme="1"/>
        <rFont val="Calibri"/>
      </rPr>
      <t>关闭</t>
    </r>
    <r>
      <rPr>
        <sz val="10"/>
        <color theme="1"/>
        <rFont val="Calibri"/>
      </rPr>
      <t>了。</t>
    </r>
  </si>
  <si>
    <t>Anh ấy đã đóng kín cửa lại.</t>
  </si>
  <si>
    <t>H5_B14_BG-33.png</t>
  </si>
  <si>
    <t>B14_33.mp3</t>
  </si>
  <si>
    <t>B14_VD_33.mp3</t>
  </si>
  <si>
    <t>浓</t>
  </si>
  <si>
    <t>&lt;ruby&gt;浓&lt;rt&gt;nóng&lt;/rt&gt;&lt;/ruby&gt;</t>
  </si>
  <si>
    <t>nóng</t>
  </si>
  <si>
    <t>sâu sắc, đậm</t>
  </si>
  <si>
    <r>
      <rPr>
        <sz val="10"/>
        <color theme="1"/>
        <rFont val="Calibri"/>
      </rPr>
      <t>墨汁</t>
    </r>
    <r>
      <rPr>
        <b/>
        <sz val="10"/>
        <color theme="1"/>
        <rFont val="Calibri"/>
      </rPr>
      <t>浓</t>
    </r>
    <r>
      <rPr>
        <sz val="10"/>
        <color theme="1"/>
        <rFont val="Calibri"/>
      </rPr>
      <t>，书写很顺畅。</t>
    </r>
  </si>
  <si>
    <t>Mực đậm viết rất trơn tru.</t>
  </si>
  <si>
    <t>H5_B14_BG-34.png</t>
  </si>
  <si>
    <t>B14_34.mp3</t>
  </si>
  <si>
    <t>B14_VD_34.mp3</t>
  </si>
  <si>
    <t>金鱼</t>
  </si>
  <si>
    <t>&lt;ruby&gt;金鱼&lt;rt&gt;jīnyú&lt;/rt&gt;&lt;/ruby&gt;</t>
  </si>
  <si>
    <t>jīnyú</t>
  </si>
  <si>
    <t>cá vàng</t>
  </si>
  <si>
    <r>
      <rPr>
        <sz val="10"/>
        <color theme="1"/>
        <rFont val="Calibri"/>
      </rPr>
      <t>我的家里养了一只</t>
    </r>
    <r>
      <rPr>
        <b/>
        <sz val="10"/>
        <color theme="1"/>
        <rFont val="Calibri"/>
      </rPr>
      <t>金鱼</t>
    </r>
    <r>
      <rPr>
        <sz val="10"/>
        <color theme="1"/>
        <rFont val="Calibri"/>
      </rPr>
      <t>。</t>
    </r>
  </si>
  <si>
    <t>Nhà tôi nuôi một con cá vàng.</t>
  </si>
  <si>
    <t>H5_B14_BG-35.png</t>
  </si>
  <si>
    <t>B14_35.mp3</t>
  </si>
  <si>
    <t>B14_VD_35.mp3</t>
  </si>
  <si>
    <t>样式</t>
  </si>
  <si>
    <t>&lt;ruby&gt;样式&lt;rt&gt;yàngshì&lt;/rt&gt;&lt;/ruby&gt;</t>
  </si>
  <si>
    <t>yàngshì</t>
  </si>
  <si>
    <t>mẫu, kiểu dáng, hình thức</t>
  </si>
  <si>
    <r>
      <rPr>
        <sz val="10"/>
        <color theme="1"/>
        <rFont val="Calibri"/>
      </rPr>
      <t>这种衣服的</t>
    </r>
    <r>
      <rPr>
        <b/>
        <sz val="10"/>
        <color theme="1"/>
        <rFont val="Calibri"/>
      </rPr>
      <t>样式</t>
    </r>
    <r>
      <rPr>
        <sz val="10"/>
        <color theme="1"/>
        <rFont val="Calibri"/>
      </rPr>
      <t>很漂亮。</t>
    </r>
  </si>
  <si>
    <t>Kiểu dáng của chiếc áo này rất đẹp.</t>
  </si>
  <si>
    <t>H5_B14_BG-36.png</t>
  </si>
  <si>
    <t>B14_36.mp3</t>
  </si>
  <si>
    <t>B14_VD_36.mp3</t>
  </si>
  <si>
    <t>情趣</t>
  </si>
  <si>
    <t>&lt;ruby&gt;情趣&lt;rt&gt;qíngqù&lt;/rt&gt;&lt;/ruby&gt;</t>
  </si>
  <si>
    <t>qíngqù</t>
  </si>
  <si>
    <t>sự thú vị, sở thích</t>
  </si>
  <si>
    <r>
      <rPr>
        <sz val="10"/>
        <color theme="1"/>
        <rFont val="Calibri"/>
      </rPr>
      <t>弹吉他是他的</t>
    </r>
    <r>
      <rPr>
        <b/>
        <sz val="10"/>
        <color theme="1"/>
        <rFont val="Calibri"/>
      </rPr>
      <t>情趣</t>
    </r>
    <r>
      <rPr>
        <sz val="10"/>
        <color theme="1"/>
        <rFont val="Calibri"/>
      </rPr>
      <t>之一。</t>
    </r>
  </si>
  <si>
    <t>Chơi đàn guitar là một trong những sở thích tao nhã của cậu ấy.</t>
  </si>
  <si>
    <t>H5_B14_BG-37.png</t>
  </si>
  <si>
    <t>B14_37.mp3</t>
  </si>
  <si>
    <t>B14_VD_37.mp3</t>
  </si>
  <si>
    <t>因而</t>
  </si>
  <si>
    <t>&lt;ruby&gt;因而&lt;rt&gt;yīn'ér&lt;/rt&gt;&lt;/ruby&gt;</t>
  </si>
  <si>
    <t>yīn'ér</t>
  </si>
  <si>
    <t>vì vậy, do đó</t>
  </si>
  <si>
    <r>
      <rPr>
        <sz val="10"/>
        <color theme="1"/>
        <rFont val="Calibri"/>
      </rPr>
      <t>他很努力，</t>
    </r>
    <r>
      <rPr>
        <b/>
        <sz val="10"/>
        <color theme="1"/>
        <rFont val="Calibri"/>
      </rPr>
      <t>因而</t>
    </r>
    <r>
      <rPr>
        <sz val="10"/>
        <color theme="1"/>
        <rFont val="Calibri"/>
      </rPr>
      <t>成绩很好。</t>
    </r>
  </si>
  <si>
    <t>Anh ấy rất chăm chỉ, vì vậy thành tích rất tốt.</t>
  </si>
  <si>
    <t>H5_B14_BG-38.png</t>
  </si>
  <si>
    <t>B14_38.mp3</t>
  </si>
  <si>
    <t>B14_VD_38.mp3</t>
  </si>
  <si>
    <t>chỉ sự tương phản (trong khi đó)</t>
  </si>
  <si>
    <r>
      <rPr>
        <sz val="10"/>
        <color theme="1"/>
        <rFont val="Calibri"/>
      </rPr>
      <t>弟弟喜欢运动，我</t>
    </r>
    <r>
      <rPr>
        <b/>
        <sz val="10"/>
        <color theme="1"/>
        <rFont val="Calibri"/>
      </rPr>
      <t>则</t>
    </r>
    <r>
      <rPr>
        <sz val="10"/>
        <color theme="1"/>
        <rFont val="Calibri"/>
      </rPr>
      <t>喜欢读书。</t>
    </r>
  </si>
  <si>
    <t>Em trai thích thể thao, trong khi đó tôi lại thích đọc sách.</t>
  </si>
  <si>
    <t>H5_B14_BG-39.png</t>
  </si>
  <si>
    <t>B14_39.mp3</t>
  </si>
  <si>
    <t>B14_VD_39.mp3</t>
  </si>
  <si>
    <t>充分</t>
  </si>
  <si>
    <t>&lt;ruby&gt;充分&lt;rt&gt;chōngfèn&lt;/rt&gt;&lt;/ruby&gt;</t>
  </si>
  <si>
    <t>chōngfèn</t>
  </si>
  <si>
    <t>đầy đủ, đủ, trọn vẹn</t>
  </si>
  <si>
    <r>
      <rPr>
        <sz val="10"/>
        <color rgb="FF0E0E0E"/>
        <rFont val="Calibri"/>
      </rPr>
      <t>阳光</t>
    </r>
    <r>
      <rPr>
        <b/>
        <sz val="10"/>
        <color rgb="FF0E0E0E"/>
        <rFont val="Calibri"/>
      </rPr>
      <t>充分</t>
    </r>
    <r>
      <rPr>
        <sz val="10"/>
        <color rgb="FF0E0E0E"/>
        <rFont val="Calibri"/>
      </rPr>
      <t>地照进了房间。</t>
    </r>
  </si>
  <si>
    <t>Ánh nắng tràn ngập căn phòng.</t>
  </si>
  <si>
    <t>H5_B14_BG-40.png</t>
  </si>
  <si>
    <t>B14_40.mp3</t>
  </si>
  <si>
    <t>B14_VD_40.mp3</t>
  </si>
  <si>
    <t>人民</t>
  </si>
  <si>
    <t>&lt;ruby&gt;人民&lt;rt&gt;rénmín&lt;/rt&gt;&lt;/ruby&gt;</t>
  </si>
  <si>
    <t>rénmín</t>
  </si>
  <si>
    <t>nhân dân</t>
  </si>
  <si>
    <r>
      <rPr>
        <b/>
        <sz val="10"/>
        <color theme="1"/>
        <rFont val="Calibri"/>
      </rPr>
      <t>人民</t>
    </r>
    <r>
      <rPr>
        <sz val="10"/>
        <color theme="1"/>
        <rFont val="Calibri"/>
      </rPr>
      <t>团结劳动生产，共创美好未来。</t>
    </r>
  </si>
  <si>
    <t>Nhân dân đoàn kết lao động sản xuất, cùng xây dựng tương lai tươi sáng.</t>
  </si>
  <si>
    <t>H5_B14_BG-41.png</t>
  </si>
  <si>
    <t>B14_41.mp3</t>
  </si>
  <si>
    <t>B14_VD_41.mp3</t>
  </si>
  <si>
    <t>敌（人）</t>
  </si>
  <si>
    <t>&lt;ruby&gt;敌（人）&lt;rt&gt;dí (rén)&lt;/rt&gt;&lt;/ruby&gt;</t>
  </si>
  <si>
    <t>dí (rén)</t>
  </si>
  <si>
    <t>quân địch</t>
  </si>
  <si>
    <r>
      <rPr>
        <sz val="10"/>
        <color theme="1"/>
        <rFont val="Calibri"/>
      </rPr>
      <t>前方出现了很多</t>
    </r>
    <r>
      <rPr>
        <b/>
        <sz val="10"/>
        <color theme="1"/>
        <rFont val="Calibri"/>
      </rPr>
      <t>敌人</t>
    </r>
    <r>
      <rPr>
        <sz val="10"/>
        <color theme="1"/>
        <rFont val="Calibri"/>
      </rPr>
      <t>。</t>
    </r>
  </si>
  <si>
    <t>Ở phía trước xuất hiện rất nhiều địch.</t>
  </si>
  <si>
    <t>H5_B15_BG-01.png</t>
  </si>
  <si>
    <t>B15_VD_1.mp3</t>
  </si>
  <si>
    <t>命令</t>
  </si>
  <si>
    <t>&lt;ruby&gt;命令&lt;rt&gt;mìnglìng&lt;/rt&gt;&lt;/ruby&gt;</t>
  </si>
  <si>
    <t>mìnglìng</t>
  </si>
  <si>
    <t>ra lệnh; mệnh lệnh</t>
  </si>
  <si>
    <r>
      <rPr>
        <sz val="10"/>
        <color theme="1"/>
        <rFont val="Calibri"/>
      </rPr>
      <t>士兵们执行指挥官的</t>
    </r>
    <r>
      <rPr>
        <b/>
        <sz val="10"/>
        <color theme="1"/>
        <rFont val="Calibri"/>
      </rPr>
      <t>命令</t>
    </r>
    <r>
      <rPr>
        <sz val="10"/>
        <color theme="1"/>
        <rFont val="Calibri"/>
      </rPr>
      <t>。</t>
    </r>
  </si>
  <si>
    <t>Binh sĩ chấp hành mệnh lệnh của chỉ huy.</t>
  </si>
  <si>
    <t>H5_B15_BG-02.png</t>
  </si>
  <si>
    <t>B15_VD_2.mp3</t>
  </si>
  <si>
    <t>胜利</t>
  </si>
  <si>
    <t>&lt;ruby&gt;胜利&lt;rt&gt;shènglì&lt;/rt&gt;&lt;/ruby&gt;</t>
  </si>
  <si>
    <t>shènglì</t>
  </si>
  <si>
    <t>thắng lợi</t>
  </si>
  <si>
    <r>
      <rPr>
        <sz val="10"/>
        <color theme="1"/>
        <rFont val="Calibri"/>
      </rPr>
      <t>最终，抗战取得了</t>
    </r>
    <r>
      <rPr>
        <b/>
        <sz val="10"/>
        <color theme="1"/>
        <rFont val="Calibri"/>
      </rPr>
      <t>胜利</t>
    </r>
    <r>
      <rPr>
        <sz val="10"/>
        <color theme="1"/>
        <rFont val="Calibri"/>
      </rPr>
      <t>。</t>
    </r>
  </si>
  <si>
    <t>Cuộc kháng chiến cuối cùng đã giành được thắng lợi.</t>
  </si>
  <si>
    <t>H5_B15_BG-03.png</t>
  </si>
  <si>
    <t>B15_VD_3.mp3</t>
  </si>
  <si>
    <t>作战</t>
  </si>
  <si>
    <t>&lt;ruby&gt;作战&lt;rt&gt;zuòzhàn&lt;/rt&gt;&lt;/ruby&gt;</t>
  </si>
  <si>
    <t>zuòzhàn</t>
  </si>
  <si>
    <t>đánh trận, chiến đấu</t>
  </si>
  <si>
    <r>
      <rPr>
        <sz val="10"/>
        <color theme="1"/>
        <rFont val="Calibri"/>
      </rPr>
      <t>战士们正在激烈</t>
    </r>
    <r>
      <rPr>
        <b/>
        <sz val="10"/>
        <color theme="1"/>
        <rFont val="Calibri"/>
      </rPr>
      <t>作战</t>
    </r>
    <r>
      <rPr>
        <sz val="10"/>
        <color theme="1"/>
        <rFont val="Calibri"/>
      </rPr>
      <t>。</t>
    </r>
  </si>
  <si>
    <t>Các chiến sĩ đang chiến đấu ác liệt.</t>
  </si>
  <si>
    <t>H5_B15_BG-04.png</t>
  </si>
  <si>
    <t>B15_VD_4.mp3</t>
  </si>
  <si>
    <t>纸上谈兵</t>
  </si>
  <si>
    <t>&lt;ruby&gt;纸上谈兵&lt;rt&gt;zhǐshàngtánbīng&lt;/rt&gt;&lt;/ruby&gt;</t>
  </si>
  <si>
    <t>zhǐshàngtánbīng</t>
  </si>
  <si>
    <t>bàn chuyện đánh giặc trên giấy (lý luận suông)</t>
  </si>
  <si>
    <r>
      <rPr>
        <sz val="10"/>
        <color theme="1"/>
        <rFont val="Calibri"/>
      </rPr>
      <t>他只是</t>
    </r>
    <r>
      <rPr>
        <b/>
        <sz val="10"/>
        <color theme="1"/>
        <rFont val="Calibri"/>
      </rPr>
      <t>纸上谈兵</t>
    </r>
    <r>
      <rPr>
        <sz val="10"/>
        <color theme="1"/>
        <rFont val="Calibri"/>
      </rPr>
      <t>，从不实际行动。</t>
    </r>
  </si>
  <si>
    <t>Anh ấy chỉ toàn nói lý thuyết mà không bao giờ hành động thực tế.</t>
  </si>
  <si>
    <t>H5_B15_BG-05.png</t>
  </si>
  <si>
    <t>B15_VD_5.mp3</t>
  </si>
  <si>
    <t>军事</t>
  </si>
  <si>
    <t>&lt;ruby&gt;军事&lt;rt&gt;jūnshì&lt;/rt&gt;&lt;/ruby&gt;</t>
  </si>
  <si>
    <t>jūnshì</t>
  </si>
  <si>
    <t>việc quân</t>
  </si>
  <si>
    <r>
      <rPr>
        <sz val="10"/>
        <color theme="1"/>
        <rFont val="Arial"/>
      </rPr>
      <t>他对</t>
    </r>
    <r>
      <rPr>
        <b/>
        <sz val="10"/>
        <color theme="1"/>
        <rFont val="Arial"/>
      </rPr>
      <t>军事</t>
    </r>
    <r>
      <rPr>
        <sz val="10"/>
        <color theme="1"/>
        <rFont val="Arial"/>
      </rPr>
      <t>很感兴趣。</t>
    </r>
  </si>
  <si>
    <t>Anh ấy rất hứng thú với quân sự.</t>
  </si>
  <si>
    <t>H5_B15_BG-06.png</t>
  </si>
  <si>
    <t>B15_VD_6.mp3</t>
  </si>
  <si>
    <t>军队</t>
  </si>
  <si>
    <t>&lt;ruby&gt;军队&lt;rt&gt;jūnduì&lt;/rt&gt;&lt;/ruby&gt;</t>
  </si>
  <si>
    <t>jūnduì</t>
  </si>
  <si>
    <t>quân đội</t>
  </si>
  <si>
    <r>
      <rPr>
        <sz val="10"/>
        <color theme="1"/>
        <rFont val="Arial"/>
      </rPr>
      <t>这支</t>
    </r>
    <r>
      <rPr>
        <b/>
        <sz val="10"/>
        <color theme="1"/>
        <rFont val="Arial"/>
      </rPr>
      <t>军队</t>
    </r>
    <r>
      <rPr>
        <sz val="10"/>
        <color theme="1"/>
        <rFont val="Arial"/>
      </rPr>
      <t>训练得非常专业。</t>
    </r>
  </si>
  <si>
    <t>Đội quân này được huấn luyện rất bài bản.</t>
  </si>
  <si>
    <t>H5_B15_BG-07.png</t>
  </si>
  <si>
    <t>B15_VD_7.mp3</t>
  </si>
  <si>
    <t>守</t>
  </si>
  <si>
    <t>&lt;ruby&gt;守&lt;rt&gt;shǒu&lt;/rt&gt;&lt;/ruby&gt;</t>
  </si>
  <si>
    <t>phòng thủ, trấn giữ</t>
  </si>
  <si>
    <r>
      <rPr>
        <sz val="10"/>
        <color theme="1"/>
        <rFont val="Arial"/>
      </rPr>
      <t>他们日夜</t>
    </r>
    <r>
      <rPr>
        <b/>
        <sz val="10"/>
        <color theme="1"/>
        <rFont val="Arial"/>
      </rPr>
      <t>守</t>
    </r>
    <r>
      <rPr>
        <sz val="10"/>
        <color theme="1"/>
        <rFont val="Arial"/>
      </rPr>
      <t>卫边境。</t>
    </r>
  </si>
  <si>
    <t>Họ ngày đêm trấn giữ bảo vệ biên giới.</t>
  </si>
  <si>
    <t>H5_B15_BG-08.png</t>
  </si>
  <si>
    <t>B15_VD_8.mp3</t>
  </si>
  <si>
    <t>阵地</t>
  </si>
  <si>
    <t>&lt;ruby&gt;阵地&lt;rt&gt;zhèndì&lt;/rt&gt;&lt;/ruby&gt;</t>
  </si>
  <si>
    <t>zhèndì</t>
  </si>
  <si>
    <t>trận địa. mặt trận</t>
  </si>
  <si>
    <r>
      <rPr>
        <sz val="10"/>
        <color theme="1"/>
        <rFont val="Arial"/>
      </rPr>
      <t>我们必须保护自己的</t>
    </r>
    <r>
      <rPr>
        <b/>
        <sz val="10"/>
        <color theme="1"/>
        <rFont val="Arial"/>
      </rPr>
      <t>阵地</t>
    </r>
    <r>
      <rPr>
        <sz val="10"/>
        <color theme="1"/>
        <rFont val="Arial"/>
      </rPr>
      <t>。</t>
    </r>
  </si>
  <si>
    <t>Chúng ta phải bảo vệ trận địa của mình.</t>
  </si>
  <si>
    <t>H5_B15_BG-09.png</t>
  </si>
  <si>
    <t>B15_VD_9.mp3</t>
  </si>
  <si>
    <t>绝对</t>
  </si>
  <si>
    <t>&lt;ruby&gt;绝对&lt;rt&gt;juéduì&lt;/rt&gt;&lt;/ruby&gt;</t>
  </si>
  <si>
    <t>juéduì</t>
  </si>
  <si>
    <t>tuyệt đối, nhất định</t>
  </si>
  <si>
    <r>
      <rPr>
        <sz val="10"/>
        <color theme="1"/>
        <rFont val="Arial"/>
      </rPr>
      <t>这场战斗</t>
    </r>
    <r>
      <rPr>
        <b/>
        <sz val="10"/>
        <color theme="1"/>
        <rFont val="Arial"/>
      </rPr>
      <t>绝对</t>
    </r>
    <r>
      <rPr>
        <sz val="10"/>
        <color theme="1"/>
        <rFont val="Arial"/>
      </rPr>
      <t>不能输。</t>
    </r>
  </si>
  <si>
    <t>Trận chiến này tuyệt đối không được thua.</t>
  </si>
  <si>
    <t>H5_B15_BG-10.png</t>
  </si>
  <si>
    <t>B15_VD_10.mp3</t>
  </si>
  <si>
    <t>调动</t>
  </si>
  <si>
    <t>&lt;ruby&gt;调动&lt;rt&gt;diàodòng&lt;/rt&gt;&lt;/ruby&gt;</t>
  </si>
  <si>
    <t>diàodòng</t>
  </si>
  <si>
    <t>điều động, thuyên chuyển</t>
  </si>
  <si>
    <r>
      <rPr>
        <sz val="10"/>
        <color theme="1"/>
        <rFont val="Calibri"/>
      </rPr>
      <t>他们被立即</t>
    </r>
    <r>
      <rPr>
        <b/>
        <sz val="10"/>
        <color theme="1"/>
        <rFont val="Calibri"/>
      </rPr>
      <t>调动</t>
    </r>
    <r>
      <rPr>
        <sz val="10"/>
        <color theme="1"/>
        <rFont val="Calibri"/>
      </rPr>
      <t>去支援。</t>
    </r>
  </si>
  <si>
    <t>Họ được điều động đi chi viện ngay lập tức.</t>
  </si>
  <si>
    <t>H5_B15_BG-11.png</t>
  </si>
  <si>
    <t>B15_VD_11.mp3</t>
  </si>
  <si>
    <t>任命</t>
  </si>
  <si>
    <t>&lt;ruby&gt;任命&lt;rt&gt;rènmìng&lt;/rt&gt;&lt;/ruby&gt;</t>
  </si>
  <si>
    <t>rènmìng</t>
  </si>
  <si>
    <t>bổ nhiệm</t>
  </si>
  <si>
    <r>
      <rPr>
        <sz val="10"/>
        <color theme="1"/>
        <rFont val="Calibri"/>
      </rPr>
      <t>他被</t>
    </r>
    <r>
      <rPr>
        <b/>
        <sz val="10"/>
        <color theme="1"/>
        <rFont val="Calibri"/>
      </rPr>
      <t>任命</t>
    </r>
    <r>
      <rPr>
        <sz val="10"/>
        <color theme="1"/>
        <rFont val="Calibri"/>
      </rPr>
      <t>为指挥官。</t>
    </r>
  </si>
  <si>
    <t>Anh ấy được bổ nhiệm làm chỉ huy.</t>
  </si>
  <si>
    <t>H5_B15_BG-12.png</t>
  </si>
  <si>
    <t>B15_VD_12.mp3</t>
  </si>
  <si>
    <t>进攻</t>
  </si>
  <si>
    <t>&lt;ruby&gt;进攻&lt;rt&gt;jìngōng&lt;/rt&gt;&lt;/ruby&gt;</t>
  </si>
  <si>
    <t>jìngōng</t>
  </si>
  <si>
    <t>tấn công, công kích</t>
  </si>
  <si>
    <r>
      <rPr>
        <sz val="10"/>
        <color theme="1"/>
        <rFont val="Calibri"/>
      </rPr>
      <t>士兵们开始发动</t>
    </r>
    <r>
      <rPr>
        <b/>
        <sz val="10"/>
        <color theme="1"/>
        <rFont val="Calibri"/>
      </rPr>
      <t>进攻</t>
    </r>
    <r>
      <rPr>
        <sz val="10"/>
        <color theme="1"/>
        <rFont val="Calibri"/>
      </rPr>
      <t>。</t>
    </r>
  </si>
  <si>
    <t>Các binh sĩ bắt đầu phát động tấn công.</t>
  </si>
  <si>
    <t>H5_B15_BG-13.png</t>
  </si>
  <si>
    <t>B15_VD_13.mp3</t>
  </si>
  <si>
    <t>胆小鬼</t>
  </si>
  <si>
    <t>&lt;ruby&gt;胆小鬼&lt;rt&gt;dǎnxiǎoguǐ&lt;/rt&gt;&lt;/ruby&gt;</t>
  </si>
  <si>
    <t>dǎnxiǎoguǐ</t>
  </si>
  <si>
    <t>kẻ hèn nhát</t>
  </si>
  <si>
    <r>
      <rPr>
        <sz val="10"/>
        <color theme="1"/>
        <rFont val="Calibri"/>
      </rPr>
      <t>我觉得她真是个</t>
    </r>
    <r>
      <rPr>
        <b/>
        <sz val="10"/>
        <color theme="1"/>
        <rFont val="Calibri"/>
      </rPr>
      <t>胆小鬼</t>
    </r>
    <r>
      <rPr>
        <sz val="10"/>
        <color theme="1"/>
        <rFont val="Calibri"/>
      </rPr>
      <t>，连一只小蜘蛛都怕。</t>
    </r>
  </si>
  <si>
    <t>Tôi thấy cô ấy đúng là đồ nhát cáy, có con nhện bé tí cũng sợ.</t>
  </si>
  <si>
    <t>H5_B15_BG-14.png</t>
  </si>
  <si>
    <t>B15_VD_14.mp3</t>
  </si>
  <si>
    <t>讽刺</t>
  </si>
  <si>
    <t>&lt;ruby&gt;讽刺&lt;rt&gt;fěngcì&lt;/rt&gt;&lt;/ruby&gt;</t>
  </si>
  <si>
    <t>fěngcì</t>
  </si>
  <si>
    <t>châm biếm, mỉa mai</t>
  </si>
  <si>
    <r>
      <rPr>
        <sz val="10"/>
        <color theme="1"/>
        <rFont val="Calibri"/>
      </rPr>
      <t>她</t>
    </r>
    <r>
      <rPr>
        <b/>
        <sz val="10"/>
        <color theme="1"/>
        <rFont val="Calibri"/>
      </rPr>
      <t>讽刺</t>
    </r>
    <r>
      <rPr>
        <sz val="10"/>
        <color theme="1"/>
        <rFont val="Calibri"/>
      </rPr>
      <t>了他几句。</t>
    </r>
  </si>
  <si>
    <t>Cô ấy mỉa mai anh ấy mấy câu.</t>
  </si>
  <si>
    <t>H5_B15_BG-15.png</t>
  </si>
  <si>
    <t>B15_VD_15.mp3</t>
  </si>
  <si>
    <t>糊涂</t>
  </si>
  <si>
    <t>&lt;ruby&gt;糊涂&lt;rt&gt;hútu&lt;/rt&gt;&lt;/ruby&gt;</t>
  </si>
  <si>
    <t>hútu</t>
  </si>
  <si>
    <t>đần độn, hồ đồ</t>
  </si>
  <si>
    <r>
      <rPr>
        <sz val="10"/>
        <color theme="1"/>
        <rFont val="Calibri"/>
      </rPr>
      <t>他越解释，我越</t>
    </r>
    <r>
      <rPr>
        <b/>
        <sz val="10"/>
        <color theme="1"/>
        <rFont val="Calibri"/>
      </rPr>
      <t>糊涂</t>
    </r>
    <r>
      <rPr>
        <sz val="10"/>
        <color theme="1"/>
        <rFont val="Calibri"/>
      </rPr>
      <t>。</t>
    </r>
  </si>
  <si>
    <t>Anh ấy càng giải thích, tôi càng không rõ.</t>
  </si>
  <si>
    <t>H5_B15_BG-16.png</t>
  </si>
  <si>
    <t>B15_VD_16.mp3</t>
  </si>
  <si>
    <t>灵活</t>
  </si>
  <si>
    <t>&lt;ruby&gt;灵活&lt;rt&gt;línghuó&lt;/rt&gt;&lt;/ruby&gt;</t>
  </si>
  <si>
    <t>línghuó</t>
  </si>
  <si>
    <t>linh hoạt, nhạy bén</t>
  </si>
  <si>
    <r>
      <rPr>
        <sz val="10"/>
        <color theme="1"/>
        <rFont val="Calibri"/>
      </rPr>
      <t>运动员反应</t>
    </r>
    <r>
      <rPr>
        <b/>
        <sz val="10"/>
        <color theme="1"/>
        <rFont val="Calibri"/>
      </rPr>
      <t>灵活</t>
    </r>
    <r>
      <rPr>
        <sz val="10"/>
        <color theme="1"/>
        <rFont val="Calibri"/>
      </rPr>
      <t>，轻松地接住了球。</t>
    </r>
  </si>
  <si>
    <t>Vận động viên phản ứng linh hoạt, dễ dàng bắt bóng.</t>
  </si>
  <si>
    <t>H5_B15_BG-17.png</t>
  </si>
  <si>
    <t>B15_VD_17.mp3</t>
  </si>
  <si>
    <t>骂</t>
  </si>
  <si>
    <t>&lt;ruby&gt;骂&lt;rt&gt;mà&lt;/rt&gt;&lt;/ruby&gt;</t>
  </si>
  <si>
    <t>mà</t>
  </si>
  <si>
    <t>chửi, mắng</t>
  </si>
  <si>
    <r>
      <rPr>
        <sz val="10"/>
        <color theme="1"/>
        <rFont val="Calibri"/>
      </rPr>
      <t>他经常</t>
    </r>
    <r>
      <rPr>
        <b/>
        <sz val="10"/>
        <color theme="1"/>
        <rFont val="Calibri"/>
      </rPr>
      <t>骂</t>
    </r>
    <r>
      <rPr>
        <sz val="10"/>
        <color theme="1"/>
        <rFont val="Calibri"/>
      </rPr>
      <t>自己的女儿。</t>
    </r>
  </si>
  <si>
    <t>Anh ấy thường xuyên chửi mắng con gái.</t>
  </si>
  <si>
    <t>H5_B15_BG-18.png</t>
  </si>
  <si>
    <t>B15_VD_18.mp3</t>
  </si>
  <si>
    <t>毛病</t>
  </si>
  <si>
    <t>&lt;ruby&gt;毛病&lt;rt&gt;máobìng&lt;/rt&gt;&lt;/ruby&gt;</t>
  </si>
  <si>
    <t>máobìng</t>
  </si>
  <si>
    <t>khuyết điểm, tật xấu</t>
  </si>
  <si>
    <r>
      <rPr>
        <sz val="10"/>
        <color theme="1"/>
        <rFont val="Calibri"/>
      </rPr>
      <t>他的</t>
    </r>
    <r>
      <rPr>
        <b/>
        <sz val="10"/>
        <color theme="1"/>
        <rFont val="Calibri"/>
      </rPr>
      <t>毛病</t>
    </r>
    <r>
      <rPr>
        <sz val="10"/>
        <color theme="1"/>
        <rFont val="Calibri"/>
      </rPr>
      <t>就是总是随手乱扔垃圾。</t>
    </r>
  </si>
  <si>
    <t>Tật xấu của cậu ấy là luôn vứt rác lung tung.</t>
  </si>
  <si>
    <t>H5_B15_BG-19.png</t>
  </si>
  <si>
    <t>B15_VD_19.mp3</t>
  </si>
  <si>
    <t>轻视</t>
  </si>
  <si>
    <t>&lt;ruby&gt;轻视&lt;rt&gt;qīngshì&lt;/rt&gt;&lt;/ruby&gt;</t>
  </si>
  <si>
    <t>qīngshì</t>
  </si>
  <si>
    <t>khinh thường, xem thường</t>
  </si>
  <si>
    <r>
      <rPr>
        <sz val="10"/>
        <color theme="1"/>
        <rFont val="Calibri"/>
      </rPr>
      <t>她</t>
    </r>
    <r>
      <rPr>
        <b/>
        <sz val="10"/>
        <color theme="1"/>
        <rFont val="Calibri"/>
      </rPr>
      <t>轻视</t>
    </r>
    <r>
      <rPr>
        <sz val="10"/>
        <color theme="1"/>
        <rFont val="Calibri"/>
      </rPr>
      <t>他，因为他不富有。</t>
    </r>
  </si>
  <si>
    <t>Cô ấy khinh thường anh ấy vì anh ấy không giàu.</t>
  </si>
  <si>
    <t>H5_B15_BG-20.png</t>
  </si>
  <si>
    <t>B15_VD_20.mp3</t>
  </si>
  <si>
    <t>弱</t>
  </si>
  <si>
    <t>&lt;ruby&gt;弱&lt;rt&gt;ruò&lt;/rt&gt;&lt;/ruby&gt;</t>
  </si>
  <si>
    <t>ruò</t>
  </si>
  <si>
    <t>yếu, kém</t>
  </si>
  <si>
    <t>他的体力比同学们弱。</t>
  </si>
  <si>
    <t>Thể lực của cậu ấy yếu hơn so với bạn bè.</t>
  </si>
  <si>
    <t>H5_B15_BG-21.png</t>
  </si>
  <si>
    <t>B15_VD_21.mp3</t>
  </si>
  <si>
    <t>上当</t>
  </si>
  <si>
    <t>&lt;ruby&gt;上当&lt;rt&gt;shàngdàng&lt;/rt&gt;&lt;/ruby&gt;</t>
  </si>
  <si>
    <t>shàngdàng</t>
  </si>
  <si>
    <t>bị lừa, mắc lừa</t>
  </si>
  <si>
    <r>
      <rPr>
        <sz val="10"/>
        <color theme="1"/>
        <rFont val="Calibri"/>
      </rPr>
      <t>她因为贪便宜</t>
    </r>
    <r>
      <rPr>
        <b/>
        <sz val="10"/>
        <color theme="1"/>
        <rFont val="Calibri"/>
      </rPr>
      <t>上当</t>
    </r>
    <r>
      <rPr>
        <sz val="10"/>
        <color theme="1"/>
        <rFont val="Calibri"/>
      </rPr>
      <t>了。</t>
    </r>
  </si>
  <si>
    <t>Cô ấy ham rẻ nên bị lừa mất rồi.</t>
  </si>
  <si>
    <t>H5_B15_BG-22.png</t>
  </si>
  <si>
    <t>B15_VD_22.mp3</t>
  </si>
  <si>
    <t>主动</t>
  </si>
  <si>
    <t>&lt;ruby&gt;主动&lt;rt&gt;zhǔdòng&lt;/rt&gt;&lt;/ruby&gt;</t>
  </si>
  <si>
    <t>zhǔdòng</t>
  </si>
  <si>
    <t>chủ động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</si>
  <si>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主动</t>
    </r>
    <r>
      <rPr>
        <sz val="10"/>
        <color theme="1"/>
        <rFont val="Calibri"/>
      </rPr>
      <t>在吃饭前洗手。</t>
    </r>
  </si>
  <si>
    <t xml:space="preserve">Cậu ấy chủ động rửa tay trước khi ăn </t>
  </si>
  <si>
    <t>H5_B15_BG-23.png</t>
  </si>
  <si>
    <t>B15_VD_23.mp3</t>
  </si>
  <si>
    <t>资格</t>
  </si>
  <si>
    <t>&lt;ruby&gt;资格&lt;rt&gt;zīgé&lt;/rt&gt;&lt;/ruby&gt;</t>
  </si>
  <si>
    <t>zīgé</t>
  </si>
  <si>
    <t xml:space="preserve">Tư cách </t>
  </si>
  <si>
    <r>
      <rPr>
        <sz val="10"/>
        <color theme="1"/>
        <rFont val="Calibri"/>
      </rPr>
      <t>他以评论员的</t>
    </r>
    <r>
      <rPr>
        <b/>
        <sz val="10"/>
        <color theme="1"/>
        <rFont val="Calibri"/>
      </rPr>
      <t>资格</t>
    </r>
    <r>
      <rPr>
        <sz val="10"/>
        <color theme="1"/>
        <rFont val="Calibri"/>
      </rPr>
      <t>参加了比赛。</t>
    </r>
  </si>
  <si>
    <t>Anh ấy tham dự giải đấu với tư cách là bình luận viên.</t>
  </si>
  <si>
    <t>H5_B15_BG-24.png</t>
  </si>
  <si>
    <t>B15_VD_24.mp3</t>
  </si>
  <si>
    <t>盲目</t>
  </si>
  <si>
    <t>&lt;ruby&gt;盲目&lt;rt&gt;mángmù&lt;/rt&gt;&lt;/ruby&gt;</t>
  </si>
  <si>
    <t>mángmù</t>
  </si>
  <si>
    <t>mù quáng</t>
  </si>
  <si>
    <r>
      <rPr>
        <b/>
        <sz val="10"/>
        <color theme="1"/>
        <rFont val="Calibri"/>
      </rPr>
      <t>盲目</t>
    </r>
    <r>
      <rPr>
        <sz val="10"/>
        <color theme="1"/>
        <rFont val="Calibri"/>
      </rPr>
      <t>的爱情让人忽略对方的所有错误。</t>
    </r>
  </si>
  <si>
    <t>Tình yêu mù quáng khiến người ta bỏ qua mọi lỗi lầm của đối phương.</t>
  </si>
  <si>
    <t>H5_B15_BG-25.png</t>
  </si>
  <si>
    <t>B15_VD_25.mp3</t>
  </si>
  <si>
    <t>宝贵</t>
  </si>
  <si>
    <t>&lt;ruby&gt;宝贵&lt;rt&gt;bǎoguì&lt;/rt&gt;&lt;/ruby&gt;</t>
  </si>
  <si>
    <t>bǎoguì</t>
  </si>
  <si>
    <t>quý báu, quý giá</t>
  </si>
  <si>
    <r>
      <rPr>
        <sz val="10"/>
        <color theme="1"/>
        <rFont val="Calibri"/>
      </rPr>
      <t>水是一种</t>
    </r>
    <r>
      <rPr>
        <b/>
        <sz val="10"/>
        <color theme="1"/>
        <rFont val="Calibri"/>
      </rPr>
      <t>宝贵</t>
    </r>
    <r>
      <rPr>
        <sz val="10"/>
        <color theme="1"/>
        <rFont val="Calibri"/>
      </rPr>
      <t>的资源。</t>
    </r>
  </si>
  <si>
    <t>Nước là tài nguyên quý giá.</t>
  </si>
  <si>
    <t>H5_B15_BG-26.png</t>
  </si>
  <si>
    <t>B15_VD_26.mp3</t>
  </si>
  <si>
    <t>迟早</t>
  </si>
  <si>
    <t>&lt;ruby&gt;迟早&lt;rt&gt;chízǎo&lt;/rt&gt;&lt;/ruby&gt;</t>
  </si>
  <si>
    <t>chízǎo</t>
  </si>
  <si>
    <t>sớm muộn</t>
  </si>
  <si>
    <r>
      <rPr>
        <sz val="10"/>
        <color theme="1"/>
        <rFont val="Calibri"/>
      </rPr>
      <t>如果他还继续吃冰激凌，</t>
    </r>
    <r>
      <rPr>
        <b/>
        <sz val="10"/>
        <color theme="1"/>
        <rFont val="Calibri"/>
      </rPr>
      <t>迟早</t>
    </r>
    <r>
      <rPr>
        <sz val="10"/>
        <color theme="1"/>
        <rFont val="Calibri"/>
      </rPr>
      <t>会牙疼。</t>
    </r>
  </si>
  <si>
    <t>Nếu cậu ấy còn ăn kem thì sớm muộn cũng sẽ bị đau răng.</t>
  </si>
  <si>
    <t>H5_B15_BG-27.png</t>
  </si>
  <si>
    <t>B15_VD_27.mp3</t>
  </si>
  <si>
    <t>道理</t>
  </si>
  <si>
    <t>&lt;ruby&gt;道理&lt;rt&gt;dàolǐ&lt;/rt&gt;&lt;/ruby&gt;</t>
  </si>
  <si>
    <t>dàolǐ</t>
  </si>
  <si>
    <t>lý lẽ, lý thuyết</t>
  </si>
  <si>
    <r>
      <rPr>
        <sz val="10"/>
        <color theme="1"/>
        <rFont val="Calibri"/>
      </rPr>
      <t>法官提出了有说服力的</t>
    </r>
    <r>
      <rPr>
        <b/>
        <sz val="10"/>
        <color theme="1"/>
        <rFont val="Calibri"/>
      </rPr>
      <t>道理</t>
    </r>
    <r>
      <rPr>
        <sz val="10"/>
        <color theme="1"/>
        <rFont val="Calibri"/>
      </rPr>
      <t>。</t>
    </r>
  </si>
  <si>
    <t>Thẩm phán đưa ra những lí lẽ thuyết phục.</t>
  </si>
  <si>
    <t>H5_B15_BG-28.png</t>
  </si>
  <si>
    <t>B15_VD_28.mp3</t>
  </si>
  <si>
    <t>独立</t>
  </si>
  <si>
    <t>&lt;ruby&gt;独立&lt;rt&gt;dúlì&lt;/rt&gt;&lt;/ruby&gt;</t>
  </si>
  <si>
    <t>dúlì</t>
  </si>
  <si>
    <t>có một mình, không lệ thuộc</t>
  </si>
  <si>
    <r>
      <rPr>
        <sz val="10"/>
        <color theme="1"/>
        <rFont val="Calibri"/>
      </rPr>
      <t>我们的国家终于</t>
    </r>
    <r>
      <rPr>
        <b/>
        <sz val="10"/>
        <color theme="1"/>
        <rFont val="Calibri"/>
      </rPr>
      <t>独立</t>
    </r>
    <r>
      <rPr>
        <sz val="10"/>
        <color theme="1"/>
        <rFont val="Calibri"/>
      </rPr>
      <t>了。</t>
    </r>
  </si>
  <si>
    <t>Đất nước chúng tôi cuối cùng cũng độc lập.</t>
  </si>
  <si>
    <t>H5_B15_BG-29.png</t>
  </si>
  <si>
    <t>B15_VD_29.mp3</t>
  </si>
  <si>
    <t>方案</t>
  </si>
  <si>
    <t>&lt;ruby&gt;方案&lt;rt&gt;fāng'àn&lt;/rt&gt;&lt;/ruby&gt;</t>
  </si>
  <si>
    <t>fāng'àn</t>
  </si>
  <si>
    <t>kế hoạch, phương án</t>
  </si>
  <si>
    <r>
      <rPr>
        <sz val="10"/>
        <color theme="1"/>
        <rFont val="Calibri"/>
      </rPr>
      <t>她正在写下一步的</t>
    </r>
    <r>
      <rPr>
        <b/>
        <sz val="10"/>
        <color theme="1"/>
        <rFont val="Calibri"/>
      </rPr>
      <t>方案</t>
    </r>
    <r>
      <rPr>
        <sz val="10"/>
        <color theme="1"/>
        <rFont val="Calibri"/>
      </rPr>
      <t>。</t>
    </r>
  </si>
  <si>
    <t>Cô ấy đang viết bản kế hoạch sắp tới.</t>
  </si>
  <si>
    <t>H5_B15_BG-30.png</t>
  </si>
  <si>
    <t>B15_VD_30.mp3</t>
  </si>
  <si>
    <t>公元</t>
  </si>
  <si>
    <t>&lt;ruby&gt;公元&lt;rt&gt;gōngyuán&lt;/rt&gt;&lt;/ruby&gt;</t>
  </si>
  <si>
    <t>gōngyuán</t>
  </si>
  <si>
    <t>công nguyên</t>
  </si>
  <si>
    <r>
      <rPr>
        <sz val="10"/>
        <color theme="1"/>
        <rFont val="Calibri"/>
      </rPr>
      <t>罗马斗兽场于</t>
    </r>
    <r>
      <rPr>
        <b/>
        <sz val="10"/>
        <color theme="1"/>
        <rFont val="Calibri"/>
      </rPr>
      <t>公元</t>
    </r>
    <r>
      <rPr>
        <sz val="10"/>
        <color theme="1"/>
        <rFont val="Calibri"/>
      </rPr>
      <t>80年开放。</t>
    </r>
  </si>
  <si>
    <t>Đấu trường La Mã mở cửa vào năm 80 sau công nguyên.</t>
  </si>
  <si>
    <t>H5_B15_BG-31.png</t>
  </si>
  <si>
    <t>B15_VD_31.mp3</t>
  </si>
  <si>
    <t>派</t>
  </si>
  <si>
    <t>&lt;ruby&gt;派&lt;rt&gt;pài&lt;/rt&gt;&lt;/ruby&gt;</t>
  </si>
  <si>
    <t>pài</t>
  </si>
  <si>
    <t>phái đi, cử đi</t>
  </si>
  <si>
    <r>
      <rPr>
        <sz val="10"/>
        <color theme="1"/>
        <rFont val="Calibri"/>
      </rPr>
      <t>老板</t>
    </r>
    <r>
      <rPr>
        <b/>
        <sz val="10"/>
        <color theme="1"/>
        <rFont val="Calibri"/>
      </rPr>
      <t>派</t>
    </r>
    <r>
      <rPr>
        <sz val="10"/>
        <color theme="1"/>
        <rFont val="Calibri"/>
      </rPr>
      <t>我去北京。</t>
    </r>
  </si>
  <si>
    <t>Sếp cử tôi đi Bắc Kinh.</t>
  </si>
  <si>
    <t>H5_B15_BG-32.png</t>
  </si>
  <si>
    <t>B15_32.mp3</t>
  </si>
  <si>
    <t>B15_VD_32.mp3</t>
  </si>
  <si>
    <t>挑战</t>
  </si>
  <si>
    <t>&lt;ruby&gt;挑战&lt;rt&gt;tiǎozhàn&lt;/rt&gt;&lt;/ruby&gt;</t>
  </si>
  <si>
    <t>tiǎozhàn</t>
  </si>
  <si>
    <t>khiêu chiến, thách thức; sự thách thức</t>
  </si>
  <si>
    <r>
      <rPr>
        <sz val="10"/>
        <color theme="1"/>
        <rFont val="Calibri"/>
      </rPr>
      <t>她勇敢地</t>
    </r>
    <r>
      <rPr>
        <b/>
        <sz val="10"/>
        <color theme="1"/>
        <rFont val="Calibri"/>
      </rPr>
      <t>挑战</t>
    </r>
    <r>
      <rPr>
        <sz val="10"/>
        <color theme="1"/>
        <rFont val="Calibri"/>
      </rPr>
      <t>对手。</t>
    </r>
  </si>
  <si>
    <t>Cô ấy dũng cảm thách thức đối thủ.</t>
  </si>
  <si>
    <t>H5_B15_BG-33.png</t>
  </si>
  <si>
    <t>B15_33.mp3</t>
  </si>
  <si>
    <t>B15_VD_33.mp3</t>
  </si>
  <si>
    <t>形势</t>
  </si>
  <si>
    <t>&lt;ruby&gt;形势&lt;rt&gt;xíngshì&lt;/rt&gt;&lt;/ruby&gt;</t>
  </si>
  <si>
    <t>tình hình</t>
  </si>
  <si>
    <r>
      <rPr>
        <sz val="10"/>
        <color theme="1"/>
        <rFont val="Calibri"/>
      </rPr>
      <t>火灾的</t>
    </r>
    <r>
      <rPr>
        <b/>
        <sz val="10"/>
        <color theme="1"/>
        <rFont val="Calibri"/>
      </rPr>
      <t>形势</t>
    </r>
    <r>
      <rPr>
        <sz val="10"/>
        <color theme="1"/>
        <rFont val="Calibri"/>
      </rPr>
      <t>非常严峻。</t>
    </r>
  </si>
  <si>
    <t>Tình hình đám cháy đang rất nghiêm trọng</t>
  </si>
  <si>
    <t>H5_B15_BG-34.png</t>
  </si>
  <si>
    <t>B15_34.mp3</t>
  </si>
  <si>
    <t>B15_VD_34.mp3</t>
  </si>
  <si>
    <t>再三</t>
  </si>
  <si>
    <t>&lt;ruby&gt;再三&lt;rt&gt;zàisān&lt;/rt&gt;&lt;/ruby&gt;</t>
  </si>
  <si>
    <t>zàisān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</si>
  <si>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再三</t>
    </r>
    <r>
      <rPr>
        <sz val="10"/>
        <color theme="1"/>
        <rFont val="Calibri"/>
      </rPr>
      <t>忘记自己该做的事情。</t>
    </r>
  </si>
  <si>
    <t>Anh ấy nhiều lần quên việc cần làm.</t>
  </si>
  <si>
    <t>H5_B15_BG-35.png</t>
  </si>
  <si>
    <t>B15_35.mp3</t>
  </si>
  <si>
    <t>B15_VD_35.mp3</t>
  </si>
  <si>
    <t>阻止</t>
  </si>
  <si>
    <t>&lt;ruby&gt;阻止&lt;rt&gt;zǔzhǐ&lt;/rt&gt;&lt;/ruby&gt;</t>
  </si>
  <si>
    <t>zǔzhǐ</t>
  </si>
  <si>
    <t>ngăn cản, cản trở</t>
  </si>
  <si>
    <r>
      <rPr>
        <sz val="10"/>
        <color theme="1"/>
        <rFont val="Calibri"/>
      </rPr>
      <t>她</t>
    </r>
    <r>
      <rPr>
        <b/>
        <sz val="10"/>
        <color theme="1"/>
        <rFont val="Calibri"/>
      </rPr>
      <t>阻止</t>
    </r>
    <r>
      <rPr>
        <sz val="10"/>
        <color theme="1"/>
        <rFont val="Calibri"/>
      </rPr>
      <t>了孩子们的争吵。</t>
    </r>
  </si>
  <si>
    <t>Cô ấy đã ngăn cuộc cãi vã của bọn trẻ.</t>
  </si>
  <si>
    <t>H5_B15_BG-36.png</t>
  </si>
  <si>
    <t>B15_36.mp3</t>
  </si>
  <si>
    <t>B15_VD_36.mp3</t>
  </si>
  <si>
    <t>理论</t>
  </si>
  <si>
    <t>&lt;ruby&gt;理论&lt;rt&gt;lǐlùn&lt;/rt&gt;&lt;/ruby&gt;</t>
  </si>
  <si>
    <t>lǐlùn</t>
  </si>
  <si>
    <t>lý luận, lý thuyết</t>
  </si>
  <si>
    <r>
      <rPr>
        <sz val="10"/>
        <color theme="1"/>
        <rFont val="Calibri"/>
      </rPr>
      <t>他在研究新的</t>
    </r>
    <r>
      <rPr>
        <b/>
        <sz val="10"/>
        <color theme="1"/>
        <rFont val="Calibri"/>
      </rPr>
      <t>理论</t>
    </r>
    <r>
      <rPr>
        <sz val="10"/>
        <color theme="1"/>
        <rFont val="Calibri"/>
      </rPr>
      <t>。</t>
    </r>
  </si>
  <si>
    <t>Anh ấy nghiên cứu lý thuyết mới.</t>
  </si>
  <si>
    <t>H5_B15_BG-37.png</t>
  </si>
  <si>
    <t>B15_37.mp3</t>
  </si>
  <si>
    <t>B15_VD_37.mp3</t>
  </si>
  <si>
    <t>散布</t>
  </si>
  <si>
    <t>&lt;ruby&gt;散布&lt;rt&gt;sànbù&lt;/rt&gt;&lt;/ruby&gt;</t>
  </si>
  <si>
    <t>sànbù</t>
  </si>
  <si>
    <t>gieo rắc, truyền</t>
  </si>
  <si>
    <r>
      <rPr>
        <sz val="10"/>
        <color theme="1"/>
        <rFont val="Calibri"/>
      </rPr>
      <t>他们</t>
    </r>
    <r>
      <rPr>
        <b/>
        <sz val="10"/>
        <color theme="1"/>
        <rFont val="Calibri"/>
      </rPr>
      <t>散布</t>
    </r>
    <r>
      <rPr>
        <sz val="10"/>
        <color theme="1"/>
        <rFont val="Calibri"/>
      </rPr>
      <t>新的想法。</t>
    </r>
  </si>
  <si>
    <t>Họ đang truyền bá ý tưởng mới.</t>
  </si>
  <si>
    <t>H5_B15_BG-38.png</t>
  </si>
  <si>
    <t>B15_38.mp3</t>
  </si>
  <si>
    <t>B15_VD_38.mp3</t>
  </si>
  <si>
    <t>谣言</t>
  </si>
  <si>
    <t>&lt;ruby&gt;谣言&lt;rt&gt;yáoyán&lt;/rt&gt;&lt;/ruby&gt;</t>
  </si>
  <si>
    <t>yáoyán</t>
  </si>
  <si>
    <t>tin đồn</t>
  </si>
  <si>
    <r>
      <rPr>
        <sz val="10"/>
        <color theme="1"/>
        <rFont val="Calibri"/>
      </rPr>
      <t>不要相信那些</t>
    </r>
    <r>
      <rPr>
        <b/>
        <sz val="10"/>
        <color theme="1"/>
        <rFont val="Calibri"/>
      </rPr>
      <t>谣言</t>
    </r>
    <r>
      <rPr>
        <sz val="10"/>
        <color theme="1"/>
        <rFont val="Calibri"/>
      </rPr>
      <t>。</t>
    </r>
  </si>
  <si>
    <t>Đừng tin những tin đồn đó.</t>
  </si>
  <si>
    <t>H5_B15_BG-39.png</t>
  </si>
  <si>
    <t>B15_39.mp3</t>
  </si>
  <si>
    <t>B15_VD_39.mp3</t>
  </si>
  <si>
    <t>采取</t>
  </si>
  <si>
    <t>&lt;ruby&gt;采取&lt;rt&gt;căiqǔ&lt;/rt&gt;&lt;/ruby&gt;</t>
  </si>
  <si>
    <t>căiqǔ</t>
  </si>
  <si>
    <t>áp dụng, dùng</t>
  </si>
  <si>
    <r>
      <rPr>
        <sz val="12"/>
        <color rgb="FF000000"/>
        <rFont val="Calibri"/>
      </rPr>
      <t>她正在</t>
    </r>
    <r>
      <rPr>
        <b/>
        <sz val="12"/>
        <color rgb="FF000000"/>
        <rFont val="Calibri"/>
      </rPr>
      <t>采取</t>
    </r>
    <r>
      <rPr>
        <sz val="12"/>
        <color rgb="FF000000"/>
        <rFont val="Calibri"/>
      </rPr>
      <t>健康饮食来改善她的健康状况。</t>
    </r>
  </si>
  <si>
    <t>Cô ấy đang áp dụng chế độ ăn uống lành mạnh để cải thiện tình trạng sức khỏe.</t>
  </si>
  <si>
    <t>H5_B16_BG-01.png</t>
  </si>
  <si>
    <t>参与</t>
  </si>
  <si>
    <t>&lt;ruby&gt;参与&lt;rt&gt;cānyù&lt;/rt&gt;&lt;/ruby&gt;</t>
  </si>
  <si>
    <t>cānyù</t>
  </si>
  <si>
    <t>tham dự, tham gia</t>
  </si>
  <si>
    <r>
      <rPr>
        <sz val="12"/>
        <color rgb="FF000000"/>
        <rFont val="Calibri"/>
      </rPr>
      <t>他决定</t>
    </r>
    <r>
      <rPr>
        <b/>
        <sz val="12"/>
        <color rgb="FF000000"/>
        <rFont val="Calibri"/>
      </rPr>
      <t>参与</t>
    </r>
    <r>
      <rPr>
        <sz val="12"/>
        <color rgb="FF000000"/>
        <rFont val="Calibri"/>
      </rPr>
      <t>学校的足球俱乐部。</t>
    </r>
  </si>
  <si>
    <t>Anh ấy quyết định tham gia câu lạc bộ đá bóng của trường.</t>
  </si>
  <si>
    <t>H5_B16_BG-02.png</t>
  </si>
  <si>
    <t>差异</t>
  </si>
  <si>
    <t>&lt;ruby&gt;差异&lt;rt&gt;chāyì&lt;/rt&gt;&lt;/ruby&gt;</t>
  </si>
  <si>
    <t>chāyì</t>
  </si>
  <si>
    <t>sự khác biệt</t>
  </si>
  <si>
    <r>
      <rPr>
        <sz val="10"/>
        <color rgb="FF0E0E0E"/>
        <rFont val="Calibri"/>
      </rPr>
      <t>每个国家都有其独特的文化</t>
    </r>
    <r>
      <rPr>
        <b/>
        <sz val="10"/>
        <color rgb="FF0E0E0E"/>
        <rFont val="Calibri"/>
      </rPr>
      <t>差异</t>
    </r>
    <r>
      <rPr>
        <sz val="10"/>
        <color rgb="FF0E0E0E"/>
        <rFont val="Calibri"/>
      </rPr>
      <t>。</t>
    </r>
  </si>
  <si>
    <t>Mỗi quốc gia đều có sự khác biệt về văn hoá.</t>
  </si>
  <si>
    <t>H5_B16_BG-03.png</t>
  </si>
  <si>
    <t>措施</t>
  </si>
  <si>
    <t>&lt;ruby&gt;措施&lt;rt&gt;cuòshī&lt;/rt&gt;&lt;/ruby&gt;</t>
  </si>
  <si>
    <t>cuòshī</t>
  </si>
  <si>
    <t>biện pháp</t>
  </si>
  <si>
    <r>
      <rPr>
        <sz val="12"/>
        <color rgb="FF000000"/>
        <rFont val="Calibri"/>
      </rPr>
      <t>为了减少交通事故，政府采取了严格的交通管理</t>
    </r>
    <r>
      <rPr>
        <b/>
        <sz val="12"/>
        <color rgb="FF000000"/>
        <rFont val="Calibri"/>
      </rPr>
      <t>措施</t>
    </r>
    <r>
      <rPr>
        <sz val="12"/>
        <color rgb="FF000000"/>
        <rFont val="Calibri"/>
      </rPr>
      <t>。</t>
    </r>
  </si>
  <si>
    <t>Để giảm thiểu tai nạn giao thông, chính phủ đã áp dụng các biện pháp quản lý giao thông nghiêm ngặt.</t>
  </si>
  <si>
    <t>H5_B16_BG-04.png</t>
  </si>
  <si>
    <t>&lt;ruby&gt;达到&lt;rt&gt;dá dào&lt;/rt&gt;&lt;/ruby&gt;</t>
  </si>
  <si>
    <t>dá dào</t>
  </si>
  <si>
    <t>đạt đến</t>
  </si>
  <si>
    <r>
      <rPr>
        <sz val="10"/>
        <color rgb="FF0E0E0E"/>
        <rFont val="Calibri"/>
      </rPr>
      <t>如果你坚持不懈，你一定能够</t>
    </r>
    <r>
      <rPr>
        <b/>
        <sz val="10"/>
        <color rgb="FF0E0E0E"/>
        <rFont val="Calibri"/>
      </rPr>
      <t>达到</t>
    </r>
    <r>
      <rPr>
        <sz val="10"/>
        <color rgb="FF0E0E0E"/>
        <rFont val="Calibri"/>
      </rPr>
      <t>自己的期望。</t>
    </r>
  </si>
  <si>
    <t>Nếu bạn kiên trì, bạn chắc chắn có thể đạt được kỳ vọng của mình.</t>
  </si>
  <si>
    <t>H5_B16_BG-05.png</t>
  </si>
  <si>
    <t>非</t>
  </si>
  <si>
    <t>&lt;ruby&gt;非&lt;rt&gt;fēi&lt;/rt&gt;&lt;/ruby&gt;</t>
  </si>
  <si>
    <t>không phải, không</t>
  </si>
  <si>
    <r>
      <rPr>
        <sz val="10"/>
        <color theme="1"/>
        <rFont val="Calibri"/>
      </rPr>
      <t>这里</t>
    </r>
    <r>
      <rPr>
        <b/>
        <sz val="10"/>
        <color theme="1"/>
        <rFont val="Calibri"/>
      </rPr>
      <t>非</t>
    </r>
    <r>
      <rPr>
        <sz val="10"/>
        <color theme="1"/>
        <rFont val="Calibri"/>
      </rPr>
      <t>公共场所。</t>
    </r>
  </si>
  <si>
    <t>Đây không phải nơi công cộng.</t>
  </si>
  <si>
    <t>H5_B16_BG-06.png</t>
  </si>
  <si>
    <t>个别</t>
  </si>
  <si>
    <t>&lt;ruby&gt;个别&lt;rt&gt;gèbié&lt;/rt&gt;&lt;/ruby&gt;</t>
  </si>
  <si>
    <t>gèbié</t>
  </si>
  <si>
    <t>riêng lẻ, cá biệt</t>
  </si>
  <si>
    <r>
      <rPr>
        <b/>
        <sz val="10"/>
        <color theme="1"/>
        <rFont val="Calibri"/>
      </rPr>
      <t>个别</t>
    </r>
    <r>
      <rPr>
        <sz val="10"/>
        <color theme="1"/>
        <rFont val="Calibri"/>
      </rPr>
      <t>天气很冷。</t>
    </r>
  </si>
  <si>
    <t>Một số ngày thời tiết rất lạnh.</t>
  </si>
  <si>
    <t>H5_B16_BG-07.png</t>
  </si>
  <si>
    <t>即</t>
  </si>
  <si>
    <t>&lt;ruby&gt;即&lt;rt&gt;jí&lt;/rt&gt;&lt;/ruby&gt;</t>
  </si>
  <si>
    <t>nghĩa là; ngay</t>
  </si>
  <si>
    <r>
      <rPr>
        <sz val="10"/>
        <color theme="1"/>
        <rFont val="Calibri"/>
      </rPr>
      <t>我们</t>
    </r>
    <r>
      <rPr>
        <b/>
        <sz val="10"/>
        <color theme="1"/>
        <rFont val="Calibri"/>
      </rPr>
      <t>即</t>
    </r>
    <r>
      <rPr>
        <sz val="10"/>
        <color theme="1"/>
        <rFont val="Calibri"/>
      </rPr>
      <t>将出发，准备好了吗？</t>
    </r>
  </si>
  <si>
    <t>Chúng ta sắp sửa khởi hành, đã chuẩn bị xong chưa?</t>
  </si>
  <si>
    <t>H5_B16_BG-08.png</t>
  </si>
  <si>
    <t>借口</t>
  </si>
  <si>
    <t>&lt;ruby&gt;借口&lt;rt&gt;jièkǒu&lt;/rt&gt;&lt;/ruby&gt;</t>
  </si>
  <si>
    <t>jièkǒu</t>
  </si>
  <si>
    <t>cớ; lấy cớ</t>
  </si>
  <si>
    <r>
      <rPr>
        <sz val="12"/>
        <color rgb="FF000000"/>
        <rFont val="Calibri"/>
      </rPr>
      <t>她找</t>
    </r>
    <r>
      <rPr>
        <b/>
        <sz val="12"/>
        <color rgb="FF000000"/>
        <rFont val="Calibri"/>
      </rPr>
      <t>借口</t>
    </r>
    <r>
      <rPr>
        <sz val="12"/>
        <color rgb="FF000000"/>
        <rFont val="Calibri"/>
      </rPr>
      <t>说天气不好而不去跑步。</t>
    </r>
  </si>
  <si>
    <t>Cô ấy lấy cớ thời tiết xấu để không đi chạy bộ.</t>
  </si>
  <si>
    <t>H5_B16_BG-09.png</t>
  </si>
  <si>
    <t>联合</t>
  </si>
  <si>
    <t>&lt;ruby&gt;联合&lt;rt&gt;liánhé&lt;/rt&gt;&lt;/ruby&gt;</t>
  </si>
  <si>
    <t>liánhé</t>
  </si>
  <si>
    <t>kết hợp, hợp nhất; chung</t>
  </si>
  <si>
    <r>
      <rPr>
        <sz val="12"/>
        <color rgb="FF000000"/>
        <rFont val="Calibri"/>
      </rPr>
      <t>两家公司决定</t>
    </r>
    <r>
      <rPr>
        <b/>
        <sz val="12"/>
        <color rgb="FF000000"/>
        <rFont val="Calibri"/>
      </rPr>
      <t>联合</t>
    </r>
    <r>
      <rPr>
        <sz val="12"/>
        <color rgb="FF000000"/>
        <rFont val="Calibri"/>
      </rPr>
      <t>开发新产品。</t>
    </r>
  </si>
  <si>
    <t>Hai công ty quyết định hợp tác phát triển sản phẩm mới.</t>
  </si>
  <si>
    <t>H5_B16_BG-10.png</t>
  </si>
  <si>
    <t>临时</t>
  </si>
  <si>
    <t>&lt;ruby&gt;临时&lt;rt&gt;línshí&lt;/rt&gt;&lt;/ruby&gt;</t>
  </si>
  <si>
    <t>línshí</t>
  </si>
  <si>
    <t>Phó từ/Tính từ</t>
  </si>
  <si>
    <t xml:space="preserve">đến lúc; tạm thời </t>
  </si>
  <si>
    <r>
      <rPr>
        <sz val="10"/>
        <color theme="1"/>
        <rFont val="Calibri"/>
      </rPr>
      <t>我们</t>
    </r>
    <r>
      <rPr>
        <b/>
        <sz val="10"/>
        <color theme="1"/>
        <rFont val="Calibri"/>
      </rPr>
      <t>临时</t>
    </r>
    <r>
      <rPr>
        <sz val="10"/>
        <color theme="1"/>
        <rFont val="Calibri"/>
      </rPr>
      <t>找了一个地方休息。</t>
    </r>
  </si>
  <si>
    <t>Chúng tôi tạm thời tìm một nơi để nghỉ ngơi.</t>
  </si>
  <si>
    <t>H5_B16_BG-11.png</t>
  </si>
  <si>
    <t>人员</t>
  </si>
  <si>
    <t>&lt;ruby&gt;人员&lt;rt&gt;rényuán&lt;/rt&gt;&lt;/ruby&gt;</t>
  </si>
  <si>
    <t>rényuán</t>
  </si>
  <si>
    <t>nhân viên</t>
  </si>
  <si>
    <r>
      <rPr>
        <sz val="12"/>
        <color rgb="FF000000"/>
        <rFont val="Calibri"/>
      </rPr>
      <t>我在这里做收银</t>
    </r>
    <r>
      <rPr>
        <b/>
        <sz val="12"/>
        <color rgb="FF000000"/>
        <rFont val="Calibri"/>
      </rPr>
      <t>人员</t>
    </r>
    <r>
      <rPr>
        <sz val="12"/>
        <color rgb="FF000000"/>
        <rFont val="Calibri"/>
      </rPr>
      <t>已经两年了。</t>
    </r>
  </si>
  <si>
    <t>Tôi làm nhân viên thu ngân ở đây được 2 năm rồi.</t>
  </si>
  <si>
    <t>H5_B16_BG-12.png</t>
  </si>
  <si>
    <t>意外</t>
  </si>
  <si>
    <t>&lt;ruby&gt;意外&lt;rt&gt;yìwài&lt;/rt&gt;&lt;/ruby&gt;</t>
  </si>
  <si>
    <t>yìwài</t>
  </si>
  <si>
    <t>Tính từ/Danh từ</t>
  </si>
  <si>
    <t>bất ngờ; điều bất trắc</t>
  </si>
  <si>
    <r>
      <rPr>
        <sz val="10"/>
        <color theme="1"/>
        <rFont val="Calibri"/>
      </rPr>
      <t>她</t>
    </r>
    <r>
      <rPr>
        <b/>
        <sz val="10"/>
        <color theme="1"/>
        <rFont val="Calibri"/>
      </rPr>
      <t>意外</t>
    </r>
    <r>
      <rPr>
        <sz val="10"/>
        <color theme="1"/>
        <rFont val="Calibri"/>
      </rPr>
      <t>地赢得了比赛。</t>
    </r>
  </si>
  <si>
    <t>Cô ấy bất ngờ giành chiến thắng trong trận đấu.</t>
  </si>
  <si>
    <t>H5_B16_BG-13.png</t>
  </si>
  <si>
    <t>志愿者</t>
  </si>
  <si>
    <t>&lt;ruby&gt;志愿者&lt;rt&gt;zhìyuànzhě&lt;/rt&gt;&lt;/ruby&gt;</t>
  </si>
  <si>
    <t>zhìyuànzhě</t>
  </si>
  <si>
    <t xml:space="preserve">người tình nguyện </t>
  </si>
  <si>
    <r>
      <rPr>
        <sz val="12"/>
        <color rgb="FF000000"/>
        <rFont val="Calibri"/>
      </rPr>
      <t>他决定成为一名</t>
    </r>
    <r>
      <rPr>
        <b/>
        <sz val="12"/>
        <color rgb="FF000000"/>
        <rFont val="Calibri"/>
      </rPr>
      <t>志愿者</t>
    </r>
    <r>
      <rPr>
        <sz val="12"/>
        <color rgb="FF000000"/>
        <rFont val="Calibri"/>
      </rPr>
      <t>，前往贫困地区帮助他人。</t>
    </r>
  </si>
  <si>
    <t>Anh ấy quyết định trở thành một tình nguyện viên và đi đến vùng khó khăn giúp đỡ mọi người.</t>
  </si>
  <si>
    <t>H5_B16_BG-14.png</t>
  </si>
  <si>
    <t>总共</t>
  </si>
  <si>
    <t>&lt;ruby&gt;总共&lt;rt&gt;zǒnggòng&lt;/rt&gt;&lt;/ruby&gt;</t>
  </si>
  <si>
    <t>zǒnggòng</t>
  </si>
  <si>
    <t>cả thảy, tất cả</t>
  </si>
  <si>
    <r>
      <rPr>
        <sz val="10"/>
        <color theme="1"/>
        <rFont val="Calibri"/>
      </rPr>
      <t>我们买了三本书，</t>
    </r>
    <r>
      <rPr>
        <b/>
        <sz val="10"/>
        <color theme="1"/>
        <rFont val="Calibri"/>
      </rPr>
      <t>总共</t>
    </r>
    <r>
      <rPr>
        <sz val="10"/>
        <color theme="1"/>
        <rFont val="Calibri"/>
      </rPr>
      <t>花了两百块。</t>
    </r>
  </si>
  <si>
    <t>Chúng tôi đã mua 3 quyển sách, tổng cộng hết 200 tệ.</t>
  </si>
  <si>
    <t>H5_B16_BG-15.png</t>
  </si>
  <si>
    <t>立即</t>
  </si>
  <si>
    <t>&lt;ruby&gt;立即&lt;rt&gt;lìjí&lt;/rt&gt;&lt;/ruby&gt;</t>
  </si>
  <si>
    <t>lìjí</t>
  </si>
  <si>
    <t xml:space="preserve">lập tức, ngay </t>
  </si>
  <si>
    <r>
      <rPr>
        <sz val="10"/>
        <color theme="1"/>
        <rFont val="Calibri"/>
      </rPr>
      <t>事故发生后，救护车</t>
    </r>
    <r>
      <rPr>
        <b/>
        <sz val="10"/>
        <color theme="1"/>
        <rFont val="Calibri"/>
      </rPr>
      <t>立即</t>
    </r>
    <r>
      <rPr>
        <sz val="10"/>
        <color theme="1"/>
        <rFont val="Calibri"/>
      </rPr>
      <t>赶到了现场。</t>
    </r>
  </si>
  <si>
    <t>Sau khi tai nạn xảy ra, xe cứu thương lập tức đến hiện trường.</t>
  </si>
  <si>
    <t>H5_B16_BG-16.png</t>
  </si>
  <si>
    <t>报道</t>
  </si>
  <si>
    <t>&lt;ruby&gt;报道&lt;rt&gt;bàodào&lt;/rt&gt;&lt;/ruby&gt;</t>
  </si>
  <si>
    <t>bàodào</t>
  </si>
  <si>
    <t>bài báo; đưa tin</t>
  </si>
  <si>
    <r>
      <rPr>
        <sz val="10"/>
        <color theme="1"/>
        <rFont val="Calibri"/>
      </rPr>
      <t>这篇</t>
    </r>
    <r>
      <rPr>
        <b/>
        <sz val="10"/>
        <color theme="1"/>
        <rFont val="Calibri"/>
      </rPr>
      <t>报道</t>
    </r>
    <r>
      <rPr>
        <sz val="10"/>
        <color theme="1"/>
        <rFont val="Calibri"/>
      </rPr>
      <t>引起了大家的关注。</t>
    </r>
  </si>
  <si>
    <t>Bài báo này đã thu hút sự chú ý của mọi người.</t>
  </si>
  <si>
    <t>H5_B16_BG-17.png</t>
  </si>
  <si>
    <t>表明</t>
  </si>
  <si>
    <t>&lt;ruby&gt;表明&lt;rt&gt;biǎomíng&lt;/rt&gt;&lt;/ruby&gt;</t>
  </si>
  <si>
    <t>biǎomíng</t>
  </si>
  <si>
    <t xml:space="preserve">thể hiện, chứng tỏ </t>
  </si>
  <si>
    <r>
      <rPr>
        <sz val="10"/>
        <color theme="1"/>
        <rFont val="Calibri"/>
      </rPr>
      <t>他的成绩</t>
    </r>
    <r>
      <rPr>
        <b/>
        <sz val="10"/>
        <color theme="1"/>
        <rFont val="Calibri"/>
      </rPr>
      <t>表明</t>
    </r>
    <r>
      <rPr>
        <sz val="10"/>
        <color theme="1"/>
        <rFont val="Calibri"/>
      </rPr>
      <t>他付出了很多努力。</t>
    </r>
  </si>
  <si>
    <t>Thành tích của anh ấy chứng tỏ anh ấy đã nỗ lực rất nhiều.</t>
  </si>
  <si>
    <t>H5_B16_BG-18.png</t>
  </si>
  <si>
    <t>成果</t>
  </si>
  <si>
    <t>&lt;ruby&gt;成果&lt;rt&gt;chéngguǒ&lt;/rt&gt;&lt;/ruby&gt;</t>
  </si>
  <si>
    <t>chéngguǒ</t>
  </si>
  <si>
    <t>thành quả, kết quả</t>
  </si>
  <si>
    <r>
      <rPr>
        <sz val="12"/>
        <color rgb="FF000000"/>
        <rFont val="Calibri"/>
      </rPr>
      <t>对我来说，这座房子是多年的努力</t>
    </r>
    <r>
      <rPr>
        <b/>
        <sz val="12"/>
        <color rgb="FF000000"/>
        <rFont val="Calibri"/>
      </rPr>
      <t>成果</t>
    </r>
    <r>
      <rPr>
        <sz val="12"/>
        <color rgb="FF000000"/>
        <rFont val="Calibri"/>
      </rPr>
      <t>。</t>
    </r>
  </si>
  <si>
    <t>Với tôi ngôi nhà này là thành quả của nhiều năm nỗ lực.</t>
  </si>
  <si>
    <t>H5_B16_BG-19.png</t>
  </si>
  <si>
    <t>存在</t>
  </si>
  <si>
    <t>&lt;ruby&gt;存在&lt;rt&gt;cúnzài&lt;/rt&gt;&lt;/ruby&gt;</t>
  </si>
  <si>
    <t>cúnzài</t>
  </si>
  <si>
    <t>tồn tại</t>
  </si>
  <si>
    <r>
      <rPr>
        <sz val="12"/>
        <color rgb="FF000000"/>
        <rFont val="Calibri"/>
      </rPr>
      <t>科学家们发现了外星生命的</t>
    </r>
    <r>
      <rPr>
        <b/>
        <sz val="12"/>
        <color rgb="FF000000"/>
        <rFont val="Calibri"/>
      </rPr>
      <t>存在</t>
    </r>
    <r>
      <rPr>
        <sz val="12"/>
        <color rgb="FF000000"/>
        <rFont val="Calibri"/>
      </rPr>
      <t>。</t>
    </r>
  </si>
  <si>
    <t xml:space="preserve"> Các nhà khoa học đã phát hiện sự tồn tại của sự sống ngoài hành tinh.</t>
  </si>
  <si>
    <t>H5_B16_BG-20.png</t>
  </si>
  <si>
    <t>分析</t>
  </si>
  <si>
    <t>&lt;ruby&gt;分析&lt;rt&gt;fēnxī&lt;/rt&gt;&lt;/ruby&gt;</t>
  </si>
  <si>
    <t>fēnxī</t>
  </si>
  <si>
    <t>phân tích</t>
  </si>
  <si>
    <r>
      <rPr>
        <sz val="12"/>
        <color rgb="FF000000"/>
        <rFont val="Calibri"/>
      </rPr>
      <t>在会议上，我们共同</t>
    </r>
    <r>
      <rPr>
        <b/>
        <sz val="12"/>
        <color rgb="FF000000"/>
        <rFont val="Calibri"/>
      </rPr>
      <t>分析</t>
    </r>
    <r>
      <rPr>
        <sz val="12"/>
        <color rgb="FF000000"/>
        <rFont val="Calibri"/>
      </rPr>
      <t>了市场，以寻找吸引客户的方法。</t>
    </r>
  </si>
  <si>
    <t>Trong cuộc họp, chúng tôi đã cùng nhau phân tích thị trường để tìm hướng tiếp cận khách hàng.</t>
  </si>
  <si>
    <t>H5_B16_BG-21.png</t>
  </si>
  <si>
    <t>现象</t>
  </si>
  <si>
    <t>&lt;ruby&gt;现象&lt;rt&gt;xiànxiàng&lt;/rt&gt;&lt;/ruby&gt;</t>
  </si>
  <si>
    <t>xiànxiàng</t>
  </si>
  <si>
    <t>hiện tượng</t>
  </si>
  <si>
    <r>
      <rPr>
        <sz val="12"/>
        <color rgb="FF000000"/>
        <rFont val="Calibri"/>
      </rPr>
      <t>雨后的彩虹是一种美丽的自然</t>
    </r>
    <r>
      <rPr>
        <b/>
        <sz val="12"/>
        <color rgb="FF000000"/>
        <rFont val="Calibri"/>
      </rPr>
      <t>现象</t>
    </r>
    <r>
      <rPr>
        <sz val="12"/>
        <color rgb="FF000000"/>
        <rFont val="Calibri"/>
      </rPr>
      <t>。</t>
    </r>
  </si>
  <si>
    <t>Cầu vồng sau mưa là một hiện tượng tự nhiên đẹp.</t>
  </si>
  <si>
    <t>H5_B16_BG-22.png</t>
  </si>
  <si>
    <t>模式</t>
  </si>
  <si>
    <t>&lt;ruby&gt;模式&lt;rt&gt;móshì&lt;/rt&gt;&lt;/ruby&gt;</t>
  </si>
  <si>
    <t>móshì</t>
  </si>
  <si>
    <t>kiểu, mô hình</t>
  </si>
  <si>
    <r>
      <rPr>
        <sz val="12"/>
        <color rgb="FF000000"/>
        <rFont val="Calibri"/>
      </rPr>
      <t>这种学习</t>
    </r>
    <r>
      <rPr>
        <b/>
        <sz val="12"/>
        <color rgb="FF000000"/>
        <rFont val="Calibri"/>
      </rPr>
      <t>模式</t>
    </r>
    <r>
      <rPr>
        <sz val="12"/>
        <color rgb="FF000000"/>
        <rFont val="Calibri"/>
      </rPr>
      <t>能帮助学生更有效地掌握知识。</t>
    </r>
  </si>
  <si>
    <t>Mô hình học tập này giúp học sinh nắm bắt kiến thức hiệu quả hơn.</t>
  </si>
  <si>
    <t>H5_B16_BG-23.png</t>
  </si>
  <si>
    <t>可靠</t>
  </si>
  <si>
    <t>&lt;ruby&gt;可靠&lt;rt&gt;kěkào&lt;/rt&gt;&lt;/ruby&gt;</t>
  </si>
  <si>
    <t>kěkào</t>
  </si>
  <si>
    <t xml:space="preserve">đáng tin cậy </t>
  </si>
  <si>
    <r>
      <rPr>
        <sz val="12"/>
        <color rgb="FF000000"/>
        <rFont val="Calibri"/>
      </rPr>
      <t>这个品牌的产品非常</t>
    </r>
    <r>
      <rPr>
        <b/>
        <sz val="12"/>
        <color rgb="FF000000"/>
        <rFont val="Calibri"/>
      </rPr>
      <t>可靠</t>
    </r>
    <r>
      <rPr>
        <sz val="12"/>
        <color rgb="FF000000"/>
        <rFont val="Calibri"/>
      </rPr>
      <t>，很多人都推荐使用。</t>
    </r>
  </si>
  <si>
    <t>Sản phẩm của thương hiệu này rất đáng tin cậy, được nhiều người khuyên dùng.</t>
  </si>
  <si>
    <t>H5_B16_BG-24.png</t>
  </si>
  <si>
    <t>纳入</t>
  </si>
  <si>
    <t>&lt;ruby&gt;纳入&lt;rt&gt;nàrù&lt;/rt&gt;&lt;/ruby&gt;</t>
  </si>
  <si>
    <t>nàrù</t>
  </si>
  <si>
    <t xml:space="preserve">đưa vào </t>
  </si>
  <si>
    <r>
      <rPr>
        <sz val="12"/>
        <color rgb="FF000000"/>
        <rFont val="Calibri"/>
      </rPr>
      <t>这项新技术将被</t>
    </r>
    <r>
      <rPr>
        <b/>
        <sz val="12"/>
        <color rgb="FF000000"/>
        <rFont val="Calibri"/>
      </rPr>
      <t>纳入</t>
    </r>
    <r>
      <rPr>
        <sz val="12"/>
        <color rgb="FF000000"/>
        <rFont val="Calibri"/>
      </rPr>
      <t>我们的生产流程，以提高效率。</t>
    </r>
  </si>
  <si>
    <t>Công nghệ mới này sẽ được đưa vào quy trình sản xuất của chúng tôi để nâng cao hiệu quả.</t>
  </si>
  <si>
    <t>H5_B16_BG-25.png</t>
  </si>
  <si>
    <t>跟踪</t>
  </si>
  <si>
    <t>&lt;ruby&gt;跟踪&lt;rt&gt;gēnzōng&lt;/rt&gt;&lt;/ruby&gt;</t>
  </si>
  <si>
    <t>gēnzōng</t>
  </si>
  <si>
    <t xml:space="preserve">theo dõi, theo sát </t>
  </si>
  <si>
    <r>
      <rPr>
        <sz val="12"/>
        <color rgb="FF000000"/>
        <rFont val="Calibri"/>
      </rPr>
      <t>我们可以通过数据分析来</t>
    </r>
    <r>
      <rPr>
        <b/>
        <sz val="12"/>
        <color rgb="FF000000"/>
        <rFont val="Calibri"/>
      </rPr>
      <t>跟踪</t>
    </r>
    <r>
      <rPr>
        <sz val="12"/>
        <color rgb="FF000000"/>
        <rFont val="Calibri"/>
      </rPr>
      <t>项目的进展。</t>
    </r>
  </si>
  <si>
    <t>Chúng ta có thể theo dõi tiến độ dự án thông qua phân tích dữ liệu.</t>
  </si>
  <si>
    <t>H5_B16_BG-26.png</t>
  </si>
  <si>
    <t>明显</t>
  </si>
  <si>
    <t>&lt;ruby&gt;明显&lt;rt&gt;míngxiăn&lt;/rt&gt;&lt;/ruby&gt;</t>
  </si>
  <si>
    <t>míngxiăn</t>
  </si>
  <si>
    <t>rõ ràng, nổi bật</t>
  </si>
  <si>
    <r>
      <rPr>
        <sz val="12"/>
        <color rgb="FF000000"/>
        <rFont val="Calibri"/>
      </rPr>
      <t>天气变冷了，气温</t>
    </r>
    <r>
      <rPr>
        <b/>
        <sz val="12"/>
        <color rgb="FF000000"/>
        <rFont val="Calibri"/>
      </rPr>
      <t>明显</t>
    </r>
    <r>
      <rPr>
        <sz val="12"/>
        <color rgb="FF000000"/>
        <rFont val="Calibri"/>
      </rPr>
      <t>下降。</t>
    </r>
  </si>
  <si>
    <t>Thời tiết trở nên lạnh hơn, nhiệt độ giảm rõ rệt.</t>
  </si>
  <si>
    <t>H5_B16_BG-27.png</t>
  </si>
  <si>
    <t>趋势</t>
  </si>
  <si>
    <t>&lt;ruby&gt;趋势&lt;rt&gt;qūshì&lt;/rt&gt;&lt;/ruby&gt;</t>
  </si>
  <si>
    <t>qūshì</t>
  </si>
  <si>
    <t>xu hướng, chiều hướng</t>
  </si>
  <si>
    <r>
      <rPr>
        <sz val="12"/>
        <color rgb="FF000000"/>
        <rFont val="Calibri"/>
      </rPr>
      <t>近年来，健康饮食的</t>
    </r>
    <r>
      <rPr>
        <b/>
        <sz val="12"/>
        <color rgb="FF000000"/>
        <rFont val="Calibri"/>
      </rPr>
      <t>趋势</t>
    </r>
    <r>
      <rPr>
        <sz val="12"/>
        <color rgb="FF000000"/>
        <rFont val="Calibri"/>
      </rPr>
      <t>越来越受到人们的关注。</t>
    </r>
  </si>
  <si>
    <t>Trong những năm gần đây, xu hướng ăn uống lành mạnh ngày càng được mọi người chú ý nhiều hơn.</t>
  </si>
  <si>
    <t>H5_B16_BG-28.png</t>
  </si>
  <si>
    <t>升</t>
  </si>
  <si>
    <t>&lt;ruby&gt;升&lt;rt&gt;shēng&lt;/rt&gt;&lt;/ruby&gt;</t>
  </si>
  <si>
    <t>lên cao</t>
  </si>
  <si>
    <r>
      <rPr>
        <sz val="12"/>
        <color rgb="FF000000"/>
        <rFont val="Calibri"/>
      </rPr>
      <t>把旗帜</t>
    </r>
    <r>
      <rPr>
        <b/>
        <sz val="12"/>
        <color rgb="FF000000"/>
        <rFont val="Calibri"/>
      </rPr>
      <t>升</t>
    </r>
    <r>
      <rPr>
        <sz val="12"/>
        <color rgb="FF000000"/>
        <rFont val="Calibri"/>
      </rPr>
      <t>起来。</t>
    </r>
  </si>
  <si>
    <t>Treo cờ lên cao đi.</t>
  </si>
  <si>
    <t>H5_B16_BG-29.png</t>
  </si>
  <si>
    <t>相对</t>
  </si>
  <si>
    <t>&lt;ruby&gt;相对&lt;rt&gt;xiāngduì&lt;/rt&gt;&lt;/ruby&gt;</t>
  </si>
  <si>
    <t>xiāngduì</t>
  </si>
  <si>
    <t xml:space="preserve">tương đối </t>
  </si>
  <si>
    <r>
      <rPr>
        <sz val="12"/>
        <color rgb="FF000000"/>
        <rFont val="Calibri"/>
      </rPr>
      <t>今天的天气</t>
    </r>
    <r>
      <rPr>
        <b/>
        <sz val="12"/>
        <color rgb="FF000000"/>
        <rFont val="Calibri"/>
      </rPr>
      <t>相对</t>
    </r>
    <r>
      <rPr>
        <sz val="12"/>
        <color rgb="FF000000"/>
        <rFont val="Calibri"/>
      </rPr>
      <t>温暖。</t>
    </r>
  </si>
  <si>
    <t>Thời tiết hôm nay tương đối ấm áp.</t>
  </si>
  <si>
    <t>H5_B16_BG-30.png</t>
  </si>
  <si>
    <t>节食</t>
  </si>
  <si>
    <t>&lt;ruby&gt;节食&lt;rt&gt;jiéshí&lt;/rt&gt;&lt;/ruby&gt;</t>
  </si>
  <si>
    <t>jiéshí</t>
  </si>
  <si>
    <t>ăn kiêng</t>
  </si>
  <si>
    <r>
      <rPr>
        <sz val="12"/>
        <color rgb="FF000000"/>
        <rFont val="Calibri"/>
      </rPr>
      <t>她最近开始</t>
    </r>
    <r>
      <rPr>
        <b/>
        <sz val="12"/>
        <color rgb="FF000000"/>
        <rFont val="Calibri"/>
      </rPr>
      <t>节食</t>
    </r>
    <r>
      <rPr>
        <sz val="12"/>
        <color rgb="FF000000"/>
        <rFont val="Calibri"/>
      </rPr>
      <t>，已经减掉了几公斤。</t>
    </r>
  </si>
  <si>
    <t>Cô ấy gần đây đã bắt đầu ăn kiêng và đã giảm được vài kilogram.</t>
  </si>
  <si>
    <t>H5_B16_BG-31.png</t>
  </si>
  <si>
    <t>苗条</t>
  </si>
  <si>
    <t>&lt;ruby&gt;苗条&lt;rt&gt;miáotiáo&lt;/rt&gt;&lt;/ruby&gt;</t>
  </si>
  <si>
    <t>miáotiáo</t>
  </si>
  <si>
    <t>thon thả, mảnh khảnh</t>
  </si>
  <si>
    <r>
      <rPr>
        <sz val="12"/>
        <color rgb="FF000000"/>
        <rFont val="Calibri"/>
      </rPr>
      <t>她的身材很</t>
    </r>
    <r>
      <rPr>
        <b/>
        <sz val="12"/>
        <color rgb="FF000000"/>
        <rFont val="Calibri"/>
      </rPr>
      <t>苗条</t>
    </r>
    <r>
      <rPr>
        <sz val="12"/>
        <color rgb="FF000000"/>
        <rFont val="Calibri"/>
      </rPr>
      <t>，穿什么都很漂亮。</t>
    </r>
  </si>
  <si>
    <t>Dáng vóc của cô ấy rất thon thả, mặc gì cũng đều rất đẹp.</t>
  </si>
  <si>
    <t>H5_B16_BG-32.png</t>
  </si>
  <si>
    <t>B16_32.mp3</t>
  </si>
  <si>
    <t>B16_VD_32.mp3</t>
  </si>
  <si>
    <t>营养</t>
  </si>
  <si>
    <t>&lt;ruby&gt;营养&lt;rt&gt;yíngyǎng&lt;/rt&gt;&lt;/ruby&gt;</t>
  </si>
  <si>
    <t>yíngyǎng</t>
  </si>
  <si>
    <t>chất dinh dưỡng</t>
  </si>
  <si>
    <r>
      <rPr>
        <sz val="12"/>
        <color rgb="FF000000"/>
        <rFont val="Calibri"/>
      </rPr>
      <t>水果含有丰富的</t>
    </r>
    <r>
      <rPr>
        <b/>
        <sz val="12"/>
        <color rgb="FF000000"/>
        <rFont val="Calibri"/>
      </rPr>
      <t>营养</t>
    </r>
    <r>
      <rPr>
        <sz val="12"/>
        <color rgb="FF000000"/>
        <rFont val="Calibri"/>
      </rPr>
      <t>，对身体有益。</t>
    </r>
  </si>
  <si>
    <t>Trái cây chứa nhiều chất dinh dưỡng, có lợi cho cơ thể.</t>
  </si>
  <si>
    <t>H5_B16_BG-33.png</t>
  </si>
  <si>
    <t>B16_33.mp3</t>
  </si>
  <si>
    <t>B16_VD_33.mp3</t>
  </si>
  <si>
    <t>摄入</t>
  </si>
  <si>
    <t>&lt;ruby&gt;摄入&lt;rt&gt;shè rù&lt;/rt&gt;&lt;/ruby&gt;</t>
  </si>
  <si>
    <t>shè rù</t>
  </si>
  <si>
    <t xml:space="preserve">hấp thu </t>
  </si>
  <si>
    <r>
      <rPr>
        <sz val="12"/>
        <color rgb="FF000000"/>
        <rFont val="Calibri"/>
      </rPr>
      <t>每天</t>
    </r>
    <r>
      <rPr>
        <b/>
        <sz val="12"/>
        <color rgb="FF000000"/>
        <rFont val="Calibri"/>
      </rPr>
      <t>摄入</t>
    </r>
    <r>
      <rPr>
        <sz val="12"/>
        <color rgb="FF000000"/>
        <rFont val="Calibri"/>
      </rPr>
      <t>足够的水分对身体健康很重要。</t>
    </r>
  </si>
  <si>
    <t>Việc hấp thu đủ nước mỗi ngày rất quan trọng đối với sức khỏe cơ thể.</t>
  </si>
  <si>
    <t>H5_B16_BG-34.png</t>
  </si>
  <si>
    <t>B16_34.mp3</t>
  </si>
  <si>
    <t>B16_VD_34.mp3</t>
  </si>
  <si>
    <t>波动</t>
  </si>
  <si>
    <t>&lt;ruby&gt;波动&lt;rt&gt;bōdòng&lt;/rt&gt;&lt;/ruby&gt;</t>
  </si>
  <si>
    <t>bōdòng</t>
  </si>
  <si>
    <t xml:space="preserve">dao động, nhấp nhô </t>
  </si>
  <si>
    <r>
      <rPr>
        <sz val="12"/>
        <color rgb="FF000000"/>
        <rFont val="Calibri"/>
      </rPr>
      <t>这个城市的房价</t>
    </r>
    <r>
      <rPr>
        <b/>
        <sz val="12"/>
        <color rgb="FF000000"/>
        <rFont val="Calibri"/>
      </rPr>
      <t>波动</t>
    </r>
    <r>
      <rPr>
        <sz val="12"/>
        <color rgb="FF000000"/>
        <rFont val="Calibri"/>
      </rPr>
      <t>很大，购房者需要小心。</t>
    </r>
  </si>
  <si>
    <t>Giá nhà ở thành phố này dao động rất lớn, những người mua nhà cần phải thận trọng.</t>
  </si>
  <si>
    <t>H5_B16_BG-35.png</t>
  </si>
  <si>
    <t>B16_35.mp3</t>
  </si>
  <si>
    <t>B16_VD_35.mp3</t>
  </si>
  <si>
    <t>类型</t>
  </si>
  <si>
    <t>&lt;ruby&gt;类型&lt;rt&gt;lèixíng&lt;/rt&gt;&lt;/ruby&gt;</t>
  </si>
  <si>
    <t>lèixíng</t>
  </si>
  <si>
    <t xml:space="preserve">loại </t>
  </si>
  <si>
    <r>
      <rPr>
        <sz val="12"/>
        <color rgb="FF000000"/>
        <rFont val="Calibri"/>
      </rPr>
      <t>这家店有很多不同</t>
    </r>
    <r>
      <rPr>
        <b/>
        <sz val="12"/>
        <color rgb="FF000000"/>
        <rFont val="Calibri"/>
      </rPr>
      <t>类型</t>
    </r>
    <r>
      <rPr>
        <sz val="12"/>
        <color rgb="FF000000"/>
        <rFont val="Calibri"/>
      </rPr>
      <t>的商品。</t>
    </r>
  </si>
  <si>
    <t>Cửa hàng này có rất nhiều loại sản phẩm khác nhau.</t>
  </si>
  <si>
    <t>H5_B16_BG-36.png</t>
  </si>
  <si>
    <t>B16_36.mp3</t>
  </si>
  <si>
    <t>B16_VD_36.mp3</t>
  </si>
  <si>
    <t>清晰</t>
  </si>
  <si>
    <t>&lt;ruby&gt;清晰&lt;rt&gt;qīngxī&lt;/rt&gt;&lt;/ruby&gt;</t>
  </si>
  <si>
    <t>qīngxī</t>
  </si>
  <si>
    <t xml:space="preserve">rõ ràng, rõ rệt </t>
  </si>
  <si>
    <r>
      <rPr>
        <sz val="10"/>
        <color rgb="FF0E0E0E"/>
        <rFont val="Calibri"/>
      </rPr>
      <t>通过这张地图，我们可以</t>
    </r>
    <r>
      <rPr>
        <b/>
        <sz val="10"/>
        <color rgb="FF0E0E0E"/>
        <rFont val="Calibri"/>
      </rPr>
      <t>清晰</t>
    </r>
    <r>
      <rPr>
        <sz val="10"/>
        <color rgb="FF0E0E0E"/>
        <rFont val="Calibri"/>
      </rPr>
      <t>地找到目的地。</t>
    </r>
  </si>
  <si>
    <t>Thông qua bản đồ này, chúng ta có thể tìm thấy đích đến một cách rõ ràng.</t>
  </si>
  <si>
    <t>H5_B16_BG-37.png</t>
  </si>
  <si>
    <t>B16_37.mp3</t>
  </si>
  <si>
    <t>B16_VD_37.mp3</t>
  </si>
  <si>
    <t>补偿</t>
  </si>
  <si>
    <t>&lt;ruby&gt;补偿&lt;rt&gt;bǔcháng&lt;/rt&gt;&lt;/ruby&gt;</t>
  </si>
  <si>
    <t>bǔcháng</t>
  </si>
  <si>
    <t>đền bù, bổ khuyết</t>
  </si>
  <si>
    <r>
      <rPr>
        <sz val="12"/>
        <color rgb="FF000000"/>
        <rFont val="Calibri"/>
      </rPr>
      <t>这次旅行的美景已经</t>
    </r>
    <r>
      <rPr>
        <b/>
        <sz val="12"/>
        <color rgb="FF000000"/>
        <rFont val="Calibri"/>
      </rPr>
      <t>补偿</t>
    </r>
    <r>
      <rPr>
        <sz val="12"/>
        <color rgb="FF000000"/>
        <rFont val="Calibri"/>
      </rPr>
      <t>了我们路上的辛苦。</t>
    </r>
  </si>
  <si>
    <t>Phong cảnh tuyệt đẹp trong chuyến đi này đã bù đắp cho những vất vả trên đường.</t>
  </si>
  <si>
    <t>H5_B16_BG-38.png</t>
  </si>
  <si>
    <t>B16_38.mp3</t>
  </si>
  <si>
    <t>B16_VD_38.mp3</t>
  </si>
  <si>
    <t>就餐</t>
  </si>
  <si>
    <t>&lt;ruby&gt;就餐&lt;rt&gt;jiùcān&lt;/rt&gt;&lt;/ruby&gt;</t>
  </si>
  <si>
    <t>jiùcān</t>
  </si>
  <si>
    <t xml:space="preserve">đi ăn </t>
  </si>
  <si>
    <r>
      <rPr>
        <sz val="12"/>
        <color rgb="FF000000"/>
        <rFont val="Calibri"/>
      </rPr>
      <t>我们在一家日本餐厅</t>
    </r>
    <r>
      <rPr>
        <b/>
        <sz val="12"/>
        <color rgb="FF000000"/>
        <rFont val="Calibri"/>
      </rPr>
      <t>就餐</t>
    </r>
    <r>
      <rPr>
        <sz val="12"/>
        <color rgb="FF000000"/>
        <rFont val="Calibri"/>
      </rPr>
      <t>，食物非常美味。</t>
    </r>
  </si>
  <si>
    <t>Chúng tôi đi ăn tại nhà hàng Nhật Bản, đồ ăn rất ngon.</t>
  </si>
  <si>
    <t>H5_B16_BG-39.png</t>
  </si>
  <si>
    <t>B16_39.mp3</t>
  </si>
  <si>
    <t>B16_VD_39.mp3</t>
  </si>
  <si>
    <t>放纵</t>
  </si>
  <si>
    <t>&lt;ruby&gt;放纵&lt;rt&gt;fàngzòng&lt;/rt&gt;&lt;/ruby&gt;</t>
  </si>
  <si>
    <t>fàngzòng</t>
  </si>
  <si>
    <t>buông thả, không kiểm soát</t>
  </si>
  <si>
    <r>
      <rPr>
        <sz val="12"/>
        <color rgb="FF000000"/>
        <rFont val="Calibri"/>
      </rPr>
      <t>他常常</t>
    </r>
    <r>
      <rPr>
        <b/>
        <sz val="12"/>
        <color rgb="FF000000"/>
        <rFont val="Calibri"/>
      </rPr>
      <t>放纵</t>
    </r>
    <r>
      <rPr>
        <sz val="12"/>
        <color rgb="FF000000"/>
        <rFont val="Calibri"/>
      </rPr>
      <t>自己，做一些对身体不好不健康的事情。</t>
    </r>
  </si>
  <si>
    <t>Anh ấy thường xuyên buông thả bản thân, làm những điều không tốt cho sức khỏe.</t>
  </si>
  <si>
    <t>H5_B16_BG-40.png</t>
  </si>
  <si>
    <t>B16_40.mp3</t>
  </si>
  <si>
    <t>B16_VD_40.mp3</t>
  </si>
  <si>
    <t>cân</t>
  </si>
  <si>
    <r>
      <rPr>
        <sz val="12"/>
        <color rgb="FF000000"/>
        <rFont val="Calibri"/>
      </rPr>
      <t>她</t>
    </r>
    <r>
      <rPr>
        <b/>
        <sz val="12"/>
        <color rgb="FF000000"/>
        <rFont val="Calibri"/>
      </rPr>
      <t>称</t>
    </r>
    <r>
      <rPr>
        <sz val="12"/>
        <color rgb="FF000000"/>
        <rFont val="Calibri"/>
      </rPr>
      <t>了体重，发现自己增加了体重。</t>
    </r>
  </si>
  <si>
    <t>Cô ấy cân trọng lượng của mình và phát hiện ra mình đã bị tăng cân.</t>
  </si>
  <si>
    <t>H5_B16_BG-41.png</t>
  </si>
  <si>
    <t>B16_41.mp3</t>
  </si>
  <si>
    <t>B16_VD_41.mp3</t>
  </si>
  <si>
    <t>服装</t>
  </si>
  <si>
    <t>&lt;ruby&gt;服装&lt;rt&gt;fúzhuāng&lt;/rt&gt;&lt;/ruby&gt;</t>
  </si>
  <si>
    <t>fúzhuāng</t>
  </si>
  <si>
    <t>trang phục</t>
  </si>
  <si>
    <r>
      <rPr>
        <sz val="10"/>
        <color theme="1"/>
        <rFont val="Calibri"/>
      </rPr>
      <t>这家店有很多时尚的服装，吸引了许多</t>
    </r>
    <r>
      <rPr>
        <b/>
        <sz val="10"/>
        <color theme="1"/>
        <rFont val="Calibri"/>
      </rPr>
      <t>顾客</t>
    </r>
    <r>
      <rPr>
        <sz val="10"/>
        <color theme="1"/>
        <rFont val="Calibri"/>
      </rPr>
      <t>。</t>
    </r>
  </si>
  <si>
    <t>Cửa hàng này có nhiều kiểu trang phục rất thời trang, thu hút được nhiều khách hàng.</t>
  </si>
  <si>
    <t>H5_B17_BG-01.png</t>
  </si>
  <si>
    <t>婚礼</t>
  </si>
  <si>
    <t>&lt;ruby&gt;婚礼&lt;rt&gt;hūnlǐ&lt;/rt&gt;&lt;/ruby&gt;</t>
  </si>
  <si>
    <t>hūnlǐ</t>
  </si>
  <si>
    <t>lễ cưới</t>
  </si>
  <si>
    <r>
      <rPr>
        <sz val="10"/>
        <color theme="1"/>
        <rFont val="Calibri"/>
      </rPr>
      <t>他们的</t>
    </r>
    <r>
      <rPr>
        <b/>
        <sz val="10"/>
        <color theme="1"/>
        <rFont val="Calibri"/>
      </rPr>
      <t>婚礼</t>
    </r>
    <r>
      <rPr>
        <sz val="10"/>
        <color theme="1"/>
        <rFont val="Calibri"/>
      </rPr>
      <t>是在户外举行的，非常浪漫。</t>
    </r>
  </si>
  <si>
    <t xml:space="preserve"> Lễ cưới của họ được tổ chức ngoài trời, rất lãng mạn.</t>
  </si>
  <si>
    <t>H5_B17_BG-02.png</t>
  </si>
  <si>
    <t>美术</t>
  </si>
  <si>
    <t>&lt;ruby&gt;美术&lt;rt&gt;měishù&lt;/rt&gt;&lt;/ruby&gt;</t>
  </si>
  <si>
    <t>měishù</t>
  </si>
  <si>
    <t xml:space="preserve">nghệ thuật tạo hình </t>
  </si>
  <si>
    <r>
      <rPr>
        <sz val="10"/>
        <color theme="1"/>
        <rFont val="Calibri"/>
      </rPr>
      <t>她从小就对</t>
    </r>
    <r>
      <rPr>
        <b/>
        <sz val="10"/>
        <color theme="1"/>
        <rFont val="Calibri"/>
      </rPr>
      <t>美术</t>
    </r>
    <r>
      <rPr>
        <sz val="10"/>
        <color theme="1"/>
        <rFont val="Calibri"/>
      </rPr>
      <t>很感兴趣，经常去艺术博物馆看展览。</t>
    </r>
  </si>
  <si>
    <t>Cô ấy từ nhỏ đã rất quan tâm đến nghệ thuật tạo hình và thường xuyên đến bảo tàng nghệ thuật để xem triển lãm.</t>
  </si>
  <si>
    <t>H5_B17_BG-03.png</t>
  </si>
  <si>
    <t>魅力</t>
  </si>
  <si>
    <t>&lt;ruby&gt;魅力&lt;rt&gt;mèilì&lt;/rt&gt;&lt;/ruby&gt;</t>
  </si>
  <si>
    <t>mèilì</t>
  </si>
  <si>
    <t xml:space="preserve">sức hấp dẫn </t>
  </si>
  <si>
    <r>
      <rPr>
        <sz val="10"/>
        <color theme="1"/>
        <rFont val="Calibri"/>
      </rPr>
      <t>夜晚的城市灯光闪烁，展现出无穷的</t>
    </r>
    <r>
      <rPr>
        <b/>
        <sz val="10"/>
        <color theme="1"/>
        <rFont val="Calibri"/>
      </rPr>
      <t>魅力</t>
    </r>
    <r>
      <rPr>
        <sz val="10"/>
        <color theme="1"/>
        <rFont val="Calibri"/>
      </rPr>
      <t>。</t>
    </r>
  </si>
  <si>
    <t>Buổi tối, ánh đèn thành phố lấp lánh, thể hiện sức hấp dẫn vô tận.</t>
  </si>
  <si>
    <t>H5_B17_BG-04.png</t>
  </si>
  <si>
    <t>评价</t>
  </si>
  <si>
    <t>&lt;ruby&gt;评价&lt;rt&gt;píngjià&lt;/rt&gt;&lt;/ruby&gt;</t>
  </si>
  <si>
    <t>píngjià</t>
  </si>
  <si>
    <t xml:space="preserve">đánh giá; sự đánh giá </t>
  </si>
  <si>
    <r>
      <rPr>
        <sz val="10"/>
        <color theme="1"/>
        <rFont val="Calibri"/>
      </rPr>
      <t>他的作品获得了许多艺术评论家的高度</t>
    </r>
    <r>
      <rPr>
        <b/>
        <sz val="10"/>
        <color theme="1"/>
        <rFont val="Calibri"/>
      </rPr>
      <t>评价</t>
    </r>
    <r>
      <rPr>
        <sz val="10"/>
        <color theme="1"/>
        <rFont val="Calibri"/>
      </rPr>
      <t>。</t>
    </r>
  </si>
  <si>
    <t>Tác phẩm của anh ấy nhận được nhiều lời khen từ các nhà phê bình nghệ thuật.</t>
  </si>
  <si>
    <t>H5_B17_BG-05.png</t>
  </si>
  <si>
    <t>戏剧</t>
  </si>
  <si>
    <t>&lt;ruby&gt;戏剧&lt;rt&gt;xìjù&lt;/rt&gt;&lt;/ruby&gt;</t>
  </si>
  <si>
    <t>xìjù</t>
  </si>
  <si>
    <t>kịch, vở tuồng</t>
  </si>
  <si>
    <r>
      <rPr>
        <sz val="10"/>
        <color theme="1"/>
        <rFont val="Calibri"/>
      </rPr>
      <t>这是一个关于历史事件的</t>
    </r>
    <r>
      <rPr>
        <b/>
        <sz val="10"/>
        <color theme="1"/>
        <rFont val="Calibri"/>
      </rPr>
      <t>戏剧</t>
    </r>
    <r>
      <rPr>
        <sz val="10"/>
        <color theme="1"/>
        <rFont val="Calibri"/>
      </rPr>
      <t>。</t>
    </r>
  </si>
  <si>
    <t>Đây là một vở kịch lịch sử.</t>
  </si>
  <si>
    <t>H5_B17_BG-06.png</t>
  </si>
  <si>
    <t>主持</t>
  </si>
  <si>
    <t>&lt;ruby&gt;主持&lt;rt&gt;zhǔchí&lt;/rt&gt;&lt;/ruby&gt;</t>
  </si>
  <si>
    <t>zhǔchí</t>
  </si>
  <si>
    <t>chủ trì; ngưòi chủ trì</t>
  </si>
  <si>
    <r>
      <rPr>
        <sz val="10"/>
        <color theme="1"/>
        <rFont val="Calibri"/>
      </rPr>
      <t>今天的会议由他</t>
    </r>
    <r>
      <rPr>
        <b/>
        <sz val="10"/>
        <color theme="1"/>
        <rFont val="Calibri"/>
      </rPr>
      <t>主持</t>
    </r>
    <r>
      <rPr>
        <sz val="10"/>
        <color theme="1"/>
        <rFont val="Calibri"/>
      </rPr>
      <t>，会议进行得非常顺利。</t>
    </r>
  </si>
  <si>
    <t>Cuộc họp hôm nay do anh ấy chủ trì, cuộc họp diễn ra rất suôn sẻ.</t>
  </si>
  <si>
    <t>H5_B17_BG-07.png</t>
  </si>
  <si>
    <t>高峰</t>
  </si>
  <si>
    <t>&lt;ruby&gt;高峰&lt;rt&gt;gāofēng&lt;/rt&gt;&lt;/ruby&gt;</t>
  </si>
  <si>
    <t>gāofēng</t>
  </si>
  <si>
    <t xml:space="preserve">cao điểm, đỉnh cao </t>
  </si>
  <si>
    <r>
      <rPr>
        <sz val="10"/>
        <color theme="1"/>
        <rFont val="Calibri"/>
      </rPr>
      <t>早晚的交通</t>
    </r>
    <r>
      <rPr>
        <b/>
        <sz val="10"/>
        <color theme="1"/>
        <rFont val="Calibri"/>
      </rPr>
      <t>高峰</t>
    </r>
    <r>
      <rPr>
        <sz val="10"/>
        <color theme="1"/>
        <rFont val="Calibri"/>
      </rPr>
      <t>时间，路上总是很堵。</t>
    </r>
  </si>
  <si>
    <t>Vào giờ cao điểm sáng và tối, đường phố luôn rất tắc nghẽn.</t>
  </si>
  <si>
    <t>H5_B17_BG-08.png</t>
  </si>
  <si>
    <t>化妆</t>
  </si>
  <si>
    <t>&lt;ruby&gt;化妆&lt;rt&gt;huàzhuāng&lt;/rt&gt;&lt;/ruby&gt;</t>
  </si>
  <si>
    <t>huàzhuāng</t>
  </si>
  <si>
    <t xml:space="preserve">trang điểm </t>
  </si>
  <si>
    <r>
      <rPr>
        <sz val="10"/>
        <color theme="1"/>
        <rFont val="Calibri"/>
      </rPr>
      <t>女孩们通常都喜欢</t>
    </r>
    <r>
      <rPr>
        <b/>
        <sz val="10"/>
        <color theme="1"/>
        <rFont val="Calibri"/>
      </rPr>
      <t>化妆</t>
    </r>
    <r>
      <rPr>
        <sz val="10"/>
        <color theme="1"/>
        <rFont val="Calibri"/>
      </rPr>
      <t>，让自己看起来更漂亮。</t>
    </r>
  </si>
  <si>
    <t>Các cô gái đều thích trang điểm.</t>
  </si>
  <si>
    <t>H5_B17_BG-09.png</t>
  </si>
  <si>
    <t>道具</t>
  </si>
  <si>
    <t>&lt;ruby&gt;道具&lt;rt&gt;dàojù&lt;/rt&gt;&lt;/ruby&gt;</t>
  </si>
  <si>
    <t>dàojù</t>
  </si>
  <si>
    <t>đạo cụ</t>
  </si>
  <si>
    <r>
      <rPr>
        <sz val="10"/>
        <color theme="1"/>
        <rFont val="Calibri"/>
      </rPr>
      <t>在化妆舞会上，很多人准备了创意的</t>
    </r>
    <r>
      <rPr>
        <b/>
        <sz val="10"/>
        <color theme="1"/>
        <rFont val="Calibri"/>
      </rPr>
      <t>道具</t>
    </r>
    <r>
      <rPr>
        <sz val="10"/>
        <color theme="1"/>
        <rFont val="Calibri"/>
      </rPr>
      <t>和服装。</t>
    </r>
  </si>
  <si>
    <t>Trong buổi tiệc hóa trang, nhiều người tham gia đã chuẩn bị đạo cụ và trang phục sáng tạo.</t>
  </si>
  <si>
    <t>H5_B17_BG-10.png</t>
  </si>
  <si>
    <t>开幕式</t>
  </si>
  <si>
    <t>&lt;ruby&gt;开幕式&lt;rt&gt;kāimù shì&lt;/rt&gt;&lt;/ruby&gt;</t>
  </si>
  <si>
    <t>kāimù shì</t>
  </si>
  <si>
    <t xml:space="preserve">lễ khai mạc </t>
  </si>
  <si>
    <r>
      <rPr>
        <sz val="10"/>
        <color theme="1"/>
        <rFont val="Calibri"/>
      </rPr>
      <t>明天的</t>
    </r>
    <r>
      <rPr>
        <b/>
        <sz val="10"/>
        <color theme="1"/>
        <rFont val="Calibri"/>
      </rPr>
      <t>开幕式</t>
    </r>
    <r>
      <rPr>
        <sz val="10"/>
        <color theme="1"/>
        <rFont val="Calibri"/>
      </rPr>
      <t>将邀请许多知名的艺术家和演员参加。</t>
    </r>
  </si>
  <si>
    <t>Lễ khai mạc ngày mai sẽ mời nhiều nghệ sĩ và diễn viên nổi tiếng tham gia.</t>
  </si>
  <si>
    <t>H5_B17_BG-11.png</t>
  </si>
  <si>
    <t>等于</t>
  </si>
  <si>
    <t>&lt;ruby&gt;等于&lt;rt&gt;děngyú&lt;/rt&gt;&lt;/ruby&gt;</t>
  </si>
  <si>
    <t>děngyú</t>
  </si>
  <si>
    <t>bằng</t>
  </si>
  <si>
    <r>
      <rPr>
        <sz val="10"/>
        <color rgb="FF0E0E0E"/>
        <rFont val="Calibri"/>
      </rPr>
      <t>五加五</t>
    </r>
    <r>
      <rPr>
        <b/>
        <sz val="10"/>
        <color rgb="FF0E0E0E"/>
        <rFont val="Calibri"/>
      </rPr>
      <t>等于</t>
    </r>
    <r>
      <rPr>
        <sz val="10"/>
        <color rgb="FF0E0E0E"/>
        <rFont val="Calibri"/>
      </rPr>
      <t>十。</t>
    </r>
  </si>
  <si>
    <t>Năm cộng năm bằng mười.</t>
  </si>
  <si>
    <t>H5_B17_BG-12.png</t>
  </si>
  <si>
    <t>忽视</t>
  </si>
  <si>
    <t>&lt;ruby&gt;忽视&lt;rt&gt;hūshì&lt;/rt&gt;&lt;/ruby&gt;</t>
  </si>
  <si>
    <t>hūshì</t>
  </si>
  <si>
    <t>xem nhẹ, không chú ý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</si>
  <si>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忽视</t>
    </r>
    <r>
      <rPr>
        <sz val="10"/>
        <color theme="1"/>
        <rFont val="Calibri"/>
      </rPr>
      <t>了安全问题，结果发生了意外。</t>
    </r>
  </si>
  <si>
    <t>Anh ấy đã xem nhẹ vấn đề an toàn, kết quả là đã xảy ra tai nạn.</t>
  </si>
  <si>
    <t>H5_B17_BG-13.png</t>
  </si>
  <si>
    <t>集中</t>
  </si>
  <si>
    <t>&lt;ruby&gt;集中&lt;rt&gt;jízhōng&lt;/rt&gt;&lt;/ruby&gt;</t>
  </si>
  <si>
    <t>jízhōng</t>
  </si>
  <si>
    <t>tập trung; chăm chú</t>
  </si>
  <si>
    <r>
      <rPr>
        <sz val="10"/>
        <color theme="1"/>
        <rFont val="Calibri"/>
      </rPr>
      <t>为了成功完成项目，团队成员需要</t>
    </r>
    <r>
      <rPr>
        <b/>
        <sz val="10"/>
        <color theme="1"/>
        <rFont val="Calibri"/>
      </rPr>
      <t>集中</t>
    </r>
    <r>
      <rPr>
        <sz val="10"/>
        <color theme="1"/>
        <rFont val="Calibri"/>
      </rPr>
      <t>精力，努力合作。</t>
    </r>
  </si>
  <si>
    <t>Để hoàn thành dự án thành công, các thành viên trong nhóm cần tập trung hợp tác và nỗ lực cùng nhau.</t>
  </si>
  <si>
    <t>H5_B17_BG-14.png</t>
  </si>
  <si>
    <t>良好</t>
  </si>
  <si>
    <t>&lt;ruby&gt;良好&lt;rt&gt;liánghăo&lt;/rt&gt;&lt;/ruby&gt;</t>
  </si>
  <si>
    <t>liánghăo</t>
  </si>
  <si>
    <t>tốt đẹp, tốt</t>
  </si>
  <si>
    <r>
      <rPr>
        <sz val="10"/>
        <color rgb="FF0E0E0E"/>
        <rFont val="Calibri"/>
      </rPr>
      <t>我们之间的关系一直保持</t>
    </r>
    <r>
      <rPr>
        <b/>
        <sz val="10"/>
        <color rgb="FF0E0E0E"/>
        <rFont val="Calibri"/>
      </rPr>
      <t>良好</t>
    </r>
    <r>
      <rPr>
        <sz val="10"/>
        <color rgb="FF0E0E0E"/>
        <rFont val="Calibri"/>
      </rPr>
      <t>。</t>
    </r>
  </si>
  <si>
    <t>Quan hệ giữa chúng tôi luôn duy trì rất tốt đẹp.</t>
  </si>
  <si>
    <t>H5_B17_BG-15.png</t>
  </si>
  <si>
    <t>平常</t>
  </si>
  <si>
    <t>&lt;ruby&gt;平常&lt;rt&gt;píngcháng&lt;/rt&gt;&lt;/ruby&gt;</t>
  </si>
  <si>
    <t>píngcháng</t>
  </si>
  <si>
    <t>bình thường, ngày thường</t>
  </si>
  <si>
    <r>
      <rPr>
        <sz val="10"/>
        <color theme="1"/>
        <rFont val="Calibri"/>
      </rPr>
      <t>我</t>
    </r>
    <r>
      <rPr>
        <b/>
        <sz val="10"/>
        <color theme="1"/>
        <rFont val="Calibri"/>
      </rPr>
      <t>平常</t>
    </r>
    <r>
      <rPr>
        <sz val="10"/>
        <color theme="1"/>
        <rFont val="Calibri"/>
      </rPr>
      <t>早上七点起床。</t>
    </r>
  </si>
  <si>
    <t>Bình thường, tôi thức dậy lúc 7 giờ sáng.</t>
  </si>
  <si>
    <t>H5_B17_BG-16.png</t>
  </si>
  <si>
    <t>深刻</t>
  </si>
  <si>
    <t>&lt;ruby&gt;深刻&lt;rt&gt;shēnkè&lt;/rt&gt;&lt;/ruby&gt;</t>
  </si>
  <si>
    <t>shēnkè</t>
  </si>
  <si>
    <t>sâu sắc</t>
  </si>
  <si>
    <r>
      <rPr>
        <sz val="10"/>
        <color theme="1"/>
        <rFont val="Calibri"/>
      </rPr>
      <t>她的演讲给我留下了</t>
    </r>
    <r>
      <rPr>
        <b/>
        <sz val="10"/>
        <color theme="1"/>
        <rFont val="Calibri"/>
      </rPr>
      <t>深刻</t>
    </r>
    <r>
      <rPr>
        <sz val="10"/>
        <color theme="1"/>
        <rFont val="Calibri"/>
      </rPr>
      <t>的印象。</t>
    </r>
  </si>
  <si>
    <t>Bài phát biểu của cô ấy đã để lại ấn tượng sâu sắc trong tôi.</t>
  </si>
  <si>
    <t>H5_B17_BG-17.png</t>
  </si>
  <si>
    <t>体会</t>
  </si>
  <si>
    <t>&lt;ruby&gt;体会&lt;rt&gt;tǐhuì&lt;/rt&gt;&lt;/ruby&gt;</t>
  </si>
  <si>
    <t>tǐhuì</t>
  </si>
  <si>
    <t>hiểu rõ, nhận thức rõ; nhận thức</t>
  </si>
  <si>
    <r>
      <rPr>
        <sz val="10"/>
        <color theme="1"/>
        <rFont val="Arial"/>
      </rPr>
      <t>通过每天锻炼，我</t>
    </r>
    <r>
      <rPr>
        <b/>
        <sz val="10"/>
        <color theme="1"/>
        <rFont val="Arial"/>
      </rPr>
      <t>体会</t>
    </r>
    <r>
      <rPr>
        <sz val="10"/>
        <color theme="1"/>
        <rFont val="Arial"/>
      </rPr>
      <t>到了健康的重要性。</t>
    </r>
  </si>
  <si>
    <t>Qua việc tập luyện mỗi ngày, tôi nhận ra tầm quan trọng của sức khỏe.</t>
  </si>
  <si>
    <t>H5_B17_BG-18.png</t>
  </si>
  <si>
    <t>迅速</t>
  </si>
  <si>
    <t>&lt;ruby&gt;迅速&lt;rt&gt;xùnsù&lt;/rt&gt;&lt;/ruby&gt;</t>
  </si>
  <si>
    <t>xùnsù</t>
  </si>
  <si>
    <t>nhanh chóng</t>
  </si>
  <si>
    <r>
      <rPr>
        <sz val="10"/>
        <color theme="1"/>
        <rFont val="Calibri"/>
      </rPr>
      <t>消防员</t>
    </r>
    <r>
      <rPr>
        <b/>
        <sz val="10"/>
        <color theme="1"/>
        <rFont val="Calibri"/>
      </rPr>
      <t>迅速</t>
    </r>
    <r>
      <rPr>
        <sz val="10"/>
        <color theme="1"/>
        <rFont val="Calibri"/>
      </rPr>
      <t>赶到现场，并扑灭了火灾。</t>
    </r>
  </si>
  <si>
    <t>Lính cứu hỏa đã nhanh chóng đến hiện trường và thành công dập tắt đám cháy.</t>
  </si>
  <si>
    <t>H5_B17_BG-19.png</t>
  </si>
  <si>
    <t>依然</t>
  </si>
  <si>
    <t>&lt;ruby&gt;依然&lt;rt&gt;yīrán&lt;/rt&gt;&lt;/ruby&gt;</t>
  </si>
  <si>
    <t>yīrán</t>
  </si>
  <si>
    <t>vẫn, vẫn như cũ</t>
  </si>
  <si>
    <r>
      <rPr>
        <sz val="10"/>
        <color theme="1"/>
        <rFont val="Arial"/>
      </rPr>
      <t>多年未回家乡，故乡的风景</t>
    </r>
    <r>
      <rPr>
        <b/>
        <sz val="10"/>
        <color theme="1"/>
        <rFont val="Arial"/>
      </rPr>
      <t>依然</t>
    </r>
    <r>
      <rPr>
        <sz val="10"/>
        <color theme="1"/>
        <rFont val="Arial"/>
      </rPr>
      <t>如故。</t>
    </r>
  </si>
  <si>
    <t>Nhiều năm chưa về quê, cảnh sắc quê hương vẫn như xưa.</t>
  </si>
  <si>
    <t>H5_B17_BG-20.png</t>
  </si>
  <si>
    <t>糟糕</t>
  </si>
  <si>
    <t>&lt;ruby&gt;糟糕&lt;rt&gt;zāogāo&lt;/rt&gt;&lt;/ruby&gt;</t>
  </si>
  <si>
    <t>zāogāo</t>
  </si>
  <si>
    <t>tồi tệ, hỏng bét</t>
  </si>
  <si>
    <r>
      <rPr>
        <sz val="10"/>
        <color theme="1"/>
        <rFont val="Calibri"/>
      </rPr>
      <t>我的手机掉地上摔坏了，真是太</t>
    </r>
    <r>
      <rPr>
        <b/>
        <sz val="10"/>
        <color theme="1"/>
        <rFont val="Calibri"/>
      </rPr>
      <t>糟糕</t>
    </r>
    <r>
      <rPr>
        <sz val="10"/>
        <color theme="1"/>
        <rFont val="Calibri"/>
      </rPr>
      <t>了！</t>
    </r>
  </si>
  <si>
    <t>Tôi làm rơi vỡ điện thoại, thật là tồi tệ!</t>
  </si>
  <si>
    <t>H5_B17_BG-21.png</t>
  </si>
  <si>
    <t>烂</t>
  </si>
  <si>
    <t>&lt;ruby&gt;烂&lt;rt&gt;làn&lt;/rt&gt;&lt;/ruby&gt;</t>
  </si>
  <si>
    <t>làn</t>
  </si>
  <si>
    <t>dở, tệ, thối rữa, rách nát</t>
  </si>
  <si>
    <r>
      <rPr>
        <sz val="10"/>
        <color theme="1"/>
        <rFont val="Calibri"/>
      </rPr>
      <t>这些水果都已经</t>
    </r>
    <r>
      <rPr>
        <b/>
        <sz val="10"/>
        <color theme="1"/>
        <rFont val="Calibri"/>
      </rPr>
      <t>烂</t>
    </r>
    <r>
      <rPr>
        <sz val="10"/>
        <color theme="1"/>
        <rFont val="Calibri"/>
      </rPr>
      <t>了，不能再吃了。</t>
    </r>
  </si>
  <si>
    <t>Đống trái cây đó đều đã thối rữa, không thể ăn được nữa.</t>
  </si>
  <si>
    <t>H5_B17_BG-22.png</t>
  </si>
  <si>
    <t>度过</t>
  </si>
  <si>
    <t>&lt;ruby&gt;度过&lt;rt&gt;dùguò&lt;/rt&gt;&lt;/ruby&gt;</t>
  </si>
  <si>
    <t>dùguò</t>
  </si>
  <si>
    <r>
      <rPr>
        <sz val="12"/>
        <color rgb="FF000000"/>
        <rFont val="Calibri"/>
      </rPr>
      <t>我们一起</t>
    </r>
    <r>
      <rPr>
        <b/>
        <sz val="12"/>
        <color rgb="FF000000"/>
        <rFont val="Calibri"/>
      </rPr>
      <t>度过</t>
    </r>
    <r>
      <rPr>
        <sz val="12"/>
        <color rgb="FF000000"/>
        <rFont val="Calibri"/>
      </rPr>
      <t>了一个美好的假期。</t>
    </r>
  </si>
  <si>
    <t>Chúng tôi đã cùng nhau trải qua một kỳ nghỉ tuyệt vời.</t>
  </si>
  <si>
    <t>H5_B17_BG-23.png</t>
  </si>
  <si>
    <t>告别</t>
  </si>
  <si>
    <t>&lt;ruby&gt;告别&lt;rt&gt;gàobié&lt;/rt&gt;&lt;/ruby&gt;</t>
  </si>
  <si>
    <t>gàobié</t>
  </si>
  <si>
    <t>tạm biệt, tư biệt</t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</si>
  <si>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告别</t>
    </r>
    <r>
      <rPr>
        <sz val="11"/>
        <color rgb="FF000000"/>
        <rFont val="Calibri"/>
      </rPr>
      <t>了家人，独自一人去国外留学。</t>
    </r>
  </si>
  <si>
    <t>Cô ấy tạm biệt gia đình, một mình đi du học ở nước ngoài.</t>
  </si>
  <si>
    <t>H5_B17_BG-24.png</t>
  </si>
  <si>
    <t>宁可</t>
  </si>
  <si>
    <t>&lt;ruby&gt;宁可&lt;rt&gt;nìngkě&lt;/rt&gt;&lt;/ruby&gt;</t>
  </si>
  <si>
    <t>nìngkě</t>
  </si>
  <si>
    <t>thà rằng, thà</t>
  </si>
  <si>
    <r>
      <rPr>
        <sz val="10"/>
        <color theme="1"/>
        <rFont val="Arial"/>
      </rPr>
      <t>我</t>
    </r>
    <r>
      <rPr>
        <b/>
        <sz val="10"/>
        <color theme="1"/>
        <rFont val="Arial"/>
      </rPr>
      <t>宁可</t>
    </r>
    <r>
      <rPr>
        <sz val="10"/>
        <color theme="1"/>
        <rFont val="Arial"/>
      </rPr>
      <t>少睡一会儿，也要把作业写完。</t>
    </r>
  </si>
  <si>
    <t>Tôi thà ngủ ít một chút còn hơn không hoàn thành bài tập.</t>
  </si>
  <si>
    <t>H5_B17_BG-25.png</t>
  </si>
  <si>
    <t>事物</t>
  </si>
  <si>
    <t>&lt;ruby&gt;事物&lt;rt&gt;shìwù&lt;/rt&gt;&lt;/ruby&gt;</t>
  </si>
  <si>
    <t>shìwù</t>
  </si>
  <si>
    <t>sự vật</t>
  </si>
  <si>
    <r>
      <rPr>
        <sz val="11"/>
        <color rgb="FF000000"/>
        <rFont val="Calibri"/>
      </rPr>
      <t>我对未知的</t>
    </r>
    <r>
      <rPr>
        <b/>
        <sz val="11"/>
        <color rgb="FF000000"/>
        <rFont val="Calibri"/>
      </rPr>
      <t>事物</t>
    </r>
    <r>
      <rPr>
        <sz val="11"/>
        <color rgb="FF000000"/>
        <rFont val="Calibri"/>
      </rPr>
      <t>总是充满好奇。</t>
    </r>
  </si>
  <si>
    <t>Tôi luôn đầy tò mò về những sự vật chưa biết.</t>
  </si>
  <si>
    <t>H5_B17_BG-26.png</t>
  </si>
  <si>
    <t>投入</t>
  </si>
  <si>
    <t>&lt;ruby&gt;投入&lt;rt&gt;tóurù&lt;/rt&gt;&lt;/ruby&gt;</t>
  </si>
  <si>
    <t>tóurù</t>
  </si>
  <si>
    <t>Động từ/Danh từ/
Tính từ</t>
  </si>
  <si>
    <t>đưa vào, bỏ vốn; kinh phí đầu tu; xuất thần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</si>
  <si>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投入</t>
    </r>
    <r>
      <rPr>
        <sz val="10"/>
        <color theme="1"/>
        <rFont val="Arial"/>
      </rPr>
      <t>了很多钱。</t>
    </r>
  </si>
  <si>
    <t>Anh ấy đã đầu tư rất nhiều tiền.</t>
  </si>
  <si>
    <t>H5_B17_BG-27.png</t>
  </si>
  <si>
    <t>推荐</t>
  </si>
  <si>
    <t>&lt;ruby&gt;推荐&lt;rt&gt;tuījiàn&lt;/rt&gt;&lt;/ruby&gt;</t>
  </si>
  <si>
    <t>tuījiàn</t>
  </si>
  <si>
    <t>giới thiệu, tiến cử</t>
  </si>
  <si>
    <r>
      <rPr>
        <sz val="11"/>
        <color rgb="FF000000"/>
        <rFont val="Calibri"/>
      </rPr>
      <t>我向你</t>
    </r>
    <r>
      <rPr>
        <b/>
        <sz val="11"/>
        <color rgb="FF000000"/>
        <rFont val="Calibri"/>
      </rPr>
      <t>推荐</t>
    </r>
    <r>
      <rPr>
        <sz val="11"/>
        <color rgb="FF000000"/>
        <rFont val="Calibri"/>
      </rPr>
      <t>这道菜，它非常好吃。</t>
    </r>
  </si>
  <si>
    <t>Tôi giới thiệu món này cho bạn, nó rất ngon.</t>
  </si>
  <si>
    <t>H5_B17_BG-28.png</t>
  </si>
  <si>
    <t>để nhằm</t>
  </si>
  <si>
    <r>
      <rPr>
        <b/>
        <sz val="11"/>
        <color rgb="FF000000"/>
        <rFont val="Calibri"/>
      </rPr>
      <t>以</t>
    </r>
    <r>
      <rPr>
        <sz val="11"/>
        <color rgb="FF000000"/>
        <rFont val="Calibri"/>
      </rPr>
      <t>减少污染，我们要减少使用塑料袋。</t>
    </r>
  </si>
  <si>
    <t>Nhằm giảm ô nhiễm, chúng ta cần giảm sử dụng túi nilong.</t>
  </si>
  <si>
    <t>H5_B17_BG-29.png</t>
  </si>
  <si>
    <t>运用</t>
  </si>
  <si>
    <t>&lt;ruby&gt;运用&lt;rt&gt;yùnyòng&lt;/rt&gt;&lt;/ruby&gt;</t>
  </si>
  <si>
    <t>yùnyòng</t>
  </si>
  <si>
    <t>vận dụng, áp dụng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</si>
  <si>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运用</t>
    </r>
    <r>
      <rPr>
        <sz val="10"/>
        <color theme="1"/>
        <rFont val="Arial"/>
      </rPr>
      <t>电脑学习。</t>
    </r>
  </si>
  <si>
    <t>Anh ấy vận dụng máy tính để học tập.</t>
  </si>
  <si>
    <t>H5_B17_BG-30.png</t>
  </si>
  <si>
    <t>B17_30.mp3</t>
  </si>
  <si>
    <t>B17_VD_30.mp3</t>
  </si>
  <si>
    <t>争取</t>
  </si>
  <si>
    <t>&lt;ruby&gt;争取&lt;rt&gt;zhēngqǔ&lt;/rt&gt;&lt;/ruby&gt;</t>
  </si>
  <si>
    <t>zhēngqǔ</t>
  </si>
  <si>
    <t>cố gắng, tranh thủ, giành</t>
  </si>
  <si>
    <r>
      <rPr>
        <sz val="10"/>
        <color theme="1"/>
        <rFont val="Arial"/>
      </rPr>
      <t>为了</t>
    </r>
    <r>
      <rPr>
        <b/>
        <sz val="10"/>
        <color theme="1"/>
        <rFont val="Arial"/>
      </rPr>
      <t>争取</t>
    </r>
    <r>
      <rPr>
        <sz val="10"/>
        <color theme="1"/>
        <rFont val="Arial"/>
      </rPr>
      <t>更好的成绩，他每天都练习到很晚。</t>
    </r>
  </si>
  <si>
    <t>Để đạt được thành tích tốt hơn, anh ấy luyện tập đến rất khuya mỗi ngày.</t>
  </si>
  <si>
    <t>H5_B17_BG-31.png</t>
  </si>
  <si>
    <t>B17_31.mp3</t>
  </si>
  <si>
    <t>B17_VD_31.mp3</t>
  </si>
  <si>
    <t>终点</t>
  </si>
  <si>
    <t>&lt;ruby&gt;终点&lt;rt&gt;zhōngdiǎn&lt;/rt&gt;&lt;/ruby&gt;</t>
  </si>
  <si>
    <t>zhōngdiǎn</t>
  </si>
  <si>
    <t>điểm cuối cùng, điểm kết thúc</t>
  </si>
  <si>
    <r>
      <rPr>
        <sz val="10"/>
        <color theme="1"/>
        <rFont val="Arial"/>
      </rPr>
      <t>跑步比赛的</t>
    </r>
    <r>
      <rPr>
        <b/>
        <sz val="10"/>
        <color theme="1"/>
        <rFont val="Arial"/>
      </rPr>
      <t>终点</t>
    </r>
    <r>
      <rPr>
        <sz val="10"/>
        <color theme="1"/>
        <rFont val="Arial"/>
      </rPr>
      <t>就在山脚下。</t>
    </r>
  </si>
  <si>
    <t>Điểm kết thúc của cuộc thi chạy nằm dưới chân núi.</t>
  </si>
  <si>
    <t>H5_B17_BG-32.png</t>
  </si>
  <si>
    <t>B17_32.mp3</t>
  </si>
  <si>
    <t>B17_VD_32.mp3</t>
  </si>
  <si>
    <t>淋漓尽致</t>
  </si>
  <si>
    <t>&lt;ruby&gt;淋漓尽致&lt;rt&gt;línlíjìnzhì&lt;/rt&gt;&lt;/ruby&gt;</t>
  </si>
  <si>
    <t>línlíjìnzhì</t>
  </si>
  <si>
    <t xml:space="preserve">tinh tế, triệt để </t>
  </si>
  <si>
    <r>
      <rPr>
        <sz val="11"/>
        <color rgb="FF000000"/>
        <rFont val="Calibri"/>
      </rPr>
      <t>他画得</t>
    </r>
    <r>
      <rPr>
        <b/>
        <sz val="11"/>
        <color rgb="FF000000"/>
        <rFont val="Calibri"/>
      </rPr>
      <t>淋漓尽致</t>
    </r>
    <r>
      <rPr>
        <sz val="11"/>
        <color rgb="FF000000"/>
        <rFont val="Calibri"/>
      </rPr>
      <t>。</t>
    </r>
  </si>
  <si>
    <t>Anh ấy vẽ rất tinh tế và chi tiết.</t>
  </si>
  <si>
    <t>H5_B17_BG-33.png</t>
  </si>
  <si>
    <t>B17_33.mp3</t>
  </si>
  <si>
    <t>B17_VD_33.mp3</t>
  </si>
  <si>
    <t>布</t>
  </si>
  <si>
    <t>&lt;ruby&gt;布&lt;rt&gt;bù&lt;/rt&gt;&lt;/ruby&gt;</t>
  </si>
  <si>
    <t>vải</t>
  </si>
  <si>
    <r>
      <rPr>
        <sz val="11"/>
        <color rgb="FF000000"/>
        <rFont val="Calibri"/>
      </rPr>
      <t>这种</t>
    </r>
    <r>
      <rPr>
        <b/>
        <sz val="11"/>
        <color rgb="FF000000"/>
        <rFont val="Calibri"/>
      </rPr>
      <t>布</t>
    </r>
    <r>
      <rPr>
        <sz val="11"/>
        <color rgb="FF000000"/>
        <rFont val="Calibri"/>
      </rPr>
      <t>料非常适合用来做衬衫。</t>
    </r>
  </si>
  <si>
    <t>Loại vải bố này thích hợp làm áo sơ mi.</t>
  </si>
  <si>
    <t>H5_B18_BG-01.png</t>
  </si>
  <si>
    <t>抽象</t>
  </si>
  <si>
    <t>&lt;ruby&gt;抽象&lt;rt&gt;chōuxiàng&lt;/rt&gt;&lt;/ruby&gt;</t>
  </si>
  <si>
    <t>chōuxiàng</t>
  </si>
  <si>
    <t xml:space="preserve">trừu tượng, trừu tượng hóa </t>
  </si>
  <si>
    <r>
      <rPr>
        <sz val="11"/>
        <color rgb="FF000000"/>
        <rFont val="Calibri"/>
      </rPr>
      <t>我很喜欢这幅画，它非常</t>
    </r>
    <r>
      <rPr>
        <b/>
        <sz val="11"/>
        <color rgb="FF000000"/>
        <rFont val="Calibri"/>
      </rPr>
      <t>抽象</t>
    </r>
    <r>
      <rPr>
        <sz val="11"/>
        <color rgb="FF000000"/>
        <rFont val="Calibri"/>
      </rPr>
      <t>。</t>
    </r>
  </si>
  <si>
    <t>Tôi rất thích bức tranh này, nó rất trừu tượng.</t>
  </si>
  <si>
    <t>H5_B18_BG-02.png</t>
  </si>
  <si>
    <t>幅</t>
  </si>
  <si>
    <t>&lt;ruby&gt;幅&lt;rt&gt;fú&lt;/rt&gt;&lt;/ruby&gt;</t>
  </si>
  <si>
    <t>(được dùng cho bức tranh và vải vóc...) búc, tấm, miếng</t>
  </si>
  <si>
    <r>
      <rPr>
        <sz val="11"/>
        <color rgb="FF000000"/>
        <rFont val="Calibri"/>
      </rPr>
      <t>这</t>
    </r>
    <r>
      <rPr>
        <b/>
        <sz val="11"/>
        <color rgb="FF000000"/>
        <rFont val="Calibri"/>
      </rPr>
      <t>幅</t>
    </r>
    <r>
      <rPr>
        <sz val="11"/>
        <color rgb="FF000000"/>
        <rFont val="Calibri"/>
      </rPr>
      <t>画是我最喜欢的一幅，画法很独特。</t>
    </r>
  </si>
  <si>
    <t>Bức tranh này là bức tôi yêu thích nhất, những nét vẽ rất độc đáo.</t>
  </si>
  <si>
    <t>H5_B18_BG-03.png</t>
  </si>
  <si>
    <t>古典</t>
  </si>
  <si>
    <t>&lt;ruby&gt;古典&lt;rt&gt;gǔdiǎn&lt;/rt&gt;&lt;/ruby&gt;</t>
  </si>
  <si>
    <t>gǔdiǎn</t>
  </si>
  <si>
    <t>cổ điển</t>
  </si>
  <si>
    <r>
      <rPr>
        <sz val="11"/>
        <color rgb="FF000000"/>
        <rFont val="Calibri"/>
      </rPr>
      <t>这是一部非常有名的</t>
    </r>
    <r>
      <rPr>
        <b/>
        <sz val="11"/>
        <color rgb="FF000000"/>
        <rFont val="Calibri"/>
      </rPr>
      <t>古典</t>
    </r>
    <r>
      <rPr>
        <sz val="11"/>
        <color rgb="FF000000"/>
        <rFont val="Calibri"/>
      </rPr>
      <t>小说。</t>
    </r>
  </si>
  <si>
    <t>Đây là một tiểu thuyết cổ điển rất nổi tiếng.</t>
  </si>
  <si>
    <t>H5_B18_BG-04.png</t>
  </si>
  <si>
    <t>挥</t>
  </si>
  <si>
    <t>&lt;ruby&gt;挥&lt;rt&gt;huī&lt;/rt&gt;&lt;/ruby&gt;</t>
  </si>
  <si>
    <t>huī</t>
  </si>
  <si>
    <t>vẫy, múa, vung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</si>
  <si>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挥</t>
    </r>
    <r>
      <rPr>
        <sz val="10"/>
        <color theme="1"/>
        <rFont val="Arial"/>
      </rPr>
      <t>动着手臂，向我打招呼。</t>
    </r>
  </si>
  <si>
    <t>Anh ấy vẫy tay chào tôi.</t>
  </si>
  <si>
    <t>H5_B18_BG-05.png</t>
  </si>
  <si>
    <t>活跃</t>
  </si>
  <si>
    <t>&lt;ruby&gt;活跃&lt;rt&gt;huóyuè&lt;/rt&gt;&lt;/ruby&gt;</t>
  </si>
  <si>
    <t>huóyuè</t>
  </si>
  <si>
    <t>sinh động, sôi nổi; làm sôi nổi, đẩy mạnh</t>
  </si>
  <si>
    <r>
      <rPr>
        <sz val="11"/>
        <color rgb="FF000000"/>
        <rFont val="Calibri"/>
      </rPr>
      <t>他的演讲让全场气氛变得</t>
    </r>
    <r>
      <rPr>
        <b/>
        <sz val="11"/>
        <color rgb="FF000000"/>
        <rFont val="Calibri"/>
      </rPr>
      <t>活跃</t>
    </r>
    <r>
      <rPr>
        <sz val="11"/>
        <color rgb="FF000000"/>
        <rFont val="Calibri"/>
      </rPr>
      <t>起来。</t>
    </r>
  </si>
  <si>
    <t>Bài thuyết trình của anh ấy rất sinh động, thu hút sự chú ý của rất nhiều khán giả.</t>
  </si>
  <si>
    <t>H5_B18_BG-06.png</t>
  </si>
  <si>
    <t>极其</t>
  </si>
  <si>
    <t>&lt;ruby&gt;极其&lt;rt&gt;jíqí&lt;/rt&gt;&lt;/ruby&gt;</t>
  </si>
  <si>
    <t>jíqí</t>
  </si>
  <si>
    <t>vô cùng, hết súc</t>
  </si>
  <si>
    <r>
      <rPr>
        <sz val="10"/>
        <color theme="1"/>
        <rFont val="Arial"/>
      </rPr>
      <t>这道菜</t>
    </r>
    <r>
      <rPr>
        <b/>
        <sz val="10"/>
        <color theme="1"/>
        <rFont val="Arial"/>
      </rPr>
      <t>极其</t>
    </r>
    <r>
      <rPr>
        <sz val="10"/>
        <color theme="1"/>
        <rFont val="Arial"/>
      </rPr>
      <t>美味，大家都吃得津津有味。</t>
    </r>
  </si>
  <si>
    <t>Món ăn này vô cùng ngon, mọi người đều ăn rất ngon miệng.</t>
  </si>
  <si>
    <t>H5_B18_BG-07.png</t>
  </si>
  <si>
    <t>洒</t>
  </si>
  <si>
    <t>&lt;ruby&gt;洒&lt;rt&gt;să&lt;/rt&gt;&lt;/ruby&gt;</t>
  </si>
  <si>
    <t>să</t>
  </si>
  <si>
    <t>rắc, rải</t>
  </si>
  <si>
    <r>
      <rPr>
        <sz val="10"/>
        <color theme="1"/>
        <rFont val="Arial"/>
      </rPr>
      <t>雨水</t>
    </r>
    <r>
      <rPr>
        <b/>
        <sz val="10"/>
        <color theme="1"/>
        <rFont val="Arial"/>
      </rPr>
      <t>洒</t>
    </r>
    <r>
      <rPr>
        <sz val="10"/>
        <color theme="1"/>
        <rFont val="Arial"/>
      </rPr>
      <t>在窗户上，发出滴答声。</t>
    </r>
  </si>
  <si>
    <t>Mưa rơi lên cửa sổ, phát ra tiếng tí tách.</t>
  </si>
  <si>
    <t>H5_B18_BG-08.png</t>
  </si>
  <si>
    <t>设计</t>
  </si>
  <si>
    <t>&lt;ruby&gt;设计&lt;rt&gt;shèjì&lt;/rt&gt;&lt;/ruby&gt;</t>
  </si>
  <si>
    <t>shèjì</t>
  </si>
  <si>
    <t>thiết kế; bản thiết kế</t>
  </si>
  <si>
    <r>
      <rPr>
        <sz val="11"/>
        <color rgb="FF000000"/>
        <rFont val="Calibri"/>
      </rPr>
      <t>这座房子的</t>
    </r>
    <r>
      <rPr>
        <b/>
        <sz val="11"/>
        <color rgb="FF000000"/>
        <rFont val="Calibri"/>
      </rPr>
      <t>设计</t>
    </r>
    <r>
      <rPr>
        <sz val="11"/>
        <color rgb="FF000000"/>
        <rFont val="Calibri"/>
      </rPr>
      <t>图非常清晰且详细。</t>
    </r>
  </si>
  <si>
    <t>Bản thiết kế nhà này khá rõ ràng và chi tiết.</t>
  </si>
  <si>
    <t>H5_B18_BG-09.png</t>
  </si>
  <si>
    <t>欣赏</t>
  </si>
  <si>
    <t>&lt;ruby&gt;欣赏&lt;rt&gt;xīnshǎng&lt;/rt&gt;&lt;/ruby&gt;</t>
  </si>
  <si>
    <t>xīnshǎng</t>
  </si>
  <si>
    <t>thưởng thức</t>
  </si>
  <si>
    <r>
      <rPr>
        <sz val="11"/>
        <color rgb="FF000000"/>
        <rFont val="Calibri"/>
      </rPr>
      <t>我们在博物馆</t>
    </r>
    <r>
      <rPr>
        <b/>
        <sz val="11"/>
        <color rgb="FF000000"/>
        <rFont val="Calibri"/>
      </rPr>
      <t>欣赏</t>
    </r>
    <r>
      <rPr>
        <sz val="11"/>
        <color rgb="FF000000"/>
        <rFont val="Calibri"/>
      </rPr>
      <t>了许多有趣的艺术作品。</t>
    </r>
  </si>
  <si>
    <t>Chúng tôi đã thưởng thức rất nhiều tác phẩm nghệ thuật thú vị tại bảo tàng.</t>
  </si>
  <si>
    <t>H5_B18_BG-10.png</t>
  </si>
  <si>
    <t>作品</t>
  </si>
  <si>
    <t>&lt;ruby&gt;作品&lt;rt&gt;zuòpǐn&lt;/rt&gt;&lt;/ruby&gt;</t>
  </si>
  <si>
    <t>zuòpǐn</t>
  </si>
  <si>
    <t>tác phẩm</t>
  </si>
  <si>
    <r>
      <rPr>
        <sz val="11"/>
        <color rgb="FF000000"/>
        <rFont val="Calibri"/>
      </rPr>
      <t>这幅画是他的代表</t>
    </r>
    <r>
      <rPr>
        <b/>
        <sz val="11"/>
        <color rgb="FF000000"/>
        <rFont val="Calibri"/>
      </rPr>
      <t>作品</t>
    </r>
    <r>
      <rPr>
        <sz val="11"/>
        <color rgb="FF000000"/>
        <rFont val="Calibri"/>
      </rPr>
      <t>，深受艺术爱好者的喜爱。</t>
    </r>
  </si>
  <si>
    <t>Bức tranh này là tác phẩm tiêu biểu của anh ấy, được rất nhiều người yêu nghệ thuật yêu thích.</t>
  </si>
  <si>
    <t>H5_B18_BG-11.png</t>
  </si>
  <si>
    <t>涂鸦</t>
  </si>
  <si>
    <t>&lt;ruby&gt;涂鸦&lt;rt&gt;túyā&lt;/rt&gt;&lt;/ruby&gt;</t>
  </si>
  <si>
    <t>túyā</t>
  </si>
  <si>
    <t>vẽ/ viết nguệch ngoạc</t>
  </si>
  <si>
    <r>
      <rPr>
        <sz val="11"/>
        <color rgb="FF000000"/>
        <rFont val="Calibri"/>
      </rPr>
      <t>我们经常在纸上随意</t>
    </r>
    <r>
      <rPr>
        <b/>
        <sz val="11"/>
        <color rgb="FF000000"/>
        <rFont val="Calibri"/>
      </rPr>
      <t>涂鸦</t>
    </r>
    <r>
      <rPr>
        <sz val="11"/>
        <color rgb="FF000000"/>
        <rFont val="Calibri"/>
      </rPr>
      <t>。</t>
    </r>
  </si>
  <si>
    <t>Chúng tôi thường vẽ nguệch ngoạc trên giấy.</t>
  </si>
  <si>
    <t>H5_B18_BG-12.png</t>
  </si>
  <si>
    <t>布局</t>
  </si>
  <si>
    <t>&lt;ruby&gt;布局&lt;rt&gt;bùjú&lt;/rt&gt;&lt;/ruby&gt;</t>
  </si>
  <si>
    <t>bùjú</t>
  </si>
  <si>
    <t xml:space="preserve">bố cục </t>
  </si>
  <si>
    <r>
      <rPr>
        <sz val="11"/>
        <color rgb="FF000000"/>
        <rFont val="Calibri"/>
      </rPr>
      <t>设计师根据客户的要求调整了房间的</t>
    </r>
    <r>
      <rPr>
        <b/>
        <sz val="11"/>
        <color rgb="FF000000"/>
        <rFont val="Calibri"/>
      </rPr>
      <t>布局</t>
    </r>
    <r>
      <rPr>
        <sz val="11"/>
        <color rgb="FF000000"/>
        <rFont val="Calibri"/>
      </rPr>
      <t>。</t>
    </r>
  </si>
  <si>
    <t>Nhà thiết kế đã điều chỉnh bố cục phòng dựa trên yêu cầu của khách hàng.</t>
  </si>
  <si>
    <t>H5_B18_BG-13.png</t>
  </si>
  <si>
    <t>出自</t>
  </si>
  <si>
    <t>&lt;ruby&gt;出自&lt;rt&gt;chūzì&lt;/rt&gt;&lt;/ruby&gt;</t>
  </si>
  <si>
    <t>chūzì</t>
  </si>
  <si>
    <t>xuất phát từ, đến từ</t>
  </si>
  <si>
    <r>
      <rPr>
        <sz val="10"/>
        <color theme="1"/>
        <rFont val="Arial"/>
      </rPr>
      <t>这道菜</t>
    </r>
    <r>
      <rPr>
        <b/>
        <sz val="10"/>
        <color theme="1"/>
        <rFont val="Arial"/>
      </rPr>
      <t>出自</t>
    </r>
    <r>
      <rPr>
        <sz val="10"/>
        <color theme="1"/>
        <rFont val="Arial"/>
      </rPr>
      <t>一家著名的米其林餐厅。</t>
    </r>
  </si>
  <si>
    <t>Món ăn này xuất phát từ một nhà hàng Michelin nổi tiếng.</t>
  </si>
  <si>
    <t>H5_B18_BG-14.png</t>
  </si>
  <si>
    <t>规则</t>
  </si>
  <si>
    <t>&lt;ruby&gt;规则&lt;rt&gt;guīzé&lt;/rt&gt;&lt;/ruby&gt;</t>
  </si>
  <si>
    <t>guīzé</t>
  </si>
  <si>
    <t>đúng quy tắc, ngay ngắn; quy tắc</t>
  </si>
  <si>
    <r>
      <rPr>
        <sz val="11"/>
        <color rgb="FF000000"/>
        <rFont val="Calibri"/>
      </rPr>
      <t>这里的商品在货架上摆放得非常</t>
    </r>
    <r>
      <rPr>
        <b/>
        <sz val="11"/>
        <color rgb="FF000000"/>
        <rFont val="Calibri"/>
      </rPr>
      <t>规则</t>
    </r>
    <r>
      <rPr>
        <sz val="11"/>
        <color rgb="FF000000"/>
        <rFont val="Calibri"/>
      </rPr>
      <t>。</t>
    </r>
  </si>
  <si>
    <t>Sản phẩm ở đây được sắp xếp ngay ngắn trên kệ.</t>
  </si>
  <si>
    <t>H5_B18_BG-15.png</t>
  </si>
  <si>
    <t>话题</t>
  </si>
  <si>
    <t>&lt;ruby&gt;话题&lt;rt&gt;huàtí&lt;/rt&gt;&lt;/ruby&gt;</t>
  </si>
  <si>
    <t>huàtí</t>
  </si>
  <si>
    <t>chủ đề, đề tài</t>
  </si>
  <si>
    <r>
      <rPr>
        <sz val="11"/>
        <color rgb="FF000000"/>
        <rFont val="Calibri"/>
      </rPr>
      <t>今天会议的主要</t>
    </r>
    <r>
      <rPr>
        <b/>
        <sz val="11"/>
        <color rgb="FF000000"/>
        <rFont val="Calibri"/>
      </rPr>
      <t>话题</t>
    </r>
    <r>
      <rPr>
        <sz val="11"/>
        <color rgb="FF000000"/>
        <rFont val="Calibri"/>
      </rPr>
      <t>是公司未来的发展。</t>
    </r>
  </si>
  <si>
    <t>Chủ đề chính trong cuộc họp hôm nay là sự phát triển tương lai của công ty.</t>
  </si>
  <si>
    <t>H5_B18_BG-16.png</t>
  </si>
  <si>
    <t>目前</t>
  </si>
  <si>
    <t>&lt;ruby&gt;目前&lt;rt&gt;mùqián&lt;/rt&gt;&lt;/ruby&gt;</t>
  </si>
  <si>
    <t>mùqián</t>
  </si>
  <si>
    <t>hiện nay</t>
  </si>
  <si>
    <r>
      <rPr>
        <b/>
        <sz val="11"/>
        <color rgb="FF000000"/>
        <rFont val="Calibri"/>
      </rPr>
      <t>目前</t>
    </r>
    <r>
      <rPr>
        <sz val="11"/>
        <color rgb="FF000000"/>
        <rFont val="Calibri"/>
      </rPr>
      <t>，水污染问题非常严重。</t>
    </r>
  </si>
  <si>
    <t>Hiện nay, vấn đề ô nhiễm nguồn nước xảy ra rất nghiệm trọng</t>
  </si>
  <si>
    <t>H5_B18_BG-17.png</t>
  </si>
  <si>
    <t>确认</t>
  </si>
  <si>
    <t>&lt;ruby&gt;确认&lt;rt&gt;quèrèn&lt;/rt&gt;&lt;/ruby&gt;</t>
  </si>
  <si>
    <t>quèrèn</t>
  </si>
  <si>
    <t>xác nhận</t>
  </si>
  <si>
    <r>
      <rPr>
        <sz val="11"/>
        <color rgb="FF000000"/>
        <rFont val="Calibri"/>
      </rPr>
      <t>我已经通过电话</t>
    </r>
    <r>
      <rPr>
        <b/>
        <sz val="11"/>
        <color rgb="FF000000"/>
        <rFont val="Calibri"/>
      </rPr>
      <t>确认</t>
    </r>
    <r>
      <rPr>
        <sz val="11"/>
        <color rgb="FF000000"/>
        <rFont val="Calibri"/>
      </rPr>
      <t>了我的航班信息。</t>
    </r>
  </si>
  <si>
    <t>Tôi đã xác nhận thông tin chuyến bay của mình qua điện thoại.</t>
  </si>
  <si>
    <t>H5_B18_BG-18.png</t>
  </si>
  <si>
    <t>神秘</t>
  </si>
  <si>
    <t>&lt;ruby&gt;神秘&lt;rt&gt;shénmì&lt;/rt&gt;&lt;/ruby&gt;</t>
  </si>
  <si>
    <t>shénmì</t>
  </si>
  <si>
    <t xml:space="preserve">thần bí, huyền bí </t>
  </si>
  <si>
    <r>
      <rPr>
        <sz val="10"/>
        <color theme="1"/>
        <rFont val="Arial"/>
      </rPr>
      <t>这座古老的寺庙有一种</t>
    </r>
    <r>
      <rPr>
        <b/>
        <sz val="10"/>
        <color theme="1"/>
        <rFont val="Arial"/>
      </rPr>
      <t>神秘</t>
    </r>
    <r>
      <rPr>
        <sz val="10"/>
        <color theme="1"/>
        <rFont val="Arial"/>
      </rPr>
      <t>的氛围。</t>
    </r>
  </si>
  <si>
    <t>Ngôi chùa cổ kính này có một bầu không khí thần bí.</t>
  </si>
  <si>
    <t>H5_B18_BG-19.png</t>
  </si>
  <si>
    <t>随手</t>
  </si>
  <si>
    <t>&lt;ruby&gt;随手&lt;rt&gt;suíshǒu&lt;/rt&gt;&lt;/ruby&gt;</t>
  </si>
  <si>
    <t>suíshǒu</t>
  </si>
  <si>
    <t>tiện tay, thuận tay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</si>
  <si>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随手</t>
    </r>
    <r>
      <rPr>
        <sz val="11"/>
        <color rgb="FF000000"/>
        <rFont val="Calibri"/>
      </rPr>
      <t>关了灯。</t>
    </r>
  </si>
  <si>
    <t>Anh ấy tiện tay tắt đèn.</t>
  </si>
  <si>
    <t>H5_B18_BG-20.png</t>
  </si>
  <si>
    <t>位置</t>
  </si>
  <si>
    <t>&lt;ruby&gt;位置&lt;rt&gt;wèizhì&lt;/rt&gt;&lt;/ruby&gt;</t>
  </si>
  <si>
    <t>wèizhì</t>
  </si>
  <si>
    <t>vị trí</t>
  </si>
  <si>
    <r>
      <rPr>
        <sz val="11"/>
        <color rgb="FF000000"/>
        <rFont val="Calibri"/>
      </rPr>
      <t>这家餐厅的</t>
    </r>
    <r>
      <rPr>
        <b/>
        <sz val="11"/>
        <color rgb="FF000000"/>
        <rFont val="Calibri"/>
      </rPr>
      <t>位置</t>
    </r>
    <r>
      <rPr>
        <sz val="11"/>
        <color rgb="FF000000"/>
        <rFont val="Calibri"/>
      </rPr>
      <t>非常好，就在主干道上。</t>
    </r>
  </si>
  <si>
    <t>Vị trí của nhà hàng này rất tốt, nằm ngay trên đường chính.</t>
  </si>
  <si>
    <t>H5_B18_BG-21.png</t>
  </si>
  <si>
    <t>分辨</t>
  </si>
  <si>
    <t>&lt;ruby&gt;分辨&lt;rt&gt;fēnbiàn&lt;/rt&gt;&lt;/ruby&gt;</t>
  </si>
  <si>
    <t>fēnbiàn</t>
  </si>
  <si>
    <t xml:space="preserve">phân biệt </t>
  </si>
  <si>
    <r>
      <rPr>
        <sz val="11"/>
        <color rgb="FF000000"/>
        <rFont val="Calibri"/>
      </rPr>
      <t>她能</t>
    </r>
    <r>
      <rPr>
        <b/>
        <sz val="11"/>
        <color rgb="FF000000"/>
        <rFont val="Calibri"/>
      </rPr>
      <t>分辨</t>
    </r>
    <r>
      <rPr>
        <sz val="11"/>
        <color rgb="FF000000"/>
        <rFont val="Calibri"/>
      </rPr>
      <t>出真珠宝和假珠宝。</t>
    </r>
  </si>
  <si>
    <t>Cô ấy có thể phân biệt được đồ trang sức thật và giả.</t>
  </si>
  <si>
    <t>H5_B18_BG-22.png</t>
  </si>
  <si>
    <t>可见</t>
  </si>
  <si>
    <t>&lt;ruby&gt;可见&lt;rt&gt;kějiàn&lt;/rt&gt;&lt;/ruby&gt;</t>
  </si>
  <si>
    <t>kějiàn</t>
  </si>
  <si>
    <t xml:space="preserve">có thể thấy rõ </t>
  </si>
  <si>
    <r>
      <rPr>
        <sz val="11"/>
        <color rgb="FF000000"/>
        <rFont val="Calibri"/>
      </rPr>
      <t>这里的河水污染严重，</t>
    </r>
    <r>
      <rPr>
        <b/>
        <sz val="11"/>
        <color rgb="FF000000"/>
        <rFont val="Calibri"/>
      </rPr>
      <t>可见</t>
    </r>
    <r>
      <rPr>
        <sz val="11"/>
        <color rgb="FF000000"/>
        <rFont val="Calibri"/>
      </rPr>
      <t>环保工作还不够到位。</t>
    </r>
  </si>
  <si>
    <t>Nước sông ở đây bị ô nhiễm nghiêm trọng, có thể thấy rõ công tác bảo vệ môi trường vẫn chưa đủ.</t>
  </si>
  <si>
    <t>H5_B18_BG-23.png</t>
  </si>
  <si>
    <t>元素</t>
  </si>
  <si>
    <t>&lt;ruby&gt;元素&lt;rt&gt;yuánsù&lt;/rt&gt;&lt;/ruby&gt;</t>
  </si>
  <si>
    <t>yuánsù</t>
  </si>
  <si>
    <t xml:space="preserve">yếu tố, nguyên tố </t>
  </si>
  <si>
    <r>
      <rPr>
        <sz val="10"/>
        <color rgb="FF0E0E0E"/>
        <rFont val="Arial"/>
      </rPr>
      <t>水是生命的重要</t>
    </r>
    <r>
      <rPr>
        <b/>
        <sz val="10"/>
        <color rgb="FF0E0E0E"/>
        <rFont val="Arial"/>
      </rPr>
      <t>元素</t>
    </r>
    <r>
      <rPr>
        <sz val="10"/>
        <color rgb="FF0E0E0E"/>
        <rFont val="Arial"/>
      </rPr>
      <t>。</t>
    </r>
  </si>
  <si>
    <t>Nước là yếu tố cơ bản của sự sống.</t>
  </si>
  <si>
    <t>H5_B18_BG-24.png</t>
  </si>
  <si>
    <t>含意</t>
  </si>
  <si>
    <t>&lt;ruby&gt;含意&lt;rt&gt;hányì&lt;/rt&gt;&lt;/ruby&gt;</t>
  </si>
  <si>
    <t>hányì</t>
  </si>
  <si>
    <t xml:space="preserve">hàm ý, ẩn ý </t>
  </si>
  <si>
    <r>
      <rPr>
        <sz val="11"/>
        <color rgb="FF000000"/>
        <rFont val="Calibri"/>
      </rPr>
      <t>他的话有着深刻的</t>
    </r>
    <r>
      <rPr>
        <b/>
        <sz val="11"/>
        <color rgb="FF000000"/>
        <rFont val="Calibri"/>
      </rPr>
      <t>含意</t>
    </r>
    <r>
      <rPr>
        <sz val="11"/>
        <color rgb="FF000000"/>
        <rFont val="Calibri"/>
      </rPr>
      <t>。</t>
    </r>
  </si>
  <si>
    <t>Lời anh ấy nói có hàm ý sâu sắc.</t>
  </si>
  <si>
    <t>H5_B18_BG-25.png</t>
  </si>
  <si>
    <t>丑（陋）</t>
  </si>
  <si>
    <t>&lt;ruby&gt;丑（陋）&lt;rt&gt;chǒu (lòu)&lt;/rt&gt;&lt;/ruby&gt;</t>
  </si>
  <si>
    <t>chǒu (lòu)</t>
  </si>
  <si>
    <t>xấu xí</t>
  </si>
  <si>
    <r>
      <rPr>
        <sz val="11"/>
        <color rgb="FF000000"/>
        <rFont val="Calibri"/>
      </rPr>
      <t>这只狗的外形很</t>
    </r>
    <r>
      <rPr>
        <b/>
        <sz val="11"/>
        <color rgb="FF000000"/>
        <rFont val="Calibri"/>
      </rPr>
      <t>丑</t>
    </r>
    <r>
      <rPr>
        <sz val="11"/>
        <color rgb="FF000000"/>
        <rFont val="Calibri"/>
      </rPr>
      <t>，但它非常友好。</t>
    </r>
  </si>
  <si>
    <t>Con chó này có hình dạng rất xấu, nhưng nó rất thân thiện.</t>
  </si>
  <si>
    <t>H5_B18_BG-26.png</t>
  </si>
  <si>
    <t>哪怕</t>
  </si>
  <si>
    <t>&lt;ruby&gt;哪怕&lt;rt&gt;nǎpà&lt;/rt&gt;&lt;/ruby&gt;</t>
  </si>
  <si>
    <t>nǎpà</t>
  </si>
  <si>
    <t>dù cho, cho dù</t>
  </si>
  <si>
    <r>
      <rPr>
        <b/>
        <sz val="11"/>
        <color rgb="FF000000"/>
        <rFont val="Calibri"/>
      </rPr>
      <t>哪怕</t>
    </r>
    <r>
      <rPr>
        <sz val="11"/>
        <color rgb="FF000000"/>
        <rFont val="Calibri"/>
      </rPr>
      <t>下大雨，我也会去上课。</t>
    </r>
  </si>
  <si>
    <t>Dù có mưa lớn, tôi cũng sẽ đi học</t>
  </si>
  <si>
    <t>H5_B18_BG-27.png</t>
  </si>
  <si>
    <t>phái, bè cánh</t>
  </si>
  <si>
    <r>
      <rPr>
        <sz val="11"/>
        <color rgb="FF000000"/>
        <rFont val="Calibri"/>
      </rPr>
      <t>在这个问题上，我是独立的一</t>
    </r>
    <r>
      <rPr>
        <b/>
        <sz val="11"/>
        <color rgb="FF000000"/>
        <rFont val="Calibri"/>
      </rPr>
      <t>派</t>
    </r>
    <r>
      <rPr>
        <sz val="11"/>
        <color rgb="FF000000"/>
        <rFont val="Calibri"/>
      </rPr>
      <t>。</t>
    </r>
  </si>
  <si>
    <t>Một mình tôi một phe.</t>
  </si>
  <si>
    <t>H5_B18_BG-28.png</t>
  </si>
  <si>
    <t>其余</t>
  </si>
  <si>
    <t>&lt;ruby&gt;其余&lt;rt&gt;qíyú&lt;/rt&gt;&lt;/ruby&gt;</t>
  </si>
  <si>
    <t>qíyú</t>
  </si>
  <si>
    <t>cái còn lại, nhũng cái khác</t>
  </si>
  <si>
    <r>
      <rPr>
        <sz val="11"/>
        <color rgb="FF000000"/>
        <rFont val="Calibri"/>
      </rPr>
      <t>我会吃一颗糖，</t>
    </r>
    <r>
      <rPr>
        <b/>
        <sz val="11"/>
        <color rgb="FF000000"/>
        <rFont val="Calibri"/>
      </rPr>
      <t>其余</t>
    </r>
    <r>
      <rPr>
        <sz val="11"/>
        <color rgb="FF000000"/>
        <rFont val="Calibri"/>
      </rPr>
      <t>的留给你。</t>
    </r>
  </si>
  <si>
    <t>Tôi sẽ ăn 1 cái kẹo, cái còn lại dành cho bạn.</t>
  </si>
  <si>
    <t>H5_B18_BG-29.png</t>
  </si>
  <si>
    <t>签</t>
  </si>
  <si>
    <t>&lt;ruby&gt;签&lt;rt&gt;qiān&lt;/rt&gt;&lt;/ruby&gt;</t>
  </si>
  <si>
    <t xml:space="preserve">ký tên </t>
  </si>
  <si>
    <r>
      <rPr>
        <sz val="11"/>
        <color rgb="FF000000"/>
        <rFont val="Calibri"/>
      </rPr>
      <t>他已经在合同上</t>
    </r>
    <r>
      <rPr>
        <b/>
        <sz val="11"/>
        <color rgb="FF000000"/>
        <rFont val="Calibri"/>
      </rPr>
      <t>签</t>
    </r>
    <r>
      <rPr>
        <sz val="11"/>
        <color rgb="FF000000"/>
        <rFont val="Calibri"/>
      </rPr>
      <t>了名字。</t>
    </r>
  </si>
  <si>
    <t>Anh ấy đã ký tên vào hợp đồng.</t>
  </si>
  <si>
    <t>H5_B18_BG-30.png</t>
  </si>
  <si>
    <t>身份</t>
  </si>
  <si>
    <t>&lt;ruby&gt;身份&lt;rt&gt;shēnfèn&lt;/rt&gt;&lt;/ruby&gt;</t>
  </si>
  <si>
    <t>shēnfèn</t>
  </si>
  <si>
    <t>thân phận, địa vị</t>
  </si>
  <si>
    <r>
      <rPr>
        <sz val="11"/>
        <color rgb="FF000000"/>
        <rFont val="Calibri"/>
      </rPr>
      <t>他的</t>
    </r>
    <r>
      <rPr>
        <b/>
        <sz val="11"/>
        <color rgb="FF000000"/>
        <rFont val="Calibri"/>
      </rPr>
      <t>身份</t>
    </r>
    <r>
      <rPr>
        <sz val="11"/>
        <color rgb="FF000000"/>
        <rFont val="Calibri"/>
      </rPr>
      <t>很特别，他是公司的执行总裁。</t>
    </r>
  </si>
  <si>
    <t>Thân phận của anh ấy rất đặc biệt, anh là giám đốc điều hành của công ty.</t>
  </si>
  <si>
    <t>H5_B18_BG-31.png</t>
  </si>
  <si>
    <t>事实</t>
  </si>
  <si>
    <t>&lt;ruby&gt;事实&lt;rt&gt;shìshí&lt;/rt&gt;&lt;/ruby&gt;</t>
  </si>
  <si>
    <t>shìshí</t>
  </si>
  <si>
    <t xml:space="preserve">sự thật </t>
  </si>
  <si>
    <r>
      <rPr>
        <sz val="10"/>
        <color theme="1"/>
        <rFont val="Arial"/>
      </rPr>
      <t>以前，警察经常用放大镜寻找案件现场背后的</t>
    </r>
    <r>
      <rPr>
        <b/>
        <sz val="10"/>
        <color theme="1"/>
        <rFont val="Arial"/>
      </rPr>
      <t>事实</t>
    </r>
    <r>
      <rPr>
        <sz val="10"/>
        <color theme="1"/>
        <rFont val="Arial"/>
      </rPr>
      <t>。</t>
    </r>
  </si>
  <si>
    <t>Ngày xưa, cảnh sát hay dùng kính lúp để tìm sự thật đằng sau hiện trường vụ án.</t>
  </si>
  <si>
    <t>H5_B18_BG-32.png</t>
  </si>
  <si>
    <t>调整</t>
  </si>
  <si>
    <t>&lt;ruby&gt;调整&lt;rt&gt;tiáozhěng&lt;/rt&gt;&lt;/ruby&gt;</t>
  </si>
  <si>
    <t>tiáozhěng</t>
  </si>
  <si>
    <t>điều chỉnh, sự điều chỉnh</t>
  </si>
  <si>
    <r>
      <rPr>
        <sz val="11"/>
        <color rgb="FF000000"/>
        <rFont val="Calibri"/>
      </rPr>
      <t>医生建议我</t>
    </r>
    <r>
      <rPr>
        <b/>
        <sz val="11"/>
        <color rgb="FF000000"/>
        <rFont val="Calibri"/>
      </rPr>
      <t>调整</t>
    </r>
    <r>
      <rPr>
        <sz val="11"/>
        <color rgb="FF000000"/>
        <rFont val="Calibri"/>
      </rPr>
      <t>饮食习惯以保持健康。</t>
    </r>
  </si>
  <si>
    <t>Bác sĩ khuyên tôi điều chỉnh thói quen ăn uống để giữ gìn sức khỏe.</t>
  </si>
  <si>
    <t>H5_B18_BG-33.png</t>
  </si>
  <si>
    <t>B18_33.mp3</t>
  </si>
  <si>
    <t>B18_VD_33.mp3</t>
  </si>
  <si>
    <t>业余</t>
  </si>
  <si>
    <t>&lt;ruby&gt;业余&lt;rt&gt;yèyú&lt;/rt&gt;&lt;/ruby&gt;</t>
  </si>
  <si>
    <t>yèyú</t>
  </si>
  <si>
    <t>nghiệp dư</t>
  </si>
  <si>
    <r>
      <rPr>
        <sz val="11"/>
        <color rgb="FF000000"/>
        <rFont val="Calibri"/>
      </rPr>
      <t>他是一位</t>
    </r>
    <r>
      <rPr>
        <b/>
        <sz val="11"/>
        <color rgb="FF000000"/>
        <rFont val="Calibri"/>
      </rPr>
      <t>业余</t>
    </r>
    <r>
      <rPr>
        <sz val="11"/>
        <color rgb="FF000000"/>
        <rFont val="Calibri"/>
      </rPr>
      <t>摄影师，常常在空闲时外出拍照。</t>
    </r>
  </si>
  <si>
    <t>Anh ấy là một nhiếp ảnh gia nghiệp dư, thường đi chụp ảnh mỗi khi rảnh.</t>
  </si>
  <si>
    <t>H5_B18_BG-34.png</t>
  </si>
  <si>
    <t>B18_34.mp3</t>
  </si>
  <si>
    <t>B18_VD_34.mp3</t>
  </si>
  <si>
    <t>证据</t>
  </si>
  <si>
    <t>&lt;ruby&gt;证据&lt;rt&gt;zhèngjù&lt;/rt&gt;&lt;/ruby&gt;</t>
  </si>
  <si>
    <t>zhèngjù</t>
  </si>
  <si>
    <t>chứng cứ, bằng chứng</t>
  </si>
  <si>
    <r>
      <rPr>
        <sz val="11"/>
        <color rgb="FF000000"/>
        <rFont val="Calibri"/>
      </rPr>
      <t>这把枪就是犯罪的</t>
    </r>
    <r>
      <rPr>
        <b/>
        <sz val="11"/>
        <color rgb="FF000000"/>
        <rFont val="Calibri"/>
      </rPr>
      <t>证据</t>
    </r>
    <r>
      <rPr>
        <sz val="11"/>
        <color rgb="FF000000"/>
        <rFont val="Calibri"/>
      </rPr>
      <t>。</t>
    </r>
  </si>
  <si>
    <t>Khẩu súng này chính là bằng chứng phạm tội.</t>
  </si>
  <si>
    <t>H5_B18_BG-35.png</t>
  </si>
  <si>
    <t>B18_35.mp3</t>
  </si>
  <si>
    <t>B18_VD_35.mp3</t>
  </si>
  <si>
    <t>自由</t>
  </si>
  <si>
    <t>&lt;ruby&gt;自由&lt;rt&gt;zìyóu&lt;/rt&gt;&lt;/ruby&gt;</t>
  </si>
  <si>
    <t>zìyóu</t>
  </si>
  <si>
    <t>sự tự do, tự do</t>
  </si>
  <si>
    <r>
      <rPr>
        <sz val="10"/>
        <color theme="1"/>
        <rFont val="Arial"/>
      </rPr>
      <t>在公园里，人们可以</t>
    </r>
    <r>
      <rPr>
        <b/>
        <sz val="10"/>
        <color theme="1"/>
        <rFont val="Arial"/>
      </rPr>
      <t>自由</t>
    </r>
    <r>
      <rPr>
        <sz val="10"/>
        <color theme="1"/>
        <rFont val="Arial"/>
      </rPr>
      <t>地散步和跑步。</t>
    </r>
  </si>
  <si>
    <t>Ở trong công viên, mọi người có thể tự do đi dạo và chạy bộ.</t>
  </si>
  <si>
    <t>H5_B18_BG-36.png</t>
  </si>
  <si>
    <t>B18_36.mp3</t>
  </si>
  <si>
    <t>B18_VD_36.mp3</t>
  </si>
  <si>
    <t>组</t>
  </si>
  <si>
    <t>&lt;ruby&gt;组&lt;rt&gt;zŭ&lt;/rt&gt;&lt;/ruby&gt;</t>
  </si>
  <si>
    <t>zŭ</t>
  </si>
  <si>
    <t>Danh từ/Lượng từ</t>
  </si>
  <si>
    <t xml:space="preserve">tổ, nhóm </t>
  </si>
  <si>
    <r>
      <rPr>
        <sz val="11"/>
        <color rgb="FF000000"/>
        <rFont val="Calibri"/>
      </rPr>
      <t>我们</t>
    </r>
    <r>
      <rPr>
        <b/>
        <sz val="11"/>
        <color rgb="FF000000"/>
        <rFont val="Calibri"/>
      </rPr>
      <t>组</t>
    </r>
    <r>
      <rPr>
        <sz val="11"/>
        <color rgb="FF000000"/>
        <rFont val="Calibri"/>
      </rPr>
      <t>非常团结。</t>
    </r>
  </si>
  <si>
    <t>Nhóm của chúng tôi rất đoàn kết.</t>
  </si>
  <si>
    <t>H5_B18_BG-37.png</t>
  </si>
  <si>
    <t>B18_37.mp3</t>
  </si>
  <si>
    <t>B18_VD_37.mp3</t>
  </si>
  <si>
    <t>婴儿</t>
  </si>
  <si>
    <t>&lt;ruby&gt;婴儿&lt;rt&gt;yīng'ér&lt;/rt&gt;&lt;/ruby&gt;</t>
  </si>
  <si>
    <t>yīng'ér</t>
  </si>
  <si>
    <t xml:space="preserve">trẻ sơ sinh </t>
  </si>
  <si>
    <r>
      <rPr>
        <b/>
        <sz val="11"/>
        <color rgb="FF000000"/>
        <rFont val="Calibri"/>
      </rPr>
      <t>婴儿</t>
    </r>
    <r>
      <rPr>
        <sz val="11"/>
        <color rgb="FF000000"/>
        <rFont val="Calibri"/>
      </rPr>
      <t>的皮肤很娇嫩，需要细心护理。</t>
    </r>
  </si>
  <si>
    <t>Làn da của trẻ sơ sinh rất mỏng manh, cần được chăm sóc cẩn thận.</t>
  </si>
  <si>
    <t>H5_B18_BG-38.png</t>
  </si>
  <si>
    <t>B18_38.mp3</t>
  </si>
  <si>
    <t>B18_VD_38.mp3</t>
  </si>
  <si>
    <t>猩猩</t>
  </si>
  <si>
    <t>&lt;ruby&gt;猩猩&lt;rt&gt;xīngxīng&lt;/rt&gt;&lt;/ruby&gt;</t>
  </si>
  <si>
    <t>xīngxīng</t>
  </si>
  <si>
    <t xml:space="preserve">đười ươi, tinh tinh </t>
  </si>
  <si>
    <r>
      <rPr>
        <sz val="11"/>
        <color rgb="FF000000"/>
        <rFont val="Calibri"/>
      </rPr>
      <t>动物园里有很多</t>
    </r>
    <r>
      <rPr>
        <b/>
        <sz val="11"/>
        <color rgb="FF000000"/>
        <rFont val="Calibri"/>
      </rPr>
      <t>猩猩</t>
    </r>
    <r>
      <rPr>
        <sz val="11"/>
        <color rgb="FF000000"/>
        <rFont val="Calibri"/>
      </rPr>
      <t>，游客们很喜欢看它们玩耍。</t>
    </r>
  </si>
  <si>
    <t>Vườn thú có nhiều đười ươi, du khách rất thích xem chúng chơi đùa.</t>
  </si>
  <si>
    <t>H5_B18_BG-39.png</t>
  </si>
  <si>
    <t>B18_39.mp3</t>
  </si>
  <si>
    <t>B18_VD_39.mp3</t>
  </si>
  <si>
    <t>区域</t>
  </si>
  <si>
    <t>&lt;ruby&gt;区域&lt;rt&gt;qūyù&lt;/rt&gt;&lt;/ruby&gt;</t>
  </si>
  <si>
    <t>qūyù</t>
  </si>
  <si>
    <t>khu vực</t>
  </si>
  <si>
    <r>
      <rPr>
        <sz val="11"/>
        <color rgb="FF000000"/>
        <rFont val="Calibri"/>
      </rPr>
      <t>这个</t>
    </r>
    <r>
      <rPr>
        <b/>
        <sz val="11"/>
        <color rgb="FF000000"/>
        <rFont val="Calibri"/>
      </rPr>
      <t>区域</t>
    </r>
    <r>
      <rPr>
        <sz val="11"/>
        <color rgb="FF000000"/>
        <rFont val="Calibri"/>
      </rPr>
      <t>的交通经常出现拥堵情况。</t>
    </r>
  </si>
  <si>
    <t>Giao thông trong khu vực này thường xuyên xảy ra tình trạng tắc nghẽn.</t>
  </si>
  <si>
    <t>H5_B18_BG-40.png</t>
  </si>
  <si>
    <t>B18_40.mp3</t>
  </si>
  <si>
    <t>B18_VD_40.mp3</t>
  </si>
  <si>
    <t>萝卜</t>
  </si>
  <si>
    <t>&lt;ruby&gt;萝卜&lt;rt&gt;luóbo&lt;/rt&gt;&lt;/ruby&gt;</t>
  </si>
  <si>
    <t>luóbo</t>
  </si>
  <si>
    <t>cây củ cải, củ cải</t>
  </si>
  <si>
    <r>
      <rPr>
        <sz val="11"/>
        <color rgb="FF000000"/>
        <rFont val="Calibri"/>
      </rPr>
      <t>我喜欢吃</t>
    </r>
    <r>
      <rPr>
        <b/>
        <sz val="11"/>
        <color rgb="FF000000"/>
        <rFont val="Calibri"/>
      </rPr>
      <t>萝卜</t>
    </r>
    <r>
      <rPr>
        <sz val="11"/>
        <color rgb="FF000000"/>
        <rFont val="Calibri"/>
      </rPr>
      <t>，它非常好吃。</t>
    </r>
  </si>
  <si>
    <t>Tôi thích ăn củ cải,nó rất ngon</t>
  </si>
  <si>
    <t>H5_B19_BG-01.png</t>
  </si>
  <si>
    <t>清淡</t>
  </si>
  <si>
    <t>&lt;ruby&gt;清淡&lt;rt&gt;qīngdàn&lt;/rt&gt;&lt;/ruby&gt;</t>
  </si>
  <si>
    <t>qīngdàn</t>
  </si>
  <si>
    <t>nhẹ, dễ tiêu</t>
  </si>
  <si>
    <r>
      <rPr>
        <sz val="11"/>
        <color rgb="FF000000"/>
        <rFont val="Calibri"/>
      </rPr>
      <t>最近我经常肚子疼，所以我吃得比较</t>
    </r>
    <r>
      <rPr>
        <b/>
        <sz val="11"/>
        <color rgb="FF000000"/>
        <rFont val="Calibri"/>
      </rPr>
      <t>清淡</t>
    </r>
    <r>
      <rPr>
        <sz val="11"/>
        <color rgb="FF000000"/>
        <rFont val="Calibri"/>
      </rPr>
      <t>。</t>
    </r>
  </si>
  <si>
    <t>Dạo này tôi hay bị đau bụng nên sẽ ăn những món thanh đạm một chút.</t>
  </si>
  <si>
    <t>H5_B19_BG-02.png</t>
  </si>
  <si>
    <t>可口</t>
  </si>
  <si>
    <t>&lt;ruby&gt;可口&lt;rt&gt;kěkǒu&lt;/rt&gt;&lt;/ruby&gt;</t>
  </si>
  <si>
    <t>kěkǒu</t>
  </si>
  <si>
    <r>
      <rPr>
        <sz val="11"/>
        <color rgb="FF000000"/>
        <rFont val="Calibri"/>
      </rPr>
      <t>这些饼干非常</t>
    </r>
    <r>
      <rPr>
        <b/>
        <sz val="11"/>
        <color rgb="FF000000"/>
        <rFont val="Calibri"/>
      </rPr>
      <t>可口</t>
    </r>
    <r>
      <rPr>
        <sz val="11"/>
        <color rgb="FF000000"/>
        <rFont val="Calibri"/>
      </rPr>
      <t>。</t>
    </r>
  </si>
  <si>
    <t>Những chiếc bánh quy này rất ngon.</t>
  </si>
  <si>
    <t>H5_B19_BG-03.png</t>
  </si>
  <si>
    <t>橘子</t>
  </si>
  <si>
    <t>&lt;ruby&gt;橘子&lt;rt&gt;júzi&lt;/rt&gt;&lt;/ruby&gt;</t>
  </si>
  <si>
    <t>júzi</t>
  </si>
  <si>
    <t>quả quýt</t>
  </si>
  <si>
    <r>
      <rPr>
        <sz val="11"/>
        <color rgb="FF000000"/>
        <rFont val="Calibri"/>
      </rPr>
      <t>这个</t>
    </r>
    <r>
      <rPr>
        <b/>
        <sz val="11"/>
        <color rgb="FF000000"/>
        <rFont val="Calibri"/>
      </rPr>
      <t>橘子</t>
    </r>
    <r>
      <rPr>
        <sz val="11"/>
        <color rgb="FF000000"/>
        <rFont val="Calibri"/>
      </rPr>
      <t>又大又甜，真好吃。</t>
    </r>
  </si>
  <si>
    <t>Quả quýt này vừa to vừa ngọt, thật là ngon.</t>
  </si>
  <si>
    <t>H5_B19_BG-04.png</t>
  </si>
  <si>
    <t>梨</t>
  </si>
  <si>
    <t>&lt;ruby&gt;梨&lt;rt&gt;lí&lt;/rt&gt;&lt;/ruby&gt;</t>
  </si>
  <si>
    <t>quả lê</t>
  </si>
  <si>
    <r>
      <rPr>
        <sz val="12"/>
        <color rgb="FF363636"/>
        <rFont val="Arial"/>
      </rPr>
      <t>屋子近旁种着许多</t>
    </r>
    <r>
      <rPr>
        <b/>
        <sz val="12"/>
        <color rgb="FF363636"/>
        <rFont val="Arial"/>
      </rPr>
      <t>梨</t>
    </r>
    <r>
      <rPr>
        <sz val="12"/>
        <color rgb="FF363636"/>
        <rFont val="Arial"/>
      </rPr>
      <t>树。</t>
    </r>
  </si>
  <si>
    <t>Bên cạnh nhà trồng rất nhiều lê.</t>
  </si>
  <si>
    <t>H5_B19_BG-05.png</t>
  </si>
  <si>
    <t>炒</t>
  </si>
  <si>
    <t>&lt;ruby&gt;炒&lt;rt&gt;chǎo&lt;/rt&gt;&lt;/ruby&gt;</t>
  </si>
  <si>
    <t>xào, rang</t>
  </si>
  <si>
    <r>
      <rPr>
        <sz val="11"/>
        <color rgb="FF000000"/>
        <rFont val="Calibri"/>
      </rPr>
      <t>妈妈在厨房</t>
    </r>
    <r>
      <rPr>
        <b/>
        <sz val="11"/>
        <color rgb="FF000000"/>
        <rFont val="Calibri"/>
      </rPr>
      <t>炒</t>
    </r>
    <r>
      <rPr>
        <sz val="11"/>
        <color rgb="FF000000"/>
        <rFont val="Calibri"/>
      </rPr>
      <t>青菜。</t>
    </r>
  </si>
  <si>
    <t>Mẹ đang xào rau xanh trong bếp.</t>
  </si>
  <si>
    <t>H5_B19_BG-06.png</t>
  </si>
  <si>
    <t>煮</t>
  </si>
  <si>
    <t>&lt;ruby&gt;煮&lt;rt&gt;zhǔ&lt;/rt&gt;&lt;/ruby&gt;</t>
  </si>
  <si>
    <t>zhǔ</t>
  </si>
  <si>
    <t>nấu, đun, luộc</t>
  </si>
  <si>
    <r>
      <rPr>
        <sz val="11"/>
        <color rgb="FF000000"/>
        <rFont val="Calibri"/>
      </rPr>
      <t>爸爸正在</t>
    </r>
    <r>
      <rPr>
        <b/>
        <sz val="11"/>
        <color rgb="FF000000"/>
        <rFont val="Calibri"/>
      </rPr>
      <t>煮</t>
    </r>
    <r>
      <rPr>
        <sz val="11"/>
        <color rgb="FF000000"/>
        <rFont val="Calibri"/>
      </rPr>
      <t>水。</t>
    </r>
  </si>
  <si>
    <t>Bố đang đun nước.</t>
  </si>
  <si>
    <t>H5_B19_BG-07.png</t>
  </si>
  <si>
    <t>油炸</t>
  </si>
  <si>
    <t>&lt;ruby&gt;油炸&lt;rt&gt;yóuzhá&lt;/rt&gt;&lt;/ruby&gt;</t>
  </si>
  <si>
    <t>yóuzhá</t>
  </si>
  <si>
    <t>chiên bằng cách cho nhiều dầu</t>
  </si>
  <si>
    <r>
      <rPr>
        <sz val="11"/>
        <color rgb="FF000000"/>
        <rFont val="Calibri"/>
      </rPr>
      <t>她不喜欢</t>
    </r>
    <r>
      <rPr>
        <b/>
        <sz val="11"/>
        <color rgb="FF000000"/>
        <rFont val="Calibri"/>
      </rPr>
      <t>油炸</t>
    </r>
    <r>
      <rPr>
        <sz val="11"/>
        <color rgb="FF000000"/>
        <rFont val="Calibri"/>
      </rPr>
      <t>食品，觉得对健康不好。</t>
    </r>
  </si>
  <si>
    <t>Cô ấy không thích đồ ăn chiên, cảm thấy không tốt cho sức khỏe.</t>
  </si>
  <si>
    <t>H5_B19_BG-08.png</t>
  </si>
  <si>
    <t>切</t>
  </si>
  <si>
    <t>&lt;ruby&gt;切&lt;rt&gt;qiē&lt;/rt&gt;&lt;/ruby&gt;</t>
  </si>
  <si>
    <t>qiē</t>
  </si>
  <si>
    <t>cắt, xắt</t>
  </si>
  <si>
    <r>
      <rPr>
        <sz val="11"/>
        <color rgb="FF000000"/>
        <rFont val="Calibri"/>
      </rPr>
      <t>他正在</t>
    </r>
    <r>
      <rPr>
        <b/>
        <sz val="11"/>
        <color rgb="FF000000"/>
        <rFont val="Calibri"/>
      </rPr>
      <t>切</t>
    </r>
    <r>
      <rPr>
        <sz val="11"/>
        <color rgb="FF000000"/>
        <rFont val="Calibri"/>
      </rPr>
      <t>蔬菜做沙拉。</t>
    </r>
  </si>
  <si>
    <t>Anh ấy đang cắt rau củ quả để làm salad</t>
  </si>
  <si>
    <t>H5_B19_BG-09.png</t>
  </si>
  <si>
    <t>丝</t>
  </si>
  <si>
    <t>&lt;ruby&gt;丝&lt;rt&gt;sī&lt;/rt&gt;&lt;/ruby&gt;</t>
  </si>
  <si>
    <t>sī</t>
  </si>
  <si>
    <t>sợi</t>
  </si>
  <si>
    <r>
      <rPr>
        <sz val="11"/>
        <color rgb="FF000000"/>
        <rFont val="Calibri"/>
      </rPr>
      <t>碗里有很多面条</t>
    </r>
    <r>
      <rPr>
        <b/>
        <sz val="11"/>
        <color rgb="FF000000"/>
        <rFont val="Calibri"/>
      </rPr>
      <t>丝</t>
    </r>
    <r>
      <rPr>
        <sz val="11"/>
        <color rgb="FF000000"/>
        <rFont val="Calibri"/>
      </rPr>
      <t>。</t>
    </r>
  </si>
  <si>
    <t>Trong bát này có rất nhiều sợi mì.</t>
  </si>
  <si>
    <t>H5_B19_BG-10.png</t>
  </si>
  <si>
    <t>搅拌</t>
  </si>
  <si>
    <t>&lt;ruby&gt;搅拌&lt;rt&gt;jiǎobàn&lt;/rt&gt;&lt;/ruby&gt;</t>
  </si>
  <si>
    <t>jiǎobàn</t>
  </si>
  <si>
    <t>khuấy, trộn</t>
  </si>
  <si>
    <r>
      <rPr>
        <sz val="11"/>
        <color rgb="FF000000"/>
        <rFont val="Calibri"/>
      </rPr>
      <t>他正在锅里</t>
    </r>
    <r>
      <rPr>
        <b/>
        <sz val="11"/>
        <color rgb="FF000000"/>
        <rFont val="Calibri"/>
      </rPr>
      <t>搅拌</t>
    </r>
    <r>
      <rPr>
        <sz val="11"/>
        <color rgb="FF000000"/>
        <rFont val="Calibri"/>
      </rPr>
      <t>汤。</t>
    </r>
  </si>
  <si>
    <t>Anh ấy đang khuấy súp trong nồi.</t>
  </si>
  <si>
    <t>H5_B19_BG-11.png</t>
  </si>
  <si>
    <t>均匀</t>
  </si>
  <si>
    <t>&lt;ruby&gt;均匀&lt;rt&gt;jūnyún&lt;/rt&gt;&lt;/ruby&gt;</t>
  </si>
  <si>
    <t>jūnyún</t>
  </si>
  <si>
    <t>đều đặn, đều</t>
  </si>
  <si>
    <r>
      <rPr>
        <sz val="11"/>
        <color rgb="FF000000"/>
        <rFont val="Calibri"/>
      </rPr>
      <t>挂钟发出的声音非常</t>
    </r>
    <r>
      <rPr>
        <b/>
        <sz val="11"/>
        <color rgb="FF000000"/>
        <rFont val="Calibri"/>
      </rPr>
      <t>均匀</t>
    </r>
    <r>
      <rPr>
        <sz val="11"/>
        <color rgb="FF000000"/>
        <rFont val="Calibri"/>
      </rPr>
      <t>。</t>
    </r>
  </si>
  <si>
    <t>Đồng hồ quả lắc phát ra tiếng kêu đều đặn.</t>
  </si>
  <si>
    <t>H5_B19_BG-12.png</t>
  </si>
  <si>
    <t>擀</t>
  </si>
  <si>
    <t>&lt;ruby&gt;擀&lt;rt&gt;gǎn&lt;/rt&gt;&lt;/ruby&gt;</t>
  </si>
  <si>
    <t>cán, nghiền</t>
  </si>
  <si>
    <r>
      <rPr>
        <sz val="11"/>
        <color rgb="FF000000"/>
        <rFont val="Calibri"/>
      </rPr>
      <t>妈妈正在</t>
    </r>
    <r>
      <rPr>
        <b/>
        <sz val="11"/>
        <color rgb="FF000000"/>
        <rFont val="Calibri"/>
      </rPr>
      <t>擀</t>
    </r>
    <r>
      <rPr>
        <sz val="11"/>
        <color rgb="FF000000"/>
        <rFont val="Calibri"/>
      </rPr>
      <t>包子皮。</t>
    </r>
  </si>
  <si>
    <t>Mẹ đang cán bột bánh bao</t>
  </si>
  <si>
    <t>H5_B19_BG-13.png</t>
  </si>
  <si>
    <t>薄</t>
  </si>
  <si>
    <t>&lt;ruby&gt;薄&lt;rt&gt;báo&lt;/rt&gt;&lt;/ruby&gt;</t>
  </si>
  <si>
    <t>mỏng</t>
  </si>
  <si>
    <r>
      <rPr>
        <sz val="11"/>
        <color rgb="FF000000"/>
        <rFont val="Calibri"/>
      </rPr>
      <t>这种纸非常</t>
    </r>
    <r>
      <rPr>
        <b/>
        <sz val="11"/>
        <color rgb="FF000000"/>
        <rFont val="Calibri"/>
      </rPr>
      <t>薄</t>
    </r>
    <r>
      <rPr>
        <sz val="11"/>
        <color rgb="FF000000"/>
        <rFont val="Calibri"/>
      </rPr>
      <t>。</t>
    </r>
  </si>
  <si>
    <t>Loại giấy này rất mỏng.</t>
  </si>
  <si>
    <t>H5_B19_BG-14.png</t>
  </si>
  <si>
    <t>淋</t>
  </si>
  <si>
    <t>&lt;ruby&gt;淋&lt;rt&gt;lín&lt;/rt&gt;&lt;/ruby&gt;</t>
  </si>
  <si>
    <t>rải, rưới, đổ vào</t>
  </si>
  <si>
    <r>
      <rPr>
        <sz val="11"/>
        <color rgb="FF000000"/>
        <rFont val="Calibri"/>
      </rPr>
      <t>服务员把巧克力酱</t>
    </r>
    <r>
      <rPr>
        <b/>
        <sz val="11"/>
        <color rgb="FF000000"/>
        <rFont val="Calibri"/>
      </rPr>
      <t>淋</t>
    </r>
    <r>
      <rPr>
        <sz val="11"/>
        <color rgb="FF000000"/>
        <rFont val="Calibri"/>
      </rPr>
      <t>在冰淇淋上。</t>
    </r>
  </si>
  <si>
    <t>Nhân viên phục vụ rưới sốt sô-cô-la lên kem.</t>
  </si>
  <si>
    <t>H5_B19_BG-15.png</t>
  </si>
  <si>
    <t>烫</t>
  </si>
  <si>
    <t>&lt;ruby&gt;烫&lt;rt&gt;tàng&lt;/rt&gt;&lt;/ruby&gt;</t>
  </si>
  <si>
    <t>làm bỏng; hâm, ủi, nóng</t>
  </si>
  <si>
    <r>
      <rPr>
        <sz val="11"/>
        <color rgb="FF000000"/>
        <rFont val="Calibri"/>
      </rPr>
      <t>小心，这碗汤很烫，别</t>
    </r>
    <r>
      <rPr>
        <b/>
        <sz val="11"/>
        <color rgb="FF000000"/>
        <rFont val="Calibri"/>
      </rPr>
      <t>烫</t>
    </r>
    <r>
      <rPr>
        <sz val="11"/>
        <color rgb="FF000000"/>
        <rFont val="Calibri"/>
      </rPr>
      <t>到手了。</t>
    </r>
  </si>
  <si>
    <t>Cẩn thận, bát canh này rất nóng, đừng để bị bỏng tay.</t>
  </si>
  <si>
    <t>H5_B19_BG-16.png</t>
  </si>
  <si>
    <t>盖</t>
  </si>
  <si>
    <t>&lt;ruby&gt;盖&lt;rt&gt;gài&lt;/rt&gt;&lt;/ruby&gt;</t>
  </si>
  <si>
    <t>gài</t>
  </si>
  <si>
    <t>đậy; nắp</t>
  </si>
  <si>
    <r>
      <rPr>
        <sz val="11"/>
        <color rgb="FF000000"/>
        <rFont val="Calibri"/>
      </rPr>
      <t>这个锅</t>
    </r>
    <r>
      <rPr>
        <b/>
        <sz val="11"/>
        <color rgb="FF000000"/>
        <rFont val="Calibri"/>
      </rPr>
      <t>盖</t>
    </r>
    <r>
      <rPr>
        <sz val="11"/>
        <color rgb="FF000000"/>
        <rFont val="Calibri"/>
      </rPr>
      <t>太重了。</t>
    </r>
  </si>
  <si>
    <t>Cái vung nồi đó nặng quá.</t>
  </si>
  <si>
    <t>H5_B19_BG-17.png</t>
  </si>
  <si>
    <t>糊</t>
  </si>
  <si>
    <t>&lt;ruby&gt;糊&lt;rt&gt;hú&lt;/rt&gt;&lt;/ruby&gt;</t>
  </si>
  <si>
    <t>khét, cháy</t>
  </si>
  <si>
    <r>
      <rPr>
        <sz val="11"/>
        <color rgb="FF000000"/>
        <rFont val="Calibri"/>
      </rPr>
      <t>我闻到</t>
    </r>
    <r>
      <rPr>
        <b/>
        <sz val="11"/>
        <color rgb="FF000000"/>
        <rFont val="Calibri"/>
      </rPr>
      <t>糊</t>
    </r>
    <r>
      <rPr>
        <sz val="11"/>
        <color rgb="FF000000"/>
        <rFont val="Calibri"/>
      </rPr>
      <t>味了。</t>
    </r>
  </si>
  <si>
    <t>Tôi ngửi thấy mùi khét rồi.</t>
  </si>
  <si>
    <t>H5_B19_BG-18.png</t>
  </si>
  <si>
    <t>文火</t>
  </si>
  <si>
    <t>&lt;ruby&gt;文火&lt;rt&gt;wénhuǒ&lt;/rt&gt;&lt;/ruby&gt;</t>
  </si>
  <si>
    <t>wénhuǒ</t>
  </si>
  <si>
    <t>lửa nhỏ, lửa liu riu</t>
  </si>
  <si>
    <r>
      <rPr>
        <sz val="11"/>
        <color rgb="FF000000"/>
        <rFont val="Calibri"/>
      </rPr>
      <t>煮汤的时候要用</t>
    </r>
    <r>
      <rPr>
        <b/>
        <sz val="11"/>
        <color rgb="FF000000"/>
        <rFont val="Calibri"/>
      </rPr>
      <t>文火</t>
    </r>
    <r>
      <rPr>
        <sz val="11"/>
        <color rgb="FF000000"/>
        <rFont val="Calibri"/>
      </rPr>
      <t>慢慢煮。</t>
    </r>
  </si>
  <si>
    <t>Khi nấu canh, phải nấu trên lửa nhỏ liu riu.</t>
  </si>
  <si>
    <t>H5_B19_BG-19.png</t>
  </si>
  <si>
    <t>口味</t>
  </si>
  <si>
    <t>&lt;ruby&gt;口味&lt;rt&gt;kǒuwèi&lt;/rt&gt;&lt;/ruby&gt;</t>
  </si>
  <si>
    <t>kǒuwèi</t>
  </si>
  <si>
    <t>mùi vị, hương vị</t>
  </si>
  <si>
    <r>
      <rPr>
        <sz val="11"/>
        <color rgb="FF000000"/>
        <rFont val="Calibri"/>
      </rPr>
      <t>这道菜的</t>
    </r>
    <r>
      <rPr>
        <b/>
        <sz val="11"/>
        <color rgb="FF000000"/>
        <rFont val="Calibri"/>
      </rPr>
      <t>口味</t>
    </r>
    <r>
      <rPr>
        <sz val="11"/>
        <color rgb="FF000000"/>
        <rFont val="Calibri"/>
      </rPr>
      <t>很特别，又酸又甜。</t>
    </r>
  </si>
  <si>
    <t>Hương vị của món ăn này rất đặc biệt, chua chua ngọt ngọt.</t>
  </si>
  <si>
    <t>H5_B19_BG-20.png</t>
  </si>
  <si>
    <t>少许</t>
  </si>
  <si>
    <t>&lt;ruby&gt;少许&lt;rt&gt;shǎoxǔ&lt;/rt&gt;&lt;/ruby&gt;</t>
  </si>
  <si>
    <t>shǎoxǔ</t>
  </si>
  <si>
    <t>một chút</t>
  </si>
  <si>
    <r>
      <rPr>
        <sz val="11"/>
        <color rgb="FF000000"/>
        <rFont val="Calibri"/>
      </rPr>
      <t>这道菜只需要加</t>
    </r>
    <r>
      <rPr>
        <b/>
        <sz val="11"/>
        <color rgb="FF000000"/>
        <rFont val="Calibri"/>
      </rPr>
      <t>少许</t>
    </r>
    <r>
      <rPr>
        <sz val="11"/>
        <color rgb="FF000000"/>
        <rFont val="Calibri"/>
      </rPr>
      <t>辣椒就够了。</t>
    </r>
  </si>
  <si>
    <t>Món ăn này chỉ cần một chút ớt là đủ.</t>
  </si>
  <si>
    <t>H5_B19_BG-21.png</t>
  </si>
  <si>
    <t>酱油</t>
  </si>
  <si>
    <t>&lt;ruby&gt;酱油&lt;rt&gt;jiàngyóu&lt;/rt&gt;&lt;/ruby&gt;</t>
  </si>
  <si>
    <t>jiàngyóu</t>
  </si>
  <si>
    <t>nước tương</t>
  </si>
  <si>
    <r>
      <rPr>
        <sz val="11"/>
        <color rgb="FF000000"/>
        <rFont val="Calibri"/>
      </rPr>
      <t>这道菜用了很多</t>
    </r>
    <r>
      <rPr>
        <b/>
        <sz val="11"/>
        <color rgb="FF000000"/>
        <rFont val="Calibri"/>
      </rPr>
      <t>酱油</t>
    </r>
    <r>
      <rPr>
        <sz val="11"/>
        <color rgb="FF000000"/>
        <rFont val="Calibri"/>
      </rPr>
      <t>，味道很浓。</t>
    </r>
  </si>
  <si>
    <t>Món ăn này dùng rất nhiều nước tương, hương vị rất đậm.</t>
  </si>
  <si>
    <t>H5_B19_BG-22.png</t>
  </si>
  <si>
    <t>醋</t>
  </si>
  <si>
    <t>&lt;ruby&gt;醋&lt;rt&gt;cù&lt;/rt&gt;&lt;/ruby&gt;</t>
  </si>
  <si>
    <t>cù</t>
  </si>
  <si>
    <t>giấm</t>
  </si>
  <si>
    <r>
      <rPr>
        <sz val="11"/>
        <color rgb="FF000000"/>
        <rFont val="Calibri"/>
      </rPr>
      <t>他喜欢炒菜时加点</t>
    </r>
    <r>
      <rPr>
        <b/>
        <sz val="11"/>
        <color rgb="FF000000"/>
        <rFont val="Calibri"/>
      </rPr>
      <t>醋</t>
    </r>
    <r>
      <rPr>
        <sz val="11"/>
        <color rgb="FF000000"/>
        <rFont val="Calibri"/>
      </rPr>
      <t>，这样味道会更浓郁。</t>
    </r>
  </si>
  <si>
    <t>Anh ấy thích thêm giấm khi xào món ăn, như vậy món ăn sẽ có hương vị đậm đà hơn.</t>
  </si>
  <si>
    <t>H5_B19_BG-23.png</t>
  </si>
  <si>
    <t>焦</t>
  </si>
  <si>
    <t>&lt;ruby&gt;焦&lt;rt&gt;jiāo&lt;/rt&gt;&lt;/ruby&gt;</t>
  </si>
  <si>
    <t>bị cháy</t>
  </si>
  <si>
    <r>
      <rPr>
        <sz val="11"/>
        <color rgb="FF000000"/>
        <rFont val="Calibri"/>
      </rPr>
      <t>这块面包烤得有点</t>
    </r>
    <r>
      <rPr>
        <b/>
        <sz val="11"/>
        <color rgb="FF000000"/>
        <rFont val="Calibri"/>
      </rPr>
      <t>焦</t>
    </r>
    <r>
      <rPr>
        <sz val="11"/>
        <color rgb="FF000000"/>
        <rFont val="Calibri"/>
      </rPr>
      <t>了，但还是能吃。</t>
    </r>
  </si>
  <si>
    <t>Chiếc bánh mì này nướng hơi bị cháy, nhưng vẫn có thể ăn được.</t>
  </si>
  <si>
    <t>H5_B19_BG-24.png</t>
  </si>
  <si>
    <t>嫩</t>
  </si>
  <si>
    <t>&lt;ruby&gt;嫩&lt;rt&gt;nèn&lt;/rt&gt;&lt;/ruby&gt;</t>
  </si>
  <si>
    <t>nèn</t>
  </si>
  <si>
    <t>mềm</t>
  </si>
  <si>
    <r>
      <rPr>
        <sz val="11"/>
        <color rgb="FF000000"/>
        <rFont val="Calibri"/>
      </rPr>
      <t>这块牛肉非常</t>
    </r>
    <r>
      <rPr>
        <b/>
        <sz val="11"/>
        <color rgb="FF000000"/>
        <rFont val="Calibri"/>
      </rPr>
      <t>嫩</t>
    </r>
    <r>
      <rPr>
        <sz val="11"/>
        <color rgb="FF000000"/>
        <rFont val="Calibri"/>
      </rPr>
      <t>，吃起来很香。</t>
    </r>
  </si>
  <si>
    <t>Miếng thịt bò này rất mềm, ăn rất ngon.</t>
  </si>
  <si>
    <t>H5_B19_BG-25.png</t>
  </si>
  <si>
    <t>原料</t>
  </si>
  <si>
    <t>&lt;ruby&gt;原料&lt;rt&gt;yuánliào&lt;/rt&gt;&lt;/ruby&gt;</t>
  </si>
  <si>
    <t>yuánliào</t>
  </si>
  <si>
    <t>nguyên liệu</t>
  </si>
  <si>
    <r>
      <rPr>
        <sz val="11"/>
        <color rgb="FF000000"/>
        <rFont val="Calibri"/>
      </rPr>
      <t>这道菜的</t>
    </r>
    <r>
      <rPr>
        <b/>
        <sz val="11"/>
        <color rgb="FF000000"/>
        <rFont val="Calibri"/>
      </rPr>
      <t>原料</t>
    </r>
    <r>
      <rPr>
        <sz val="11"/>
        <color rgb="FF000000"/>
        <rFont val="Calibri"/>
      </rPr>
      <t>非常丰富。</t>
    </r>
  </si>
  <si>
    <t>Nguyên liệu của món ăn này rất phong phú.</t>
  </si>
  <si>
    <t>H5_B19_BG-26.png</t>
  </si>
  <si>
    <t>家乡</t>
  </si>
  <si>
    <t>&lt;ruby&gt;家乡&lt;rt&gt;jiāxiāng&lt;/rt&gt;&lt;/ruby&gt;</t>
  </si>
  <si>
    <t>jiāxiāng</t>
  </si>
  <si>
    <t>quê nhà, quê hương</t>
  </si>
  <si>
    <r>
      <rPr>
        <sz val="11"/>
        <color rgb="FF000000"/>
        <rFont val="Calibri"/>
      </rPr>
      <t>我很想念我的</t>
    </r>
    <r>
      <rPr>
        <b/>
        <sz val="11"/>
        <color rgb="FF000000"/>
        <rFont val="Calibri"/>
      </rPr>
      <t>家乡</t>
    </r>
    <r>
      <rPr>
        <sz val="11"/>
        <color rgb="FF000000"/>
        <rFont val="Calibri"/>
      </rPr>
      <t>，那里的美食是我最喜欢的。</t>
    </r>
  </si>
  <si>
    <t>Tôi rất nhớ quê hương của mình, nơi đó có những món ăn tôi yêu thích nhất.</t>
  </si>
  <si>
    <t>H5_B19_BG-27.png</t>
  </si>
  <si>
    <t>怀念</t>
  </si>
  <si>
    <t>&lt;ruby&gt;怀念&lt;rt&gt;huáiniàn&lt;/rt&gt;&lt;/ruby&gt;</t>
  </si>
  <si>
    <t>huáiniàn</t>
  </si>
  <si>
    <t>tưởng nhớ, nhớ</t>
  </si>
  <si>
    <r>
      <rPr>
        <sz val="11"/>
        <color rgb="FF000000"/>
        <rFont val="Calibri"/>
      </rPr>
      <t>他经常</t>
    </r>
    <r>
      <rPr>
        <b/>
        <sz val="11"/>
        <color rgb="FF000000"/>
        <rFont val="Calibri"/>
      </rPr>
      <t>怀念</t>
    </r>
    <r>
      <rPr>
        <sz val="11"/>
        <color rgb="FF000000"/>
        <rFont val="Calibri"/>
      </rPr>
      <t>和朋友们一起旅行的日子。</t>
    </r>
  </si>
  <si>
    <t>Anh ấy thường nhớ về chuyến du lịch đã cùng bạn bè trải qua.</t>
  </si>
  <si>
    <t>H5_B19_BG-28.png</t>
  </si>
  <si>
    <t>色彩</t>
  </si>
  <si>
    <t>&lt;ruby&gt;色彩&lt;rt&gt;sècǎi&lt;/rt&gt;&lt;/ruby&gt;</t>
  </si>
  <si>
    <t>sècǎi</t>
  </si>
  <si>
    <t>màu sắc, trạng thái</t>
  </si>
  <si>
    <r>
      <rPr>
        <sz val="11"/>
        <color rgb="FF000000"/>
        <rFont val="Calibri"/>
      </rPr>
      <t>这幅画的</t>
    </r>
    <r>
      <rPr>
        <b/>
        <sz val="11"/>
        <color rgb="FF000000"/>
        <rFont val="Calibri"/>
      </rPr>
      <t>色彩</t>
    </r>
    <r>
      <rPr>
        <sz val="11"/>
        <color rgb="FF000000"/>
        <rFont val="Calibri"/>
      </rPr>
      <t>非常鲜艳，让人感觉愉快。</t>
    </r>
  </si>
  <si>
    <t>Màu sắc của bức tranh này rất tươi tắn, mang lại cho người xem một cảm giác vui vẻ.</t>
  </si>
  <si>
    <t>H5_B19_BG-29.png</t>
  </si>
  <si>
    <t>想念</t>
  </si>
  <si>
    <t>&lt;ruby&gt;想念&lt;rt&gt;xiǎngniàn&lt;/rt&gt;&lt;/ruby&gt;</t>
  </si>
  <si>
    <t>xiǎngniàn</t>
  </si>
  <si>
    <t>nhớ</t>
  </si>
  <si>
    <r>
      <rPr>
        <sz val="11"/>
        <color rgb="FF000000"/>
        <rFont val="Calibri"/>
      </rPr>
      <t>我非常</t>
    </r>
    <r>
      <rPr>
        <b/>
        <sz val="11"/>
        <color rgb="FF000000"/>
        <rFont val="Calibri"/>
      </rPr>
      <t>想念</t>
    </r>
    <r>
      <rPr>
        <sz val="11"/>
        <color rgb="FF000000"/>
        <rFont val="Calibri"/>
      </rPr>
      <t>我的朋友，希望能早点见到她。</t>
    </r>
  </si>
  <si>
    <t>Tôi rất nhớ bạn của mình, hy vọng có thể gặp cô ấy sớm.</t>
  </si>
  <si>
    <t>H5_B19_BG-30.png</t>
  </si>
  <si>
    <t>青</t>
  </si>
  <si>
    <t>&lt;ruby&gt;青&lt;rt&gt;qīng&lt;/rt&gt;&lt;/ruby&gt;</t>
  </si>
  <si>
    <t>xanh</t>
  </si>
  <si>
    <r>
      <rPr>
        <b/>
        <sz val="11"/>
        <color rgb="FF000000"/>
        <rFont val="Calibri"/>
      </rPr>
      <t>青</t>
    </r>
    <r>
      <rPr>
        <sz val="11"/>
        <color rgb="FF000000"/>
        <rFont val="Calibri"/>
      </rPr>
      <t>椒富含维生素C。</t>
    </r>
  </si>
  <si>
    <t>Ớt xanh rất giàu vitamin C.</t>
  </si>
  <si>
    <t>H5_B19_BG-31.png</t>
  </si>
  <si>
    <t>紫</t>
  </si>
  <si>
    <t>&lt;ruby&gt;紫&lt;rt&gt;zǐ&lt;/rt&gt;&lt;/ruby&gt;</t>
  </si>
  <si>
    <t>zǐ</t>
  </si>
  <si>
    <t>tím</t>
  </si>
  <si>
    <r>
      <rPr>
        <sz val="11"/>
        <color rgb="FF000000"/>
        <rFont val="Calibri"/>
      </rPr>
      <t>她穿了一条</t>
    </r>
    <r>
      <rPr>
        <b/>
        <sz val="11"/>
        <color rgb="FF000000"/>
        <rFont val="Calibri"/>
      </rPr>
      <t>紫</t>
    </r>
    <r>
      <rPr>
        <sz val="11"/>
        <color rgb="FF000000"/>
        <rFont val="Calibri"/>
      </rPr>
      <t>色的裙子，看起来很漂亮。</t>
    </r>
  </si>
  <si>
    <t>Cô ấy mặc một chiếc váy màu tím, trông rất đẹp.</t>
  </si>
  <si>
    <t>H5_B19_BG-32.png</t>
  </si>
  <si>
    <t>赏心悦目</t>
  </si>
  <si>
    <t>&lt;ruby&gt;赏心悦目&lt;rt&gt;shǎngxīn-yuèmù&lt;/rt&gt;&lt;/ruby&gt;</t>
  </si>
  <si>
    <t>shǎngxīn-yuèmù</t>
  </si>
  <si>
    <t>sướng mắt đẹp lòng</t>
  </si>
  <si>
    <r>
      <rPr>
        <sz val="11"/>
        <color rgb="FF000000"/>
        <rFont val="Calibri"/>
      </rPr>
      <t>她的笑容让人</t>
    </r>
    <r>
      <rPr>
        <b/>
        <sz val="11"/>
        <color rgb="FF000000"/>
        <rFont val="Calibri"/>
      </rPr>
      <t>赏心悦目</t>
    </r>
    <r>
      <rPr>
        <sz val="11"/>
        <color rgb="FF000000"/>
        <rFont val="Calibri"/>
      </rPr>
      <t>。</t>
    </r>
  </si>
  <si>
    <t>Nụ cười của cô ấy thật bắt mắt.</t>
  </si>
  <si>
    <t>H5_B19_BG-33.png</t>
  </si>
  <si>
    <t>B19_33.mp3</t>
  </si>
  <si>
    <t>B19_VD_33.mp3</t>
  </si>
  <si>
    <t>般</t>
  </si>
  <si>
    <t>&lt;ruby&gt;般&lt;rt&gt;bān&lt;/rt&gt;&lt;/ruby&gt;</t>
  </si>
  <si>
    <t>giống nhau, tựa như</t>
  </si>
  <si>
    <r>
      <rPr>
        <sz val="11"/>
        <color rgb="FF000000"/>
        <rFont val="Calibri"/>
      </rPr>
      <t>他跑得像风一</t>
    </r>
    <r>
      <rPr>
        <b/>
        <sz val="11"/>
        <color rgb="FF000000"/>
        <rFont val="Calibri"/>
      </rPr>
      <t>般</t>
    </r>
    <r>
      <rPr>
        <sz val="11"/>
        <color rgb="FF000000"/>
        <rFont val="Calibri"/>
      </rPr>
      <t>快。</t>
    </r>
  </si>
  <si>
    <t>Cậu ấy chạy nhanh như gió.</t>
  </si>
  <si>
    <t>H5_B19_BG-34.png</t>
  </si>
  <si>
    <t>B19_34.mp3</t>
  </si>
  <si>
    <t>B19_VD_34.mp3</t>
  </si>
  <si>
    <t>夸</t>
  </si>
  <si>
    <t>&lt;ruby&gt;夸&lt;rt&gt;kuā&lt;/rt&gt;&lt;/ruby&gt;</t>
  </si>
  <si>
    <t>kuā</t>
  </si>
  <si>
    <t>khen ngợi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</si>
  <si>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夸</t>
    </r>
    <r>
      <rPr>
        <sz val="11"/>
        <color rgb="FF000000"/>
        <rFont val="Calibri"/>
      </rPr>
      <t>奖了团队成员的表现。</t>
    </r>
  </si>
  <si>
    <t>Anh ấy khen ngợi sự thể hiện của các thành viên.</t>
  </si>
  <si>
    <t>H5_B19_BG-35.png</t>
  </si>
  <si>
    <t>B19_35.mp3</t>
  </si>
  <si>
    <t>B19_VD_35.mp3</t>
  </si>
  <si>
    <t>折叠</t>
  </si>
  <si>
    <t>&lt;ruby&gt;折叠&lt;rt&gt;zhédié&lt;/rt&gt;&lt;/ruby&gt;</t>
  </si>
  <si>
    <t>zhédié</t>
  </si>
  <si>
    <t>gấp, xếp</t>
  </si>
  <si>
    <r>
      <rPr>
        <sz val="11"/>
        <color rgb="FF000000"/>
        <rFont val="Calibri"/>
      </rPr>
      <t>衣服已经被我</t>
    </r>
    <r>
      <rPr>
        <b/>
        <sz val="11"/>
        <color rgb="FF000000"/>
        <rFont val="Calibri"/>
      </rPr>
      <t>折叠</t>
    </r>
    <r>
      <rPr>
        <sz val="11"/>
        <color rgb="FF000000"/>
        <rFont val="Calibri"/>
      </rPr>
      <t>得很整齐了。</t>
    </r>
  </si>
  <si>
    <t>Quần áo đã được tôi gấp rất gọn gàng.</t>
  </si>
  <si>
    <t>H5_B19_BG-36.png</t>
  </si>
  <si>
    <t>B19_36.mp3</t>
  </si>
  <si>
    <t>B19_VD_36.mp3</t>
  </si>
  <si>
    <t>透明</t>
  </si>
  <si>
    <t>&lt;ruby&gt;透明&lt;rt&gt;tòumíng&lt;/rt&gt;&lt;/ruby&gt;</t>
  </si>
  <si>
    <t>tòumíng</t>
  </si>
  <si>
    <t>trong suốt</t>
  </si>
  <si>
    <r>
      <rPr>
        <sz val="11"/>
        <color rgb="FF000000"/>
        <rFont val="Calibri"/>
      </rPr>
      <t>这杯水很</t>
    </r>
    <r>
      <rPr>
        <b/>
        <sz val="11"/>
        <color rgb="FF000000"/>
        <rFont val="Calibri"/>
      </rPr>
      <t>透明</t>
    </r>
    <r>
      <rPr>
        <sz val="11"/>
        <color rgb="FF000000"/>
        <rFont val="Calibri"/>
      </rPr>
      <t>，可以看到里面的冰块。</t>
    </r>
  </si>
  <si>
    <t>Cốc nước này rất trong suốt, có thể nhìn thấy các viên đá bên trong.</t>
  </si>
  <si>
    <t>H5_B19_BG-37.png</t>
  </si>
  <si>
    <t>B19_37.mp3</t>
  </si>
  <si>
    <t>B19_VD_37.mp3</t>
  </si>
  <si>
    <t>圈</t>
  </si>
  <si>
    <t>&lt;ruby&gt;圈&lt;rt&gt;quān&lt;/rt&gt;&lt;/ruby&gt;</t>
  </si>
  <si>
    <t>quān</t>
  </si>
  <si>
    <t>vòng</t>
  </si>
  <si>
    <r>
      <rPr>
        <sz val="11"/>
        <color rgb="FF000000"/>
        <rFont val="Calibri"/>
      </rPr>
      <t>他画了一个大圆</t>
    </r>
    <r>
      <rPr>
        <b/>
        <sz val="11"/>
        <color rgb="FF000000"/>
        <rFont val="Calibri"/>
      </rPr>
      <t>圈</t>
    </r>
    <r>
      <rPr>
        <sz val="11"/>
        <color rgb="FF000000"/>
        <rFont val="Calibri"/>
      </rPr>
      <t>。</t>
    </r>
  </si>
  <si>
    <t>Anh ấy vẽ một vòng tròn lớn.</t>
  </si>
  <si>
    <t>H5_B19_BG-38.png</t>
  </si>
  <si>
    <t>B19_38.mp3</t>
  </si>
  <si>
    <t>B19_VD_38.mp3</t>
  </si>
  <si>
    <t>预防</t>
  </si>
  <si>
    <t>&lt;ruby&gt;预防&lt;rt&gt;yùfáng&lt;/rt&gt;&lt;/ruby&gt;</t>
  </si>
  <si>
    <t>yùfáng</t>
  </si>
  <si>
    <t>đề phòng, ngăn ngừa</t>
  </si>
  <si>
    <r>
      <rPr>
        <sz val="11"/>
        <color rgb="FF000000"/>
        <rFont val="Calibri"/>
      </rPr>
      <t>常洗手可以</t>
    </r>
    <r>
      <rPr>
        <b/>
        <sz val="11"/>
        <color rgb="FF000000"/>
        <rFont val="Calibri"/>
      </rPr>
      <t>预防</t>
    </r>
    <r>
      <rPr>
        <sz val="11"/>
        <color rgb="FF000000"/>
        <rFont val="Calibri"/>
      </rPr>
      <t>传染病。</t>
    </r>
  </si>
  <si>
    <t>Rửa tay thường xuyên ngừa bệnh truyền nhiễm.</t>
  </si>
  <si>
    <t>H5_B19_BG-39.png</t>
  </si>
  <si>
    <t>B19_39.mp3</t>
  </si>
  <si>
    <t>B19_VD_39.mp3</t>
  </si>
  <si>
    <t>闻</t>
  </si>
  <si>
    <t>&lt;ruby&gt;闻&lt;rt&gt;wén&lt;/rt&gt;&lt;/ruby&gt;</t>
  </si>
  <si>
    <t>wén</t>
  </si>
  <si>
    <t>ngửi</t>
  </si>
  <si>
    <r>
      <rPr>
        <sz val="11"/>
        <color rgb="FF000000"/>
        <rFont val="Calibri"/>
      </rPr>
      <t>我</t>
    </r>
    <r>
      <rPr>
        <b/>
        <sz val="11"/>
        <color rgb="FF000000"/>
        <rFont val="Calibri"/>
      </rPr>
      <t>闻</t>
    </r>
    <r>
      <rPr>
        <sz val="11"/>
        <color rgb="FF000000"/>
        <rFont val="Calibri"/>
      </rPr>
      <t>到了咖啡的香味。</t>
    </r>
  </si>
  <si>
    <t>Tôi ngửi thấy hương cà phê.</t>
  </si>
  <si>
    <t>H5_B19_BG-40.png</t>
  </si>
  <si>
    <t>B19_40.mp3</t>
  </si>
  <si>
    <t>B19_VD_40.mp3</t>
  </si>
  <si>
    <t>趁</t>
  </si>
  <si>
    <t>&lt;ruby&gt;趁&lt;rt&gt;chèn&lt;/rt&gt;&lt;/ruby&gt;</t>
  </si>
  <si>
    <t>chèn</t>
  </si>
  <si>
    <t>nhân (lúc), thừa (dịp)</t>
  </si>
  <si>
    <r>
      <rPr>
        <b/>
        <sz val="11"/>
        <color rgb="FF000000"/>
        <rFont val="Calibri"/>
      </rPr>
      <t>趁</t>
    </r>
    <r>
      <rPr>
        <sz val="11"/>
        <color rgb="FF000000"/>
        <rFont val="Calibri"/>
      </rPr>
      <t>年轻，我们应该多学习，增加自己的知识。</t>
    </r>
  </si>
  <si>
    <t>Nhân lúc còn trẻ, chúng ta nên học hỏi nhiều hơn để tăng cường kiến thức của bản thân.</t>
  </si>
  <si>
    <t>H5_B19_BG-41.png</t>
  </si>
  <si>
    <t>B19_41.mp3</t>
  </si>
  <si>
    <t>B19_VD_41.mp3</t>
  </si>
  <si>
    <t>特色</t>
  </si>
  <si>
    <t>&lt;ruby&gt;特色&lt;rt&gt;tèsè&lt;/rt&gt;&lt;/ruby&gt;</t>
  </si>
  <si>
    <t>tèsè</t>
  </si>
  <si>
    <t>đặc điểm, đặc trưng</t>
  </si>
  <si>
    <r>
      <rPr>
        <sz val="11"/>
        <color rgb="FF000000"/>
        <rFont val="Calibri"/>
      </rPr>
      <t>这家餐馆的</t>
    </r>
    <r>
      <rPr>
        <b/>
        <sz val="11"/>
        <color rgb="FF000000"/>
        <rFont val="Calibri"/>
      </rPr>
      <t>特色</t>
    </r>
    <r>
      <rPr>
        <sz val="11"/>
        <color rgb="FF000000"/>
        <rFont val="Calibri"/>
      </rPr>
      <t>是紫菜包饭。</t>
    </r>
  </si>
  <si>
    <t>Đặc trưng của nhà hàng này là kimbap</t>
  </si>
  <si>
    <t>H5_B19_BG-42.png</t>
  </si>
  <si>
    <t>B19_42.mp3</t>
  </si>
  <si>
    <t>B19_VD_42.mp3</t>
  </si>
  <si>
    <t>痰</t>
  </si>
  <si>
    <t>&lt;ruby&gt;痰&lt;rt&gt;tán&lt;/rt&gt;&lt;/ruby&gt;</t>
  </si>
  <si>
    <t>tán</t>
  </si>
  <si>
    <t>đàm, đờm</t>
  </si>
  <si>
    <r>
      <rPr>
        <sz val="11"/>
        <color rgb="FF000000"/>
        <rFont val="Calibri"/>
      </rPr>
      <t>喉咙里有</t>
    </r>
    <r>
      <rPr>
        <b/>
        <sz val="11"/>
        <color rgb="FF000000"/>
        <rFont val="Calibri"/>
      </rPr>
      <t>痰</t>
    </r>
    <r>
      <rPr>
        <sz val="11"/>
        <color rgb="FF000000"/>
        <rFont val="Calibri"/>
      </rPr>
      <t>让人感觉很不舒服。</t>
    </r>
  </si>
  <si>
    <t>Đờm mắc trong cổ họng rất khó chịu.</t>
  </si>
  <si>
    <t>H5_B19_BG-43.png</t>
  </si>
  <si>
    <t>B19_43.mp3</t>
  </si>
  <si>
    <t>B19_VD_43.mp3</t>
  </si>
  <si>
    <t>平安</t>
  </si>
  <si>
    <t>&lt;ruby&gt;平安&lt;rt&gt;píng'ān&lt;/rt&gt;&lt;/ruby&gt;</t>
  </si>
  <si>
    <t>píng'ān</t>
  </si>
  <si>
    <t>bình an, an toàn</t>
  </si>
  <si>
    <r>
      <rPr>
        <sz val="11"/>
        <color rgb="FF000000"/>
        <rFont val="Calibri"/>
      </rPr>
      <t>发个短信告诉他你</t>
    </r>
    <r>
      <rPr>
        <b/>
        <sz val="11"/>
        <color rgb="FF000000"/>
        <rFont val="Calibri"/>
      </rPr>
      <t>平安</t>
    </r>
    <r>
      <rPr>
        <sz val="11"/>
        <color rgb="FF000000"/>
        <rFont val="Calibri"/>
      </rPr>
      <t>无事。</t>
    </r>
  </si>
  <si>
    <t>Nhắn tin báo bình an cho anh ấy</t>
  </si>
  <si>
    <t>H5_B19_BG-44.png</t>
  </si>
  <si>
    <t>B19_44.mp3</t>
  </si>
  <si>
    <t>B19_VD_44.mp3</t>
  </si>
  <si>
    <t>无数</t>
  </si>
  <si>
    <t>&lt;ruby&gt;无数&lt;rt&gt;wúshù&lt;/rt&gt;&lt;/ruby&gt;</t>
  </si>
  <si>
    <t>wúshù</t>
  </si>
  <si>
    <t>vô số</t>
  </si>
  <si>
    <r>
      <rPr>
        <sz val="11"/>
        <color rgb="FF000000"/>
        <rFont val="Calibri"/>
      </rPr>
      <t>夜空中有</t>
    </r>
    <r>
      <rPr>
        <b/>
        <sz val="11"/>
        <color rgb="FF000000"/>
        <rFont val="Calibri"/>
      </rPr>
      <t>无数</t>
    </r>
    <r>
      <rPr>
        <sz val="11"/>
        <color rgb="FF000000"/>
        <rFont val="Calibri"/>
      </rPr>
      <t>颗星星，像钻石一样闪耀。</t>
    </r>
  </si>
  <si>
    <t>Trên bầu trời đêm có vô số ngôi sao, chúng sáng lấp lánh như những viên kim cương.</t>
  </si>
  <si>
    <t>H5_B20_BG-01.png</t>
  </si>
  <si>
    <t>毫无</t>
  </si>
  <si>
    <t>&lt;ruby&gt;毫无&lt;rt&gt;háowú&lt;/rt&gt;&lt;/ruby&gt;</t>
  </si>
  <si>
    <t>háowú</t>
  </si>
  <si>
    <t>không chút</t>
  </si>
  <si>
    <r>
      <rPr>
        <sz val="11"/>
        <color rgb="FF000000"/>
        <rFont val="Calibri"/>
      </rPr>
      <t>这件衣服我</t>
    </r>
    <r>
      <rPr>
        <b/>
        <sz val="11"/>
        <color rgb="FF000000"/>
        <rFont val="Calibri"/>
      </rPr>
      <t>毫无</t>
    </r>
    <r>
      <rPr>
        <sz val="11"/>
        <color rgb="FF000000"/>
        <rFont val="Calibri"/>
      </rPr>
      <t>兴趣，完全不想买。</t>
    </r>
  </si>
  <si>
    <t>Chiếc váy này tôi không chút hứng thú, hoàn toàn không muốn mua.</t>
  </si>
  <si>
    <t>H5_B20_BG-02.png</t>
  </si>
  <si>
    <t>疑问</t>
  </si>
  <si>
    <t>&lt;ruby&gt;疑问&lt;rt&gt;yíwèn&lt;/rt&gt;&lt;/ruby&gt;</t>
  </si>
  <si>
    <t>yíwèn</t>
  </si>
  <si>
    <t>sự nghi ngờ</t>
  </si>
  <si>
    <r>
      <rPr>
        <sz val="11"/>
        <color rgb="FF000000"/>
        <rFont val="Calibri"/>
      </rPr>
      <t>她对这份文件有很多</t>
    </r>
    <r>
      <rPr>
        <b/>
        <sz val="11"/>
        <color rgb="FF000000"/>
        <rFont val="Calibri"/>
      </rPr>
      <t>疑问</t>
    </r>
    <r>
      <rPr>
        <sz val="11"/>
        <color rgb="FF000000"/>
        <rFont val="Calibri"/>
      </rPr>
      <t>。</t>
    </r>
  </si>
  <si>
    <t xml:space="preserve"> Cô ấy có rất nhiều sự nghi vấn về tài liệu này.</t>
  </si>
  <si>
    <t>H5_B20_BG-03.png</t>
  </si>
  <si>
    <t>棚子</t>
  </si>
  <si>
    <t>&lt;ruby&gt;棚子&lt;rt&gt;péngzi&lt;/rt&gt;&lt;/ruby&gt;</t>
  </si>
  <si>
    <t>péngzi</t>
  </si>
  <si>
    <t>lều, chuồng</t>
  </si>
  <si>
    <r>
      <rPr>
        <sz val="11"/>
        <color rgb="FF000000"/>
        <rFont val="Calibri"/>
      </rPr>
      <t>他们在院子里搭了一个</t>
    </r>
    <r>
      <rPr>
        <b/>
        <sz val="11"/>
        <color rgb="FF000000"/>
        <rFont val="Calibri"/>
      </rPr>
      <t>棚子</t>
    </r>
    <r>
      <rPr>
        <sz val="11"/>
        <color rgb="FF000000"/>
        <rFont val="Calibri"/>
      </rPr>
      <t>来放工具。</t>
    </r>
  </si>
  <si>
    <t>Họ đã dựng một cái lều trong sân để đựng công cụ.</t>
  </si>
  <si>
    <t>H5_B20_BG-04.png</t>
  </si>
  <si>
    <t>砖头</t>
  </si>
  <si>
    <t>&lt;ruby&gt;砖头&lt;rt&gt;zhuāntóu&lt;/rt&gt;&lt;/ruby&gt;</t>
  </si>
  <si>
    <t>zhuāntóu</t>
  </si>
  <si>
    <t>gạch</t>
  </si>
  <si>
    <r>
      <rPr>
        <sz val="11"/>
        <color rgb="FF000000"/>
        <rFont val="Calibri"/>
      </rPr>
      <t>他用</t>
    </r>
    <r>
      <rPr>
        <b/>
        <sz val="11"/>
        <color rgb="FF000000"/>
        <rFont val="Calibri"/>
      </rPr>
      <t>砖头</t>
    </r>
    <r>
      <rPr>
        <sz val="11"/>
        <color rgb="FF000000"/>
        <rFont val="Calibri"/>
      </rPr>
      <t>建了一座小房子。</t>
    </r>
  </si>
  <si>
    <t>Anh ấy đã dùng gạch để xây một ngôi nhà nhỏ.</t>
  </si>
  <si>
    <t>H5_B20_BG-05.png</t>
  </si>
  <si>
    <t>chống, đỡ</t>
  </si>
  <si>
    <r>
      <rPr>
        <sz val="11"/>
        <color rgb="FF000000"/>
        <rFont val="Calibri"/>
      </rPr>
      <t>我外公需要</t>
    </r>
    <r>
      <rPr>
        <b/>
        <sz val="11"/>
        <color rgb="FF000000"/>
        <rFont val="Calibri"/>
      </rPr>
      <t>支</t>
    </r>
    <r>
      <rPr>
        <sz val="11"/>
        <color rgb="FF000000"/>
        <rFont val="Calibri"/>
      </rPr>
      <t>着拐杖慢慢走路。</t>
    </r>
  </si>
  <si>
    <t>Ông ngoại tôi phải chống gậy đi bộ, bước đi rất chậm.</t>
  </si>
  <si>
    <t>H5_B20_BG-06.png</t>
  </si>
  <si>
    <t>粗糙</t>
  </si>
  <si>
    <t>&lt;ruby&gt;粗糙&lt;rt&gt;cūcāo&lt;/rt&gt;&lt;/ruby&gt;</t>
  </si>
  <si>
    <t>cūcāo</t>
  </si>
  <si>
    <t>sần sùi, thô, gồ ghề</t>
  </si>
  <si>
    <r>
      <rPr>
        <sz val="11"/>
        <color rgb="FF000000"/>
        <rFont val="Calibri"/>
      </rPr>
      <t>这些石头很</t>
    </r>
    <r>
      <rPr>
        <b/>
        <sz val="11"/>
        <color rgb="FF000000"/>
        <rFont val="Calibri"/>
      </rPr>
      <t>粗糙</t>
    </r>
    <r>
      <rPr>
        <sz val="11"/>
        <color rgb="FF000000"/>
        <rFont val="Calibri"/>
      </rPr>
      <t>，不适合用来雕刻。</t>
    </r>
  </si>
  <si>
    <t>Những viên đá này rất thô, không thích hợp để điêu khắc.</t>
  </si>
  <si>
    <t>H5_B20_BG-07.png</t>
  </si>
  <si>
    <t>木头</t>
  </si>
  <si>
    <t>&lt;ruby&gt;木头&lt;rt&gt;mùtou&lt;/rt&gt;&lt;/ruby&gt;</t>
  </si>
  <si>
    <t>mùtou</t>
  </si>
  <si>
    <t>gỗ</t>
  </si>
  <si>
    <r>
      <rPr>
        <sz val="11"/>
        <color rgb="FF000000"/>
        <rFont val="Calibri"/>
      </rPr>
      <t>这把椅子是用</t>
    </r>
    <r>
      <rPr>
        <b/>
        <sz val="11"/>
        <color rgb="FF000000"/>
        <rFont val="Calibri"/>
      </rPr>
      <t>木头</t>
    </r>
    <r>
      <rPr>
        <sz val="11"/>
        <color rgb="FF000000"/>
        <rFont val="Calibri"/>
      </rPr>
      <t>做的，非常结实。</t>
    </r>
  </si>
  <si>
    <t>Chiếc ghế này được làm bằng gỗ, rất chắc chắn.</t>
  </si>
  <si>
    <t>H5_B20_BG-08.png</t>
  </si>
  <si>
    <t>整齐</t>
  </si>
  <si>
    <t>&lt;ruby&gt;整齐&lt;rt&gt;zhěngqí&lt;/rt&gt;&lt;/ruby&gt;</t>
  </si>
  <si>
    <t>zhěngqí</t>
  </si>
  <si>
    <t>ngay ngắn, đều đặn, ngăn nắp</t>
  </si>
  <si>
    <r>
      <rPr>
        <sz val="11"/>
        <color rgb="FF000000"/>
        <rFont val="Calibri"/>
      </rPr>
      <t>他的房间很</t>
    </r>
    <r>
      <rPr>
        <b/>
        <sz val="11"/>
        <color rgb="FF000000"/>
        <rFont val="Calibri"/>
      </rPr>
      <t>整齐</t>
    </r>
    <r>
      <rPr>
        <sz val="11"/>
        <color rgb="FF000000"/>
        <rFont val="Calibri"/>
      </rPr>
      <t>，所有东西都摆放得很有条理。</t>
    </r>
  </si>
  <si>
    <t>Phòng của anh ấy rất ngăn nắp, mọi thứ đều được sắp xếp gọn gàng.</t>
  </si>
  <si>
    <t>H5_B20_BG-09.png</t>
  </si>
  <si>
    <t>从事</t>
  </si>
  <si>
    <t>&lt;ruby&gt;从事&lt;rt&gt;cóngshì&lt;/rt&gt;&lt;/ruby&gt;</t>
  </si>
  <si>
    <t>cóngshì</t>
  </si>
  <si>
    <t>làm, tham gia</t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</si>
  <si>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从事</t>
    </r>
    <r>
      <rPr>
        <sz val="11"/>
        <color rgb="FF000000"/>
        <rFont val="Calibri"/>
      </rPr>
      <t>医生工作已经超过十年了。</t>
    </r>
  </si>
  <si>
    <t>Cô ấy đã làm bác sĩ hơn mười năm rồi.</t>
  </si>
  <si>
    <t>H5_B20_BG-10.png</t>
  </si>
  <si>
    <t>假如</t>
  </si>
  <si>
    <t>&lt;ruby&gt;假如&lt;rt&gt;jiǎrú&lt;/rt&gt;&lt;/ruby&gt;</t>
  </si>
  <si>
    <t>jiǎrú</t>
  </si>
  <si>
    <t>nếu</t>
  </si>
  <si>
    <r>
      <rPr>
        <b/>
        <sz val="11"/>
        <color rgb="FF000000"/>
        <rFont val="Calibri"/>
      </rPr>
      <t>假如</t>
    </r>
    <r>
      <rPr>
        <sz val="11"/>
        <color rgb="FF000000"/>
        <rFont val="Calibri"/>
      </rPr>
      <t>你努力学习，你一定会取得好成绩。</t>
    </r>
  </si>
  <si>
    <t>Nếu bạn cố gắng học tập, bạn chắc chắn sẽ đạt được kết quả tốt.</t>
  </si>
  <si>
    <t>H5_B20_BG-11.png</t>
  </si>
  <si>
    <t>登记</t>
  </si>
  <si>
    <t>&lt;ruby&gt;登记&lt;rt&gt;dēngjì&lt;/rt&gt;&lt;/ruby&gt;</t>
  </si>
  <si>
    <t>dēngjì</t>
  </si>
  <si>
    <t>đăng ký, ghi vào sổ</t>
  </si>
  <si>
    <r>
      <rPr>
        <sz val="11"/>
        <color rgb="FF000000"/>
        <rFont val="Calibri"/>
      </rPr>
      <t>要参加今晚的活动，请先在网站上</t>
    </r>
    <r>
      <rPr>
        <b/>
        <sz val="11"/>
        <color rgb="FF000000"/>
        <rFont val="Calibri"/>
      </rPr>
      <t>登记</t>
    </r>
    <r>
      <rPr>
        <sz val="11"/>
        <color rgb="FF000000"/>
        <rFont val="Calibri"/>
      </rPr>
      <t>。</t>
    </r>
  </si>
  <si>
    <t>Để tham gia sự kiện tối nay, xin vui lòng đăng ký trước trên website.</t>
  </si>
  <si>
    <t>H5_B20_BG-12.png</t>
  </si>
  <si>
    <t>记录</t>
  </si>
  <si>
    <t>&lt;ruby&gt;记录&lt;rt&gt;jìlù&lt;/rt&gt;&lt;/ruby&gt;</t>
  </si>
  <si>
    <t>jìlù</t>
  </si>
  <si>
    <t>kỷ lục, lời ghi; ghi chép</t>
  </si>
  <si>
    <r>
      <rPr>
        <sz val="11"/>
        <color rgb="FF000000"/>
        <rFont val="Calibri"/>
      </rPr>
      <t>他的日记</t>
    </r>
    <r>
      <rPr>
        <b/>
        <sz val="11"/>
        <color rgb="FF000000"/>
        <rFont val="Calibri"/>
      </rPr>
      <t>记录</t>
    </r>
    <r>
      <rPr>
        <sz val="11"/>
        <color rgb="FF000000"/>
        <rFont val="Calibri"/>
      </rPr>
      <t>了他每天的生活和感受。</t>
    </r>
  </si>
  <si>
    <t>Cuốn nhật ký của anh ấy ghi lại cuộc sống và cảm xúc của anh ấy mỗi ngày.</t>
  </si>
  <si>
    <t>H5_B20_BG-13.png</t>
  </si>
  <si>
    <t>手续</t>
  </si>
  <si>
    <t>&lt;ruby&gt;手续&lt;rt&gt;shǒuxù&lt;/rt&gt;&lt;/ruby&gt;</t>
  </si>
  <si>
    <t>shǒuxù</t>
  </si>
  <si>
    <t>thủ tục</t>
  </si>
  <si>
    <r>
      <rPr>
        <sz val="11"/>
        <color rgb="FF000000"/>
        <rFont val="Calibri"/>
      </rPr>
      <t>办理护照</t>
    </r>
    <r>
      <rPr>
        <b/>
        <sz val="11"/>
        <color rgb="FF000000"/>
        <rFont val="Calibri"/>
      </rPr>
      <t>手续</t>
    </r>
    <r>
      <rPr>
        <sz val="11"/>
        <color rgb="FF000000"/>
        <rFont val="Calibri"/>
      </rPr>
      <t>需要提供身份证明和照片。</t>
    </r>
  </si>
  <si>
    <t>Thủ tục làm hộ chiếu cần cung cấp giấy tờ tùy thân và ảnh.</t>
  </si>
  <si>
    <t>H5_B20_BG-14.png</t>
  </si>
  <si>
    <t>办理</t>
  </si>
  <si>
    <t>&lt;ruby&gt;办理&lt;rt&gt;bànlǐ&lt;/rt&gt;&lt;/ruby&gt;</t>
  </si>
  <si>
    <t>bànlǐ</t>
  </si>
  <si>
    <t>giải quyết, làm</t>
  </si>
  <si>
    <r>
      <rPr>
        <sz val="11"/>
        <color rgb="FF000000"/>
        <rFont val="Calibri"/>
      </rPr>
      <t>你可以通过网络</t>
    </r>
    <r>
      <rPr>
        <b/>
        <sz val="11"/>
        <color rgb="FF000000"/>
        <rFont val="Calibri"/>
      </rPr>
      <t>办理</t>
    </r>
    <r>
      <rPr>
        <sz val="11"/>
        <color rgb="FF000000"/>
        <rFont val="Calibri"/>
      </rPr>
      <t>注册手续。</t>
    </r>
  </si>
  <si>
    <t>Bạn có thể giải quyết thủ tục đăng ký qua mạng.</t>
  </si>
  <si>
    <t>H5_B20_BG-15.png</t>
  </si>
  <si>
    <t>押金</t>
  </si>
  <si>
    <t>&lt;ruby&gt;押金&lt;rt&gt;yājīn&lt;/rt&gt;&lt;/ruby&gt;</t>
  </si>
  <si>
    <t>yājīn</t>
  </si>
  <si>
    <t>tiền thế chấp, tiền đặt cọc</t>
  </si>
  <si>
    <r>
      <rPr>
        <sz val="11"/>
        <color rgb="FF000000"/>
        <rFont val="Calibri"/>
      </rPr>
      <t>租房时需要支付一个月的</t>
    </r>
    <r>
      <rPr>
        <b/>
        <sz val="11"/>
        <color rgb="FF000000"/>
        <rFont val="Calibri"/>
      </rPr>
      <t>押金</t>
    </r>
    <r>
      <rPr>
        <sz val="11"/>
        <color rgb="FF000000"/>
        <rFont val="Calibri"/>
      </rPr>
      <t>。</t>
    </r>
  </si>
  <si>
    <t>Khi thuê căn hộ, bạn phải trả tiền đặt cọc một tháng.</t>
  </si>
  <si>
    <t>H5_B20_BG-16.png</t>
  </si>
  <si>
    <t>凭</t>
  </si>
  <si>
    <t>&lt;ruby&gt;凭&lt;rt&gt;píng&lt;/rt&gt;&lt;/ruby&gt;</t>
  </si>
  <si>
    <t>Động từ/Giới từ</t>
  </si>
  <si>
    <t>dựa vào; căn cứ</t>
  </si>
  <si>
    <r>
      <rPr>
        <b/>
        <sz val="11"/>
        <color rgb="FF000000"/>
        <rFont val="Calibri"/>
      </rPr>
      <t>凭</t>
    </r>
    <r>
      <rPr>
        <sz val="11"/>
        <color rgb="FF000000"/>
        <rFont val="Calibri"/>
      </rPr>
      <t>学生证，你可以享受学生票优惠。</t>
    </r>
  </si>
  <si>
    <t>Dựa vào thẻ học sinh, bạn có thể hưởng giá vé dành cho học sinh.</t>
  </si>
  <si>
    <t>H5_B20_BG-17.png</t>
  </si>
  <si>
    <t>涨</t>
  </si>
  <si>
    <t>&lt;ruby&gt;涨&lt;rt&gt;zhǎng&lt;/rt&gt;&lt;/ruby&gt;</t>
  </si>
  <si>
    <t>lên cao, tăng</t>
  </si>
  <si>
    <r>
      <rPr>
        <sz val="11"/>
        <color rgb="FF000000"/>
        <rFont val="Calibri"/>
      </rPr>
      <t>最近金价</t>
    </r>
    <r>
      <rPr>
        <b/>
        <sz val="11"/>
        <color rgb="FF000000"/>
        <rFont val="Calibri"/>
      </rPr>
      <t>涨</t>
    </r>
    <r>
      <rPr>
        <sz val="11"/>
        <color rgb="FF000000"/>
        <rFont val="Calibri"/>
      </rPr>
      <t>了很多。</t>
    </r>
  </si>
  <si>
    <t>Giá vàng gần đây tăng rất nhiều so với trước.</t>
  </si>
  <si>
    <t>H5_B20_BG-18.png</t>
  </si>
  <si>
    <t>搭</t>
  </si>
  <si>
    <t>&lt;ruby&gt;搭&lt;rt&gt;dā&lt;/rt&gt;&lt;/ruby&gt;</t>
  </si>
  <si>
    <t>dā</t>
  </si>
  <si>
    <t>vắt, mắc</t>
  </si>
  <si>
    <r>
      <rPr>
        <sz val="11"/>
        <color rgb="FF000000"/>
        <rFont val="Calibri"/>
      </rPr>
      <t>把衣服</t>
    </r>
    <r>
      <rPr>
        <b/>
        <sz val="11"/>
        <color rgb="FF000000"/>
        <rFont val="Calibri"/>
      </rPr>
      <t>搭</t>
    </r>
    <r>
      <rPr>
        <sz val="11"/>
        <color rgb="FF000000"/>
        <rFont val="Calibri"/>
      </rPr>
      <t>在晾衣绳上。</t>
    </r>
  </si>
  <si>
    <t>Vắt quần áo lên dây phơi.</t>
  </si>
  <si>
    <t>H5_B20_BG-19.png</t>
  </si>
  <si>
    <t>摊</t>
  </si>
  <si>
    <t>&lt;ruby&gt;摊&lt;rt&gt;tān&lt;/rt&gt;&lt;/ruby&gt;</t>
  </si>
  <si>
    <t>tān</t>
  </si>
  <si>
    <t>quầy, sạp</t>
  </si>
  <si>
    <r>
      <rPr>
        <sz val="11"/>
        <color rgb="FF000000"/>
        <rFont val="Calibri"/>
      </rPr>
      <t>市场里有很多</t>
    </r>
    <r>
      <rPr>
        <b/>
        <sz val="11"/>
        <color rgb="FF000000"/>
        <rFont val="Calibri"/>
      </rPr>
      <t>摊</t>
    </r>
    <r>
      <rPr>
        <sz val="11"/>
        <color rgb="FF000000"/>
        <rFont val="Calibri"/>
      </rPr>
      <t>。</t>
    </r>
  </si>
  <si>
    <t>Trong chợ có rất nhiều quầy hàng.</t>
  </si>
  <si>
    <t>H5_B20_BG-20.png</t>
  </si>
  <si>
    <t>出版</t>
  </si>
  <si>
    <t>&lt;ruby&gt;出版&lt;rt&gt;chūbǎn&lt;/rt&gt;&lt;/ruby&gt;</t>
  </si>
  <si>
    <t>chūbǎn</t>
  </si>
  <si>
    <t>xuất bản</t>
  </si>
  <si>
    <r>
      <rPr>
        <sz val="11"/>
        <color rgb="FF000000"/>
        <rFont val="Calibri"/>
      </rPr>
      <t>这份报纸是我们报社</t>
    </r>
    <r>
      <rPr>
        <b/>
        <sz val="11"/>
        <color rgb="FF000000"/>
        <rFont val="Calibri"/>
      </rPr>
      <t>出版</t>
    </r>
    <r>
      <rPr>
        <sz val="11"/>
        <color rgb="FF000000"/>
        <rFont val="Calibri"/>
      </rPr>
      <t>的。</t>
    </r>
  </si>
  <si>
    <t>Tờ báo này là do tòa soạn tôi xuất bản.</t>
  </si>
  <si>
    <t>H5_B20_BG-21.png</t>
  </si>
  <si>
    <t>连环画</t>
  </si>
  <si>
    <t>&lt;ruby&gt;连环画&lt;rt&gt;liánhuánhuà&lt;/rt&gt;&lt;/ruby&gt;</t>
  </si>
  <si>
    <t>liánhuánhuà</t>
  </si>
  <si>
    <t>sách truyện tranh</t>
  </si>
  <si>
    <r>
      <rPr>
        <sz val="11"/>
        <color rgb="FF000000"/>
        <rFont val="Calibri"/>
      </rPr>
      <t>小时候我很喜欢看</t>
    </r>
    <r>
      <rPr>
        <b/>
        <sz val="11"/>
        <color rgb="FF000000"/>
        <rFont val="Calibri"/>
      </rPr>
      <t>连环画</t>
    </r>
    <r>
      <rPr>
        <sz val="11"/>
        <color rgb="FF000000"/>
        <rFont val="Calibri"/>
      </rPr>
      <t>。</t>
    </r>
  </si>
  <si>
    <t>Khi tôi còn nhỏ, tôi rất thích xem truyện tranh.</t>
  </si>
  <si>
    <t>H5_B20_BG-22.png</t>
  </si>
  <si>
    <t>年代</t>
  </si>
  <si>
    <t>&lt;ruby&gt;年代&lt;rt&gt;niándài&lt;/rt&gt;&lt;/ruby&gt;</t>
  </si>
  <si>
    <t>niándài</t>
  </si>
  <si>
    <t>thập kỷ</t>
  </si>
  <si>
    <r>
      <rPr>
        <sz val="11"/>
        <color rgb="FF000000"/>
        <rFont val="Calibri"/>
      </rPr>
      <t>这辆古董车是上个</t>
    </r>
    <r>
      <rPr>
        <b/>
        <sz val="11"/>
        <color rgb="FF000000"/>
        <rFont val="Calibri"/>
      </rPr>
      <t>年代</t>
    </r>
    <r>
      <rPr>
        <sz val="11"/>
        <color rgb="FF000000"/>
        <rFont val="Calibri"/>
      </rPr>
      <t>生产的。</t>
    </r>
  </si>
  <si>
    <t>Chiếc ô tô cổ điển này được sản xuất vào những thập kỷ trước.</t>
  </si>
  <si>
    <t>H5_B20_BG-23.png</t>
  </si>
  <si>
    <t>单调</t>
  </si>
  <si>
    <t>&lt;ruby&gt;单调&lt;rt&gt;dāndiào&lt;/rt&gt;&lt;/ruby&gt;</t>
  </si>
  <si>
    <t>dāndiào</t>
  </si>
  <si>
    <t>đơn điệu, nhàm chán</t>
  </si>
  <si>
    <r>
      <rPr>
        <sz val="11"/>
        <color rgb="FF000000"/>
        <rFont val="Calibri"/>
      </rPr>
      <t>他的工作很</t>
    </r>
    <r>
      <rPr>
        <b/>
        <sz val="11"/>
        <color rgb="FF000000"/>
        <rFont val="Calibri"/>
      </rPr>
      <t>单调</t>
    </r>
    <r>
      <rPr>
        <sz val="11"/>
        <color rgb="FF000000"/>
        <rFont val="Calibri"/>
      </rPr>
      <t>，每天都做同样的事情。</t>
    </r>
  </si>
  <si>
    <t>Công việc của anh ấy rất nhàm chán, mỗi ngày đều làm những việc giống nhau.</t>
  </si>
  <si>
    <t>H5_B20_BG-24.png</t>
  </si>
  <si>
    <t>网络</t>
  </si>
  <si>
    <t>&lt;ruby&gt;网络&lt;rt&gt;wǎngluò&lt;/rt&gt;&lt;/ruby&gt;</t>
  </si>
  <si>
    <t>wǎngluò</t>
  </si>
  <si>
    <t>mạng (internet)</t>
  </si>
  <si>
    <r>
      <rPr>
        <sz val="11"/>
        <color rgb="FF000000"/>
        <rFont val="Calibri"/>
      </rPr>
      <t>如今，很多人通过</t>
    </r>
    <r>
      <rPr>
        <b/>
        <sz val="11"/>
        <color rgb="FF000000"/>
        <rFont val="Calibri"/>
      </rPr>
      <t>网络</t>
    </r>
    <r>
      <rPr>
        <sz val="11"/>
        <color rgb="FF000000"/>
        <rFont val="Calibri"/>
      </rPr>
      <t>购物，又方便又快捷。</t>
    </r>
  </si>
  <si>
    <t>Hiện nay, rất nhiều người mua sắm qua mạng, vừa tiện lợi lại nhanh chóng.</t>
  </si>
  <si>
    <t>H5_B20_BG-25.png</t>
  </si>
  <si>
    <t>动画片</t>
  </si>
  <si>
    <t>&lt;ruby&gt;动画片&lt;rt&gt;dònghuàpiàn&lt;/rt&gt;&lt;/ruby&gt;</t>
  </si>
  <si>
    <t>dònghuàpiàn</t>
  </si>
  <si>
    <t>phim hoạt hình</t>
  </si>
  <si>
    <r>
      <rPr>
        <sz val="11"/>
        <color rgb="FF000000"/>
        <rFont val="Calibri"/>
      </rPr>
      <t>孩子们每晚都喜欢看</t>
    </r>
    <r>
      <rPr>
        <b/>
        <sz val="11"/>
        <color rgb="FF000000"/>
        <rFont val="Calibri"/>
      </rPr>
      <t>动画片</t>
    </r>
    <r>
      <rPr>
        <sz val="11"/>
        <color rgb="FF000000"/>
        <rFont val="Calibri"/>
      </rPr>
      <t>。</t>
    </r>
  </si>
  <si>
    <t>Bọn trẻ rất thích xem phim hoạt hình vào mỗi tối.</t>
  </si>
  <si>
    <t>H5_B20_BG-26.png</t>
  </si>
  <si>
    <t>娱乐</t>
  </si>
  <si>
    <t>&lt;ruby&gt;娱乐&lt;rt&gt;yúlè&lt;/rt&gt;&lt;/ruby&gt;</t>
  </si>
  <si>
    <t>yúlè</t>
  </si>
  <si>
    <t>thú tiêu khiển; giải trí</t>
  </si>
  <si>
    <r>
      <rPr>
        <sz val="11"/>
        <color rgb="FF000000"/>
        <rFont val="Calibri"/>
      </rPr>
      <t>忙碌一天后，我喜欢通过玩游戏来</t>
    </r>
    <r>
      <rPr>
        <b/>
        <sz val="11"/>
        <color rgb="FF000000"/>
        <rFont val="Calibri"/>
      </rPr>
      <t>娱乐</t>
    </r>
    <r>
      <rPr>
        <sz val="11"/>
        <color rgb="FF000000"/>
        <rFont val="Calibri"/>
      </rPr>
      <t>。</t>
    </r>
  </si>
  <si>
    <t>Sau một ngày làm việc bận rộn, tôi thích giải trí bằng cách chơi game</t>
  </si>
  <si>
    <t>H5_B20_BG-27.png</t>
  </si>
  <si>
    <t>青少年</t>
  </si>
  <si>
    <t>&lt;ruby&gt;青少年&lt;rt&gt;qīng-shàonián&lt;/rt&gt;&lt;/ruby&gt;</t>
  </si>
  <si>
    <t>qīng-shàonián</t>
  </si>
  <si>
    <t>thanh thiếu niên</t>
  </si>
  <si>
    <r>
      <rPr>
        <b/>
        <sz val="11"/>
        <color rgb="FF000000"/>
        <rFont val="Calibri"/>
      </rPr>
      <t>青少年</t>
    </r>
    <r>
      <rPr>
        <sz val="11"/>
        <color rgb="FF000000"/>
        <rFont val="Calibri"/>
      </rPr>
      <t>应该多参加体育活动，保持健康。</t>
    </r>
  </si>
  <si>
    <t>Thanh thiếu niên nên tham gia nhiều hoạt động thể thao để giữ gìn sức khỏe.</t>
  </si>
  <si>
    <t>H5_B20_BG-28.png</t>
  </si>
  <si>
    <t>题材</t>
  </si>
  <si>
    <t>&lt;ruby&gt;题材&lt;rt&gt;tí cái&lt;/rt&gt;&lt;/ruby&gt;</t>
  </si>
  <si>
    <t>tí cái</t>
  </si>
  <si>
    <t>đề tài, chủ đề</t>
  </si>
  <si>
    <r>
      <rPr>
        <sz val="11"/>
        <color rgb="FF000000"/>
        <rFont val="Calibri"/>
      </rPr>
      <t>这本书的</t>
    </r>
    <r>
      <rPr>
        <b/>
        <sz val="11"/>
        <color rgb="FF000000"/>
        <rFont val="Calibri"/>
      </rPr>
      <t>题材</t>
    </r>
    <r>
      <rPr>
        <sz val="11"/>
        <color rgb="FF000000"/>
        <rFont val="Calibri"/>
      </rPr>
      <t>是科幻小说。</t>
    </r>
  </si>
  <si>
    <t>Đề tài của cuốn sách này là khoa học viễn tưởng</t>
  </si>
  <si>
    <t>H5_B20_BG-29.png</t>
  </si>
  <si>
    <t>翻</t>
  </si>
  <si>
    <t>&lt;ruby&gt;翻&lt;rt&gt;fān&lt;/rt&gt;&lt;/ruby&gt;</t>
  </si>
  <si>
    <t>fān</t>
  </si>
  <si>
    <t>lật, giở</t>
  </si>
  <si>
    <r>
      <rPr>
        <b/>
        <sz val="11"/>
        <color rgb="FF000000"/>
        <rFont val="Calibri"/>
      </rPr>
      <t>翻</t>
    </r>
    <r>
      <rPr>
        <sz val="11"/>
        <color rgb="FF000000"/>
        <rFont val="Calibri"/>
      </rPr>
      <t>开书查找信息。</t>
    </r>
  </si>
  <si>
    <t>Lật sách tìm kiếm thông tin.</t>
  </si>
  <si>
    <t>H5_B20_BG-30.png</t>
  </si>
  <si>
    <t>册</t>
  </si>
  <si>
    <t>&lt;ruby&gt;册&lt;rt&gt;cè&lt;/rt&gt;&lt;/ruby&gt;</t>
  </si>
  <si>
    <t>cè</t>
  </si>
  <si>
    <t>cuốn, quyển, tập</t>
  </si>
  <si>
    <r>
      <rPr>
        <sz val="11"/>
        <color rgb="FF000000"/>
        <rFont val="Calibri"/>
      </rPr>
      <t>这套书共有三</t>
    </r>
    <r>
      <rPr>
        <b/>
        <sz val="11"/>
        <color rgb="FF000000"/>
        <rFont val="Calibri"/>
      </rPr>
      <t>册</t>
    </r>
    <r>
      <rPr>
        <sz val="11"/>
        <color rgb="FF000000"/>
        <rFont val="Calibri"/>
      </rPr>
      <t>，非常适合年轻人阅读。</t>
    </r>
  </si>
  <si>
    <t>Bộ sách này gồm 3 quyển, rất phù hợp với các bạn trẻ.</t>
  </si>
  <si>
    <t>H5_B20_BG-31.png</t>
  </si>
  <si>
    <t>B20_31.mp3</t>
  </si>
  <si>
    <t>B20_VD_31.mp3</t>
  </si>
  <si>
    <t>印刷</t>
  </si>
  <si>
    <t>&lt;ruby&gt;印刷&lt;rt&gt;yìnshuā&lt;/rt&gt;&lt;/ruby&gt;</t>
  </si>
  <si>
    <t>yìnshuā</t>
  </si>
  <si>
    <t>in (sách, báo...)</t>
  </si>
  <si>
    <r>
      <rPr>
        <sz val="11"/>
        <color rgb="FF000000"/>
        <rFont val="Calibri"/>
      </rPr>
      <t>这本书已经</t>
    </r>
    <r>
      <rPr>
        <b/>
        <sz val="11"/>
        <color rgb="FF000000"/>
        <rFont val="Calibri"/>
      </rPr>
      <t>印刷</t>
    </r>
    <r>
      <rPr>
        <sz val="11"/>
        <color rgb="FF000000"/>
        <rFont val="Calibri"/>
      </rPr>
      <t>完成，明天就会发行。</t>
    </r>
  </si>
  <si>
    <t>Cuốn sách này đã được in xong, ngày mai sẽ được phát hành.</t>
  </si>
  <si>
    <t>H5_B20_BG-32.png</t>
  </si>
  <si>
    <t>B20_32.mp3</t>
  </si>
  <si>
    <t>B20_VD_32.mp3</t>
  </si>
  <si>
    <t>收藏</t>
  </si>
  <si>
    <t>&lt;ruby&gt;收藏&lt;rt&gt;shōucáng&lt;/rt&gt;&lt;/ruby&gt;</t>
  </si>
  <si>
    <t>shōucáng</t>
  </si>
  <si>
    <t>sưu tầm, thu thập</t>
  </si>
  <si>
    <r>
      <rPr>
        <sz val="11"/>
        <color rgb="FF000000"/>
        <rFont val="Calibri"/>
      </rPr>
      <t>他一直在</t>
    </r>
    <r>
      <rPr>
        <b/>
        <sz val="11"/>
        <color rgb="FF000000"/>
        <rFont val="Calibri"/>
      </rPr>
      <t>收藏</t>
    </r>
    <r>
      <rPr>
        <sz val="11"/>
        <color rgb="FF000000"/>
        <rFont val="Calibri"/>
      </rPr>
      <t>稀有硬币，现在已经有一个完整的收藏。</t>
    </r>
  </si>
  <si>
    <t>Anh ấy luôn sưu tầm những đồng xu hiếm, và đã có một bộ sưu tập hoàn chỉnh.</t>
  </si>
  <si>
    <t>H5_B20_BG-33.png</t>
  </si>
  <si>
    <t>B20_33.mp3</t>
  </si>
  <si>
    <t>B20_VD_33.mp3</t>
  </si>
  <si>
    <t>年纪</t>
  </si>
  <si>
    <t>&lt;ruby&gt;年纪&lt;rt&gt;niánjì&lt;/rt&gt;&lt;/ruby&gt;</t>
  </si>
  <si>
    <t>niánjì</t>
  </si>
  <si>
    <r>
      <rPr>
        <sz val="11"/>
        <color rgb="FF000000"/>
        <rFont val="Calibri"/>
      </rPr>
      <t>他今年才十岁，</t>
    </r>
    <r>
      <rPr>
        <b/>
        <sz val="11"/>
        <color rgb="FF000000"/>
        <rFont val="Calibri"/>
      </rPr>
      <t>年纪</t>
    </r>
    <r>
      <rPr>
        <sz val="11"/>
        <color rgb="FF000000"/>
        <rFont val="Calibri"/>
      </rPr>
      <t>小但很聪明。</t>
    </r>
  </si>
  <si>
    <t>Năm nay anh ấy đã 10 tuổi, tuổi còn nhỏ nhưng vẫn rất khỏe.</t>
  </si>
  <si>
    <t>H5_B20_BG-34.png</t>
  </si>
  <si>
    <t>B20_34.mp3</t>
  </si>
  <si>
    <t>B20_VD_34.mp3</t>
  </si>
  <si>
    <t>身材</t>
  </si>
  <si>
    <t>&lt;ruby&gt;身材&lt;rt&gt;shēncái&lt;/rt&gt;&lt;/ruby&gt;</t>
  </si>
  <si>
    <t>shēncái</t>
  </si>
  <si>
    <t>vóc dáng, dáng người</t>
  </si>
  <si>
    <r>
      <rPr>
        <sz val="11"/>
        <color rgb="FF000000"/>
        <rFont val="Calibri"/>
      </rPr>
      <t>她的</t>
    </r>
    <r>
      <rPr>
        <b/>
        <sz val="11"/>
        <color rgb="FF000000"/>
        <rFont val="Calibri"/>
      </rPr>
      <t>身材</t>
    </r>
    <r>
      <rPr>
        <sz val="11"/>
        <color rgb="FF000000"/>
        <rFont val="Calibri"/>
      </rPr>
      <t>很苗条。</t>
    </r>
  </si>
  <si>
    <t>Vóc dáng của cô ấy mảnh mai</t>
  </si>
  <si>
    <t>H5_B20_BG-35.png</t>
  </si>
  <si>
    <t>B20_35.mp3</t>
  </si>
  <si>
    <t>B20_VD_35.mp3</t>
  </si>
  <si>
    <t>成人</t>
  </si>
  <si>
    <t>&lt;ruby&gt;成人&lt;rt&gt;chéngrén&lt;/rt&gt;&lt;/ruby&gt;</t>
  </si>
  <si>
    <t>chéngrén</t>
  </si>
  <si>
    <t>người lớn</t>
  </si>
  <si>
    <r>
      <rPr>
        <b/>
        <sz val="11"/>
        <color rgb="FF000000"/>
        <rFont val="Calibri"/>
      </rPr>
      <t>成人</t>
    </r>
    <r>
      <rPr>
        <sz val="11"/>
        <color rgb="FF000000"/>
        <rFont val="Calibri"/>
      </rPr>
      <t>旅游可以选择更多的活动，比如爬山。</t>
    </r>
  </si>
  <si>
    <t>Người lớn khi đi du lịch có thể chọn nhiều loại hoạt động hơn, chẳng hạn như leo núi.</t>
  </si>
  <si>
    <t>H5_B20_BG-36.png</t>
  </si>
  <si>
    <t>B20_36.mp3</t>
  </si>
  <si>
    <t>B20_VD_36.mp3</t>
  </si>
  <si>
    <t>逻辑</t>
  </si>
  <si>
    <t>&lt;ruby&gt;逻辑&lt;rt&gt;luójí&lt;/rt&gt;&lt;/ruby&gt;</t>
  </si>
  <si>
    <t>luójí</t>
  </si>
  <si>
    <t>lô-gích</t>
  </si>
  <si>
    <r>
      <rPr>
        <sz val="11"/>
        <color rgb="FF000000"/>
        <rFont val="Calibri"/>
      </rPr>
      <t>在会议上，他的演讲非常有</t>
    </r>
    <r>
      <rPr>
        <b/>
        <sz val="11"/>
        <color rgb="FF000000"/>
        <rFont val="Calibri"/>
      </rPr>
      <t>逻辑</t>
    </r>
    <r>
      <rPr>
        <sz val="11"/>
        <color rgb="FF000000"/>
        <rFont val="Calibri"/>
      </rPr>
      <t>，大家都感到信服。</t>
    </r>
  </si>
  <si>
    <t>Trong cuộc họp anh ấy thuyết trình rất logic mọi người đều thấy thuyết phục.</t>
  </si>
  <si>
    <t>H5_B21_BG-01.png</t>
  </si>
  <si>
    <t>B21_1.mp3</t>
  </si>
  <si>
    <t>B21_VD_1.mp3</t>
  </si>
  <si>
    <t>kiên quyết, (một cách) máy móc, cố gắng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</si>
  <si>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硬</t>
    </r>
    <r>
      <rPr>
        <sz val="11"/>
        <color rgb="FF000000"/>
        <rFont val="Calibri"/>
      </rPr>
      <t>要每天坚持跑步，尽管天气很糟糕。</t>
    </r>
  </si>
  <si>
    <t>Anh ấy kiên quyết duy trì chạy bộ mỗi ngày, mặc dù thời tiết rất xấu.</t>
  </si>
  <si>
    <t>H5_B21_BG-02.png</t>
  </si>
  <si>
    <t>B21_2.mp3</t>
  </si>
  <si>
    <t>B21_VD_2.mp3</t>
  </si>
  <si>
    <t>死记硬背</t>
  </si>
  <si>
    <t>&lt;ruby&gt;死记硬背&lt;rt&gt;sǐjì-yìngbèi&lt;/rt&gt;&lt;/ruby&gt;</t>
  </si>
  <si>
    <t>sǐjì-yìngbèi</t>
  </si>
  <si>
    <t>học thuộc lòng một cách máy móc</t>
  </si>
  <si>
    <r>
      <rPr>
        <sz val="11"/>
        <color rgb="FF000000"/>
        <rFont val="Calibri"/>
      </rPr>
      <t>他总是</t>
    </r>
    <r>
      <rPr>
        <b/>
        <sz val="11"/>
        <color rgb="FF000000"/>
        <rFont val="Calibri"/>
      </rPr>
      <t>死记硬背</t>
    </r>
    <r>
      <rPr>
        <sz val="11"/>
        <color rgb="FF000000"/>
        <rFont val="Calibri"/>
      </rPr>
      <t>，考试时却什么都想不起来。</t>
    </r>
  </si>
  <si>
    <t>Anh ấy lúc nào cũng học thuộc lòng một cách máy móc, đến khi thi cử lại chẳng nhớ được gì.</t>
  </si>
  <si>
    <t>H5_B21_BG-03.png</t>
  </si>
  <si>
    <t>B21_3.mp3</t>
  </si>
  <si>
    <t>B21_VD_3.mp3</t>
  </si>
  <si>
    <t>演变</t>
  </si>
  <si>
    <t>&lt;ruby&gt;演变&lt;rt&gt;yǎnbiàn&lt;/rt&gt;&lt;/ruby&gt;</t>
  </si>
  <si>
    <t>yǎnbiàn</t>
  </si>
  <si>
    <t>biến đổi, tiến hóa</t>
  </si>
  <si>
    <r>
      <rPr>
        <sz val="11"/>
        <color rgb="FF000000"/>
        <rFont val="Calibri"/>
      </rPr>
      <t>人类的</t>
    </r>
    <r>
      <rPr>
        <b/>
        <sz val="11"/>
        <color rgb="FF000000"/>
        <rFont val="Calibri"/>
      </rPr>
      <t>演变</t>
    </r>
    <r>
      <rPr>
        <sz val="11"/>
        <color rgb="FF000000"/>
        <rFont val="Calibri"/>
      </rPr>
      <t>是一个漫长而复杂的过程。</t>
    </r>
  </si>
  <si>
    <t>Sự tiến hóa của loài người là một quá trình dài và phức tạp.</t>
  </si>
  <si>
    <t>H5_B21_BG-04.png</t>
  </si>
  <si>
    <t>B21_4.mp3</t>
  </si>
  <si>
    <t>B21_VD_4.mp3</t>
  </si>
  <si>
    <t>库</t>
  </si>
  <si>
    <t>&lt;ruby&gt;库&lt;rt&gt;kù&lt;/rt&gt;&lt;/ruby&gt;</t>
  </si>
  <si>
    <t>kù</t>
  </si>
  <si>
    <t>kho</t>
  </si>
  <si>
    <r>
      <rPr>
        <sz val="10"/>
        <color theme="1"/>
        <rFont val="Arial"/>
      </rPr>
      <t>公司有一个很大的仓</t>
    </r>
    <r>
      <rPr>
        <b/>
        <sz val="10"/>
        <color theme="1"/>
        <rFont val="Arial"/>
      </rPr>
      <t>库</t>
    </r>
    <r>
      <rPr>
        <sz val="10"/>
        <color theme="1"/>
        <rFont val="Arial"/>
      </rPr>
      <t>用来存放货物。</t>
    </r>
  </si>
  <si>
    <t>Công ty có một kho hàng lớn dùng để lưu trữ hàng hóa.</t>
  </si>
  <si>
    <t>H5_B21_BG-05.png</t>
  </si>
  <si>
    <t>B21_5.mp3</t>
  </si>
  <si>
    <t>B21_VD_5.mp3</t>
  </si>
  <si>
    <t>输入</t>
  </si>
  <si>
    <t>&lt;ruby&gt;输入&lt;rt&gt;shūrù&lt;/rt&gt;&lt;/ruby&gt;</t>
  </si>
  <si>
    <t>shūrù</t>
  </si>
  <si>
    <t>đưa (dữ liệu) vào máy tính</t>
  </si>
  <si>
    <r>
      <rPr>
        <sz val="11"/>
        <color rgb="FF000000"/>
        <rFont val="Calibri"/>
      </rPr>
      <t>请</t>
    </r>
    <r>
      <rPr>
        <b/>
        <sz val="11"/>
        <color rgb="FF000000"/>
        <rFont val="Calibri"/>
      </rPr>
      <t>输入</t>
    </r>
    <r>
      <rPr>
        <sz val="11"/>
        <color rgb="FF000000"/>
        <rFont val="Calibri"/>
      </rPr>
      <t>密码解锁电脑。</t>
    </r>
  </si>
  <si>
    <t>Hãy nhập mật khẩu để mở khóa máy tính.</t>
  </si>
  <si>
    <t>H5_B21_BG-06.png</t>
  </si>
  <si>
    <t>B21_6.mp3</t>
  </si>
  <si>
    <t>B21_VD_6.mp3</t>
  </si>
  <si>
    <t>下载</t>
  </si>
  <si>
    <t>&lt;ruby&gt;下载&lt;rt&gt;xiàzài&lt;/rt&gt;&lt;/ruby&gt;</t>
  </si>
  <si>
    <t>xiàzài</t>
  </si>
  <si>
    <t>tải xuống</t>
  </si>
  <si>
    <r>
      <rPr>
        <sz val="11"/>
        <color rgb="FF000000"/>
        <rFont val="Calibri"/>
      </rPr>
      <t>我已经</t>
    </r>
    <r>
      <rPr>
        <b/>
        <sz val="11"/>
        <color rgb="FF000000"/>
        <rFont val="Calibri"/>
      </rPr>
      <t>下载</t>
    </r>
    <r>
      <rPr>
        <sz val="11"/>
        <color rgb="FF000000"/>
        <rFont val="Calibri"/>
      </rPr>
      <t>了这款游戏的最新版本。</t>
    </r>
  </si>
  <si>
    <t>Tôi đã tải xuống phiên bản mới nhất của trò chơi.</t>
  </si>
  <si>
    <t>H5_B21_BG-07.png</t>
  </si>
  <si>
    <t>B21_7.mp3</t>
  </si>
  <si>
    <t>B21_VD_7.mp3</t>
  </si>
  <si>
    <t>识别</t>
  </si>
  <si>
    <t>&lt;ruby&gt;识别&lt;rt&gt;shíbié&lt;/rt&gt;&lt;/ruby&gt;</t>
  </si>
  <si>
    <t>shíbié</t>
  </si>
  <si>
    <t>phân biệt, nhận dạng</t>
  </si>
  <si>
    <r>
      <rPr>
        <sz val="11"/>
        <color rgb="FF000000"/>
        <rFont val="Calibri"/>
      </rPr>
      <t>这个系统可以</t>
    </r>
    <r>
      <rPr>
        <b/>
        <sz val="11"/>
        <color rgb="FF000000"/>
        <rFont val="Calibri"/>
      </rPr>
      <t>识别</t>
    </r>
    <r>
      <rPr>
        <sz val="11"/>
        <color rgb="FF000000"/>
        <rFont val="Calibri"/>
      </rPr>
      <t>人脸特征。</t>
    </r>
  </si>
  <si>
    <t>Hệ thống này có thể nhận dạng đặc điểm khuôn mặt của con người.</t>
  </si>
  <si>
    <t>H5_B21_BG-08.png</t>
  </si>
  <si>
    <t>B21_8.mp3</t>
  </si>
  <si>
    <t>B21_VD_8.mp3</t>
  </si>
  <si>
    <t>查询</t>
  </si>
  <si>
    <t>&lt;ruby&gt;查询&lt;rt&gt;cháxún&lt;/rt&gt;&lt;/ruby&gt;</t>
  </si>
  <si>
    <t>cháxún</t>
  </si>
  <si>
    <t>tìm kiếm, tra cứu</t>
  </si>
  <si>
    <r>
      <rPr>
        <sz val="11"/>
        <color rgb="FF000000"/>
        <rFont val="Calibri"/>
      </rPr>
      <t>你可以在网站上</t>
    </r>
    <r>
      <rPr>
        <b/>
        <sz val="11"/>
        <color rgb="FF000000"/>
        <rFont val="Calibri"/>
      </rPr>
      <t>查询</t>
    </r>
    <r>
      <rPr>
        <sz val="11"/>
        <color rgb="FF000000"/>
        <rFont val="Calibri"/>
      </rPr>
      <t>商品的价格。</t>
    </r>
  </si>
  <si>
    <t>Bạn có thể tra cứu giá của sản phẩm trên website.</t>
  </si>
  <si>
    <t>H5_B21_BG-09.png</t>
  </si>
  <si>
    <t>B21_9.mp3</t>
  </si>
  <si>
    <t>B21_VD_9.mp3</t>
  </si>
  <si>
    <t>创办</t>
  </si>
  <si>
    <t>&lt;ruby&gt;创办&lt;rt&gt;chuàngbàn&lt;/rt&gt;&lt;/ruby&gt;</t>
  </si>
  <si>
    <t>chuàngbàn</t>
  </si>
  <si>
    <t>lập ra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</si>
  <si>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创办</t>
    </r>
    <r>
      <rPr>
        <sz val="11"/>
        <color rgb="FF000000"/>
        <rFont val="Calibri"/>
      </rPr>
      <t>了一家在线教育平台，帮助学生提高成绩。</t>
    </r>
  </si>
  <si>
    <t>Anh ấy đã lập một nền tảng giáo dục trực tuyến để giúp học sinh cải thiện kết quả học tập.</t>
  </si>
  <si>
    <t>H5_B21_BG-10.png</t>
  </si>
  <si>
    <t>B21_10.mp3</t>
  </si>
  <si>
    <t>B21_VD_10.mp3</t>
  </si>
  <si>
    <t>微博</t>
  </si>
  <si>
    <t>&lt;ruby&gt;微博&lt;rt&gt;wēibó&lt;/rt&gt;&lt;/ruby&gt;</t>
  </si>
  <si>
    <t>wēibó</t>
  </si>
  <si>
    <t>tiểu blog (weibo)</t>
  </si>
  <si>
    <r>
      <rPr>
        <sz val="11"/>
        <color rgb="FF000000"/>
        <rFont val="Calibri"/>
      </rPr>
      <t>她在旅行时拍了很多照片，分享到</t>
    </r>
    <r>
      <rPr>
        <b/>
        <sz val="11"/>
        <color rgb="FF000000"/>
        <rFont val="Calibri"/>
      </rPr>
      <t>微博</t>
    </r>
    <r>
      <rPr>
        <sz val="11"/>
        <color rgb="FF000000"/>
        <rFont val="Calibri"/>
      </rPr>
      <t>上。</t>
    </r>
  </si>
  <si>
    <t>Cô ấy chụp rất nhiều ảnh khi đi du lịch để chia sẻ trên Weibo.</t>
  </si>
  <si>
    <t>H5_B21_BG-11.png</t>
  </si>
  <si>
    <t>B21_11.mp3</t>
  </si>
  <si>
    <t>B21_VD_11.mp3</t>
  </si>
  <si>
    <t>日程</t>
  </si>
  <si>
    <t>&lt;ruby&gt;日程&lt;rt&gt;rìchéng&lt;/rt&gt;&lt;/ruby&gt;</t>
  </si>
  <si>
    <t>rìchéng</t>
  </si>
  <si>
    <t>chương trình trong ngày</t>
  </si>
  <si>
    <r>
      <rPr>
        <sz val="11"/>
        <color rgb="FF000000"/>
        <rFont val="Calibri"/>
      </rPr>
      <t>今天的</t>
    </r>
    <r>
      <rPr>
        <b/>
        <sz val="11"/>
        <color rgb="FF000000"/>
        <rFont val="Calibri"/>
      </rPr>
      <t>日程</t>
    </r>
    <r>
      <rPr>
        <sz val="11"/>
        <color rgb="FF000000"/>
        <rFont val="Calibri"/>
      </rPr>
      <t>包括一个重要的会议和一次客户拜访。</t>
    </r>
  </si>
  <si>
    <t>Chương trình ngày hôm nay bao gồm một cuộc họp quan trọng và một buổi thăm khách hàng.</t>
  </si>
  <si>
    <t>H5_B21_BG-12.png</t>
  </si>
  <si>
    <t>B21_12.mp3</t>
  </si>
  <si>
    <t>B21_VD_12.mp3</t>
  </si>
  <si>
    <t>梦想</t>
  </si>
  <si>
    <t>&lt;ruby&gt;梦想&lt;rt&gt;mèngxiǎng&lt;/rt&gt;&lt;/ruby&gt;</t>
  </si>
  <si>
    <t>mèngxiǎng</t>
  </si>
  <si>
    <t>điều mơ ước; mơ tưởng</t>
  </si>
  <si>
    <r>
      <rPr>
        <sz val="11"/>
        <color rgb="FF000000"/>
        <rFont val="Calibri"/>
      </rPr>
      <t>她的</t>
    </r>
    <r>
      <rPr>
        <b/>
        <sz val="11"/>
        <color rgb="FF000000"/>
        <rFont val="Calibri"/>
      </rPr>
      <t>梦想</t>
    </r>
    <r>
      <rPr>
        <sz val="11"/>
        <color rgb="FF000000"/>
        <rFont val="Calibri"/>
      </rPr>
      <t>是成为一名医生，帮助有需要的人。</t>
    </r>
  </si>
  <si>
    <t>Ước mơ của cô ấy là trở thành bác sĩ, giúp đỡ những người cần.</t>
  </si>
  <si>
    <t>H5_B21_BG-13.png</t>
  </si>
  <si>
    <t>B21_13.mp3</t>
  </si>
  <si>
    <t>B21_VD_13.mp3</t>
  </si>
  <si>
    <t>元旦</t>
  </si>
  <si>
    <t>&lt;ruby&gt;元旦&lt;rt&gt;yuándàn&lt;/rt&gt;&lt;/ruby&gt;</t>
  </si>
  <si>
    <t>yuándàn</t>
  </si>
  <si>
    <t>tết tây, tết dương lịch</t>
  </si>
  <si>
    <r>
      <rPr>
        <sz val="11"/>
        <color rgb="FF000000"/>
        <rFont val="Calibri"/>
      </rPr>
      <t>我们计划</t>
    </r>
    <r>
      <rPr>
        <b/>
        <sz val="11"/>
        <color rgb="FF000000"/>
        <rFont val="Calibri"/>
      </rPr>
      <t>元旦</t>
    </r>
    <r>
      <rPr>
        <sz val="11"/>
        <color rgb="FF000000"/>
        <rFont val="Calibri"/>
      </rPr>
      <t>期间去旅行。</t>
    </r>
  </si>
  <si>
    <t>Gia đình tôi dự định sẽ đi du lịch vào dịp Tết Dương lịch.</t>
  </si>
  <si>
    <t>H5_B21_BG-14.png</t>
  </si>
  <si>
    <t>B21_14.mp3</t>
  </si>
  <si>
    <t>B21_VD_14.mp3</t>
  </si>
  <si>
    <t>疾病</t>
  </si>
  <si>
    <t>&lt;ruby&gt;疾病&lt;rt&gt;jíbìng&lt;/rt&gt;&lt;/ruby&gt;</t>
  </si>
  <si>
    <t>jíbìng</t>
  </si>
  <si>
    <t>bệnh tật</t>
  </si>
  <si>
    <r>
      <rPr>
        <b/>
        <sz val="11"/>
        <color rgb="FF000000"/>
        <rFont val="Calibri"/>
      </rPr>
      <t>疾病</t>
    </r>
    <r>
      <rPr>
        <sz val="11"/>
        <color rgb="FF000000"/>
        <rFont val="Calibri"/>
      </rPr>
      <t>使他无法行走。</t>
    </r>
  </si>
  <si>
    <t>Bệnh tật khiến anh ấy không thể đi lại.</t>
  </si>
  <si>
    <t>H5_B21_BG-15.png</t>
  </si>
  <si>
    <t>B21_15.mp3</t>
  </si>
  <si>
    <t>B21_VD_15.mp3</t>
  </si>
  <si>
    <t>公开</t>
  </si>
  <si>
    <t>&lt;ruby&gt;公开&lt;rt&gt;gōngkāi&lt;/rt&gt;&lt;/ruby&gt;</t>
  </si>
  <si>
    <t>gōngkāi</t>
  </si>
  <si>
    <t>công bố; công khai</t>
  </si>
  <si>
    <r>
      <rPr>
        <sz val="11"/>
        <color rgb="FF000000"/>
        <rFont val="Calibri"/>
      </rPr>
      <t>这次比赛的所有信息都会在官网上</t>
    </r>
    <r>
      <rPr>
        <b/>
        <sz val="11"/>
        <color rgb="FF000000"/>
        <rFont val="Calibri"/>
      </rPr>
      <t>公开</t>
    </r>
    <r>
      <rPr>
        <sz val="11"/>
        <color rgb="FF000000"/>
        <rFont val="Calibri"/>
      </rPr>
      <t>。</t>
    </r>
  </si>
  <si>
    <t>Mọi thông tin của cuộc thi này sẽ được công khai trên trang web chính thức.</t>
  </si>
  <si>
    <t>H5_B21_BG-16.png</t>
  </si>
  <si>
    <t>B21_16.mp3</t>
  </si>
  <si>
    <t>B21_VD_16.mp3</t>
  </si>
  <si>
    <t>最初</t>
  </si>
  <si>
    <t>&lt;ruby&gt;最初&lt;rt&gt;zuìchū&lt;/rt&gt;&lt;/ruby&gt;</t>
  </si>
  <si>
    <t>zuìchū</t>
  </si>
  <si>
    <t>lúc đầu, ban đầu</t>
  </si>
  <si>
    <r>
      <rPr>
        <b/>
        <sz val="11"/>
        <color rgb="FF000000"/>
        <rFont val="Calibri"/>
      </rPr>
      <t>最初</t>
    </r>
    <r>
      <rPr>
        <sz val="11"/>
        <color rgb="FF000000"/>
        <rFont val="Calibri"/>
      </rPr>
      <t>我不喜欢这个工作，但现在我已经适应了。</t>
    </r>
  </si>
  <si>
    <t>Lúc đầu, tôi không thích công việc này, nhưng bây giờ tôi đã thích nghi với nó.</t>
  </si>
  <si>
    <t>H5_B21_BG-17.png</t>
  </si>
  <si>
    <t>B21_17.mp3</t>
  </si>
  <si>
    <t>B21_VD_17.mp3</t>
  </si>
  <si>
    <t>称呼</t>
  </si>
  <si>
    <t>&lt;ruby&gt;称呼&lt;rt&gt;chēnghu&lt;/rt&gt;&lt;/ruby&gt;</t>
  </si>
  <si>
    <t>chēnghu</t>
  </si>
  <si>
    <t>gọi, xưng hô; tên gọi</t>
  </si>
  <si>
    <r>
      <rPr>
        <sz val="11"/>
        <color rgb="FF000000"/>
        <rFont val="Calibri"/>
      </rPr>
      <t>老师要求我们用礼貌的</t>
    </r>
    <r>
      <rPr>
        <b/>
        <sz val="11"/>
        <color rgb="FF000000"/>
        <rFont val="Calibri"/>
      </rPr>
      <t>称呼</t>
    </r>
    <r>
      <rPr>
        <sz val="11"/>
        <color rgb="FF000000"/>
        <rFont val="Calibri"/>
      </rPr>
      <t>和朋友交流。</t>
    </r>
  </si>
  <si>
    <t>Giáo viên yêu cầu chúng tôi sử dụng cách xưng hô lịch sự với bạn bè.</t>
  </si>
  <si>
    <t>H5_B21_BG-18.png</t>
  </si>
  <si>
    <t>B21_18.mp3</t>
  </si>
  <si>
    <t>B21_VD_18.mp3</t>
  </si>
  <si>
    <t>客服</t>
  </si>
  <si>
    <t>&lt;ruby&gt;客服&lt;rt&gt;kèfú&lt;/rt&gt;&lt;/ruby&gt;</t>
  </si>
  <si>
    <t>kèfú</t>
  </si>
  <si>
    <t>khắc phục, chinh phục</t>
  </si>
  <si>
    <r>
      <rPr>
        <b/>
        <sz val="11"/>
        <color rgb="FF000000"/>
        <rFont val="Calibri"/>
      </rPr>
      <t>客服</t>
    </r>
    <r>
      <rPr>
        <sz val="11"/>
        <color rgb="FF000000"/>
        <rFont val="Calibri"/>
      </rPr>
      <t>人员耐心地回答了我的问题。</t>
    </r>
  </si>
  <si>
    <t>Nhân viên chăm sóc khách hàng đã kiên nhẫn giải đáp thắc mắc của tôi.</t>
  </si>
  <si>
    <t>H5_B21_BG-19.png</t>
  </si>
  <si>
    <t>B21_19.mp3</t>
  </si>
  <si>
    <t>B21_VD_19.mp3</t>
  </si>
  <si>
    <t>收集</t>
  </si>
  <si>
    <t>&lt;ruby&gt;收集&lt;rt&gt;shōují&lt;/rt&gt;&lt;/ruby&gt;</t>
  </si>
  <si>
    <t>shōují</t>
  </si>
  <si>
    <t>thu thập, thu gom</t>
  </si>
  <si>
    <r>
      <rPr>
        <sz val="11"/>
        <color rgb="FF000000"/>
        <rFont val="Calibri"/>
      </rPr>
      <t>他喜欢</t>
    </r>
    <r>
      <rPr>
        <b/>
        <sz val="11"/>
        <color rgb="FF000000"/>
        <rFont val="Calibri"/>
      </rPr>
      <t>收集</t>
    </r>
    <r>
      <rPr>
        <sz val="11"/>
        <color rgb="FF000000"/>
        <rFont val="Calibri"/>
      </rPr>
      <t>邮票。</t>
    </r>
  </si>
  <si>
    <t>Anh ấy thích thu thập tem.</t>
  </si>
  <si>
    <t>H5_B21_BG-20.png</t>
  </si>
  <si>
    <t>B21_20.mp3</t>
  </si>
  <si>
    <t>B21_VD_20.mp3</t>
  </si>
  <si>
    <t>包含</t>
  </si>
  <si>
    <t>&lt;ruby&gt;包含&lt;rt&gt;bāohán&lt;/rt&gt;&lt;/ruby&gt;</t>
  </si>
  <si>
    <t>bāohán</t>
  </si>
  <si>
    <t>có, bao gồm</t>
  </si>
  <si>
    <r>
      <rPr>
        <sz val="11"/>
        <color rgb="FF000000"/>
        <rFont val="Calibri"/>
      </rPr>
      <t>这份报告</t>
    </r>
    <r>
      <rPr>
        <b/>
        <sz val="11"/>
        <color rgb="FF000000"/>
        <rFont val="Calibri"/>
      </rPr>
      <t>包含</t>
    </r>
    <r>
      <rPr>
        <sz val="11"/>
        <color rgb="FF000000"/>
        <rFont val="Calibri"/>
      </rPr>
      <t>了所有的研究数据和结论。</t>
    </r>
  </si>
  <si>
    <t>Báo cáo này bao gồm tất cả dữ liệu nghiên cứu và kết luận.</t>
  </si>
  <si>
    <t>H5_B21_BG-21.png</t>
  </si>
  <si>
    <t>B21_21.mp3</t>
  </si>
  <si>
    <t>B21_VD_21.mp3</t>
  </si>
  <si>
    <t>繁体</t>
  </si>
  <si>
    <t>&lt;ruby&gt;繁体&lt;rt&gt;fántǐ&lt;/rt&gt;&lt;/ruby&gt;</t>
  </si>
  <si>
    <t>fántǐ</t>
  </si>
  <si>
    <t>(chữ) phồn thể</t>
  </si>
  <si>
    <r>
      <rPr>
        <b/>
        <sz val="11"/>
        <color rgb="FF000000"/>
        <rFont val="Calibri"/>
      </rPr>
      <t>繁体</t>
    </r>
    <r>
      <rPr>
        <sz val="11"/>
        <color rgb="FF000000"/>
        <rFont val="Calibri"/>
      </rPr>
      <t>字在台湾仍然广泛使用。</t>
    </r>
  </si>
  <si>
    <t>Chữ phồn thể được sử dụng ở Đài Loan.</t>
  </si>
  <si>
    <t>H5_B21_BG-22.png</t>
  </si>
  <si>
    <t>B21_22.mp3</t>
  </si>
  <si>
    <t>B21_VD_22.mp3</t>
  </si>
  <si>
    <t>简体</t>
  </si>
  <si>
    <t>&lt;ruby&gt;简体&lt;rt&gt;jiǎntǐ&lt;/rt&gt;&lt;/ruby&gt;</t>
  </si>
  <si>
    <t>jiǎntǐ</t>
  </si>
  <si>
    <t>(chữ) giản thể</t>
  </si>
  <si>
    <r>
      <rPr>
        <b/>
        <sz val="10"/>
        <color theme="1"/>
        <rFont val="Arial"/>
      </rPr>
      <t>简体</t>
    </r>
    <r>
      <rPr>
        <sz val="10"/>
        <color theme="1"/>
        <rFont val="Arial"/>
      </rPr>
      <t>字比繁体字更容易书写。</t>
    </r>
  </si>
  <si>
    <t>Chữ Hán giản thể viết dễ hơn.</t>
  </si>
  <si>
    <t>H5_B21_BG-23.png</t>
  </si>
  <si>
    <t>B21_23.mp3</t>
  </si>
  <si>
    <t>B21_VD_23.mp3</t>
  </si>
  <si>
    <t>方言</t>
  </si>
  <si>
    <t>&lt;ruby&gt;方言&lt;rt&gt;fāngyán&lt;/rt&gt;&lt;/ruby&gt;</t>
  </si>
  <si>
    <t>fāngyán</t>
  </si>
  <si>
    <t>tiếng địa phương</t>
  </si>
  <si>
    <r>
      <rPr>
        <sz val="11"/>
        <color rgb="FF000000"/>
        <rFont val="Calibri"/>
      </rPr>
      <t>回到家乡时，人们通常用</t>
    </r>
    <r>
      <rPr>
        <b/>
        <sz val="11"/>
        <color rgb="FF000000"/>
        <rFont val="Calibri"/>
      </rPr>
      <t>方言</t>
    </r>
    <r>
      <rPr>
        <sz val="11"/>
        <color rgb="FF000000"/>
        <rFont val="Calibri"/>
      </rPr>
      <t>交流。</t>
    </r>
  </si>
  <si>
    <t>Khi về quê mọi người thường giao tiếp với nhau bằng tiếng địa phương.</t>
  </si>
  <si>
    <t>H5_B21_BG-24.png</t>
  </si>
  <si>
    <t>B21_24.mp3</t>
  </si>
  <si>
    <t>B21_VD_24.mp3</t>
  </si>
  <si>
    <t>称赞</t>
  </si>
  <si>
    <t>&lt;ruby&gt;称赞&lt;rt&gt;chēngzàn&lt;/rt&gt;&lt;/ruby&gt;</t>
  </si>
  <si>
    <t>chēngzàn</t>
  </si>
  <si>
    <t>khen ngợi, tán thưởng</t>
  </si>
  <si>
    <r>
      <rPr>
        <sz val="11"/>
        <color rgb="FF000000"/>
        <rFont val="Calibri"/>
      </rPr>
      <t>老师</t>
    </r>
    <r>
      <rPr>
        <b/>
        <sz val="11"/>
        <color rgb="FF000000"/>
        <rFont val="Calibri"/>
      </rPr>
      <t>称赞</t>
    </r>
    <r>
      <rPr>
        <sz val="11"/>
        <color rgb="FF000000"/>
        <rFont val="Calibri"/>
      </rPr>
      <t>了她的努力和进步。</t>
    </r>
  </si>
  <si>
    <t>Giáo viên đã khen ngợi nỗ lực và sự tiến bộ của cô ấy.</t>
  </si>
  <si>
    <t>H5_B21_BG-25.png</t>
  </si>
  <si>
    <t>B21_25.mp3</t>
  </si>
  <si>
    <t>B21_VD_25.mp3</t>
  </si>
  <si>
    <t>开放</t>
  </si>
  <si>
    <t>&lt;ruby&gt;开放&lt;rt&gt;kāifàng&lt;/rt&gt;&lt;/ruby&gt;</t>
  </si>
  <si>
    <t>kāifàng</t>
  </si>
  <si>
    <t>mở cửa, mở công khai</t>
  </si>
  <si>
    <r>
      <rPr>
        <sz val="11"/>
        <color rgb="FF000000"/>
        <rFont val="Calibri"/>
      </rPr>
      <t>这个公园已经对公众</t>
    </r>
    <r>
      <rPr>
        <b/>
        <sz val="11"/>
        <color rgb="FF000000"/>
        <rFont val="Calibri"/>
      </rPr>
      <t>开放</t>
    </r>
    <r>
      <rPr>
        <sz val="11"/>
        <color rgb="FF000000"/>
        <rFont val="Calibri"/>
      </rPr>
      <t>了。</t>
    </r>
  </si>
  <si>
    <t>Công viên này mở cửa cho công chúng.</t>
  </si>
  <si>
    <t>H5_B21_BG-26.png</t>
  </si>
  <si>
    <t>B21_26.mp3</t>
  </si>
  <si>
    <t>B21_VD_26.mp3</t>
  </si>
  <si>
    <t>单位</t>
  </si>
  <si>
    <t>&lt;ruby&gt;单位&lt;rt&gt;dānwèi&lt;/rt&gt;&lt;/ruby&gt;</t>
  </si>
  <si>
    <t>dānwèi</t>
  </si>
  <si>
    <t>đơn vị</t>
  </si>
  <si>
    <r>
      <rPr>
        <sz val="11"/>
        <color rgb="FF000000"/>
        <rFont val="Calibri"/>
      </rPr>
      <t>我们</t>
    </r>
    <r>
      <rPr>
        <b/>
        <sz val="11"/>
        <color rgb="FF000000"/>
        <rFont val="Calibri"/>
      </rPr>
      <t>单位</t>
    </r>
    <r>
      <rPr>
        <sz val="11"/>
        <color rgb="FF000000"/>
        <rFont val="Calibri"/>
      </rPr>
      <t>最近正在施工这个项目。</t>
    </r>
  </si>
  <si>
    <t>Đơn vị của chúng tôi gần đây đang thi công dự án này.</t>
  </si>
  <si>
    <t>H5_B21_BG-27.png</t>
  </si>
  <si>
    <t>B21_27.mp3</t>
  </si>
  <si>
    <t>B21_VD_27.mp3</t>
  </si>
  <si>
    <t>完善</t>
  </si>
  <si>
    <t>&lt;ruby&gt;完善&lt;rt&gt;wánshàn&lt;/rt&gt;&lt;/ruby&gt;</t>
  </si>
  <si>
    <t>wánshàn</t>
  </si>
  <si>
    <t>hoàn thiện; trọn vẹn, đầy đủ</t>
  </si>
  <si>
    <r>
      <rPr>
        <sz val="11"/>
        <color rgb="FF000000"/>
        <rFont val="Calibri"/>
      </rPr>
      <t>政府正在</t>
    </r>
    <r>
      <rPr>
        <b/>
        <sz val="11"/>
        <color rgb="FF000000"/>
        <rFont val="Calibri"/>
      </rPr>
      <t>完善</t>
    </r>
    <r>
      <rPr>
        <sz val="11"/>
        <color rgb="FF000000"/>
        <rFont val="Calibri"/>
      </rPr>
      <t>交通网络以减少拥堵。</t>
    </r>
  </si>
  <si>
    <t>Chính phủ đang hoàn thiện mạng lưới giao thông để giảm bớt tình trạng tắc nghẽn giao thông.</t>
  </si>
  <si>
    <t>H5_B21_BG-28.png</t>
  </si>
  <si>
    <t>B21_28.mp3</t>
  </si>
  <si>
    <t>B21_VD_28.mp3</t>
  </si>
  <si>
    <t>退休</t>
  </si>
  <si>
    <t>&lt;ruby&gt;退休&lt;rt&gt;tuìxiū&lt;/rt&gt;&lt;/ruby&gt;</t>
  </si>
  <si>
    <t>tuìxiū</t>
  </si>
  <si>
    <t>về hưu</t>
  </si>
  <si>
    <r>
      <rPr>
        <sz val="11"/>
        <color rgb="FF000000"/>
        <rFont val="Calibri"/>
      </rPr>
      <t>我的祖父母都已经</t>
    </r>
    <r>
      <rPr>
        <b/>
        <sz val="11"/>
        <color rgb="FF000000"/>
        <rFont val="Calibri"/>
      </rPr>
      <t>退休</t>
    </r>
    <r>
      <rPr>
        <sz val="11"/>
        <color rgb="FF000000"/>
        <rFont val="Calibri"/>
      </rPr>
      <t>了。</t>
    </r>
  </si>
  <si>
    <t>Ông bà tôi đều đã về hưu.</t>
  </si>
  <si>
    <t>H5_B21_BG-29.png</t>
  </si>
  <si>
    <t>B21_29.mp3</t>
  </si>
  <si>
    <t>B21_VD_29.mp3</t>
  </si>
  <si>
    <t>情缘</t>
  </si>
  <si>
    <t>&lt;ruby&gt;情缘&lt;rt&gt;qíngyuán&lt;/rt&gt;&lt;/ruby&gt;</t>
  </si>
  <si>
    <t>qíngyuán</t>
  </si>
  <si>
    <t>tình duyên</t>
  </si>
  <si>
    <r>
      <rPr>
        <sz val="11"/>
        <color rgb="FF000000"/>
        <rFont val="Calibri"/>
      </rPr>
      <t>他们的</t>
    </r>
    <r>
      <rPr>
        <b/>
        <sz val="11"/>
        <color rgb="FF000000"/>
        <rFont val="Calibri"/>
      </rPr>
      <t>情缘</t>
    </r>
    <r>
      <rPr>
        <sz val="11"/>
        <color rgb="FF000000"/>
        <rFont val="Calibri"/>
      </rPr>
      <t>从大学时代就开始了。</t>
    </r>
  </si>
  <si>
    <t>Tình duyên của họ bắt đầu từ thời đại học.</t>
  </si>
  <si>
    <t>H5_B21_BG-30.png</t>
  </si>
  <si>
    <t>B21_30.mp3</t>
  </si>
  <si>
    <t>B21_VD_30.mp3</t>
  </si>
  <si>
    <t>偶然</t>
  </si>
  <si>
    <t>&lt;ruby&gt;偶然&lt;rt&gt;ǒurán&lt;/rt&gt;&lt;/ruby&gt;</t>
  </si>
  <si>
    <t>ǒurán</t>
  </si>
  <si>
    <t>Tính từ/Phó từ</t>
  </si>
  <si>
    <t>tình cờ; thỉnh thoảng</t>
  </si>
  <si>
    <r>
      <rPr>
        <sz val="11"/>
        <color rgb="FF000000"/>
        <rFont val="Calibri"/>
      </rPr>
      <t>我在咖啡馆</t>
    </r>
    <r>
      <rPr>
        <b/>
        <sz val="11"/>
        <color rgb="FF000000"/>
        <rFont val="Calibri"/>
      </rPr>
      <t>偶然</t>
    </r>
    <r>
      <rPr>
        <sz val="11"/>
        <color rgb="FF000000"/>
        <rFont val="Calibri"/>
      </rPr>
      <t>遇到了多年未见的老朋友。</t>
    </r>
  </si>
  <si>
    <t>Tôi tình cờ gặp lại người bạn cũ sau nhiều năm không gặp ở quán cà phê.</t>
  </si>
  <si>
    <t>H5_B21_BG-31.png</t>
  </si>
  <si>
    <t>B21_31.mp3</t>
  </si>
  <si>
    <t>B21_VD_31.mp3</t>
  </si>
  <si>
    <t>遗憾</t>
  </si>
  <si>
    <t>&lt;ruby&gt;遗憾&lt;rt&gt;yíhàn&lt;/rt&gt;&lt;/ruby&gt;</t>
  </si>
  <si>
    <t>yíhàn</t>
  </si>
  <si>
    <t>cảm thấy hối tiếc; nỗi ân hận</t>
  </si>
  <si>
    <r>
      <rPr>
        <sz val="11"/>
        <color rgb="FF000000"/>
        <rFont val="Calibri"/>
      </rPr>
      <t>对于错过这次机会，我感到非常</t>
    </r>
    <r>
      <rPr>
        <b/>
        <sz val="11"/>
        <color rgb="FF000000"/>
        <rFont val="Calibri"/>
      </rPr>
      <t>遗憾</t>
    </r>
    <r>
      <rPr>
        <sz val="11"/>
        <color rgb="FF000000"/>
        <rFont val="Calibri"/>
      </rPr>
      <t>。</t>
    </r>
  </si>
  <si>
    <t>Tôi cảm thấy có chút tiếc nuối.</t>
  </si>
  <si>
    <t>H5_B21_BG-32.png</t>
  </si>
  <si>
    <t>B21_32.mp3</t>
  </si>
  <si>
    <t>B21_VD_32.mp3</t>
  </si>
  <si>
    <t>心脏</t>
  </si>
  <si>
    <t>&lt;ruby&gt;心脏&lt;rt&gt;xīnzàng&lt;/rt&gt;&lt;/ruby&gt;</t>
  </si>
  <si>
    <t>xīnzàng</t>
  </si>
  <si>
    <t>(trái) tim</t>
  </si>
  <si>
    <r>
      <rPr>
        <sz val="11"/>
        <color rgb="FF000000"/>
        <rFont val="Calibri"/>
      </rPr>
      <t>他因为</t>
    </r>
    <r>
      <rPr>
        <b/>
        <sz val="11"/>
        <color rgb="FF000000"/>
        <rFont val="Calibri"/>
      </rPr>
      <t>心脏</t>
    </r>
    <r>
      <rPr>
        <sz val="11"/>
        <color rgb="FF000000"/>
        <rFont val="Calibri"/>
      </rPr>
      <t>病住院并接受了手术。</t>
    </r>
  </si>
  <si>
    <t>Anh ấy phải nhập viện vì bệnh tim và cần phải phẫu thuật.</t>
  </si>
  <si>
    <t>H5_B21_BG-33.png</t>
  </si>
  <si>
    <t>B21_33.mp3</t>
  </si>
  <si>
    <t>B21_VD_33.mp3</t>
  </si>
  <si>
    <t>思考</t>
  </si>
  <si>
    <t>&lt;ruby&gt;思考&lt;rt&gt;sīkǎo&lt;/rt&gt;&lt;/ruby&gt;</t>
  </si>
  <si>
    <t>sīkǎo</t>
  </si>
  <si>
    <t>suy nghĩ, suy ngẫm</t>
  </si>
  <si>
    <r>
      <rPr>
        <sz val="11"/>
        <color rgb="FF000000"/>
        <rFont val="Calibri"/>
      </rPr>
      <t>她正在</t>
    </r>
    <r>
      <rPr>
        <b/>
        <sz val="11"/>
        <color rgb="FF000000"/>
        <rFont val="Calibri"/>
      </rPr>
      <t>思考</t>
    </r>
    <r>
      <rPr>
        <sz val="11"/>
        <color rgb="FF000000"/>
        <rFont val="Calibri"/>
      </rPr>
      <t>是否接受这份新的工作机会。</t>
    </r>
  </si>
  <si>
    <t>Cô ấy đang suy nghĩ xem có nên chấp nhận cơ hội công việc mới này hay không.</t>
  </si>
  <si>
    <t>H5_B21_BG-34.png</t>
  </si>
  <si>
    <t>B21_34.mp3</t>
  </si>
  <si>
    <t>B21_VD_34.mp3</t>
  </si>
  <si>
    <t>抓紧</t>
  </si>
  <si>
    <t>&lt;ruby&gt;抓紧&lt;rt&gt;zhuā jǐn&lt;/rt&gt;&lt;/ruby&gt;</t>
  </si>
  <si>
    <t>zhuā jǐn</t>
  </si>
  <si>
    <t>nắm chắc, nắm vững</t>
  </si>
  <si>
    <r>
      <rPr>
        <sz val="11"/>
        <color rgb="FF000000"/>
        <rFont val="Calibri"/>
      </rPr>
      <t>这次考试很重要，你必须</t>
    </r>
    <r>
      <rPr>
        <b/>
        <sz val="11"/>
        <color rgb="FF000000"/>
        <rFont val="Calibri"/>
      </rPr>
      <t>抓紧</t>
    </r>
    <r>
      <rPr>
        <sz val="11"/>
        <color rgb="FF000000"/>
        <rFont val="Calibri"/>
      </rPr>
      <t>时间复习。</t>
    </r>
  </si>
  <si>
    <t>Kỳ thi lần này rất quan trọng, bạn phải nắm chắc thời gian ôn tập và cố gắng đạt thành tích tốt.</t>
  </si>
  <si>
    <t>H5_B21_BG-35.png</t>
  </si>
  <si>
    <t>B21_35.mp3</t>
  </si>
  <si>
    <t>B21_VD_35.mp3</t>
  </si>
  <si>
    <t>尽快</t>
  </si>
  <si>
    <t>&lt;ruby&gt;尽快&lt;rt&gt;jǐnkuài&lt;/rt&gt;&lt;/ruby&gt;</t>
  </si>
  <si>
    <t>jǐnkuài</t>
  </si>
  <si>
    <t>càng sớm càng tốt</t>
  </si>
  <si>
    <r>
      <rPr>
        <sz val="11"/>
        <color rgb="FF000000"/>
        <rFont val="Calibri"/>
      </rPr>
      <t>请</t>
    </r>
    <r>
      <rPr>
        <b/>
        <sz val="11"/>
        <color rgb="FF000000"/>
        <rFont val="Calibri"/>
      </rPr>
      <t>尽快</t>
    </r>
    <r>
      <rPr>
        <sz val="11"/>
        <color rgb="FF000000"/>
        <rFont val="Calibri"/>
      </rPr>
      <t>回复我的电子邮件。</t>
    </r>
  </si>
  <si>
    <t>Xin vui lòng trả lời email của tôi càng sớm càng tốt.</t>
  </si>
  <si>
    <t>H5_B21_BG-36.png</t>
  </si>
  <si>
    <t>B21_36.mp3</t>
  </si>
  <si>
    <t>B21_VD_36.mp3</t>
  </si>
  <si>
    <t>经典</t>
  </si>
  <si>
    <t>&lt;ruby&gt;经典&lt;rt&gt;jīngdiǎn&lt;/rt&gt;&lt;/ruby&gt;</t>
  </si>
  <si>
    <t>jīngdiǎn</t>
  </si>
  <si>
    <t>tác phẩm kinh điển; kinh điển</t>
  </si>
  <si>
    <r>
      <rPr>
        <sz val="11"/>
        <color rgb="FF000000"/>
        <rFont val="Calibri"/>
      </rPr>
      <t>这首歌已经成为</t>
    </r>
    <r>
      <rPr>
        <b/>
        <sz val="11"/>
        <color rgb="FF000000"/>
        <rFont val="Calibri"/>
      </rPr>
      <t>经典</t>
    </r>
    <r>
      <rPr>
        <sz val="11"/>
        <color rgb="FF000000"/>
        <rFont val="Calibri"/>
      </rPr>
      <t>，小孩子都会哼唱。</t>
    </r>
  </si>
  <si>
    <t>Bài hát này đã trở thành kinh điển, trẻ em cũng có thể ngân nga theo.</t>
  </si>
  <si>
    <t>H5_B21_BG-37.png</t>
  </si>
  <si>
    <t>B21_37.mp3</t>
  </si>
  <si>
    <t>B21_VD_37.mp3</t>
  </si>
  <si>
    <t>痛苦</t>
  </si>
  <si>
    <t>&lt;ruby&gt;痛苦&lt;rt&gt;tòngkǔ&lt;/rt&gt;&lt;/ruby&gt;</t>
  </si>
  <si>
    <t>tòngkǔ</t>
  </si>
  <si>
    <t>đau khổ, đau đớn</t>
  </si>
  <si>
    <r>
      <rPr>
        <sz val="11"/>
        <color rgb="FF000000"/>
        <rFont val="Calibri"/>
      </rPr>
      <t>失去好朋友让她感到很</t>
    </r>
    <r>
      <rPr>
        <b/>
        <sz val="11"/>
        <color rgb="FF000000"/>
        <rFont val="Calibri"/>
      </rPr>
      <t>痛苦</t>
    </r>
    <r>
      <rPr>
        <sz val="11"/>
        <color rgb="FF000000"/>
        <rFont val="Calibri"/>
      </rPr>
      <t>。</t>
    </r>
  </si>
  <si>
    <t>Cô ấy đã mất người bạn tốt nhất, trong lòng đầy đau khổ.</t>
  </si>
  <si>
    <t>H5_B21_BG-38.png</t>
  </si>
  <si>
    <t>B21_38.mp3</t>
  </si>
  <si>
    <t>B21_VD_38.mp3</t>
  </si>
  <si>
    <t>真相</t>
  </si>
  <si>
    <t>&lt;ruby&gt;真相&lt;rt&gt;zhēnxiàng&lt;/rt&gt;&lt;/ruby&gt;</t>
  </si>
  <si>
    <t>zhēnxiàng</t>
  </si>
  <si>
    <t>sự thật</t>
  </si>
  <si>
    <r>
      <rPr>
        <sz val="11"/>
        <color rgb="FF000000"/>
        <rFont val="Calibri"/>
      </rPr>
      <t>经过几个月的调查，</t>
    </r>
    <r>
      <rPr>
        <b/>
        <sz val="11"/>
        <color rgb="FF000000"/>
        <rFont val="Calibri"/>
      </rPr>
      <t>真相</t>
    </r>
    <r>
      <rPr>
        <sz val="11"/>
        <color rgb="FF000000"/>
        <rFont val="Calibri"/>
      </rPr>
      <t>终于浮出水面。</t>
    </r>
  </si>
  <si>
    <t>Sau vài tháng điều tra, sự thật cuối cùng đã được phơi bày.</t>
  </si>
  <si>
    <t>H5_B21_BG-39.png</t>
  </si>
  <si>
    <t>B21_39.mp3</t>
  </si>
  <si>
    <t>B21_VD_39.mp3</t>
  </si>
  <si>
    <t>佩服</t>
  </si>
  <si>
    <t>&lt;ruby&gt;佩服&lt;rt&gt;pèifú&lt;/rt&gt;&lt;/ruby&gt;</t>
  </si>
  <si>
    <t>pèifú</t>
  </si>
  <si>
    <t>khâm phục, bái phục</t>
  </si>
  <si>
    <r>
      <rPr>
        <sz val="11"/>
        <color rgb="FF000000"/>
        <rFont val="Calibri"/>
      </rPr>
      <t>他不仅非常有才华，而且对人很谦逊，我非常</t>
    </r>
    <r>
      <rPr>
        <b/>
        <sz val="11"/>
        <color rgb="FF000000"/>
        <rFont val="Calibri"/>
      </rPr>
      <t>佩服</t>
    </r>
    <r>
      <rPr>
        <sz val="11"/>
        <color rgb="FF000000"/>
        <rFont val="Calibri"/>
      </rPr>
      <t>他。</t>
    </r>
  </si>
  <si>
    <t>Anh ấy không chỉ tài năng xuất chúng mà còn rất khiêm tốn với mọi người, tôi rất khâm phục anh ấy.</t>
  </si>
  <si>
    <t>H5_B21_BG-40.png</t>
  </si>
  <si>
    <t>B21_40.mp3</t>
  </si>
  <si>
    <t>B21_VD_40.mp3</t>
  </si>
  <si>
    <t>物理</t>
  </si>
  <si>
    <t>&lt;ruby&gt;物理&lt;rt&gt;wùlǐ&lt;/rt&gt;&lt;/ruby&gt;</t>
  </si>
  <si>
    <t>wùlǐ</t>
  </si>
  <si>
    <t>vật lý</t>
  </si>
  <si>
    <r>
      <rPr>
        <sz val="11"/>
        <color rgb="FF000000"/>
        <rFont val="Calibri"/>
      </rPr>
      <t>他从小就对</t>
    </r>
    <r>
      <rPr>
        <b/>
        <sz val="11"/>
        <color rgb="FF000000"/>
        <rFont val="Calibri"/>
      </rPr>
      <t>物理</t>
    </r>
    <r>
      <rPr>
        <sz val="11"/>
        <color rgb="FF000000"/>
        <rFont val="Calibri"/>
      </rPr>
      <t>产生了浓厚的兴趣。</t>
    </r>
  </si>
  <si>
    <t>Anh ấy đã bắt đầu quan tâm đến vật lý từ khi còn nhỏ.</t>
  </si>
  <si>
    <t>H5_B21_BG-41.png</t>
  </si>
  <si>
    <t>B21_41.mp3</t>
  </si>
  <si>
    <t>B21_VD_41.mp3</t>
  </si>
  <si>
    <t>追求</t>
  </si>
  <si>
    <t>&lt;ruby&gt;追求&lt;rt&gt;zhuīqiú&lt;/rt&gt;&lt;/ruby&gt;</t>
  </si>
  <si>
    <t>zhuīqiú</t>
  </si>
  <si>
    <t>theo đuổi</t>
  </si>
  <si>
    <r>
      <rPr>
        <sz val="11"/>
        <color rgb="FF000000"/>
        <rFont val="Calibri"/>
      </rPr>
      <t>他一直在</t>
    </r>
    <r>
      <rPr>
        <b/>
        <sz val="11"/>
        <color rgb="FF000000"/>
        <rFont val="Calibri"/>
      </rPr>
      <t>追求</t>
    </r>
    <r>
      <rPr>
        <sz val="11"/>
        <color rgb="FF000000"/>
        <rFont val="Calibri"/>
      </rPr>
      <t>自己的梦想。</t>
    </r>
  </si>
  <si>
    <t>Anh ấy luôn theo đuổi ước mơ của mình.</t>
  </si>
  <si>
    <t>H5_B21_BG-42.png</t>
  </si>
  <si>
    <t>B21_42.mp3</t>
  </si>
  <si>
    <t>B21_VD_42.mp3</t>
  </si>
  <si>
    <t>过分</t>
  </si>
  <si>
    <t>&lt;ruby&gt;过分&lt;rt&gt;guòfèn&lt;/rt&gt;&lt;/ruby&gt;</t>
  </si>
  <si>
    <t>guòfèn</t>
  </si>
  <si>
    <t>quá đáng, quá mức</t>
  </si>
  <si>
    <r>
      <rPr>
        <sz val="11"/>
        <color rgb="FF000000"/>
        <rFont val="Calibri"/>
      </rPr>
      <t>她因为工作</t>
    </r>
    <r>
      <rPr>
        <b/>
        <sz val="11"/>
        <color rgb="FF000000"/>
        <rFont val="Calibri"/>
      </rPr>
      <t>过分</t>
    </r>
    <r>
      <rPr>
        <sz val="11"/>
        <color rgb="FF000000"/>
        <rFont val="Calibri"/>
      </rPr>
      <t>劳累而感到疲惫。</t>
    </r>
  </si>
  <si>
    <t>Cố ấy mệt mỏi vì làm việc quá mức.</t>
  </si>
  <si>
    <t>H5_B22_BG1.png</t>
  </si>
  <si>
    <t>B22_1.mp3</t>
  </si>
  <si>
    <t>B22_VD_1.mp3</t>
  </si>
  <si>
    <t>强调</t>
  </si>
  <si>
    <t>&lt;ruby&gt;强调&lt;rt&gt;qiángdiào&lt;/rt&gt;&lt;/ruby&gt;</t>
  </si>
  <si>
    <t>qiángdiào</t>
  </si>
  <si>
    <t>nhấn mạnh</t>
  </si>
  <si>
    <r>
      <rPr>
        <sz val="11"/>
        <color rgb="FF000000"/>
        <rFont val="Calibri"/>
      </rPr>
      <t>老师</t>
    </r>
    <r>
      <rPr>
        <b/>
        <sz val="11"/>
        <color rgb="FF000000"/>
        <rFont val="Calibri"/>
      </rPr>
      <t>强调</t>
    </r>
    <r>
      <rPr>
        <sz val="11"/>
        <color rgb="FF000000"/>
        <rFont val="Calibri"/>
      </rPr>
      <t>了英语的重要性。</t>
    </r>
  </si>
  <si>
    <t>Thầy giáo nhấn mạnh tầm quan trọng của tiếng Anh.</t>
  </si>
  <si>
    <t>H5_B22_BG2.png</t>
  </si>
  <si>
    <t>B22_2.mp3</t>
  </si>
  <si>
    <t>B22_VD_2.mp3</t>
  </si>
  <si>
    <t>作文</t>
  </si>
  <si>
    <t>&lt;ruby&gt;作文&lt;rt&gt;zuòwén&lt;/rt&gt;&lt;/ruby&gt;</t>
  </si>
  <si>
    <t>zuòwén</t>
  </si>
  <si>
    <t>bài làm văn</t>
  </si>
  <si>
    <r>
      <rPr>
        <sz val="11"/>
        <color rgb="FF000000"/>
        <rFont val="Calibri"/>
      </rPr>
      <t>我们今天的作业是写一篇</t>
    </r>
    <r>
      <rPr>
        <b/>
        <sz val="11"/>
        <color rgb="FF000000"/>
        <rFont val="Calibri"/>
      </rPr>
      <t>作文</t>
    </r>
    <r>
      <rPr>
        <sz val="11"/>
        <color rgb="FF000000"/>
        <rFont val="Calibri"/>
      </rPr>
      <t>。</t>
    </r>
  </si>
  <si>
    <t>Bài tập hôm nay của chúng tôi là viết một bài văn.</t>
  </si>
  <si>
    <t>H5_B22_BG3.png</t>
  </si>
  <si>
    <t>B22_3.mp3</t>
  </si>
  <si>
    <t>B22_VD_3.mp3</t>
  </si>
  <si>
    <t>属于</t>
  </si>
  <si>
    <t>&lt;ruby&gt;属于&lt;rt&gt;shǔyú&lt;/rt&gt;&lt;/ruby&gt;</t>
  </si>
  <si>
    <t>shǔyú</t>
  </si>
  <si>
    <t>thuộc về</t>
  </si>
  <si>
    <r>
      <rPr>
        <sz val="10"/>
        <color rgb="FF000000"/>
        <rFont val="Calibri"/>
      </rPr>
      <t>这幅画</t>
    </r>
    <r>
      <rPr>
        <b/>
        <sz val="10"/>
        <color rgb="FF000000"/>
        <rFont val="Calibri"/>
      </rPr>
      <t>属于</t>
    </r>
    <r>
      <rPr>
        <sz val="10"/>
        <color rgb="FF000000"/>
        <rFont val="Calibri"/>
      </rPr>
      <t>博物馆，不属于个人收藏。</t>
    </r>
  </si>
  <si>
    <t>Bức tranh này thuộc về bảo tàng, không thuộc bộ sưu tập cá nhân.</t>
  </si>
  <si>
    <t>H5_B22_BG4.png</t>
  </si>
  <si>
    <t>B22_4.mp3</t>
  </si>
  <si>
    <t>B22_VD_4.mp3</t>
  </si>
  <si>
    <t>交换</t>
  </si>
  <si>
    <t>&lt;ruby&gt;交换&lt;rt&gt;jiāohuàn&lt;/rt&gt;&lt;/ruby&gt;</t>
  </si>
  <si>
    <t>jiāohuàn</t>
  </si>
  <si>
    <t>trao đổi</t>
  </si>
  <si>
    <r>
      <rPr>
        <sz val="10"/>
        <color rgb="FF000000"/>
        <rFont val="Calibri"/>
      </rPr>
      <t>学生们在新课中</t>
    </r>
    <r>
      <rPr>
        <b/>
        <sz val="10"/>
        <color rgb="FF000000"/>
        <rFont val="Calibri"/>
      </rPr>
      <t>交换</t>
    </r>
    <r>
      <rPr>
        <sz val="10"/>
        <color rgb="FF000000"/>
        <rFont val="Calibri"/>
      </rPr>
      <t>知识。</t>
    </r>
  </si>
  <si>
    <t>Học sinh trao đổi kiến thức trong bài học mới.</t>
  </si>
  <si>
    <t>H5_B22_BG5.png</t>
  </si>
  <si>
    <t>B22_5.mp3</t>
  </si>
  <si>
    <t>B22_VD_5.mp3</t>
  </si>
  <si>
    <t>拥有</t>
  </si>
  <si>
    <t>&lt;ruby&gt;拥有&lt;rt&gt;yōngyǒu&lt;/rt&gt;&lt;/ruby&gt;</t>
  </si>
  <si>
    <t>yōngyǒu</t>
  </si>
  <si>
    <t>có</t>
  </si>
  <si>
    <r>
      <rPr>
        <sz val="10"/>
        <color rgb="FF000000"/>
        <rFont val="Calibri"/>
      </rPr>
      <t>他</t>
    </r>
    <r>
      <rPr>
        <b/>
        <sz val="10"/>
        <color rgb="FF000000"/>
        <rFont val="Calibri"/>
      </rPr>
      <t>拥有</t>
    </r>
    <r>
      <rPr>
        <sz val="10"/>
        <color rgb="FF000000"/>
        <rFont val="Calibri"/>
      </rPr>
      <t>一辆漂亮的汽车。</t>
    </r>
  </si>
  <si>
    <t>Anh ấy sở hữu một chiếc xe hơi đẹp.</t>
  </si>
  <si>
    <t>H5_B22_BG6.png</t>
  </si>
  <si>
    <t>B22_6.mp3</t>
  </si>
  <si>
    <t>B22_VD_6.mp3</t>
  </si>
  <si>
    <t>巨大</t>
  </si>
  <si>
    <t>&lt;ruby&gt;巨大&lt;rt&gt;jùdà&lt;/rt&gt;&lt;/ruby&gt;</t>
  </si>
  <si>
    <t>jùdà</t>
  </si>
  <si>
    <t>to lớn</t>
  </si>
  <si>
    <r>
      <rPr>
        <sz val="10"/>
        <color rgb="FF000000"/>
        <rFont val="Calibri"/>
      </rPr>
      <t>他一天内钓到了</t>
    </r>
    <r>
      <rPr>
        <b/>
        <sz val="10"/>
        <color rgb="FF000000"/>
        <rFont val="Calibri"/>
      </rPr>
      <t>巨大</t>
    </r>
    <r>
      <rPr>
        <sz val="10"/>
        <color rgb="FF000000"/>
        <rFont val="Calibri"/>
      </rPr>
      <t>的鱼。</t>
    </r>
  </si>
  <si>
    <t>Anh ấy câu được lượng lớn cá trong 1 ngày.</t>
  </si>
  <si>
    <t>H5_B22_BG7.png</t>
  </si>
  <si>
    <t>B22_7.mp3</t>
  </si>
  <si>
    <t>B22_VD_7.mp3</t>
  </si>
  <si>
    <t>难免</t>
  </si>
  <si>
    <t>&lt;ruby&gt;难免&lt;rt&gt;nánmiǎn&lt;/rt&gt;&lt;/ruby&gt;</t>
  </si>
  <si>
    <t>nánmiǎn</t>
  </si>
  <si>
    <t>khó tránh</t>
  </si>
  <si>
    <r>
      <rPr>
        <sz val="10"/>
        <color rgb="FF000000"/>
        <rFont val="Calibri"/>
      </rPr>
      <t>她安慰他说：“生病了</t>
    </r>
    <r>
      <rPr>
        <b/>
        <sz val="10"/>
        <color rgb="FF000000"/>
        <rFont val="Calibri"/>
      </rPr>
      <t>难免</t>
    </r>
    <r>
      <rPr>
        <sz val="10"/>
        <color rgb="FF000000"/>
        <rFont val="Calibri"/>
      </rPr>
      <t>会难受，休息一下就好了。”</t>
    </r>
  </si>
  <si>
    <t>Cô ấy an ủi anh ta: “Bị bệnh thì khó tránh khỏi cảm thấy khó chịu, nghỉ ngơi một chút là sẽ ổn thôi.”</t>
  </si>
  <si>
    <t>H5_B22_BG8.png</t>
  </si>
  <si>
    <t>B22_8.mp3</t>
  </si>
  <si>
    <t>B22_VD_8.mp3</t>
  </si>
  <si>
    <t>疼爱</t>
  </si>
  <si>
    <t>&lt;ruby&gt;疼爱&lt;rt&gt;téng'ài&lt;/rt&gt;&lt;/ruby&gt;</t>
  </si>
  <si>
    <t>téng'ài</t>
  </si>
  <si>
    <t>thương yêu</t>
  </si>
  <si>
    <r>
      <rPr>
        <sz val="10"/>
        <color rgb="FF000000"/>
        <rFont val="Calibri"/>
      </rPr>
      <t>父母总是</t>
    </r>
    <r>
      <rPr>
        <b/>
        <sz val="10"/>
        <color rgb="FF000000"/>
        <rFont val="Calibri"/>
      </rPr>
      <t>疼爱</t>
    </r>
    <r>
      <rPr>
        <sz val="10"/>
        <color rgb="FF000000"/>
        <rFont val="Calibri"/>
      </rPr>
      <t>自己的孩子。</t>
    </r>
  </si>
  <si>
    <t>Cha mẹ luôn thương yêu con cái của mình.</t>
  </si>
  <si>
    <t>H5_B22_BG9.png</t>
  </si>
  <si>
    <t>B22_9.mp3</t>
  </si>
  <si>
    <t>B22_VD_9.mp3</t>
  </si>
  <si>
    <t>自从</t>
  </si>
  <si>
    <t>&lt;ruby&gt;自从&lt;rt&gt;zìcóng&lt;/rt&gt;&lt;/ruby&gt;</t>
  </si>
  <si>
    <t>zìcóng</t>
  </si>
  <si>
    <t>từ lúc</t>
  </si>
  <si>
    <r>
      <rPr>
        <b/>
        <sz val="10"/>
        <color rgb="FF000000"/>
        <rFont val="Calibri"/>
      </rPr>
      <t>自从</t>
    </r>
    <r>
      <rPr>
        <sz val="10"/>
        <color rgb="FF000000"/>
        <rFont val="Calibri"/>
      </rPr>
      <t>搬到城市，他很少见到父母。</t>
    </r>
  </si>
  <si>
    <t>Từ lúc chuyển lên thành phố, anh ấy rất ít gặp cha mẹ.</t>
  </si>
  <si>
    <t>H5_B22_BG10.png</t>
  </si>
  <si>
    <t>B22_10.mp3</t>
  </si>
  <si>
    <t>B22_VD_10.mp3</t>
  </si>
  <si>
    <t>知感</t>
  </si>
  <si>
    <t>&lt;ruby&gt;知感&lt;rt&gt;zhīgǎn&lt;/rt&gt;&lt;/ruby&gt;</t>
  </si>
  <si>
    <t>zhīgǎn</t>
  </si>
  <si>
    <t>tri giác</t>
  </si>
  <si>
    <r>
      <rPr>
        <sz val="10"/>
        <color rgb="FF000000"/>
        <rFont val="Calibri"/>
      </rPr>
      <t>参观博物馆让我产生了对艺术的</t>
    </r>
    <r>
      <rPr>
        <b/>
        <sz val="10"/>
        <color rgb="FF000000"/>
        <rFont val="Calibri"/>
      </rPr>
      <t>知感</t>
    </r>
    <r>
      <rPr>
        <sz val="10"/>
        <color rgb="FF000000"/>
        <rFont val="Calibri"/>
      </rPr>
      <t>。</t>
    </r>
  </si>
  <si>
    <t>Tham quan bảo tàng khiến tôi có cảm nhận về nghệ thuật.</t>
  </si>
  <si>
    <t>H5_B22_BG11.png</t>
  </si>
  <si>
    <t>B22_11.mp3</t>
  </si>
  <si>
    <t>B22_VD_11.mp3</t>
  </si>
  <si>
    <t>观点</t>
  </si>
  <si>
    <t>&lt;ruby&gt;观点&lt;rt&gt;guāndiǎn&lt;/rt&gt;&lt;/ruby&gt;</t>
  </si>
  <si>
    <t>guāndiǎn</t>
  </si>
  <si>
    <t>quan điểm</t>
  </si>
  <si>
    <r>
      <rPr>
        <sz val="11"/>
        <color rgb="FF000000"/>
        <rFont val="Calibri"/>
      </rPr>
      <t>每个人的</t>
    </r>
    <r>
      <rPr>
        <b/>
        <sz val="11"/>
        <color rgb="FF000000"/>
        <rFont val="Calibri"/>
      </rPr>
      <t>观点</t>
    </r>
    <r>
      <rPr>
        <sz val="11"/>
        <color rgb="FF000000"/>
        <rFont val="Calibri"/>
      </rPr>
      <t>都不同。</t>
    </r>
  </si>
  <si>
    <t>Mỗi người đều có quan điểm khác nhau.</t>
  </si>
  <si>
    <t>H5_B22_BG12.png</t>
  </si>
  <si>
    <t>B22_12.mp3</t>
  </si>
  <si>
    <t>B22_VD_12.mp3</t>
  </si>
  <si>
    <t>客观</t>
  </si>
  <si>
    <t>&lt;ruby&gt;客观&lt;rt&gt;kèguān&lt;/rt&gt;&lt;/ruby&gt;</t>
  </si>
  <si>
    <t>kèguān</t>
  </si>
  <si>
    <t>khách quan</t>
  </si>
  <si>
    <r>
      <rPr>
        <sz val="11"/>
        <color rgb="FF000000"/>
        <rFont val="Calibri"/>
      </rPr>
      <t>我们应该</t>
    </r>
    <r>
      <rPr>
        <b/>
        <sz val="11"/>
        <color rgb="FF000000"/>
        <rFont val="Calibri"/>
      </rPr>
      <t>客观</t>
    </r>
    <r>
      <rPr>
        <sz val="11"/>
        <color rgb="FF000000"/>
        <rFont val="Calibri"/>
      </rPr>
      <t>地看待问题。</t>
    </r>
  </si>
  <si>
    <t>Chúng ta nên nhìn nhận vấn đề một cách khách quan.</t>
  </si>
  <si>
    <t>H5_B22_BG13.png</t>
  </si>
  <si>
    <t>B22_13.mp3</t>
  </si>
  <si>
    <t>B22_VD_13.mp3</t>
  </si>
  <si>
    <t>全面</t>
  </si>
  <si>
    <t>&lt;ruby&gt;全面&lt;rt&gt;quánmiàn&lt;/rt&gt;&lt;/ruby&gt;</t>
  </si>
  <si>
    <t>quánmiàn</t>
  </si>
  <si>
    <t>toàn diện, mọi mặt</t>
  </si>
  <si>
    <r>
      <rPr>
        <sz val="11"/>
        <color rgb="FF000000"/>
        <rFont val="Calibri"/>
      </rPr>
      <t>我们</t>
    </r>
    <r>
      <rPr>
        <b/>
        <sz val="11"/>
        <color rgb="FF000000"/>
        <rFont val="Calibri"/>
      </rPr>
      <t>全面</t>
    </r>
    <r>
      <rPr>
        <sz val="11"/>
        <color rgb="FF000000"/>
        <rFont val="Calibri"/>
      </rPr>
      <t>分析这个问题。</t>
    </r>
  </si>
  <si>
    <t xml:space="preserve">Chúng ta phân tích toàn diện vấn đề này. </t>
  </si>
  <si>
    <t>H5_B22_BG14.png</t>
  </si>
  <si>
    <t>B22_14.mp3</t>
  </si>
  <si>
    <t>B22_VD_14.mp3</t>
  </si>
  <si>
    <t>转变</t>
  </si>
  <si>
    <t>&lt;ruby&gt;转变&lt;rt&gt;zhuǎnbiàn&lt;/rt&gt;&lt;/ruby&gt;</t>
  </si>
  <si>
    <t>zhuǎnbiàn</t>
  </si>
  <si>
    <t>thay đổi</t>
  </si>
  <si>
    <r>
      <rPr>
        <sz val="11"/>
        <color rgb="FF000000"/>
        <rFont val="Calibri"/>
      </rPr>
      <t>自从减肥后，她有了很大</t>
    </r>
    <r>
      <rPr>
        <b/>
        <sz val="11"/>
        <color rgb="FF000000"/>
        <rFont val="Calibri"/>
      </rPr>
      <t>转变</t>
    </r>
    <r>
      <rPr>
        <sz val="11"/>
        <color rgb="FF000000"/>
        <rFont val="Calibri"/>
      </rPr>
      <t>。</t>
    </r>
  </si>
  <si>
    <t>Cô ấy đã thay đổi từ lúc giảm cân.</t>
  </si>
  <si>
    <t>H5_B22_BG15.png</t>
  </si>
  <si>
    <t>B22_15.mp3</t>
  </si>
  <si>
    <t>B22_VD_15.mp3</t>
  </si>
  <si>
    <t>观念</t>
  </si>
  <si>
    <t>&lt;ruby&gt;观念&lt;rt&gt;guānniàn&lt;/rt&gt;&lt;/ruby&gt;</t>
  </si>
  <si>
    <t>guānniàn</t>
  </si>
  <si>
    <t>quan niệm, tư tưởng</t>
  </si>
  <si>
    <r>
      <rPr>
        <sz val="11"/>
        <color rgb="FF000000"/>
        <rFont val="Calibri"/>
      </rPr>
      <t>我们需要改变旧的</t>
    </r>
    <r>
      <rPr>
        <b/>
        <sz val="11"/>
        <color rgb="FF000000"/>
        <rFont val="Calibri"/>
      </rPr>
      <t>观念</t>
    </r>
    <r>
      <rPr>
        <sz val="11"/>
        <color rgb="FF000000"/>
        <rFont val="Calibri"/>
      </rPr>
      <t>。</t>
    </r>
  </si>
  <si>
    <t>Chúng ta cần thay đổi quan niệm cũ.</t>
  </si>
  <si>
    <t>H5_B22_BG16.png</t>
  </si>
  <si>
    <t>B22_16.mp3</t>
  </si>
  <si>
    <t>B22_VD_16.mp3</t>
  </si>
  <si>
    <t>对待</t>
  </si>
  <si>
    <t>&lt;ruby&gt;对待&lt;rt&gt;duìdài&lt;/rt&gt;&lt;/ruby&gt;</t>
  </si>
  <si>
    <t>duìdài</t>
  </si>
  <si>
    <t>đối xử</t>
  </si>
  <si>
    <r>
      <rPr>
        <sz val="10"/>
        <color rgb="FF000000"/>
        <rFont val="Calibri"/>
      </rPr>
      <t>她对朋友的</t>
    </r>
    <r>
      <rPr>
        <b/>
        <sz val="10"/>
        <color rgb="FF000000"/>
        <rFont val="Calibri"/>
      </rPr>
      <t>对待</t>
    </r>
    <r>
      <rPr>
        <sz val="10"/>
        <color rgb="FF000000"/>
        <rFont val="Calibri"/>
      </rPr>
      <t>非常真诚。</t>
    </r>
  </si>
  <si>
    <t>Cô ấy đối xử với bạn bè rất chân thành.</t>
  </si>
  <si>
    <t>H5_B22_BG17.png</t>
  </si>
  <si>
    <t>B22_17.mp3</t>
  </si>
  <si>
    <t>B22_VD_17.mp3</t>
  </si>
  <si>
    <t>承认</t>
  </si>
  <si>
    <t>&lt;ruby&gt;承认&lt;rt&gt;chéngrèn&lt;/rt&gt;&lt;/ruby&gt;</t>
  </si>
  <si>
    <t>chéngrèn</t>
  </si>
  <si>
    <t>thừa nhận, chấp nhận</t>
  </si>
  <si>
    <r>
      <rPr>
        <sz val="10"/>
        <color rgb="FF000000"/>
        <rFont val="Calibri"/>
      </rPr>
      <t>最终他</t>
    </r>
    <r>
      <rPr>
        <b/>
        <sz val="10"/>
        <color rgb="FF000000"/>
        <rFont val="Calibri"/>
      </rPr>
      <t>承认</t>
    </r>
    <r>
      <rPr>
        <sz val="10"/>
        <color rgb="FF000000"/>
        <rFont val="Calibri"/>
      </rPr>
      <t>了自己的错误。</t>
    </r>
  </si>
  <si>
    <t>Cuối cùng anh ấy đã thừa nhận lỗi của mình.</t>
  </si>
  <si>
    <t>H5_B22_BG18.png</t>
  </si>
  <si>
    <t>B22_18.mp3</t>
  </si>
  <si>
    <t>B22_VD_18.mp3</t>
  </si>
  <si>
    <t>人性</t>
  </si>
  <si>
    <t>&lt;ruby&gt;人性&lt;rt&gt;rénxìng&lt;/rt&gt;&lt;/ruby&gt;</t>
  </si>
  <si>
    <t>rénxìng</t>
  </si>
  <si>
    <t>bản tính của con người</t>
  </si>
  <si>
    <r>
      <rPr>
        <sz val="10"/>
        <color rgb="FF000000"/>
        <rFont val="Calibri"/>
      </rPr>
      <t>每个人的</t>
    </r>
    <r>
      <rPr>
        <b/>
        <sz val="10"/>
        <color rgb="FF000000"/>
        <rFont val="Calibri"/>
      </rPr>
      <t>人性</t>
    </r>
    <r>
      <rPr>
        <sz val="10"/>
        <color rgb="FF000000"/>
        <rFont val="Calibri"/>
      </rPr>
      <t>中都有善与恶。</t>
    </r>
  </si>
  <si>
    <t>Trong mỗi con người ai cũng có bản tính ác và thiện.</t>
  </si>
  <si>
    <t>H5_B22_BG19.png</t>
  </si>
  <si>
    <t>B22_19.mp3</t>
  </si>
  <si>
    <t>B22_VD_19.mp3</t>
  </si>
  <si>
    <t>完美</t>
  </si>
  <si>
    <t>&lt;ruby&gt;完美&lt;rt&gt;wánměi&lt;/rt&gt;&lt;/ruby&gt;</t>
  </si>
  <si>
    <t>wánměi</t>
  </si>
  <si>
    <t>hoàn hảo, hoàn mỹ</t>
  </si>
  <si>
    <r>
      <rPr>
        <sz val="10"/>
        <color rgb="FF000000"/>
        <rFont val="Calibri"/>
      </rPr>
      <t>她的表演几乎</t>
    </r>
    <r>
      <rPr>
        <b/>
        <sz val="10"/>
        <color rgb="FF000000"/>
        <rFont val="Calibri"/>
      </rPr>
      <t>完美</t>
    </r>
    <r>
      <rPr>
        <sz val="10"/>
        <color rgb="FF000000"/>
        <rFont val="Calibri"/>
      </rPr>
      <t>。</t>
    </r>
  </si>
  <si>
    <t>Buổi biểu diễn của cô ấy gần như hoàn hảo.</t>
  </si>
  <si>
    <t>H5_B22_BG20.png</t>
  </si>
  <si>
    <t>B22_20.mp3</t>
  </si>
  <si>
    <t>B22_VD_20.mp3</t>
  </si>
  <si>
    <t>平等</t>
  </si>
  <si>
    <t>&lt;ruby&gt;平等&lt;rt&gt;píngděng&lt;/rt&gt;&lt;/ruby&gt;</t>
  </si>
  <si>
    <t>píngděng</t>
  </si>
  <si>
    <t>bình đẳng, công bằng</t>
  </si>
  <si>
    <r>
      <rPr>
        <sz val="10"/>
        <color rgb="FF000000"/>
        <rFont val="Calibri"/>
      </rPr>
      <t>每个人在法律面前都是</t>
    </r>
    <r>
      <rPr>
        <b/>
        <sz val="10"/>
        <color rgb="FF000000"/>
        <rFont val="Calibri"/>
      </rPr>
      <t>平等</t>
    </r>
    <r>
      <rPr>
        <sz val="10"/>
        <color rgb="FF000000"/>
        <rFont val="Calibri"/>
      </rPr>
      <t>的。</t>
    </r>
  </si>
  <si>
    <t>Mỗi người đều bình đẳng trước pháp luật.</t>
  </si>
  <si>
    <t>H5_B22_BG21.png</t>
  </si>
  <si>
    <t>B22_21.mp3</t>
  </si>
  <si>
    <t>B22_VD_21.mp3</t>
  </si>
  <si>
    <t>自私</t>
  </si>
  <si>
    <t>&lt;ruby&gt;自私&lt;rt&gt;zìsī&lt;/rt&gt;&lt;/ruby&gt;</t>
  </si>
  <si>
    <t>zìsī</t>
  </si>
  <si>
    <t>ích kỷ</t>
  </si>
  <si>
    <r>
      <rPr>
        <sz val="10"/>
        <color rgb="FF000000"/>
        <rFont val="Calibri"/>
      </rPr>
      <t>他总是只考虑自己，看起来很</t>
    </r>
    <r>
      <rPr>
        <b/>
        <sz val="10"/>
        <color rgb="FF000000"/>
        <rFont val="Calibri"/>
      </rPr>
      <t>自私</t>
    </r>
    <r>
      <rPr>
        <sz val="10"/>
        <color rgb="FF000000"/>
        <rFont val="Calibri"/>
      </rPr>
      <t>。</t>
    </r>
  </si>
  <si>
    <t>Anh ấy luôn chỉ nghĩ đến bản thân, trông rất ích kỷ.</t>
  </si>
  <si>
    <t>H5_B22_BG22.png</t>
  </si>
  <si>
    <t>B22_22.mp3</t>
  </si>
  <si>
    <t>B22_VD_22.mp3</t>
  </si>
  <si>
    <t>倾向</t>
  </si>
  <si>
    <t>&lt;ruby&gt;倾向&lt;rt&gt;qīngxiàng&lt;/rt&gt;&lt;/ruby&gt;</t>
  </si>
  <si>
    <t>qīngxiàng</t>
  </si>
  <si>
    <t>nghiêng về; khuynh hướng</t>
  </si>
  <si>
    <r>
      <rPr>
        <sz val="10"/>
        <color rgb="FF000000"/>
        <rFont val="Calibri"/>
      </rPr>
      <t>现在人们更</t>
    </r>
    <r>
      <rPr>
        <b/>
        <sz val="10"/>
        <color rgb="FF000000"/>
        <rFont val="Calibri"/>
      </rPr>
      <t>倾向</t>
    </r>
    <r>
      <rPr>
        <sz val="10"/>
        <color rgb="FF000000"/>
        <rFont val="Calibri"/>
      </rPr>
      <t>于使用电子支付。</t>
    </r>
  </si>
  <si>
    <t>Hiện nay mọi người có xu hướng sử dụng thanh toán điện tử hơn.</t>
  </si>
  <si>
    <t>H5_B22_BG23.png</t>
  </si>
  <si>
    <t>B22_23.mp3</t>
  </si>
  <si>
    <t>B22_VD_23.mp3</t>
  </si>
  <si>
    <t>道德</t>
  </si>
  <si>
    <t>&lt;ruby&gt;道德&lt;rt&gt;dàodé&lt;/rt&gt;&lt;/ruby&gt;</t>
  </si>
  <si>
    <t>dàodé</t>
  </si>
  <si>
    <t>đạo đức</t>
  </si>
  <si>
    <r>
      <rPr>
        <sz val="10"/>
        <color rgb="FF000000"/>
        <rFont val="Calibri"/>
      </rPr>
      <t>每个人都应该遵守基本的</t>
    </r>
    <r>
      <rPr>
        <b/>
        <sz val="10"/>
        <color rgb="FF000000"/>
        <rFont val="Calibri"/>
      </rPr>
      <t>道德</t>
    </r>
    <r>
      <rPr>
        <sz val="10"/>
        <color rgb="FF000000"/>
        <rFont val="Calibri"/>
      </rPr>
      <t>准则。</t>
    </r>
  </si>
  <si>
    <t>Mỗi người đều nên tuân thủ những quy tắc đạo đức cơ bản.</t>
  </si>
  <si>
    <t>H5_B22_BG24.png</t>
  </si>
  <si>
    <t>B22_24.mp3</t>
  </si>
  <si>
    <t>B22_VD_24.mp3</t>
  </si>
  <si>
    <t>价值</t>
  </si>
  <si>
    <t>&lt;ruby&gt;价值&lt;rt&gt;jiàzhí&lt;/rt&gt;&lt;/ruby&gt;</t>
  </si>
  <si>
    <t>jiàzhí</t>
  </si>
  <si>
    <t>giá trị</t>
  </si>
  <si>
    <r>
      <rPr>
        <sz val="10"/>
        <color rgb="FF000000"/>
        <rFont val="Calibri"/>
      </rPr>
      <t>这幅画的</t>
    </r>
    <r>
      <rPr>
        <b/>
        <sz val="10"/>
        <color rgb="FF000000"/>
        <rFont val="Calibri"/>
      </rPr>
      <t>价值</t>
    </r>
    <r>
      <rPr>
        <sz val="10"/>
        <color rgb="FF000000"/>
        <rFont val="Calibri"/>
      </rPr>
      <t>超过一百万美元。</t>
    </r>
  </si>
  <si>
    <t>Bức tranh này có giá trị vượt hơn một triệu đô la.</t>
  </si>
  <si>
    <t>H5_B22_BG25.png</t>
  </si>
  <si>
    <t>B22_25.mp3</t>
  </si>
  <si>
    <t>B22_VD_25.mp3</t>
  </si>
  <si>
    <t>主张</t>
  </si>
  <si>
    <t>&lt;ruby&gt;主张&lt;rt&gt;zhǔzhāng&lt;/rt&gt;&lt;/ruby&gt;</t>
  </si>
  <si>
    <t>zhǔzhāng</t>
  </si>
  <si>
    <t>cho là, tán thành; chủ trương</t>
  </si>
  <si>
    <r>
      <rPr>
        <sz val="10"/>
        <color rgb="FF000000"/>
        <rFont val="Calibri"/>
      </rPr>
      <t>他</t>
    </r>
    <r>
      <rPr>
        <b/>
        <sz val="10"/>
        <color rgb="FF000000"/>
        <rFont val="Calibri"/>
      </rPr>
      <t>主张</t>
    </r>
    <r>
      <rPr>
        <sz val="10"/>
        <color rgb="FF000000"/>
        <rFont val="Calibri"/>
      </rPr>
      <t xml:space="preserve">通过教育改变社会。
</t>
    </r>
  </si>
  <si>
    <t>Anh ấy chủ trương thay đổi xã hội thông qua giáo dục.</t>
  </si>
  <si>
    <t>H5_B22_BG26.png</t>
  </si>
  <si>
    <t>B22_26.mp3</t>
  </si>
  <si>
    <t>B22_VD_26.mp3</t>
  </si>
  <si>
    <t>火柴</t>
  </si>
  <si>
    <t>&lt;ruby&gt;火柴&lt;rt&gt;huǒchái&lt;/rt&gt;&lt;/ruby&gt;</t>
  </si>
  <si>
    <t>huǒchái</t>
  </si>
  <si>
    <t>diêm quẹt</t>
  </si>
  <si>
    <r>
      <rPr>
        <sz val="11"/>
        <color rgb="FF000000"/>
        <rFont val="Calibri"/>
      </rPr>
      <t>他用</t>
    </r>
    <r>
      <rPr>
        <b/>
        <sz val="11"/>
        <color rgb="FF000000"/>
        <rFont val="Calibri"/>
      </rPr>
      <t>火柴</t>
    </r>
    <r>
      <rPr>
        <sz val="11"/>
        <color rgb="FF000000"/>
        <rFont val="Calibri"/>
      </rPr>
      <t>点燃了蜡烛。</t>
    </r>
  </si>
  <si>
    <t>Anh ấy dùng diêm quẹt để thắp nến.</t>
  </si>
  <si>
    <t>H5_B22_BG27.png</t>
  </si>
  <si>
    <t>B22_27.mp3</t>
  </si>
  <si>
    <t>B22_VD_27.mp3</t>
  </si>
  <si>
    <t>灰</t>
  </si>
  <si>
    <t>&lt;ruby&gt;灰&lt;rt&gt;huī&lt;/rt&gt;&lt;/ruby&gt;</t>
  </si>
  <si>
    <t>tro; xám</t>
  </si>
  <si>
    <r>
      <rPr>
        <sz val="11"/>
        <color rgb="FF000000"/>
        <rFont val="Calibri"/>
      </rPr>
      <t>木柴燃烧后变成了</t>
    </r>
    <r>
      <rPr>
        <b/>
        <sz val="11"/>
        <color rgb="FF000000"/>
        <rFont val="Calibri"/>
      </rPr>
      <t>灰</t>
    </r>
    <r>
      <rPr>
        <sz val="11"/>
        <color rgb="FF000000"/>
        <rFont val="Calibri"/>
      </rPr>
      <t>。</t>
    </r>
  </si>
  <si>
    <t>Thanh củi bị đốt cháy thành tro.</t>
  </si>
  <si>
    <t>H5_B22_BG28.png</t>
  </si>
  <si>
    <t>B22_28.mp3</t>
  </si>
  <si>
    <t>B22_VD_28.mp3</t>
  </si>
  <si>
    <t>一旦</t>
  </si>
  <si>
    <t>&lt;ruby&gt;一旦&lt;rt&gt;yídàn&lt;/rt&gt;&lt;/ruby&gt;</t>
  </si>
  <si>
    <t>yídàn</t>
  </si>
  <si>
    <t>một khi</t>
  </si>
  <si>
    <r>
      <rPr>
        <b/>
        <sz val="11"/>
        <color rgb="FF000000"/>
        <rFont val="Calibri"/>
      </rPr>
      <t>一旦</t>
    </r>
    <r>
      <rPr>
        <sz val="11"/>
        <color rgb="FF000000"/>
        <rFont val="Calibri"/>
      </rPr>
      <t>下雨，比赛就会被取消。</t>
    </r>
  </si>
  <si>
    <t>Một khi trời mưa, trận đấu sẽ bị hủy.</t>
  </si>
  <si>
    <t>H5_B22_BG29.png</t>
  </si>
  <si>
    <t>B22_29.mp3</t>
  </si>
  <si>
    <t>B22_VD_29.mp3</t>
  </si>
  <si>
    <t>王宫</t>
  </si>
  <si>
    <t>&lt;ruby&gt;王宫&lt;rt&gt;wánggōng&lt;/rt&gt;&lt;/ruby&gt;</t>
  </si>
  <si>
    <t>wánggōng</t>
  </si>
  <si>
    <t>hoàng cung</t>
  </si>
  <si>
    <r>
      <rPr>
        <sz val="11"/>
        <color rgb="FF000000"/>
        <rFont val="Calibri"/>
      </rPr>
      <t>王子住在一个华丽的</t>
    </r>
    <r>
      <rPr>
        <b/>
        <sz val="11"/>
        <color rgb="FF000000"/>
        <rFont val="Calibri"/>
      </rPr>
      <t>王宫</t>
    </r>
    <r>
      <rPr>
        <sz val="11"/>
        <color rgb="FF000000"/>
        <rFont val="Calibri"/>
      </rPr>
      <t>里。</t>
    </r>
  </si>
  <si>
    <t>Hoàng tử sống trong một cung điện lộng lẫy.</t>
  </si>
  <si>
    <t>H5_B22_BG30.png</t>
  </si>
  <si>
    <t>B22_30.mp3</t>
  </si>
  <si>
    <t>B22_VD_30.mp3</t>
  </si>
  <si>
    <t>王子</t>
  </si>
  <si>
    <t>&lt;ruby&gt;王子&lt;rt&gt;wángzǐ&lt;/rt&gt;&lt;/ruby&gt;</t>
  </si>
  <si>
    <t>wángzǐ</t>
  </si>
  <si>
    <t>hoàng tử</t>
  </si>
  <si>
    <r>
      <rPr>
        <b/>
        <sz val="11"/>
        <color rgb="FF000000"/>
        <rFont val="Calibri"/>
      </rPr>
      <t>王子</t>
    </r>
    <r>
      <rPr>
        <sz val="11"/>
        <color rgb="FF000000"/>
        <rFont val="Calibri"/>
      </rPr>
      <t>在舞会上遇见了公主。</t>
    </r>
  </si>
  <si>
    <t>Hoàng tử đã gặp công chúa trong buổi dạ hội.</t>
  </si>
  <si>
    <t>H5_B22_BG31.png</t>
  </si>
  <si>
    <t>B22_31.mp3</t>
  </si>
  <si>
    <t>B22_VD_31.mp3</t>
  </si>
  <si>
    <t>理由</t>
  </si>
  <si>
    <t>&lt;ruby&gt;理由&lt;rt&gt;lǐyóu&lt;/rt&gt;&lt;/ruby&gt;</t>
  </si>
  <si>
    <t>lǐyóu</t>
  </si>
  <si>
    <t>lý do</t>
  </si>
  <si>
    <r>
      <rPr>
        <sz val="10"/>
        <color rgb="FF000000"/>
        <rFont val="Calibri"/>
      </rPr>
      <t>他迟到的</t>
    </r>
    <r>
      <rPr>
        <b/>
        <sz val="10"/>
        <color rgb="FF000000"/>
        <rFont val="Calibri"/>
      </rPr>
      <t>理由</t>
    </r>
    <r>
      <rPr>
        <sz val="10"/>
        <color rgb="FF000000"/>
        <rFont val="Calibri"/>
      </rPr>
      <t>是堵车。</t>
    </r>
  </si>
  <si>
    <t>Lý do anh ấy đến muộn là bị kẹt xe.</t>
  </si>
  <si>
    <t>H5_B22_BG32.png</t>
  </si>
  <si>
    <t>B22_32.mp3</t>
  </si>
  <si>
    <t>B22_VD_32.mp3</t>
  </si>
  <si>
    <t>童话</t>
  </si>
  <si>
    <t>&lt;ruby&gt;童话&lt;rt&gt;tónghuà&lt;/rt&gt;&lt;/ruby&gt;</t>
  </si>
  <si>
    <t>tónghuà</t>
  </si>
  <si>
    <t>truyện hư cấu</t>
  </si>
  <si>
    <r>
      <rPr>
        <sz val="10"/>
        <color rgb="FF000000"/>
        <rFont val="Calibri"/>
      </rPr>
      <t>妈妈在睡前给女儿读</t>
    </r>
    <r>
      <rPr>
        <b/>
        <sz val="10"/>
        <color rgb="FF000000"/>
        <rFont val="Calibri"/>
      </rPr>
      <t>童话</t>
    </r>
    <r>
      <rPr>
        <sz val="10"/>
        <color rgb="FF000000"/>
        <rFont val="Calibri"/>
      </rPr>
      <t>故事。</t>
    </r>
  </si>
  <si>
    <t>Mẹ đọc truyện cổ tích cho con gái trước khi ngủ.</t>
  </si>
  <si>
    <t>H5_B22_BG33.png</t>
  </si>
  <si>
    <t>B22_33.mp3</t>
  </si>
  <si>
    <t>B22_VD_33.mp3</t>
  </si>
  <si>
    <t>单纯</t>
  </si>
  <si>
    <t>&lt;ruby&gt;单纯&lt;rt&gt;dānchún&lt;/rt&gt;&lt;/ruby&gt;</t>
  </si>
  <si>
    <t>dānchún</t>
  </si>
  <si>
    <t>đơn thuần, đơn giản, chỉ</t>
  </si>
  <si>
    <r>
      <rPr>
        <sz val="10"/>
        <color rgb="FF000000"/>
        <rFont val="Calibri"/>
      </rPr>
      <t>孩子的世界非常</t>
    </r>
    <r>
      <rPr>
        <b/>
        <sz val="10"/>
        <color rgb="FF000000"/>
        <rFont val="Calibri"/>
      </rPr>
      <t>单纯</t>
    </r>
    <r>
      <rPr>
        <sz val="10"/>
        <color rgb="FF000000"/>
        <rFont val="Calibri"/>
      </rPr>
      <t>。</t>
    </r>
  </si>
  <si>
    <t>Thế giới của trẻ con thật đơn thuần.</t>
  </si>
  <si>
    <t>H5_B22_BG34.png</t>
  </si>
  <si>
    <t>B22_34.mp3</t>
  </si>
  <si>
    <t>B22_VD_34.mp3</t>
  </si>
  <si>
    <t>乖</t>
  </si>
  <si>
    <t>&lt;ruby&gt;乖&lt;rt&gt;guāi&lt;/rt&gt;&lt;/ruby&gt;</t>
  </si>
  <si>
    <t>guāi</t>
  </si>
  <si>
    <t>ngoan ngoãn</t>
  </si>
  <si>
    <r>
      <rPr>
        <sz val="11"/>
        <color rgb="FF000000"/>
        <rFont val="Calibri"/>
      </rPr>
      <t>他是个</t>
    </r>
    <r>
      <rPr>
        <b/>
        <sz val="11"/>
        <color rgb="FF000000"/>
        <rFont val="Calibri"/>
      </rPr>
      <t>乖</t>
    </r>
    <r>
      <rPr>
        <sz val="11"/>
        <color rgb="FF000000"/>
        <rFont val="Calibri"/>
      </rPr>
      <t>孩子，总是听话并且非常努力。</t>
    </r>
  </si>
  <si>
    <t>Anh ấy là một đứa trẻ ngoan ngoãn, luôn nghe lời và làm việc rất chăm chỉ.</t>
  </si>
  <si>
    <t>H5_B23_BG-01.png</t>
  </si>
  <si>
    <t>B23_1.mp3</t>
  </si>
  <si>
    <t>B23_VD_1.mp3</t>
  </si>
  <si>
    <t>刻苦</t>
  </si>
  <si>
    <t>&lt;ruby&gt;刻苦&lt;rt&gt;kèkǔ&lt;/rt&gt;&lt;/ruby&gt;</t>
  </si>
  <si>
    <t>kèkǔ</t>
  </si>
  <si>
    <t>siêng năng, chịu khó</t>
  </si>
  <si>
    <r>
      <rPr>
        <sz val="10"/>
        <color rgb="FF000000"/>
        <rFont val="Calibri"/>
      </rPr>
      <t>她学习十分</t>
    </r>
    <r>
      <rPr>
        <b/>
        <sz val="10"/>
        <color rgb="FF000000"/>
        <rFont val="Calibri"/>
      </rPr>
      <t>刻苦</t>
    </r>
    <r>
      <rPr>
        <sz val="10"/>
        <color rgb="FF000000"/>
        <rFont val="Calibri"/>
      </rPr>
      <t>。</t>
    </r>
  </si>
  <si>
    <t>Cô ấy học hành siêng năng.</t>
  </si>
  <si>
    <t>H5_B23_BG-02.png</t>
  </si>
  <si>
    <t>B23_2.mp3</t>
  </si>
  <si>
    <t>B23_VD_2.mp3</t>
  </si>
  <si>
    <t>遵守</t>
  </si>
  <si>
    <t>&lt;ruby&gt;遵守&lt;rt&gt;zūnshǒu&lt;/rt&gt;&lt;/ruby&gt;</t>
  </si>
  <si>
    <t>zūnshǒu</t>
  </si>
  <si>
    <t>tuân thủ, tôn trọng</t>
  </si>
  <si>
    <r>
      <rPr>
        <sz val="10"/>
        <color rgb="FF000000"/>
        <rFont val="Calibri"/>
      </rPr>
      <t>每个人都应该</t>
    </r>
    <r>
      <rPr>
        <b/>
        <sz val="10"/>
        <color rgb="FF000000"/>
        <rFont val="Calibri"/>
      </rPr>
      <t>遵守</t>
    </r>
    <r>
      <rPr>
        <sz val="10"/>
        <color rgb="FF000000"/>
        <rFont val="Calibri"/>
      </rPr>
      <t>交通规则，以确保安全。</t>
    </r>
  </si>
  <si>
    <t>Mọi người đều nên tuân thủ quy tắc giao thông để đảm bảo an toàn.</t>
  </si>
  <si>
    <t>H5_B23_BG-03.png</t>
  </si>
  <si>
    <t>B23_3.mp3</t>
  </si>
  <si>
    <t>B23_VD_3.mp3</t>
  </si>
  <si>
    <t>纪律</t>
  </si>
  <si>
    <t>&lt;ruby&gt;纪律&lt;rt&gt;jìlǜ&lt;/rt&gt;&lt;/ruby&gt;</t>
  </si>
  <si>
    <t>jìlǜ</t>
  </si>
  <si>
    <t>kỷ luật</t>
  </si>
  <si>
    <r>
      <rPr>
        <sz val="10"/>
        <color rgb="FF000000"/>
        <rFont val="Calibri"/>
      </rPr>
      <t>在军队中，遵守</t>
    </r>
    <r>
      <rPr>
        <b/>
        <sz val="10"/>
        <color rgb="FF000000"/>
        <rFont val="Calibri"/>
      </rPr>
      <t>纪律</t>
    </r>
    <r>
      <rPr>
        <sz val="10"/>
        <color rgb="FF000000"/>
        <rFont val="Calibri"/>
      </rPr>
      <t>非常重要。</t>
    </r>
  </si>
  <si>
    <t>Trong quân đội, việc tuân thủ kỷ luật là rất quan trọng.</t>
  </si>
  <si>
    <t>H5_B23_BG-04.png</t>
  </si>
  <si>
    <t>B23_4.mp3</t>
  </si>
  <si>
    <t>B23_VD_4.mp3</t>
  </si>
  <si>
    <t>违反</t>
  </si>
  <si>
    <t>&lt;ruby&gt;违反&lt;rt&gt;wěifǎn&lt;/rt&gt;&lt;/ruby&gt;</t>
  </si>
  <si>
    <t>wěifǎn</t>
  </si>
  <si>
    <t>làm trái</t>
  </si>
  <si>
    <r>
      <rPr>
        <sz val="10"/>
        <color rgb="FF000000"/>
        <rFont val="Calibri"/>
      </rPr>
      <t>他</t>
    </r>
    <r>
      <rPr>
        <b/>
        <sz val="10"/>
        <color rgb="FF000000"/>
        <rFont val="Calibri"/>
      </rPr>
      <t>违反</t>
    </r>
    <r>
      <rPr>
        <sz val="10"/>
        <color rgb="FF000000"/>
        <rFont val="Calibri"/>
      </rPr>
      <t>了公司的规定，结果被解雇了。</t>
    </r>
  </si>
  <si>
    <t>Anh ấy đã làm trái quy định của công ty, kết quả là bị sa thải.</t>
  </si>
  <si>
    <t>H5_B23_BG-05.png</t>
  </si>
  <si>
    <t>B23_5.mp3</t>
  </si>
  <si>
    <t>B23_VD_5.mp3</t>
  </si>
  <si>
    <t>规矩</t>
  </si>
  <si>
    <t>&lt;ruby&gt;规矩&lt;rt&gt;guīju&lt;/rt&gt;&lt;/ruby&gt;</t>
  </si>
  <si>
    <t>guīju</t>
  </si>
  <si>
    <t>quy củ, khuôn phép</t>
  </si>
  <si>
    <r>
      <rPr>
        <sz val="10"/>
        <color rgb="FF000000"/>
        <rFont val="Calibri"/>
      </rPr>
      <t>他做事很有</t>
    </r>
    <r>
      <rPr>
        <b/>
        <sz val="10"/>
        <color rgb="FF000000"/>
        <rFont val="Calibri"/>
      </rPr>
      <t>规矩</t>
    </r>
    <r>
      <rPr>
        <sz val="10"/>
        <color rgb="FF000000"/>
        <rFont val="Calibri"/>
      </rPr>
      <t>。</t>
    </r>
  </si>
  <si>
    <t>Anh ấy làm việc rất có nguyên tắc.</t>
  </si>
  <si>
    <t>H5_B23_BG-06.png</t>
  </si>
  <si>
    <t>B23_6.mp3</t>
  </si>
  <si>
    <t>B23_VD_6.mp3</t>
  </si>
  <si>
    <t>基本</t>
  </si>
  <si>
    <t>&lt;ruby&gt;基本&lt;rt&gt;jīběn&lt;/rt&gt;&lt;/ruby&gt;</t>
  </si>
  <si>
    <t>jīběn</t>
  </si>
  <si>
    <t>về cơ bản</t>
  </si>
  <si>
    <r>
      <rPr>
        <sz val="10"/>
        <color rgb="FF000000"/>
        <rFont val="Calibri"/>
      </rPr>
      <t>这份工作</t>
    </r>
    <r>
      <rPr>
        <b/>
        <sz val="10"/>
        <color rgb="FF000000"/>
        <rFont val="Calibri"/>
      </rPr>
      <t>基本</t>
    </r>
    <r>
      <rPr>
        <sz val="10"/>
        <color rgb="FF000000"/>
        <rFont val="Calibri"/>
      </rPr>
      <t>不需要出差，适合喜欢稳定的人。</t>
    </r>
  </si>
  <si>
    <t>Công việc này về cơ bản không cần đi công tác, phù hợp với những người thích sự ổn định.</t>
  </si>
  <si>
    <t>H5_B23_BG-07.png</t>
  </si>
  <si>
    <t>B23_7.mp3</t>
  </si>
  <si>
    <t>B23_VD_7.mp3</t>
  </si>
  <si>
    <t>阶段</t>
  </si>
  <si>
    <t>&lt;ruby&gt;阶段&lt;rt&gt;jiēduàn&lt;/rt&gt;&lt;/ruby&gt;</t>
  </si>
  <si>
    <t>jiēduàn</t>
  </si>
  <si>
    <t>giai đoạn</t>
  </si>
  <si>
    <r>
      <rPr>
        <sz val="10"/>
        <color rgb="FF000000"/>
        <rFont val="Calibri"/>
      </rPr>
      <t>儿童的身高发育有不同的</t>
    </r>
    <r>
      <rPr>
        <b/>
        <sz val="10"/>
        <color rgb="FF000000"/>
        <rFont val="Calibri"/>
      </rPr>
      <t>阶段</t>
    </r>
    <r>
      <rPr>
        <sz val="10"/>
        <color rgb="FF000000"/>
        <rFont val="Calibri"/>
      </rPr>
      <t>。</t>
    </r>
  </si>
  <si>
    <t>Sự phát triển chiều cao của trẻ em có các giai đoạn khác nhau.</t>
  </si>
  <si>
    <t>H5_B23_BG-08.png</t>
  </si>
  <si>
    <t>B23_8.mp3</t>
  </si>
  <si>
    <t>B23_VD_8.mp3</t>
  </si>
  <si>
    <t>录取</t>
  </si>
  <si>
    <t>&lt;ruby&gt;录取&lt;rt&gt;lùqǔ&lt;/rt&gt;&lt;/ruby&gt;</t>
  </si>
  <si>
    <t>lùqǔ</t>
  </si>
  <si>
    <t>tuyển chọn, nhận vào</t>
  </si>
  <si>
    <r>
      <rPr>
        <sz val="10"/>
        <color rgb="FF000000"/>
        <rFont val="Calibri"/>
      </rPr>
      <t>经过严格的面试，他最终被那家公司</t>
    </r>
    <r>
      <rPr>
        <b/>
        <sz val="10"/>
        <color rgb="FF000000"/>
        <rFont val="Calibri"/>
      </rPr>
      <t>录取</t>
    </r>
    <r>
      <rPr>
        <sz val="10"/>
        <color rgb="FF000000"/>
        <rFont val="Calibri"/>
      </rPr>
      <t>了。</t>
    </r>
  </si>
  <si>
    <t>Sau buổi phỏng vấn nghiêm ngặt, anh ấy cuối cùng đã được công ty đó nhận vào.</t>
  </si>
  <si>
    <t>H5_B23_BG-09.png</t>
  </si>
  <si>
    <t>B23_9.mp3</t>
  </si>
  <si>
    <t>B23_VD_9.mp3</t>
  </si>
  <si>
    <r>
      <rPr>
        <sz val="10"/>
        <color rgb="FF000000"/>
        <rFont val="Calibri"/>
      </rPr>
      <t>她在这次比赛中完成了自己的</t>
    </r>
    <r>
      <rPr>
        <b/>
        <sz val="10"/>
        <color rgb="FF000000"/>
        <rFont val="Calibri"/>
      </rPr>
      <t>目标</t>
    </r>
    <r>
      <rPr>
        <sz val="10"/>
        <color rgb="FF000000"/>
        <rFont val="Calibri"/>
      </rPr>
      <t>。</t>
    </r>
  </si>
  <si>
    <t>&lt;ruby&gt;系&lt;rt&gt;xì&lt;/rt&gt;&lt;/ruby&gt;</t>
  </si>
  <si>
    <t>xì</t>
  </si>
  <si>
    <t>khoa (của trường đại học)</t>
  </si>
  <si>
    <r>
      <rPr>
        <sz val="10"/>
        <color rgb="FF000000"/>
        <rFont val="Calibri"/>
      </rPr>
      <t>他学习的是</t>
    </r>
    <r>
      <rPr>
        <b/>
        <sz val="10"/>
        <color rgb="FF000000"/>
        <rFont val="Calibri"/>
      </rPr>
      <t>系</t>
    </r>
    <r>
      <rPr>
        <sz val="10"/>
        <color rgb="FF000000"/>
        <rFont val="Calibri"/>
      </rPr>
      <t>信息技术的课程。</t>
    </r>
  </si>
  <si>
    <t>Anh ấy đã học các môn thuộc khoa công nghệ thông tin.</t>
  </si>
  <si>
    <t>H5_B23_BG-11.png</t>
  </si>
  <si>
    <t>B23_11.mp3</t>
  </si>
  <si>
    <t>B23_VD_11.mp3</t>
  </si>
  <si>
    <t>征求</t>
  </si>
  <si>
    <t>&lt;ruby&gt;征求&lt;rt&gt;zhēngqiú&lt;/rt&gt;&lt;/ruby&gt;</t>
  </si>
  <si>
    <t>zhēngqiú</t>
  </si>
  <si>
    <t>trưng cầu, xin</t>
  </si>
  <si>
    <r>
      <rPr>
        <sz val="10"/>
        <color rgb="FF000000"/>
        <rFont val="Calibri"/>
      </rPr>
      <t>在会议上，部门主管正在</t>
    </r>
    <r>
      <rPr>
        <b/>
        <sz val="10"/>
        <color rgb="FF000000"/>
        <rFont val="Calibri"/>
      </rPr>
      <t>征求</t>
    </r>
    <r>
      <rPr>
        <sz val="10"/>
        <color rgb="FF000000"/>
        <rFont val="Calibri"/>
      </rPr>
      <t>员工对新项目的意见，以改进工作流程。</t>
    </r>
  </si>
  <si>
    <t>Trong buổi họp trưởng phòng đang trưng cầu ý kiến của nhân viên về dự án mới để cải thiện quy trình công việc.</t>
  </si>
  <si>
    <t>H5_B23_BG-12.png</t>
  </si>
  <si>
    <t>B23_12.mp3</t>
  </si>
  <si>
    <t>B23_VD_12.mp3</t>
  </si>
  <si>
    <t>担任</t>
  </si>
  <si>
    <t>&lt;ruby&gt;担任&lt;rt&gt;dānrèn&lt;/rt&gt;&lt;/ruby&gt;</t>
  </si>
  <si>
    <t>dānrèn</t>
  </si>
  <si>
    <t>đảm nhiệm, giữ chức</t>
  </si>
  <si>
    <r>
      <rPr>
        <sz val="10"/>
        <color rgb="FF000000"/>
        <rFont val="Calibri"/>
      </rPr>
      <t>他</t>
    </r>
    <r>
      <rPr>
        <b/>
        <sz val="10"/>
        <color rgb="FF000000"/>
        <rFont val="Calibri"/>
      </rPr>
      <t>担任</t>
    </r>
    <r>
      <rPr>
        <sz val="10"/>
        <color rgb="FF000000"/>
        <rFont val="Calibri"/>
      </rPr>
      <t>公司项目经理，负责整个团队的工作。</t>
    </r>
  </si>
  <si>
    <t>Anh ấy đảm nhiệm chức vụ quản lý dự án của công ty, chịu trách nhiệm về công việc của toàn bộ nhóm.</t>
  </si>
  <si>
    <t>H5_B23_BG-13.png</t>
  </si>
  <si>
    <t>B23_13.mp3</t>
  </si>
  <si>
    <t>B23_VD_13.mp3</t>
  </si>
  <si>
    <t>出席</t>
  </si>
  <si>
    <t>&lt;ruby&gt;出席&lt;rt&gt;chūxí&lt;/rt&gt;&lt;/ruby&gt;</t>
  </si>
  <si>
    <t>chūxí</t>
  </si>
  <si>
    <t>có mặt, hiện diện</t>
  </si>
  <si>
    <r>
      <rPr>
        <sz val="10"/>
        <color rgb="FF000000"/>
        <rFont val="Calibri"/>
      </rPr>
      <t>她</t>
    </r>
    <r>
      <rPr>
        <b/>
        <sz val="10"/>
        <color rgb="FF000000"/>
        <rFont val="Calibri"/>
      </rPr>
      <t>出席</t>
    </r>
    <r>
      <rPr>
        <sz val="10"/>
        <color rgb="FF000000"/>
        <rFont val="Calibri"/>
      </rPr>
      <t>了今天的活动。</t>
    </r>
  </si>
  <si>
    <t>Cô ấy tham dự sự kiện hôm nay.</t>
  </si>
  <si>
    <t>H5_B23_BG-14.png</t>
  </si>
  <si>
    <t>B23_14.mp3</t>
  </si>
  <si>
    <t>B23_VD_14.mp3</t>
  </si>
  <si>
    <t>主席</t>
  </si>
  <si>
    <t>&lt;ruby&gt;主席&lt;rt&gt;zhǔxí&lt;/rt&gt;&lt;/ruby&gt;</t>
  </si>
  <si>
    <t>zhǔxí</t>
  </si>
  <si>
    <t>chủ tịch</t>
  </si>
  <si>
    <r>
      <rPr>
        <sz val="10"/>
        <color rgb="FF000000"/>
        <rFont val="Calibri"/>
      </rPr>
      <t>会议的</t>
    </r>
    <r>
      <rPr>
        <b/>
        <sz val="10"/>
        <color rgb="FF000000"/>
        <rFont val="Calibri"/>
      </rPr>
      <t>主席</t>
    </r>
    <r>
      <rPr>
        <sz val="10"/>
        <color rgb="FF000000"/>
        <rFont val="Calibri"/>
      </rPr>
      <t>在开幕式上宣布了重要决定。</t>
    </r>
  </si>
  <si>
    <t>Chủ tịch của hội nghị đã công bố những quyết định quan trọng tại lễ khai mạc.</t>
  </si>
  <si>
    <t>H5_B23_BG-15.png</t>
  </si>
  <si>
    <t>B23_15.mp3</t>
  </si>
  <si>
    <t>B23_VD_15.mp3</t>
  </si>
  <si>
    <t>组织</t>
  </si>
  <si>
    <t>&lt;ruby&gt;组织&lt;rt&gt;zǔzhī&lt;/rt&gt;&lt;/ruby&gt;</t>
  </si>
  <si>
    <t>zǔzhī</t>
  </si>
  <si>
    <t>tổ chức</t>
  </si>
  <si>
    <r>
      <rPr>
        <sz val="10"/>
        <color rgb="FF000000"/>
        <rFont val="Calibri"/>
      </rPr>
      <t>他成功</t>
    </r>
    <r>
      <rPr>
        <b/>
        <sz val="10"/>
        <color rgb="FF000000"/>
        <rFont val="Calibri"/>
      </rPr>
      <t>组织</t>
    </r>
    <r>
      <rPr>
        <sz val="10"/>
        <color rgb="FF000000"/>
        <rFont val="Calibri"/>
      </rPr>
      <t>了一场大型音乐会，吸引了成千上万的人参加。</t>
    </r>
  </si>
  <si>
    <t>Anh ấy đã tổ chức thành công một buổi hòa nhạc lớn, thu hút hàng nghìn người tham gia.</t>
  </si>
  <si>
    <t>H5_B23_BG-16.png</t>
  </si>
  <si>
    <t>B23_16.mp3</t>
  </si>
  <si>
    <t>B23_VD_16.mp3</t>
  </si>
  <si>
    <t>外交</t>
  </si>
  <si>
    <t>&lt;ruby&gt;外交&lt;rt&gt;wàijiāo&lt;/rt&gt;&lt;/ruby&gt;</t>
  </si>
  <si>
    <t>wàijiāo</t>
  </si>
  <si>
    <t>ngoại giao</t>
  </si>
  <si>
    <r>
      <rPr>
        <b/>
        <sz val="10"/>
        <color rgb="FF000000"/>
        <rFont val="Calibri"/>
      </rPr>
      <t>外交</t>
    </r>
    <r>
      <rPr>
        <sz val="10"/>
        <color rgb="FF000000"/>
        <rFont val="Calibri"/>
      </rPr>
      <t>关系的改善将促进两国之间的经济合作。</t>
    </r>
  </si>
  <si>
    <t>Mối quan hệ ngoại giao được cải thiện sẽ giúp thúc đẩy hợp tác kinh tế giữa hai quốc gia.</t>
  </si>
  <si>
    <t>H5_B23_BG-17.png</t>
  </si>
  <si>
    <t>B23_17.mp3</t>
  </si>
  <si>
    <t>B23_VD_17.mp3</t>
  </si>
  <si>
    <t>经商</t>
  </si>
  <si>
    <t>&lt;ruby&gt;经商&lt;rt&gt;jīng shāng&lt;/rt&gt;&lt;/ruby&gt;</t>
  </si>
  <si>
    <t>jīng shāng</t>
  </si>
  <si>
    <t>kinh doanh</t>
  </si>
  <si>
    <r>
      <rPr>
        <b/>
        <sz val="10"/>
        <color rgb="FF000000"/>
        <rFont val="Calibri"/>
      </rPr>
      <t>经商</t>
    </r>
    <r>
      <rPr>
        <sz val="10"/>
        <color rgb="FF000000"/>
        <rFont val="Calibri"/>
      </rPr>
      <t>需要聪明的策略和吸引人的促销活动。</t>
    </r>
  </si>
  <si>
    <t>Kinh doanh cần có chiến lược thông minh và các chương trình khuyến mãi hấp dẫn.</t>
  </si>
  <si>
    <t>H5_B23_BG-18.png</t>
  </si>
  <si>
    <t>B23_18.mp3</t>
  </si>
  <si>
    <t>B23_VD_18.mp3</t>
  </si>
  <si>
    <t>讲座</t>
  </si>
  <si>
    <t>&lt;ruby&gt;讲座&lt;rt&gt;jiǎngzuò&lt;/rt&gt;&lt;/ruby&gt;</t>
  </si>
  <si>
    <t>jiǎngzuò</t>
  </si>
  <si>
    <t>bài thuyết trình</t>
  </si>
  <si>
    <r>
      <rPr>
        <sz val="10"/>
        <color rgb="FF000000"/>
        <rFont val="Calibri"/>
      </rPr>
      <t>我熬夜准备了这个</t>
    </r>
    <r>
      <rPr>
        <b/>
        <sz val="10"/>
        <color rgb="FF000000"/>
        <rFont val="Calibri"/>
      </rPr>
      <t>讲座</t>
    </r>
    <r>
      <rPr>
        <sz val="10"/>
        <color rgb="FF000000"/>
        <rFont val="Calibri"/>
      </rPr>
      <t>。</t>
    </r>
  </si>
  <si>
    <t>Tôi đã thức cả đêm để làm bài thuyết trình này.</t>
  </si>
  <si>
    <t>H5_B23_BG-19.png</t>
  </si>
  <si>
    <t>B23_19.mp3</t>
  </si>
  <si>
    <t>B23_VD_19.mp3</t>
  </si>
  <si>
    <t>名牌</t>
  </si>
  <si>
    <t>&lt;ruby&gt;名牌&lt;rt&gt;míngpái&lt;/rt&gt;&lt;/ruby&gt;</t>
  </si>
  <si>
    <t>míngpái</t>
  </si>
  <si>
    <t>nhãn hiệu nổi tiếng</t>
  </si>
  <si>
    <r>
      <rPr>
        <sz val="10"/>
        <color rgb="FF000000"/>
        <rFont val="Calibri"/>
      </rPr>
      <t>这个包是美国的</t>
    </r>
    <r>
      <rPr>
        <b/>
        <sz val="10"/>
        <color rgb="FF000000"/>
        <rFont val="Calibri"/>
      </rPr>
      <t>名牌</t>
    </r>
    <r>
      <rPr>
        <sz val="10"/>
        <color rgb="FF000000"/>
        <rFont val="Calibri"/>
      </rPr>
      <t>。</t>
    </r>
  </si>
  <si>
    <t>Chiếc túi này là nhãn hiệu nổi tiếng của Mỹ.</t>
  </si>
  <si>
    <t>H5_B23_BG-20.png</t>
  </si>
  <si>
    <t>B23_20.mp3</t>
  </si>
  <si>
    <t>B23_VD_20.mp3</t>
  </si>
  <si>
    <t>一致</t>
  </si>
  <si>
    <t>&lt;ruby&gt;一致&lt;rt&gt;yízhì&lt;/rt&gt;&lt;/ruby&gt;</t>
  </si>
  <si>
    <t>yízhì</t>
  </si>
  <si>
    <t>nhất trí, giống nhau</t>
  </si>
  <si>
    <r>
      <rPr>
        <sz val="10"/>
        <color rgb="FF000000"/>
        <rFont val="Calibri"/>
      </rPr>
      <t>他们对这个问题的看法完全</t>
    </r>
    <r>
      <rPr>
        <b/>
        <sz val="10"/>
        <color rgb="FF000000"/>
        <rFont val="Calibri"/>
      </rPr>
      <t>一致</t>
    </r>
    <r>
      <rPr>
        <sz val="10"/>
        <color rgb="FF000000"/>
        <rFont val="Calibri"/>
      </rPr>
      <t>，都表示反对。</t>
    </r>
  </si>
  <si>
    <t>Quan điểm của họ về vấn đề này hoàn toàn giống nhau, họ đều phản đối vấn đề này.</t>
  </si>
  <si>
    <t>H5_B23_BG-21.png</t>
  </si>
  <si>
    <t>B23_21.mp3</t>
  </si>
  <si>
    <t>B23_VD_21.mp3</t>
  </si>
  <si>
    <t>让步</t>
  </si>
  <si>
    <t>&lt;ruby&gt;让步&lt;rt&gt;ràngbù&lt;/rt&gt;&lt;/ruby&gt;</t>
  </si>
  <si>
    <t>ràngbù</t>
  </si>
  <si>
    <t>nhượng bộ, nhường bước</t>
  </si>
  <si>
    <r>
      <rPr>
        <sz val="10"/>
        <color rgb="FF000000"/>
        <rFont val="Calibri"/>
      </rPr>
      <t>为了避免争吵，他决定在小事上</t>
    </r>
    <r>
      <rPr>
        <b/>
        <sz val="10"/>
        <color rgb="FF000000"/>
        <rFont val="Calibri"/>
      </rPr>
      <t>让步</t>
    </r>
    <r>
      <rPr>
        <sz val="10"/>
        <color rgb="FF000000"/>
        <rFont val="Calibri"/>
      </rPr>
      <t>。</t>
    </r>
  </si>
  <si>
    <t>Để tránh cãi vã, anh ấy quyết định nhượng bộ trong những chuyện nhỏ.</t>
  </si>
  <si>
    <t>H5_B23_BG-22.png</t>
  </si>
  <si>
    <t>B23_22.mp3</t>
  </si>
  <si>
    <t>B23_VD_22.mp3</t>
  </si>
  <si>
    <t>沟通</t>
  </si>
  <si>
    <t>&lt;ruby&gt;沟通&lt;rt&gt;gōutōng&lt;/rt&gt;&lt;/ruby&gt;</t>
  </si>
  <si>
    <t>gōutōng</t>
  </si>
  <si>
    <t>giao tiếp, liên lạc</t>
  </si>
  <si>
    <r>
      <rPr>
        <sz val="10"/>
        <color rgb="FF000000"/>
        <rFont val="Calibri"/>
      </rPr>
      <t>在家庭中，父母和孩子之间的</t>
    </r>
    <r>
      <rPr>
        <b/>
        <sz val="10"/>
        <color rgb="FF000000"/>
        <rFont val="Calibri"/>
      </rPr>
      <t>沟通</t>
    </r>
    <r>
      <rPr>
        <sz val="10"/>
        <color rgb="FF000000"/>
        <rFont val="Calibri"/>
      </rPr>
      <t>非常重要，有助于孩子更好地成长。</t>
    </r>
  </si>
  <si>
    <t>Trong gia đình, giao tiếp giữa cha mẹ và con cái rất quan trọng, có thể giúp trẻ phát triển tốt hơn.</t>
  </si>
  <si>
    <t>H5_B23_BG-23.png</t>
  </si>
  <si>
    <t>B23_23.mp3</t>
  </si>
  <si>
    <t>B23_VD_23.mp3</t>
  </si>
  <si>
    <t>念</t>
  </si>
  <si>
    <t>&lt;ruby&gt;念&lt;rt&gt;niàn&lt;/rt&gt;&lt;/ruby&gt;</t>
  </si>
  <si>
    <t>niàn</t>
  </si>
  <si>
    <t>học</t>
  </si>
  <si>
    <r>
      <rPr>
        <sz val="10"/>
        <color rgb="FF000000"/>
        <rFont val="Calibri"/>
      </rPr>
      <t>他以前</t>
    </r>
    <r>
      <rPr>
        <b/>
        <sz val="10"/>
        <color rgb="FF000000"/>
        <rFont val="Calibri"/>
      </rPr>
      <t>念</t>
    </r>
    <r>
      <rPr>
        <sz val="10"/>
        <color rgb="FF000000"/>
        <rFont val="Calibri"/>
      </rPr>
      <t>过高中。</t>
    </r>
  </si>
  <si>
    <t>Anh ấy đã từng học trung học.</t>
  </si>
  <si>
    <t>H5_B23_BG-24.png</t>
  </si>
  <si>
    <t>B23_24.mp3</t>
  </si>
  <si>
    <t>B23_VD_24.mp3</t>
  </si>
  <si>
    <t>亲爱</t>
  </si>
  <si>
    <t>&lt;ruby&gt;亲爱&lt;rt&gt;qīn'ài&lt;/rt&gt;&lt;/ruby&gt;</t>
  </si>
  <si>
    <t>qīn'ài</t>
  </si>
  <si>
    <t>(được) yêu quý</t>
  </si>
  <si>
    <r>
      <rPr>
        <b/>
        <sz val="10"/>
        <color rgb="FF000000"/>
        <rFont val="Calibri"/>
      </rPr>
      <t>亲爱</t>
    </r>
    <r>
      <rPr>
        <sz val="10"/>
        <color rgb="FF000000"/>
        <rFont val="Calibri"/>
      </rPr>
      <t xml:space="preserve">的朋友，生日快乐！
</t>
    </r>
  </si>
  <si>
    <t>Bạn thân yêu, chúc mừng sinh nhật!</t>
  </si>
  <si>
    <t>H5_B23_BG-25.png</t>
  </si>
  <si>
    <t>B23_25.mp3</t>
  </si>
  <si>
    <t>B23_VD_25.mp3</t>
  </si>
  <si>
    <t>能干</t>
  </si>
  <si>
    <t>&lt;ruby&gt;能干&lt;rt&gt;nénggàn&lt;/rt&gt;&lt;/ruby&gt;</t>
  </si>
  <si>
    <t>nénggàn</t>
  </si>
  <si>
    <t>giỏi giang</t>
  </si>
  <si>
    <r>
      <rPr>
        <sz val="10"/>
        <color rgb="FF000000"/>
        <rFont val="Calibri"/>
      </rPr>
      <t>虽然他还年轻，但非常</t>
    </r>
    <r>
      <rPr>
        <b/>
        <sz val="10"/>
        <color rgb="FF000000"/>
        <rFont val="Calibri"/>
      </rPr>
      <t>能干</t>
    </r>
    <r>
      <rPr>
        <sz val="10"/>
        <color rgb="FF000000"/>
        <rFont val="Calibri"/>
      </rPr>
      <t>，刚毕业就进入了广播电台工作。</t>
    </r>
  </si>
  <si>
    <t>Mặc dù anh ấy còn trẻ, nhưng rất giỏi giang, mới ra trường đã làm việc ở đài phát thanh.</t>
  </si>
  <si>
    <t>H5_B23_BG-26.png</t>
  </si>
  <si>
    <t>B23_26.mp3</t>
  </si>
  <si>
    <t>B23_VD_26.mp3</t>
  </si>
  <si>
    <t>酒吧</t>
  </si>
  <si>
    <t>&lt;ruby&gt;酒吧&lt;rt&gt;jiǔbā&lt;/rt&gt;&lt;/ruby&gt;</t>
  </si>
  <si>
    <t>jiǔbā</t>
  </si>
  <si>
    <t>quán bar</t>
  </si>
  <si>
    <r>
      <rPr>
        <sz val="10"/>
        <color rgb="FF000000"/>
        <rFont val="Calibri"/>
      </rPr>
      <t>周末我们经常去</t>
    </r>
    <r>
      <rPr>
        <b/>
        <sz val="10"/>
        <color rgb="FF000000"/>
        <rFont val="Calibri"/>
      </rPr>
      <t>酒吧</t>
    </r>
    <r>
      <rPr>
        <sz val="10"/>
        <color rgb="FF000000"/>
        <rFont val="Calibri"/>
      </rPr>
      <t>放松一下，和朋友聊天。</t>
    </r>
  </si>
  <si>
    <t>Vào cuối tuần, chúng tôi thường xuyên đến quán bar để thư giãn và trò chuyện với bạn bè.</t>
  </si>
  <si>
    <t>H5_B23_BG-27.png</t>
  </si>
  <si>
    <t>B23_27.mp3</t>
  </si>
  <si>
    <t>B23_VD_27.mp3</t>
  </si>
  <si>
    <t>面临</t>
  </si>
  <si>
    <t>&lt;ruby&gt;面临&lt;rt&gt;miànlín&lt;/rt&gt;&lt;/ruby&gt;</t>
  </si>
  <si>
    <t>miànlín</t>
  </si>
  <si>
    <t>đối mặt, đứng trước</t>
  </si>
  <si>
    <r>
      <rPr>
        <sz val="10"/>
        <color rgb="FF000000"/>
        <rFont val="Calibri"/>
      </rPr>
      <t>她正</t>
    </r>
    <r>
      <rPr>
        <b/>
        <sz val="10"/>
        <color rgb="FF000000"/>
        <rFont val="Calibri"/>
      </rPr>
      <t>面临</t>
    </r>
    <r>
      <rPr>
        <sz val="10"/>
        <color rgb="FF000000"/>
        <rFont val="Calibri"/>
      </rPr>
      <t>一个重要的决定，需要仔细思考。</t>
    </r>
  </si>
  <si>
    <t>Cô ấy đang đối mặt với một quyết định quan trọng và cần phải suy nghĩ kỹ lưỡng.</t>
  </si>
  <si>
    <t>H5_B23_BG-28.png</t>
  </si>
  <si>
    <t>B23_28.mp3</t>
  </si>
  <si>
    <t>B23_VD_28.mp3</t>
  </si>
  <si>
    <t>隐约</t>
  </si>
  <si>
    <t>&lt;ruby&gt;隐约&lt;rt&gt;yǐnyuē&lt;/rt&gt;&lt;/ruby&gt;</t>
  </si>
  <si>
    <t>yǐnyuē</t>
  </si>
  <si>
    <t>mơ hồ, lờ mờ</t>
  </si>
  <si>
    <r>
      <rPr>
        <sz val="10"/>
        <color rgb="FF000000"/>
        <rFont val="Calibri"/>
      </rPr>
      <t>远处的山峰在雾气中显得</t>
    </r>
    <r>
      <rPr>
        <b/>
        <sz val="10"/>
        <color rgb="FF000000"/>
        <rFont val="Calibri"/>
      </rPr>
      <t>隐约</t>
    </r>
    <r>
      <rPr>
        <sz val="10"/>
        <color rgb="FF000000"/>
        <rFont val="Calibri"/>
      </rPr>
      <t>可见。</t>
    </r>
  </si>
  <si>
    <t>Những đỉnh núi xa xa mơ hồ có thể nhìn thấy trong làn sương mù.</t>
  </si>
  <si>
    <t>H5_B23_BG-29.png</t>
  </si>
  <si>
    <t>B23_29.mp3</t>
  </si>
  <si>
    <t>B23_VD_29.mp3</t>
  </si>
  <si>
    <t>陌生</t>
  </si>
  <si>
    <t>&lt;ruby&gt;陌生&lt;rt&gt;mòshēng&lt;/rt&gt;&lt;/ruby&gt;</t>
  </si>
  <si>
    <t>mòshēng</t>
  </si>
  <si>
    <t>xa lạ</t>
  </si>
  <si>
    <t>这座华丽的城市对我来说很陌生。</t>
  </si>
  <si>
    <t>Thành phố hoa lệ này rất xa lạ đối với tôi.</t>
  </si>
  <si>
    <t>H5_B23_BG-30.png</t>
  </si>
  <si>
    <t>B23_30.mp3</t>
  </si>
  <si>
    <t>B23_VD_30.mp3</t>
  </si>
  <si>
    <t>某</t>
  </si>
  <si>
    <t>&lt;ruby&gt;某&lt;rt&gt;mǒu&lt;/rt&gt;&lt;/ruby&gt;</t>
  </si>
  <si>
    <t>mǒu</t>
  </si>
  <si>
    <t>nào đó</t>
  </si>
  <si>
    <r>
      <rPr>
        <sz val="10"/>
        <color rgb="FF000000"/>
        <rFont val="Calibri"/>
      </rPr>
      <t>在</t>
    </r>
    <r>
      <rPr>
        <b/>
        <sz val="10"/>
        <color rgb="FF000000"/>
        <rFont val="Calibri"/>
      </rPr>
      <t>某</t>
    </r>
    <r>
      <rPr>
        <sz val="10"/>
        <color rgb="FF000000"/>
        <rFont val="Calibri"/>
      </rPr>
      <t>地发生了一起严重的交通事故。</t>
    </r>
  </si>
  <si>
    <t>Ở một nơi nào đó đã xảy ra một vụ tai nạn giao thông nghiêm trọng</t>
  </si>
  <si>
    <t>H5_B23_BG-31.png</t>
  </si>
  <si>
    <t>B23_31.mp3</t>
  </si>
  <si>
    <t>B23_VD_31.mp3</t>
  </si>
  <si>
    <t>建立</t>
  </si>
  <si>
    <t>&lt;ruby&gt;建立&lt;rt&gt;jiànlì&lt;/rt&gt;&lt;/ruby&gt;</t>
  </si>
  <si>
    <t>jiànlì</t>
  </si>
  <si>
    <t>xây dựng, thiết lập</t>
  </si>
  <si>
    <r>
      <rPr>
        <sz val="10"/>
        <color theme="1"/>
        <rFont val="Arial"/>
      </rPr>
      <t>政府决定</t>
    </r>
    <r>
      <rPr>
        <b/>
        <sz val="10"/>
        <color theme="1"/>
        <rFont val="Arial"/>
      </rPr>
      <t>建立</t>
    </r>
    <r>
      <rPr>
        <sz val="10"/>
        <color theme="1"/>
        <rFont val="Arial"/>
      </rPr>
      <t>新的交通系统，以避免交通堵塞。</t>
    </r>
  </si>
  <si>
    <t>Chính phủ quyết định xây dựng một hệ thống giao thông mới, tránh ùn tắc giao thông.</t>
  </si>
  <si>
    <t>H5_B23_BG-32.png</t>
  </si>
  <si>
    <t>B23_32.mp3</t>
  </si>
  <si>
    <t>B23_VD_32.mp3</t>
  </si>
  <si>
    <t>单独</t>
  </si>
  <si>
    <t>&lt;ruby&gt;单独&lt;rt&gt;dāndú&lt;/rt&gt;&lt;/ruby&gt;</t>
  </si>
  <si>
    <t>dāndú</t>
  </si>
  <si>
    <t>một mình</t>
  </si>
  <si>
    <r>
      <rPr>
        <sz val="10"/>
        <color rgb="FF000000"/>
        <rFont val="Calibri"/>
      </rPr>
      <t>有时候我喜欢</t>
    </r>
    <r>
      <rPr>
        <b/>
        <sz val="10"/>
        <color rgb="FF000000"/>
        <rFont val="Calibri"/>
      </rPr>
      <t>单独</t>
    </r>
    <r>
      <rPr>
        <sz val="10"/>
        <color rgb="FF000000"/>
        <rFont val="Calibri"/>
      </rPr>
      <t>喝咖啡。</t>
    </r>
  </si>
  <si>
    <t>Đôi khi tôi thích uống cà phê một mình.</t>
  </si>
  <si>
    <t>H5_B23_BG-33.png</t>
  </si>
  <si>
    <t>B23_33.mp3</t>
  </si>
  <si>
    <t>B23_VD_33.mp3</t>
  </si>
  <si>
    <t>横</t>
  </si>
  <si>
    <t>&lt;ruby&gt;横&lt;rt&gt;héng&lt;/rt&gt;&lt;/ruby&gt;</t>
  </si>
  <si>
    <t>héng</t>
  </si>
  <si>
    <t>ngang, đi ngang qua</t>
  </si>
  <si>
    <r>
      <rPr>
        <sz val="10"/>
        <color rgb="FF000000"/>
        <rFont val="Calibri"/>
      </rPr>
      <t>刚才我</t>
    </r>
    <r>
      <rPr>
        <b/>
        <sz val="10"/>
        <color rgb="FF000000"/>
        <rFont val="Calibri"/>
      </rPr>
      <t>横</t>
    </r>
    <r>
      <rPr>
        <sz val="10"/>
        <color rgb="FF000000"/>
        <rFont val="Calibri"/>
      </rPr>
      <t>穿过了一家很大的书店。</t>
    </r>
  </si>
  <si>
    <t>Lúc nãy tôi có đi ngang qua một của hiệu sách rất to.</t>
  </si>
  <si>
    <t>H5_B23_BG-34.png</t>
  </si>
  <si>
    <t>B23_34.mp3</t>
  </si>
  <si>
    <t>B23_VD_34.mp3</t>
  </si>
  <si>
    <t>沙滩</t>
  </si>
  <si>
    <t>&lt;ruby&gt;沙滩&lt;rt&gt;shātān&lt;/rt&gt;&lt;/ruby&gt;</t>
  </si>
  <si>
    <t>shātān</t>
  </si>
  <si>
    <t>bãi cát</t>
  </si>
  <si>
    <r>
      <rPr>
        <sz val="10"/>
        <color rgb="FF000000"/>
        <rFont val="Calibri"/>
      </rPr>
      <t>我们在</t>
    </r>
    <r>
      <rPr>
        <b/>
        <sz val="10"/>
        <color rgb="FF000000"/>
        <rFont val="Calibri"/>
      </rPr>
      <t>沙滩</t>
    </r>
    <r>
      <rPr>
        <sz val="10"/>
        <color rgb="FF000000"/>
        <rFont val="Calibri"/>
      </rPr>
      <t>上玩了一整天，享受阳光和海风。</t>
    </r>
  </si>
  <si>
    <t>Chúng tôi đã chơi cả ngày trên bãi cát, tận hưởng ánh nắng mặt trời và gió biển.</t>
  </si>
  <si>
    <t>H5_B23_BG-35.png</t>
  </si>
  <si>
    <t>B23_35.mp3</t>
  </si>
  <si>
    <t>B23_VD_35.mp3</t>
  </si>
  <si>
    <t>沉默</t>
  </si>
  <si>
    <t>&lt;ruby&gt;沉默&lt;rt&gt;chénmò&lt;/rt&gt;&lt;/ruby&gt;</t>
  </si>
  <si>
    <t>chénmò</t>
  </si>
  <si>
    <t>lặng im</t>
  </si>
  <si>
    <r>
      <rPr>
        <sz val="10"/>
        <color rgb="FF000000"/>
        <rFont val="Calibri"/>
      </rPr>
      <t>在会议上，他总是</t>
    </r>
    <r>
      <rPr>
        <b/>
        <sz val="10"/>
        <color rgb="FF000000"/>
        <rFont val="Calibri"/>
      </rPr>
      <t>沉默</t>
    </r>
    <r>
      <rPr>
        <sz val="10"/>
        <color rgb="FF000000"/>
        <rFont val="Calibri"/>
      </rPr>
      <t xml:space="preserve">，不参与任何讨论。
</t>
    </r>
  </si>
  <si>
    <t>Trong cuộc họp, anh ấy luôn lặng im, không tham gia vào bất kỳ cuộc thảo luận nào.</t>
  </si>
  <si>
    <t>H5_B23_BG-36.png</t>
  </si>
  <si>
    <t>B23_36.mp3</t>
  </si>
  <si>
    <t>B23_VD_36.mp3</t>
  </si>
  <si>
    <t>吻</t>
  </si>
  <si>
    <t>&lt;ruby&gt;吻&lt;rt&gt;wěn&lt;/rt&gt;&lt;/ruby&gt;</t>
  </si>
  <si>
    <t>wěn</t>
  </si>
  <si>
    <t>hôn</t>
  </si>
  <si>
    <r>
      <rPr>
        <sz val="10"/>
        <color rgb="FF000000"/>
        <rFont val="Calibri"/>
      </rPr>
      <t>在机场分别时，他们轻轻地</t>
    </r>
    <r>
      <rPr>
        <b/>
        <sz val="10"/>
        <color rgb="FF000000"/>
        <rFont val="Calibri"/>
      </rPr>
      <t>吻</t>
    </r>
    <r>
      <rPr>
        <sz val="10"/>
        <color rgb="FF000000"/>
        <rFont val="Calibri"/>
      </rPr>
      <t>了对方。</t>
    </r>
  </si>
  <si>
    <t>Họ đã nhẹ nhàng hôn nhau khi chia tay ở sân bay.</t>
  </si>
  <si>
    <t>H5_B23_BG-37.png</t>
  </si>
  <si>
    <t>B23_37.mp3</t>
  </si>
  <si>
    <t>B23_VD_37.mp3</t>
  </si>
  <si>
    <t>忍不住</t>
  </si>
  <si>
    <t>&lt;ruby&gt;忍不住&lt;rt&gt;rěn bù zhù&lt;/rt&gt;&lt;/ruby&gt;</t>
  </si>
  <si>
    <t>rěn bù zhù</t>
  </si>
  <si>
    <t>không nhịn được, không thể không</t>
  </si>
  <si>
    <r>
      <rPr>
        <sz val="10"/>
        <color rgb="FF000000"/>
        <rFont val="Calibri"/>
      </rPr>
      <t>想到和家人一起的旅行，她</t>
    </r>
    <r>
      <rPr>
        <b/>
        <sz val="10"/>
        <color rgb="FF000000"/>
        <rFont val="Calibri"/>
      </rPr>
      <t>忍不住</t>
    </r>
    <r>
      <rPr>
        <sz val="10"/>
        <color rgb="FF000000"/>
        <rFont val="Calibri"/>
      </rPr>
      <t>笑了出来。</t>
    </r>
  </si>
  <si>
    <t>Nghĩ tới chuyến đi du lịch cùng gia đính, cô ấy đã không nhìn được mà bật cười.</t>
  </si>
  <si>
    <t>H5_B23_BG-38.png</t>
  </si>
  <si>
    <t>B23_38.mp3</t>
  </si>
  <si>
    <t>B23_VD_38.mp3</t>
  </si>
  <si>
    <t>幸亏</t>
  </si>
  <si>
    <t>&lt;ruby&gt;幸亏&lt;rt&gt;xìngkuī&lt;/rt&gt;&lt;/ruby&gt;</t>
  </si>
  <si>
    <t>xìngkuī</t>
  </si>
  <si>
    <t>may mà</t>
  </si>
  <si>
    <r>
      <rPr>
        <b/>
        <sz val="10"/>
        <color rgb="FF000000"/>
        <rFont val="Calibri"/>
      </rPr>
      <t>幸亏</t>
    </r>
    <r>
      <rPr>
        <sz val="10"/>
        <color rgb="FF000000"/>
        <rFont val="Calibri"/>
      </rPr>
      <t>我带了伞，不然我就淋湿了。</t>
    </r>
  </si>
  <si>
    <t>May mà tôi mang theo ô, nếu không tôi đã bị ướt rồi.</t>
  </si>
  <si>
    <t>H5_B23_BG-39.png</t>
  </si>
  <si>
    <t>B23_39.mp3</t>
  </si>
  <si>
    <t>B23_VD_39.mp3</t>
  </si>
  <si>
    <t>暗</t>
  </si>
  <si>
    <t>&lt;ruby&gt;暗&lt;rt&gt;àn&lt;/rt&gt;&lt;/ruby&gt;</t>
  </si>
  <si>
    <t>tối, u ám</t>
  </si>
  <si>
    <r>
      <rPr>
        <sz val="10"/>
        <color rgb="FF000000"/>
        <rFont val="Calibri"/>
      </rPr>
      <t>这个房间很</t>
    </r>
    <r>
      <rPr>
        <b/>
        <sz val="10"/>
        <color rgb="FF000000"/>
        <rFont val="Calibri"/>
      </rPr>
      <t>暗</t>
    </r>
    <r>
      <rPr>
        <sz val="10"/>
        <color rgb="FF000000"/>
        <rFont val="Calibri"/>
      </rPr>
      <t>，只有开灯后才变得明亮。</t>
    </r>
  </si>
  <si>
    <t>Căn phòng này rất tối, chỉ sau khi bật đèn thì mới trở nên sáng sủa.</t>
  </si>
  <si>
    <t>H5_B23_BG-40.png</t>
  </si>
  <si>
    <t>B23_40.mp3</t>
  </si>
  <si>
    <t>B23_VD_40.mp3</t>
  </si>
  <si>
    <t>支教</t>
  </si>
  <si>
    <t>&lt;ruby&gt;支教&lt;rt&gt;zhījiào&lt;/rt&gt;&lt;/ruby&gt;</t>
  </si>
  <si>
    <t>zhījiào</t>
  </si>
  <si>
    <t>dạy học tình nguyện</t>
  </si>
  <si>
    <r>
      <rPr>
        <sz val="11"/>
        <color rgb="FF000000"/>
        <rFont val="Calibri"/>
      </rPr>
      <t>她在这个地区</t>
    </r>
    <r>
      <rPr>
        <b/>
        <sz val="11"/>
        <color rgb="FF000000"/>
        <rFont val="Calibri"/>
      </rPr>
      <t>支教</t>
    </r>
    <r>
      <rPr>
        <sz val="11"/>
        <color rgb="FF000000"/>
        <rFont val="Calibri"/>
      </rPr>
      <t>已经三年了。</t>
    </r>
  </si>
  <si>
    <t>Cô ấy đã dạy học tình nguyện ở khu vực này được ba năm rồi.</t>
  </si>
  <si>
    <t>H5_B24_BG-01.png</t>
  </si>
  <si>
    <t>B24_1.mp3</t>
  </si>
  <si>
    <t>B24_VD_1.mp3</t>
  </si>
  <si>
    <t>发言</t>
  </si>
  <si>
    <t>&lt;ruby&gt;发言&lt;rt&gt;fā yán&lt;/rt&gt;&lt;/ruby&gt;</t>
  </si>
  <si>
    <t>fā yán</t>
  </si>
  <si>
    <t>phát biểu</t>
  </si>
  <si>
    <r>
      <rPr>
        <sz val="10"/>
        <color rgb="FF000000"/>
        <rFont val="Calibri"/>
      </rPr>
      <t>在大会上</t>
    </r>
    <r>
      <rPr>
        <b/>
        <sz val="10"/>
        <color rgb="FF000000"/>
        <rFont val="Calibri"/>
      </rPr>
      <t>发言</t>
    </r>
    <r>
      <rPr>
        <sz val="10"/>
        <color rgb="FF000000"/>
        <rFont val="Calibri"/>
      </rPr>
      <t>时，他提出了很多建设性的意见。</t>
    </r>
  </si>
  <si>
    <t>Khi phát biểu tại đại hội, anh ấy đã đưa ra rất nhiều ý kiến xây dựng.</t>
  </si>
  <si>
    <t>H5_B24_BG-02.png</t>
  </si>
  <si>
    <t>B24_2.mp3</t>
  </si>
  <si>
    <t>B24_VD_2.mp3</t>
  </si>
  <si>
    <t>及格</t>
  </si>
  <si>
    <t>&lt;ruby&gt;及格&lt;rt&gt;jí gé&lt;/rt&gt;&lt;/ruby&gt;</t>
  </si>
  <si>
    <t>jí gé</t>
  </si>
  <si>
    <t>đạt yêu cầu</t>
  </si>
  <si>
    <r>
      <rPr>
        <sz val="10"/>
        <color rgb="FF000000"/>
        <rFont val="Calibri"/>
      </rPr>
      <t>虽然他没有拿到满分，但至少</t>
    </r>
    <r>
      <rPr>
        <b/>
        <sz val="10"/>
        <color rgb="FF000000"/>
        <rFont val="Calibri"/>
      </rPr>
      <t>及格</t>
    </r>
    <r>
      <rPr>
        <sz val="10"/>
        <color rgb="FF000000"/>
        <rFont val="Calibri"/>
      </rPr>
      <t>了。</t>
    </r>
  </si>
  <si>
    <t>Mặc dù anh ấy không đạt điểm tối đa, nhưng ít nhất đã đạt yêu cầu.</t>
  </si>
  <si>
    <t>H5_B24_BG-03.png</t>
  </si>
  <si>
    <t>B24_3.mp3</t>
  </si>
  <si>
    <t>B24_VD_3.mp3</t>
  </si>
  <si>
    <t>用功</t>
  </si>
  <si>
    <t>&lt;ruby&gt;用功&lt;rt&gt;yònggōng&lt;/rt&gt;&lt;/ruby&gt;</t>
  </si>
  <si>
    <t>yònggōng</t>
  </si>
  <si>
    <t>chăm chỉ, siêng năng</t>
  </si>
  <si>
    <r>
      <rPr>
        <sz val="10"/>
        <color rgb="FF000000"/>
        <rFont val="Calibri"/>
      </rPr>
      <t>她每天</t>
    </r>
    <r>
      <rPr>
        <b/>
        <sz val="10"/>
        <color rgb="FF000000"/>
        <rFont val="Calibri"/>
      </rPr>
      <t>用功</t>
    </r>
    <r>
      <rPr>
        <sz val="10"/>
        <color rgb="FF000000"/>
        <rFont val="Calibri"/>
      </rPr>
      <t>学习，成绩进步得很快。</t>
    </r>
  </si>
  <si>
    <t>Cô ấy học chăm chỉ mỗi ngày và thành tích tiến bộ rất nhanh.</t>
  </si>
  <si>
    <t>H5_B24_BG-04.png</t>
  </si>
  <si>
    <t>B24_4.mp3</t>
  </si>
  <si>
    <t>B24_VD_4.mp3</t>
  </si>
  <si>
    <t>进步</t>
  </si>
  <si>
    <t>&lt;ruby&gt;进步&lt;rt&gt;jìnbù&lt;/rt&gt;&lt;/ruby&gt;</t>
  </si>
  <si>
    <t>jìnbù</t>
  </si>
  <si>
    <t>tiến bộ, trở nên tốt hơn</t>
  </si>
  <si>
    <r>
      <rPr>
        <sz val="10"/>
        <color rgb="FF000000"/>
        <rFont val="Calibri"/>
      </rPr>
      <t>经过不断的训练，他的游泳水平有了明显的</t>
    </r>
    <r>
      <rPr>
        <b/>
        <sz val="10"/>
        <color rgb="FF000000"/>
        <rFont val="Calibri"/>
      </rPr>
      <t>进步</t>
    </r>
    <r>
      <rPr>
        <sz val="10"/>
        <color rgb="FF000000"/>
        <rFont val="Calibri"/>
      </rPr>
      <t>。</t>
    </r>
  </si>
  <si>
    <t>Sau một thời gian luyện tập không ngừng, trình độ bơi lội của anh ấy đã có sự tiến bộ rõ rệt.</t>
  </si>
  <si>
    <t>H5_B24_BG-05.png</t>
  </si>
  <si>
    <t>B24_5.mp3</t>
  </si>
  <si>
    <t>B24_VD_5.mp3</t>
  </si>
  <si>
    <t>题目</t>
  </si>
  <si>
    <t>&lt;ruby&gt;题目&lt;rt&gt;tímù&lt;/rt&gt;&lt;/ruby&gt;</t>
  </si>
  <si>
    <t>tímù</t>
  </si>
  <si>
    <t>đầu đề</t>
  </si>
  <si>
    <r>
      <rPr>
        <sz val="10"/>
        <color rgb="FF000000"/>
        <rFont val="Calibri"/>
      </rPr>
      <t>这家报纸的</t>
    </r>
    <r>
      <rPr>
        <b/>
        <sz val="10"/>
        <color rgb="FF000000"/>
        <rFont val="Calibri"/>
      </rPr>
      <t>题目</t>
    </r>
    <r>
      <rPr>
        <sz val="10"/>
        <color rgb="FF000000"/>
        <rFont val="Calibri"/>
      </rPr>
      <t>是“科技与未来”。</t>
    </r>
  </si>
  <si>
    <t>Đầu đề của tờ báo này là "Công nghệ và tương lai."</t>
  </si>
  <si>
    <t>H5_B24_BG-06.png</t>
  </si>
  <si>
    <t>B24_6.mp3</t>
  </si>
  <si>
    <t>B24_VD_6.mp3</t>
  </si>
  <si>
    <t>朗读</t>
  </si>
  <si>
    <t>&lt;ruby&gt;朗读&lt;rt&gt;lǎngdú&lt;/rt&gt;&lt;/ruby&gt;</t>
  </si>
  <si>
    <t>lǎngdú</t>
  </si>
  <si>
    <t>đọc to</t>
  </si>
  <si>
    <r>
      <rPr>
        <sz val="10"/>
        <color rgb="FF000000"/>
        <rFont val="Calibri"/>
      </rPr>
      <t>他大声</t>
    </r>
    <r>
      <rPr>
        <b/>
        <sz val="10"/>
        <color rgb="FF000000"/>
        <rFont val="Calibri"/>
      </rPr>
      <t>朗读</t>
    </r>
    <r>
      <rPr>
        <sz val="10"/>
        <color rgb="FF000000"/>
        <rFont val="Calibri"/>
      </rPr>
      <t>这首诗，直到能背下来。</t>
    </r>
  </si>
  <si>
    <t>Anh ấy đã đọc to bài thơ vài lần cho đến khi có thể thuộc lòng.</t>
  </si>
  <si>
    <t>H5_B24_BG-07.png</t>
  </si>
  <si>
    <t>B24_7.mp3</t>
  </si>
  <si>
    <t>B24_VD_7.mp3</t>
  </si>
  <si>
    <t>指导</t>
  </si>
  <si>
    <t>&lt;ruby&gt;指导&lt;rt&gt;zhǐdǎo&lt;/rt&gt;&lt;/ruby&gt;</t>
  </si>
  <si>
    <t>zhǐdǎo</t>
  </si>
  <si>
    <t>hướng dẫn, chỉ bảo</t>
  </si>
  <si>
    <r>
      <rPr>
        <sz val="10"/>
        <color rgb="FF000000"/>
        <rFont val="Calibri"/>
      </rPr>
      <t>他</t>
    </r>
    <r>
      <rPr>
        <b/>
        <sz val="10"/>
        <color rgb="FF000000"/>
        <rFont val="Calibri"/>
      </rPr>
      <t>指导</t>
    </r>
    <r>
      <rPr>
        <sz val="10"/>
        <color rgb="FF000000"/>
        <rFont val="Calibri"/>
      </rPr>
      <t>我们如何提高工作效率。</t>
    </r>
  </si>
  <si>
    <t>Anh ấy hướng dẫn chúng tôi cách nâng cao hiệu quả công việc.</t>
  </si>
  <si>
    <t>H5_B24_BG-08.png</t>
  </si>
  <si>
    <t>B24_8.mp3</t>
  </si>
  <si>
    <t>B24_VD_8.mp3</t>
  </si>
  <si>
    <t>培训</t>
  </si>
  <si>
    <t>&lt;ruby&gt;培训&lt;rt&gt;péixùn&lt;/rt&gt;&lt;/ruby&gt;</t>
  </si>
  <si>
    <t>péixùn</t>
  </si>
  <si>
    <t>huấn luyện, đào tạo</t>
  </si>
  <si>
    <r>
      <rPr>
        <sz val="10"/>
        <color rgb="FF000000"/>
        <rFont val="Calibri"/>
      </rPr>
      <t>公司组织了新员工的</t>
    </r>
    <r>
      <rPr>
        <b/>
        <sz val="10"/>
        <color rgb="FF000000"/>
        <rFont val="Calibri"/>
      </rPr>
      <t>培训</t>
    </r>
    <r>
      <rPr>
        <sz val="10"/>
        <color rgb="FF000000"/>
        <rFont val="Calibri"/>
      </rPr>
      <t>，确保每个人都能胜任工作。</t>
    </r>
  </si>
  <si>
    <t>Công ty tôi tổ chức đào tạo nhân viên mới, đảm bảo mỗi người đều có thể thực hiện tốt công việc của mình.</t>
  </si>
  <si>
    <t>H5_B24_BG-09.png</t>
  </si>
  <si>
    <t>B24_9.mp3</t>
  </si>
  <si>
    <t>B24_VD_9.mp3</t>
  </si>
  <si>
    <t>地理</t>
  </si>
  <si>
    <t>&lt;ruby&gt;地理&lt;rt&gt;dìlǐ&lt;/rt&gt;&lt;/ruby&gt;</t>
  </si>
  <si>
    <t>dìlǐ</t>
  </si>
  <si>
    <t>địa lý</t>
  </si>
  <si>
    <r>
      <rPr>
        <sz val="10"/>
        <color rgb="FF000000"/>
        <rFont val="Calibri"/>
      </rPr>
      <t>我最感兴趣的科目是</t>
    </r>
    <r>
      <rPr>
        <b/>
        <sz val="10"/>
        <color rgb="FF000000"/>
        <rFont val="Calibri"/>
      </rPr>
      <t>地理</t>
    </r>
    <r>
      <rPr>
        <sz val="10"/>
        <color rgb="FF000000"/>
        <rFont val="Calibri"/>
      </rPr>
      <t>。</t>
    </r>
  </si>
  <si>
    <t>Môn học khiến tôi hứng thú nhất là môn địa lý.</t>
  </si>
  <si>
    <t>H5_B24_BG-10.png</t>
  </si>
  <si>
    <t>B24_10.mp3</t>
  </si>
  <si>
    <t>B24_VD_10.mp3</t>
  </si>
  <si>
    <t>主题</t>
  </si>
  <si>
    <t>&lt;ruby&gt;主题&lt;rt&gt;zhǔtí&lt;/rt&gt;&lt;/ruby&gt;</t>
  </si>
  <si>
    <t>zhǔtí</t>
  </si>
  <si>
    <t>chủ đề</t>
  </si>
  <si>
    <r>
      <rPr>
        <sz val="10"/>
        <color rgb="FF000000"/>
        <rFont val="Calibri"/>
      </rPr>
      <t>这次会议的</t>
    </r>
    <r>
      <rPr>
        <b/>
        <sz val="10"/>
        <color rgb="FF000000"/>
        <rFont val="Calibri"/>
      </rPr>
      <t>主题</t>
    </r>
    <r>
      <rPr>
        <sz val="10"/>
        <color rgb="FF000000"/>
        <rFont val="Calibri"/>
      </rPr>
      <t>是如何提高团队合作效率。</t>
    </r>
  </si>
  <si>
    <t>Chủ đề của cuộc họp lần này là cách nâng cao hiệu quả hợp tác của nhóm.</t>
  </si>
  <si>
    <t>H5_B24_BG-11.png</t>
  </si>
  <si>
    <t>B24_11.mp3</t>
  </si>
  <si>
    <t>B24_VD_11.mp3</t>
  </si>
  <si>
    <t>力量</t>
  </si>
  <si>
    <t>&lt;ruby&gt;力量&lt;rt&gt;lìliàng&lt;/rt&gt;&lt;/ruby&gt;</t>
  </si>
  <si>
    <t>lìliàng</t>
  </si>
  <si>
    <t>lực lượng, sức mạnh, sức lực</t>
  </si>
  <si>
    <r>
      <rPr>
        <sz val="10"/>
        <color rgb="FF000000"/>
        <rFont val="Calibri"/>
      </rPr>
      <t>音乐给了我巨大的</t>
    </r>
    <r>
      <rPr>
        <b/>
        <sz val="10"/>
        <color rgb="FF000000"/>
        <rFont val="Calibri"/>
      </rPr>
      <t>力量</t>
    </r>
    <r>
      <rPr>
        <sz val="10"/>
        <color rgb="FF000000"/>
        <rFont val="Calibri"/>
      </rPr>
      <t>。</t>
    </r>
  </si>
  <si>
    <t>Âm nhạc mang lại cho tôi sức mạnh to lớn.</t>
  </si>
  <si>
    <t>H5_B24_BG-12.png</t>
  </si>
  <si>
    <t>B24_12.mp3</t>
  </si>
  <si>
    <t>B24_VD_12.mp3</t>
  </si>
  <si>
    <t>收获</t>
  </si>
  <si>
    <t>&lt;ruby&gt;收获&lt;rt&gt;shōuhuò&lt;/rt&gt;&lt;/ruby&gt;</t>
  </si>
  <si>
    <t>shōuhuò</t>
  </si>
  <si>
    <t>thu hoạch</t>
  </si>
  <si>
    <r>
      <rPr>
        <sz val="10"/>
        <color rgb="FF000000"/>
        <rFont val="Calibri"/>
      </rPr>
      <t>这次旅行让我</t>
    </r>
    <r>
      <rPr>
        <b/>
        <sz val="10"/>
        <color rgb="FF000000"/>
        <rFont val="Calibri"/>
      </rPr>
      <t>收获</t>
    </r>
    <r>
      <rPr>
        <sz val="10"/>
        <color rgb="FF000000"/>
        <rFont val="Calibri"/>
      </rPr>
      <t>了很多珍贵的经历。</t>
    </r>
  </si>
  <si>
    <t>Chuyến đi này có nhiều trải nghiệm quý giá.</t>
  </si>
  <si>
    <t>H5_B24_BG-13.png</t>
  </si>
  <si>
    <t>B24_13.mp3</t>
  </si>
  <si>
    <t>B24_VD_13.mp3</t>
  </si>
  <si>
    <t>交往</t>
  </si>
  <si>
    <t>&lt;ruby&gt;交往&lt;rt&gt;jiāowǎng&lt;/rt&gt;&lt;/ruby&gt;</t>
  </si>
  <si>
    <t>jiāowǎng</t>
  </si>
  <si>
    <t>giao du, kết bạn với</t>
  </si>
  <si>
    <r>
      <rPr>
        <sz val="10"/>
        <color rgb="FF000000"/>
        <rFont val="Calibri"/>
      </rPr>
      <t>他们已经</t>
    </r>
    <r>
      <rPr>
        <b/>
        <sz val="10"/>
        <color rgb="FF000000"/>
        <rFont val="Calibri"/>
      </rPr>
      <t>交往</t>
    </r>
    <r>
      <rPr>
        <sz val="10"/>
        <color rgb="FF000000"/>
        <rFont val="Calibri"/>
      </rPr>
      <t>很多年了。</t>
    </r>
  </si>
  <si>
    <t>Họ đã qua lại với nhau được nhiều năm.</t>
  </si>
  <si>
    <t>H5_B24_BG-14.png</t>
  </si>
  <si>
    <t>B24_14.mp3</t>
  </si>
  <si>
    <t>B24_VD_14.mp3</t>
  </si>
  <si>
    <t>采访</t>
  </si>
  <si>
    <t>&lt;ruby&gt;采访&lt;rt&gt;cǎifǎng&lt;/rt&gt;&lt;/ruby&gt;</t>
  </si>
  <si>
    <t>cǎifǎng</t>
  </si>
  <si>
    <t>phỏng vấn</t>
  </si>
  <si>
    <r>
      <rPr>
        <sz val="10"/>
        <color rgb="FF000000"/>
        <rFont val="Calibri"/>
      </rPr>
      <t>她正在</t>
    </r>
    <r>
      <rPr>
        <b/>
        <sz val="10"/>
        <color rgb="FF000000"/>
        <rFont val="Calibri"/>
      </rPr>
      <t>采访</t>
    </r>
    <r>
      <rPr>
        <sz val="10"/>
        <color rgb="FF000000"/>
        <rFont val="Calibri"/>
      </rPr>
      <t>一位著名演员，讨论他的最新电影。</t>
    </r>
  </si>
  <si>
    <t>Cô ấy đang phỏng vấn một diễn viên nổi tiếng để thảo luận về bộ phim mới nhất của anh ấy.</t>
  </si>
  <si>
    <t>H5_B24_BG-15.png</t>
  </si>
  <si>
    <t>B24_15.mp3</t>
  </si>
  <si>
    <t>B24_VD_15.mp3</t>
  </si>
  <si>
    <t>行动</t>
  </si>
  <si>
    <t>&lt;ruby&gt;行动&lt;rt&gt;xíngdòng&lt;/rt&gt;&lt;/ruby&gt;</t>
  </si>
  <si>
    <t>xíngdòng</t>
  </si>
  <si>
    <t>hoạt động, hành động</t>
  </si>
  <si>
    <r>
      <rPr>
        <sz val="10"/>
        <color rgb="FF000000"/>
        <rFont val="Calibri"/>
      </rPr>
      <t>小狗在模仿我的</t>
    </r>
    <r>
      <rPr>
        <b/>
        <sz val="10"/>
        <color rgb="FF000000"/>
        <rFont val="Calibri"/>
      </rPr>
      <t>行动</t>
    </r>
    <r>
      <rPr>
        <sz val="10"/>
        <color rgb="FF000000"/>
        <rFont val="Calibri"/>
      </rPr>
      <t>。</t>
    </r>
  </si>
  <si>
    <t>Chú chó đang bắt chước theo hành động của tôi.</t>
  </si>
  <si>
    <t>H5_B24_BG-16.png</t>
  </si>
  <si>
    <t>B24_16.mp3</t>
  </si>
  <si>
    <t>B24_VD_16.mp3</t>
  </si>
  <si>
    <t>家访</t>
  </si>
  <si>
    <t>&lt;ruby&gt;家访&lt;rt&gt;jiāfǎng&lt;/rt&gt;&lt;/ruby&gt;</t>
  </si>
  <si>
    <t>jiāfǎng</t>
  </si>
  <si>
    <t>đi thăm hỏi các gia đình</t>
  </si>
  <si>
    <r>
      <rPr>
        <sz val="10"/>
        <color rgb="FF000000"/>
        <rFont val="Calibri"/>
      </rPr>
      <t>为了更好地了解学生的情况，老师每个月都会进行</t>
    </r>
    <r>
      <rPr>
        <b/>
        <sz val="10"/>
        <color rgb="FF000000"/>
        <rFont val="Calibri"/>
      </rPr>
      <t>家访</t>
    </r>
    <r>
      <rPr>
        <sz val="10"/>
        <color rgb="FF000000"/>
        <rFont val="Calibri"/>
      </rPr>
      <t>。</t>
    </r>
  </si>
  <si>
    <t>Để hiểu rõ hơn về hoàn cảnh của học sinh, giáo viên mỗi tháng đều sẽ đi thăm hỏi các gia đình.</t>
  </si>
  <si>
    <t>H5_B24_BG-17.png</t>
  </si>
  <si>
    <t>B24_17.mp3</t>
  </si>
  <si>
    <t>B24_VD_17.mp3</t>
  </si>
  <si>
    <t>家务</t>
  </si>
  <si>
    <t>&lt;ruby&gt;家务&lt;rt&gt;jiāwù&lt;/rt&gt;&lt;/ruby&gt;</t>
  </si>
  <si>
    <t>jiāwù</t>
  </si>
  <si>
    <t>việc nhà</t>
  </si>
  <si>
    <r>
      <rPr>
        <sz val="10"/>
        <color rgb="FF000000"/>
        <rFont val="Calibri"/>
      </rPr>
      <t>每天下课后，我都会帮妈妈做</t>
    </r>
    <r>
      <rPr>
        <b/>
        <sz val="10"/>
        <color rgb="FF000000"/>
        <rFont val="Calibri"/>
      </rPr>
      <t>家务</t>
    </r>
    <r>
      <rPr>
        <sz val="10"/>
        <color rgb="FF000000"/>
        <rFont val="Calibri"/>
      </rPr>
      <t>。</t>
    </r>
  </si>
  <si>
    <t>Mỗi ngày sau khi tan học, tôi đều giúp mẹ làm việc nhà.</t>
  </si>
  <si>
    <t>H5_B24_BG-18.png</t>
  </si>
  <si>
    <t>B24_18.mp3</t>
  </si>
  <si>
    <t>B24_VD_18.mp3</t>
  </si>
  <si>
    <t>体贴</t>
  </si>
  <si>
    <t>&lt;ruby&gt;体贴&lt;rt&gt;tǐtiē&lt;/rt&gt;&lt;/ruby&gt;</t>
  </si>
  <si>
    <t>tǐtiē</t>
  </si>
  <si>
    <t>chu đáo, ân cần</t>
  </si>
  <si>
    <r>
      <rPr>
        <sz val="10"/>
        <color rgb="FF000000"/>
        <rFont val="Calibri"/>
      </rPr>
      <t>我的丈夫非常</t>
    </r>
    <r>
      <rPr>
        <b/>
        <sz val="10"/>
        <color rgb="FF000000"/>
        <rFont val="Calibri"/>
      </rPr>
      <t>体贴</t>
    </r>
    <r>
      <rPr>
        <sz val="10"/>
        <color rgb="FF000000"/>
        <rFont val="Calibri"/>
      </rPr>
      <t>，每次我生病，他都会给我煮粥。</t>
    </r>
  </si>
  <si>
    <t>Chồng tôi rất chu đáo, mỗi lần tôi ốm, anh ấy luôn nấu cháo cho tôi.</t>
  </si>
  <si>
    <t>H5_B24_BG-19.png</t>
  </si>
  <si>
    <t>B24_19.mp3</t>
  </si>
  <si>
    <t>B24_VD_19.mp3</t>
  </si>
  <si>
    <t>青壮年</t>
  </si>
  <si>
    <t>&lt;ruby&gt;青壮年&lt;rt&gt;qīng-zhuàngnián&lt;/rt&gt;&lt;/ruby&gt;</t>
  </si>
  <si>
    <t>qīng-zhuàngnián</t>
  </si>
  <si>
    <t>thanh niên và tráng niên</t>
  </si>
  <si>
    <r>
      <rPr>
        <b/>
        <sz val="10"/>
        <color rgb="FF000000"/>
        <rFont val="Calibri"/>
      </rPr>
      <t>青壮年</t>
    </r>
    <r>
      <rPr>
        <sz val="10"/>
        <color rgb="FF000000"/>
        <rFont val="Calibri"/>
      </rPr>
      <t>是军队的重要力量，他们肩负着保卫国家的责任。</t>
    </r>
  </si>
  <si>
    <t>Thanh niên và tráng niên là lực lượng quan trọng trong quân đội, họ gánh vác trách nhiệm bảo vệ đất nước.</t>
  </si>
  <si>
    <t>H5_B24_BG-20.png</t>
  </si>
  <si>
    <t>B24_20.mp3</t>
  </si>
  <si>
    <t>B24_VD_20.mp3</t>
  </si>
  <si>
    <t>留守</t>
  </si>
  <si>
    <t>&lt;ruby&gt;留守&lt;rt&gt;liúshǒu&lt;/rt&gt;&lt;/ruby&gt;</t>
  </si>
  <si>
    <t>liúshǒu</t>
  </si>
  <si>
    <t>ở lại để giữ gìn mọi thứ</t>
  </si>
  <si>
    <r>
      <rPr>
        <sz val="10"/>
        <color rgb="FF000000"/>
        <rFont val="Calibri"/>
      </rPr>
      <t>工人们轮流</t>
    </r>
    <r>
      <rPr>
        <b/>
        <sz val="10"/>
        <color rgb="FF000000"/>
        <rFont val="Calibri"/>
      </rPr>
      <t>留守</t>
    </r>
    <r>
      <rPr>
        <sz val="10"/>
        <color rgb="FF000000"/>
        <rFont val="Calibri"/>
      </rPr>
      <t>加班。</t>
    </r>
  </si>
  <si>
    <t>Công nhân thay phiên nhau ở lại tăng ca.</t>
  </si>
  <si>
    <t>H5_B24_BG-21.png</t>
  </si>
  <si>
    <t>B24_21.mp3</t>
  </si>
  <si>
    <t>B24_VD_21.mp3</t>
  </si>
  <si>
    <t>利用</t>
  </si>
  <si>
    <t>&lt;ruby&gt;利用&lt;rt&gt;lìyòng&lt;/rt&gt;&lt;/ruby&gt;</t>
  </si>
  <si>
    <t>lìyòng</t>
  </si>
  <si>
    <t>sử dụng, dùng</t>
  </si>
  <si>
    <r>
      <rPr>
        <sz val="10"/>
        <color rgb="FF000000"/>
        <rFont val="Calibri"/>
      </rPr>
      <t>我</t>
    </r>
    <r>
      <rPr>
        <b/>
        <sz val="10"/>
        <color rgb="FF000000"/>
        <rFont val="Calibri"/>
      </rPr>
      <t>利用</t>
    </r>
    <r>
      <rPr>
        <sz val="10"/>
        <color rgb="FF000000"/>
        <rFont val="Calibri"/>
      </rPr>
      <t>电脑来学习，而不是玩游戏。</t>
    </r>
  </si>
  <si>
    <t>Tôi đã tận dụng máy tính vào việc học thay vì chơi game.</t>
  </si>
  <si>
    <t>H5_B24_BG-22.png</t>
  </si>
  <si>
    <t>B24_22.mp3</t>
  </si>
  <si>
    <t>B24_VD_22.mp3</t>
  </si>
  <si>
    <t>空闲</t>
  </si>
  <si>
    <t>&lt;ruby&gt;空闲&lt;rt&gt;kōngxián&lt;/rt&gt;&lt;/ruby&gt;</t>
  </si>
  <si>
    <t>kōngxián</t>
  </si>
  <si>
    <t>nhàn rỗi, rỗi rãi</t>
  </si>
  <si>
    <r>
      <rPr>
        <sz val="10"/>
        <color rgb="FF000000"/>
        <rFont val="Calibri"/>
      </rPr>
      <t>每当</t>
    </r>
    <r>
      <rPr>
        <b/>
        <sz val="10"/>
        <color rgb="FF000000"/>
        <rFont val="Calibri"/>
      </rPr>
      <t>空闲</t>
    </r>
    <r>
      <rPr>
        <sz val="10"/>
        <color rgb="FF000000"/>
        <rFont val="Calibri"/>
      </rPr>
      <t>时，我都会帮妈妈做家务。</t>
    </r>
  </si>
  <si>
    <t>Mỗi khi nhàn rỗi tôi thường giúp mẹ làm việc nhà.</t>
  </si>
  <si>
    <t>H5_B24_BG-23.png</t>
  </si>
  <si>
    <t>B24_23.mp3</t>
  </si>
  <si>
    <t>B24_VD_23.mp3</t>
  </si>
  <si>
    <t>建设</t>
  </si>
  <si>
    <t>&lt;ruby&gt;建设&lt;rt&gt;jiànshè&lt;/rt&gt;&lt;/ruby&gt;</t>
  </si>
  <si>
    <t>jiànshè</t>
  </si>
  <si>
    <t>xây dựng, kiến thiết</t>
  </si>
  <si>
    <r>
      <rPr>
        <sz val="10"/>
        <color rgb="FF000000"/>
        <rFont val="Calibri"/>
      </rPr>
      <t>政府正在投资</t>
    </r>
    <r>
      <rPr>
        <b/>
        <sz val="10"/>
        <color rgb="FF000000"/>
        <rFont val="Calibri"/>
      </rPr>
      <t>建设</t>
    </r>
    <r>
      <rPr>
        <sz val="10"/>
        <color rgb="FF000000"/>
        <rFont val="Calibri"/>
      </rPr>
      <t>新的交通网络，以缓解城市交通压力。</t>
    </r>
  </si>
  <si>
    <t>Chính phủ đang đầu tư xây dựng một mạng lưới giao thông mới để giảm bớt áp lực giao thông trong thành phố.</t>
  </si>
  <si>
    <t>H5_B24_BG-24.png</t>
  </si>
  <si>
    <t>B24_24.mp3</t>
  </si>
  <si>
    <t>B24_VD_24.mp3</t>
  </si>
  <si>
    <t>承担</t>
  </si>
  <si>
    <t>&lt;ruby&gt;承担&lt;rt&gt;chéngdān&lt;/rt&gt;&lt;/ruby&gt;</t>
  </si>
  <si>
    <t>chéngdān</t>
  </si>
  <si>
    <t>gánh vác, đảm nhận</t>
  </si>
  <si>
    <r>
      <rPr>
        <sz val="10"/>
        <color rgb="FF000000"/>
        <rFont val="Calibri"/>
      </rPr>
      <t>他在公司</t>
    </r>
    <r>
      <rPr>
        <b/>
        <sz val="10"/>
        <color rgb="FF000000"/>
        <rFont val="Calibri"/>
      </rPr>
      <t>承担</t>
    </r>
    <r>
      <rPr>
        <sz val="10"/>
        <color rgb="FF000000"/>
        <rFont val="Calibri"/>
      </rPr>
      <t>着非常重要的职责，负责管理整个项目。</t>
    </r>
  </si>
  <si>
    <t>Anh ấy đảm nhận trách nhiệm rất quan trọng trong công ty, chịu trách nhiệm quản lý toàn bộ dự án.</t>
  </si>
  <si>
    <t>H5_B24_BG-25.png</t>
  </si>
  <si>
    <t>B24_25.mp3</t>
  </si>
  <si>
    <t>B24_VD_25.mp3</t>
  </si>
  <si>
    <t>义务</t>
  </si>
  <si>
    <t>&lt;ruby&gt;义务&lt;rt&gt;yìwù&lt;/rt&gt;&lt;/ruby&gt;</t>
  </si>
  <si>
    <t>yìwù</t>
  </si>
  <si>
    <t>nghĩa vụ</t>
  </si>
  <si>
    <r>
      <rPr>
        <sz val="10"/>
        <color rgb="FF000000"/>
        <rFont val="Calibri"/>
      </rPr>
      <t>作为父母，照顾孩子是我们的责任和</t>
    </r>
    <r>
      <rPr>
        <b/>
        <sz val="10"/>
        <color rgb="FF000000"/>
        <rFont val="Calibri"/>
      </rPr>
      <t>义务</t>
    </r>
    <r>
      <rPr>
        <sz val="10"/>
        <color rgb="FF000000"/>
        <rFont val="Calibri"/>
      </rPr>
      <t>。</t>
    </r>
  </si>
  <si>
    <t>Là cha mẹ, việc chăm sóc con cái là trách nhiệm và nghĩa vụ của chúng tôi.</t>
  </si>
  <si>
    <t>H5_B24_BG-26.png</t>
  </si>
  <si>
    <t>B24_26.mp3</t>
  </si>
  <si>
    <t>B24_VD_26.mp3</t>
  </si>
  <si>
    <t>艰巨</t>
  </si>
  <si>
    <t>&lt;ruby&gt;艰巨&lt;rt&gt;jiānjù&lt;/rt&gt;&lt;/ruby&gt;</t>
  </si>
  <si>
    <t>jiānjù</t>
  </si>
  <si>
    <t>gian khổ, nặng nề</t>
  </si>
  <si>
    <r>
      <rPr>
        <sz val="10"/>
        <color rgb="FF000000"/>
        <rFont val="Calibri"/>
      </rPr>
      <t>登上珠穆朗玛峰是一项</t>
    </r>
    <r>
      <rPr>
        <b/>
        <sz val="10"/>
        <color rgb="FF000000"/>
        <rFont val="Calibri"/>
      </rPr>
      <t>艰巨</t>
    </r>
    <r>
      <rPr>
        <sz val="10"/>
        <color rgb="FF000000"/>
        <rFont val="Calibri"/>
      </rPr>
      <t>的挑战，只有少数人能够成功。</t>
    </r>
  </si>
  <si>
    <t xml:space="preserve"> Leo lên đỉnh Everest là một thử thách gian khổ, chỉ có một ít người có thể thành công.</t>
  </si>
  <si>
    <t>H5_B24_BG-27.png</t>
  </si>
  <si>
    <t>B24_27.mp3</t>
  </si>
  <si>
    <t>B24_VD_27.mp3</t>
  </si>
  <si>
    <t>操心</t>
  </si>
  <si>
    <t>&lt;ruby&gt;操心&lt;rt&gt;cāo xīn&lt;/rt&gt;&lt;/ruby&gt;</t>
  </si>
  <si>
    <t>cāo xīn</t>
  </si>
  <si>
    <t>bận tâm, lo nghĩ</t>
  </si>
  <si>
    <r>
      <rPr>
        <sz val="10"/>
        <color rgb="FF000000"/>
        <rFont val="Calibri"/>
      </rPr>
      <t>她总是操心家里的经济问题，</t>
    </r>
    <r>
      <rPr>
        <b/>
        <sz val="10"/>
        <color rgb="FF000000"/>
        <rFont val="Calibri"/>
      </rPr>
      <t>操心</t>
    </r>
    <r>
      <rPr>
        <sz val="10"/>
        <color rgb="FF000000"/>
        <rFont val="Calibri"/>
      </rPr>
      <t>家人过得不好。</t>
    </r>
  </si>
  <si>
    <t>Cô ấy luôn lo lắng về vấn đề tài chính trong gia đình, sợ rằng gia đình sẽ sống không tốt.</t>
  </si>
  <si>
    <t>H5_B24_BG-28.png</t>
  </si>
  <si>
    <t>B24_28.mp3</t>
  </si>
  <si>
    <t>B24_VD_28.mp3</t>
  </si>
  <si>
    <t>排练</t>
  </si>
  <si>
    <t>&lt;ruby&gt;排练&lt;rt&gt;páiliàn&lt;/rt&gt;&lt;/ruby&gt;</t>
  </si>
  <si>
    <t>páiliàn</t>
  </si>
  <si>
    <t>diễn tập, tập luyện</t>
  </si>
  <si>
    <r>
      <rPr>
        <sz val="10"/>
        <color rgb="FF000000"/>
        <rFont val="Calibri"/>
      </rPr>
      <t>为了准备即将到来的文艺演出，我们每天都在</t>
    </r>
    <r>
      <rPr>
        <b/>
        <sz val="10"/>
        <color rgb="FF000000"/>
        <rFont val="Calibri"/>
      </rPr>
      <t>排练</t>
    </r>
    <r>
      <rPr>
        <sz val="10"/>
        <color rgb="FF000000"/>
        <rFont val="Calibri"/>
      </rPr>
      <t>。</t>
    </r>
  </si>
  <si>
    <t>Để chuẩn bị cho chương trình văn nghệ sắp tới, chúng tôi đều tập luyện mỗi ngày.</t>
  </si>
  <si>
    <t>H5_B24_BG-29.png</t>
  </si>
  <si>
    <t>B24_29.mp3</t>
  </si>
  <si>
    <t>B24_VD_29.mp3</t>
  </si>
  <si>
    <t>蝴蝶</t>
  </si>
  <si>
    <t>&lt;ruby&gt;蝴蝶&lt;rt&gt;húdié&lt;/rt&gt;&lt;/ruby&gt;</t>
  </si>
  <si>
    <t>húdié</t>
  </si>
  <si>
    <t>bươm bướm</t>
  </si>
  <si>
    <r>
      <rPr>
        <sz val="10"/>
        <color rgb="FF000000"/>
        <rFont val="Calibri"/>
      </rPr>
      <t>这种</t>
    </r>
    <r>
      <rPr>
        <b/>
        <sz val="10"/>
        <color rgb="FF000000"/>
        <rFont val="Calibri"/>
      </rPr>
      <t>蝴蝶</t>
    </r>
    <r>
      <rPr>
        <sz val="10"/>
        <color rgb="FF000000"/>
        <rFont val="Calibri"/>
      </rPr>
      <t>非常漂亮。</t>
    </r>
  </si>
  <si>
    <t>Loài bướm này rất đẹp.</t>
  </si>
  <si>
    <t>H5_B24_BG-30.png</t>
  </si>
  <si>
    <t>B24_30.mp3</t>
  </si>
  <si>
    <t>B24_VD_30.mp3</t>
  </si>
  <si>
    <t>sự nhảy múa</t>
  </si>
  <si>
    <r>
      <rPr>
        <sz val="10"/>
        <color rgb="FF000000"/>
        <rFont val="Calibri"/>
      </rPr>
      <t>她的</t>
    </r>
    <r>
      <rPr>
        <b/>
        <sz val="10"/>
        <color rgb="FF000000"/>
        <rFont val="Calibri"/>
      </rPr>
      <t>舞蹈</t>
    </r>
    <r>
      <rPr>
        <sz val="10"/>
        <color rgb="FF000000"/>
        <rFont val="Calibri"/>
      </rPr>
      <t>非常优美，赢得了观众的热烈掌声。</t>
    </r>
  </si>
  <si>
    <t>Điệu múa của cô ấy rất đẹp, đã nhận được tiếng vỗ tay nồng nhiệt từ khán giả.</t>
  </si>
  <si>
    <t>H5_B24_BG-31.png</t>
  </si>
  <si>
    <t>B24_31.mp3</t>
  </si>
  <si>
    <t>B24_VD_31.mp3</t>
  </si>
  <si>
    <t>冠军</t>
  </si>
  <si>
    <t>&lt;ruby&gt;冠军&lt;rt&gt;guànjūn&lt;/rt&gt;&lt;/ruby&gt;</t>
  </si>
  <si>
    <t>guànjūn</t>
  </si>
  <si>
    <t>quán quân, giải nhất</t>
  </si>
  <si>
    <r>
      <rPr>
        <sz val="10"/>
        <color rgb="FF000000"/>
        <rFont val="Calibri"/>
      </rPr>
      <t>她在市级田径比赛中获得了</t>
    </r>
    <r>
      <rPr>
        <b/>
        <sz val="10"/>
        <color rgb="FF000000"/>
        <rFont val="Calibri"/>
      </rPr>
      <t>冠军</t>
    </r>
    <r>
      <rPr>
        <sz val="10"/>
        <color rgb="FF000000"/>
        <rFont val="Calibri"/>
      </rPr>
      <t>。</t>
    </r>
  </si>
  <si>
    <t>Cô ấy đã giành được giải quán quân trong cuộc thi chạy cấp Thành Phố.</t>
  </si>
  <si>
    <t>H5_B24_BG-32.png</t>
  </si>
  <si>
    <t>B24_32.mp3</t>
  </si>
  <si>
    <t>B24_VD_32.mp3</t>
  </si>
  <si>
    <t>鼓掌</t>
  </si>
  <si>
    <t>&lt;ruby&gt;鼓掌&lt;rt&gt;gǔ zhǎng&lt;/rt&gt;&lt;/ruby&gt;</t>
  </si>
  <si>
    <t>gǔ zhǎng</t>
  </si>
  <si>
    <t>vỗ tay</t>
  </si>
  <si>
    <r>
      <rPr>
        <sz val="10"/>
        <color rgb="FF000000"/>
        <rFont val="Calibri"/>
      </rPr>
      <t>她的演讲非常精彩，结束后大家都</t>
    </r>
    <r>
      <rPr>
        <b/>
        <sz val="10"/>
        <color rgb="FF000000"/>
        <rFont val="Calibri"/>
      </rPr>
      <t>鼓掌</t>
    </r>
    <r>
      <rPr>
        <sz val="10"/>
        <color rgb="FF000000"/>
        <rFont val="Calibri"/>
      </rPr>
      <t>表示赞赏。</t>
    </r>
  </si>
  <si>
    <t>Bài diễn thuyết của cô ấy rất xuất sắc, khi kết thúc, mọi người đều vỗ tay để thể hiện sự khen ngợi.</t>
  </si>
  <si>
    <t>H5_B24_BG-33.png</t>
  </si>
  <si>
    <t>B24_33.mp3</t>
  </si>
  <si>
    <t>B24_VD_33.mp3</t>
  </si>
  <si>
    <t>温柔</t>
  </si>
  <si>
    <t>&lt;ruby&gt;温柔&lt;rt&gt;wēnróu&lt;/rt&gt;&lt;/ruby&gt;</t>
  </si>
  <si>
    <t>wēnróu</t>
  </si>
  <si>
    <t>dịu dàng, êm dịu, mềm mại</t>
  </si>
  <si>
    <r>
      <rPr>
        <sz val="10"/>
        <color rgb="FF000000"/>
        <rFont val="Calibri"/>
      </rPr>
      <t>他的性格很</t>
    </r>
    <r>
      <rPr>
        <b/>
        <sz val="10"/>
        <color rgb="FF000000"/>
        <rFont val="Calibri"/>
      </rPr>
      <t>温柔</t>
    </r>
    <r>
      <rPr>
        <sz val="10"/>
        <color rgb="FF000000"/>
        <rFont val="Calibri"/>
      </rPr>
      <t>。</t>
    </r>
  </si>
  <si>
    <t>Tính cách của anh ấy rất dịu dàng.</t>
  </si>
  <si>
    <t>H5_B24_BG-34.png</t>
  </si>
  <si>
    <t>B24_34.mp3</t>
  </si>
  <si>
    <t>B24_VD_34.mp3</t>
  </si>
  <si>
    <t>热烈</t>
  </si>
  <si>
    <t>&lt;ruby&gt;热烈&lt;rt&gt;rèliè&lt;/rt&gt;&lt;/ruby&gt;</t>
  </si>
  <si>
    <t>rèliè</t>
  </si>
  <si>
    <t>nhiệt liệt, sôi động</t>
  </si>
  <si>
    <r>
      <rPr>
        <sz val="10"/>
        <color rgb="FF000000"/>
        <rFont val="Calibri"/>
      </rPr>
      <t>音乐会结束后，粉丝们</t>
    </r>
    <r>
      <rPr>
        <b/>
        <sz val="10"/>
        <color rgb="FF000000"/>
        <rFont val="Calibri"/>
      </rPr>
      <t>热烈</t>
    </r>
    <r>
      <rPr>
        <sz val="10"/>
        <color rgb="FF000000"/>
        <rFont val="Calibri"/>
      </rPr>
      <t>鼓掌和欢呼。</t>
    </r>
  </si>
  <si>
    <t>Sau khi buổi hòa nhạc kết thúc, các fan vỗ tay và hò reo nhiệt liệt</t>
  </si>
  <si>
    <t>H5_B24_BG-35.png</t>
  </si>
  <si>
    <t>B24_35.mp3</t>
  </si>
  <si>
    <t>B24_VD_35.mp3</t>
  </si>
  <si>
    <t>勇气</t>
  </si>
  <si>
    <t>&lt;ruby&gt;勇气&lt;rt&gt;yǒngqì&lt;/rt&gt;&lt;/ruby&gt;</t>
  </si>
  <si>
    <t>yǒngqì</t>
  </si>
  <si>
    <t>sự can đảm</t>
  </si>
  <si>
    <r>
      <rPr>
        <sz val="10"/>
        <color theme="1"/>
        <rFont val="Arial"/>
      </rPr>
      <t>消防员充满</t>
    </r>
    <r>
      <rPr>
        <b/>
        <sz val="10"/>
        <color theme="1"/>
        <rFont val="Arial"/>
      </rPr>
      <t>勇气</t>
    </r>
    <r>
      <rPr>
        <sz val="10"/>
        <color theme="1"/>
        <rFont val="Arial"/>
      </rPr>
      <t>，不顾自身安危冲进火场救人。</t>
    </r>
  </si>
  <si>
    <t>Những người lính cứu hỏa tràn đầy dũng khí, không màng nguy hiểm lao vào đám cháy cứu người.</t>
  </si>
  <si>
    <t>H5_B24_BG-36.png</t>
  </si>
  <si>
    <t>B24_36.mp3</t>
  </si>
  <si>
    <t>B24_VD_36.mp3</t>
  </si>
  <si>
    <t>闯</t>
  </si>
  <si>
    <t>&lt;ruby&gt;闯&lt;rt&gt;chuǎng&lt;/rt&gt;&lt;/ruby&gt;</t>
  </si>
  <si>
    <t>chuǎng</t>
  </si>
  <si>
    <t>phiêu bạt, bôn ba, xông</t>
  </si>
  <si>
    <r>
      <rPr>
        <sz val="10"/>
        <color rgb="FF000000"/>
        <rFont val="Calibri"/>
      </rPr>
      <t>我喜欢</t>
    </r>
    <r>
      <rPr>
        <b/>
        <sz val="10"/>
        <color rgb="FF000000"/>
        <rFont val="Calibri"/>
      </rPr>
      <t>闯</t>
    </r>
    <r>
      <rPr>
        <sz val="10"/>
        <color rgb="FF000000"/>
        <rFont val="Calibri"/>
      </rPr>
      <t>荡远方，记录生活中的美好瞬间。</t>
    </r>
  </si>
  <si>
    <t>Tôi thích phiêu bạt đến những nơi xa xôi, ghi lại những tấm hình đẹp của cuộc sống.</t>
  </si>
  <si>
    <t>H5_B24_BG-37.png</t>
  </si>
  <si>
    <t>B24_37.mp3</t>
  </si>
  <si>
    <t>B24_VD_37.mp3</t>
  </si>
  <si>
    <t>返航</t>
  </si>
  <si>
    <t>&lt;ruby&gt;返航&lt;rt&gt;fǎnháng&lt;/rt&gt;&lt;/ruby&gt;</t>
  </si>
  <si>
    <t>fǎnháng</t>
  </si>
  <si>
    <t>trở về địa điểm xuất phát (tàu thuyền, máy bay...)</t>
  </si>
  <si>
    <r>
      <rPr>
        <sz val="11"/>
        <color rgb="FF000000"/>
        <rFont val="Calibri"/>
      </rPr>
      <t>飞机已经</t>
    </r>
    <r>
      <rPr>
        <b/>
        <sz val="11"/>
        <color rgb="FF000000"/>
        <rFont val="Calibri"/>
      </rPr>
      <t>返航</t>
    </r>
    <r>
      <rPr>
        <sz val="11"/>
        <color rgb="FF000000"/>
        <rFont val="Calibri"/>
      </rPr>
      <t>了。</t>
    </r>
  </si>
  <si>
    <t>Chiếc máy bay đã đáp về vị trí xuất phát</t>
  </si>
  <si>
    <t>H5_B25_BG1.png</t>
  </si>
  <si>
    <t>B25_1.mp3</t>
  </si>
  <si>
    <t>B25_VD_1.mp3</t>
  </si>
  <si>
    <t>风浪</t>
  </si>
  <si>
    <t>&lt;ruby&gt;风浪&lt;rt&gt;fēnglàng&lt;/rt&gt;&lt;/ruby&gt;</t>
  </si>
  <si>
    <t>fēnglàng</t>
  </si>
  <si>
    <t>sóng gió</t>
  </si>
  <si>
    <r>
      <rPr>
        <b/>
        <sz val="10"/>
        <color rgb="FF000000"/>
        <rFont val="Calibri"/>
      </rPr>
      <t xml:space="preserve"> 风浪</t>
    </r>
    <r>
      <rPr>
        <sz val="10"/>
        <color rgb="FF000000"/>
        <rFont val="Calibri"/>
      </rPr>
      <t>让船摇晃。</t>
    </r>
  </si>
  <si>
    <t>Sóng gió làm cho tàu thuyền lắc lư.</t>
  </si>
  <si>
    <t>H5_B25_BG2.png</t>
  </si>
  <si>
    <t>B25_2.mp3</t>
  </si>
  <si>
    <t>B25_VD_2.mp3</t>
  </si>
  <si>
    <t>舱</t>
  </si>
  <si>
    <t>&lt;ruby&gt;舱&lt;rt&gt;cāng&lt;/rt&gt;&lt;/ruby&gt;</t>
  </si>
  <si>
    <t>cāng</t>
  </si>
  <si>
    <t>khoang, buồng</t>
  </si>
  <si>
    <r>
      <rPr>
        <sz val="10"/>
        <color rgb="FF000000"/>
        <rFont val="Calibri"/>
      </rPr>
      <t>飞机上的商务</t>
    </r>
    <r>
      <rPr>
        <b/>
        <sz val="10"/>
        <color rgb="FF000000"/>
        <rFont val="Calibri"/>
      </rPr>
      <t>舱</t>
    </r>
    <r>
      <rPr>
        <sz val="10"/>
        <color rgb="FF000000"/>
        <rFont val="Calibri"/>
      </rPr>
      <t>比经济舱舒服得多。</t>
    </r>
  </si>
  <si>
    <t>Khoang thương gia trên máy bay thoải mái hơn khoang phổ thông nhiều</t>
  </si>
  <si>
    <t>H5_B25_BG3.png</t>
  </si>
  <si>
    <t>B25_3.mp3</t>
  </si>
  <si>
    <t>B25_VD_3.mp3</t>
  </si>
  <si>
    <t>沉</t>
  </si>
  <si>
    <t>&lt;ruby&gt;沉&lt;rt&gt;chén&lt;/rt&gt;&lt;/ruby&gt;</t>
  </si>
  <si>
    <t>chén</t>
  </si>
  <si>
    <t>chìm, lặn</t>
  </si>
  <si>
    <r>
      <rPr>
        <sz val="10"/>
        <color rgb="FF000000"/>
        <rFont val="Calibri"/>
      </rPr>
      <t>我的手机</t>
    </r>
    <r>
      <rPr>
        <b/>
        <sz val="10"/>
        <color rgb="FF000000"/>
        <rFont val="Calibri"/>
      </rPr>
      <t>沉</t>
    </r>
    <r>
      <rPr>
        <sz val="10"/>
        <color rgb="FF000000"/>
        <rFont val="Calibri"/>
      </rPr>
      <t>到湖底了。</t>
    </r>
  </si>
  <si>
    <t>Cái điện thoại của tôi chìm xuống đáy hồ.</t>
  </si>
  <si>
    <t>H5_B25_BG4.png</t>
  </si>
  <si>
    <t>B25_4.mp3</t>
  </si>
  <si>
    <t>B25_VD_4.mp3</t>
  </si>
  <si>
    <t>狂</t>
  </si>
  <si>
    <t>&lt;ruby&gt;狂&lt;rt&gt;kuáng&lt;/rt&gt;&lt;/ruby&gt;</t>
  </si>
  <si>
    <t>kuáng</t>
  </si>
  <si>
    <t>mạnh, điên cuồng</t>
  </si>
  <si>
    <r>
      <rPr>
        <sz val="10"/>
        <color rgb="FF000000"/>
        <rFont val="Calibri"/>
      </rPr>
      <t xml:space="preserve"> 他工作</t>
    </r>
    <r>
      <rPr>
        <b/>
        <sz val="10"/>
        <color rgb="FF000000"/>
        <rFont val="Calibri"/>
      </rPr>
      <t>狂</t>
    </r>
    <r>
      <rPr>
        <sz val="10"/>
        <color rgb="FF000000"/>
        <rFont val="Calibri"/>
      </rPr>
      <t>，每天加班到很晚。</t>
    </r>
  </si>
  <si>
    <t>Anh ấy làm việc điên cuồng, ngày nào cũng tăng ca đến khuya.</t>
  </si>
  <si>
    <t>H5_B25_BG5.png</t>
  </si>
  <si>
    <t>B25_5.mp3</t>
  </si>
  <si>
    <t>B25_VD_5.mp3</t>
  </si>
  <si>
    <t>平衡</t>
  </si>
  <si>
    <t>&lt;ruby&gt;平衡&lt;rt&gt;pínghéng&lt;/rt&gt;&lt;/ruby&gt;</t>
  </si>
  <si>
    <t>pínghéng</t>
  </si>
  <si>
    <t>thăng bằng</t>
  </si>
  <si>
    <r>
      <rPr>
        <sz val="10"/>
        <color rgb="FF000000"/>
        <rFont val="Calibri"/>
      </rPr>
      <t>练瑜伽可以帮助我们保持身体的</t>
    </r>
    <r>
      <rPr>
        <b/>
        <sz val="10"/>
        <color rgb="FF000000"/>
        <rFont val="Calibri"/>
      </rPr>
      <t>平衡</t>
    </r>
    <r>
      <rPr>
        <sz val="10"/>
        <color rgb="FF000000"/>
        <rFont val="Calibri"/>
      </rPr>
      <t>。</t>
    </r>
  </si>
  <si>
    <t>Tập yoga có thể giúp chúng ta duy trì sự thăng bằng của cơ thể.</t>
  </si>
  <si>
    <t>H5_B25_BG6.png</t>
  </si>
  <si>
    <t>B25_6.mp3</t>
  </si>
  <si>
    <t>B25_VD_6.mp3</t>
  </si>
  <si>
    <t>吨</t>
  </si>
  <si>
    <t>&lt;ruby&gt;吨&lt;rt&gt;dūn&lt;/rt&gt;&lt;/ruby&gt;</t>
  </si>
  <si>
    <t>tấn</t>
  </si>
  <si>
    <r>
      <rPr>
        <sz val="10"/>
        <color rgb="FF000000"/>
        <rFont val="Calibri"/>
      </rPr>
      <t>这艘船可以载五千</t>
    </r>
    <r>
      <rPr>
        <b/>
        <sz val="10"/>
        <color rgb="FF000000"/>
        <rFont val="Calibri"/>
      </rPr>
      <t>吨</t>
    </r>
    <r>
      <rPr>
        <sz val="10"/>
        <color rgb="FF000000"/>
        <rFont val="Calibri"/>
      </rPr>
      <t>。</t>
    </r>
  </si>
  <si>
    <t>Con tàu này có thể chở 5000 tấn.</t>
  </si>
  <si>
    <t>H5_B25_BG7.png</t>
  </si>
  <si>
    <t>B25_7.mp3</t>
  </si>
  <si>
    <t>B25_VD_7.mp3</t>
  </si>
  <si>
    <t>钢铁</t>
  </si>
  <si>
    <t>&lt;ruby&gt;钢铁&lt;rt&gt;gāngtiě&lt;/rt&gt;&lt;/ruby&gt;</t>
  </si>
  <si>
    <t>gāngtiě</t>
  </si>
  <si>
    <t>sắt thép</t>
  </si>
  <si>
    <r>
      <rPr>
        <sz val="10"/>
        <color rgb="FF000000"/>
        <rFont val="Calibri"/>
      </rPr>
      <t>这座桥是用</t>
    </r>
    <r>
      <rPr>
        <b/>
        <sz val="10"/>
        <color rgb="FF000000"/>
        <rFont val="Calibri"/>
      </rPr>
      <t>钢铁</t>
    </r>
    <r>
      <rPr>
        <sz val="10"/>
        <color rgb="FF000000"/>
        <rFont val="Calibri"/>
      </rPr>
      <t>建造的。</t>
    </r>
  </si>
  <si>
    <t>Cây cầu này được xây bằng sắt thép.</t>
  </si>
  <si>
    <t>H5_B25_BG8.png</t>
  </si>
  <si>
    <t>B25_8.mp3</t>
  </si>
  <si>
    <t>B25_VD_8.mp3</t>
  </si>
  <si>
    <t>根基</t>
  </si>
  <si>
    <t>&lt;ruby&gt;根基&lt;rt&gt;gēnjī&lt;/rt&gt;&lt;/ruby&gt;</t>
  </si>
  <si>
    <t>gēnjī</t>
  </si>
  <si>
    <t>nền tảng, nền móng</t>
  </si>
  <si>
    <r>
      <rPr>
        <sz val="10"/>
        <color rgb="FF000000"/>
        <rFont val="Calibri"/>
      </rPr>
      <t>这座大楼的</t>
    </r>
    <r>
      <rPr>
        <b/>
        <sz val="10"/>
        <color rgb="FF000000"/>
        <rFont val="Calibri"/>
      </rPr>
      <t>根基</t>
    </r>
    <r>
      <rPr>
        <sz val="10"/>
        <color rgb="FF000000"/>
        <rFont val="Calibri"/>
      </rPr>
      <t>很稳固。</t>
    </r>
  </si>
  <si>
    <t>Nền móng của tòa nhà này rất vững chắc.</t>
  </si>
  <si>
    <t>H5_B25_BG9.png</t>
  </si>
  <si>
    <t>B25_9.mp3</t>
  </si>
  <si>
    <t>B25_VD_9.mp3</t>
  </si>
  <si>
    <t>风景</t>
  </si>
  <si>
    <t>&lt;ruby&gt;风景&lt;rt&gt;fēngjǐng&lt;/rt&gt;&lt;/ruby&gt;</t>
  </si>
  <si>
    <t>fēngjǐng</t>
  </si>
  <si>
    <r>
      <rPr>
        <sz val="10"/>
        <color rgb="FF000000"/>
        <rFont val="Calibri"/>
      </rPr>
      <t>这里的</t>
    </r>
    <r>
      <rPr>
        <b/>
        <sz val="10"/>
        <color rgb="FF000000"/>
        <rFont val="Calibri"/>
      </rPr>
      <t>风景</t>
    </r>
    <r>
      <rPr>
        <sz val="10"/>
        <color rgb="FF000000"/>
        <rFont val="Calibri"/>
      </rPr>
      <t>美如画。</t>
    </r>
  </si>
  <si>
    <t>Phong cảnh ở đây đẹp như một bức tranh.</t>
  </si>
  <si>
    <t>H5_B25_BG10.png</t>
  </si>
  <si>
    <t>B25_10.mp3</t>
  </si>
  <si>
    <t>B25_VD_10.mp3</t>
  </si>
  <si>
    <t>万丈</t>
  </si>
  <si>
    <t>&lt;ruby&gt;万丈&lt;rt&gt;wànzhàng&lt;/rt&gt;&lt;/ruby&gt;</t>
  </si>
  <si>
    <t>wànzhàng</t>
  </si>
  <si>
    <t>cao ngất, muôn trượng</t>
  </si>
  <si>
    <r>
      <rPr>
        <sz val="10"/>
        <color rgb="FF000000"/>
        <rFont val="Calibri"/>
      </rPr>
      <t>这座山</t>
    </r>
    <r>
      <rPr>
        <b/>
        <sz val="10"/>
        <color rgb="FF000000"/>
        <rFont val="Calibri"/>
      </rPr>
      <t>万丈</t>
    </r>
    <r>
      <rPr>
        <sz val="10"/>
        <color rgb="FF000000"/>
        <rFont val="Calibri"/>
      </rPr>
      <t xml:space="preserve">高，看起来很雄伟。
</t>
    </r>
  </si>
  <si>
    <t>Ngọn núi này cao ngất trời, trông thật hùng vĩ.</t>
  </si>
  <si>
    <t>H5_B25_BG11.png</t>
  </si>
  <si>
    <t>B25_11.mp3</t>
  </si>
  <si>
    <t>B25_VD_11.mp3</t>
  </si>
  <si>
    <t>深渊</t>
  </si>
  <si>
    <t>&lt;ruby&gt;深渊&lt;rt&gt;shēnyuān&lt;/rt&gt;&lt;/ruby&gt;</t>
  </si>
  <si>
    <t>shēnyuān</t>
  </si>
  <si>
    <t>vực sâu, vực thẳm</t>
  </si>
  <si>
    <r>
      <rPr>
        <sz val="10"/>
        <color rgb="FF000000"/>
        <rFont val="Calibri"/>
      </rPr>
      <t>这是一个</t>
    </r>
    <r>
      <rPr>
        <b/>
        <sz val="10"/>
        <color rgb="FF000000"/>
        <rFont val="Calibri"/>
      </rPr>
      <t>深渊</t>
    </r>
    <r>
      <rPr>
        <sz val="10"/>
        <color rgb="FF000000"/>
        <rFont val="Calibri"/>
      </rPr>
      <t>，没有底。</t>
    </r>
  </si>
  <si>
    <t>Đây là một vực thẳm vô đáy.</t>
  </si>
  <si>
    <t>H5_B25_BG12.png</t>
  </si>
  <si>
    <t>B25_12.mp3</t>
  </si>
  <si>
    <t>B25_VD_12.mp3</t>
  </si>
  <si>
    <t>游览</t>
  </si>
  <si>
    <t>&lt;ruby&gt;游览&lt;rt&gt;yóulǎn&lt;/rt&gt;&lt;/ruby&gt;</t>
  </si>
  <si>
    <t>yóulǎn</t>
  </si>
  <si>
    <t>tham quan, dạo chơi</t>
  </si>
  <si>
    <r>
      <rPr>
        <sz val="10"/>
        <color rgb="FF000000"/>
        <rFont val="Calibri"/>
      </rPr>
      <t xml:space="preserve"> 我们打算周末去</t>
    </r>
    <r>
      <rPr>
        <b/>
        <sz val="10"/>
        <color rgb="FF000000"/>
        <rFont val="Calibri"/>
      </rPr>
      <t>游览</t>
    </r>
    <r>
      <rPr>
        <sz val="10"/>
        <color rgb="FF000000"/>
        <rFont val="Calibri"/>
      </rPr>
      <t>这座古城。</t>
    </r>
  </si>
  <si>
    <t>Chúng tôi dự định cuối tuần đi tham quan thành phố cổ này.</t>
  </si>
  <si>
    <t>H5_B25_BG13.png</t>
  </si>
  <si>
    <t>B25_13.mp3</t>
  </si>
  <si>
    <t>B25_VD_13.mp3</t>
  </si>
  <si>
    <t>恶劣</t>
  </si>
  <si>
    <t>&lt;ruby&gt;恶劣&lt;rt&gt;èliè&lt;/rt&gt;&lt;/ruby&gt;</t>
  </si>
  <si>
    <t>èliè</t>
  </si>
  <si>
    <t>tồi tệ, rất xấu</t>
  </si>
  <si>
    <r>
      <rPr>
        <sz val="10"/>
        <color rgb="FF000000"/>
        <rFont val="Calibri"/>
      </rPr>
      <t>今天天气</t>
    </r>
    <r>
      <rPr>
        <b/>
        <sz val="10"/>
        <color rgb="FF000000"/>
        <rFont val="Calibri"/>
      </rPr>
      <t>恶劣</t>
    </r>
    <r>
      <rPr>
        <sz val="10"/>
        <color rgb="FF000000"/>
        <rFont val="Calibri"/>
      </rPr>
      <t xml:space="preserve">，最好别出去。
</t>
    </r>
  </si>
  <si>
    <t>Thời tiết hôm nay rất tệ, tốt nhất đừng ra ngoài.</t>
  </si>
  <si>
    <t>H5_B25_BG14.png</t>
  </si>
  <si>
    <t>B25_14.mp3</t>
  </si>
  <si>
    <t>B25_VD_14.mp3</t>
  </si>
  <si>
    <t>可怕</t>
  </si>
  <si>
    <t>&lt;ruby&gt;可怕&lt;rt&gt;kěpà&lt;/rt&gt;&lt;/ruby&gt;</t>
  </si>
  <si>
    <t>kěpà</t>
  </si>
  <si>
    <t>đáng sợ, khủng khiếp</t>
  </si>
  <si>
    <r>
      <rPr>
        <sz val="10"/>
        <color rgb="FF000000"/>
        <rFont val="Calibri"/>
      </rPr>
      <t>他讲了一个很</t>
    </r>
    <r>
      <rPr>
        <b/>
        <sz val="10"/>
        <color rgb="FF000000"/>
        <rFont val="Calibri"/>
      </rPr>
      <t>可怕</t>
    </r>
    <r>
      <rPr>
        <sz val="10"/>
        <color rgb="FF000000"/>
        <rFont val="Calibri"/>
      </rPr>
      <t xml:space="preserve">的鬼故事。
</t>
    </r>
  </si>
  <si>
    <t>Anh ấy kể một câu chuyện ma rất đáng sợ.</t>
  </si>
  <si>
    <t>H5_B25_BG15.png</t>
  </si>
  <si>
    <t>B25_15.mp3</t>
  </si>
  <si>
    <t>B25_VD_15.mp3</t>
  </si>
  <si>
    <t>慌张</t>
  </si>
  <si>
    <t>&lt;ruby&gt;慌张&lt;rt&gt;huāngzhāng&lt;/rt&gt;&lt;/ruby&gt;</t>
  </si>
  <si>
    <t>huāngzhāng</t>
  </si>
  <si>
    <t>luống cuống, hoảng hốt</t>
  </si>
  <si>
    <r>
      <rPr>
        <sz val="10"/>
        <color rgb="FF000000"/>
        <rFont val="Calibri"/>
      </rPr>
      <t>听到火警钟后，他变得非常</t>
    </r>
    <r>
      <rPr>
        <b/>
        <sz val="10"/>
        <color rgb="FF000000"/>
        <rFont val="Calibri"/>
      </rPr>
      <t>慌张</t>
    </r>
    <r>
      <rPr>
        <sz val="10"/>
        <color rgb="FF000000"/>
        <rFont val="Calibri"/>
      </rPr>
      <t>。</t>
    </r>
  </si>
  <si>
    <t>Sau khi nghe chuông báo cháy, anh ấy trở nên vô cùng hoảng hốt.</t>
  </si>
  <si>
    <t>H5_B25_BG16.png</t>
  </si>
  <si>
    <t>B25_16.mp3</t>
  </si>
  <si>
    <t>B25_VD_16.mp3</t>
  </si>
  <si>
    <t>简直</t>
  </si>
  <si>
    <t>&lt;ruby&gt;简直&lt;rt&gt;jiǎnzhí&lt;/rt&gt;&lt;/ruby&gt;</t>
  </si>
  <si>
    <t>jiǎnzhí</t>
  </si>
  <si>
    <t>quả là, thật là</t>
  </si>
  <si>
    <r>
      <rPr>
        <sz val="10"/>
        <color rgb="FF000000"/>
        <rFont val="Calibri"/>
      </rPr>
      <t>这家餐厅的菜</t>
    </r>
    <r>
      <rPr>
        <b/>
        <sz val="10"/>
        <color rgb="FF000000"/>
        <rFont val="Calibri"/>
      </rPr>
      <t>简直</t>
    </r>
    <r>
      <rPr>
        <sz val="10"/>
        <color rgb="FF000000"/>
        <rFont val="Calibri"/>
      </rPr>
      <t>太好吃了！</t>
    </r>
  </si>
  <si>
    <t>Món ăn ở nhà hàng này quả là ngon tuyệt!</t>
  </si>
  <si>
    <t>H5_B25_BG17.png</t>
  </si>
  <si>
    <t>B25_17.mp3</t>
  </si>
  <si>
    <t>B25_VD_17.mp3</t>
  </si>
  <si>
    <t>威胁</t>
  </si>
  <si>
    <t>&lt;ruby&gt;威胁&lt;rt&gt;wēixié&lt;/rt&gt;&lt;/ruby&gt;</t>
  </si>
  <si>
    <t>wēixié</t>
  </si>
  <si>
    <t>uy hiếp, đe dọa</t>
  </si>
  <si>
    <r>
      <rPr>
        <sz val="10"/>
        <color rgb="FF000000"/>
        <rFont val="Calibri"/>
      </rPr>
      <t>那个男人</t>
    </r>
    <r>
      <rPr>
        <b/>
        <sz val="10"/>
        <color rgb="FF000000"/>
        <rFont val="Calibri"/>
      </rPr>
      <t>威胁</t>
    </r>
    <r>
      <rPr>
        <sz val="10"/>
        <color rgb="FF000000"/>
        <rFont val="Calibri"/>
      </rPr>
      <t>孩子。</t>
    </r>
  </si>
  <si>
    <t>Người đàn ông đe dọa đứa trẻ.</t>
  </si>
  <si>
    <t>H5_B25_BG18.png</t>
  </si>
  <si>
    <t>B25_18.mp3</t>
  </si>
  <si>
    <t>B25_VD_18.mp3</t>
  </si>
  <si>
    <t>发抖</t>
  </si>
  <si>
    <t>&lt;ruby&gt;发抖&lt;rt&gt;fādǒu&lt;/rt&gt;&lt;/ruby&gt;</t>
  </si>
  <si>
    <t>fādǒu</t>
  </si>
  <si>
    <t>run, run rẩy</t>
  </si>
  <si>
    <r>
      <rPr>
        <sz val="10"/>
        <color rgb="FF000000"/>
        <rFont val="Calibri"/>
      </rPr>
      <t>那个男孩冷得</t>
    </r>
    <r>
      <rPr>
        <b/>
        <sz val="10"/>
        <color rgb="FF000000"/>
        <rFont val="Calibri"/>
      </rPr>
      <t>发抖</t>
    </r>
    <r>
      <rPr>
        <sz val="10"/>
        <color rgb="FF000000"/>
        <rFont val="Calibri"/>
      </rPr>
      <t>。</t>
    </r>
  </si>
  <si>
    <t>Cậu bé ấy lạnh đến mức run rẩy.</t>
  </si>
  <si>
    <t>H5_B25_BG19.png</t>
  </si>
  <si>
    <t>B25_19.mp3</t>
  </si>
  <si>
    <t>B25_VD_19.mp3</t>
  </si>
  <si>
    <t>摔倒</t>
  </si>
  <si>
    <t>&lt;ruby&gt;摔倒&lt;rt&gt;shuāidǎo&lt;/rt&gt;&lt;/ruby&gt;</t>
  </si>
  <si>
    <t>shuāidǎo</t>
  </si>
  <si>
    <t>ngã, té, rơi xuống</t>
  </si>
  <si>
    <r>
      <rPr>
        <sz val="10"/>
        <color rgb="FF000000"/>
        <rFont val="Calibri"/>
      </rPr>
      <t>因为地板很滑，他走路时不小心</t>
    </r>
    <r>
      <rPr>
        <b/>
        <sz val="10"/>
        <color rgb="FF000000"/>
        <rFont val="Calibri"/>
      </rPr>
      <t>摔倒</t>
    </r>
    <r>
      <rPr>
        <sz val="10"/>
        <color rgb="FF000000"/>
        <rFont val="Calibri"/>
      </rPr>
      <t>了。</t>
    </r>
  </si>
  <si>
    <t>Vì sàn nhà trơn, anh ấy vô ý bị ngã khi đi lại.</t>
  </si>
  <si>
    <t>H5_B25_BG20.png</t>
  </si>
  <si>
    <t>B25_20.mp3</t>
  </si>
  <si>
    <t>B25_VD_20.mp3</t>
  </si>
  <si>
    <t>丝毫</t>
  </si>
  <si>
    <t>&lt;ruby&gt;丝毫&lt;rt&gt;sīháo&lt;/rt&gt;&lt;/ruby&gt;</t>
  </si>
  <si>
    <t>sīháo</t>
  </si>
  <si>
    <t>chút nào, tí nào</t>
  </si>
  <si>
    <r>
      <rPr>
        <sz val="10"/>
        <color rgb="FF000000"/>
        <rFont val="Calibri"/>
      </rPr>
      <t>他</t>
    </r>
    <r>
      <rPr>
        <b/>
        <sz val="10"/>
        <color rgb="FF000000"/>
        <rFont val="Calibri"/>
      </rPr>
      <t>丝毫</t>
    </r>
    <r>
      <rPr>
        <sz val="10"/>
        <color rgb="FF000000"/>
        <rFont val="Calibri"/>
      </rPr>
      <t>不在乎别人的感受。</t>
    </r>
  </si>
  <si>
    <t>Anh ấy không quan tâm đến cảm xúc của người khác dù chỉ một chút.</t>
  </si>
  <si>
    <t>H5_B25_BG21.png</t>
  </si>
  <si>
    <t>B25_21.mp3</t>
  </si>
  <si>
    <t>B25_VD_21.mp3</t>
  </si>
  <si>
    <t>滚</t>
  </si>
  <si>
    <t>&lt;ruby&gt;滚&lt;rt&gt;gǔn&lt;/rt&gt;&lt;/ruby&gt;</t>
  </si>
  <si>
    <t>gǔn</t>
  </si>
  <si>
    <t>lăn, lộn</t>
  </si>
  <si>
    <r>
      <rPr>
        <sz val="10"/>
        <color rgb="FF000000"/>
        <rFont val="Calibri"/>
      </rPr>
      <t>球从山上</t>
    </r>
    <r>
      <rPr>
        <b/>
        <sz val="10"/>
        <color rgb="FF000000"/>
        <rFont val="Calibri"/>
      </rPr>
      <t>滚</t>
    </r>
    <r>
      <rPr>
        <sz val="10"/>
        <color rgb="FF000000"/>
        <rFont val="Calibri"/>
      </rPr>
      <t>下来。</t>
    </r>
  </si>
  <si>
    <t>Quả bóng lăn từ trên núi xuống.</t>
  </si>
  <si>
    <t>H5_B25_BG22.png</t>
  </si>
  <si>
    <t>B25_22.mp3</t>
  </si>
  <si>
    <t>B25_VD_22.mp3</t>
  </si>
  <si>
    <t>风险</t>
  </si>
  <si>
    <t>&lt;ruby&gt;风险&lt;rt&gt;fēngxiǎn&lt;/rt&gt;&lt;/ruby&gt;</t>
  </si>
  <si>
    <t>fēngxiǎn</t>
  </si>
  <si>
    <t>sự mạo hiểm, sự nguy hiểm</t>
  </si>
  <si>
    <r>
      <rPr>
        <sz val="10"/>
        <color rgb="FF000000"/>
        <rFont val="Calibri"/>
      </rPr>
      <t>股票图上有上下箭头和</t>
    </r>
    <r>
      <rPr>
        <b/>
        <sz val="10"/>
        <color rgb="FF000000"/>
        <rFont val="Calibri"/>
      </rPr>
      <t>风险</t>
    </r>
    <r>
      <rPr>
        <sz val="10"/>
        <color rgb="FF000000"/>
        <rFont val="Calibri"/>
      </rPr>
      <t>警告标志。</t>
    </r>
  </si>
  <si>
    <t>Biểu đồ chứng khoán với mũi tên lên xuống và dấu cảnh báo nguy hiểm.</t>
  </si>
  <si>
    <t>H5_B25_BG23.png</t>
  </si>
  <si>
    <t>B25_23.mp3</t>
  </si>
  <si>
    <t>B25_VD_23.mp3</t>
  </si>
  <si>
    <t>谨慎</t>
  </si>
  <si>
    <t>&lt;ruby&gt;谨慎&lt;rt&gt;jǐnshèn&lt;/rt&gt;&lt;/ruby&gt;</t>
  </si>
  <si>
    <t>jǐnshèn</t>
  </si>
  <si>
    <t>cẩn thận, thận trọng</t>
  </si>
  <si>
    <r>
      <rPr>
        <sz val="10"/>
        <color rgb="FF000000"/>
        <rFont val="Calibri"/>
      </rPr>
      <t>他做决定前很</t>
    </r>
    <r>
      <rPr>
        <b/>
        <sz val="10"/>
        <color rgb="FF000000"/>
        <rFont val="Calibri"/>
      </rPr>
      <t>谨慎</t>
    </r>
    <r>
      <rPr>
        <sz val="10"/>
        <color rgb="FF000000"/>
        <rFont val="Calibri"/>
      </rPr>
      <t>地思考。</t>
    </r>
  </si>
  <si>
    <t>Anh ấy suy nghĩ cẩn thận trước khi quyết định.</t>
  </si>
  <si>
    <t>H5_B25_BG24.png</t>
  </si>
  <si>
    <t>B25_24.mp3</t>
  </si>
  <si>
    <t>B25_VD_24.mp3</t>
  </si>
  <si>
    <t>承受</t>
  </si>
  <si>
    <t>&lt;ruby&gt;承受&lt;rt&gt;chéng shòu&lt;/rt&gt;&lt;/ruby&gt;</t>
  </si>
  <si>
    <t>chéng shòu</t>
  </si>
  <si>
    <t>chịu đựng, chấp nhận</t>
  </si>
  <si>
    <r>
      <rPr>
        <sz val="10"/>
        <color rgb="FF000000"/>
        <rFont val="Calibri"/>
      </rPr>
      <t>他</t>
    </r>
    <r>
      <rPr>
        <b/>
        <sz val="10"/>
        <color rgb="FF000000"/>
        <rFont val="Calibri"/>
      </rPr>
      <t>承受</t>
    </r>
    <r>
      <rPr>
        <sz val="10"/>
        <color rgb="FF000000"/>
        <rFont val="Calibri"/>
      </rPr>
      <t>着肩上的巨石压力。</t>
    </r>
  </si>
  <si>
    <t>Anh ấy chịu áp lực của tảng đá đè trên vai.</t>
  </si>
  <si>
    <t>H5_B25_BG25.png</t>
  </si>
  <si>
    <t>B25_25.mp3</t>
  </si>
  <si>
    <t>B25_VD_25.mp3</t>
  </si>
  <si>
    <t>使劲（儿）</t>
  </si>
  <si>
    <t>&lt;ruby&gt;使劲（儿）&lt;rt&gt;shǐ jìn (r)&lt;/rt&gt;&lt;/ruby&gt;</t>
  </si>
  <si>
    <t>shǐ jìn (r)</t>
  </si>
  <si>
    <t>cố gắng, gắng sức</t>
  </si>
  <si>
    <r>
      <rPr>
        <sz val="10"/>
        <color rgb="FF000000"/>
        <rFont val="Calibri"/>
      </rPr>
      <t>他</t>
    </r>
    <r>
      <rPr>
        <b/>
        <sz val="10"/>
        <color rgb="FF000000"/>
        <rFont val="Calibri"/>
      </rPr>
      <t>使劲</t>
    </r>
    <r>
      <rPr>
        <sz val="10"/>
        <color rgb="FF000000"/>
        <rFont val="Calibri"/>
      </rPr>
      <t>推门，但门还是打不开。</t>
    </r>
  </si>
  <si>
    <t>Anh ấy cố gắng đẩy cửa, nhưng cửa vẫn không mở ra.</t>
  </si>
  <si>
    <t>H5_B25_BG26.png</t>
  </si>
  <si>
    <t>B25_26.mp3</t>
  </si>
  <si>
    <t>B25_VD_26.mp3</t>
  </si>
  <si>
    <t>朝</t>
  </si>
  <si>
    <t>&lt;ruby&gt;朝&lt;rt&gt;cháo&lt;/rt&gt;&lt;/ruby&gt;</t>
  </si>
  <si>
    <t>cháo</t>
  </si>
  <si>
    <t>về phía, hướng về</t>
  </si>
  <si>
    <r>
      <rPr>
        <sz val="10"/>
        <color rgb="FF000000"/>
        <rFont val="Calibri"/>
      </rPr>
      <t>他把烟盒</t>
    </r>
    <r>
      <rPr>
        <b/>
        <sz val="10"/>
        <color rgb="FF000000"/>
        <rFont val="Calibri"/>
      </rPr>
      <t>朝</t>
    </r>
    <r>
      <rPr>
        <sz val="10"/>
        <color rgb="FF000000"/>
        <rFont val="Calibri"/>
      </rPr>
      <t>我递过来，但我拒绝了。</t>
    </r>
  </si>
  <si>
    <t>Anh ấy đưa bao thuốc về phía tôi, nhưng tôi đã từ chối.</t>
  </si>
  <si>
    <t>H5_B25_BG27.png</t>
  </si>
  <si>
    <t>B25_27.mp3</t>
  </si>
  <si>
    <t>B25_VD_27.mp3</t>
  </si>
  <si>
    <t>严肃</t>
  </si>
  <si>
    <t>&lt;ruby&gt;严肃&lt;rt&gt;yánsù&lt;/rt&gt;&lt;/ruby&gt;</t>
  </si>
  <si>
    <t>yánsù</t>
  </si>
  <si>
    <t>nghiêm túc, nghiêm nghị, trang nghiêm</t>
  </si>
  <si>
    <r>
      <rPr>
        <sz val="10"/>
        <color rgb="FF000000"/>
        <rFont val="Calibri"/>
      </rPr>
      <t>老师的表情很</t>
    </r>
    <r>
      <rPr>
        <b/>
        <sz val="10"/>
        <color rgb="FF000000"/>
        <rFont val="Calibri"/>
      </rPr>
      <t>严肃</t>
    </r>
    <r>
      <rPr>
        <sz val="10"/>
        <color rgb="FF000000"/>
        <rFont val="Calibri"/>
      </rPr>
      <t>。</t>
    </r>
  </si>
  <si>
    <t>Biểu cảm của giáo viên rất nghiêm túc.</t>
  </si>
  <si>
    <t>H5_B25_BG28.png</t>
  </si>
  <si>
    <t>B25_28.mp3</t>
  </si>
  <si>
    <t>B25_VD_28.mp3</t>
  </si>
  <si>
    <t>猛烈</t>
  </si>
  <si>
    <t>&lt;ruby&gt;猛烈&lt;rt&gt;měngliè&lt;/rt&gt;&lt;/ruby&gt;</t>
  </si>
  <si>
    <t>měngliè</t>
  </si>
  <si>
    <t>mạnh, dữ dội</t>
  </si>
  <si>
    <r>
      <rPr>
        <b/>
        <sz val="10"/>
        <color theme="1"/>
        <rFont val="Arial"/>
      </rPr>
      <t>猛烈</t>
    </r>
    <r>
      <rPr>
        <sz val="10"/>
        <color theme="1"/>
        <rFont val="Arial"/>
      </rPr>
      <t>的台风袭击了这个地区。</t>
    </r>
  </si>
  <si>
    <t>Cơn bão dữ dội đã tấn công khu này.</t>
  </si>
  <si>
    <t>H5_B25_BG29.png</t>
  </si>
  <si>
    <t>B25_29.mp3</t>
  </si>
  <si>
    <t>B25_VD_29.mp3</t>
  </si>
  <si>
    <t>重量</t>
  </si>
  <si>
    <t>&lt;ruby&gt;重量&lt;rt&gt;zhòngliàng&lt;/rt&gt;&lt;/ruby&gt;</t>
  </si>
  <si>
    <t>zhòngliàng</t>
  </si>
  <si>
    <t>trọng lượng</t>
  </si>
  <si>
    <r>
      <rPr>
        <sz val="10"/>
        <color rgb="FF000000"/>
        <rFont val="Calibri"/>
      </rPr>
      <t>这块石头的</t>
    </r>
    <r>
      <rPr>
        <b/>
        <sz val="10"/>
        <color rgb="FF000000"/>
        <rFont val="Calibri"/>
      </rPr>
      <t>重量</t>
    </r>
    <r>
      <rPr>
        <sz val="10"/>
        <color rgb="FF000000"/>
        <rFont val="Calibri"/>
      </rPr>
      <t>大约是十公斤。</t>
    </r>
  </si>
  <si>
    <t>Trọng lượng của tảng đá này khoảng 10 kg.</t>
  </si>
  <si>
    <t>H5_B25_BG30.png</t>
  </si>
  <si>
    <t>B25_30.mp3</t>
  </si>
  <si>
    <t>B25_VD_30.mp3</t>
  </si>
  <si>
    <t>相似</t>
  </si>
  <si>
    <t>&lt;ruby&gt;相似&lt;rt&gt;xiāngsì&lt;/rt&gt;&lt;/ruby&gt;</t>
  </si>
  <si>
    <t>xiāngsì</t>
  </si>
  <si>
    <t>tương tự, giống nhau</t>
  </si>
  <si>
    <r>
      <rPr>
        <sz val="10"/>
        <color rgb="FF000000"/>
        <rFont val="Calibri"/>
      </rPr>
      <t>这两个苹果的大小</t>
    </r>
    <r>
      <rPr>
        <b/>
        <sz val="10"/>
        <color rgb="FF000000"/>
        <rFont val="Calibri"/>
      </rPr>
      <t>相似</t>
    </r>
    <r>
      <rPr>
        <sz val="10"/>
        <color rgb="FF000000"/>
        <rFont val="Calibri"/>
      </rPr>
      <t>。</t>
    </r>
  </si>
  <si>
    <t>Hai quả táo này có kích thước rất giống nhau.</t>
  </si>
  <si>
    <t>H5_B25_BG31.png</t>
  </si>
  <si>
    <t>B25_31.mp3</t>
  </si>
  <si>
    <t>B25_VD_31.mp3</t>
  </si>
  <si>
    <t>窄</t>
  </si>
  <si>
    <t>&lt;ruby&gt;窄&lt;rt&gt;zhǎi&lt;/rt&gt;&lt;/ruby&gt;</t>
  </si>
  <si>
    <t>zhǎi</t>
  </si>
  <si>
    <t>chật, hẹp</t>
  </si>
  <si>
    <r>
      <rPr>
        <sz val="10"/>
        <color rgb="FF000000"/>
        <rFont val="Calibri"/>
      </rPr>
      <t>这条巷子很</t>
    </r>
    <r>
      <rPr>
        <b/>
        <sz val="10"/>
        <color rgb="FF000000"/>
        <rFont val="Calibri"/>
      </rPr>
      <t>窄</t>
    </r>
    <r>
      <rPr>
        <sz val="10"/>
        <color rgb="FF000000"/>
        <rFont val="Calibri"/>
      </rPr>
      <t>，车进不去。</t>
    </r>
  </si>
  <si>
    <t>Con hẻm này rất hẹp, xe không thể vào được.</t>
  </si>
  <si>
    <t>H5_B25_BG32.png</t>
  </si>
  <si>
    <t>B25_32.mp3</t>
  </si>
  <si>
    <t>B25_VD_32.mp3</t>
  </si>
  <si>
    <t>负重</t>
  </si>
  <si>
    <t>&lt;ruby&gt;负重&lt;rt&gt;fùzhòng&lt;/rt&gt;&lt;/ruby&gt;</t>
  </si>
  <si>
    <t>fùzhòng</t>
  </si>
  <si>
    <t>vác nặng</t>
  </si>
  <si>
    <r>
      <rPr>
        <sz val="10"/>
        <color rgb="FF000000"/>
        <rFont val="Calibri"/>
      </rPr>
      <t>他肩膀疼，因为</t>
    </r>
    <r>
      <rPr>
        <b/>
        <sz val="10"/>
        <color rgb="FF000000"/>
        <rFont val="Calibri"/>
      </rPr>
      <t>负重</t>
    </r>
    <r>
      <rPr>
        <sz val="10"/>
        <color rgb="FF000000"/>
        <rFont val="Calibri"/>
      </rPr>
      <t>。</t>
    </r>
  </si>
  <si>
    <t>Vai anh ấy đau vì mang nặng.</t>
  </si>
  <si>
    <t>H5_B25_BG33.png</t>
  </si>
  <si>
    <t>B25_33.mp3</t>
  </si>
  <si>
    <t>B25_VD_33.mp3</t>
  </si>
  <si>
    <t>妇女</t>
  </si>
  <si>
    <t>&lt;ruby&gt;妇女&lt;rt&gt;fùnǚ&lt;/rt&gt;&lt;/ruby&gt;</t>
  </si>
  <si>
    <t>fùnǚ</t>
  </si>
  <si>
    <r>
      <rPr>
        <sz val="10"/>
        <color rgb="FF000000"/>
        <rFont val="Calibri"/>
      </rPr>
      <t xml:space="preserve"> 这个家务活适合</t>
    </r>
    <r>
      <rPr>
        <b/>
        <sz val="10"/>
        <color rgb="FF000000"/>
        <rFont val="Calibri"/>
      </rPr>
      <t>妇女</t>
    </r>
    <r>
      <rPr>
        <sz val="10"/>
        <color rgb="FF000000"/>
        <rFont val="Calibri"/>
      </rPr>
      <t>。</t>
    </r>
  </si>
  <si>
    <t>Công việc nội trợ này phù hợp với phụ nữ.</t>
  </si>
  <si>
    <t>H5_B25_BG34.png</t>
  </si>
  <si>
    <t>B25_34.mp3</t>
  </si>
  <si>
    <t>B25_VD_34.mp3</t>
  </si>
  <si>
    <r>
      <rPr>
        <sz val="10"/>
        <color rgb="FF000000"/>
        <rFont val="Calibri"/>
      </rPr>
      <t>这是一</t>
    </r>
    <r>
      <rPr>
        <b/>
        <sz val="10"/>
        <color rgb="FF000000"/>
        <rFont val="Calibri"/>
      </rPr>
      <t>起</t>
    </r>
    <r>
      <rPr>
        <sz val="10"/>
        <color rgb="FF000000"/>
        <rFont val="Calibri"/>
      </rPr>
      <t>严重的事故。</t>
    </r>
  </si>
  <si>
    <t>效应</t>
  </si>
  <si>
    <t>&lt;ruby&gt;效应&lt;rt&gt;xiàoyìng&lt;/rt&gt;&lt;/ruby&gt;</t>
  </si>
  <si>
    <t>xiàoyìng</t>
  </si>
  <si>
    <t>tác động, ảnh hưởng, hiệu ứng</t>
  </si>
  <si>
    <r>
      <rPr>
        <sz val="10"/>
        <color rgb="FF000000"/>
        <rFont val="Calibri"/>
      </rPr>
      <t>这个政策产生了很好的</t>
    </r>
    <r>
      <rPr>
        <b/>
        <sz val="10"/>
        <color rgb="FF000000"/>
        <rFont val="Calibri"/>
      </rPr>
      <t>效应</t>
    </r>
    <r>
      <rPr>
        <sz val="10"/>
        <color rgb="FF000000"/>
        <rFont val="Calibri"/>
      </rPr>
      <t>。</t>
    </r>
  </si>
  <si>
    <t>Chính sách này đã tạo ra hiệu ứng rất tốt.</t>
  </si>
  <si>
    <t>H5_B25_BG36.png</t>
  </si>
  <si>
    <t>B25_36.mp3</t>
  </si>
  <si>
    <t>B25_VD_36.mp3</t>
  </si>
  <si>
    <t>胸</t>
  </si>
  <si>
    <t>&lt;ruby&gt;胸&lt;rt&gt;xiōng&lt;/rt&gt;&lt;/ruby&gt;</t>
  </si>
  <si>
    <t>xiōng</t>
  </si>
  <si>
    <t>ngực, lòng</t>
  </si>
  <si>
    <r>
      <rPr>
        <sz val="10"/>
        <color theme="1"/>
        <rFont val="Arial"/>
      </rPr>
      <t>她双手抱着</t>
    </r>
    <r>
      <rPr>
        <b/>
        <sz val="10"/>
        <color theme="1"/>
        <rFont val="Arial"/>
      </rPr>
      <t>胸</t>
    </r>
    <r>
      <rPr>
        <sz val="10"/>
        <color theme="1"/>
        <rFont val="Arial"/>
      </rPr>
      <t>。</t>
    </r>
  </si>
  <si>
    <t>Cô ấy ôm lấy ngực mình bằng cả hai tay.</t>
  </si>
  <si>
    <t>H5_B25_BG37.png</t>
  </si>
  <si>
    <t>B25_37.mp3</t>
  </si>
  <si>
    <t>B25_VD_37.mp3</t>
  </si>
  <si>
    <t>和尚</t>
  </si>
  <si>
    <t>&lt;ruby&gt;和尚&lt;rt&gt;héshang&lt;/rt&gt;&lt;/ruby&gt;</t>
  </si>
  <si>
    <t>héshang</t>
  </si>
  <si>
    <t>hòa thượng</t>
  </si>
  <si>
    <r>
      <rPr>
        <sz val="10"/>
        <color rgb="FF000000"/>
        <rFont val="Calibri"/>
      </rPr>
      <t>这位</t>
    </r>
    <r>
      <rPr>
        <b/>
        <sz val="10"/>
        <color rgb="FF000000"/>
        <rFont val="Calibri"/>
      </rPr>
      <t>和尚</t>
    </r>
    <r>
      <rPr>
        <sz val="10"/>
        <color rgb="FF000000"/>
        <rFont val="Calibri"/>
      </rPr>
      <t>在打坐。</t>
    </r>
  </si>
  <si>
    <t xml:space="preserve">Vị hòa thượng này đang thiền. </t>
  </si>
  <si>
    <t>H5_B25_BG38.png</t>
  </si>
  <si>
    <t>B25_38.mp3</t>
  </si>
  <si>
    <t>B25_VD_38.mp3</t>
  </si>
  <si>
    <t>钟</t>
  </si>
  <si>
    <t>&lt;ruby&gt;钟&lt;rt&gt;zhōng&lt;/rt&gt;&lt;/ruby&gt;</t>
  </si>
  <si>
    <t>zhōng</t>
  </si>
  <si>
    <t>chuông</t>
  </si>
  <si>
    <r>
      <rPr>
        <sz val="10"/>
        <color rgb="FF000000"/>
        <rFont val="Calibri"/>
      </rPr>
      <t>这个</t>
    </r>
    <r>
      <rPr>
        <b/>
        <sz val="10"/>
        <color rgb="FF000000"/>
        <rFont val="Calibri"/>
      </rPr>
      <t>钟</t>
    </r>
    <r>
      <rPr>
        <sz val="10"/>
        <color rgb="FF000000"/>
        <rFont val="Calibri"/>
      </rPr>
      <t>是用来装饰圣诞节的。</t>
    </r>
  </si>
  <si>
    <t>Chiếc chuông này dùng để trang trí cho giáng sinh.</t>
  </si>
  <si>
    <t>H5_B25_BG39.png</t>
  </si>
  <si>
    <t>B25_39.mp3</t>
  </si>
  <si>
    <t>B25_VD_39.mp3</t>
  </si>
  <si>
    <t>彻底</t>
  </si>
  <si>
    <t>&lt;ruby&gt;彻底&lt;rt&gt;chèdǐ&lt;/rt&gt;&lt;/ruby&gt;</t>
  </si>
  <si>
    <t>chèdǐ</t>
  </si>
  <si>
    <t>triệt để, hoàn toàn</t>
  </si>
  <si>
    <r>
      <rPr>
        <sz val="10"/>
        <color rgb="FF000000"/>
        <rFont val="Calibri"/>
      </rPr>
      <t xml:space="preserve"> 这个计划</t>
    </r>
    <r>
      <rPr>
        <b/>
        <sz val="10"/>
        <color rgb="FF000000"/>
        <rFont val="Calibri"/>
      </rPr>
      <t>彻底</t>
    </r>
    <r>
      <rPr>
        <sz val="10"/>
        <color rgb="FF000000"/>
        <rFont val="Calibri"/>
      </rPr>
      <t>失败了。</t>
    </r>
  </si>
  <si>
    <t>Kế hoạch này đã thất bại hoàn toàn.</t>
  </si>
  <si>
    <t>H5_B25_BG40.png</t>
  </si>
  <si>
    <t>B25_40.mp3</t>
  </si>
  <si>
    <t>B25_VD_40.mp3</t>
  </si>
  <si>
    <t>忙碌</t>
  </si>
  <si>
    <t>&lt;ruby&gt;忙碌&lt;rt&gt;mánglù&lt;/rt&gt;&lt;/ruby&gt;</t>
  </si>
  <si>
    <t>mánglù</t>
  </si>
  <si>
    <t>bận rộn</t>
  </si>
  <si>
    <r>
      <rPr>
        <sz val="11"/>
        <color rgb="FF000000"/>
        <rFont val="Calibri"/>
      </rPr>
      <t>最近我很</t>
    </r>
    <r>
      <rPr>
        <b/>
        <sz val="11"/>
        <color rgb="FF000000"/>
        <rFont val="Calibri"/>
      </rPr>
      <t>忙碌</t>
    </r>
    <r>
      <rPr>
        <sz val="11"/>
        <color rgb="FF000000"/>
        <rFont val="Calibri"/>
      </rPr>
      <t>，每天有很多工作要做。</t>
    </r>
  </si>
  <si>
    <t>Dạo này tôi rất bận rộn, mỗi ngày có rất nhiều công việc phải làm.</t>
  </si>
  <si>
    <t>H5_B26_BG-01.png</t>
  </si>
  <si>
    <t>B26_1.mp3</t>
  </si>
  <si>
    <t>B26_VD_1.mp3</t>
  </si>
  <si>
    <t>被动</t>
  </si>
  <si>
    <t>&lt;ruby&gt;被动&lt;rt&gt;bèidòng&lt;/rt&gt;&lt;/ruby&gt;</t>
  </si>
  <si>
    <t>bèidòng</t>
  </si>
  <si>
    <t>bị động</t>
  </si>
  <si>
    <r>
      <rPr>
        <sz val="10"/>
        <color rgb="FF000000"/>
        <rFont val="Calibri"/>
      </rPr>
      <t>如果你在工作中总是保持</t>
    </r>
    <r>
      <rPr>
        <b/>
        <sz val="10"/>
        <color rgb="FF000000"/>
        <rFont val="Calibri"/>
      </rPr>
      <t>被动</t>
    </r>
    <r>
      <rPr>
        <sz val="10"/>
        <color rgb="FF000000"/>
        <rFont val="Calibri"/>
      </rPr>
      <t>态度，你的老板可能不会满意你。</t>
    </r>
  </si>
  <si>
    <t>Nếu bạn luôn giữ thái độ bị động trong công việc, sếp của bạn có thể sẽ không hài lòng với bạn bạn.</t>
  </si>
  <si>
    <t>H5_B26_BG-02.png</t>
  </si>
  <si>
    <t>B26_2.mp3</t>
  </si>
  <si>
    <t>B26_VD_2.mp3</t>
  </si>
  <si>
    <t>雇</t>
  </si>
  <si>
    <t>&lt;ruby&gt;雇&lt;rt&gt;gù&lt;/rt&gt;&lt;/ruby&gt;</t>
  </si>
  <si>
    <t>gù</t>
  </si>
  <si>
    <t>thuế, mướn</t>
  </si>
  <si>
    <r>
      <rPr>
        <sz val="10"/>
        <color theme="1"/>
        <rFont val="Calibri"/>
      </rPr>
      <t>为了保证项目进度，公司</t>
    </r>
    <r>
      <rPr>
        <b/>
        <sz val="10"/>
        <color theme="1"/>
        <rFont val="Calibri"/>
      </rPr>
      <t>雇</t>
    </r>
    <r>
      <rPr>
        <sz val="10"/>
        <color theme="1"/>
        <rFont val="Calibri"/>
      </rPr>
      <t>了更多工人。</t>
    </r>
  </si>
  <si>
    <t>Để đảm bảo tiến độ dự án, công ty đã thuê thêm nhiều công nhân.</t>
  </si>
  <si>
    <t>H5_B26_BG-03.png</t>
  </si>
  <si>
    <t>B26_3.mp3</t>
  </si>
  <si>
    <t>B26_VD_3.mp3</t>
  </si>
  <si>
    <t>投资</t>
  </si>
  <si>
    <t>&lt;ruby&gt;投资&lt;rt&gt;tóu zī&lt;/rt&gt;&lt;/ruby&gt;</t>
  </si>
  <si>
    <t>tóu zī</t>
  </si>
  <si>
    <t>đầu tư</t>
  </si>
  <si>
    <r>
      <rPr>
        <sz val="10"/>
        <color theme="1"/>
        <rFont val="Calibri"/>
      </rPr>
      <t>为了提高生产效率，老板决定</t>
    </r>
    <r>
      <rPr>
        <b/>
        <sz val="10"/>
        <color theme="1"/>
        <rFont val="Calibri"/>
      </rPr>
      <t>投资</t>
    </r>
    <r>
      <rPr>
        <sz val="10"/>
        <color theme="1"/>
        <rFont val="Calibri"/>
      </rPr>
      <t>新科技设备。</t>
    </r>
  </si>
  <si>
    <t>Để nâng cao năng suất, ông chủ quyết định đầu tư trang thiết bị công nghệ mới.</t>
  </si>
  <si>
    <t>H5_B26_BG-04.png</t>
  </si>
  <si>
    <t>B26_4.mp3</t>
  </si>
  <si>
    <t>B26_VD_4.mp3</t>
  </si>
  <si>
    <t>耽误</t>
  </si>
  <si>
    <t>&lt;ruby&gt;耽误&lt;rt&gt;dānwù&lt;/rt&gt;&lt;/ruby&gt;</t>
  </si>
  <si>
    <t>dānwù</t>
  </si>
  <si>
    <t>làm chậm trễ, để lỡ</t>
  </si>
  <si>
    <r>
      <rPr>
        <sz val="10"/>
        <color theme="1"/>
        <rFont val="Calibri"/>
      </rPr>
      <t>因为堵车，我</t>
    </r>
    <r>
      <rPr>
        <b/>
        <sz val="10"/>
        <color theme="1"/>
        <rFont val="Calibri"/>
      </rPr>
      <t>耽误</t>
    </r>
    <r>
      <rPr>
        <sz val="10"/>
        <color theme="1"/>
        <rFont val="Calibri"/>
      </rPr>
      <t>了参加会议的时间。</t>
    </r>
  </si>
  <si>
    <t>Vì tắc đường, tôi đã làm chậm trễ thời gian tham gia cuộc họp.</t>
  </si>
  <si>
    <t>H5_B26_BG-05.png</t>
  </si>
  <si>
    <t>B26_5.mp3</t>
  </si>
  <si>
    <t>B26_VD_5.mp3</t>
  </si>
  <si>
    <t>效率</t>
  </si>
  <si>
    <t>&lt;ruby&gt;效率&lt;rt&gt;xiàolǜ&lt;/rt&gt;&lt;/ruby&gt;</t>
  </si>
  <si>
    <t>xiàolǜ</t>
  </si>
  <si>
    <t>năng suất, hiệu suất</t>
  </si>
  <si>
    <r>
      <rPr>
        <sz val="10"/>
        <color theme="1"/>
        <rFont val="Calibri"/>
      </rPr>
      <t>为了提高团队</t>
    </r>
    <r>
      <rPr>
        <b/>
        <sz val="10"/>
        <color theme="1"/>
        <rFont val="Calibri"/>
      </rPr>
      <t>效率</t>
    </r>
    <r>
      <rPr>
        <sz val="10"/>
        <color theme="1"/>
        <rFont val="Calibri"/>
      </rPr>
      <t>，我们一起提出了新方案。</t>
    </r>
  </si>
  <si>
    <t>Để nâng cao hiệu suất của đội nhóm, chúng tôi đã cùng nhau đưa ra phương án mới.</t>
  </si>
  <si>
    <t>H5_B26_BG-06.png</t>
  </si>
  <si>
    <t>B26_6.mp3</t>
  </si>
  <si>
    <t>B26_VD_6.mp3</t>
  </si>
  <si>
    <t>出色</t>
  </si>
  <si>
    <t>&lt;ruby&gt;出色&lt;rt&gt;chūsè&lt;/rt&gt;&lt;/ruby&gt;</t>
  </si>
  <si>
    <t>chūsè</t>
  </si>
  <si>
    <t>xuất sắc</t>
  </si>
  <si>
    <r>
      <rPr>
        <sz val="10"/>
        <color theme="1"/>
        <rFont val="Calibri"/>
      </rPr>
      <t>她在工作中表现</t>
    </r>
    <r>
      <rPr>
        <b/>
        <sz val="10"/>
        <color theme="1"/>
        <rFont val="Calibri"/>
      </rPr>
      <t>出色</t>
    </r>
    <r>
      <rPr>
        <sz val="10"/>
        <color theme="1"/>
        <rFont val="Calibri"/>
      </rPr>
      <t>，得到了公司领导的称赞。</t>
    </r>
  </si>
  <si>
    <t>Cô ấy thể hiện rất xuất sắc trong công việc và đã nhận được lời khen từ lãnh đạo công ty.</t>
  </si>
  <si>
    <t>H5_B26_BG-07.png</t>
  </si>
  <si>
    <t>B26_7.mp3</t>
  </si>
  <si>
    <t>B26_VD_7.mp3</t>
  </si>
  <si>
    <t>步骤</t>
  </si>
  <si>
    <t>&lt;ruby&gt;步骤&lt;rt&gt;bùzhòu&lt;/rt&gt;&lt;/ruby&gt;</t>
  </si>
  <si>
    <t>bùzhòu</t>
  </si>
  <si>
    <t>bước</t>
  </si>
  <si>
    <r>
      <rPr>
        <sz val="10"/>
        <color theme="1"/>
        <rFont val="Calibri"/>
      </rPr>
      <t>完成这个项目需要按照以下</t>
    </r>
    <r>
      <rPr>
        <b/>
        <sz val="10"/>
        <color theme="1"/>
        <rFont val="Calibri"/>
      </rPr>
      <t>步骤</t>
    </r>
    <r>
      <rPr>
        <sz val="10"/>
        <color theme="1"/>
        <rFont val="Calibri"/>
      </rPr>
      <t>进行。</t>
    </r>
  </si>
  <si>
    <t>Hoàn thành dự án này cần thực hiện theo các bước sau đây.</t>
  </si>
  <si>
    <t>H5_B26_BG-08.png</t>
  </si>
  <si>
    <t>B26_8.mp3</t>
  </si>
  <si>
    <t>B26_VD_8.mp3</t>
  </si>
  <si>
    <t>疲劳</t>
  </si>
  <si>
    <t>&lt;ruby&gt;疲劳&lt;rt&gt;píláo&lt;/rt&gt;&lt;/ruby&gt;</t>
  </si>
  <si>
    <t>píláo</t>
  </si>
  <si>
    <t>mệt mỏi, mệt nhọc</t>
  </si>
  <si>
    <r>
      <rPr>
        <sz val="10"/>
        <color theme="1"/>
        <rFont val="Calibri"/>
      </rPr>
      <t>经过长时间的工作，他感到非常</t>
    </r>
    <r>
      <rPr>
        <b/>
        <sz val="10"/>
        <color theme="1"/>
        <rFont val="Calibri"/>
      </rPr>
      <t>疲劳</t>
    </r>
    <r>
      <rPr>
        <sz val="10"/>
        <color theme="1"/>
        <rFont val="Calibri"/>
      </rPr>
      <t>，需要休息一下。</t>
    </r>
  </si>
  <si>
    <t>Sau một khoảng thời gian làm việc dài, anh ấy cảm thấy rất mệt mỏi và cần nghỉ ngơi một chút.</t>
  </si>
  <si>
    <t>H5_B26_BG-09.png</t>
  </si>
  <si>
    <t>B26_9.mp3</t>
  </si>
  <si>
    <t>B26_VD_9.mp3</t>
  </si>
  <si>
    <t>总算</t>
  </si>
  <si>
    <t>&lt;ruby&gt;总算&lt;rt&gt;zǒngsuàn&lt;/rt&gt;&lt;/ruby&gt;</t>
  </si>
  <si>
    <t>zǒngsuàn</t>
  </si>
  <si>
    <t>cuối cùng, nói chung</t>
  </si>
  <si>
    <r>
      <rPr>
        <sz val="10"/>
        <color theme="1"/>
        <rFont val="Calibri"/>
      </rPr>
      <t>经过几个月的建设，这座房子</t>
    </r>
    <r>
      <rPr>
        <b/>
        <sz val="10"/>
        <color theme="1"/>
        <rFont val="Calibri"/>
      </rPr>
      <t>总算</t>
    </r>
    <r>
      <rPr>
        <sz val="10"/>
        <color theme="1"/>
        <rFont val="Calibri"/>
      </rPr>
      <t>完工了。</t>
    </r>
  </si>
  <si>
    <t>Sau vài tháng xây dựng, cuối cùng ngôi nhà này cũng đã hoàn thành.</t>
  </si>
  <si>
    <t>H5_B26_BG-10.png</t>
  </si>
  <si>
    <t>B26_10.mp3</t>
  </si>
  <si>
    <t>B26_VD_10.mp3</t>
  </si>
  <si>
    <t>奴隶</t>
  </si>
  <si>
    <t>&lt;ruby&gt;奴隶&lt;rt&gt;núlì&lt;/rt&gt;&lt;/ruby&gt;</t>
  </si>
  <si>
    <t>núlì</t>
  </si>
  <si>
    <t>nô lệ</t>
  </si>
  <si>
    <r>
      <rPr>
        <sz val="10"/>
        <color rgb="FF000000"/>
        <rFont val="Calibri"/>
      </rPr>
      <t>在古代埃及，</t>
    </r>
    <r>
      <rPr>
        <b/>
        <sz val="10"/>
        <color rgb="FF000000"/>
        <rFont val="Calibri"/>
      </rPr>
      <t>奴隶</t>
    </r>
    <r>
      <rPr>
        <sz val="10"/>
        <color rgb="FF000000"/>
        <rFont val="Calibri"/>
      </rPr>
      <t>在金字塔的建造中起到了重要作用。</t>
    </r>
  </si>
  <si>
    <t>Những nô lệ ở Ai Cập cổ đại đã đóng vai trò quan trọng trong việc xây dựng các kim tự tháp.</t>
  </si>
  <si>
    <t>H5_B26_BG-11.png</t>
  </si>
  <si>
    <t>B26_11.mp3</t>
  </si>
  <si>
    <t>B26_VD_11.mp3</t>
  </si>
  <si>
    <t>虚伪</t>
  </si>
  <si>
    <t>&lt;ruby&gt;虚伪&lt;rt&gt;xūwěi&lt;/rt&gt;&lt;/ruby&gt;</t>
  </si>
  <si>
    <t>xūwěi</t>
  </si>
  <si>
    <r>
      <rPr>
        <sz val="10"/>
        <color rgb="FF000000"/>
        <rFont val="Calibri"/>
      </rPr>
      <t>他所说的话完全是</t>
    </r>
    <r>
      <rPr>
        <b/>
        <sz val="10"/>
        <color rgb="FF000000"/>
        <rFont val="Calibri"/>
      </rPr>
      <t>虚伪</t>
    </r>
    <r>
      <rPr>
        <sz val="10"/>
        <color rgb="FF000000"/>
        <rFont val="Calibri"/>
      </rPr>
      <t>的，一点也不真诚。</t>
    </r>
  </si>
  <si>
    <t>Những gì anh ta nói hoàn toàn là giả dối, không có một chút chân thành nào.</t>
  </si>
  <si>
    <t>H5_B26_BG-12.png</t>
  </si>
  <si>
    <t>B26_12.mp3</t>
  </si>
  <si>
    <t>B26_VD_12.mp3</t>
  </si>
  <si>
    <t>反省</t>
  </si>
  <si>
    <t>&lt;ruby&gt;反省&lt;rt&gt;fǎnxǐng&lt;/rt&gt;&lt;/ruby&gt;</t>
  </si>
  <si>
    <t>fǎnxǐng</t>
  </si>
  <si>
    <t>tự kiểm điểm</t>
  </si>
  <si>
    <r>
      <rPr>
        <sz val="10"/>
        <color theme="1"/>
        <rFont val="Calibri"/>
      </rPr>
      <t>每次考试成绩不好时，我都会</t>
    </r>
    <r>
      <rPr>
        <b/>
        <sz val="10"/>
        <color theme="1"/>
        <rFont val="Calibri"/>
      </rPr>
      <t>反省</t>
    </r>
    <r>
      <rPr>
        <sz val="10"/>
        <color theme="1"/>
        <rFont val="Calibri"/>
      </rPr>
      <t>自己。</t>
    </r>
  </si>
  <si>
    <t>Mỗi khi bị điểm kém, tôi luôn tự kiểm điểm bản thân.</t>
  </si>
  <si>
    <t>H5_B26_BG-13.png</t>
  </si>
  <si>
    <t>B26_13.mp3</t>
  </si>
  <si>
    <t>B26_VD_13.mp3</t>
  </si>
  <si>
    <t>个性</t>
  </si>
  <si>
    <t>&lt;ruby&gt;个性&lt;rt&gt;gèxìng&lt;/rt&gt;&lt;/ruby&gt;</t>
  </si>
  <si>
    <t>gèxìng</t>
  </si>
  <si>
    <t>cá tính</t>
  </si>
  <si>
    <r>
      <rPr>
        <sz val="10"/>
        <color theme="1"/>
        <rFont val="Calibri"/>
      </rPr>
      <t>她是一个有</t>
    </r>
    <r>
      <rPr>
        <b/>
        <sz val="10"/>
        <color theme="1"/>
        <rFont val="Calibri"/>
      </rPr>
      <t>个性</t>
    </r>
    <r>
      <rPr>
        <sz val="10"/>
        <color theme="1"/>
        <rFont val="Calibri"/>
      </rPr>
      <t>的人，朋友们都很喜欢她。</t>
    </r>
  </si>
  <si>
    <t>Cô ấy là một người có cá tính, bạn bè rất thích cô ấy.</t>
  </si>
  <si>
    <t>H5_B26_BG-14.png</t>
  </si>
  <si>
    <t>B26_14.mp3</t>
  </si>
  <si>
    <t>B26_VD_14.mp3</t>
  </si>
  <si>
    <t>冒险</t>
  </si>
  <si>
    <t>&lt;ruby&gt;冒险&lt;rt&gt;mào xiǎn&lt;/rt&gt;&lt;/ruby&gt;</t>
  </si>
  <si>
    <t>mào xiǎn</t>
  </si>
  <si>
    <t>mạo hiểm</t>
  </si>
  <si>
    <r>
      <rPr>
        <sz val="10"/>
        <color theme="1"/>
        <rFont val="Calibri"/>
      </rPr>
      <t>消防员</t>
    </r>
    <r>
      <rPr>
        <b/>
        <sz val="10"/>
        <color theme="1"/>
        <rFont val="Calibri"/>
      </rPr>
      <t>冒险</t>
    </r>
    <r>
      <rPr>
        <sz val="10"/>
        <color theme="1"/>
        <rFont val="Calibri"/>
      </rPr>
      <t>冲进火场。</t>
    </r>
  </si>
  <si>
    <t>Lính cứu hỏa đã mạo hiểm lao vào đám cháy.</t>
  </si>
  <si>
    <t>H5_B26_BG-15.png</t>
  </si>
  <si>
    <t>B26_15.mp3</t>
  </si>
  <si>
    <t>B26_VD_15.mp3</t>
  </si>
  <si>
    <t>丛林</t>
  </si>
  <si>
    <t>&lt;ruby&gt;丛林&lt;rt&gt;cónglín&lt;/rt&gt;&lt;/ruby&gt;</t>
  </si>
  <si>
    <t>cónglín</t>
  </si>
  <si>
    <t>rừng cây</t>
  </si>
  <si>
    <r>
      <rPr>
        <sz val="10"/>
        <color theme="1"/>
        <rFont val="Calibri"/>
      </rPr>
      <t>他们在</t>
    </r>
    <r>
      <rPr>
        <b/>
        <sz val="10"/>
        <color theme="1"/>
        <rFont val="Calibri"/>
      </rPr>
      <t>丛林</t>
    </r>
    <r>
      <rPr>
        <sz val="10"/>
        <color theme="1"/>
        <rFont val="Calibri"/>
      </rPr>
      <t>中迷路了，花了很长时间才找到出口。</t>
    </r>
  </si>
  <si>
    <t>Họ bị lạc trong rừng cây và mất một khoảng thời gian dài mới tìm thấy lối ra.</t>
  </si>
  <si>
    <t>H5_B26_BG-16.png</t>
  </si>
  <si>
    <t>B26_16.mp3</t>
  </si>
  <si>
    <t>B26_VD_16.mp3</t>
  </si>
  <si>
    <t>健步如飞</t>
  </si>
  <si>
    <t>&lt;ruby&gt;健步如飞&lt;rt&gt;jiànbù-rúfēi&lt;/rt&gt;&lt;/ruby&gt;</t>
  </si>
  <si>
    <t>jiànbù-rúfēi</t>
  </si>
  <si>
    <t>bước đi mạnh mẽ, thoăn thoắt</t>
  </si>
  <si>
    <r>
      <rPr>
        <sz val="10"/>
        <color theme="1"/>
        <rFont val="Calibri"/>
      </rPr>
      <t>放学后，我</t>
    </r>
    <r>
      <rPr>
        <b/>
        <sz val="10"/>
        <color theme="1"/>
        <rFont val="Calibri"/>
      </rPr>
      <t>健步如飞</t>
    </r>
    <r>
      <rPr>
        <sz val="10"/>
        <color theme="1"/>
        <rFont val="Calibri"/>
      </rPr>
      <t>地跑回家。</t>
    </r>
  </si>
  <si>
    <t>Khi tan học, tôi liền chạy nhanh như bay về nhà.</t>
  </si>
  <si>
    <t>H5_B26_BG-17.png</t>
  </si>
  <si>
    <t>B26_17.mp3</t>
  </si>
  <si>
    <t>B26_VD_17.mp3</t>
  </si>
  <si>
    <t>得罪</t>
  </si>
  <si>
    <t>&lt;ruby&gt;得罪&lt;rt&gt;dézuì&lt;/rt&gt;&lt;/ruby&gt;</t>
  </si>
  <si>
    <t>dézuì</t>
  </si>
  <si>
    <t>làm phật lòng, xúc phạm</t>
  </si>
  <si>
    <r>
      <rPr>
        <sz val="10"/>
        <color theme="1"/>
        <rFont val="Calibri"/>
      </rPr>
      <t>我的话可能会</t>
    </r>
    <r>
      <rPr>
        <b/>
        <sz val="10"/>
        <color theme="1"/>
        <rFont val="Calibri"/>
      </rPr>
      <t>得罪</t>
    </r>
    <r>
      <rPr>
        <sz val="10"/>
        <color theme="1"/>
        <rFont val="Calibri"/>
      </rPr>
      <t>她。</t>
    </r>
  </si>
  <si>
    <t>Lời nói của tôi có thể sẽ làm phật lòng cô ấy.</t>
  </si>
  <si>
    <t>H5_B26_BG-18.png</t>
  </si>
  <si>
    <t>B26_18.mp3</t>
  </si>
  <si>
    <t>B26_VD_18.mp3</t>
  </si>
  <si>
    <t>至于</t>
  </si>
  <si>
    <t>&lt;ruby&gt;至于&lt;rt&gt;zhìyú&lt;/rt&gt;&lt;/ruby&gt;</t>
  </si>
  <si>
    <t>zhìyú</t>
  </si>
  <si>
    <t>còn</t>
  </si>
  <si>
    <r>
      <rPr>
        <b/>
        <sz val="10"/>
        <color theme="1"/>
        <rFont val="Calibri"/>
      </rPr>
      <t>至于</t>
    </r>
    <r>
      <rPr>
        <sz val="10"/>
        <color theme="1"/>
        <rFont val="Calibri"/>
      </rPr>
      <t>那本书，我已经看完了，觉得很有趣。</t>
    </r>
  </si>
  <si>
    <t>Còn về cuốn sách đó, tôi đã đọc xong rồi và thấy rất thú vị.</t>
  </si>
  <si>
    <t>H5_B26_BG-19.png</t>
  </si>
  <si>
    <t>B26_19.mp3</t>
  </si>
  <si>
    <t>B26_VD_19.mp3</t>
  </si>
  <si>
    <t>寂寞</t>
  </si>
  <si>
    <t>&lt;ruby&gt;寂寞&lt;rt&gt;jìmò&lt;/rt&gt;&lt;/ruby&gt;</t>
  </si>
  <si>
    <t>jìmò</t>
  </si>
  <si>
    <t>cô đơn, cô độc</t>
  </si>
  <si>
    <r>
      <rPr>
        <sz val="10"/>
        <color theme="1"/>
        <rFont val="Calibri"/>
      </rPr>
      <t>每天我都一个人吃饭，虽然很</t>
    </r>
    <r>
      <rPr>
        <b/>
        <sz val="10"/>
        <color theme="1"/>
        <rFont val="Calibri"/>
      </rPr>
      <t>寂寞</t>
    </r>
    <r>
      <rPr>
        <sz val="10"/>
        <color theme="1"/>
        <rFont val="Calibri"/>
      </rPr>
      <t>，但我已经习惯了。</t>
    </r>
  </si>
  <si>
    <t>Mỗi ngày tôi đều ăn một mình, mặc dù rất cô đơn, nhưng tôi đã quen với điều đó.</t>
  </si>
  <si>
    <t>H5_B26_BG-20.png</t>
  </si>
  <si>
    <t>B26_20.mp3</t>
  </si>
  <si>
    <t>B26_VD_20.mp3</t>
  </si>
  <si>
    <t>思想</t>
  </si>
  <si>
    <t>&lt;ruby&gt;思想&lt;rt&gt;sīxiǎng&lt;/rt&gt;&lt;/ruby&gt;</t>
  </si>
  <si>
    <t>sīxiǎng</t>
  </si>
  <si>
    <t>ý nghĩ, tư tưởng</t>
  </si>
  <si>
    <r>
      <rPr>
        <sz val="10"/>
        <color rgb="FF000000"/>
        <rFont val="Calibri"/>
      </rPr>
      <t>他的</t>
    </r>
    <r>
      <rPr>
        <b/>
        <sz val="10"/>
        <color rgb="FF000000"/>
        <rFont val="Calibri"/>
      </rPr>
      <t>思想</t>
    </r>
    <r>
      <rPr>
        <sz val="10"/>
        <color rgb="FF000000"/>
        <rFont val="Calibri"/>
      </rPr>
      <t>与传统观念不同，在会议上经常提出新颖的意见。</t>
    </r>
  </si>
  <si>
    <t>Tư tưởng của anh ấy khác với những quan niệm truyền thống, trong cuộc họp thường có những ý kiến mới lạ</t>
  </si>
  <si>
    <t>H5_B26_BG-21.png</t>
  </si>
  <si>
    <t>B26_21.mp3</t>
  </si>
  <si>
    <t>B26_VD_21.mp3</t>
  </si>
  <si>
    <t>据说</t>
  </si>
  <si>
    <t>&lt;ruby&gt;据说&lt;rt&gt;jùshuō&lt;/rt&gt;&lt;/ruby&gt;</t>
  </si>
  <si>
    <t>jùshuō</t>
  </si>
  <si>
    <t>nghe nói, nghe đồn</t>
  </si>
  <si>
    <r>
      <rPr>
        <b/>
        <sz val="10"/>
        <color theme="1"/>
        <rFont val="Calibri"/>
      </rPr>
      <t>据说</t>
    </r>
    <r>
      <rPr>
        <sz val="10"/>
        <color theme="1"/>
        <rFont val="Calibri"/>
      </rPr>
      <t>这家餐厅的菜很好吃，很多人都推荐过。</t>
    </r>
  </si>
  <si>
    <t>Nghe nói món ăn ở nhà hàng này rất ngon, nhiều người đã giới thiệu.</t>
  </si>
  <si>
    <t>H5_B26_BG-22.png</t>
  </si>
  <si>
    <t>B26_22.mp3</t>
  </si>
  <si>
    <t>B26_VD_22.mp3</t>
  </si>
  <si>
    <t>文明</t>
  </si>
  <si>
    <t>&lt;ruby&gt;文明&lt;rt&gt;wénmíng&lt;/rt&gt;&lt;/ruby&gt;</t>
  </si>
  <si>
    <t>wénmíng</t>
  </si>
  <si>
    <t>nền văn minh</t>
  </si>
  <si>
    <r>
      <rPr>
        <sz val="10"/>
        <color theme="1"/>
        <rFont val="Calibri"/>
      </rPr>
      <t>通过学习历史，我了解了古代埃及的许多</t>
    </r>
    <r>
      <rPr>
        <b/>
        <sz val="10"/>
        <color theme="1"/>
        <rFont val="Calibri"/>
      </rPr>
      <t>文明</t>
    </r>
    <r>
      <rPr>
        <sz val="10"/>
        <color theme="1"/>
        <rFont val="Calibri"/>
      </rPr>
      <t>。</t>
    </r>
  </si>
  <si>
    <t>Thông qua việc học lịch sử tôi đã biết về nhiều nền văn minh lâu đời của Ai Cập cổ đại.</t>
  </si>
  <si>
    <t>H5_B26_BG-23.png</t>
  </si>
  <si>
    <t>B26_23.mp3</t>
  </si>
  <si>
    <t>B26_VD_23.mp3</t>
  </si>
  <si>
    <t>tài liệu ghi tại chỗ; ghi lại, ghi chép</t>
  </si>
  <si>
    <r>
      <rPr>
        <sz val="10"/>
        <color theme="1"/>
        <rFont val="Calibri"/>
      </rPr>
      <t>在整个会议过程中，他</t>
    </r>
    <r>
      <rPr>
        <b/>
        <sz val="10"/>
        <color theme="1"/>
        <rFont val="Calibri"/>
      </rPr>
      <t>记录</t>
    </r>
    <r>
      <rPr>
        <sz val="10"/>
        <color theme="1"/>
        <rFont val="Calibri"/>
      </rPr>
      <t>了所有重要内容。</t>
    </r>
  </si>
  <si>
    <t>Trong suốt cuộc họp, anh ấy đã ghi lại hết các nội dung quan trọng.</t>
  </si>
  <si>
    <t>H5_B26_BG-24.png</t>
  </si>
  <si>
    <t>B26_24.mp3</t>
  </si>
  <si>
    <t>B26_VD_24.mp3</t>
  </si>
  <si>
    <t>khoảng</t>
  </si>
  <si>
    <r>
      <rPr>
        <sz val="10"/>
        <color theme="1"/>
        <rFont val="Calibri"/>
      </rPr>
      <t>我们已经讨论这个问题</t>
    </r>
    <r>
      <rPr>
        <b/>
        <sz val="10"/>
        <color theme="1"/>
        <rFont val="Calibri"/>
      </rPr>
      <t>来</t>
    </r>
    <r>
      <rPr>
        <sz val="10"/>
        <color theme="1"/>
        <rFont val="Calibri"/>
      </rPr>
      <t>两个小时了。</t>
    </r>
  </si>
  <si>
    <t>Chúng ta đã thảo luận vấn đề này khoảng hai giờ rồi.</t>
  </si>
  <si>
    <t>H5_B26_BG-25.png</t>
  </si>
  <si>
    <t>B26_25.mp3</t>
  </si>
  <si>
    <t>B26_VD_25.mp3</t>
  </si>
  <si>
    <t>批</t>
  </si>
  <si>
    <t>&lt;ruby&gt;批&lt;rt&gt;pī&lt;/rt&gt;&lt;/ruby&gt;</t>
  </si>
  <si>
    <t>pī</t>
  </si>
  <si>
    <t>tốp, nhóm, đợt</t>
  </si>
  <si>
    <r>
      <rPr>
        <sz val="10"/>
        <color theme="1"/>
        <rFont val="Calibri"/>
      </rPr>
      <t>这一</t>
    </r>
    <r>
      <rPr>
        <b/>
        <sz val="10"/>
        <color theme="1"/>
        <rFont val="Calibri"/>
      </rPr>
      <t>批</t>
    </r>
    <r>
      <rPr>
        <sz val="10"/>
        <color theme="1"/>
        <rFont val="Calibri"/>
      </rPr>
      <t>员工经过严格培训后，已经可以独立工作。</t>
    </r>
  </si>
  <si>
    <t>Đợt nhân viên này, sau khi trải qua khóa đào tạo nghiêm ngặt, đã có thể làm việc độc lập.</t>
  </si>
  <si>
    <t>H5_B26_BG-26.png</t>
  </si>
  <si>
    <t>B26_26.mp3</t>
  </si>
  <si>
    <t>B26_VD_26.mp3</t>
  </si>
  <si>
    <t>一连</t>
  </si>
  <si>
    <t>&lt;ruby&gt;一连&lt;rt&gt;yìlián&lt;/rt&gt;&lt;/ruby&gt;</t>
  </si>
  <si>
    <t>yìlián</t>
  </si>
  <si>
    <t>liên tiếp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</si>
  <si>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一连</t>
    </r>
    <r>
      <rPr>
        <sz val="10"/>
        <color theme="1"/>
        <rFont val="Calibri"/>
      </rPr>
      <t>加班三天了。</t>
    </r>
  </si>
  <si>
    <t>Anh ấy tăng ca ba ngày liền.</t>
  </si>
  <si>
    <t>H5_B26_BG-27.png</t>
  </si>
  <si>
    <t>B26_27.mp3</t>
  </si>
  <si>
    <t>B26_VD_27.mp3</t>
  </si>
  <si>
    <t>人物</t>
  </si>
  <si>
    <t>&lt;ruby&gt;人物&lt;rt&gt;rénwù&lt;/rt&gt;&lt;/ruby&gt;</t>
  </si>
  <si>
    <t>rénwù</t>
  </si>
  <si>
    <t>nhân vật, người có vai vế</t>
  </si>
  <si>
    <r>
      <rPr>
        <sz val="10"/>
        <color theme="1"/>
        <rFont val="Calibri"/>
      </rPr>
      <t>这本书介绍了许多历史</t>
    </r>
    <r>
      <rPr>
        <b/>
        <sz val="10"/>
        <color theme="1"/>
        <rFont val="Calibri"/>
      </rPr>
      <t>人物</t>
    </r>
    <r>
      <rPr>
        <sz val="10"/>
        <color theme="1"/>
        <rFont val="Calibri"/>
      </rPr>
      <t>的故事。</t>
    </r>
  </si>
  <si>
    <t>Cuốn sách này giới thiệu những câu chuyện về nhiều nhân vật lịch sử.</t>
  </si>
  <si>
    <t>H5_B26_BG-28.png</t>
  </si>
  <si>
    <t>B26_28.mp3</t>
  </si>
  <si>
    <t>B26_VD_28.mp3</t>
  </si>
  <si>
    <t>搞</t>
  </si>
  <si>
    <t>&lt;ruby&gt;搞&lt;rt&gt;gǎo&lt;/rt&gt;&lt;/ruby&gt;</t>
  </si>
  <si>
    <t>gǎo</t>
  </si>
  <si>
    <t>làm, tạo ra</t>
  </si>
  <si>
    <r>
      <rPr>
        <sz val="10"/>
        <color theme="1"/>
        <rFont val="Calibri"/>
      </rPr>
      <t>他们正在</t>
    </r>
    <r>
      <rPr>
        <b/>
        <sz val="10"/>
        <color theme="1"/>
        <rFont val="Calibri"/>
      </rPr>
      <t>搞</t>
    </r>
    <r>
      <rPr>
        <sz val="10"/>
        <color theme="1"/>
        <rFont val="Calibri"/>
      </rPr>
      <t>一个新产品，准备上市。</t>
    </r>
  </si>
  <si>
    <t>Họ đang tạo ra một sản phẩm mới và chuẩn bị ra mắt.</t>
  </si>
  <si>
    <t>H5_B26_BG-29.png</t>
  </si>
  <si>
    <t>B26_29.mp3</t>
  </si>
  <si>
    <t>B26_VD_29.mp3</t>
  </si>
  <si>
    <t>习俗</t>
  </si>
  <si>
    <t>&lt;ruby&gt;习俗&lt;rt&gt;xísú&lt;/rt&gt;&lt;/ruby&gt;</t>
  </si>
  <si>
    <t>xísú</t>
  </si>
  <si>
    <t>tập tục</t>
  </si>
  <si>
    <r>
      <rPr>
        <sz val="10"/>
        <color theme="1"/>
        <rFont val="Calibri"/>
      </rPr>
      <t>在这个国家，春节家庭团聚是最重要的</t>
    </r>
    <r>
      <rPr>
        <b/>
        <sz val="10"/>
        <color theme="1"/>
        <rFont val="Calibri"/>
      </rPr>
      <t>习俗</t>
    </r>
    <r>
      <rPr>
        <sz val="10"/>
        <color theme="1"/>
        <rFont val="Calibri"/>
      </rPr>
      <t>之一。</t>
    </r>
  </si>
  <si>
    <t>Ở quốc gia này, đoàn tụ gia đình trong dịp Tết Nguyên Đán là một trong những tập tục quan trọng nhất.</t>
  </si>
  <si>
    <t>H5_B26_BG-30.png</t>
  </si>
  <si>
    <t>B26_30.mp3</t>
  </si>
  <si>
    <t>B26_VD_30.mp3</t>
  </si>
  <si>
    <t>灵魂</t>
  </si>
  <si>
    <t>&lt;ruby&gt;灵魂&lt;rt&gt;línghún&lt;/rt&gt;&lt;/ruby&gt;</t>
  </si>
  <si>
    <t>línghún</t>
  </si>
  <si>
    <t>linh hồn, tâm hồn</t>
  </si>
  <si>
    <r>
      <rPr>
        <sz val="10"/>
        <color theme="1"/>
        <rFont val="Calibri"/>
      </rPr>
      <t>音乐是我的</t>
    </r>
    <r>
      <rPr>
        <b/>
        <sz val="10"/>
        <color theme="1"/>
        <rFont val="Calibri"/>
      </rPr>
      <t>灵魂</t>
    </r>
    <r>
      <rPr>
        <sz val="10"/>
        <color theme="1"/>
        <rFont val="Calibri"/>
      </rPr>
      <t>，让我感到平静和快乐。</t>
    </r>
  </si>
  <si>
    <t>Âm nhạc là linh hồn của tôi, nó khiến tôi cảm thấy bình yên và hạnh phúc.</t>
  </si>
  <si>
    <t>H5_B26_BG-31.png</t>
  </si>
  <si>
    <t>B26_31.mp3</t>
  </si>
  <si>
    <t>B26_VD_31.mp3</t>
  </si>
  <si>
    <t>哲理</t>
  </si>
  <si>
    <t>&lt;ruby&gt;哲理&lt;rt&gt;zhélǐ&lt;/rt&gt;&lt;/ruby&gt;</t>
  </si>
  <si>
    <t>zhélǐ</t>
  </si>
  <si>
    <t>triết lý</t>
  </si>
  <si>
    <r>
      <rPr>
        <sz val="10"/>
        <color theme="1"/>
        <rFont val="Calibri"/>
      </rPr>
      <t>这篇文章讲解了很多深刻的</t>
    </r>
    <r>
      <rPr>
        <b/>
        <sz val="10"/>
        <color theme="1"/>
        <rFont val="Calibri"/>
      </rPr>
      <t>哲理</t>
    </r>
    <r>
      <rPr>
        <sz val="10"/>
        <color theme="1"/>
        <rFont val="Calibri"/>
      </rPr>
      <t>，值得我们思考。</t>
    </r>
  </si>
  <si>
    <t>Bài báo này giải thích nhiều triết lý sâu sắc, xứng đáng để chúng ta suy ngẫm.</t>
  </si>
  <si>
    <t>H5_B26_BG-32.png</t>
  </si>
  <si>
    <t>B26_32.mp3</t>
  </si>
  <si>
    <t>B26_VD_32.mp3</t>
  </si>
  <si>
    <t>提倡</t>
  </si>
  <si>
    <t>&lt;ruby&gt;提倡&lt;rt&gt;tíchàng&lt;/rt&gt;&lt;/ruby&gt;</t>
  </si>
  <si>
    <t>tíchàng</t>
  </si>
  <si>
    <t>đề xướng, chủ trương</t>
  </si>
  <si>
    <r>
      <rPr>
        <sz val="10"/>
        <color theme="1"/>
        <rFont val="Calibri"/>
      </rPr>
      <t>她</t>
    </r>
    <r>
      <rPr>
        <b/>
        <sz val="10"/>
        <color theme="1"/>
        <rFont val="Calibri"/>
      </rPr>
      <t>提倡</t>
    </r>
    <r>
      <rPr>
        <sz val="10"/>
        <color theme="1"/>
        <rFont val="Calibri"/>
      </rPr>
      <t>健康饮食，减少快餐的摄入。</t>
    </r>
  </si>
  <si>
    <t>Cô ấy đề xướng chế độ ăn uống lành mạnh, hạn chế đồ ăn nhanh.</t>
  </si>
  <si>
    <t>H5_B26_BG-33.png</t>
  </si>
  <si>
    <t>B26_33.mp3</t>
  </si>
  <si>
    <t>B26_VD_33.mp3</t>
  </si>
  <si>
    <t>闭关</t>
  </si>
  <si>
    <t>&lt;ruby&gt;闭关&lt;rt&gt;bìguān&lt;/rt&gt;&lt;/ruby&gt;</t>
  </si>
  <si>
    <t>bìguān</t>
  </si>
  <si>
    <t>bế quan, tịnh cư</t>
  </si>
  <si>
    <r>
      <rPr>
        <sz val="10"/>
        <color theme="1"/>
        <rFont val="Calibri"/>
      </rPr>
      <t>他已经</t>
    </r>
    <r>
      <rPr>
        <b/>
        <sz val="10"/>
        <color theme="1"/>
        <rFont val="Calibri"/>
      </rPr>
      <t>闭关</t>
    </r>
    <r>
      <rPr>
        <sz val="10"/>
        <color theme="1"/>
        <rFont val="Calibri"/>
      </rPr>
      <t>修炼去了。</t>
    </r>
  </si>
  <si>
    <t>Ông ấy đã bế quan tu luyện ở trên núi rồi.</t>
  </si>
  <si>
    <t>H5_B26_BG-34.png</t>
  </si>
  <si>
    <t>B26_34.mp3</t>
  </si>
  <si>
    <t>B26_VD_34.mp3</t>
  </si>
  <si>
    <t>一律</t>
  </si>
  <si>
    <t>&lt;ruby&gt;一律&lt;rt&gt;yílǜ&lt;/rt&gt;&lt;/ruby&gt;</t>
  </si>
  <si>
    <t>yílǜ</t>
  </si>
  <si>
    <t>nhất loạt, hết thảy</t>
  </si>
  <si>
    <r>
      <rPr>
        <sz val="10"/>
        <color theme="1"/>
        <rFont val="Calibri"/>
      </rPr>
      <t>加班费</t>
    </r>
    <r>
      <rPr>
        <b/>
        <sz val="10"/>
        <color theme="1"/>
        <rFont val="Calibri"/>
      </rPr>
      <t>一律</t>
    </r>
    <r>
      <rPr>
        <sz val="10"/>
        <color theme="1"/>
        <rFont val="Calibri"/>
      </rPr>
      <t>按照规定支付。</t>
    </r>
  </si>
  <si>
    <t>Tiền làm thêm được chi trả theo quy định.</t>
  </si>
  <si>
    <t>H5_B26_BG-35.png</t>
  </si>
  <si>
    <t>B26_35.mp3</t>
  </si>
  <si>
    <t>B26_VD_35.mp3</t>
  </si>
  <si>
    <t>（象）棋</t>
  </si>
  <si>
    <t>&lt;ruby&gt;（象）棋&lt;rt&gt;(xiàng) qí&lt;/rt&gt;&lt;/ruby&gt;</t>
  </si>
  <si>
    <t>(xiàng) qí</t>
  </si>
  <si>
    <t>cờ (tướng)</t>
  </si>
  <si>
    <r>
      <rPr>
        <sz val="11"/>
        <color rgb="FF000000"/>
        <rFont val="Calibri"/>
      </rPr>
      <t>他</t>
    </r>
    <r>
      <rPr>
        <b/>
        <sz val="11"/>
        <color rgb="FF000000"/>
        <rFont val="Calibri"/>
      </rPr>
      <t>象棋</t>
    </r>
    <r>
      <rPr>
        <sz val="11"/>
        <color rgb="FF000000"/>
        <rFont val="Calibri"/>
      </rPr>
      <t>下得很好。</t>
    </r>
  </si>
  <si>
    <t>Anh ấy chơi cờ tướng rất giỏi</t>
  </si>
  <si>
    <t>H5_B27_BG1.png</t>
  </si>
  <si>
    <t>B27_1.mp3</t>
  </si>
  <si>
    <t>B27_VD_1.mp3</t>
  </si>
  <si>
    <t>教练</t>
  </si>
  <si>
    <t>&lt;ruby&gt;教练&lt;rt&gt;jiàoliàn&lt;/rt&gt;&lt;/ruby&gt;</t>
  </si>
  <si>
    <t>jiàoliàn</t>
  </si>
  <si>
    <t>huấn luyện viên</t>
  </si>
  <si>
    <r>
      <rPr>
        <b/>
        <sz val="10"/>
        <color theme="1"/>
        <rFont val="Calibri"/>
      </rPr>
      <t>教练</t>
    </r>
    <r>
      <rPr>
        <sz val="10"/>
        <color theme="1"/>
        <rFont val="Calibri"/>
      </rPr>
      <t>每天指导我们训练。</t>
    </r>
  </si>
  <si>
    <t>Huấn luyện viên hướng dẫn chúng tôi tập luyện mỗi ngày.</t>
  </si>
  <si>
    <t>H5_B27_BG2.png</t>
  </si>
  <si>
    <t>B27_2.mp3</t>
  </si>
  <si>
    <t>B27_VD_2.mp3</t>
  </si>
  <si>
    <r>
      <rPr>
        <sz val="10"/>
        <color theme="1"/>
        <rFont val="Calibri"/>
      </rPr>
      <t>这位</t>
    </r>
    <r>
      <rPr>
        <b/>
        <sz val="10"/>
        <color theme="1"/>
        <rFont val="Calibri"/>
      </rPr>
      <t>将军</t>
    </r>
    <r>
      <rPr>
        <sz val="10"/>
        <color theme="1"/>
        <rFont val="Calibri"/>
      </rPr>
      <t>指挥军队作战。</t>
    </r>
  </si>
  <si>
    <t>Vị tướng quân này chỉ huy quân đội chiến đấu.</t>
  </si>
  <si>
    <t>H5_B27_BG3.png</t>
  </si>
  <si>
    <t>B27_3.mp3</t>
  </si>
  <si>
    <t>B27_VD_3.mp3</t>
  </si>
  <si>
    <t>&lt;ruby&gt;将军&lt;rt&gt;jiāng jūn&lt;/rt&gt;&lt;/ruby&gt;</t>
  </si>
  <si>
    <t>jiāng jūn</t>
  </si>
  <si>
    <t>chiếu tướng (trong đánh cờ)</t>
  </si>
  <si>
    <r>
      <rPr>
        <sz val="10"/>
        <color theme="1"/>
        <rFont val="Calibri"/>
      </rPr>
      <t>他在最后一步</t>
    </r>
    <r>
      <rPr>
        <b/>
        <sz val="10"/>
        <color theme="1"/>
        <rFont val="Calibri"/>
      </rPr>
      <t>将军</t>
    </r>
    <r>
      <rPr>
        <sz val="10"/>
        <color theme="1"/>
        <rFont val="Calibri"/>
      </rPr>
      <t>了对手。</t>
    </r>
  </si>
  <si>
    <t>Anh ấy đã chiếu tướng đối thủ ở nước cờ cuối cùng.</t>
  </si>
  <si>
    <t>H5_B27_BG4.png</t>
  </si>
  <si>
    <t>B27_4.mp3</t>
  </si>
  <si>
    <t>B27_VD_4.mp3</t>
  </si>
  <si>
    <t>局</t>
  </si>
  <si>
    <t>&lt;ruby&gt;局&lt;rt&gt;jú&lt;/rt&gt;&lt;/ruby&gt;</t>
  </si>
  <si>
    <t>jú</t>
  </si>
  <si>
    <t>ván</t>
  </si>
  <si>
    <r>
      <rPr>
        <sz val="10"/>
        <color theme="1"/>
        <rFont val="Calibri"/>
      </rPr>
      <t>他专注于这</t>
    </r>
    <r>
      <rPr>
        <b/>
        <sz val="10"/>
        <color theme="1"/>
        <rFont val="Calibri"/>
      </rPr>
      <t>局</t>
    </r>
    <r>
      <rPr>
        <sz val="10"/>
        <color theme="1"/>
        <rFont val="Calibri"/>
      </rPr>
      <t>棋。</t>
    </r>
  </si>
  <si>
    <t>Anh ấy tập trung vào ván cờ này.</t>
  </si>
  <si>
    <t>H5_B27_BG5.png</t>
  </si>
  <si>
    <t>B27_5.mp3</t>
  </si>
  <si>
    <t>B27_VD_5.mp3</t>
  </si>
  <si>
    <t>发挥</t>
  </si>
  <si>
    <t>&lt;ruby&gt;发挥&lt;rt&gt;fāhuī&lt;/rt&gt;&lt;/ruby&gt;</t>
  </si>
  <si>
    <t>fāhuī</t>
  </si>
  <si>
    <t>phát huy</t>
  </si>
  <si>
    <r>
      <rPr>
        <sz val="10"/>
        <color theme="1"/>
        <rFont val="Calibri"/>
      </rPr>
      <t>这个男孩在比赛中</t>
    </r>
    <r>
      <rPr>
        <b/>
        <sz val="10"/>
        <color theme="1"/>
        <rFont val="Calibri"/>
      </rPr>
      <t>发挥</t>
    </r>
    <r>
      <rPr>
        <sz val="10"/>
        <color theme="1"/>
        <rFont val="Calibri"/>
      </rPr>
      <t>了自己的实力。</t>
    </r>
  </si>
  <si>
    <t>Cậu bé đã phát huy thực lực của mình trong trận đấu.</t>
  </si>
  <si>
    <t>H5_B27_BG6.png</t>
  </si>
  <si>
    <t>B27_6.mp3</t>
  </si>
  <si>
    <t>B27_VD_6.mp3</t>
  </si>
  <si>
    <t>犯</t>
  </si>
  <si>
    <t>&lt;ruby&gt;犯&lt;rt&gt;fàn&lt;/rt&gt;&lt;/ruby&gt;</t>
  </si>
  <si>
    <t>phạm (sai lầm, tội...)</t>
  </si>
  <si>
    <r>
      <rPr>
        <sz val="10"/>
        <color theme="1"/>
        <rFont val="Calibri"/>
      </rPr>
      <t>他无意中</t>
    </r>
    <r>
      <rPr>
        <b/>
        <sz val="10"/>
        <color theme="1"/>
        <rFont val="Calibri"/>
      </rPr>
      <t>犯</t>
    </r>
    <r>
      <rPr>
        <sz val="10"/>
        <color theme="1"/>
        <rFont val="Calibri"/>
      </rPr>
      <t>了一个错误。</t>
    </r>
  </si>
  <si>
    <t>Anh ấy vô tình phạm một sai lầm.</t>
  </si>
  <si>
    <t>H5_B27_BG7.png</t>
  </si>
  <si>
    <t>B27_7.mp3</t>
  </si>
  <si>
    <t>B27_VD_7.mp3</t>
  </si>
  <si>
    <t>责备</t>
  </si>
  <si>
    <t>&lt;ruby&gt;责备&lt;rt&gt;zébèi&lt;/rt&gt;&lt;/ruby&gt;</t>
  </si>
  <si>
    <t>zébèi</t>
  </si>
  <si>
    <t>quở trách, chỉ trích</t>
  </si>
  <si>
    <r>
      <rPr>
        <sz val="10"/>
        <color theme="1"/>
        <rFont val="Calibri"/>
      </rPr>
      <t>老板</t>
    </r>
    <r>
      <rPr>
        <b/>
        <sz val="10"/>
        <color theme="1"/>
        <rFont val="Calibri"/>
      </rPr>
      <t>责备</t>
    </r>
    <r>
      <rPr>
        <sz val="10"/>
        <color theme="1"/>
        <rFont val="Calibri"/>
      </rPr>
      <t>员工工作不认真。</t>
    </r>
  </si>
  <si>
    <t>Sếp phê phán nhân viên không nghiêm túc làm việc.</t>
  </si>
  <si>
    <t>H5_B27_BG8.png</t>
  </si>
  <si>
    <t>B27_8.mp3</t>
  </si>
  <si>
    <t>B27_VD_8.mp3</t>
  </si>
  <si>
    <t>原则</t>
  </si>
  <si>
    <t>&lt;ruby&gt;原则&lt;rt&gt;yuánzé&lt;/rt&gt;&lt;/ruby&gt;</t>
  </si>
  <si>
    <t>yuánzé</t>
  </si>
  <si>
    <t>nguyên tắc</t>
  </si>
  <si>
    <r>
      <rPr>
        <sz val="10"/>
        <color theme="1"/>
        <rFont val="Calibri"/>
      </rPr>
      <t>他做事时一直坚持自己的</t>
    </r>
    <r>
      <rPr>
        <b/>
        <sz val="10"/>
        <color theme="1"/>
        <rFont val="Calibri"/>
      </rPr>
      <t>原则</t>
    </r>
    <r>
      <rPr>
        <sz val="10"/>
        <color theme="1"/>
        <rFont val="Calibri"/>
      </rPr>
      <t>。</t>
    </r>
  </si>
  <si>
    <t>Anh ấy luôn kiên trì với nguyên tắc của mình khi làm việc.</t>
  </si>
  <si>
    <t>H5_B27_BG9.png</t>
  </si>
  <si>
    <t>B27_9.mp3</t>
  </si>
  <si>
    <t>B27_VD_9.mp3</t>
  </si>
  <si>
    <t>必然</t>
  </si>
  <si>
    <t>&lt;ruby&gt;必然&lt;rt&gt;bìrán&lt;/rt&gt;&lt;/ruby&gt;</t>
  </si>
  <si>
    <t>bìrán</t>
  </si>
  <si>
    <t>thế nào cũng, chắc chắn</t>
  </si>
  <si>
    <r>
      <rPr>
        <sz val="10"/>
        <color theme="1"/>
        <rFont val="Calibri"/>
      </rPr>
      <t>只要努力，坚持到底，成功是</t>
    </r>
    <r>
      <rPr>
        <b/>
        <sz val="10"/>
        <color theme="1"/>
        <rFont val="Calibri"/>
      </rPr>
      <t>必然</t>
    </r>
    <r>
      <rPr>
        <sz val="10"/>
        <color theme="1"/>
        <rFont val="Calibri"/>
      </rPr>
      <t>的。</t>
    </r>
  </si>
  <si>
    <t>Chỉ cần nỗ lực và kiên trì đến cùng, thành công là điều tất yếu.</t>
  </si>
  <si>
    <t>H5_B27_BG10.png</t>
  </si>
  <si>
    <t>B27_10.mp3</t>
  </si>
  <si>
    <t>B27_VD_10.mp3</t>
  </si>
  <si>
    <t>后果</t>
  </si>
  <si>
    <t>&lt;ruby&gt;后果&lt;rt&gt;hòuguǒ&lt;/rt&gt;&lt;/ruby&gt;</t>
  </si>
  <si>
    <t>hòuguǒ</t>
  </si>
  <si>
    <t>hậu quả</t>
  </si>
  <si>
    <r>
      <rPr>
        <sz val="10"/>
        <color theme="1"/>
        <rFont val="Calibri"/>
      </rPr>
      <t>吸烟会带来严重的</t>
    </r>
    <r>
      <rPr>
        <b/>
        <sz val="10"/>
        <color theme="1"/>
        <rFont val="Calibri"/>
      </rPr>
      <t>后果</t>
    </r>
    <r>
      <rPr>
        <sz val="10"/>
        <color theme="1"/>
        <rFont val="Calibri"/>
      </rPr>
      <t>。</t>
    </r>
  </si>
  <si>
    <t>Hút thuốc sẽ mang lại hậu quả nghiêm trọng.</t>
  </si>
  <si>
    <t>H5_B27_BG11.png</t>
  </si>
  <si>
    <t>B27_11.mp3</t>
  </si>
  <si>
    <t>B27_VD_11.mp3</t>
  </si>
  <si>
    <t>答应</t>
  </si>
  <si>
    <t>&lt;ruby&gt;答应&lt;rt&gt;dāying&lt;/rt&gt;&lt;/ruby&gt;</t>
  </si>
  <si>
    <t>dāying</t>
  </si>
  <si>
    <t>đồng ý, ưng thuận</t>
  </si>
  <si>
    <r>
      <rPr>
        <sz val="10"/>
        <color theme="1"/>
        <rFont val="Calibri"/>
      </rPr>
      <t>最后那个女孩</t>
    </r>
    <r>
      <rPr>
        <b/>
        <sz val="10"/>
        <color theme="1"/>
        <rFont val="Calibri"/>
      </rPr>
      <t>答应</t>
    </r>
    <r>
      <rPr>
        <sz val="10"/>
        <color theme="1"/>
        <rFont val="Calibri"/>
      </rPr>
      <t>了我的请求。</t>
    </r>
  </si>
  <si>
    <t>Cuối cùng cô bé ấy đã đồng ý với lời thỉnh cầu của tôi.</t>
  </si>
  <si>
    <t>H5_B27_BG12.png</t>
  </si>
  <si>
    <t>B27_12.mp3</t>
  </si>
  <si>
    <t>B27_VD_12.mp3</t>
  </si>
  <si>
    <t>服气</t>
  </si>
  <si>
    <t>&lt;ruby&gt;服气&lt;rt&gt;fúqì&lt;/rt&gt;&lt;/ruby&gt;</t>
  </si>
  <si>
    <t>fúqì</t>
  </si>
  <si>
    <t>chịu phục, chịu thua</t>
  </si>
  <si>
    <r>
      <rPr>
        <sz val="10"/>
        <color theme="1"/>
        <rFont val="Calibri"/>
      </rPr>
      <t>我不</t>
    </r>
    <r>
      <rPr>
        <b/>
        <sz val="10"/>
        <color theme="1"/>
        <rFont val="Calibri"/>
      </rPr>
      <t>服气</t>
    </r>
    <r>
      <rPr>
        <sz val="10"/>
        <color theme="1"/>
        <rFont val="Calibri"/>
      </rPr>
      <t>，我要证明自己。</t>
    </r>
  </si>
  <si>
    <t>Tôi không chịu thua, tôi phải chứng minh bản thân.</t>
  </si>
  <si>
    <t>H5_B27_BG13.png</t>
  </si>
  <si>
    <t>B27_13.mp3</t>
  </si>
  <si>
    <t>B27_VD_13.mp3</t>
  </si>
  <si>
    <t>运气</t>
  </si>
  <si>
    <t>&lt;ruby&gt;运气&lt;rt&gt;yùnqì&lt;/rt&gt;&lt;/ruby&gt;</t>
  </si>
  <si>
    <t>yùnqì</t>
  </si>
  <si>
    <t>số đỏ, vận may</t>
  </si>
  <si>
    <r>
      <rPr>
        <sz val="10"/>
        <color theme="1"/>
        <rFont val="Calibri"/>
      </rPr>
      <t>今天我的</t>
    </r>
    <r>
      <rPr>
        <b/>
        <sz val="10"/>
        <color theme="1"/>
        <rFont val="Calibri"/>
      </rPr>
      <t>运气</t>
    </r>
    <r>
      <rPr>
        <sz val="10"/>
        <color theme="1"/>
        <rFont val="Calibri"/>
      </rPr>
      <t>很好，中了大奖。</t>
    </r>
  </si>
  <si>
    <t>Hôm nay tôi rất may mắn, đã trúng giải lớn.</t>
  </si>
  <si>
    <t>H5_B27_BG14.png</t>
  </si>
  <si>
    <t>B27_14.mp3</t>
  </si>
  <si>
    <t>B27_VD_14.mp3</t>
  </si>
  <si>
    <t>灰心</t>
  </si>
  <si>
    <t>&lt;ruby&gt;灰心&lt;rt&gt;huīxīn&lt;/rt&gt;&lt;/ruby&gt;</t>
  </si>
  <si>
    <t>huīxīn</t>
  </si>
  <si>
    <t>nản lòng, chán nản</t>
  </si>
  <si>
    <r>
      <rPr>
        <sz val="10"/>
        <color theme="1"/>
        <rFont val="Calibri"/>
      </rPr>
      <t>失败一次不要</t>
    </r>
    <r>
      <rPr>
        <b/>
        <sz val="10"/>
        <color theme="1"/>
        <rFont val="Calibri"/>
      </rPr>
      <t>灰心</t>
    </r>
    <r>
      <rPr>
        <sz val="10"/>
        <color theme="1"/>
        <rFont val="Calibri"/>
      </rPr>
      <t>，要继续努力。</t>
    </r>
  </si>
  <si>
    <t>Thất bại một lần đừng nản lòng, hãy tiếp tục cố gắng.</t>
  </si>
  <si>
    <t>H5_B27_BG15.png</t>
  </si>
  <si>
    <t>B27_15.mp3</t>
  </si>
  <si>
    <t>B27_VD_15.mp3</t>
  </si>
  <si>
    <t>珍惜</t>
  </si>
  <si>
    <t>&lt;ruby&gt;珍惜&lt;rt&gt;zhēnxī&lt;/rt&gt;&lt;/ruby&gt;</t>
  </si>
  <si>
    <t>zhēnxī</t>
  </si>
  <si>
    <t>quý trọng</t>
  </si>
  <si>
    <r>
      <rPr>
        <sz val="10"/>
        <color theme="1"/>
        <rFont val="Calibri"/>
      </rPr>
      <t>我们应该</t>
    </r>
    <r>
      <rPr>
        <b/>
        <sz val="10"/>
        <color theme="1"/>
        <rFont val="Calibri"/>
      </rPr>
      <t>珍惜</t>
    </r>
    <r>
      <rPr>
        <sz val="10"/>
        <color theme="1"/>
        <rFont val="Calibri"/>
      </rPr>
      <t>时间和亲情。</t>
    </r>
  </si>
  <si>
    <t>Chúng ta nên quý trọng thời gian và tình thân.</t>
  </si>
  <si>
    <t>H5_B27_BG16.png</t>
  </si>
  <si>
    <t>B27_16.mp3</t>
  </si>
  <si>
    <t>B27_VD_16.mp3</t>
  </si>
  <si>
    <t>否认</t>
  </si>
  <si>
    <t>&lt;ruby&gt;否认&lt;rt&gt;fǒurèn&lt;/rt&gt;&lt;/ruby&gt;</t>
  </si>
  <si>
    <t>fǒurèn</t>
  </si>
  <si>
    <t>phủ nhận, bác bỏ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</si>
  <si>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否认</t>
    </r>
    <r>
      <rPr>
        <sz val="10"/>
        <color theme="1"/>
        <rFont val="Calibri"/>
      </rPr>
      <t>自己做了那件事。</t>
    </r>
  </si>
  <si>
    <t>Anh ấy phủ nhận mình đã làm việc đó.</t>
  </si>
  <si>
    <t>H5_B27_BG17.png</t>
  </si>
  <si>
    <t>B27_17.mp3</t>
  </si>
  <si>
    <t>B27_VD_17.mp3</t>
  </si>
  <si>
    <t>观察</t>
  </si>
  <si>
    <t>&lt;ruby&gt;观察&lt;rt&gt;guānchá&lt;/rt&gt;&lt;/ruby&gt;</t>
  </si>
  <si>
    <t>guānchá</t>
  </si>
  <si>
    <t>quan sát, theo dõi</t>
  </si>
  <si>
    <r>
      <rPr>
        <sz val="10"/>
        <color theme="1"/>
        <rFont val="Arial"/>
      </rPr>
      <t>小男孩正在仔细</t>
    </r>
    <r>
      <rPr>
        <b/>
        <sz val="10"/>
        <color theme="1"/>
        <rFont val="Arial"/>
      </rPr>
      <t>观察</t>
    </r>
    <r>
      <rPr>
        <sz val="10"/>
        <color theme="1"/>
        <rFont val="Arial"/>
      </rPr>
      <t>实验现象。</t>
    </r>
  </si>
  <si>
    <t>Cậu bé đang cẩn thận quan sát hiện tượng thí nghiệm.</t>
  </si>
  <si>
    <t>H5_B27_BG18.png</t>
  </si>
  <si>
    <t>B27_18.mp3</t>
  </si>
  <si>
    <t>B27_VD_18.mp3</t>
  </si>
  <si>
    <t>失去</t>
  </si>
  <si>
    <t>&lt;ruby&gt;失去&lt;rt&gt;shīqù&lt;/rt&gt;&lt;/ruby&gt;</t>
  </si>
  <si>
    <t>shīqù</t>
  </si>
  <si>
    <t>mất</t>
  </si>
  <si>
    <r>
      <rPr>
        <b/>
        <sz val="10"/>
        <color theme="1"/>
        <rFont val="Calibri"/>
      </rPr>
      <t>失去</t>
    </r>
    <r>
      <rPr>
        <sz val="10"/>
        <color theme="1"/>
        <rFont val="Calibri"/>
      </rPr>
      <t>朋友的信任是一件可怕的事情。</t>
    </r>
  </si>
  <si>
    <t>Mất đi lòng tin của bạn bè là điều rất đáng sợ.</t>
  </si>
  <si>
    <t>H5_B27_BG19.png</t>
  </si>
  <si>
    <t>B27_19.mp3</t>
  </si>
  <si>
    <t>B27_VD_19.mp3</t>
  </si>
  <si>
    <t>舍不得</t>
  </si>
  <si>
    <t>&lt;ruby&gt;舍不得&lt;rt&gt;shěbude&lt;/rt&gt;&lt;/ruby&gt;</t>
  </si>
  <si>
    <t>shěbude</t>
  </si>
  <si>
    <t>không nỡ, tiếc rẻ, luyến tiếc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</si>
  <si>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舍不得</t>
    </r>
    <r>
      <rPr>
        <sz val="10"/>
        <color theme="1"/>
        <rFont val="Calibri"/>
      </rPr>
      <t>离开自己的家乡。</t>
    </r>
  </si>
  <si>
    <t>Anh ấy không nỡ rời quê hương của mình.</t>
  </si>
  <si>
    <t>H5_B27_BG20.png</t>
  </si>
  <si>
    <t>B27_20.mp3</t>
  </si>
  <si>
    <t>B27_VD_20.mp3</t>
  </si>
  <si>
    <t>不假思索</t>
  </si>
  <si>
    <t>&lt;ruby&gt;不假思索&lt;rt&gt;bùjiǎ-sīsuǒ&lt;/rt&gt;&lt;/ruby&gt;</t>
  </si>
  <si>
    <t>bùjiǎ-sīsuǒ</t>
  </si>
  <si>
    <t>không cần cân nhắc, không cần suy nghĩ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</si>
  <si>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不假思索</t>
    </r>
    <r>
      <rPr>
        <sz val="10"/>
        <color theme="1"/>
        <rFont val="Calibri"/>
      </rPr>
      <t>地回答了问题。</t>
    </r>
  </si>
  <si>
    <t>Anh ấy trả lời câu hỏi mà không cần suy nghĩ.</t>
  </si>
  <si>
    <t>H5_B27_BG21.png</t>
  </si>
  <si>
    <t>B27_21.mp3</t>
  </si>
  <si>
    <t>B27_VD_21.mp3</t>
  </si>
  <si>
    <t>在于</t>
  </si>
  <si>
    <t>&lt;ruby&gt;在于&lt;rt&gt;zàiyú&lt;/rt&gt;&lt;/ruby&gt;</t>
  </si>
  <si>
    <t>zàiyú</t>
  </si>
  <si>
    <t>cốt ở, ở chỗ</t>
  </si>
  <si>
    <r>
      <rPr>
        <sz val="10"/>
        <color theme="1"/>
        <rFont val="Calibri"/>
      </rPr>
      <t>成功</t>
    </r>
    <r>
      <rPr>
        <b/>
        <sz val="10"/>
        <color theme="1"/>
        <rFont val="Calibri"/>
      </rPr>
      <t>在于</t>
    </r>
    <r>
      <rPr>
        <sz val="10"/>
        <color theme="1"/>
        <rFont val="Calibri"/>
      </rPr>
      <t>努力和坚持。</t>
    </r>
  </si>
  <si>
    <t>Thành công cốt ở sự nỗ lực và kiên trì.</t>
  </si>
  <si>
    <t>H5_B27_BG22.png</t>
  </si>
  <si>
    <t>B27_22.mp3</t>
  </si>
  <si>
    <t>B27_VD_22.mp3</t>
  </si>
  <si>
    <t>过于</t>
  </si>
  <si>
    <t>&lt;ruby&gt;过于&lt;rt&gt;guòyú&lt;/rt&gt;&lt;/ruby&gt;</t>
  </si>
  <si>
    <t>guòyú</t>
  </si>
  <si>
    <t>quá, quá đáng</t>
  </si>
  <si>
    <r>
      <rPr>
        <sz val="10"/>
        <color theme="1"/>
        <rFont val="Calibri"/>
      </rPr>
      <t>他说话</t>
    </r>
    <r>
      <rPr>
        <b/>
        <sz val="10"/>
        <color theme="1"/>
        <rFont val="Calibri"/>
      </rPr>
      <t>过于</t>
    </r>
    <r>
      <rPr>
        <sz val="10"/>
        <color theme="1"/>
        <rFont val="Calibri"/>
      </rPr>
      <t>直率，让别人难以接受。</t>
    </r>
  </si>
  <si>
    <t>Anh ấy nói chuyện quá thẳng thắn, khiến người khác khó chấp nhận.</t>
  </si>
  <si>
    <t>H5_B27_BG23.png</t>
  </si>
  <si>
    <t>B27_23.mp3</t>
  </si>
  <si>
    <t>B27_VD_23.mp3</t>
  </si>
  <si>
    <t>损失</t>
  </si>
  <si>
    <t>&lt;ruby&gt;损失&lt;rt&gt;sǔnshī&lt;/rt&gt;&lt;/ruby&gt;</t>
  </si>
  <si>
    <t>sǔnshī</t>
  </si>
  <si>
    <t>mất, tổn thất</t>
  </si>
  <si>
    <r>
      <rPr>
        <sz val="10"/>
        <color theme="1"/>
        <rFont val="Calibri"/>
      </rPr>
      <t>这笔投资让公司</t>
    </r>
    <r>
      <rPr>
        <b/>
        <sz val="10"/>
        <color theme="1"/>
        <rFont val="Calibri"/>
      </rPr>
      <t>损失</t>
    </r>
    <r>
      <rPr>
        <sz val="10"/>
        <color theme="1"/>
        <rFont val="Calibri"/>
      </rPr>
      <t>了很多钱。</t>
    </r>
  </si>
  <si>
    <t>Khoản đầu tư này khiến công ty mất rất nhiều tiền.</t>
  </si>
  <si>
    <t>H5_B27_BG24.png</t>
  </si>
  <si>
    <t>B27_24.mp3</t>
  </si>
  <si>
    <t>B27_VD_24.mp3</t>
  </si>
  <si>
    <t>睁</t>
  </si>
  <si>
    <t>&lt;ruby&gt;睁&lt;rt&gt;zhēng&lt;/rt&gt;&lt;/ruby&gt;</t>
  </si>
  <si>
    <t>zhēng</t>
  </si>
  <si>
    <t>mở (mắt)</t>
  </si>
  <si>
    <r>
      <rPr>
        <sz val="10"/>
        <color theme="1"/>
        <rFont val="Calibri"/>
      </rPr>
      <t>他慢慢</t>
    </r>
    <r>
      <rPr>
        <b/>
        <sz val="10"/>
        <color theme="1"/>
        <rFont val="Calibri"/>
      </rPr>
      <t>睁</t>
    </r>
    <r>
      <rPr>
        <sz val="10"/>
        <color theme="1"/>
        <rFont val="Calibri"/>
      </rPr>
      <t>开眼睛。</t>
    </r>
  </si>
  <si>
    <t>Anh ấy từ từ mở mắt ra.</t>
  </si>
  <si>
    <t>H5_B27_BG25.png</t>
  </si>
  <si>
    <t>B27_25.mp3</t>
  </si>
  <si>
    <t>B27_VD_25.mp3</t>
  </si>
  <si>
    <t>眼睁睁</t>
  </si>
  <si>
    <t>&lt;ruby&gt;眼睁睁&lt;rt&gt;yǎnzhēngzhēng&lt;/rt&gt;&lt;/ruby&gt;</t>
  </si>
  <si>
    <t>yǎnzhēngzhēng</t>
  </si>
  <si>
    <t>trơ mắt</t>
  </si>
  <si>
    <r>
      <rPr>
        <sz val="10"/>
        <color theme="1"/>
        <rFont val="Calibri"/>
      </rPr>
      <t>我只能</t>
    </r>
    <r>
      <rPr>
        <b/>
        <sz val="10"/>
        <color theme="1"/>
        <rFont val="Calibri"/>
      </rPr>
      <t>眼睁睁</t>
    </r>
    <r>
      <rPr>
        <sz val="10"/>
        <color theme="1"/>
        <rFont val="Calibri"/>
      </rPr>
      <t>地看着他离开。</t>
    </r>
  </si>
  <si>
    <t>Tôi chỉ có thể trơ mắt nhìn anh ấy rời đi.</t>
  </si>
  <si>
    <t>H5_B27_BG26.png</t>
  </si>
  <si>
    <t>B27_26.mp3</t>
  </si>
  <si>
    <t>B27_VD_26.mp3</t>
  </si>
  <si>
    <t>吸取</t>
  </si>
  <si>
    <t>&lt;ruby&gt;吸取&lt;rt&gt;xīqǔ&lt;/rt&gt;&lt;/ruby&gt;</t>
  </si>
  <si>
    <t>xīqǔ</t>
  </si>
  <si>
    <t>hấp thu, rút ra</t>
  </si>
  <si>
    <r>
      <rPr>
        <sz val="10"/>
        <color theme="1"/>
        <rFont val="Calibri"/>
      </rPr>
      <t>我们要从失败中</t>
    </r>
    <r>
      <rPr>
        <b/>
        <sz val="10"/>
        <color theme="1"/>
        <rFont val="Calibri"/>
      </rPr>
      <t>吸取</t>
    </r>
    <r>
      <rPr>
        <sz val="10"/>
        <color theme="1"/>
        <rFont val="Calibri"/>
      </rPr>
      <t>教训。</t>
    </r>
  </si>
  <si>
    <t>Chúng ta phải rút ra bài học từ thất bại.</t>
  </si>
  <si>
    <t>H5_B27_BG27.png</t>
  </si>
  <si>
    <t>B27_27.mp3</t>
  </si>
  <si>
    <t>B27_VD_27.mp3</t>
  </si>
  <si>
    <t>教训</t>
  </si>
  <si>
    <t>&lt;ruby&gt;教训&lt;rt&gt;jiàoxùn&lt;/rt&gt;&lt;/ruby&gt;</t>
  </si>
  <si>
    <t>jiàoxùn</t>
  </si>
  <si>
    <t>bài học kinh nghiệm</t>
  </si>
  <si>
    <r>
      <rPr>
        <sz val="10"/>
        <color theme="1"/>
        <rFont val="Calibri"/>
      </rPr>
      <t>这次失败给了我一个重要的</t>
    </r>
    <r>
      <rPr>
        <b/>
        <sz val="10"/>
        <color theme="1"/>
        <rFont val="Calibri"/>
      </rPr>
      <t>教训</t>
    </r>
    <r>
      <rPr>
        <sz val="10"/>
        <color theme="1"/>
        <rFont val="Calibri"/>
      </rPr>
      <t>。</t>
    </r>
  </si>
  <si>
    <t>Thất bại lần này đã cho tôi một bài học quan trọng.</t>
  </si>
  <si>
    <t>H5_B27_BG28.png</t>
  </si>
  <si>
    <t>B27_28.mp3</t>
  </si>
  <si>
    <t>B27_VD_28.mp3</t>
  </si>
  <si>
    <t>未必</t>
  </si>
  <si>
    <t>&lt;ruby&gt;未必&lt;rt&gt;wèibì&lt;/rt&gt;&lt;/ruby&gt;</t>
  </si>
  <si>
    <t>wèibì</t>
  </si>
  <si>
    <t>chưa chắc, không hẳn</t>
  </si>
  <si>
    <r>
      <rPr>
        <sz val="10"/>
        <color theme="1"/>
        <rFont val="Calibri"/>
      </rPr>
      <t>他说的话</t>
    </r>
    <r>
      <rPr>
        <b/>
        <sz val="10"/>
        <color theme="1"/>
        <rFont val="Calibri"/>
      </rPr>
      <t>未必</t>
    </r>
    <r>
      <rPr>
        <sz val="10"/>
        <color theme="1"/>
        <rFont val="Calibri"/>
      </rPr>
      <t>是真的。</t>
    </r>
  </si>
  <si>
    <t>Những gì anh ấy nói chưa chắc đã là thật.</t>
  </si>
  <si>
    <t>H5_B27_BG29.png</t>
  </si>
  <si>
    <t>B27_29.mp3</t>
  </si>
  <si>
    <t>B27_VD_29.mp3</t>
  </si>
  <si>
    <t>次要</t>
  </si>
  <si>
    <t>&lt;ruby&gt;次要&lt;rt&gt;cìyào&lt;/rt&gt;&lt;/ruby&gt;</t>
  </si>
  <si>
    <t>cìyào</t>
  </si>
  <si>
    <t>thứ yếu, không quan trọng</t>
  </si>
  <si>
    <r>
      <rPr>
        <sz val="10"/>
        <color theme="1"/>
        <rFont val="Calibri"/>
      </rPr>
      <t>在学习中，态度比成绩重要，分数只是</t>
    </r>
    <r>
      <rPr>
        <b/>
        <sz val="10"/>
        <color theme="1"/>
        <rFont val="Calibri"/>
      </rPr>
      <t>次要</t>
    </r>
    <r>
      <rPr>
        <sz val="10"/>
        <color theme="1"/>
        <rFont val="Calibri"/>
      </rPr>
      <t>的。</t>
    </r>
  </si>
  <si>
    <t>Trong học tập, thái độ quan trọng hơn thành tích, điểm số chỉ là thứ yếu.</t>
  </si>
  <si>
    <t>H5_B27_BG30.png</t>
  </si>
  <si>
    <t>B27_30.mp3</t>
  </si>
  <si>
    <t>B27_VD_30.mp3</t>
  </si>
  <si>
    <t>因素</t>
  </si>
  <si>
    <t>&lt;ruby&gt;因素&lt;rt&gt;yīnsù&lt;/rt&gt;&lt;/ruby&gt;</t>
  </si>
  <si>
    <t>yīnsù</t>
  </si>
  <si>
    <t>nhân tố</t>
  </si>
  <si>
    <r>
      <rPr>
        <sz val="10"/>
        <color theme="1"/>
        <rFont val="Calibri"/>
      </rPr>
      <t>他是帮助足球队赢得胜利的重要</t>
    </r>
    <r>
      <rPr>
        <b/>
        <sz val="10"/>
        <color theme="1"/>
        <rFont val="Calibri"/>
      </rPr>
      <t>因素</t>
    </r>
    <r>
      <rPr>
        <sz val="10"/>
        <color theme="1"/>
        <rFont val="Calibri"/>
      </rPr>
      <t>。</t>
    </r>
  </si>
  <si>
    <t>Anh ấy là nhân tố giúp đội tuyển bóng đá giành chiến thắng.</t>
  </si>
  <si>
    <t>H5_B27_BG31.png</t>
  </si>
  <si>
    <t>B27_31.mp3</t>
  </si>
  <si>
    <t>B27_VD_31.mp3</t>
  </si>
  <si>
    <t>心态</t>
  </si>
  <si>
    <t>&lt;ruby&gt;心态&lt;rt&gt;xīntài&lt;/rt&gt;&lt;/ruby&gt;</t>
  </si>
  <si>
    <t>xīntài</t>
  </si>
  <si>
    <t>tâm lý, trạng thái tâm lý</t>
  </si>
  <si>
    <r>
      <rPr>
        <sz val="10"/>
        <color theme="1"/>
        <rFont val="Calibri"/>
      </rPr>
      <t>面对困难，我们要保持积极的</t>
    </r>
    <r>
      <rPr>
        <b/>
        <sz val="10"/>
        <color theme="1"/>
        <rFont val="Calibri"/>
      </rPr>
      <t>心态</t>
    </r>
    <r>
      <rPr>
        <sz val="10"/>
        <color theme="1"/>
        <rFont val="Calibri"/>
      </rPr>
      <t>。</t>
    </r>
  </si>
  <si>
    <t>Đối mặt với khó khăn, chúng ta phải giữ một tâm lý tích cực.</t>
  </si>
  <si>
    <t>H5_B27_BG32.png</t>
  </si>
  <si>
    <t>B27_32.mp3</t>
  </si>
  <si>
    <t>B27_VD_32.mp3</t>
  </si>
  <si>
    <t>期间</t>
  </si>
  <si>
    <t>&lt;ruby&gt;期间&lt;rt&gt;qījiān&lt;/rt&gt;&lt;/ruby&gt;</t>
  </si>
  <si>
    <t>qījiān</t>
  </si>
  <si>
    <t>thời gian, thời kỳ</t>
  </si>
  <si>
    <r>
      <rPr>
        <sz val="10"/>
        <color theme="1"/>
        <rFont val="Calibri"/>
      </rPr>
      <t>在考试</t>
    </r>
    <r>
      <rPr>
        <b/>
        <sz val="10"/>
        <color theme="1"/>
        <rFont val="Calibri"/>
      </rPr>
      <t>期间</t>
    </r>
    <r>
      <rPr>
        <sz val="10"/>
        <color theme="1"/>
        <rFont val="Calibri"/>
      </rPr>
      <t>，我们不能使用手机。</t>
    </r>
  </si>
  <si>
    <t>Trong thời gian thi, chúng ta không được sử dụng điện thoại.</t>
  </si>
  <si>
    <t>H5_B27_BG33.png</t>
  </si>
  <si>
    <t>B27_33.mp3</t>
  </si>
  <si>
    <t>B27_VD_33.mp3</t>
  </si>
  <si>
    <t>把握</t>
  </si>
  <si>
    <t>&lt;ruby&gt;把握&lt;rt&gt;bǎwò&lt;/rt&gt;&lt;/ruby&gt;</t>
  </si>
  <si>
    <t>bǎwò</t>
  </si>
  <si>
    <t>sự chắc chắn, sự tin chắc</t>
  </si>
  <si>
    <r>
      <rPr>
        <sz val="10"/>
        <color theme="1"/>
        <rFont val="Calibri"/>
      </rPr>
      <t>在这场比赛中，他有很大</t>
    </r>
    <r>
      <rPr>
        <b/>
        <sz val="10"/>
        <color theme="1"/>
        <rFont val="Calibri"/>
      </rPr>
      <t>把握</t>
    </r>
    <r>
      <rPr>
        <sz val="10"/>
        <color theme="1"/>
        <rFont val="Calibri"/>
      </rPr>
      <t>会赢。</t>
    </r>
  </si>
  <si>
    <t>Trong trận đấu này, anh ấy rất chắc chắn sẽ thắng.</t>
  </si>
  <si>
    <t>H5_B27_BG34.png</t>
  </si>
  <si>
    <t>B27_34.mp3</t>
  </si>
  <si>
    <t>B27_VD_34.mp3</t>
  </si>
  <si>
    <t>事先</t>
  </si>
  <si>
    <t>&lt;ruby&gt;事先&lt;rt&gt;shìxiān&lt;/rt&gt;&lt;/ruby&gt;</t>
  </si>
  <si>
    <t>shìxiān</t>
  </si>
  <si>
    <t>trước đó</t>
  </si>
  <si>
    <r>
      <rPr>
        <sz val="10"/>
        <color theme="1"/>
        <rFont val="Calibri"/>
      </rPr>
      <t>你应该</t>
    </r>
    <r>
      <rPr>
        <b/>
        <sz val="10"/>
        <color theme="1"/>
        <rFont val="Calibri"/>
      </rPr>
      <t>事先</t>
    </r>
    <r>
      <rPr>
        <sz val="10"/>
        <color theme="1"/>
        <rFont val="Calibri"/>
      </rPr>
      <t>告诉我这个消息。</t>
    </r>
  </si>
  <si>
    <t>Bạn nên nói cho tôi biết tin này trước.</t>
  </si>
  <si>
    <t>H5_B27_BG35.png</t>
  </si>
  <si>
    <t>B27_35.mp3</t>
  </si>
  <si>
    <t>B27_VD_35.mp3</t>
  </si>
  <si>
    <t>屡</t>
  </si>
  <si>
    <t>&lt;ruby&gt;屡&lt;rt&gt;lǚ&lt;/rt&gt;&lt;/ruby&gt;</t>
  </si>
  <si>
    <t>lǚ</t>
  </si>
  <si>
    <t>nhiều lần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</si>
  <si>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屡</t>
    </r>
    <r>
      <rPr>
        <sz val="10"/>
        <color theme="1"/>
        <rFont val="Calibri"/>
      </rPr>
      <t>次迟到，让老板很生气。</t>
    </r>
  </si>
  <si>
    <t>Anh ấy nhiều lần đi trễ, khiến sếp rất tức giận.</t>
  </si>
  <si>
    <t>H5_B27_BG36.png</t>
  </si>
  <si>
    <t>B27_36.mp3</t>
  </si>
  <si>
    <t>B27_VD_36.mp3</t>
  </si>
  <si>
    <t>届</t>
  </si>
  <si>
    <t>&lt;ruby&gt;届&lt;rt&gt;jiè&lt;/rt&gt;&lt;/ruby&gt;</t>
  </si>
  <si>
    <t>khóa, lần, đợt</t>
  </si>
  <si>
    <r>
      <rPr>
        <sz val="10"/>
        <color theme="1"/>
        <rFont val="Arial"/>
      </rPr>
      <t>他们是本校的第二十</t>
    </r>
    <r>
      <rPr>
        <b/>
        <sz val="10"/>
        <color theme="1"/>
        <rFont val="Arial"/>
      </rPr>
      <t>届</t>
    </r>
    <r>
      <rPr>
        <sz val="10"/>
        <color theme="1"/>
        <rFont val="Arial"/>
      </rPr>
      <t>毕业生，今年顺利拿到了毕业证书。</t>
    </r>
  </si>
  <si>
    <t>Họ là khóa tốt nghiệp thứ 20 của trường, năm nay đã thuận lợi nhận được bằng tốt nghiệp.</t>
  </si>
  <si>
    <t>H5_B28_BG1.png</t>
  </si>
  <si>
    <t>B28_1.mp3</t>
  </si>
  <si>
    <t>B28_VD_1.mp3</t>
  </si>
  <si>
    <t>本科</t>
  </si>
  <si>
    <t>&lt;ruby&gt;本科&lt;rt&gt;běnkē&lt;/rt&gt;&lt;/ruby&gt;</t>
  </si>
  <si>
    <t>běnkē</t>
  </si>
  <si>
    <t>đại học chính quy</t>
  </si>
  <si>
    <r>
      <rPr>
        <sz val="10"/>
        <color theme="1"/>
        <rFont val="Arial"/>
      </rPr>
      <t>我正在读</t>
    </r>
    <r>
      <rPr>
        <b/>
        <sz val="10"/>
        <color theme="1"/>
        <rFont val="Arial"/>
      </rPr>
      <t>本科</t>
    </r>
    <r>
      <rPr>
        <sz val="10"/>
        <color theme="1"/>
        <rFont val="Arial"/>
      </rPr>
      <t>，明年毕业。</t>
    </r>
  </si>
  <si>
    <t>Tôi đang học đại học chính quy, năm sau sẽ tốt nghiệp.</t>
  </si>
  <si>
    <t>H5_B28_BG2.png</t>
  </si>
  <si>
    <t>B28_2.mp3</t>
  </si>
  <si>
    <t>B28_VD_2.mp3</t>
  </si>
  <si>
    <t>就业</t>
  </si>
  <si>
    <t>&lt;ruby&gt;就业&lt;rt&gt;jiù yè&lt;/rt&gt;&lt;/ruby&gt;</t>
  </si>
  <si>
    <t>jiù yè</t>
  </si>
  <si>
    <t>tìm việc làm</t>
  </si>
  <si>
    <r>
      <rPr>
        <sz val="10"/>
        <color theme="1"/>
        <rFont val="Arial"/>
      </rPr>
      <t>今年的</t>
    </r>
    <r>
      <rPr>
        <b/>
        <sz val="10"/>
        <color theme="1"/>
        <rFont val="Arial"/>
      </rPr>
      <t>就业</t>
    </r>
    <r>
      <rPr>
        <sz val="10"/>
        <color theme="1"/>
        <rFont val="Arial"/>
      </rPr>
      <t>市场竞争很激烈。</t>
    </r>
  </si>
  <si>
    <t>Thị trường việc làm năm nay rất cạnh tranh.</t>
  </si>
  <si>
    <t>H5_B28_BG3.png</t>
  </si>
  <si>
    <t>B28_3.mp3</t>
  </si>
  <si>
    <t>B28_VD_3.mp3</t>
  </si>
  <si>
    <t>简历</t>
  </si>
  <si>
    <t>&lt;ruby&gt;简历&lt;rt&gt;jiǎnlì&lt;/rt&gt;&lt;/ruby&gt;</t>
  </si>
  <si>
    <t>jiǎnlì</t>
  </si>
  <si>
    <t>lý lịch sơ lược</t>
  </si>
  <si>
    <r>
      <rPr>
        <sz val="10"/>
        <color theme="1"/>
        <rFont val="Arial"/>
      </rPr>
      <t>你可以先把</t>
    </r>
    <r>
      <rPr>
        <b/>
        <sz val="10"/>
        <color theme="1"/>
        <rFont val="Arial"/>
      </rPr>
      <t>简历</t>
    </r>
    <r>
      <rPr>
        <sz val="10"/>
        <color theme="1"/>
        <rFont val="Arial"/>
      </rPr>
      <t>发给我们。</t>
    </r>
  </si>
  <si>
    <t>Bạn có thể gửi CV của mình cho chúng tôi trước.</t>
  </si>
  <si>
    <t>H5_B28_BG4.png</t>
  </si>
  <si>
    <t>B28_4.mp3</t>
  </si>
  <si>
    <t>B28_VD_4.mp3</t>
  </si>
  <si>
    <t>职位</t>
  </si>
  <si>
    <t>&lt;ruby&gt;职位&lt;rt&gt;zhíwèi&lt;/rt&gt;&lt;/ruby&gt;</t>
  </si>
  <si>
    <t>zhíwèi</t>
  </si>
  <si>
    <t>chức vụ</t>
  </si>
  <si>
    <r>
      <rPr>
        <sz val="10"/>
        <color theme="1"/>
        <rFont val="Arial"/>
      </rPr>
      <t>你申请的</t>
    </r>
    <r>
      <rPr>
        <b/>
        <sz val="10"/>
        <color theme="1"/>
        <rFont val="Arial"/>
      </rPr>
      <t>职位</t>
    </r>
    <r>
      <rPr>
        <sz val="10"/>
        <color theme="1"/>
        <rFont val="Arial"/>
      </rPr>
      <t>是什么？</t>
    </r>
  </si>
  <si>
    <t>Bạn ứng tuyển vào vị trí nào?</t>
  </si>
  <si>
    <t>H5_B28_BG5.png</t>
  </si>
  <si>
    <t>B28_5.mp3</t>
  </si>
  <si>
    <t>B28_VD_5.mp3</t>
  </si>
  <si>
    <t>顾问</t>
  </si>
  <si>
    <t>&lt;ruby&gt;顾问&lt;rt&gt;gùwèn&lt;/rt&gt;&lt;/ruby&gt;</t>
  </si>
  <si>
    <t>gùwèn</t>
  </si>
  <si>
    <t>người tư vấn, cố vấn</t>
  </si>
  <si>
    <r>
      <rPr>
        <sz val="10"/>
        <color theme="1"/>
        <rFont val="Arial"/>
      </rPr>
      <t>他是一名经验丰富的法律</t>
    </r>
    <r>
      <rPr>
        <b/>
        <sz val="10"/>
        <color theme="1"/>
        <rFont val="Arial"/>
      </rPr>
      <t>顾问</t>
    </r>
    <r>
      <rPr>
        <sz val="10"/>
        <color theme="1"/>
        <rFont val="Arial"/>
      </rPr>
      <t>。</t>
    </r>
  </si>
  <si>
    <t>Anh ấy là một cố vấn pháp lý giàu kinh nghiệm.</t>
  </si>
  <si>
    <t>H5_B28_BG6.png</t>
  </si>
  <si>
    <t>B28_6.mp3</t>
  </si>
  <si>
    <t>B28_VD_6.mp3</t>
  </si>
  <si>
    <t>参考</t>
  </si>
  <si>
    <t>&lt;ruby&gt;参考&lt;rt&gt;cānkǎo&lt;/rt&gt;&lt;/ruby&gt;</t>
  </si>
  <si>
    <t>cānkǎo</t>
  </si>
  <si>
    <t>tham khảo</t>
  </si>
  <si>
    <r>
      <rPr>
        <sz val="10"/>
        <color theme="1"/>
        <rFont val="Arial"/>
      </rPr>
      <t>你可以</t>
    </r>
    <r>
      <rPr>
        <b/>
        <sz val="10"/>
        <color theme="1"/>
        <rFont val="Arial"/>
      </rPr>
      <t>参考</t>
    </r>
    <r>
      <rPr>
        <sz val="10"/>
        <color theme="1"/>
        <rFont val="Arial"/>
      </rPr>
      <t>这些书来写论文。</t>
    </r>
  </si>
  <si>
    <t>Bạn có thể tham khảo những cuốn sách này để viết luận văn.</t>
  </si>
  <si>
    <t>H5_B28_BG7.png</t>
  </si>
  <si>
    <t>B28_7.mp3</t>
  </si>
  <si>
    <t>B28_VD_7.mp3</t>
  </si>
  <si>
    <t>制作</t>
  </si>
  <si>
    <t>&lt;ruby&gt;制作&lt;rt&gt;zhìzuò&lt;/rt&gt;&lt;/ruby&gt;</t>
  </si>
  <si>
    <t>zhìzuò</t>
  </si>
  <si>
    <t>chế tạo, làm ra</t>
  </si>
  <si>
    <r>
      <rPr>
        <sz val="10"/>
        <color theme="1"/>
        <rFont val="Arial"/>
      </rPr>
      <t>这家公司专门</t>
    </r>
    <r>
      <rPr>
        <b/>
        <sz val="10"/>
        <color theme="1"/>
        <rFont val="Arial"/>
      </rPr>
      <t>制作</t>
    </r>
    <r>
      <rPr>
        <sz val="10"/>
        <color theme="1"/>
        <rFont val="Arial"/>
      </rPr>
      <t>广告视频。</t>
    </r>
  </si>
  <si>
    <t>Công ty này chuyên sản xuất video quảng cáo.</t>
  </si>
  <si>
    <t>H5_B28_BG8.png</t>
  </si>
  <si>
    <t>B28_8.mp3</t>
  </si>
  <si>
    <t>B28_VD_8.mp3</t>
  </si>
  <si>
    <t>制订</t>
  </si>
  <si>
    <t>&lt;ruby&gt;制订&lt;rt&gt;zhìdìng&lt;/rt&gt;&lt;/ruby&gt;</t>
  </si>
  <si>
    <t>zhìdìng</t>
  </si>
  <si>
    <t>lập ra, vạch ra</t>
  </si>
  <si>
    <r>
      <rPr>
        <sz val="10"/>
        <color theme="1"/>
        <rFont val="Arial"/>
      </rPr>
      <t>我们需要</t>
    </r>
    <r>
      <rPr>
        <b/>
        <sz val="10"/>
        <color theme="1"/>
        <rFont val="Arial"/>
      </rPr>
      <t>制订</t>
    </r>
    <r>
      <rPr>
        <sz val="10"/>
        <color theme="1"/>
        <rFont val="Arial"/>
      </rPr>
      <t>一个详细的计划</t>
    </r>
  </si>
  <si>
    <t>Chúng ta cần lập một kế hoạch chi tiết.</t>
  </si>
  <si>
    <t>H5_B28_BG9.png</t>
  </si>
  <si>
    <t>B28_9.mp3</t>
  </si>
  <si>
    <t>B28_VD_9.mp3</t>
  </si>
  <si>
    <t>部门</t>
  </si>
  <si>
    <t>&lt;ruby&gt;部门&lt;rt&gt;bùmén&lt;/rt&gt;&lt;/ruby&gt;</t>
  </si>
  <si>
    <t>bùmén</t>
  </si>
  <si>
    <t>ban, vị trí việc làm</t>
  </si>
  <si>
    <r>
      <rPr>
        <sz val="10"/>
        <color theme="1"/>
        <rFont val="Arial"/>
      </rPr>
      <t>我打算申请市场</t>
    </r>
    <r>
      <rPr>
        <b/>
        <sz val="10"/>
        <color theme="1"/>
        <rFont val="Arial"/>
      </rPr>
      <t>部门</t>
    </r>
    <r>
      <rPr>
        <sz val="10"/>
        <color theme="1"/>
        <rFont val="Arial"/>
      </rPr>
      <t>的职位。</t>
    </r>
  </si>
  <si>
    <t>Tôi dự định ứng tuyển vào vị trí ở bộ phận marketing.</t>
  </si>
  <si>
    <t>H5_B28_BG10.png</t>
  </si>
  <si>
    <t>B28_10.mp3</t>
  </si>
  <si>
    <t>B28_VD_10.mp3</t>
  </si>
  <si>
    <t>行业</t>
  </si>
  <si>
    <t>&lt;ruby&gt;行业&lt;rt&gt;hángyè&lt;/rt&gt;&lt;/ruby&gt;</t>
  </si>
  <si>
    <t>hángyè</t>
  </si>
  <si>
    <t>ngành, nghề</t>
  </si>
  <si>
    <r>
      <rPr>
        <sz val="10"/>
        <color theme="1"/>
        <rFont val="Arial"/>
      </rPr>
      <t>你对哪个</t>
    </r>
    <r>
      <rPr>
        <b/>
        <sz val="10"/>
        <color theme="1"/>
        <rFont val="Arial"/>
      </rPr>
      <t>行业</t>
    </r>
    <r>
      <rPr>
        <sz val="10"/>
        <color theme="1"/>
        <rFont val="Arial"/>
      </rPr>
      <t>感兴趣？</t>
    </r>
  </si>
  <si>
    <t>Bạn quan tâm đến ngành nào?</t>
  </si>
  <si>
    <t>H5_B28_BG11.png</t>
  </si>
  <si>
    <t>B28_11.mp3</t>
  </si>
  <si>
    <t>B28_VD_11.mp3</t>
  </si>
  <si>
    <t>成立</t>
  </si>
  <si>
    <t>&lt;ruby&gt;成立&lt;rt&gt;chénglì&lt;/rt&gt;&lt;/ruby&gt;</t>
  </si>
  <si>
    <t>chénglì</t>
  </si>
  <si>
    <t>thành lập, lập</t>
  </si>
  <si>
    <r>
      <rPr>
        <sz val="10"/>
        <color theme="1"/>
        <rFont val="Arial"/>
      </rPr>
      <t>这家公司</t>
    </r>
    <r>
      <rPr>
        <b/>
        <sz val="10"/>
        <color theme="1"/>
        <rFont val="Arial"/>
      </rPr>
      <t>成立</t>
    </r>
    <r>
      <rPr>
        <sz val="10"/>
        <color theme="1"/>
        <rFont val="Arial"/>
      </rPr>
      <t>于2005年。</t>
    </r>
  </si>
  <si>
    <t>Công ty này được thành lập vào năm 2005.</t>
  </si>
  <si>
    <t>H5_B28_BG12.png</t>
  </si>
  <si>
    <t>B28_12.mp3</t>
  </si>
  <si>
    <t>B28_VD_12.mp3</t>
  </si>
  <si>
    <t>老板</t>
  </si>
  <si>
    <t>&lt;ruby&gt;老板&lt;rt&gt;lǎobǎn&lt;/rt&gt;&lt;/ruby&gt;</t>
  </si>
  <si>
    <t>lǎobǎn</t>
  </si>
  <si>
    <t>ông chủ</t>
  </si>
  <si>
    <r>
      <rPr>
        <sz val="10"/>
        <color theme="1"/>
        <rFont val="Arial"/>
      </rPr>
      <t>我的</t>
    </r>
    <r>
      <rPr>
        <b/>
        <sz val="10"/>
        <color theme="1"/>
        <rFont val="Arial"/>
      </rPr>
      <t>老板</t>
    </r>
    <r>
      <rPr>
        <sz val="10"/>
        <color theme="1"/>
        <rFont val="Arial"/>
      </rPr>
      <t>对员工很好。</t>
    </r>
  </si>
  <si>
    <t>Ông chủ của tôi rất tốt với nhân viên.</t>
  </si>
  <si>
    <t>H5_B28_BG13.png</t>
  </si>
  <si>
    <t>B28_13.mp3</t>
  </si>
  <si>
    <t>B28_VD_13.mp3</t>
  </si>
  <si>
    <t>&lt;ruby&gt;面对&lt;rt&gt;miànduì&lt;/rt&gt;&lt;/ruby&gt;</t>
  </si>
  <si>
    <t>miànduì</t>
  </si>
  <si>
    <t>đương đầu</t>
  </si>
  <si>
    <r>
      <rPr>
        <sz val="10"/>
        <color theme="1"/>
        <rFont val="Arial"/>
      </rPr>
      <t>我们需要勇敢地</t>
    </r>
    <r>
      <rPr>
        <b/>
        <sz val="10"/>
        <color theme="1"/>
        <rFont val="Arial"/>
      </rPr>
      <t>面对</t>
    </r>
    <r>
      <rPr>
        <sz val="10"/>
        <color theme="1"/>
        <rFont val="Arial"/>
      </rPr>
      <t>困难。</t>
    </r>
  </si>
  <si>
    <t>Chúng ta cần dũng cảm đối mặt với khó khăn.</t>
  </si>
  <si>
    <t>H5_B28_BG14.png</t>
  </si>
  <si>
    <t>B28_14.mp3</t>
  </si>
  <si>
    <t>B28_VD_14.mp3</t>
  </si>
  <si>
    <t>乐观</t>
  </si>
  <si>
    <t>&lt;ruby&gt;乐观&lt;rt&gt;lèguān&lt;/rt&gt;&lt;/ruby&gt;</t>
  </si>
  <si>
    <t>lèguān</t>
  </si>
  <si>
    <t>lạc quan</t>
  </si>
  <si>
    <r>
      <rPr>
        <sz val="10"/>
        <color theme="1"/>
        <rFont val="Arial"/>
      </rPr>
      <t>他总是用</t>
    </r>
    <r>
      <rPr>
        <b/>
        <sz val="10"/>
        <color theme="1"/>
        <rFont val="Arial"/>
      </rPr>
      <t>乐观</t>
    </r>
    <r>
      <rPr>
        <sz val="10"/>
        <color theme="1"/>
        <rFont val="Arial"/>
      </rPr>
      <t>的态度看待问题。</t>
    </r>
  </si>
  <si>
    <t>Anh ấy luôn nhìn nhận vấn đề với thái độ lạc quan.</t>
  </si>
  <si>
    <t>H5_B28_BG15.png</t>
  </si>
  <si>
    <t>B28_15.mp3</t>
  </si>
  <si>
    <t>B28_VD_15.mp3</t>
  </si>
  <si>
    <t>优势</t>
  </si>
  <si>
    <t>&lt;ruby&gt;优势&lt;rt&gt;yōushì&lt;/rt&gt;&lt;/ruby&gt;</t>
  </si>
  <si>
    <t>yōushì</t>
  </si>
  <si>
    <t>ưu thế</t>
  </si>
  <si>
    <r>
      <rPr>
        <sz val="10"/>
        <color theme="1"/>
        <rFont val="Arial"/>
      </rPr>
      <t>他的英语能力是一个很大的</t>
    </r>
    <r>
      <rPr>
        <b/>
        <sz val="10"/>
        <color theme="1"/>
        <rFont val="Arial"/>
      </rPr>
      <t>优势</t>
    </r>
    <r>
      <rPr>
        <sz val="10"/>
        <color theme="1"/>
        <rFont val="Arial"/>
      </rPr>
      <t>。</t>
    </r>
  </si>
  <si>
    <t>Khả năng tiếng Anh của anh ấy là một lợi thế lớn.</t>
  </si>
  <si>
    <t>H5_B28_BG16.png</t>
  </si>
  <si>
    <t>B28_16.mp3</t>
  </si>
  <si>
    <t>B28_VD_16.mp3</t>
  </si>
  <si>
    <t>从此</t>
  </si>
  <si>
    <t>&lt;ruby&gt;从此&lt;rt&gt;cóngcǐ&lt;/rt&gt;&lt;/ruby&gt;</t>
  </si>
  <si>
    <t>cóngcǐ</t>
  </si>
  <si>
    <t>từ đó</t>
  </si>
  <si>
    <r>
      <rPr>
        <sz val="10"/>
        <color theme="1"/>
        <rFont val="Arial"/>
      </rPr>
      <t>他毕业后</t>
    </r>
    <r>
      <rPr>
        <b/>
        <sz val="10"/>
        <color theme="1"/>
        <rFont val="Arial"/>
      </rPr>
      <t>从此</t>
    </r>
    <r>
      <rPr>
        <sz val="10"/>
        <color theme="1"/>
        <rFont val="Arial"/>
      </rPr>
      <t>开始了新的生活。</t>
    </r>
  </si>
  <si>
    <t>Sau khi tốt nghiệp, từ đó anh ấy bắt đầu một cuộc sống mới.</t>
  </si>
  <si>
    <t>H5_B28_BG17.png</t>
  </si>
  <si>
    <t>B28_17.mp3</t>
  </si>
  <si>
    <t>B28_VD_17.mp3</t>
  </si>
  <si>
    <t>成长</t>
  </si>
  <si>
    <t>&lt;ruby&gt;成长&lt;rt&gt;chéngzhǎng&lt;/rt&gt;&lt;/ruby&gt;</t>
  </si>
  <si>
    <t>chéngzhǎng</t>
  </si>
  <si>
    <t>trưởng thành</t>
  </si>
  <si>
    <r>
      <rPr>
        <b/>
        <sz val="10"/>
        <color theme="1"/>
        <rFont val="Arial"/>
      </rPr>
      <t>成长</t>
    </r>
    <r>
      <rPr>
        <sz val="10"/>
        <color theme="1"/>
        <rFont val="Arial"/>
      </rPr>
      <t>是一段漫长的旅程。</t>
    </r>
  </si>
  <si>
    <t>Trưởng thành là một hành trình dài.</t>
  </si>
  <si>
    <t>H5_B28_BG18.png</t>
  </si>
  <si>
    <t>B28_18.mp3</t>
  </si>
  <si>
    <t>B28_VD_18.mp3</t>
  </si>
  <si>
    <t>休闲</t>
  </si>
  <si>
    <t>&lt;ruby&gt;休闲&lt;rt&gt;xiūxián&lt;/rt&gt;&lt;/ruby&gt;</t>
  </si>
  <si>
    <t>xiūxián</t>
  </si>
  <si>
    <t>nghỉ ngơi và giải trí</t>
  </si>
  <si>
    <r>
      <rPr>
        <sz val="10"/>
        <color theme="1"/>
        <rFont val="Arial"/>
      </rPr>
      <t>她经常在图书馆</t>
    </r>
    <r>
      <rPr>
        <b/>
        <sz val="10"/>
        <color theme="1"/>
        <rFont val="Arial"/>
      </rPr>
      <t>休闲</t>
    </r>
    <r>
      <rPr>
        <sz val="10"/>
        <color theme="1"/>
        <rFont val="Arial"/>
      </rPr>
      <t>。</t>
    </r>
  </si>
  <si>
    <t>Cô ấy hay nghỉ ngơi tại thư viện.</t>
  </si>
  <si>
    <t>H5_B28_BG19.png</t>
  </si>
  <si>
    <t>B28_19.mp3</t>
  </si>
  <si>
    <t>B28_VD_19.mp3</t>
  </si>
  <si>
    <t>专注</t>
  </si>
  <si>
    <t>&lt;ruby&gt;专注&lt;rt&gt;zhuānzhù&lt;/rt&gt;&lt;/ruby&gt;</t>
  </si>
  <si>
    <t>zhuānzhù</t>
  </si>
  <si>
    <t>mê mải, dồn hết tâm trí vào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</si>
  <si>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专注</t>
    </r>
    <r>
      <rPr>
        <sz val="10"/>
        <color theme="1"/>
        <rFont val="Arial"/>
      </rPr>
      <t>于研究新技术。</t>
    </r>
  </si>
  <si>
    <t>Cậu bé tập trung dồn hết vào bài tập nghiên cứu sinh học mới.</t>
  </si>
  <si>
    <t>H5_B28_BG20.png</t>
  </si>
  <si>
    <t>B28_20.mp3</t>
  </si>
  <si>
    <t>B28_VD_20.mp3</t>
  </si>
  <si>
    <t>执着</t>
  </si>
  <si>
    <t>&lt;ruby&gt;执着&lt;rt&gt;zhízhuó&lt;/rt&gt;&lt;/ruby&gt;</t>
  </si>
  <si>
    <t>zhízhuó</t>
  </si>
  <si>
    <t>bền bỉ, kiên trì</t>
  </si>
  <si>
    <r>
      <rPr>
        <sz val="10"/>
        <color theme="1"/>
        <rFont val="Calibri"/>
      </rPr>
      <t xml:space="preserve"> 他的</t>
    </r>
    <r>
      <rPr>
        <b/>
        <sz val="10"/>
        <color theme="1"/>
        <rFont val="Calibri"/>
      </rPr>
      <t>执着</t>
    </r>
    <r>
      <rPr>
        <sz val="10"/>
        <color theme="1"/>
        <rFont val="Calibri"/>
      </rPr>
      <t>精神让人敬佩。</t>
    </r>
  </si>
  <si>
    <t>Tinh thần kiên trì của anh ấy khiến người khác khâm phục.</t>
  </si>
  <si>
    <t>H5_B28_BG21.png</t>
  </si>
  <si>
    <t>B28_21.mp3</t>
  </si>
  <si>
    <t>B28_VD_21.mp3</t>
  </si>
  <si>
    <t>假设</t>
  </si>
  <si>
    <t>&lt;ruby&gt;假设&lt;rt&gt;jiǎshè&lt;/rt&gt;&lt;/ruby&gt;</t>
  </si>
  <si>
    <t>jiǎshè</t>
  </si>
  <si>
    <t>giả sử</t>
  </si>
  <si>
    <r>
      <rPr>
        <b/>
        <sz val="10"/>
        <color theme="1"/>
        <rFont val="Arial"/>
      </rPr>
      <t>假设</t>
    </r>
    <r>
      <rPr>
        <sz val="10"/>
        <color theme="1"/>
        <rFont val="Arial"/>
      </rPr>
      <t>你是老板，你会怎么管理公司？</t>
    </r>
  </si>
  <si>
    <t>Giả sử bạn là ông chủ, bạn sẽ quản lý công ty thế nào?</t>
  </si>
  <si>
    <t>H5_B28_BG22.png</t>
  </si>
  <si>
    <t>B28_22.mp3</t>
  </si>
  <si>
    <t>B28_VD_22.mp3</t>
  </si>
  <si>
    <t>前途</t>
  </si>
  <si>
    <t>&lt;ruby&gt;前途&lt;rt&gt;qiántú&lt;/rt&gt;&lt;/ruby&gt;</t>
  </si>
  <si>
    <t>qiántú</t>
  </si>
  <si>
    <t>tiền đồ, tương lai, triển vọng</t>
  </si>
  <si>
    <r>
      <rPr>
        <sz val="10"/>
        <color theme="1"/>
        <rFont val="Arial"/>
      </rPr>
      <t>你的</t>
    </r>
    <r>
      <rPr>
        <b/>
        <sz val="10"/>
        <color theme="1"/>
        <rFont val="Arial"/>
      </rPr>
      <t>前途</t>
    </r>
    <r>
      <rPr>
        <sz val="10"/>
        <color theme="1"/>
        <rFont val="Arial"/>
      </rPr>
      <t>一定会很光明</t>
    </r>
  </si>
  <si>
    <t>Tương lai của bạn chắc chắn sẽ tươi sáng.</t>
  </si>
  <si>
    <t>H5_B28_BG23.png</t>
  </si>
  <si>
    <t>B28_23.mp3</t>
  </si>
  <si>
    <t>B28_VD_23.mp3</t>
  </si>
  <si>
    <t>光明</t>
  </si>
  <si>
    <t>&lt;ruby&gt;光明&lt;rt&gt;guāngmíng&lt;/rt&gt;&lt;/ruby&gt;</t>
  </si>
  <si>
    <t>guāngmíng</t>
  </si>
  <si>
    <t>sáng sủa, tươi sáng</t>
  </si>
  <si>
    <r>
      <rPr>
        <sz val="10"/>
        <color theme="1"/>
        <rFont val="Arial"/>
      </rPr>
      <t>我对未来充满</t>
    </r>
    <r>
      <rPr>
        <b/>
        <sz val="10"/>
        <color theme="1"/>
        <rFont val="Arial"/>
      </rPr>
      <t>光明</t>
    </r>
    <r>
      <rPr>
        <sz val="10"/>
        <color theme="1"/>
        <rFont val="Arial"/>
      </rPr>
      <t>的希望。</t>
    </r>
  </si>
  <si>
    <t>Tôi tràn đầy hy vọng vào một tương lai tươi sáng.</t>
  </si>
  <si>
    <t>H5_B28_BG24.png</t>
  </si>
  <si>
    <t>B28_24.mp3</t>
  </si>
  <si>
    <t>B28_VD_24.mp3</t>
  </si>
  <si>
    <t>实话</t>
  </si>
  <si>
    <t>&lt;ruby&gt;实话&lt;rt&gt;shíhuà&lt;/rt&gt;&lt;/ruby&gt;</t>
  </si>
  <si>
    <t>shíhuà</t>
  </si>
  <si>
    <t>lời nói thật</t>
  </si>
  <si>
    <r>
      <rPr>
        <sz val="10"/>
        <color theme="1"/>
        <rFont val="Arial"/>
      </rPr>
      <t>你要跟我说</t>
    </r>
    <r>
      <rPr>
        <b/>
        <sz val="10"/>
        <color theme="1"/>
        <rFont val="Arial"/>
      </rPr>
      <t>实话</t>
    </r>
    <r>
      <rPr>
        <sz val="10"/>
        <color theme="1"/>
        <rFont val="Arial"/>
      </rPr>
      <t>，不要骗我。</t>
    </r>
  </si>
  <si>
    <t>Bạn phải nói thật với tôi, đừng lừa tôi.</t>
  </si>
  <si>
    <t>H5_B28_BG25.png</t>
  </si>
  <si>
    <t>B28_25.mp3</t>
  </si>
  <si>
    <t>B28_VD_25.mp3</t>
  </si>
  <si>
    <t>现场</t>
  </si>
  <si>
    <t>&lt;ruby&gt;现场&lt;rt&gt;xiànchǎng&lt;/rt&gt;&lt;/ruby&gt;</t>
  </si>
  <si>
    <t>xiànchǎng</t>
  </si>
  <si>
    <t>hiện trường, nơi, chỗ</t>
  </si>
  <si>
    <r>
      <rPr>
        <sz val="10"/>
        <color theme="1"/>
        <rFont val="Arial"/>
      </rPr>
      <t>警察正在调查事故</t>
    </r>
    <r>
      <rPr>
        <b/>
        <sz val="10"/>
        <color theme="1"/>
        <rFont val="Arial"/>
      </rPr>
      <t>现场</t>
    </r>
    <r>
      <rPr>
        <sz val="10"/>
        <color theme="1"/>
        <rFont val="Arial"/>
      </rPr>
      <t>。</t>
    </r>
  </si>
  <si>
    <t>Cảnh sát đang điều tra hiện trường vụ tai nạn.</t>
  </si>
  <si>
    <t>H5_B28_BG26.png</t>
  </si>
  <si>
    <t>B28_26.mp3</t>
  </si>
  <si>
    <t>B28_VD_26.mp3</t>
  </si>
  <si>
    <t>体验</t>
  </si>
  <si>
    <t>&lt;ruby&gt;体验&lt;rt&gt;tǐyàn&lt;/rt&gt;&lt;/ruby&gt;</t>
  </si>
  <si>
    <t>tǐyàn</t>
  </si>
  <si>
    <t>thể nghiệm</t>
  </si>
  <si>
    <r>
      <rPr>
        <sz val="10"/>
        <color theme="1"/>
        <rFont val="Arial"/>
      </rPr>
      <t>我想</t>
    </r>
    <r>
      <rPr>
        <b/>
        <sz val="10"/>
        <color theme="1"/>
        <rFont val="Arial"/>
      </rPr>
      <t>体验</t>
    </r>
    <r>
      <rPr>
        <sz val="10"/>
        <color theme="1"/>
        <rFont val="Arial"/>
      </rPr>
      <t>一下当地的文化。</t>
    </r>
  </si>
  <si>
    <t>Tôi muốn trải nghiệm văn hóa địa phương.</t>
  </si>
  <si>
    <t>H5_B28_BG27.png</t>
  </si>
  <si>
    <t>B28_27.mp3</t>
  </si>
  <si>
    <t>B28_VD_27.mp3</t>
  </si>
  <si>
    <t>范围</t>
  </si>
  <si>
    <t>&lt;ruby&gt;范围&lt;rt&gt;fànwéi&lt;/rt&gt;&lt;/ruby&gt;</t>
  </si>
  <si>
    <t>fànwéi</t>
  </si>
  <si>
    <t>phạm vị</t>
  </si>
  <si>
    <r>
      <rPr>
        <sz val="10"/>
        <color theme="1"/>
        <rFont val="Arial"/>
      </rPr>
      <t>这个问题超出了我们的讨论</t>
    </r>
    <r>
      <rPr>
        <b/>
        <sz val="10"/>
        <color theme="1"/>
        <rFont val="Arial"/>
      </rPr>
      <t>范围</t>
    </r>
  </si>
  <si>
    <t>Vấn đề này vượt quá phạm vi thảo luận của chúng ta.</t>
  </si>
  <si>
    <t>H5_B28_BG28.png</t>
  </si>
  <si>
    <t>B28_28.mp3</t>
  </si>
  <si>
    <t>B28_VD_28.mp3</t>
  </si>
  <si>
    <t>初（级）中（学）</t>
  </si>
  <si>
    <t>&lt;ruby&gt;初（级）中（学）&lt;rt&gt;chū (jí) zhōng (xué)&lt;/rt&gt;&lt;/ruby&gt;</t>
  </si>
  <si>
    <t>chū (jí) zhōng (xué)</t>
  </si>
  <si>
    <t>trung học cơ sở</t>
  </si>
  <si>
    <r>
      <rPr>
        <sz val="10"/>
        <color theme="1"/>
        <rFont val="Arial"/>
      </rPr>
      <t>我弟弟今年上</t>
    </r>
    <r>
      <rPr>
        <b/>
        <sz val="10"/>
        <color theme="1"/>
        <rFont val="Arial"/>
      </rPr>
      <t>初级中学</t>
    </r>
    <r>
      <rPr>
        <sz val="10"/>
        <color theme="1"/>
        <rFont val="Arial"/>
      </rPr>
      <t>。</t>
    </r>
  </si>
  <si>
    <t>Em trai tôi năm nay học trung học cơ sở.</t>
  </si>
  <si>
    <t>H5_B28_BG29.png</t>
  </si>
  <si>
    <t>B28_29.mp3</t>
  </si>
  <si>
    <t>B28_VD_29.mp3</t>
  </si>
  <si>
    <t>才艺</t>
  </si>
  <si>
    <t>&lt;ruby&gt;才艺&lt;rt&gt;cáiyì&lt;/rt&gt;&lt;/ruby&gt;</t>
  </si>
  <si>
    <t>cáiyì</t>
  </si>
  <si>
    <t>tài nghệ</t>
  </si>
  <si>
    <r>
      <rPr>
        <sz val="10"/>
        <color theme="1"/>
        <rFont val="Arial"/>
      </rPr>
      <t>她在</t>
    </r>
    <r>
      <rPr>
        <b/>
        <sz val="10"/>
        <color theme="1"/>
        <rFont val="Arial"/>
      </rPr>
      <t>才艺</t>
    </r>
    <r>
      <rPr>
        <sz val="10"/>
        <color theme="1"/>
        <rFont val="Arial"/>
      </rPr>
      <t>比赛中获得了第一名。</t>
    </r>
  </si>
  <si>
    <t>Cô ấy giành giải nhất trong cuộc thi tài năng.</t>
  </si>
  <si>
    <t>H5_B28_BG30.png</t>
  </si>
  <si>
    <t>B28_30.mp3</t>
  </si>
  <si>
    <t>B28_VD_30.mp3</t>
  </si>
  <si>
    <t>乘</t>
  </si>
  <si>
    <t>&lt;ruby&gt;乘&lt;rt&gt;chéng&lt;/rt&gt;&lt;/ruby&gt;</t>
  </si>
  <si>
    <t>đi xe, đón xe</t>
  </si>
  <si>
    <r>
      <rPr>
        <sz val="10"/>
        <color theme="1"/>
        <rFont val="Arial"/>
      </rPr>
      <t>我们</t>
    </r>
    <r>
      <rPr>
        <b/>
        <sz val="10"/>
        <color theme="1"/>
        <rFont val="Arial"/>
      </rPr>
      <t>乘</t>
    </r>
    <r>
      <rPr>
        <sz val="10"/>
        <color theme="1"/>
        <rFont val="Arial"/>
      </rPr>
      <t>公交车去学校。</t>
    </r>
  </si>
  <si>
    <t>Chúng tôi đi xe buýt đến trường.</t>
  </si>
  <si>
    <t>H5_B28_BG31.png</t>
  </si>
  <si>
    <t>B28_31.mp3</t>
  </si>
  <si>
    <t>B28_VD_31.mp3</t>
  </si>
  <si>
    <t>phản ứng lại</t>
  </si>
  <si>
    <r>
      <rPr>
        <sz val="10"/>
        <color theme="1"/>
        <rFont val="Arial"/>
      </rPr>
      <t>他听到这个消息后</t>
    </r>
    <r>
      <rPr>
        <b/>
        <sz val="10"/>
        <color theme="1"/>
        <rFont val="Arial"/>
      </rPr>
      <t>反应</t>
    </r>
    <r>
      <rPr>
        <sz val="10"/>
        <color theme="1"/>
        <rFont val="Arial"/>
      </rPr>
      <t>很大。</t>
    </r>
  </si>
  <si>
    <t>Anh ấy phản ứng rất mạnh khi nghe tin này.</t>
  </si>
  <si>
    <t>H5_B28_BG32.png</t>
  </si>
  <si>
    <t>B28_32.mp3</t>
  </si>
  <si>
    <t>B28_VD_32.mp3</t>
  </si>
  <si>
    <t>到达</t>
  </si>
  <si>
    <t>&lt;ruby&gt;到达&lt;rt&gt;dàodá&lt;/rt&gt;&lt;/ruby&gt;</t>
  </si>
  <si>
    <t>dàodá</t>
  </si>
  <si>
    <r>
      <rPr>
        <sz val="10"/>
        <color theme="1"/>
        <rFont val="Arial"/>
      </rPr>
      <t>飞机下午三点</t>
    </r>
    <r>
      <rPr>
        <b/>
        <sz val="10"/>
        <color theme="1"/>
        <rFont val="Arial"/>
      </rPr>
      <t>到达</t>
    </r>
    <r>
      <rPr>
        <sz val="10"/>
        <color theme="1"/>
        <rFont val="Arial"/>
      </rPr>
      <t>上海。</t>
    </r>
  </si>
  <si>
    <t>Máy bay đến Thượng Hải lúc 3 giờ chiều.</t>
  </si>
  <si>
    <t>H5_B28_BG33.png</t>
  </si>
  <si>
    <t>B28_33.mp3</t>
  </si>
  <si>
    <t>B28_VD_33.mp3</t>
  </si>
  <si>
    <t>陆续</t>
  </si>
  <si>
    <t>&lt;ruby&gt;陆续&lt;rt&gt;lùxù&lt;/rt&gt;&lt;/ruby&gt;</t>
  </si>
  <si>
    <t>lùxù</t>
  </si>
  <si>
    <t>lần lượt, liên tiếp</t>
  </si>
  <si>
    <r>
      <rPr>
        <sz val="10"/>
        <color theme="1"/>
        <rFont val="Arial"/>
      </rPr>
      <t>客人们</t>
    </r>
    <r>
      <rPr>
        <b/>
        <sz val="10"/>
        <color theme="1"/>
        <rFont val="Arial"/>
      </rPr>
      <t>陆续</t>
    </r>
    <r>
      <rPr>
        <sz val="10"/>
        <color theme="1"/>
        <rFont val="Arial"/>
      </rPr>
      <t>到达了酒店。</t>
    </r>
  </si>
  <si>
    <t>Khách lần lượt đến khách sạn.</t>
  </si>
  <si>
    <t>H5_B28_BG34.png</t>
  </si>
  <si>
    <t>B28_34.mp3</t>
  </si>
  <si>
    <t>B28_VD_34.mp3</t>
  </si>
  <si>
    <t>提问</t>
  </si>
  <si>
    <t>&lt;ruby&gt;提问&lt;rt&gt;tíwèn&lt;/rt&gt;&lt;/ruby&gt;</t>
  </si>
  <si>
    <t>tíwèn</t>
  </si>
  <si>
    <t>đưa ra câu hỏi</t>
  </si>
  <si>
    <r>
      <rPr>
        <sz val="10"/>
        <color theme="1"/>
        <rFont val="Arial"/>
      </rPr>
      <t>请大家积极</t>
    </r>
    <r>
      <rPr>
        <b/>
        <sz val="10"/>
        <color theme="1"/>
        <rFont val="Arial"/>
      </rPr>
      <t>提问</t>
    </r>
    <r>
      <rPr>
        <sz val="10"/>
        <color theme="1"/>
        <rFont val="Arial"/>
      </rPr>
      <t>。</t>
    </r>
  </si>
  <si>
    <t>Mọi người hãy tích cực đặt câu hỏi.</t>
  </si>
  <si>
    <t>H5_B28_BG35.png</t>
  </si>
  <si>
    <t>B28_35.mp3</t>
  </si>
  <si>
    <t>B28_VD_35.mp3</t>
  </si>
  <si>
    <t>堆</t>
  </si>
  <si>
    <t>&lt;ruby&gt;堆&lt;rt&gt;duī&lt;/rt&gt;&lt;/ruby&gt;</t>
  </si>
  <si>
    <t>duī</t>
  </si>
  <si>
    <t>đống, đám, lô</t>
  </si>
  <si>
    <r>
      <rPr>
        <sz val="10"/>
        <color theme="1"/>
        <rFont val="Arial"/>
      </rPr>
      <t>桌子上有一</t>
    </r>
    <r>
      <rPr>
        <b/>
        <sz val="10"/>
        <color theme="1"/>
        <rFont val="Arial"/>
      </rPr>
      <t>堆</t>
    </r>
    <r>
      <rPr>
        <sz val="10"/>
        <color theme="1"/>
        <rFont val="Arial"/>
      </rPr>
      <t>书。</t>
    </r>
  </si>
  <si>
    <t>Trên bàn có một đống sách.</t>
  </si>
  <si>
    <t>H5_B28_BG36.png</t>
  </si>
  <si>
    <t>B28_36.mp3</t>
  </si>
  <si>
    <t>B28_VD_36.mp3</t>
  </si>
  <si>
    <t>情侣</t>
  </si>
  <si>
    <t>&lt;ruby&gt;情侣&lt;rt&gt;qínglǚ&lt;/rt&gt;&lt;/ruby&gt;</t>
  </si>
  <si>
    <t>qínglǚ</t>
  </si>
  <si>
    <t>tình nhân</t>
  </si>
  <si>
    <r>
      <rPr>
        <sz val="10"/>
        <color theme="1"/>
        <rFont val="Arial"/>
      </rPr>
      <t>这家餐厅很适合</t>
    </r>
    <r>
      <rPr>
        <b/>
        <sz val="10"/>
        <color theme="1"/>
        <rFont val="Arial"/>
      </rPr>
      <t>情侣</t>
    </r>
    <r>
      <rPr>
        <sz val="10"/>
        <color theme="1"/>
        <rFont val="Arial"/>
      </rPr>
      <t>约会。</t>
    </r>
  </si>
  <si>
    <t>Nhà hàng này rất phù hợp cho các cặp đôi hẹn hò.</t>
  </si>
  <si>
    <t>H5_B28_BG37.png</t>
  </si>
  <si>
    <t>B28_37.mp3</t>
  </si>
  <si>
    <t>B28_VD_37.mp3</t>
  </si>
  <si>
    <t>具体</t>
  </si>
  <si>
    <t>&lt;ruby&gt;具体&lt;rt&gt;jùtǐ&lt;/rt&gt;&lt;/ruby&gt;</t>
  </si>
  <si>
    <t>jùtǐ</t>
  </si>
  <si>
    <t>cụ thể, tỉ mỉ</t>
  </si>
  <si>
    <r>
      <rPr>
        <sz val="10"/>
        <color theme="1"/>
        <rFont val="Arial"/>
      </rPr>
      <t>请给我</t>
    </r>
    <r>
      <rPr>
        <b/>
        <sz val="10"/>
        <color theme="1"/>
        <rFont val="Arial"/>
      </rPr>
      <t>具体</t>
    </r>
    <r>
      <rPr>
        <sz val="10"/>
        <color theme="1"/>
        <rFont val="Arial"/>
      </rPr>
      <t>的计划。</t>
    </r>
  </si>
  <si>
    <t>Xin hãy cho tôi kế hoạch cụ thể.</t>
  </si>
  <si>
    <t>H5_B28_BG38.png</t>
  </si>
  <si>
    <t>B28_38.mp3</t>
  </si>
  <si>
    <t>B28_VD_38.mp3</t>
  </si>
  <si>
    <t>显然</t>
  </si>
  <si>
    <t>&lt;ruby&gt;显然&lt;rt&gt;xiǎnrán&lt;/rt&gt;&lt;/ruby&gt;</t>
  </si>
  <si>
    <t>xiǎnrán</t>
  </si>
  <si>
    <t>rõ ràng, hiển nhiên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</si>
  <si>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显然</t>
    </r>
    <r>
      <rPr>
        <sz val="10"/>
        <color theme="1"/>
        <rFont val="Arial"/>
      </rPr>
      <t>很高兴。</t>
    </r>
  </si>
  <si>
    <t>Anh ấy rõ ràng rất vui.</t>
  </si>
  <si>
    <t>H5_B28_BG39.png</t>
  </si>
  <si>
    <t>B28_39.mp3</t>
  </si>
  <si>
    <t>B28_VD_39.mp3</t>
  </si>
  <si>
    <t>thiếu, không có đủ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</si>
  <si>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缺乏</t>
    </r>
    <r>
      <rPr>
        <sz val="10"/>
        <color theme="1"/>
        <rFont val="Arial"/>
      </rPr>
      <t>经验。</t>
    </r>
  </si>
  <si>
    <t>Anh ấy thiếu kinh nghiệm.</t>
  </si>
  <si>
    <t>H5_B28_BG40.png</t>
  </si>
  <si>
    <t>B28_40.mp3</t>
  </si>
  <si>
    <t>B28_VD_40.mp3</t>
  </si>
  <si>
    <t>培养</t>
  </si>
  <si>
    <t>&lt;ruby&gt;培养&lt;rt&gt;péiyǎng&lt;/rt&gt;&lt;/ruby&gt;</t>
  </si>
  <si>
    <t>péiyǎng</t>
  </si>
  <si>
    <t>bồi dưỡng, đào tạo</t>
  </si>
  <si>
    <r>
      <rPr>
        <sz val="11"/>
        <color rgb="FF000000"/>
        <rFont val="Calibri"/>
      </rPr>
      <t>她</t>
    </r>
    <r>
      <rPr>
        <b/>
        <sz val="11"/>
        <color rgb="FF000000"/>
        <rFont val="Calibri"/>
      </rPr>
      <t>培养</t>
    </r>
    <r>
      <rPr>
        <sz val="11"/>
        <color rgb="FF000000"/>
        <rFont val="Calibri"/>
      </rPr>
      <t>了很多优秀的公司员工。</t>
    </r>
  </si>
  <si>
    <t>Cô ấy đã đào tạo nhiều nhân viên xuất sắc trong công ty.</t>
  </si>
  <si>
    <t>H5_B29_BG1.png</t>
  </si>
  <si>
    <t>B29_1.mp3</t>
  </si>
  <si>
    <t>B29_VD_1.mp3</t>
  </si>
  <si>
    <t>生态</t>
  </si>
  <si>
    <t>&lt;ruby&gt;生态&lt;rt&gt;shēngtài&lt;/rt&gt;&lt;/ruby&gt;</t>
  </si>
  <si>
    <t>shēngtài</t>
  </si>
  <si>
    <t>sinh thái học</t>
  </si>
  <si>
    <r>
      <rPr>
        <sz val="10"/>
        <color theme="1"/>
        <rFont val="Calibri"/>
      </rPr>
      <t>这幅美丽的风景展示了和谐的自然</t>
    </r>
    <r>
      <rPr>
        <b/>
        <sz val="10"/>
        <color theme="1"/>
        <rFont val="Calibri"/>
      </rPr>
      <t>生态</t>
    </r>
    <r>
      <rPr>
        <sz val="10"/>
        <color theme="1"/>
        <rFont val="Calibri"/>
      </rPr>
      <t>。</t>
    </r>
  </si>
  <si>
    <t>Bức tranh phong cảnh tuyệt đẹp này thể hiện hệ sinh thái tự nhiên hài hòa.</t>
  </si>
  <si>
    <t>H5_B29_BG2.png</t>
  </si>
  <si>
    <t>B29_2.mp3</t>
  </si>
  <si>
    <t>B29_VD_2.mp3</t>
  </si>
  <si>
    <t>生长</t>
  </si>
  <si>
    <t>&lt;ruby&gt;生长&lt;rt&gt;shēngzhǎng&lt;/rt&gt;&lt;/ruby&gt;</t>
  </si>
  <si>
    <t>shēngzhǎng</t>
  </si>
  <si>
    <t>sinh trưởng</t>
  </si>
  <si>
    <r>
      <rPr>
        <sz val="10"/>
        <color theme="1"/>
        <rFont val="Calibri"/>
      </rPr>
      <t>在阳光的照射下，树木</t>
    </r>
    <r>
      <rPr>
        <b/>
        <sz val="10"/>
        <color theme="1"/>
        <rFont val="Calibri"/>
      </rPr>
      <t>生长</t>
    </r>
    <r>
      <rPr>
        <sz val="10"/>
        <color theme="1"/>
        <rFont val="Calibri"/>
      </rPr>
      <t>得非常快。</t>
    </r>
  </si>
  <si>
    <t>Cây cối sinh trưởng rất nhanh dưới ánh nắng mặt trời.</t>
  </si>
  <si>
    <t>H5_B29_BG3.png</t>
  </si>
  <si>
    <t>B29_3.mp3</t>
  </si>
  <si>
    <t>B29_VD_3.mp3</t>
  </si>
  <si>
    <t>妨碍</t>
  </si>
  <si>
    <t>&lt;ruby&gt;妨碍&lt;rt&gt;fáng’ài&lt;/rt&gt;&lt;/ruby&gt;</t>
  </si>
  <si>
    <t>fáng’ài</t>
  </si>
  <si>
    <t>gây trở ngại, cản trở</t>
  </si>
  <si>
    <r>
      <rPr>
        <sz val="10"/>
        <color theme="1"/>
        <rFont val="Calibri"/>
      </rPr>
      <t>男孩取笑女孩，</t>
    </r>
    <r>
      <rPr>
        <b/>
        <sz val="10"/>
        <color theme="1"/>
        <rFont val="Calibri"/>
      </rPr>
      <t>妨碍</t>
    </r>
    <r>
      <rPr>
        <sz val="10"/>
        <color theme="1"/>
        <rFont val="Calibri"/>
      </rPr>
      <t>了她上学。</t>
    </r>
  </si>
  <si>
    <t xml:space="preserve">Cậu bé trêu chọc cô bé, cản trở cô bé đến trường. </t>
  </si>
  <si>
    <t>H5_B29_BG4.png</t>
  </si>
  <si>
    <t>B29_4.mp3</t>
  </si>
  <si>
    <t>B29_VD_4.mp3</t>
  </si>
  <si>
    <t>促进</t>
  </si>
  <si>
    <t>&lt;ruby&gt;促进&lt;rt&gt;cùjìn&lt;/rt&gt;&lt;/ruby&gt;</t>
  </si>
  <si>
    <t>cùjìn</t>
  </si>
  <si>
    <t>đẩy mạnh, xúc tiến</t>
  </si>
  <si>
    <r>
      <rPr>
        <sz val="10"/>
        <color theme="1"/>
        <rFont val="Calibri"/>
      </rPr>
      <t>我们需要</t>
    </r>
    <r>
      <rPr>
        <b/>
        <sz val="10"/>
        <color theme="1"/>
        <rFont val="Calibri"/>
      </rPr>
      <t>促进</t>
    </r>
    <r>
      <rPr>
        <sz val="10"/>
        <color theme="1"/>
        <rFont val="Calibri"/>
      </rPr>
      <t>经济发展。</t>
    </r>
  </si>
  <si>
    <t>Chúng ta cần thúc đẩy sự phát triển kinh tế.</t>
  </si>
  <si>
    <t>H5_B29_BG5.png</t>
  </si>
  <si>
    <t>B29_5.mp3</t>
  </si>
  <si>
    <t>B29_VD_5.mp3</t>
  </si>
  <si>
    <t>公寓</t>
  </si>
  <si>
    <t>&lt;ruby&gt;公寓&lt;rt&gt;gōngyù&lt;/rt&gt;&lt;/ruby&gt;</t>
  </si>
  <si>
    <t>gōngyù</t>
  </si>
  <si>
    <t>khu nhà ở</t>
  </si>
  <si>
    <r>
      <rPr>
        <sz val="10"/>
        <color theme="1"/>
        <rFont val="Calibri"/>
      </rPr>
      <t>他们住在一个漂亮的</t>
    </r>
    <r>
      <rPr>
        <b/>
        <sz val="10"/>
        <color theme="1"/>
        <rFont val="Calibri"/>
      </rPr>
      <t>公寓</t>
    </r>
    <r>
      <rPr>
        <sz val="10"/>
        <color theme="1"/>
        <rFont val="Calibri"/>
      </rPr>
      <t>里，常常一起站在阳台上看风景。</t>
    </r>
  </si>
  <si>
    <t>Họ sống trong một căn hộ đẹp và thường cùng nhau đứng trên ban công ngắm cảnh.</t>
  </si>
  <si>
    <t>H5_B29_BG6.png</t>
  </si>
  <si>
    <t>B29_6.mp3</t>
  </si>
  <si>
    <t>B29_VD_6.mp3</t>
  </si>
  <si>
    <t>文具</t>
  </si>
  <si>
    <t>&lt;ruby&gt;文具&lt;rt&gt;wénjù&lt;/rt&gt;&lt;/ruby&gt;</t>
  </si>
  <si>
    <t>wénjù</t>
  </si>
  <si>
    <t>đồ dùng văn phòng</t>
  </si>
  <si>
    <r>
      <rPr>
        <sz val="10"/>
        <color theme="1"/>
        <rFont val="Calibri"/>
      </rPr>
      <t>我忘了带</t>
    </r>
    <r>
      <rPr>
        <b/>
        <sz val="10"/>
        <color theme="1"/>
        <rFont val="Calibri"/>
      </rPr>
      <t>文具</t>
    </r>
    <r>
      <rPr>
        <sz val="10"/>
        <color theme="1"/>
        <rFont val="Calibri"/>
      </rPr>
      <t>了，你能借给我用一下吗？</t>
    </r>
  </si>
  <si>
    <t>Tôi quên mang đồ dùng văn phòng rồi, bạn có thể cho tôi mượn một lát không?</t>
  </si>
  <si>
    <t>H5_B29_BG7.png</t>
  </si>
  <si>
    <t>B29_7.mp3</t>
  </si>
  <si>
    <t>B29_VD_7.mp3</t>
  </si>
  <si>
    <t>电池</t>
  </si>
  <si>
    <t>&lt;ruby&gt;电池&lt;rt&gt;diànchí&lt;/rt&gt;&lt;/ruby&gt;</t>
  </si>
  <si>
    <t>diànchí</t>
  </si>
  <si>
    <t>pin</t>
  </si>
  <si>
    <r>
      <rPr>
        <sz val="10"/>
        <color theme="1"/>
        <rFont val="Calibri"/>
      </rPr>
      <t>这部手机的</t>
    </r>
    <r>
      <rPr>
        <b/>
        <sz val="10"/>
        <color theme="1"/>
        <rFont val="Calibri"/>
      </rPr>
      <t>电池</t>
    </r>
    <r>
      <rPr>
        <sz val="10"/>
        <color theme="1"/>
        <rFont val="Calibri"/>
      </rPr>
      <t>需要更换。</t>
    </r>
  </si>
  <si>
    <t>Pin của chiếc điện thoại này cần được thay thế.</t>
  </si>
  <si>
    <t>H5_B29_BG8.png</t>
  </si>
  <si>
    <t>B29_8.mp3</t>
  </si>
  <si>
    <t>B29_VD_8.mp3</t>
  </si>
  <si>
    <t>日用品</t>
  </si>
  <si>
    <t>&lt;ruby&gt;日用品&lt;rt&gt;rìyòngpǐn&lt;/rt&gt;&lt;/ruby&gt;</t>
  </si>
  <si>
    <t>rìyòngpǐn</t>
  </si>
  <si>
    <t>vật dụng hàng ngày</t>
  </si>
  <si>
    <r>
      <rPr>
        <sz val="10"/>
        <color theme="1"/>
        <rFont val="Calibri"/>
      </rPr>
      <t>这家商店出售各种各样的</t>
    </r>
    <r>
      <rPr>
        <b/>
        <sz val="10"/>
        <color theme="1"/>
        <rFont val="Calibri"/>
      </rPr>
      <t>日用品</t>
    </r>
    <r>
      <rPr>
        <sz val="10"/>
        <color theme="1"/>
        <rFont val="Calibri"/>
      </rPr>
      <t>。</t>
    </r>
  </si>
  <si>
    <t>Cửa hàng này bán đủ loại vật dụng hàng ngày.</t>
  </si>
  <si>
    <t>H5_B29_BG9.png</t>
  </si>
  <si>
    <t>B29_9.mp3</t>
  </si>
  <si>
    <t>B29_VD_9.mp3</t>
  </si>
  <si>
    <t>对象</t>
  </si>
  <si>
    <t>&lt;ruby&gt;对象&lt;rt&gt;duìxiàng&lt;/rt&gt;&lt;/ruby&gt;</t>
  </si>
  <si>
    <t>duìxiàng</t>
  </si>
  <si>
    <t>đối tượng, mục tiêu</t>
  </si>
  <si>
    <r>
      <rPr>
        <sz val="10"/>
        <color theme="1"/>
        <rFont val="Calibri"/>
      </rPr>
      <t>我们的</t>
    </r>
    <r>
      <rPr>
        <b/>
        <sz val="10"/>
        <color theme="1"/>
        <rFont val="Calibri"/>
      </rPr>
      <t>对象</t>
    </r>
    <r>
      <rPr>
        <sz val="10"/>
        <color theme="1"/>
        <rFont val="Calibri"/>
      </rPr>
      <t>是年轻人。</t>
    </r>
  </si>
  <si>
    <t>Đối tượng của chúng ta là những người trẻ.</t>
  </si>
  <si>
    <t>H5_B29_BG10.png</t>
  </si>
  <si>
    <t>B29_10.mp3</t>
  </si>
  <si>
    <t>B29_VD_10.mp3</t>
  </si>
  <si>
    <t>不如</t>
  </si>
  <si>
    <t>&lt;ruby&gt;不如&lt;rt&gt;bùrú&lt;/rt&gt;&lt;/ruby&gt;</t>
  </si>
  <si>
    <t>bùrú</t>
  </si>
  <si>
    <t>không bằng, thua kém hơn</t>
  </si>
  <si>
    <r>
      <rPr>
        <sz val="10"/>
        <color theme="1"/>
        <rFont val="Calibri"/>
      </rPr>
      <t>这个计划</t>
    </r>
    <r>
      <rPr>
        <b/>
        <sz val="10"/>
        <color theme="1"/>
        <rFont val="Calibri"/>
      </rPr>
      <t>不如</t>
    </r>
    <r>
      <rPr>
        <sz val="10"/>
        <color theme="1"/>
        <rFont val="Calibri"/>
      </rPr>
      <t>那个计划好。</t>
    </r>
  </si>
  <si>
    <t>Kế hoạch này không tốt bằng kế hoạch kia.</t>
  </si>
  <si>
    <t>H5_B29_BG11.png</t>
  </si>
  <si>
    <t>B29_11.mp3</t>
  </si>
  <si>
    <t>B29_VD_11.mp3</t>
  </si>
  <si>
    <t>干脆</t>
  </si>
  <si>
    <t>&lt;ruby&gt;干脆&lt;rt&gt;gāncuì&lt;/rt&gt;&lt;/ruby&gt;</t>
  </si>
  <si>
    <t>gāncuì</t>
  </si>
  <si>
    <t>dứt khoát, cứ</t>
  </si>
  <si>
    <r>
      <rPr>
        <sz val="10"/>
        <color theme="1"/>
        <rFont val="Calibri"/>
      </rPr>
      <t>大家都不理解他为什么</t>
    </r>
    <r>
      <rPr>
        <b/>
        <sz val="10"/>
        <color theme="1"/>
        <rFont val="Calibri"/>
      </rPr>
      <t>干脆</t>
    </r>
    <r>
      <rPr>
        <sz val="10"/>
        <color theme="1"/>
        <rFont val="Calibri"/>
      </rPr>
      <t>放弃这个难得的机会。</t>
    </r>
  </si>
  <si>
    <t>Mọi người đều khó hiểu khi anh ấy dứt khoát từ bỏ cơ hội hiếm có này.</t>
  </si>
  <si>
    <t>H5_B29_BG12.png</t>
  </si>
  <si>
    <t>B29_12.mp3</t>
  </si>
  <si>
    <t>B29_VD_12.mp3</t>
  </si>
  <si>
    <t>适当</t>
  </si>
  <si>
    <t>&lt;ruby&gt;适当&lt;rt&gt;shìdàng&lt;/rt&gt;&lt;/ruby&gt;</t>
  </si>
  <si>
    <t>shìdàng</t>
  </si>
  <si>
    <t>thích hợp, thỏa đáng</t>
  </si>
  <si>
    <r>
      <rPr>
        <sz val="10"/>
        <color theme="1"/>
        <rFont val="Calibri"/>
      </rPr>
      <t>你需要穿</t>
    </r>
    <r>
      <rPr>
        <b/>
        <sz val="10"/>
        <color theme="1"/>
        <rFont val="Calibri"/>
      </rPr>
      <t>适当</t>
    </r>
    <r>
      <rPr>
        <sz val="10"/>
        <color theme="1"/>
        <rFont val="Calibri"/>
      </rPr>
      <t>的衣服去面试。</t>
    </r>
  </si>
  <si>
    <t>Bạn cần mặc trang phục thích hợp để tham gia phỏng vấn.</t>
  </si>
  <si>
    <t>H5_B29_BG13.png</t>
  </si>
  <si>
    <t>B29_13.mp3</t>
  </si>
  <si>
    <t>B29_VD_13.mp3</t>
  </si>
  <si>
    <t>合理</t>
  </si>
  <si>
    <t>&lt;ruby&gt;合理&lt;rt&gt;hélǐ&lt;/rt&gt;&lt;/ruby&gt;</t>
  </si>
  <si>
    <t>hélǐ</t>
  </si>
  <si>
    <t>hợp lý</t>
  </si>
  <si>
    <r>
      <rPr>
        <sz val="10"/>
        <color theme="1"/>
        <rFont val="Calibri"/>
      </rPr>
      <t>这个计划非常</t>
    </r>
    <r>
      <rPr>
        <b/>
        <sz val="10"/>
        <color theme="1"/>
        <rFont val="Calibri"/>
      </rPr>
      <t>合理</t>
    </r>
    <r>
      <rPr>
        <sz val="10"/>
        <color theme="1"/>
        <rFont val="Calibri"/>
      </rPr>
      <t>。</t>
    </r>
  </si>
  <si>
    <t>Kế hoạch này rất hợp lý.</t>
  </si>
  <si>
    <t>H5_B29_BG14.png</t>
  </si>
  <si>
    <t>B29_14.mp3</t>
  </si>
  <si>
    <t>B29_VD_14.mp3</t>
  </si>
  <si>
    <t>热心</t>
  </si>
  <si>
    <t>&lt;ruby&gt;热心&lt;rt&gt;rèxīn&lt;/rt&gt;&lt;/ruby&gt;</t>
  </si>
  <si>
    <t>rèxīn</t>
  </si>
  <si>
    <t>nhiệt tình, sốt sắng</t>
  </si>
  <si>
    <r>
      <rPr>
        <sz val="10"/>
        <color theme="1"/>
        <rFont val="Arial"/>
      </rPr>
      <t>他是一个非常</t>
    </r>
    <r>
      <rPr>
        <b/>
        <sz val="10"/>
        <color theme="1"/>
        <rFont val="Arial"/>
      </rPr>
      <t>热心</t>
    </r>
    <r>
      <rPr>
        <sz val="10"/>
        <color theme="1"/>
        <rFont val="Arial"/>
      </rPr>
      <t>的人。</t>
    </r>
  </si>
  <si>
    <t>Cậu bé ấy là một người rất nhiệt tình.</t>
  </si>
  <si>
    <t>H5_B29_BG15.png</t>
  </si>
  <si>
    <t>B29_15.mp3</t>
  </si>
  <si>
    <t>B29_VD_15.mp3</t>
  </si>
  <si>
    <t>倒霉</t>
  </si>
  <si>
    <t>&lt;ruby&gt;倒霉&lt;rt&gt;dǎo méi&lt;/rt&gt;&lt;/ruby&gt;</t>
  </si>
  <si>
    <t>dǎo méi</t>
  </si>
  <si>
    <t>xui xẻo, bất hạnh</t>
  </si>
  <si>
    <r>
      <rPr>
        <sz val="10"/>
        <color theme="1"/>
        <rFont val="Arial"/>
      </rPr>
      <t>今天真</t>
    </r>
    <r>
      <rPr>
        <b/>
        <sz val="10"/>
        <color theme="1"/>
        <rFont val="Arial"/>
      </rPr>
      <t>倒霉</t>
    </r>
    <r>
      <rPr>
        <sz val="10"/>
        <color theme="1"/>
        <rFont val="Arial"/>
      </rPr>
      <t>，下雨了，不能去踢足球。</t>
    </r>
  </si>
  <si>
    <t>Hôm nay thật xui xẻo, trời mưa nên không thể đi đá bóng được.</t>
  </si>
  <si>
    <t>H5_B29_BG16.png</t>
  </si>
  <si>
    <t>B29_16.mp3</t>
  </si>
  <si>
    <t>B29_VD_16.mp3</t>
  </si>
  <si>
    <t>不见得</t>
  </si>
  <si>
    <t>&lt;ruby&gt;不见得&lt;rt&gt;bújiànde&lt;/rt&gt;&lt;/ruby&gt;</t>
  </si>
  <si>
    <t>bújiànde</t>
  </si>
  <si>
    <t>chưa chắc, không nhất thiết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</si>
  <si>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不见得</t>
    </r>
    <r>
      <rPr>
        <sz val="10"/>
        <color theme="1"/>
        <rFont val="Arial"/>
      </rPr>
      <t>能通过考试。</t>
    </r>
  </si>
  <si>
    <t>Cô bé ấy chưa chắc đã vượt qua kỳ thi.</t>
  </si>
  <si>
    <t>H5_B29_BG17.png</t>
  </si>
  <si>
    <t>B29_17.mp3</t>
  </si>
  <si>
    <t>B29_VD_17.mp3</t>
  </si>
  <si>
    <t>利润</t>
  </si>
  <si>
    <t>&lt;ruby&gt;利润&lt;rt&gt;lìrùn&lt;/rt&gt;&lt;/ruby&gt;</t>
  </si>
  <si>
    <t>lìrùn</t>
  </si>
  <si>
    <t>lợi nhuận, lãi</t>
  </si>
  <si>
    <r>
      <rPr>
        <sz val="10"/>
        <color theme="1"/>
        <rFont val="Arial"/>
      </rPr>
      <t>这家公司去年获得了很高的</t>
    </r>
    <r>
      <rPr>
        <b/>
        <sz val="10"/>
        <color theme="1"/>
        <rFont val="Arial"/>
      </rPr>
      <t>利润</t>
    </r>
    <r>
      <rPr>
        <sz val="10"/>
        <color theme="1"/>
        <rFont val="Arial"/>
      </rPr>
      <t>。</t>
    </r>
  </si>
  <si>
    <t>Công ty này đã đạt được lợi nhuận cao vào năm ngoái.</t>
  </si>
  <si>
    <t>H5_B29_BG18.png</t>
  </si>
  <si>
    <t>B29_18.mp3</t>
  </si>
  <si>
    <t>B29_VD_18.mp3</t>
  </si>
  <si>
    <t>诚信</t>
  </si>
  <si>
    <t>&lt;ruby&gt;诚信&lt;rt&gt;chéngxìn&lt;/rt&gt;&lt;/ruby&gt;</t>
  </si>
  <si>
    <t>chéngxìn</t>
  </si>
  <si>
    <t>trung thực</t>
  </si>
  <si>
    <r>
      <rPr>
        <b/>
        <sz val="10"/>
        <color theme="1"/>
        <rFont val="Arial"/>
      </rPr>
      <t>诚信</t>
    </r>
    <r>
      <rPr>
        <sz val="10"/>
        <color theme="1"/>
        <rFont val="Arial"/>
      </rPr>
      <t>是做生意最重要的品质。</t>
    </r>
  </si>
  <si>
    <t>Trung thực là phẩm chất quan trọng nhất khi làm kinh doanh.</t>
  </si>
  <si>
    <t>H5_B29_BG19.png</t>
  </si>
  <si>
    <t>B29_19.mp3</t>
  </si>
  <si>
    <t>B29_VD_19.mp3</t>
  </si>
  <si>
    <t>媒体</t>
  </si>
  <si>
    <t>&lt;ruby&gt;媒体&lt;rt&gt;méitǐ&lt;/rt&gt;&lt;/ruby&gt;</t>
  </si>
  <si>
    <t>méitǐ</t>
  </si>
  <si>
    <t>phương tiện truyền thông đại chúng</t>
  </si>
  <si>
    <r>
      <rPr>
        <b/>
        <sz val="10"/>
        <color theme="1"/>
        <rFont val="Arial"/>
      </rPr>
      <t>媒体</t>
    </r>
    <r>
      <rPr>
        <sz val="10"/>
        <color theme="1"/>
        <rFont val="Arial"/>
      </rPr>
      <t>经常报道这类新闻。</t>
    </r>
  </si>
  <si>
    <t>Các phương tiện truyền thông thường xuyên đưa tin về loại tin tức này.</t>
  </si>
  <si>
    <t>H5_B29_BG20.png</t>
  </si>
  <si>
    <t>B29_20.mp3</t>
  </si>
  <si>
    <t>B29_VD_20.mp3</t>
  </si>
  <si>
    <t>营业</t>
  </si>
  <si>
    <t>&lt;ruby&gt;营业&lt;rt&gt;yíngyè&lt;/rt&gt;&lt;/ruby&gt;</t>
  </si>
  <si>
    <t>yíngyè</t>
  </si>
  <si>
    <t>kinh doanh, buôn bán</t>
  </si>
  <si>
    <r>
      <rPr>
        <sz val="10"/>
        <color theme="1"/>
        <rFont val="Arial"/>
      </rPr>
      <t>这家商店每天早上九点开始</t>
    </r>
    <r>
      <rPr>
        <b/>
        <sz val="10"/>
        <color theme="1"/>
        <rFont val="Arial"/>
      </rPr>
      <t>营业</t>
    </r>
    <r>
      <rPr>
        <sz val="10"/>
        <color theme="1"/>
        <rFont val="Arial"/>
      </rPr>
      <t>。</t>
    </r>
  </si>
  <si>
    <t>Cửa hàng này bắt đầu mở cửa vào 9 giờ sáng mỗi ngày.</t>
  </si>
  <si>
    <t>H5_B29_BG21.png</t>
  </si>
  <si>
    <t>B29_21.mp3</t>
  </si>
  <si>
    <t>B29_VD_21.mp3</t>
  </si>
  <si>
    <t>额</t>
  </si>
  <si>
    <t>&lt;ruby&gt;额&lt;rt&gt;é&lt;/rt&gt;&lt;/ruby&gt;</t>
  </si>
  <si>
    <t>é</t>
  </si>
  <si>
    <t>số, ngạch, mức</t>
  </si>
  <si>
    <r>
      <rPr>
        <sz val="10"/>
        <color theme="1"/>
        <rFont val="Arial"/>
      </rPr>
      <t>他的销售</t>
    </r>
    <r>
      <rPr>
        <b/>
        <sz val="10"/>
        <color theme="1"/>
        <rFont val="Arial"/>
      </rPr>
      <t>额</t>
    </r>
    <r>
      <rPr>
        <sz val="10"/>
        <color theme="1"/>
        <rFont val="Arial"/>
      </rPr>
      <t>每年都在增长。</t>
    </r>
  </si>
  <si>
    <t>Mức doanh thu của anh ấy tăng mỗi năm.</t>
  </si>
  <si>
    <t>H5_B29_BG22.png</t>
  </si>
  <si>
    <t>B29_22.mp3</t>
  </si>
  <si>
    <t>B29_VD_22.mp3</t>
  </si>
  <si>
    <t>对手</t>
  </si>
  <si>
    <t>&lt;ruby&gt;对手&lt;rt&gt;duìshǒu&lt;/rt&gt;&lt;/ruby&gt;</t>
  </si>
  <si>
    <t>duìshǒu</t>
  </si>
  <si>
    <t>đối thủ, địch thủ</t>
  </si>
  <si>
    <r>
      <rPr>
        <sz val="10"/>
        <color theme="1"/>
        <rFont val="Arial"/>
      </rPr>
      <t>他的</t>
    </r>
    <r>
      <rPr>
        <b/>
        <sz val="10"/>
        <color theme="1"/>
        <rFont val="Arial"/>
      </rPr>
      <t>对手</t>
    </r>
    <r>
      <rPr>
        <sz val="10"/>
        <color theme="1"/>
        <rFont val="Arial"/>
      </rPr>
      <t>非常强大。</t>
    </r>
  </si>
  <si>
    <t>Đối thủ của anh ấy rất mạnh.</t>
  </si>
  <si>
    <t>H5_B29_BG23.png</t>
  </si>
  <si>
    <t>B29_23.mp3</t>
  </si>
  <si>
    <t>B29_VD_23.mp3</t>
  </si>
  <si>
    <t>挤</t>
  </si>
  <si>
    <t>&lt;ruby&gt;挤&lt;rt&gt;jǐ&lt;/rt&gt;&lt;/ruby&gt;</t>
  </si>
  <si>
    <t>ép, bóp, chen lấn</t>
  </si>
  <si>
    <r>
      <rPr>
        <sz val="10"/>
        <color theme="1"/>
        <rFont val="Arial"/>
      </rPr>
      <t>我们在人群中</t>
    </r>
    <r>
      <rPr>
        <b/>
        <sz val="10"/>
        <color theme="1"/>
        <rFont val="Arial"/>
      </rPr>
      <t>挤</t>
    </r>
    <r>
      <rPr>
        <sz val="10"/>
        <color theme="1"/>
        <rFont val="Arial"/>
      </rPr>
      <t>了好久。</t>
    </r>
  </si>
  <si>
    <t>Chúng tôi đã chen lấn trong đám đông một lúc lâu.</t>
  </si>
  <si>
    <t>H5_B29_BG24.png</t>
  </si>
  <si>
    <t>B29_24.mp3</t>
  </si>
  <si>
    <t>B29_VD_24.mp3</t>
  </si>
  <si>
    <t>垮</t>
  </si>
  <si>
    <t>&lt;ruby&gt;垮&lt;rt&gt;kuǎ&lt;/rt&gt;&lt;/ruby&gt;</t>
  </si>
  <si>
    <t>kuǎ</t>
  </si>
  <si>
    <t>sập, sụp đổ</t>
  </si>
  <si>
    <t>大火烧毁了整座城市，许多建筑都垮了。</t>
  </si>
  <si>
    <t>Đám cháy đã thiêu rụi cả thành phố, nhiều tòa nhà đã sụp đổ.</t>
  </si>
  <si>
    <t>H5_B29_BG25.png</t>
  </si>
  <si>
    <t>B29_25.mp3</t>
  </si>
  <si>
    <t>B29_VD_25.mp3</t>
  </si>
  <si>
    <t>垄断</t>
  </si>
  <si>
    <t>&lt;ruby&gt;垄断&lt;rt&gt;lǒngduàn&lt;/rt&gt;&lt;/ruby&gt;</t>
  </si>
  <si>
    <t>lǒngduàn</t>
  </si>
  <si>
    <t>giữ độc quyền</t>
  </si>
  <si>
    <r>
      <rPr>
        <sz val="10"/>
        <color theme="1"/>
        <rFont val="Arial"/>
      </rPr>
      <t>这个市场被几家公司</t>
    </r>
    <r>
      <rPr>
        <b/>
        <sz val="10"/>
        <color theme="1"/>
        <rFont val="Arial"/>
      </rPr>
      <t>垄断</t>
    </r>
    <r>
      <rPr>
        <sz val="10"/>
        <color theme="1"/>
        <rFont val="Arial"/>
      </rPr>
      <t>了。</t>
    </r>
  </si>
  <si>
    <t>Thị trường này đã bị mấy công ty này giữ độc quyền rồi.</t>
  </si>
  <si>
    <t>H5_B29_BG26.png</t>
  </si>
  <si>
    <t>B29_26.mp3</t>
  </si>
  <si>
    <t>B29_VD_26.mp3</t>
  </si>
  <si>
    <t>倒闭</t>
  </si>
  <si>
    <t>&lt;ruby&gt;倒闭&lt;rt&gt;dǎobì&lt;/rt&gt;&lt;/ruby&gt;</t>
  </si>
  <si>
    <t>dǎobì</t>
  </si>
  <si>
    <t>đóng cửa hẳn, sập tiệm</t>
  </si>
  <si>
    <r>
      <rPr>
        <sz val="10"/>
        <color theme="1"/>
        <rFont val="Arial"/>
      </rPr>
      <t>那家商店因为经营不善而</t>
    </r>
    <r>
      <rPr>
        <b/>
        <sz val="10"/>
        <color theme="1"/>
        <rFont val="Arial"/>
      </rPr>
      <t>倒闭</t>
    </r>
    <r>
      <rPr>
        <sz val="10"/>
        <color theme="1"/>
        <rFont val="Arial"/>
      </rPr>
      <t>了。</t>
    </r>
  </si>
  <si>
    <t>Cửa hàng đó đã đóng cửa vì làm ăn không tốt.</t>
  </si>
  <si>
    <t>H5_B29_BG27.png</t>
  </si>
  <si>
    <t>B29_27.mp3</t>
  </si>
  <si>
    <t>B29_VD_27.mp3</t>
  </si>
  <si>
    <t>资金</t>
  </si>
  <si>
    <t>&lt;ruby&gt;资金&lt;rt&gt;zījīn&lt;/rt&gt;&lt;/ruby&gt;</t>
  </si>
  <si>
    <t>zījīn</t>
  </si>
  <si>
    <t>tiền vốn</t>
  </si>
  <si>
    <r>
      <rPr>
        <sz val="10"/>
        <color theme="1"/>
        <rFont val="Arial"/>
      </rPr>
      <t>公司缺少足够的</t>
    </r>
    <r>
      <rPr>
        <b/>
        <sz val="10"/>
        <color theme="1"/>
        <rFont val="Arial"/>
      </rPr>
      <t>资金</t>
    </r>
    <r>
      <rPr>
        <sz val="10"/>
        <color theme="1"/>
        <rFont val="Arial"/>
      </rPr>
      <t>来扩大业务。</t>
    </r>
  </si>
  <si>
    <t>Công ty thiếu đủ tiền vốn để mở rộng kinh doanh.</t>
  </si>
  <si>
    <t>H5_B29_BG28.png</t>
  </si>
  <si>
    <t>B29_28.mp3</t>
  </si>
  <si>
    <t>B29_VD_28.mp3</t>
  </si>
  <si>
    <t>傻</t>
  </si>
  <si>
    <t>&lt;ruby&gt;傻&lt;rt&gt;shǎ&lt;/rt&gt;&lt;/ruby&gt;</t>
  </si>
  <si>
    <t>shǎ</t>
  </si>
  <si>
    <t>dại dột, đần độn</t>
  </si>
  <si>
    <r>
      <rPr>
        <sz val="10"/>
        <color theme="1"/>
        <rFont val="Calibri"/>
      </rPr>
      <t>那个男孩因为做了</t>
    </r>
    <r>
      <rPr>
        <b/>
        <sz val="10"/>
        <color theme="1"/>
        <rFont val="Calibri"/>
      </rPr>
      <t>傻</t>
    </r>
    <r>
      <rPr>
        <sz val="10"/>
        <color theme="1"/>
        <rFont val="Calibri"/>
      </rPr>
      <t>事被爸爸骂了。</t>
    </r>
  </si>
  <si>
    <t xml:space="preserve">Cậu bé bị bố mắng vì làm chuyện ngốc nghếch.
</t>
  </si>
  <si>
    <t>H5_B29_BG29.png</t>
  </si>
  <si>
    <t>B29_29.mp3</t>
  </si>
  <si>
    <t>B29_VD_29.mp3</t>
  </si>
  <si>
    <t>商业</t>
  </si>
  <si>
    <t>&lt;ruby&gt;商业&lt;rt&gt;shāngyè&lt;/rt&gt;&lt;/ruby&gt;</t>
  </si>
  <si>
    <t>shāngyè</t>
  </si>
  <si>
    <t>thương mại, thương nghiệp</t>
  </si>
  <si>
    <r>
      <rPr>
        <sz val="10"/>
        <color theme="1"/>
        <rFont val="Arial"/>
      </rPr>
      <t>这个城市的</t>
    </r>
    <r>
      <rPr>
        <b/>
        <sz val="10"/>
        <color theme="1"/>
        <rFont val="Arial"/>
      </rPr>
      <t>商业</t>
    </r>
    <r>
      <rPr>
        <sz val="10"/>
        <color theme="1"/>
        <rFont val="Arial"/>
      </rPr>
      <t>非常发达。</t>
    </r>
  </si>
  <si>
    <t>Hoạt động thương mại ở thành phố này rất phát triển.</t>
  </si>
  <si>
    <t>H5_B29_BG30.png</t>
  </si>
  <si>
    <t>B29_30.mp3</t>
  </si>
  <si>
    <t>B29_VD_30.mp3</t>
  </si>
  <si>
    <t>领域</t>
  </si>
  <si>
    <t>&lt;ruby&gt;领域&lt;rt&gt;lǐngyù&lt;/rt&gt;&lt;/ruby&gt;</t>
  </si>
  <si>
    <t>lǐngyù</t>
  </si>
  <si>
    <t>lĩnh vực, phạm vi</t>
  </si>
  <si>
    <r>
      <rPr>
        <sz val="10"/>
        <color theme="1"/>
        <rFont val="Arial"/>
      </rPr>
      <t>他在医学</t>
    </r>
    <r>
      <rPr>
        <b/>
        <sz val="10"/>
        <color theme="1"/>
        <rFont val="Arial"/>
      </rPr>
      <t>领域</t>
    </r>
    <r>
      <rPr>
        <sz val="10"/>
        <color theme="1"/>
        <rFont val="Arial"/>
      </rPr>
      <t>有很高的成就。</t>
    </r>
  </si>
  <si>
    <t>Cô ấy có thành tựu cao trong lĩnh vực y học.</t>
  </si>
  <si>
    <t>H5_B29_BG31.png</t>
  </si>
  <si>
    <t>B29_31.mp3</t>
  </si>
  <si>
    <t>B29_VD_31.mp3</t>
  </si>
  <si>
    <t>促使</t>
  </si>
  <si>
    <t>&lt;ruby&gt;促使&lt;rt&gt;cùshǐ&lt;/rt&gt;&lt;/ruby&gt;</t>
  </si>
  <si>
    <t>cùshǐ</t>
  </si>
  <si>
    <t>thúc đẩy, thúc giục</t>
  </si>
  <si>
    <r>
      <rPr>
        <sz val="10"/>
        <color theme="1"/>
        <rFont val="Arial"/>
      </rPr>
      <t>这个新政策</t>
    </r>
    <r>
      <rPr>
        <b/>
        <sz val="10"/>
        <color theme="1"/>
        <rFont val="Arial"/>
      </rPr>
      <t>促使</t>
    </r>
    <r>
      <rPr>
        <sz val="10"/>
        <color theme="1"/>
        <rFont val="Arial"/>
      </rPr>
      <t>经济增长。</t>
    </r>
  </si>
  <si>
    <t>Chính sách mới này thúc đẩy sự phát triển kinh tế.</t>
  </si>
  <si>
    <t>H5_B29_BG32.png</t>
  </si>
  <si>
    <t>B29_32.mp3</t>
  </si>
  <si>
    <t>B29_VD_32.mp3</t>
  </si>
  <si>
    <t>利益</t>
  </si>
  <si>
    <t>&lt;ruby&gt;利益&lt;rt&gt;lìyì&lt;/rt&gt;&lt;/ruby&gt;</t>
  </si>
  <si>
    <t>lìyì</t>
  </si>
  <si>
    <t>lợi ích</t>
  </si>
  <si>
    <r>
      <rPr>
        <sz val="10"/>
        <color theme="1"/>
        <rFont val="Arial"/>
      </rPr>
      <t>我们要考虑公司的长远</t>
    </r>
    <r>
      <rPr>
        <b/>
        <sz val="10"/>
        <color theme="1"/>
        <rFont val="Arial"/>
      </rPr>
      <t>利益</t>
    </r>
    <r>
      <rPr>
        <sz val="10"/>
        <color theme="1"/>
        <rFont val="Arial"/>
      </rPr>
      <t>。</t>
    </r>
  </si>
  <si>
    <t>Chúng ta phải cân nhắc lợi ích lâu dài của công ty.</t>
  </si>
  <si>
    <t>H5_B29_BG33.png</t>
  </si>
  <si>
    <t>B29_33.mp3</t>
  </si>
  <si>
    <t>B29_VD_33.mp3</t>
  </si>
  <si>
    <t>万一</t>
  </si>
  <si>
    <t>&lt;ruby&gt;万一&lt;rt&gt;wànyī&lt;/rt&gt;&lt;/ruby&gt;</t>
  </si>
  <si>
    <t>wànyī</t>
  </si>
  <si>
    <t>ngộ nhỡ</t>
  </si>
  <si>
    <r>
      <rPr>
        <b/>
        <sz val="10"/>
        <color theme="1"/>
        <rFont val="Arial"/>
      </rPr>
      <t>万一</t>
    </r>
    <r>
      <rPr>
        <sz val="10"/>
        <color theme="1"/>
        <rFont val="Arial"/>
      </rPr>
      <t>明天下雨，我们就改天再去。</t>
    </r>
  </si>
  <si>
    <t>Nếu ngày mai trời mưa, chúng ta sẽ đi vào ngày khác.</t>
  </si>
  <si>
    <t>H5_B29_BG34.png</t>
  </si>
  <si>
    <t>B29_34.mp3</t>
  </si>
  <si>
    <t>B29_VD_34.mp3</t>
  </si>
  <si>
    <t>维持</t>
  </si>
  <si>
    <t>&lt;ruby&gt;维持&lt;rt&gt;wéichí&lt;/rt&gt;&lt;/ruby&gt;</t>
  </si>
  <si>
    <t>wéichí</t>
  </si>
  <si>
    <t>duy trì, giữ lại</t>
  </si>
  <si>
    <r>
      <rPr>
        <sz val="10"/>
        <color theme="1"/>
        <rFont val="Arial"/>
      </rPr>
      <t>他每天锻炼身体，以</t>
    </r>
    <r>
      <rPr>
        <b/>
        <sz val="10"/>
        <color theme="1"/>
        <rFont val="Arial"/>
      </rPr>
      <t>维持</t>
    </r>
    <r>
      <rPr>
        <sz val="10"/>
        <color theme="1"/>
        <rFont val="Arial"/>
      </rPr>
      <t>健康。</t>
    </r>
  </si>
  <si>
    <t>Anh ấy tập thể dục hàng ngày để duy trì sức khỏe.</t>
  </si>
  <si>
    <t>H5_B29_BG35.png</t>
  </si>
  <si>
    <t>B29_35.mp3</t>
  </si>
  <si>
    <t>B29_VD_35.mp3</t>
  </si>
  <si>
    <t>饱和</t>
  </si>
  <si>
    <t>&lt;ruby&gt;饱和&lt;rt&gt;bǎohé&lt;/rt&gt;&lt;/ruby&gt;</t>
  </si>
  <si>
    <t>bǎohé</t>
  </si>
  <si>
    <t>làm bão hòa</t>
  </si>
  <si>
    <r>
      <rPr>
        <sz val="10"/>
        <color theme="1"/>
        <rFont val="Arial"/>
      </rPr>
      <t>这种商品已经</t>
    </r>
    <r>
      <rPr>
        <b/>
        <sz val="10"/>
        <color theme="1"/>
        <rFont val="Arial"/>
      </rPr>
      <t>饱和</t>
    </r>
    <r>
      <rPr>
        <sz val="10"/>
        <color theme="1"/>
        <rFont val="Arial"/>
      </rPr>
      <t>。</t>
    </r>
  </si>
  <si>
    <t>Sản phẩm này đã bão hòa.</t>
  </si>
  <si>
    <t>H5_B29_BG36.png</t>
  </si>
  <si>
    <t>B29_36.mp3</t>
  </si>
  <si>
    <t>B29_VD_36.mp3</t>
  </si>
  <si>
    <t>沙丁鱼</t>
  </si>
  <si>
    <t>&lt;ruby&gt;沙丁鱼&lt;rt&gt;shādīngyú&lt;/rt&gt;&lt;/ruby&gt;</t>
  </si>
  <si>
    <t>shādīngyú</t>
  </si>
  <si>
    <t>cá mòi</t>
  </si>
  <si>
    <r>
      <rPr>
        <sz val="11"/>
        <color rgb="FF000000"/>
        <rFont val="Calibri"/>
      </rPr>
      <t>我刚买了一盒</t>
    </r>
    <r>
      <rPr>
        <b/>
        <sz val="11"/>
        <color rgb="FF000000"/>
        <rFont val="Calibri"/>
      </rPr>
      <t>沙丁鱼</t>
    </r>
    <r>
      <rPr>
        <sz val="11"/>
        <color rgb="FF000000"/>
        <rFont val="Calibri"/>
      </rPr>
      <t>。</t>
    </r>
  </si>
  <si>
    <t>Tôi mới mua một hộp cá mòi.</t>
  </si>
  <si>
    <t>H5_B30_BG1.png</t>
  </si>
  <si>
    <t>B30_1.mp3</t>
  </si>
  <si>
    <t>B30_VD_1.mp3</t>
  </si>
  <si>
    <t>运输</t>
  </si>
  <si>
    <t>&lt;ruby&gt;运输&lt;rt&gt;yùnshū&lt;/rt&gt;&lt;/ruby&gt;</t>
  </si>
  <si>
    <t>yùnshū</t>
  </si>
  <si>
    <t>vận chuyển</t>
  </si>
  <si>
    <r>
      <rPr>
        <sz val="10"/>
        <color theme="1"/>
        <rFont val="Arial"/>
      </rPr>
      <t>这家公司专门</t>
    </r>
    <r>
      <rPr>
        <b/>
        <sz val="10"/>
        <color theme="1"/>
        <rFont val="Arial"/>
      </rPr>
      <t>运输</t>
    </r>
    <r>
      <rPr>
        <sz val="10"/>
        <color theme="1"/>
        <rFont val="Arial"/>
      </rPr>
      <t>新鲜水果。</t>
    </r>
  </si>
  <si>
    <t>Công ty này chuyên vận chuyển trái cây tươi.</t>
  </si>
  <si>
    <t>H5_B30_BG2.png</t>
  </si>
  <si>
    <t>B30_2.mp3</t>
  </si>
  <si>
    <t>B30_VD_2.mp3</t>
  </si>
  <si>
    <t>岸</t>
  </si>
  <si>
    <t>&lt;ruby&gt;岸&lt;rt&gt;àn&lt;/rt&gt;&lt;/ruby&gt;</t>
  </si>
  <si>
    <t>bờ (sông, biển...)</t>
  </si>
  <si>
    <r>
      <rPr>
        <sz val="10"/>
        <color theme="1"/>
        <rFont val="Arial"/>
      </rPr>
      <t>夕阳缓缓落下，映照在湖</t>
    </r>
    <r>
      <rPr>
        <b/>
        <sz val="10"/>
        <color theme="1"/>
        <rFont val="Arial"/>
      </rPr>
      <t>岸</t>
    </r>
    <r>
      <rPr>
        <sz val="10"/>
        <color theme="1"/>
        <rFont val="Arial"/>
      </rPr>
      <t>上，美得让人陶醉。</t>
    </r>
  </si>
  <si>
    <t>Mặt trời lặn chầm chậm, chiếu ánh sáng lên bờ hồ, đẹp đến say lòng người.</t>
  </si>
  <si>
    <t>H5_B30_BG3.png</t>
  </si>
  <si>
    <t>B30_3.mp3</t>
  </si>
  <si>
    <t>B30_VD_3.mp3</t>
  </si>
  <si>
    <t>商品</t>
  </si>
  <si>
    <t>&lt;ruby&gt;商品&lt;rt&gt;shāngpǐn&lt;/rt&gt;&lt;/ruby&gt;</t>
  </si>
  <si>
    <t>shāngpǐn</t>
  </si>
  <si>
    <t>hàng hóa</t>
  </si>
  <si>
    <r>
      <rPr>
        <sz val="10"/>
        <color theme="1"/>
        <rFont val="Arial"/>
      </rPr>
      <t>这家超市的</t>
    </r>
    <r>
      <rPr>
        <b/>
        <sz val="10"/>
        <color theme="1"/>
        <rFont val="Arial"/>
      </rPr>
      <t>商品</t>
    </r>
    <r>
      <rPr>
        <sz val="10"/>
        <color theme="1"/>
        <rFont val="Arial"/>
      </rPr>
      <t>种类很多。</t>
    </r>
  </si>
  <si>
    <t>Siêu thị này có rất nhiều loại hàng hóa.</t>
  </si>
  <si>
    <t>H5_B30_BG4.png</t>
  </si>
  <si>
    <t>B30_4.mp3</t>
  </si>
  <si>
    <t>B30_VD_4.mp3</t>
  </si>
  <si>
    <t>延长</t>
  </si>
  <si>
    <t>&lt;ruby&gt;延长&lt;rt&gt;yáncháng&lt;/rt&gt;&lt;/ruby&gt;</t>
  </si>
  <si>
    <t>yáncháng</t>
  </si>
  <si>
    <t>kéo dài</t>
  </si>
  <si>
    <r>
      <rPr>
        <sz val="10"/>
        <color theme="1"/>
        <rFont val="Arial"/>
      </rPr>
      <t>会议的时间被</t>
    </r>
    <r>
      <rPr>
        <b/>
        <sz val="10"/>
        <color theme="1"/>
        <rFont val="Arial"/>
      </rPr>
      <t>延长</t>
    </r>
    <r>
      <rPr>
        <sz val="10"/>
        <color theme="1"/>
        <rFont val="Arial"/>
      </rPr>
      <t>了一小时。</t>
    </r>
  </si>
  <si>
    <t>Thời gian cuộc họp đã bị kéo dài thêm một giờ.</t>
  </si>
  <si>
    <t>H5_B30_BG5.png</t>
  </si>
  <si>
    <t>B30_5.mp3</t>
  </si>
  <si>
    <t>B30_VD_5.mp3</t>
  </si>
  <si>
    <t>存活</t>
  </si>
  <si>
    <t>&lt;ruby&gt;存活&lt;rt&gt;cúnhuó&lt;/rt&gt;&lt;/ruby&gt;</t>
  </si>
  <si>
    <t>cúnhuó</t>
  </si>
  <si>
    <t>sống sót, tồn tại</t>
  </si>
  <si>
    <r>
      <rPr>
        <sz val="10"/>
        <color theme="1"/>
        <rFont val="Arial"/>
      </rPr>
      <t>在极端天气下，只有少数动物能够</t>
    </r>
    <r>
      <rPr>
        <b/>
        <sz val="10"/>
        <color theme="1"/>
        <rFont val="Arial"/>
      </rPr>
      <t>存活</t>
    </r>
    <r>
      <rPr>
        <sz val="10"/>
        <color theme="1"/>
        <rFont val="Arial"/>
      </rPr>
      <t>。</t>
    </r>
  </si>
  <si>
    <t>Trong điều kiện thời tiết khắc nghiệt, chỉ có một số ít động vật có thể sống sót.</t>
  </si>
  <si>
    <t>H5_B30_BG6.png</t>
  </si>
  <si>
    <t>B30_6.mp3</t>
  </si>
  <si>
    <t>B30_VD_6.mp3</t>
  </si>
  <si>
    <t>改善</t>
  </si>
  <si>
    <t>&lt;ruby&gt;改善&lt;rt&gt;gǎishàn&lt;/rt&gt;&lt;/ruby&gt;</t>
  </si>
  <si>
    <t>gǎishàn</t>
  </si>
  <si>
    <t>cải thiện</t>
  </si>
  <si>
    <r>
      <rPr>
        <sz val="10"/>
        <color theme="1"/>
        <rFont val="Arial"/>
      </rPr>
      <t>他们正在努力</t>
    </r>
    <r>
      <rPr>
        <b/>
        <sz val="10"/>
        <color theme="1"/>
        <rFont val="Arial"/>
      </rPr>
      <t>改善</t>
    </r>
    <r>
      <rPr>
        <sz val="10"/>
        <color theme="1"/>
        <rFont val="Arial"/>
      </rPr>
      <t>工作环境。</t>
    </r>
  </si>
  <si>
    <t>Họ đang cố gắng cải thiện môi trường làm việc.</t>
  </si>
  <si>
    <t>H5_B30_BG7.png</t>
  </si>
  <si>
    <t>B30_7.mp3</t>
  </si>
  <si>
    <t>B30_VD_7.mp3</t>
  </si>
  <si>
    <t>比例</t>
  </si>
  <si>
    <t>&lt;ruby&gt;比例&lt;rt&gt;bǐlì&lt;/rt&gt;&lt;/ruby&gt;</t>
  </si>
  <si>
    <t>bǐlì</t>
  </si>
  <si>
    <t>tỷ lệ</t>
  </si>
  <si>
    <r>
      <rPr>
        <sz val="10"/>
        <color theme="1"/>
        <rFont val="Arial"/>
      </rPr>
      <t>这幅画的颜色</t>
    </r>
    <r>
      <rPr>
        <b/>
        <sz val="10"/>
        <color theme="1"/>
        <rFont val="Arial"/>
      </rPr>
      <t>比例</t>
    </r>
    <r>
      <rPr>
        <sz val="10"/>
        <color theme="1"/>
        <rFont val="Arial"/>
      </rPr>
      <t>很和谐</t>
    </r>
  </si>
  <si>
    <t>Tỷ lệ màu sắc trong bức tranh này rất hài hòa.</t>
  </si>
  <si>
    <t>H5_B30_BG8.png</t>
  </si>
  <si>
    <t>B30_8.mp3</t>
  </si>
  <si>
    <t>B30_VD_8.mp3</t>
  </si>
  <si>
    <t>员工</t>
  </si>
  <si>
    <t>&lt;ruby&gt;员工&lt;rt&gt;yuángōng&lt;/rt&gt;&lt;/ruby&gt;</t>
  </si>
  <si>
    <t>yuángōng</t>
  </si>
  <si>
    <t>công nhân viên</t>
  </si>
  <si>
    <r>
      <rPr>
        <sz val="10"/>
        <color theme="1"/>
        <rFont val="Arial"/>
      </rPr>
      <t>公司给优秀</t>
    </r>
    <r>
      <rPr>
        <b/>
        <sz val="10"/>
        <color theme="1"/>
        <rFont val="Arial"/>
      </rPr>
      <t>员工</t>
    </r>
    <r>
      <rPr>
        <sz val="10"/>
        <color theme="1"/>
        <rFont val="Arial"/>
      </rPr>
      <t>发了奖金</t>
    </r>
  </si>
  <si>
    <t>Công ty đã phát thưởng cho nhân viên xuất sắc.</t>
  </si>
  <si>
    <t>H5_B30_BG9.png</t>
  </si>
  <si>
    <t>B30_9.mp3</t>
  </si>
  <si>
    <t>B30_VD_9.mp3</t>
  </si>
  <si>
    <t>实用</t>
  </si>
  <si>
    <t>&lt;ruby&gt;实用&lt;rt&gt;shíyòng&lt;/rt&gt;&lt;/ruby&gt;</t>
  </si>
  <si>
    <t>shíyòng</t>
  </si>
  <si>
    <t>thực dụng</t>
  </si>
  <si>
    <r>
      <rPr>
        <sz val="10"/>
        <color theme="1"/>
        <rFont val="Arial"/>
      </rPr>
      <t>这本词典非常</t>
    </r>
    <r>
      <rPr>
        <b/>
        <sz val="10"/>
        <color theme="1"/>
        <rFont val="Arial"/>
      </rPr>
      <t>实用</t>
    </r>
    <r>
      <rPr>
        <sz val="10"/>
        <color theme="1"/>
        <rFont val="Arial"/>
      </rPr>
      <t>。</t>
    </r>
  </si>
  <si>
    <t>Cuốn từ điển này rất thực dụng.</t>
  </si>
  <si>
    <t>H5_B30_BG10.png</t>
  </si>
  <si>
    <t>B30_10.mp3</t>
  </si>
  <si>
    <t>B30_VD_10.mp3</t>
  </si>
  <si>
    <t>鲇鱼</t>
  </si>
  <si>
    <t>&lt;ruby&gt;鲇鱼&lt;rt&gt;niányú&lt;/rt&gt;&lt;/ruby&gt;</t>
  </si>
  <si>
    <t>niányú</t>
  </si>
  <si>
    <t>cá nheo</t>
  </si>
  <si>
    <r>
      <rPr>
        <sz val="10"/>
        <color theme="1"/>
        <rFont val="Arial"/>
      </rPr>
      <t>这条河里有很多</t>
    </r>
    <r>
      <rPr>
        <b/>
        <sz val="10"/>
        <color theme="1"/>
        <rFont val="Arial"/>
      </rPr>
      <t>鲇鱼</t>
    </r>
    <r>
      <rPr>
        <sz val="10"/>
        <color theme="1"/>
        <rFont val="Arial"/>
      </rPr>
      <t>。</t>
    </r>
  </si>
  <si>
    <t>Con sông này có rất nhiều cá nheo.</t>
  </si>
  <si>
    <t>H5_B30_BG11.png</t>
  </si>
  <si>
    <t>B30_11.mp3</t>
  </si>
  <si>
    <t>B30_VD_11.mp3</t>
  </si>
  <si>
    <t>设备</t>
  </si>
  <si>
    <t>&lt;ruby&gt;设备&lt;rt&gt;shèbèi&lt;/rt&gt;&lt;/ruby&gt;</t>
  </si>
  <si>
    <t>shèbèi</t>
  </si>
  <si>
    <t>thiết bị, dụng cụ</t>
  </si>
  <si>
    <r>
      <rPr>
        <sz val="10"/>
        <color theme="1"/>
        <rFont val="Arial"/>
      </rPr>
      <t>我们买了一些新的办公</t>
    </r>
    <r>
      <rPr>
        <b/>
        <sz val="10"/>
        <color theme="1"/>
        <rFont val="Arial"/>
      </rPr>
      <t>设备</t>
    </r>
    <r>
      <rPr>
        <sz val="10"/>
        <color theme="1"/>
        <rFont val="Arial"/>
      </rPr>
      <t>。</t>
    </r>
  </si>
  <si>
    <t>Chúng tôi đã mua một số thiết bị văn phòng mới.</t>
  </si>
  <si>
    <t>H5_B30_BG12.png</t>
  </si>
  <si>
    <t>B30_12.mp3</t>
  </si>
  <si>
    <t>B30_VD_12.mp3</t>
  </si>
  <si>
    <t>构成</t>
  </si>
  <si>
    <t>&lt;ruby&gt;构成&lt;rt&gt;gòuchéng&lt;/rt&gt;&lt;/ruby&gt;</t>
  </si>
  <si>
    <t>gòuchéng</t>
  </si>
  <si>
    <t>tạo thành, hình thành</t>
  </si>
  <si>
    <r>
      <rPr>
        <sz val="10"/>
        <color theme="1"/>
        <rFont val="Arial"/>
      </rPr>
      <t>这些书</t>
    </r>
    <r>
      <rPr>
        <b/>
        <sz val="10"/>
        <color theme="1"/>
        <rFont val="Arial"/>
      </rPr>
      <t>构成</t>
    </r>
    <r>
      <rPr>
        <sz val="10"/>
        <color theme="1"/>
        <rFont val="Arial"/>
      </rPr>
      <t>了我整个大学时代的记忆。</t>
    </r>
  </si>
  <si>
    <t>Những cuốn sách này tạo thành ký ức suốt thời đại học của tôi.</t>
  </si>
  <si>
    <t>H5_B30_BG13.png</t>
  </si>
  <si>
    <t>B30_13.mp3</t>
  </si>
  <si>
    <t>B30_VD_13.mp3</t>
  </si>
  <si>
    <t>有利</t>
  </si>
  <si>
    <t>&lt;ruby&gt;有利&lt;rt&gt;yǒulì&lt;/rt&gt;&lt;/ruby&gt;</t>
  </si>
  <si>
    <t>yǒulì</t>
  </si>
  <si>
    <t>có lợi, có ích</t>
  </si>
  <si>
    <r>
      <rPr>
        <sz val="10"/>
        <color theme="1"/>
        <rFont val="Arial"/>
      </rPr>
      <t>早睡早起对健康</t>
    </r>
    <r>
      <rPr>
        <b/>
        <sz val="10"/>
        <color theme="1"/>
        <rFont val="Arial"/>
      </rPr>
      <t>有利</t>
    </r>
    <r>
      <rPr>
        <sz val="10"/>
        <color theme="1"/>
        <rFont val="Arial"/>
      </rPr>
      <t>。</t>
    </r>
  </si>
  <si>
    <t>Ngủ sớm dậy sớm có lợi cho sức khỏe.</t>
  </si>
  <si>
    <t>H5_B30_BG14.png</t>
  </si>
  <si>
    <t>B30_14.mp3</t>
  </si>
  <si>
    <t>B30_VD_14.mp3</t>
  </si>
  <si>
    <t>挖掘</t>
  </si>
  <si>
    <t>&lt;ruby&gt;挖掘&lt;rt&gt;wājué&lt;/rt&gt;&lt;/ruby&gt;</t>
  </si>
  <si>
    <t>wājué</t>
  </si>
  <si>
    <t>khai thác, đào</t>
  </si>
  <si>
    <r>
      <rPr>
        <sz val="10"/>
        <color theme="1"/>
        <rFont val="Arial"/>
      </rPr>
      <t>科学家正在</t>
    </r>
    <r>
      <rPr>
        <b/>
        <sz val="10"/>
        <color theme="1"/>
        <rFont val="Arial"/>
      </rPr>
      <t>挖掘</t>
    </r>
    <r>
      <rPr>
        <sz val="10"/>
        <color theme="1"/>
        <rFont val="Arial"/>
      </rPr>
      <t>古代遗址。</t>
    </r>
  </si>
  <si>
    <t>Các nhà khoa học đang khai quật di tích cổ đại.</t>
  </si>
  <si>
    <t>H5_B30_BG15.png</t>
  </si>
  <si>
    <t>B30_15.mp3</t>
  </si>
  <si>
    <t>B30_VD_15.mp3</t>
  </si>
  <si>
    <t>潜力</t>
  </si>
  <si>
    <t>&lt;ruby&gt;潜力&lt;rt&gt;qiánlì&lt;/rt&gt;&lt;/ruby&gt;</t>
  </si>
  <si>
    <t>qiánlì</t>
  </si>
  <si>
    <t>tiềm lực</t>
  </si>
  <si>
    <r>
      <rPr>
        <sz val="10"/>
        <color theme="1"/>
        <rFont val="Arial"/>
      </rPr>
      <t>每个孩子都有无限的</t>
    </r>
    <r>
      <rPr>
        <b/>
        <sz val="10"/>
        <color theme="1"/>
        <rFont val="Arial"/>
      </rPr>
      <t>潜力</t>
    </r>
    <r>
      <rPr>
        <sz val="10"/>
        <color theme="1"/>
        <rFont val="Arial"/>
      </rPr>
      <t>，只要有梦想，就能实现。</t>
    </r>
  </si>
  <si>
    <t>Mỗi đứa trẻ đều có tiềm năng vô hạn, chỉ cần có ước mơ là có thể thực hiện được.</t>
  </si>
  <si>
    <t>H5_B30_BG16.png</t>
  </si>
  <si>
    <t>B30_16.mp3</t>
  </si>
  <si>
    <t>B30_VD_16.mp3</t>
  </si>
  <si>
    <t>和平</t>
  </si>
  <si>
    <t>&lt;ruby&gt;和平&lt;rt&gt;hépíng&lt;/rt&gt;&lt;/ruby&gt;</t>
  </si>
  <si>
    <t>hépíng</t>
  </si>
  <si>
    <t>hòa bình</t>
  </si>
  <si>
    <r>
      <rPr>
        <sz val="10"/>
        <color theme="1"/>
        <rFont val="Arial"/>
      </rPr>
      <t>世界</t>
    </r>
    <r>
      <rPr>
        <b/>
        <sz val="10"/>
        <color theme="1"/>
        <rFont val="Arial"/>
      </rPr>
      <t>和平</t>
    </r>
    <r>
      <rPr>
        <sz val="10"/>
        <color theme="1"/>
        <rFont val="Arial"/>
      </rPr>
      <t>是我们的共同愿望。</t>
    </r>
  </si>
  <si>
    <t>Hòa bình thế giới là mong ước chung của chúng ta.</t>
  </si>
  <si>
    <t>H5_B30_BG17.png</t>
  </si>
  <si>
    <t>B30_17.mp3</t>
  </si>
  <si>
    <t>B30_VD_17.mp3</t>
  </si>
  <si>
    <t>天敌</t>
  </si>
  <si>
    <t>&lt;ruby&gt;天敌&lt;rt&gt;tiāndí&lt;/rt&gt;&lt;/ruby&gt;</t>
  </si>
  <si>
    <t>tiāndí</t>
  </si>
  <si>
    <t>kẻ thù tự nhiên</t>
  </si>
  <si>
    <r>
      <rPr>
        <sz val="10"/>
        <color theme="1"/>
        <rFont val="Arial"/>
      </rPr>
      <t>兔子的</t>
    </r>
    <r>
      <rPr>
        <b/>
        <sz val="10"/>
        <color theme="1"/>
        <rFont val="Arial"/>
      </rPr>
      <t>天敌</t>
    </r>
    <r>
      <rPr>
        <sz val="10"/>
        <color theme="1"/>
        <rFont val="Arial"/>
      </rPr>
      <t>是狼和狐狸。</t>
    </r>
  </si>
  <si>
    <t>Kẻ thù tự nhiên của thỏ là chó sói và cáo.</t>
  </si>
  <si>
    <t>H5_B30_BG18.png</t>
  </si>
  <si>
    <t>B30_18.mp3</t>
  </si>
  <si>
    <t>B30_VD_18.mp3</t>
  </si>
  <si>
    <t>无意</t>
  </si>
  <si>
    <t>&lt;ruby&gt;无意&lt;rt&gt;wúyì&lt;/rt&gt;&lt;/ruby&gt;</t>
  </si>
  <si>
    <t>wúyì</t>
  </si>
  <si>
    <t>tình cờ</t>
  </si>
  <si>
    <r>
      <rPr>
        <sz val="10"/>
        <color theme="1"/>
        <rFont val="Arial"/>
      </rPr>
      <t>我</t>
    </r>
    <r>
      <rPr>
        <b/>
        <sz val="10"/>
        <color theme="1"/>
        <rFont val="Arial"/>
      </rPr>
      <t>无意</t>
    </r>
    <r>
      <rPr>
        <sz val="10"/>
        <color theme="1"/>
        <rFont val="Arial"/>
      </rPr>
      <t>中发现了一张旧照片。</t>
    </r>
  </si>
  <si>
    <t>Tôi tình cờ phát hiện một bức ảnh cũ.</t>
  </si>
  <si>
    <t>H5_B30_BG19.png</t>
  </si>
  <si>
    <t>B30_19.mp3</t>
  </si>
  <si>
    <t>B30_VD_19.mp3</t>
  </si>
  <si>
    <t>巧妙</t>
  </si>
  <si>
    <t>&lt;ruby&gt;巧妙&lt;rt&gt;qiǎomiào&lt;/rt&gt;&lt;/ruby&gt;</t>
  </si>
  <si>
    <t>qiǎomiào</t>
  </si>
  <si>
    <t>khéo léo, tài tình, hay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</si>
  <si>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巧妙</t>
    </r>
    <r>
      <rPr>
        <sz val="10"/>
        <color theme="1"/>
        <rFont val="Arial"/>
      </rPr>
      <t>地解决了这个难题。</t>
    </r>
  </si>
  <si>
    <t>Anh ấy đã khéo léo giải quyết vấn đề này.</t>
  </si>
  <si>
    <t>H5_B30_BG20.png</t>
  </si>
  <si>
    <t>B30_20.mp3</t>
  </si>
  <si>
    <t>B30_VD_20.mp3</t>
  </si>
  <si>
    <t>概念</t>
  </si>
  <si>
    <t>&lt;ruby&gt;概念&lt;rt&gt;gàiniàn&lt;/rt&gt;&lt;/ruby&gt;</t>
  </si>
  <si>
    <t>gàiniàn</t>
  </si>
  <si>
    <t>khái niệm, ý niệm</t>
  </si>
  <si>
    <r>
      <rPr>
        <sz val="10"/>
        <color theme="1"/>
        <rFont val="Arial"/>
      </rPr>
      <t>这个数学</t>
    </r>
    <r>
      <rPr>
        <b/>
        <sz val="10"/>
        <color theme="1"/>
        <rFont val="Arial"/>
      </rPr>
      <t>概念</t>
    </r>
    <r>
      <rPr>
        <sz val="10"/>
        <color theme="1"/>
        <rFont val="Arial"/>
      </rPr>
      <t>很难理解。</t>
    </r>
  </si>
  <si>
    <t>Khái niệm toán học này rất khó hiểu.</t>
  </si>
  <si>
    <t>H5_B30_BG21.png</t>
  </si>
  <si>
    <t>B30_21.mp3</t>
  </si>
  <si>
    <t>B30_VD_21.mp3</t>
  </si>
  <si>
    <t>核心</t>
  </si>
  <si>
    <t>&lt;ruby&gt;核心&lt;rt&gt;héxīn&lt;/rt&gt;&lt;/ruby&gt;</t>
  </si>
  <si>
    <t>héxīn</t>
  </si>
  <si>
    <t>phần cốt lõi, nòng cốt</t>
  </si>
  <si>
    <r>
      <rPr>
        <sz val="10"/>
        <color theme="1"/>
        <rFont val="Arial"/>
      </rPr>
      <t>团队合作是成功的</t>
    </r>
    <r>
      <rPr>
        <b/>
        <sz val="10"/>
        <color theme="1"/>
        <rFont val="Arial"/>
      </rPr>
      <t>核心</t>
    </r>
    <r>
      <rPr>
        <sz val="10"/>
        <color theme="1"/>
        <rFont val="Arial"/>
      </rPr>
      <t>。</t>
    </r>
  </si>
  <si>
    <t>Làm việc nhóm là cốt lõi của sự thành công.</t>
  </si>
  <si>
    <t>H5_B30_BG22.png</t>
  </si>
  <si>
    <t>B30_22.mp3</t>
  </si>
  <si>
    <t>B30_VD_22.mp3</t>
  </si>
  <si>
    <t>刺激</t>
  </si>
  <si>
    <t>&lt;ruby&gt;刺激&lt;rt&gt;cìjī&lt;/rt&gt;&lt;/ruby&gt;</t>
  </si>
  <si>
    <t>cìjī</t>
  </si>
  <si>
    <t>kích thích, thúc đẩy</t>
  </si>
  <si>
    <r>
      <rPr>
        <sz val="10"/>
        <color theme="1"/>
        <rFont val="Arial"/>
      </rPr>
      <t>这种音乐可以</t>
    </r>
    <r>
      <rPr>
        <b/>
        <sz val="10"/>
        <color theme="1"/>
        <rFont val="Arial"/>
      </rPr>
      <t>刺激</t>
    </r>
    <r>
      <rPr>
        <sz val="10"/>
        <color theme="1"/>
        <rFont val="Arial"/>
      </rPr>
      <t>大脑活动</t>
    </r>
  </si>
  <si>
    <t>Loại nhạc này có thể kích thích hoạt động não bộ.</t>
  </si>
  <si>
    <t>H5_B30_BG23.png</t>
  </si>
  <si>
    <t>B30_23.mp3</t>
  </si>
  <si>
    <t>B30_VD_23.mp3</t>
  </si>
  <si>
    <t>活力</t>
  </si>
  <si>
    <t>&lt;ruby&gt;活力&lt;rt&gt;huólì&lt;/rt&gt;&lt;/ruby&gt;</t>
  </si>
  <si>
    <t>huólì</t>
  </si>
  <si>
    <t>sức sống</t>
  </si>
  <si>
    <r>
      <rPr>
        <sz val="10"/>
        <color theme="1"/>
        <rFont val="Arial"/>
      </rPr>
      <t>早晨跑步能让人充满</t>
    </r>
    <r>
      <rPr>
        <b/>
        <sz val="10"/>
        <color theme="1"/>
        <rFont val="Arial"/>
      </rPr>
      <t>活力</t>
    </r>
    <r>
      <rPr>
        <sz val="10"/>
        <color theme="1"/>
        <rFont val="Arial"/>
      </rPr>
      <t>。</t>
    </r>
  </si>
  <si>
    <t>Chạy bộ buổi sáng có thể giúp con người tràn đầy sức sống.</t>
  </si>
  <si>
    <t>H5_B30_BG24.png</t>
  </si>
  <si>
    <t>B30_24.mp3</t>
  </si>
  <si>
    <t>B30_VD_24.mp3</t>
  </si>
  <si>
    <t>感想</t>
  </si>
  <si>
    <t>&lt;ruby&gt;感想&lt;rt&gt;gǎnxiǎng&lt;/rt&gt;&lt;/ruby&gt;</t>
  </si>
  <si>
    <t>gǎnxiǎng</t>
  </si>
  <si>
    <t>cảm tưởng, cảm nghĩ</t>
  </si>
  <si>
    <r>
      <rPr>
        <sz val="10"/>
        <color theme="1"/>
        <rFont val="Arial"/>
      </rPr>
      <t>读完这本书后，我有很多</t>
    </r>
    <r>
      <rPr>
        <b/>
        <sz val="10"/>
        <color theme="1"/>
        <rFont val="Arial"/>
      </rPr>
      <t>感想</t>
    </r>
    <r>
      <rPr>
        <sz val="10"/>
        <color theme="1"/>
        <rFont val="Arial"/>
      </rPr>
      <t>。</t>
    </r>
  </si>
  <si>
    <t>Sau khi đọc xong cuốn sách này, tôi có rất nhiều cảm nghĩ.</t>
  </si>
  <si>
    <t>H5_B30_BG25.png</t>
  </si>
  <si>
    <t>B30_25.mp3</t>
  </si>
  <si>
    <t>B30_VD_25.mp3</t>
  </si>
  <si>
    <t>nhận thức, sự hiểu biết</t>
  </si>
  <si>
    <r>
      <rPr>
        <sz val="10"/>
        <color theme="1"/>
        <rFont val="Arial"/>
      </rPr>
      <t>登上山顶后，他深深</t>
    </r>
    <r>
      <rPr>
        <b/>
        <sz val="10"/>
        <color theme="1"/>
        <rFont val="Arial"/>
      </rPr>
      <t>体会</t>
    </r>
    <r>
      <rPr>
        <sz val="10"/>
        <color theme="1"/>
        <rFont val="Arial"/>
      </rPr>
      <t>到了成功的喜悦。</t>
    </r>
  </si>
  <si>
    <t>Sau khi leo lên đỉnh núi, anh ấy cảm nhận sâu sắc niềm vui của thành công.</t>
  </si>
  <si>
    <t>H5_B30_BG26.png</t>
  </si>
  <si>
    <t>B30_26.mp3</t>
  </si>
  <si>
    <t>B30_VD_26.mp3</t>
  </si>
  <si>
    <t>的确</t>
  </si>
  <si>
    <t>&lt;ruby&gt;的确&lt;rt&gt;díquè&lt;/rt&gt;&lt;/ruby&gt;</t>
  </si>
  <si>
    <t>díquè</t>
  </si>
  <si>
    <t>đích thực, quả thực</t>
  </si>
  <si>
    <r>
      <rPr>
        <sz val="10"/>
        <color theme="1"/>
        <rFont val="Arial"/>
      </rPr>
      <t>这部电影</t>
    </r>
    <r>
      <rPr>
        <b/>
        <sz val="10"/>
        <color theme="1"/>
        <rFont val="Arial"/>
      </rPr>
      <t>的确</t>
    </r>
    <r>
      <rPr>
        <sz val="10"/>
        <color theme="1"/>
        <rFont val="Arial"/>
      </rPr>
      <t>很感人。</t>
    </r>
  </si>
  <si>
    <t>Bộ phim này quả thực rất cảm động.</t>
  </si>
  <si>
    <t>H5_B30_BG27.png</t>
  </si>
  <si>
    <t>B30_27.mp3</t>
  </si>
  <si>
    <t>B30_VD_27.mp3</t>
  </si>
  <si>
    <t>本质</t>
  </si>
  <si>
    <t>&lt;ruby&gt;本质&lt;rt&gt;běnzhì&lt;/rt&gt;&lt;/ruby&gt;</t>
  </si>
  <si>
    <t>běnzhì</t>
  </si>
  <si>
    <t>bản chất</t>
  </si>
  <si>
    <r>
      <rPr>
        <sz val="10"/>
        <color theme="1"/>
        <rFont val="Arial"/>
      </rPr>
      <t>资本主义的</t>
    </r>
    <r>
      <rPr>
        <b/>
        <sz val="10"/>
        <color theme="1"/>
        <rFont val="Arial"/>
      </rPr>
      <t>本质</t>
    </r>
    <r>
      <rPr>
        <sz val="10"/>
        <color theme="1"/>
        <rFont val="Arial"/>
      </rPr>
      <t>是剥削劳动人民。</t>
    </r>
  </si>
  <si>
    <t>Bản chất tư bản là bóc lột người lao động.</t>
  </si>
  <si>
    <t>H5_B30_BG28.png</t>
  </si>
  <si>
    <t>B30_28.mp3</t>
  </si>
  <si>
    <t>B30_VD_28.mp3</t>
  </si>
  <si>
    <t>逃避</t>
  </si>
  <si>
    <t>&lt;ruby&gt;逃避&lt;rt&gt;táobì&lt;/rt&gt;&lt;/ruby&gt;</t>
  </si>
  <si>
    <t>táobì</t>
  </si>
  <si>
    <t>chạy trốn, trốn tránh</t>
  </si>
  <si>
    <r>
      <rPr>
        <sz val="10"/>
        <color theme="1"/>
        <rFont val="Arial"/>
      </rPr>
      <t>他总是</t>
    </r>
    <r>
      <rPr>
        <b/>
        <sz val="10"/>
        <color theme="1"/>
        <rFont val="Arial"/>
      </rPr>
      <t>逃避</t>
    </r>
    <r>
      <rPr>
        <sz val="10"/>
        <color theme="1"/>
        <rFont val="Arial"/>
      </rPr>
      <t>困难，从不正面面对问题。</t>
    </r>
  </si>
  <si>
    <t>Anh ấy luôn trốn tránh khó khăn, không bao giờ đối mặt trực tiếp với vấn đề.</t>
  </si>
  <si>
    <t>H5_B30_BG29.png</t>
  </si>
  <si>
    <t>B30_29.mp3</t>
  </si>
  <si>
    <t>B30_VD_29.mp3</t>
  </si>
  <si>
    <t>不断</t>
  </si>
  <si>
    <t>&lt;ruby&gt;不断&lt;rt&gt;bùduàn&lt;/rt&gt;&lt;/ruby&gt;</t>
  </si>
  <si>
    <t>bùduàn</t>
  </si>
  <si>
    <t>không ngừng, liên tục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</si>
  <si>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不断</t>
    </r>
    <r>
      <rPr>
        <sz val="10"/>
        <color theme="1"/>
        <rFont val="Arial"/>
      </rPr>
      <t>地学习新知识。</t>
    </r>
  </si>
  <si>
    <t>Anh ấy không ngừng học hỏi kiến thức mới.</t>
  </si>
  <si>
    <t>H5_B30_BG30.png</t>
  </si>
  <si>
    <t>B30_30.mp3</t>
  </si>
  <si>
    <t>B30_VD_30.mp3</t>
  </si>
  <si>
    <t>旺盛</t>
  </si>
  <si>
    <t>&lt;ruby&gt;旺盛&lt;rt&gt;wàngshèng&lt;/rt&gt;&lt;/ruby&gt;</t>
  </si>
  <si>
    <t>wàngshèng</t>
  </si>
  <si>
    <t>dồi dào, mạnh mẽ</t>
  </si>
  <si>
    <r>
      <rPr>
        <sz val="10"/>
        <color theme="1"/>
        <rFont val="Arial"/>
      </rPr>
      <t>他的精力非常</t>
    </r>
    <r>
      <rPr>
        <b/>
        <sz val="10"/>
        <color theme="1"/>
        <rFont val="Arial"/>
      </rPr>
      <t>旺盛</t>
    </r>
    <r>
      <rPr>
        <sz val="10"/>
        <color theme="1"/>
        <rFont val="Arial"/>
      </rPr>
      <t>。</t>
    </r>
  </si>
  <si>
    <t>Anh ấy có năng lượng dồi dào.</t>
  </si>
  <si>
    <t>H5_B30_BG31.png</t>
  </si>
  <si>
    <t>B30_31.mp3</t>
  </si>
  <si>
    <t>B30_VD_31.mp3</t>
  </si>
  <si>
    <t>落后</t>
  </si>
  <si>
    <t>&lt;ruby&gt;落后&lt;rt&gt;luòhòu&lt;/rt&gt;&lt;/ruby&gt;</t>
  </si>
  <si>
    <t>luòhòu</t>
  </si>
  <si>
    <t>tụt lại đằng sau, thụt lùi</t>
  </si>
  <si>
    <r>
      <rPr>
        <sz val="10"/>
        <color theme="1"/>
        <rFont val="Arial"/>
      </rPr>
      <t>如果不努力，我们就会</t>
    </r>
    <r>
      <rPr>
        <b/>
        <sz val="10"/>
        <color theme="1"/>
        <rFont val="Arial"/>
      </rPr>
      <t>落后</t>
    </r>
    <r>
      <rPr>
        <sz val="10"/>
        <color theme="1"/>
        <rFont val="Arial"/>
      </rPr>
      <t>。</t>
    </r>
  </si>
  <si>
    <t>Nếu không cố gắng, chúng ta sẽ bị tụt lại phía sau.</t>
  </si>
  <si>
    <t>H5_B30_BG32.png</t>
  </si>
  <si>
    <t>B30_32.mp3</t>
  </si>
  <si>
    <t>B30_VD_32.mp3</t>
  </si>
  <si>
    <t>危机</t>
  </si>
  <si>
    <t>&lt;ruby&gt;危机&lt;rt&gt;wēijī&lt;/rt&gt;&lt;/ruby&gt;</t>
  </si>
  <si>
    <t>wēijī</t>
  </si>
  <si>
    <t>sự khủng hoảng</t>
  </si>
  <si>
    <r>
      <rPr>
        <sz val="10"/>
        <color theme="1"/>
        <rFont val="Arial"/>
      </rPr>
      <t>这家公司正面临经济</t>
    </r>
    <r>
      <rPr>
        <b/>
        <sz val="10"/>
        <color theme="1"/>
        <rFont val="Arial"/>
      </rPr>
      <t>危机</t>
    </r>
    <r>
      <rPr>
        <sz val="10"/>
        <color theme="1"/>
        <rFont val="Arial"/>
      </rPr>
      <t>。</t>
    </r>
  </si>
  <si>
    <t>Công ty này đang đối mặt với khủng hoảng kinh tế.</t>
  </si>
  <si>
    <t>H5_B30_BG33.png</t>
  </si>
  <si>
    <t>B30_33.mp3</t>
  </si>
  <si>
    <t>B30_VD_33.mp3</t>
  </si>
  <si>
    <t>决赛</t>
  </si>
  <si>
    <t>&lt;ruby&gt;决赛&lt;rt&gt;juésài&lt;/rt&gt;&lt;/ruby&gt;</t>
  </si>
  <si>
    <t>juésài</t>
  </si>
  <si>
    <t>thi đấu chung kết</t>
  </si>
  <si>
    <r>
      <rPr>
        <sz val="10"/>
        <color theme="1"/>
        <rFont val="Arial"/>
      </rPr>
      <t>我们队进入了</t>
    </r>
    <r>
      <rPr>
        <b/>
        <sz val="10"/>
        <color theme="1"/>
        <rFont val="Arial"/>
      </rPr>
      <t>决赛</t>
    </r>
    <r>
      <rPr>
        <sz val="10"/>
        <color theme="1"/>
        <rFont val="Arial"/>
      </rPr>
      <t>。</t>
    </r>
  </si>
  <si>
    <t>Đội của chúng tôi đã vào chung kết.</t>
  </si>
  <si>
    <t>H5_B30_BG34.png</t>
  </si>
  <si>
    <t>B30_34.mp3</t>
  </si>
  <si>
    <t>B30_VD_34.mp3</t>
  </si>
  <si>
    <t>接近</t>
  </si>
  <si>
    <t>&lt;ruby&gt;接近&lt;rt&gt;jiējìn&lt;/rt&gt;&lt;/ruby&gt;</t>
  </si>
  <si>
    <t>jiējìn</t>
  </si>
  <si>
    <t>đến gần, tới gần</t>
  </si>
  <si>
    <r>
      <rPr>
        <sz val="10"/>
        <color theme="1"/>
        <rFont val="Arial"/>
      </rPr>
      <t>冬天快要到了，气温逐渐</t>
    </r>
    <r>
      <rPr>
        <b/>
        <sz val="10"/>
        <color theme="1"/>
        <rFont val="Arial"/>
      </rPr>
      <t>接近</t>
    </r>
    <r>
      <rPr>
        <sz val="10"/>
        <color theme="1"/>
        <rFont val="Arial"/>
      </rPr>
      <t>零度。</t>
    </r>
  </si>
  <si>
    <t>Mùa đông sắp đến, nhiệt độ dần dần chạm mức 0 độ.</t>
  </si>
  <si>
    <t>H5_B30_BG35.png</t>
  </si>
  <si>
    <t>B30_35.mp3</t>
  </si>
  <si>
    <t>B30_VD_35.mp3</t>
  </si>
  <si>
    <t>佳</t>
  </si>
  <si>
    <t>&lt;ruby&gt;佳&lt;rt&gt;jiā&lt;/rt&gt;&lt;/ruby&gt;</t>
  </si>
  <si>
    <t>tốt, đẹp, hay</t>
  </si>
  <si>
    <r>
      <rPr>
        <sz val="10"/>
        <color theme="1"/>
        <rFont val="Arial"/>
      </rPr>
      <t>这是一个最</t>
    </r>
    <r>
      <rPr>
        <b/>
        <sz val="10"/>
        <color theme="1"/>
        <rFont val="Arial"/>
      </rPr>
      <t>佳</t>
    </r>
    <r>
      <rPr>
        <sz val="10"/>
        <color theme="1"/>
        <rFont val="Arial"/>
      </rPr>
      <t>的选择。</t>
    </r>
  </si>
  <si>
    <t>Đây là lựa chọn tốt nhất.</t>
  </si>
  <si>
    <t>H5_B30_BG36.png</t>
  </si>
  <si>
    <t>B30_36.mp3</t>
  </si>
  <si>
    <t>B30_VD_36.mp3</t>
  </si>
  <si>
    <t>门槛</t>
  </si>
  <si>
    <t>&lt;ruby&gt;门槛&lt;rt&gt;ménkǎn&lt;/rt&gt;&lt;/ruby&gt;</t>
  </si>
  <si>
    <t>ménkǎn</t>
  </si>
  <si>
    <t>ngưỡng cửa, bậc cửa</t>
  </si>
  <si>
    <r>
      <rPr>
        <sz val="10"/>
        <color theme="1"/>
        <rFont val="Arial"/>
      </rPr>
      <t>奶奶坐在</t>
    </r>
    <r>
      <rPr>
        <b/>
        <sz val="10"/>
        <color theme="1"/>
        <rFont val="Arial"/>
      </rPr>
      <t>门槛</t>
    </r>
    <r>
      <rPr>
        <sz val="10"/>
        <color theme="1"/>
        <rFont val="Arial"/>
      </rPr>
      <t>上晒太阳。</t>
    </r>
  </si>
  <si>
    <t>Bà ngồi trên bậc cửa phơi nắng.</t>
  </si>
  <si>
    <t>H5_B31_BG1-8.png</t>
  </si>
  <si>
    <t>B31_1.mp3</t>
  </si>
  <si>
    <t>B31_VD_1.mp3</t>
  </si>
  <si>
    <t>报社</t>
  </si>
  <si>
    <t>&lt;ruby&gt;报社&lt;rt&gt;bàoshè&lt;/rt&gt;&lt;/ruby&gt;</t>
  </si>
  <si>
    <t>bàoshè</t>
  </si>
  <si>
    <t>tòa soạn</t>
  </si>
  <si>
    <r>
      <rPr>
        <sz val="10"/>
        <color theme="1"/>
        <rFont val="Arial"/>
      </rPr>
      <t>他在一家</t>
    </r>
    <r>
      <rPr>
        <b/>
        <sz val="10"/>
        <color theme="1"/>
        <rFont val="Arial"/>
      </rPr>
      <t>报社</t>
    </r>
    <r>
      <rPr>
        <sz val="10"/>
        <color theme="1"/>
        <rFont val="Arial"/>
      </rPr>
      <t>工作。</t>
    </r>
  </si>
  <si>
    <t>Cô ấy làm việc ở một tòa soạn báo.</t>
  </si>
  <si>
    <t>H5_B31_BG2-8.png</t>
  </si>
  <si>
    <t>B31_2.mp3</t>
  </si>
  <si>
    <t>B31_VD_2.mp3</t>
  </si>
  <si>
    <t>编辑</t>
  </si>
  <si>
    <t>&lt;ruby&gt;编辑&lt;rt&gt;biānjí&lt;/rt&gt;&lt;/ruby&gt;</t>
  </si>
  <si>
    <t>biānjí</t>
  </si>
  <si>
    <t xml:space="preserve"> biên tập viên</t>
  </si>
  <si>
    <r>
      <rPr>
        <sz val="10"/>
        <color theme="1"/>
        <rFont val="Arial"/>
      </rPr>
      <t>这位</t>
    </r>
    <r>
      <rPr>
        <b/>
        <sz val="10"/>
        <color theme="1"/>
        <rFont val="Arial"/>
      </rPr>
      <t>编辑</t>
    </r>
    <r>
      <rPr>
        <sz val="10"/>
        <color theme="1"/>
        <rFont val="Arial"/>
      </rPr>
      <t>正在修改文章。</t>
    </r>
  </si>
  <si>
    <t>Biên tập viên này đang chỉnh sửa bài viết.</t>
  </si>
  <si>
    <t>H5_B31_BG3-8.png</t>
  </si>
  <si>
    <t>B31_3.mp3</t>
  </si>
  <si>
    <t>B31_VD_3.mp3</t>
  </si>
  <si>
    <t>社区</t>
  </si>
  <si>
    <t>&lt;ruby&gt;社区&lt;rt&gt;shèqū&lt;/rt&gt;&lt;/ruby&gt;</t>
  </si>
  <si>
    <t>shèqū</t>
  </si>
  <si>
    <t>phường xã, khu vực, phố</t>
  </si>
  <si>
    <r>
      <rPr>
        <sz val="10"/>
        <color theme="1"/>
        <rFont val="Arial"/>
      </rPr>
      <t>我们的</t>
    </r>
    <r>
      <rPr>
        <b/>
        <sz val="10"/>
        <color theme="1"/>
        <rFont val="Arial"/>
      </rPr>
      <t>社区</t>
    </r>
    <r>
      <rPr>
        <sz val="10"/>
        <color theme="1"/>
        <rFont val="Arial"/>
      </rPr>
      <t>环境很好。</t>
    </r>
  </si>
  <si>
    <t>Môi trường khu phố của chúng tôi rất tốt.</t>
  </si>
  <si>
    <t>H5_B31_BG4-8.png</t>
  </si>
  <si>
    <t>B31_4.mp3</t>
  </si>
  <si>
    <t>B31_VD_4.mp3</t>
  </si>
  <si>
    <t>出示</t>
  </si>
  <si>
    <t>&lt;ruby&gt;出示&lt;rt&gt;chūshì&lt;/rt&gt;&lt;/ruby&gt;</t>
  </si>
  <si>
    <t>chūshì</t>
  </si>
  <si>
    <t>trình ra, đưa cho xem</t>
  </si>
  <si>
    <r>
      <rPr>
        <sz val="10"/>
        <color theme="1"/>
        <rFont val="Arial"/>
      </rPr>
      <t>进入大楼前请</t>
    </r>
    <r>
      <rPr>
        <b/>
        <sz val="10"/>
        <color theme="1"/>
        <rFont val="Arial"/>
      </rPr>
      <t>出示</t>
    </r>
    <r>
      <rPr>
        <sz val="10"/>
        <color theme="1"/>
        <rFont val="Arial"/>
      </rPr>
      <t>身份证。</t>
    </r>
  </si>
  <si>
    <t>Vui lòng xuất trình CMND trước khi vào tòa nhà.</t>
  </si>
  <si>
    <t>H5_B31_BG5-8.png</t>
  </si>
  <si>
    <t>B31_5.mp3</t>
  </si>
  <si>
    <t>B31_VD_5.mp3</t>
  </si>
  <si>
    <t>值班</t>
  </si>
  <si>
    <t>&lt;ruby&gt;值班&lt;rt&gt;zhíbān&lt;/rt&gt;&lt;/ruby&gt;</t>
  </si>
  <si>
    <t>zhíbān</t>
  </si>
  <si>
    <t>trực ban</t>
  </si>
  <si>
    <r>
      <rPr>
        <sz val="10"/>
        <color theme="1"/>
        <rFont val="Arial"/>
      </rPr>
      <t>今晚保安</t>
    </r>
    <r>
      <rPr>
        <b/>
        <sz val="10"/>
        <color theme="1"/>
        <rFont val="Arial"/>
      </rPr>
      <t>值班</t>
    </r>
    <r>
      <rPr>
        <sz val="10"/>
        <color theme="1"/>
        <rFont val="Arial"/>
      </rPr>
      <t>。</t>
    </r>
  </si>
  <si>
    <t>Tối nay anh bảo vệ trực ban đêm.</t>
  </si>
  <si>
    <t>H5_B31_BG6-8.png</t>
  </si>
  <si>
    <t>B31_6.mp3</t>
  </si>
  <si>
    <t>B31_VD_6.mp3</t>
  </si>
  <si>
    <t>报告</t>
  </si>
  <si>
    <t>&lt;ruby&gt;报告&lt;rt&gt;bàogào&lt;/rt&gt;&lt;/ruby&gt;</t>
  </si>
  <si>
    <t>bàogào</t>
  </si>
  <si>
    <t>bản báo cáo</t>
  </si>
  <si>
    <r>
      <rPr>
        <sz val="10"/>
        <color theme="1"/>
        <rFont val="Arial"/>
      </rPr>
      <t>他正在写一份工作</t>
    </r>
    <r>
      <rPr>
        <b/>
        <sz val="10"/>
        <color theme="1"/>
        <rFont val="Arial"/>
      </rPr>
      <t>报告</t>
    </r>
    <r>
      <rPr>
        <sz val="10"/>
        <color theme="1"/>
        <rFont val="Arial"/>
      </rPr>
      <t>。</t>
    </r>
  </si>
  <si>
    <t>Anh ấy đang viết một bản báo cáo công việc.</t>
  </si>
  <si>
    <t>H5_B31_BG7-8.png</t>
  </si>
  <si>
    <t>B31_7.mp3</t>
  </si>
  <si>
    <t>B31_VD_7.mp3</t>
  </si>
  <si>
    <t>请愿书</t>
  </si>
  <si>
    <t>&lt;ruby&gt;请愿书&lt;rt&gt;qǐngyuànshū&lt;/rt&gt;&lt;/ruby&gt;</t>
  </si>
  <si>
    <t>qǐngyuànshū</t>
  </si>
  <si>
    <t>đơn xin, đơn thỉnh cầu</t>
  </si>
  <si>
    <r>
      <rPr>
        <sz val="10"/>
        <color theme="1"/>
        <rFont val="Arial"/>
      </rPr>
      <t>他们递交了一份</t>
    </r>
    <r>
      <rPr>
        <b/>
        <sz val="10"/>
        <color theme="1"/>
        <rFont val="Arial"/>
      </rPr>
      <t>请愿书</t>
    </r>
    <r>
      <rPr>
        <sz val="10"/>
        <color theme="1"/>
        <rFont val="Arial"/>
      </rPr>
      <t>。</t>
    </r>
  </si>
  <si>
    <t>Họ đã nộp một lá đơn thỉnh cầu.</t>
  </si>
  <si>
    <t>H5_B31_BG8-8.png</t>
  </si>
  <si>
    <t>B31_8.mp3</t>
  </si>
  <si>
    <t>B31_VD_8.mp3</t>
  </si>
  <si>
    <t>标志</t>
  </si>
  <si>
    <t>&lt;ruby&gt;标志&lt;rt&gt;biāozhì&lt;/rt&gt;&lt;/ruby&gt;</t>
  </si>
  <si>
    <t>biāozhì</t>
  </si>
  <si>
    <t>ký hiệu</t>
  </si>
  <si>
    <r>
      <rPr>
        <sz val="10"/>
        <color theme="1"/>
        <rFont val="Arial"/>
      </rPr>
      <t>这个</t>
    </r>
    <r>
      <rPr>
        <b/>
        <sz val="10"/>
        <color theme="1"/>
        <rFont val="Arial"/>
      </rPr>
      <t>标志</t>
    </r>
    <r>
      <rPr>
        <sz val="10"/>
        <color theme="1"/>
        <rFont val="Arial"/>
      </rPr>
      <t>表示禁止吸烟。</t>
    </r>
  </si>
  <si>
    <t>Biểu tượng này có nghĩa là cấm hút thuốc.</t>
  </si>
  <si>
    <t>H5_B31_BG9-8.png</t>
  </si>
  <si>
    <t>B31_9.mp3</t>
  </si>
  <si>
    <t>B31_VD_9.mp3</t>
  </si>
  <si>
    <t>处理</t>
  </si>
  <si>
    <t>&lt;ruby&gt;处理&lt;rt&gt;chǔlǐ&lt;/rt&gt;&lt;/ruby&gt;</t>
  </si>
  <si>
    <t>chǔlǐ</t>
  </si>
  <si>
    <t>giải quyết, xử lý</t>
  </si>
  <si>
    <r>
      <rPr>
        <sz val="10"/>
        <color theme="1"/>
        <rFont val="Arial"/>
      </rPr>
      <t>经理正在</t>
    </r>
    <r>
      <rPr>
        <b/>
        <sz val="10"/>
        <color theme="1"/>
        <rFont val="Arial"/>
      </rPr>
      <t>处理</t>
    </r>
    <r>
      <rPr>
        <sz val="10"/>
        <color theme="1"/>
        <rFont val="Arial"/>
      </rPr>
      <t>客户投诉。</t>
    </r>
  </si>
  <si>
    <t>Giám đốc đang xử lý khiếu nại của khách hàng.</t>
  </si>
  <si>
    <t>H5_B31_BG10-8.png</t>
  </si>
  <si>
    <t>B31_10.mp3</t>
  </si>
  <si>
    <t>B31_VD_10.mp3</t>
  </si>
  <si>
    <t>劝</t>
  </si>
  <si>
    <t>&lt;ruby&gt;劝&lt;rt&gt;quàn&lt;/rt&gt;&lt;/ruby&gt;</t>
  </si>
  <si>
    <t>quàn</t>
  </si>
  <si>
    <t>khuyên</t>
  </si>
  <si>
    <r>
      <rPr>
        <sz val="10"/>
        <color theme="1"/>
        <rFont val="Arial"/>
      </rPr>
      <t>妈妈</t>
    </r>
    <r>
      <rPr>
        <b/>
        <sz val="10"/>
        <color theme="1"/>
        <rFont val="Arial"/>
      </rPr>
      <t>劝</t>
    </r>
    <r>
      <rPr>
        <sz val="10"/>
        <color theme="1"/>
        <rFont val="Arial"/>
      </rPr>
      <t>我早点睡觉。</t>
    </r>
  </si>
  <si>
    <t>Mẹ khuyên tôi nên ngủ sớm.</t>
  </si>
  <si>
    <t>H5_B31_BG11-8.png</t>
  </si>
  <si>
    <t>B31_11.mp3</t>
  </si>
  <si>
    <t>B31_VD_11.mp3</t>
  </si>
  <si>
    <t>嗯</t>
  </si>
  <si>
    <t>&lt;ruby&gt;嗯&lt;rt&gt;ǹg&lt;/rt&gt;&lt;/ruby&gt;</t>
  </si>
  <si>
    <t>ǹg</t>
  </si>
  <si>
    <t>được dùng để chỉ sự đồng ý, khẳng định</t>
  </si>
  <si>
    <r>
      <rPr>
        <sz val="10"/>
        <color theme="1"/>
        <rFont val="Arial"/>
      </rPr>
      <t>你听懂了吗？” “</t>
    </r>
    <r>
      <rPr>
        <b/>
        <sz val="10"/>
        <color theme="1"/>
        <rFont val="Arial"/>
      </rPr>
      <t>嗯</t>
    </r>
    <r>
      <rPr>
        <sz val="10"/>
        <color theme="1"/>
        <rFont val="Arial"/>
      </rPr>
      <t>，我听懂了。”</t>
    </r>
  </si>
  <si>
    <t>Cậu hiểu chưa?" – "Ừ, tớ hiểu rồi."</t>
  </si>
  <si>
    <t>H5_B31_BG12-8.png</t>
  </si>
  <si>
    <t>B31_12.mp3</t>
  </si>
  <si>
    <t>B31_VD_12.mp3</t>
  </si>
  <si>
    <t>轻易</t>
  </si>
  <si>
    <t>&lt;ruby&gt;轻易&lt;rt&gt;qīngyì&lt;/rt&gt;&lt;/ruby&gt;</t>
  </si>
  <si>
    <t>qīngyì</t>
  </si>
  <si>
    <t>dễ dàng</t>
  </si>
  <si>
    <r>
      <rPr>
        <sz val="10"/>
        <color theme="1"/>
        <rFont val="Arial"/>
      </rPr>
      <t>这个问题不</t>
    </r>
    <r>
      <rPr>
        <b/>
        <sz val="10"/>
        <color theme="1"/>
        <rFont val="Arial"/>
      </rPr>
      <t>轻易</t>
    </r>
    <r>
      <rPr>
        <sz val="10"/>
        <color theme="1"/>
        <rFont val="Arial"/>
      </rPr>
      <t>解决。</t>
    </r>
  </si>
  <si>
    <t>Vấn đề này không dễ dàng giải quyết.</t>
  </si>
  <si>
    <t>H5_B31_BG13-8.png</t>
  </si>
  <si>
    <t>B31_13.mp3</t>
  </si>
  <si>
    <t>B31_VD_13.mp3</t>
  </si>
  <si>
    <t>冷淡</t>
  </si>
  <si>
    <t>&lt;ruby&gt;冷淡&lt;rt&gt;lěngdàn&lt;/rt&gt;&lt;/ruby&gt;</t>
  </si>
  <si>
    <t>lěngdàn</t>
  </si>
  <si>
    <t>lạnh nhạt, hờ hững</t>
  </si>
  <si>
    <r>
      <rPr>
        <sz val="10"/>
        <color theme="1"/>
        <rFont val="Arial"/>
      </rPr>
      <t>他对朋友的态度很</t>
    </r>
    <r>
      <rPr>
        <b/>
        <sz val="10"/>
        <color theme="1"/>
        <rFont val="Arial"/>
      </rPr>
      <t>冷淡</t>
    </r>
    <r>
      <rPr>
        <sz val="10"/>
        <color theme="1"/>
        <rFont val="Arial"/>
      </rPr>
      <t>。</t>
    </r>
  </si>
  <si>
    <t>Anh ấy tỏ thái độ lạnh nhạt với bạn bè.</t>
  </si>
  <si>
    <t>H5_B31_BG14-8.png</t>
  </si>
  <si>
    <t>B31_14.mp3</t>
  </si>
  <si>
    <t>B31_VD_14.mp3</t>
  </si>
  <si>
    <t>犹豫</t>
  </si>
  <si>
    <t>&lt;ruby&gt;犹豫&lt;rt&gt;yóuyù&lt;/rt&gt;&lt;/ruby&gt;</t>
  </si>
  <si>
    <t>yóuyù</t>
  </si>
  <si>
    <t>do dự, lưỡng lự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</si>
  <si>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犹豫</t>
    </r>
    <r>
      <rPr>
        <sz val="10"/>
        <color theme="1"/>
        <rFont val="Arial"/>
      </rPr>
      <t>了很久，最后还是决定放弃。</t>
    </r>
  </si>
  <si>
    <t>Cậu bé ấy do dự rất lâu, cuối cùng vẫn quyết định từ bỏ.</t>
  </si>
  <si>
    <t>H5_B31_BG15-8.png</t>
  </si>
  <si>
    <t>B31_15.mp3</t>
  </si>
  <si>
    <t>B31_VD_15.mp3</t>
  </si>
  <si>
    <t>无所谓</t>
  </si>
  <si>
    <t>&lt;ruby&gt;无所谓&lt;rt&gt;wúsuǒwèi&lt;/rt&gt;&lt;/ruby&gt;</t>
  </si>
  <si>
    <t>wúsuǒwèi</t>
  </si>
  <si>
    <t>không sao cả, không hề gì</t>
  </si>
  <si>
    <r>
      <rPr>
        <sz val="10"/>
        <color theme="1"/>
        <rFont val="Arial"/>
      </rPr>
      <t>面对关于自己的无根据传言，他完全</t>
    </r>
    <r>
      <rPr>
        <b/>
        <sz val="10"/>
        <color theme="1"/>
        <rFont val="Arial"/>
      </rPr>
      <t>无所谓</t>
    </r>
    <r>
      <rPr>
        <sz val="10"/>
        <color theme="1"/>
        <rFont val="Arial"/>
      </rPr>
      <t>。</t>
    </r>
  </si>
  <si>
    <t>Đối diện với những lời đồn vô căn cứ về mình, anh ấy tuyệt nhiên không quan tâm.</t>
  </si>
  <si>
    <t>H5_B31_BG16-8.png</t>
  </si>
  <si>
    <t>B31_16.mp3</t>
  </si>
  <si>
    <t>B31_VD_16.mp3</t>
  </si>
  <si>
    <t>迫切</t>
  </si>
  <si>
    <t>&lt;ruby&gt;迫切&lt;rt&gt;pòqiè&lt;/rt&gt;&lt;/ruby&gt;</t>
  </si>
  <si>
    <t>pòqiè</t>
  </si>
  <si>
    <t>cấp bách, khẩn cấp, bức thiết, thiết tha</t>
  </si>
  <si>
    <r>
      <rPr>
        <sz val="10"/>
        <color theme="1"/>
        <rFont val="Arial"/>
      </rPr>
      <t>闹钟响个不停，提醒我有</t>
    </r>
    <r>
      <rPr>
        <b/>
        <sz val="10"/>
        <color theme="1"/>
        <rFont val="Arial"/>
      </rPr>
      <t>迫切</t>
    </r>
    <r>
      <rPr>
        <sz val="10"/>
        <color theme="1"/>
        <rFont val="Arial"/>
      </rPr>
      <t>的事情需要完成。</t>
    </r>
  </si>
  <si>
    <t>Chuông báo thức reo liên tục, nhắc tôi rằng có việc cấp thiết cần phải hoàn thành.</t>
  </si>
  <si>
    <t>H5_B31_BG17-8.png</t>
  </si>
  <si>
    <t>B31_17.mp3</t>
  </si>
  <si>
    <t>B31_VD_17.mp3</t>
  </si>
  <si>
    <t>赞成</t>
  </si>
  <si>
    <t>&lt;ruby&gt;赞成&lt;rt&gt;zànchéng&lt;/rt&gt;&lt;/ruby&gt;</t>
  </si>
  <si>
    <t>zànchéng</t>
  </si>
  <si>
    <t>đồng ý, tán thành</t>
  </si>
  <si>
    <r>
      <rPr>
        <sz val="10"/>
        <color theme="1"/>
        <rFont val="Arial"/>
      </rPr>
      <t>我完全</t>
    </r>
    <r>
      <rPr>
        <b/>
        <sz val="10"/>
        <color theme="1"/>
        <rFont val="Arial"/>
      </rPr>
      <t>赞成</t>
    </r>
    <r>
      <rPr>
        <sz val="10"/>
        <color theme="1"/>
        <rFont val="Arial"/>
      </rPr>
      <t>你的想法。</t>
    </r>
  </si>
  <si>
    <t>Tôi hoàn toàn đồng ý với ý kiến của bạn.</t>
  </si>
  <si>
    <t>H5_B31_BG18-8.png</t>
  </si>
  <si>
    <t>B31_18.mp3</t>
  </si>
  <si>
    <t>B31_VD_18.mp3</t>
  </si>
  <si>
    <t>狡猾</t>
  </si>
  <si>
    <t>&lt;ruby&gt;狡猾&lt;rt&gt;jiǎohuá&lt;/rt&gt;&lt;/ruby&gt;</t>
  </si>
  <si>
    <t>jiǎohuá</t>
  </si>
  <si>
    <t>xảo quyệt, xảo trá</t>
  </si>
  <si>
    <r>
      <rPr>
        <sz val="10"/>
        <color theme="1"/>
        <rFont val="Arial"/>
      </rPr>
      <t>这个人非常</t>
    </r>
    <r>
      <rPr>
        <b/>
        <sz val="10"/>
        <color theme="1"/>
        <rFont val="Arial"/>
      </rPr>
      <t>狡猾</t>
    </r>
    <r>
      <rPr>
        <sz val="10"/>
        <color theme="1"/>
        <rFont val="Arial"/>
      </rPr>
      <t>，不容易被骗。</t>
    </r>
  </si>
  <si>
    <t>Người này rất xảo quyệt, không dễ bị lừa.</t>
  </si>
  <si>
    <t>H5_B31_BG19-8.png</t>
  </si>
  <si>
    <t>B31_19.mp3</t>
  </si>
  <si>
    <t>B31_VD_19.mp3</t>
  </si>
  <si>
    <t>谦虚</t>
  </si>
  <si>
    <t>&lt;ruby&gt;谦虚&lt;rt&gt;qiānxū&lt;/rt&gt;&lt;/ruby&gt;</t>
  </si>
  <si>
    <t>qiānxū</t>
  </si>
  <si>
    <t>khiêm tốn</t>
  </si>
  <si>
    <r>
      <rPr>
        <sz val="10"/>
        <color theme="1"/>
        <rFont val="Arial"/>
      </rPr>
      <t>她虽然很优秀，但非常</t>
    </r>
    <r>
      <rPr>
        <b/>
        <sz val="10"/>
        <color theme="1"/>
        <rFont val="Arial"/>
      </rPr>
      <t>谦虚</t>
    </r>
    <r>
      <rPr>
        <sz val="10"/>
        <color theme="1"/>
        <rFont val="Arial"/>
      </rPr>
      <t>。</t>
    </r>
  </si>
  <si>
    <t>Dù cô ấy rất xuất sắc, nhưng vẫn rất khiêm tốn.</t>
  </si>
  <si>
    <t>H5_B31_BG20-8.png</t>
  </si>
  <si>
    <t>B31_20.mp3</t>
  </si>
  <si>
    <t>B31_VD_20.mp3</t>
  </si>
  <si>
    <t>了不起</t>
  </si>
  <si>
    <t>&lt;ruby&gt;了不起&lt;rt&gt;liǎobuqǐ&lt;/rt&gt;&lt;/ruby&gt;</t>
  </si>
  <si>
    <t>liǎobuqǐ</t>
  </si>
  <si>
    <t>tài ba, giỏi, vĩ đại</t>
  </si>
  <si>
    <r>
      <rPr>
        <sz val="10"/>
        <color theme="1"/>
        <rFont val="Arial"/>
      </rPr>
      <t>他在科学领域取得了</t>
    </r>
    <r>
      <rPr>
        <b/>
        <sz val="10"/>
        <color theme="1"/>
        <rFont val="Arial"/>
      </rPr>
      <t>了不起</t>
    </r>
    <r>
      <rPr>
        <sz val="10"/>
        <color theme="1"/>
        <rFont val="Arial"/>
      </rPr>
      <t>的成就。</t>
    </r>
  </si>
  <si>
    <t>Anh ấy đạt được thành tựu vĩ đại trong lĩnh vực khoa học.</t>
  </si>
  <si>
    <t>H5_B31_BG21-8.png</t>
  </si>
  <si>
    <t>B31_21.mp3</t>
  </si>
  <si>
    <t>B31_VD_21.mp3</t>
  </si>
  <si>
    <t>看不起</t>
  </si>
  <si>
    <t>&lt;ruby&gt;看不起&lt;rt&gt;kànbuqǐ&lt;/rt&gt;&lt;/ruby&gt;</t>
  </si>
  <si>
    <t>kànbuqǐ</t>
  </si>
  <si>
    <r>
      <rPr>
        <sz val="10"/>
        <color theme="1"/>
        <rFont val="Arial"/>
      </rPr>
      <t>不要</t>
    </r>
    <r>
      <rPr>
        <b/>
        <sz val="10"/>
        <color theme="1"/>
        <rFont val="Arial"/>
      </rPr>
      <t>看不起</t>
    </r>
    <r>
      <rPr>
        <sz val="10"/>
        <color theme="1"/>
        <rFont val="Arial"/>
      </rPr>
      <t>任何人，每个人都有自己的价值。</t>
    </r>
  </si>
  <si>
    <t>Đừng khinh thường ai cả, ai cũng có giá trị riêng.</t>
  </si>
  <si>
    <t>H5_B31_BG22-8.png</t>
  </si>
  <si>
    <t>B31_22.mp3</t>
  </si>
  <si>
    <t>B31_VD_22.mp3</t>
  </si>
  <si>
    <t>圆</t>
  </si>
  <si>
    <t>&lt;ruby&gt;圆&lt;rt&gt;yuán&lt;/rt&gt;&lt;/ruby&gt;</t>
  </si>
  <si>
    <t>tròn</t>
  </si>
  <si>
    <r>
      <rPr>
        <sz val="10"/>
        <color theme="1"/>
        <rFont val="Arial"/>
      </rPr>
      <t>这张桌子是</t>
    </r>
    <r>
      <rPr>
        <b/>
        <sz val="10"/>
        <color theme="1"/>
        <rFont val="Arial"/>
      </rPr>
      <t>圆</t>
    </r>
    <r>
      <rPr>
        <sz val="10"/>
        <color theme="1"/>
        <rFont val="Arial"/>
      </rPr>
      <t>的。</t>
    </r>
  </si>
  <si>
    <t>Chiếc bàn này có hình tròn.</t>
  </si>
  <si>
    <t>H5_B31_BG23-8.png</t>
  </si>
  <si>
    <t>B31_23.mp3</t>
  </si>
  <si>
    <t>B31_VD_23.mp3</t>
  </si>
  <si>
    <t>恋爱</t>
  </si>
  <si>
    <t>&lt;ruby&gt;恋爱&lt;rt&gt;liàn'ài&lt;/rt&gt;&lt;/ruby&gt;</t>
  </si>
  <si>
    <t>liàn'ài</t>
  </si>
  <si>
    <t>tình yêu</t>
  </si>
  <si>
    <r>
      <rPr>
        <sz val="10"/>
        <color theme="1"/>
        <rFont val="Arial"/>
      </rPr>
      <t xml:space="preserve"> 他们正在甜蜜地</t>
    </r>
    <r>
      <rPr>
        <b/>
        <sz val="10"/>
        <color theme="1"/>
        <rFont val="Arial"/>
      </rPr>
      <t>恋爱</t>
    </r>
    <r>
      <rPr>
        <sz val="10"/>
        <color theme="1"/>
        <rFont val="Arial"/>
      </rPr>
      <t>。</t>
    </r>
  </si>
  <si>
    <t>Họ đang yêu nhau ngọt ngào.</t>
  </si>
  <si>
    <t>H5_B31_BG24-8.png</t>
  </si>
  <si>
    <t>B31_24.mp3</t>
  </si>
  <si>
    <t>B31_VD_24.mp3</t>
  </si>
  <si>
    <t>八成（儿）</t>
  </si>
  <si>
    <t>&lt;ruby&gt;八成（儿）&lt;rt&gt;bāchéng (r)&lt;/rt&gt;&lt;/ruby&gt;</t>
  </si>
  <si>
    <t>bāchéng (r)</t>
  </si>
  <si>
    <t>hầu như, chắc chắn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</si>
  <si>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八成</t>
    </r>
    <r>
      <rPr>
        <sz val="10"/>
        <color theme="1"/>
        <rFont val="Arial"/>
      </rPr>
      <t>不会来了。</t>
    </r>
  </si>
  <si>
    <t>Chắc là anh ấy sẽ không đến.</t>
  </si>
  <si>
    <t>H5_B31_BG25-8.png</t>
  </si>
  <si>
    <t>B31_25.mp3</t>
  </si>
  <si>
    <t>B31_VD_25.mp3</t>
  </si>
  <si>
    <t>模糊</t>
  </si>
  <si>
    <t>&lt;ruby&gt;模糊&lt;rt&gt;móhú&lt;/rt&gt;&lt;/ruby&gt;</t>
  </si>
  <si>
    <t>móhú</t>
  </si>
  <si>
    <t>mơ hồ, mập mờ</t>
  </si>
  <si>
    <r>
      <rPr>
        <sz val="10"/>
        <color theme="1"/>
        <rFont val="Arial"/>
      </rPr>
      <t>这张照片太</t>
    </r>
    <r>
      <rPr>
        <b/>
        <sz val="10"/>
        <color theme="1"/>
        <rFont val="Arial"/>
      </rPr>
      <t>模糊</t>
    </r>
    <r>
      <rPr>
        <sz val="10"/>
        <color theme="1"/>
        <rFont val="Arial"/>
      </rPr>
      <t>了，看不清楚。</t>
    </r>
  </si>
  <si>
    <t>Bức ảnh này quá mờ, không nhìn rõ được.</t>
  </si>
  <si>
    <t>H5_B31_BG26-8.png</t>
  </si>
  <si>
    <t>B31_26.mp3</t>
  </si>
  <si>
    <t>B31_VD_26.mp3</t>
  </si>
  <si>
    <t>身段</t>
  </si>
  <si>
    <t>&lt;ruby&gt;身段&lt;rt&gt;shēnduàn&lt;/rt&gt;&lt;/ruby&gt;</t>
  </si>
  <si>
    <t>shēnduàn</t>
  </si>
  <si>
    <t>dáng vẻ, thái độ</t>
  </si>
  <si>
    <r>
      <rPr>
        <sz val="10"/>
        <color theme="1"/>
        <rFont val="Arial"/>
      </rPr>
      <t>她跳舞时</t>
    </r>
    <r>
      <rPr>
        <b/>
        <sz val="10"/>
        <color theme="1"/>
        <rFont val="Arial"/>
      </rPr>
      <t>身段</t>
    </r>
    <r>
      <rPr>
        <sz val="10"/>
        <color theme="1"/>
        <rFont val="Arial"/>
      </rPr>
      <t>优美。</t>
    </r>
  </si>
  <si>
    <t>Khi nhảy múa, cô ấy có dáng vẻ rất uyển chuyển.</t>
  </si>
  <si>
    <t>H5_B31_BG27-8.png</t>
  </si>
  <si>
    <t>B31_27.mp3</t>
  </si>
  <si>
    <t>B31_VD_27.mp3</t>
  </si>
  <si>
    <t>缩短</t>
  </si>
  <si>
    <t>&lt;ruby&gt;缩短&lt;rt&gt;suōduǎn&lt;/rt&gt;&lt;/ruby&gt;</t>
  </si>
  <si>
    <t>suōduǎn</t>
  </si>
  <si>
    <t>rút ngắn</t>
  </si>
  <si>
    <r>
      <rPr>
        <sz val="10"/>
        <color theme="1"/>
        <rFont val="Arial"/>
      </rPr>
      <t>这条新建的高速公路大大</t>
    </r>
    <r>
      <rPr>
        <b/>
        <sz val="10"/>
        <color theme="1"/>
        <rFont val="Arial"/>
      </rPr>
      <t>缩短</t>
    </r>
    <r>
      <rPr>
        <sz val="10"/>
        <color theme="1"/>
        <rFont val="Arial"/>
      </rPr>
      <t>了我们的行程时间。</t>
    </r>
  </si>
  <si>
    <t>Tuyến đường cao tốc mới này đã rút ngắn đáng kể thời gian hành trình của chúng tôi.</t>
  </si>
  <si>
    <t>H5_B31_BG28-8.png</t>
  </si>
  <si>
    <t>B31_28.mp3</t>
  </si>
  <si>
    <t>B31_VD_28.mp3</t>
  </si>
  <si>
    <t>实践</t>
  </si>
  <si>
    <t>&lt;ruby&gt;实践&lt;rt&gt;shíjiàn&lt;/rt&gt;&lt;/ruby&gt;</t>
  </si>
  <si>
    <t>shíjiàn</t>
  </si>
  <si>
    <t>thực tiễn; thực hành</t>
  </si>
  <si>
    <r>
      <rPr>
        <sz val="10"/>
        <color theme="1"/>
        <rFont val="Arial"/>
      </rPr>
      <t>理论要与</t>
    </r>
    <r>
      <rPr>
        <b/>
        <sz val="10"/>
        <color theme="1"/>
        <rFont val="Arial"/>
      </rPr>
      <t>实践</t>
    </r>
    <r>
      <rPr>
        <sz val="10"/>
        <color theme="1"/>
        <rFont val="Arial"/>
      </rPr>
      <t>相结合。</t>
    </r>
  </si>
  <si>
    <t>Lý thuyết phải kết hợp với thực tiễn.</t>
  </si>
  <si>
    <t>H5_B31_BG29-8.png</t>
  </si>
  <si>
    <t>B31_29.mp3</t>
  </si>
  <si>
    <t>B31_VD_29.mp3</t>
  </si>
  <si>
    <t>消失</t>
  </si>
  <si>
    <t>&lt;ruby&gt;消失&lt;rt&gt;xiāoshī&lt;/rt&gt;&lt;/ruby&gt;</t>
  </si>
  <si>
    <t>xiāoshī</t>
  </si>
  <si>
    <t>biến mất</t>
  </si>
  <si>
    <r>
      <rPr>
        <sz val="10"/>
        <color theme="1"/>
        <rFont val="Calibri"/>
      </rPr>
      <t>夜空中的星星</t>
    </r>
    <r>
      <rPr>
        <b/>
        <sz val="10"/>
        <color theme="1"/>
        <rFont val="Calibri"/>
      </rPr>
      <t>消失</t>
    </r>
    <r>
      <rPr>
        <sz val="10"/>
        <color theme="1"/>
        <rFont val="Calibri"/>
      </rPr>
      <t>在云层里了。</t>
    </r>
  </si>
  <si>
    <t>Những vì sao trên bầu trời đêm đã biến mất trong đám mây.</t>
  </si>
  <si>
    <t>H5_B32_BG-01.png</t>
  </si>
  <si>
    <t>B32_1.mp3</t>
  </si>
  <si>
    <t>B32_VD_1.mp3</t>
  </si>
  <si>
    <t>洪水</t>
  </si>
  <si>
    <t>&lt;ruby&gt;洪水&lt;rt&gt;hóngshuǐ&lt;/rt&gt;&lt;/ruby&gt;</t>
  </si>
  <si>
    <t>hóngshuǐ</t>
  </si>
  <si>
    <t>nước lũ</t>
  </si>
  <si>
    <r>
      <rPr>
        <sz val="10"/>
        <color theme="1"/>
        <rFont val="Calibri"/>
      </rPr>
      <t>由于持续大雨，这座城市发生了严重的</t>
    </r>
    <r>
      <rPr>
        <b/>
        <sz val="10"/>
        <color theme="1"/>
        <rFont val="Calibri"/>
      </rPr>
      <t>洪水</t>
    </r>
    <r>
      <rPr>
        <sz val="10"/>
        <color theme="1"/>
        <rFont val="Calibri"/>
      </rPr>
      <t>。</t>
    </r>
  </si>
  <si>
    <t>Do mưa lớn liên tục, thành phố đã xảy ra lũ lụt nghiêm trọng.</t>
  </si>
  <si>
    <t>H5_B32_BG-02.png</t>
  </si>
  <si>
    <t>B32_2.mp3</t>
  </si>
  <si>
    <t>B32_VD_2.mp3</t>
  </si>
  <si>
    <t>地震</t>
  </si>
  <si>
    <t>&lt;ruby&gt;地震&lt;rt&gt;dìzhèn&lt;/rt&gt;&lt;/ruby&gt;</t>
  </si>
  <si>
    <t>dìzhèn</t>
  </si>
  <si>
    <t>động đất</t>
  </si>
  <si>
    <r>
      <rPr>
        <sz val="10"/>
        <color theme="1"/>
        <rFont val="Calibri"/>
      </rPr>
      <t>这次</t>
    </r>
    <r>
      <rPr>
        <b/>
        <sz val="10"/>
        <color theme="1"/>
        <rFont val="Calibri"/>
      </rPr>
      <t>地震</t>
    </r>
    <r>
      <rPr>
        <sz val="10"/>
        <color theme="1"/>
        <rFont val="Calibri"/>
      </rPr>
      <t>在整个城市造成了严重的倒塌。</t>
    </r>
  </si>
  <si>
    <t>Cơn động đất lần này đã gây ra sự sập đổ nghiêm trọng trên toàn thành phố.</t>
  </si>
  <si>
    <t>H5_B32_BG-03.png</t>
  </si>
  <si>
    <t>B32_3.mp3</t>
  </si>
  <si>
    <t>B32_VD_3.mp3</t>
  </si>
  <si>
    <t>破坏</t>
  </si>
  <si>
    <t>&lt;ruby&gt;破坏&lt;rt&gt;pòhuài&lt;/rt&gt;&lt;/ruby&gt;</t>
  </si>
  <si>
    <t>pòhuài</t>
  </si>
  <si>
    <t>phá hủy, tàn phá</t>
  </si>
  <si>
    <r>
      <rPr>
        <sz val="10"/>
        <color theme="1"/>
        <rFont val="Calibri"/>
      </rPr>
      <t>非法捕猎正在</t>
    </r>
    <r>
      <rPr>
        <b/>
        <sz val="10"/>
        <color theme="1"/>
        <rFont val="Calibri"/>
      </rPr>
      <t>破坏</t>
    </r>
    <r>
      <rPr>
        <sz val="10"/>
        <color theme="1"/>
        <rFont val="Calibri"/>
      </rPr>
      <t>野生动物的生存环境。</t>
    </r>
  </si>
  <si>
    <t>Việc săn bắn trái phép đang tàn phá môi trường sống của động vật hoang dã.</t>
  </si>
  <si>
    <t>H5_B32_BG-04.png</t>
  </si>
  <si>
    <t>B32_4.mp3</t>
  </si>
  <si>
    <t>B32_VD_4.mp3</t>
  </si>
  <si>
    <t>砍</t>
  </si>
  <si>
    <t>&lt;ruby&gt;砍&lt;rt&gt;kǎn&lt;/rt&gt;&lt;/ruby&gt;</t>
  </si>
  <si>
    <t>kǎn</t>
  </si>
  <si>
    <t>chặt, chẻ, bổ</t>
  </si>
  <si>
    <r>
      <rPr>
        <sz val="10"/>
        <color theme="1"/>
        <rFont val="Calibri"/>
      </rPr>
      <t xml:space="preserve"> 他用斧头</t>
    </r>
    <r>
      <rPr>
        <b/>
        <sz val="10"/>
        <color theme="1"/>
        <rFont val="Calibri"/>
      </rPr>
      <t>砍</t>
    </r>
    <r>
      <rPr>
        <sz val="10"/>
        <color theme="1"/>
        <rFont val="Calibri"/>
      </rPr>
      <t>了几大块木头。</t>
    </r>
  </si>
  <si>
    <t>Anh ấy dùng rìu bổ mấy khúc gỗ lớn.</t>
  </si>
  <si>
    <t>H5_B32_BG-05.png</t>
  </si>
  <si>
    <t>B32_5.mp3</t>
  </si>
  <si>
    <t>B32_VD_5.mp3</t>
  </si>
  <si>
    <t>生存</t>
  </si>
  <si>
    <t>&lt;ruby&gt;生存&lt;rt&gt;shēngcún&lt;/rt&gt;&lt;/ruby&gt;</t>
  </si>
  <si>
    <t>shēngcún</t>
  </si>
  <si>
    <t>sinh sống, sống</t>
  </si>
  <si>
    <r>
      <rPr>
        <sz val="10"/>
        <color theme="1"/>
        <rFont val="Calibri"/>
      </rPr>
      <t>为了</t>
    </r>
    <r>
      <rPr>
        <b/>
        <sz val="10"/>
        <color theme="1"/>
        <rFont val="Calibri"/>
      </rPr>
      <t>生存</t>
    </r>
    <r>
      <rPr>
        <sz val="10"/>
        <color theme="1"/>
        <rFont val="Calibri"/>
      </rPr>
      <t>，人每天都需要摄取足够的营养。</t>
    </r>
  </si>
  <si>
    <t>Để sinh tồn, con người cần hấp thụ đủ chất dinh dưỡng mỗi ngày.</t>
  </si>
  <si>
    <t>H5_B32_BG-06.png</t>
  </si>
  <si>
    <t>B32_6.mp3</t>
  </si>
  <si>
    <t>B32_VD_6.mp3</t>
  </si>
  <si>
    <t>沙漠</t>
  </si>
  <si>
    <t>&lt;ruby&gt;沙漠&lt;rt&gt;shāmò&lt;/rt&gt;&lt;/ruby&gt;</t>
  </si>
  <si>
    <t>shāmò</t>
  </si>
  <si>
    <t>sa mạc</t>
  </si>
  <si>
    <r>
      <rPr>
        <b/>
        <sz val="10"/>
        <color theme="1"/>
        <rFont val="Calibri"/>
      </rPr>
      <t>沙漠</t>
    </r>
    <r>
      <rPr>
        <sz val="10"/>
        <color theme="1"/>
        <rFont val="Calibri"/>
      </rPr>
      <t>虽然荒凉，但也有它独特的美。</t>
    </r>
  </si>
  <si>
    <t>Sa mạc tuy hoang vắng nhưng cũng có vẻ đẹp độc đáo của nó.</t>
  </si>
  <si>
    <t>H5_B32_BG-07.png</t>
  </si>
  <si>
    <t>B32_7.mp3</t>
  </si>
  <si>
    <t>B32_VD_7.mp3</t>
  </si>
  <si>
    <t>资源</t>
  </si>
  <si>
    <t>&lt;ruby&gt;资源&lt;rt&gt;zīyuán&lt;/rt&gt;&lt;/ruby&gt;</t>
  </si>
  <si>
    <t>zīyuán</t>
  </si>
  <si>
    <t>tài nguyên</t>
  </si>
  <si>
    <r>
      <rPr>
        <sz val="10"/>
        <color theme="1"/>
        <rFont val="Calibri"/>
      </rPr>
      <t>森林是地球上重要的自然</t>
    </r>
    <r>
      <rPr>
        <b/>
        <sz val="10"/>
        <color theme="1"/>
        <rFont val="Calibri"/>
      </rPr>
      <t>资源</t>
    </r>
    <r>
      <rPr>
        <sz val="10"/>
        <color theme="1"/>
        <rFont val="Calibri"/>
      </rPr>
      <t>，在环境保护中起着关键作用。</t>
    </r>
  </si>
  <si>
    <t>Rừng là tài nguyên thiên nhiên quan trọng trên trái đất, đóng vai trò thiết yếu trong việc bảo vệ môi trường.</t>
  </si>
  <si>
    <t>H5_B32_BG-08.png</t>
  </si>
  <si>
    <t>B32_8.mp3</t>
  </si>
  <si>
    <t>B32_VD_8.mp3</t>
  </si>
  <si>
    <t>车祸</t>
  </si>
  <si>
    <t>&lt;ruby&gt;车祸&lt;rt&gt;chēhuò&lt;/rt&gt;&lt;/ruby&gt;</t>
  </si>
  <si>
    <t>chēhuò</t>
  </si>
  <si>
    <t>tai nạn giao thông</t>
  </si>
  <si>
    <r>
      <rPr>
        <sz val="10"/>
        <color theme="1"/>
        <rFont val="Calibri"/>
      </rPr>
      <t>我在路上看到了一起严重的</t>
    </r>
    <r>
      <rPr>
        <b/>
        <sz val="10"/>
        <color theme="1"/>
        <rFont val="Calibri"/>
      </rPr>
      <t>车祸</t>
    </r>
    <r>
      <rPr>
        <sz val="10"/>
        <color theme="1"/>
        <rFont val="Calibri"/>
      </rPr>
      <t>，幸运的是没有人受伤。</t>
    </r>
  </si>
  <si>
    <t>Tôi đã thấy một tai nạn giao thông nghiêm trọng trên đường, may mắn là không có ai bị thương.</t>
  </si>
  <si>
    <t>H5_B32_BG-09.png</t>
  </si>
  <si>
    <t>B32_9.mp3</t>
  </si>
  <si>
    <t>B32_VD_9.mp3</t>
  </si>
  <si>
    <t>尾气</t>
  </si>
  <si>
    <t>&lt;ruby&gt;尾气&lt;rt&gt;wěiqì&lt;/rt&gt;&lt;/ruby&gt;</t>
  </si>
  <si>
    <t>wěiqì</t>
  </si>
  <si>
    <t>khí thải</t>
  </si>
  <si>
    <r>
      <rPr>
        <sz val="10"/>
        <color theme="1"/>
        <rFont val="Calibri"/>
      </rPr>
      <t xml:space="preserve"> 汽车</t>
    </r>
    <r>
      <rPr>
        <b/>
        <sz val="10"/>
        <color theme="1"/>
        <rFont val="Calibri"/>
      </rPr>
      <t>尾气</t>
    </r>
    <r>
      <rPr>
        <sz val="10"/>
        <color theme="1"/>
        <rFont val="Calibri"/>
      </rPr>
      <t>对空气污染影响很大。</t>
    </r>
  </si>
  <si>
    <t>Khí thải từ ô tô có ảnh hưởng lớn đến ô nhiễm không khí.</t>
  </si>
  <si>
    <t>H5_B32_BG-10.png</t>
  </si>
  <si>
    <t>B32_10.mp3</t>
  </si>
  <si>
    <t>B32_VD_10.mp3</t>
  </si>
  <si>
    <t>燃烧</t>
  </si>
  <si>
    <t>&lt;ruby&gt;燃烧&lt;rt&gt;ránshāo&lt;/rt&gt;&lt;/ruby&gt;</t>
  </si>
  <si>
    <t>ránshāo</t>
  </si>
  <si>
    <t>bốc cháy, đốt cháy</t>
  </si>
  <si>
    <r>
      <rPr>
        <sz val="10"/>
        <color theme="1"/>
        <rFont val="Calibri"/>
      </rPr>
      <t>木头在火中</t>
    </r>
    <r>
      <rPr>
        <b/>
        <sz val="10"/>
        <color theme="1"/>
        <rFont val="Calibri"/>
      </rPr>
      <t>燃烧</t>
    </r>
    <r>
      <rPr>
        <sz val="10"/>
        <color theme="1"/>
        <rFont val="Calibri"/>
      </rPr>
      <t>得很快。</t>
    </r>
  </si>
  <si>
    <t>Gỗ bốc cháy rất nhanh trong lửa.</t>
  </si>
  <si>
    <t>H5_B32_BG-11.png</t>
  </si>
  <si>
    <t>B32_11.mp3</t>
  </si>
  <si>
    <t>B32_VD_11.mp3</t>
  </si>
  <si>
    <t>煤炭</t>
  </si>
  <si>
    <t>&lt;ruby&gt;煤炭&lt;rt&gt;méitàn&lt;/rt&gt;&lt;/ruby&gt;</t>
  </si>
  <si>
    <t>méitàn</t>
  </si>
  <si>
    <t>than đá</t>
  </si>
  <si>
    <r>
      <rPr>
        <b/>
        <sz val="10"/>
        <color theme="1"/>
        <rFont val="Calibri"/>
      </rPr>
      <t>煤炭</t>
    </r>
    <r>
      <rPr>
        <sz val="10"/>
        <color theme="1"/>
        <rFont val="Calibri"/>
      </rPr>
      <t>是重要的能源之一。</t>
    </r>
  </si>
  <si>
    <t>Than đá là một trong những nguồn năng lượng quan trọng.</t>
  </si>
  <si>
    <t>H5_B32_BG-12.png</t>
  </si>
  <si>
    <t>B32_12.mp3</t>
  </si>
  <si>
    <t>B32_VD_12.mp3</t>
  </si>
  <si>
    <t>能源</t>
  </si>
  <si>
    <t>&lt;ruby&gt;能源&lt;rt&gt;néngyuán&lt;/rt&gt;&lt;/ruby&gt;</t>
  </si>
  <si>
    <t>néngyuán</t>
  </si>
  <si>
    <t>nguồn năng lượng</t>
  </si>
  <si>
    <r>
      <rPr>
        <sz val="10"/>
        <color theme="1"/>
        <rFont val="Calibri"/>
      </rPr>
      <t>太阳能是一种清洁的可再生</t>
    </r>
    <r>
      <rPr>
        <b/>
        <sz val="10"/>
        <color theme="1"/>
        <rFont val="Calibri"/>
      </rPr>
      <t>能源</t>
    </r>
    <r>
      <rPr>
        <sz val="10"/>
        <color theme="1"/>
        <rFont val="Calibri"/>
      </rPr>
      <t>。</t>
    </r>
  </si>
  <si>
    <t>Năng lượng mặt trời là một nguồn năng lượng tái tạo sạch.</t>
  </si>
  <si>
    <t>H5_B32_BG-13.png</t>
  </si>
  <si>
    <t>B32_13.mp3</t>
  </si>
  <si>
    <t>B32_VD_13.mp3</t>
  </si>
  <si>
    <t>公布</t>
  </si>
  <si>
    <t>&lt;ruby&gt;公布&lt;rt&gt;gōngbù&lt;/rt&gt;&lt;/ruby&gt;</t>
  </si>
  <si>
    <t>gōngbù</t>
  </si>
  <si>
    <t>công bố</t>
  </si>
  <si>
    <r>
      <rPr>
        <sz val="10"/>
        <color theme="1"/>
        <rFont val="Calibri"/>
      </rPr>
      <t>这个计划将在会议上</t>
    </r>
    <r>
      <rPr>
        <b/>
        <sz val="10"/>
        <color theme="1"/>
        <rFont val="Calibri"/>
      </rPr>
      <t>公布</t>
    </r>
    <r>
      <rPr>
        <sz val="10"/>
        <color theme="1"/>
        <rFont val="Calibri"/>
      </rPr>
      <t>，大家可以提出意见。</t>
    </r>
  </si>
  <si>
    <t>Kế hoạch này sẽ được công bố tại cuộc họp, mọi người có thể đưa ra ý kiến.</t>
  </si>
  <si>
    <t>H5_B32_BG-14.png</t>
  </si>
  <si>
    <t>B32_14.mp3</t>
  </si>
  <si>
    <t>B32_VD_14.mp3</t>
  </si>
  <si>
    <t>数据</t>
  </si>
  <si>
    <t>&lt;ruby&gt;数据&lt;rt&gt;shùjù&lt;/rt&gt;&lt;/ruby&gt;</t>
  </si>
  <si>
    <t>shùjù</t>
  </si>
  <si>
    <t>số liệu</t>
  </si>
  <si>
    <r>
      <rPr>
        <sz val="10"/>
        <color theme="1"/>
        <rFont val="Calibri"/>
      </rPr>
      <t>这些</t>
    </r>
    <r>
      <rPr>
        <b/>
        <sz val="10"/>
        <color theme="1"/>
        <rFont val="Calibri"/>
      </rPr>
      <t>数据</t>
    </r>
    <r>
      <rPr>
        <sz val="10"/>
        <color theme="1"/>
        <rFont val="Calibri"/>
      </rPr>
      <t>可以帮助我们更好地了解消费者的行为。</t>
    </r>
  </si>
  <si>
    <t>Những số liệu này giúp chúng ta hiểu rõ hơn về hành vi của người tiêu dùng.</t>
  </si>
  <si>
    <t>H5_B32_BG-15.png</t>
  </si>
  <si>
    <t>B32_15.mp3</t>
  </si>
  <si>
    <t>B32_VD_15.mp3</t>
  </si>
  <si>
    <t>真实</t>
  </si>
  <si>
    <t>&lt;ruby&gt;真实&lt;rt&gt;zhēnshí&lt;/rt&gt;&lt;/ruby&gt;</t>
  </si>
  <si>
    <t>zhēnshí</t>
  </si>
  <si>
    <t>thực tế, có thực</t>
  </si>
  <si>
    <r>
      <rPr>
        <sz val="10"/>
        <color theme="1"/>
        <rFont val="Calibri"/>
      </rPr>
      <t>他的工作经验非常</t>
    </r>
    <r>
      <rPr>
        <b/>
        <sz val="10"/>
        <color theme="1"/>
        <rFont val="Calibri"/>
      </rPr>
      <t>真实</t>
    </r>
    <r>
      <rPr>
        <sz val="10"/>
        <color theme="1"/>
        <rFont val="Calibri"/>
      </rPr>
      <t>，不像有些人夸大其词。</t>
    </r>
  </si>
  <si>
    <t>Kinh nghiệm làm việc của anh ấy rất thực tế, không giống như một số người phóng đại.</t>
  </si>
  <si>
    <t>H5_B32_BG-16.png</t>
  </si>
  <si>
    <t>B32_16.mp3</t>
  </si>
  <si>
    <t>B32_VD_16.mp3</t>
  </si>
  <si>
    <t>工业</t>
  </si>
  <si>
    <t>&lt;ruby&gt;工业&lt;rt&gt;gōngyè&lt;/rt&gt;&lt;/ruby&gt;</t>
  </si>
  <si>
    <t>gōngyè</t>
  </si>
  <si>
    <t>công nghiệp</t>
  </si>
  <si>
    <r>
      <rPr>
        <b/>
        <sz val="10"/>
        <color theme="1"/>
        <rFont val="Calibri"/>
      </rPr>
      <t>工业</t>
    </r>
    <r>
      <rPr>
        <sz val="10"/>
        <color theme="1"/>
        <rFont val="Calibri"/>
      </rPr>
      <t>改变了全球的生产方式，推动了全球化进程。</t>
    </r>
  </si>
  <si>
    <t>Ngành công nghiệp đã thay đổi cách thức sản xuất trên toàn thế giới, thúc đẩy quá trình toàn cầu hóa.</t>
  </si>
  <si>
    <t>H5_B32_BG-17.png</t>
  </si>
  <si>
    <t>B32_17.mp3</t>
  </si>
  <si>
    <t>B32_VD_17.mp3</t>
  </si>
  <si>
    <t>农业</t>
  </si>
  <si>
    <t>&lt;ruby&gt;农业&lt;rt&gt;nóngyè&lt;/rt&gt;&lt;/ruby&gt;</t>
  </si>
  <si>
    <t>nóngyè</t>
  </si>
  <si>
    <t>nông nghiệp</t>
  </si>
  <si>
    <r>
      <rPr>
        <sz val="10"/>
        <color theme="1"/>
        <rFont val="Calibri"/>
      </rPr>
      <t xml:space="preserve"> 中国的</t>
    </r>
    <r>
      <rPr>
        <b/>
        <sz val="10"/>
        <color theme="1"/>
        <rFont val="Calibri"/>
      </rPr>
      <t>农业</t>
    </r>
    <r>
      <rPr>
        <sz val="10"/>
        <color theme="1"/>
        <rFont val="Calibri"/>
      </rPr>
      <t>发展迅速，已成为世界上最大的农产品生产国之一。</t>
    </r>
  </si>
  <si>
    <t>Ngành nông nghiệp của Trung Quốc phát triển nhanh chóng, trở thành một trong những quốc gia sản xuất nông sản lớn nhất thế giới.</t>
  </si>
  <si>
    <t>H5_B32_BG-18.png</t>
  </si>
  <si>
    <t>B32_18.mp3</t>
  </si>
  <si>
    <t>B32_VD_18.mp3</t>
  </si>
  <si>
    <t>生产</t>
  </si>
  <si>
    <t>&lt;ruby&gt;生产&lt;rt&gt;shēngchǎn&lt;/rt&gt;&lt;/ruby&gt;</t>
  </si>
  <si>
    <t>shēngchǎn</t>
  </si>
  <si>
    <t>sản xuất</t>
  </si>
  <si>
    <r>
      <rPr>
        <sz val="10"/>
        <color theme="1"/>
        <rFont val="Calibri"/>
      </rPr>
      <t>中国是世界上最大的汽车</t>
    </r>
    <r>
      <rPr>
        <b/>
        <sz val="10"/>
        <color theme="1"/>
        <rFont val="Calibri"/>
      </rPr>
      <t>生产</t>
    </r>
    <r>
      <rPr>
        <sz val="10"/>
        <color theme="1"/>
        <rFont val="Calibri"/>
      </rPr>
      <t>国之一。</t>
    </r>
  </si>
  <si>
    <t>Trung Quốc là một trong những quốc gia sản xuất ô tô lớn nhất thế giới.</t>
  </si>
  <si>
    <t>H5_B32_BG-19.png</t>
  </si>
  <si>
    <t>B32_19.mp3</t>
  </si>
  <si>
    <t>B32_VD_19.mp3</t>
  </si>
  <si>
    <t>大型</t>
  </si>
  <si>
    <t>&lt;ruby&gt;大型&lt;rt&gt;dàxíng&lt;/rt&gt;&lt;/ruby&gt;</t>
  </si>
  <si>
    <t>dàxíng</t>
  </si>
  <si>
    <t>quy mô lớn, khổng lồ</t>
  </si>
  <si>
    <r>
      <rPr>
        <sz val="10"/>
        <color theme="1"/>
        <rFont val="Calibri"/>
      </rPr>
      <t>这座城市建造了</t>
    </r>
    <r>
      <rPr>
        <b/>
        <sz val="10"/>
        <color theme="1"/>
        <rFont val="Calibri"/>
      </rPr>
      <t>大型</t>
    </r>
    <r>
      <rPr>
        <sz val="10"/>
        <color theme="1"/>
        <rFont val="Calibri"/>
      </rPr>
      <t>地铁系统来解决交通问题。</t>
    </r>
  </si>
  <si>
    <t>Thành phố này đã xây dựng một hệ thống tàu điện ngầm quy mô lớn để giải quyết vấn đề giao thông.</t>
  </si>
  <si>
    <t>H5_B32_BG-20.png</t>
  </si>
  <si>
    <t>B32_20.mp3</t>
  </si>
  <si>
    <t>B32_VD_20.mp3</t>
  </si>
  <si>
    <t>工厂</t>
  </si>
  <si>
    <t>&lt;ruby&gt;工厂&lt;rt&gt;gōngchǎng&lt;/rt&gt;&lt;/ruby&gt;</t>
  </si>
  <si>
    <t>gōngchǎng</t>
  </si>
  <si>
    <t>công xưởng, nhà máy</t>
  </si>
  <si>
    <r>
      <rPr>
        <sz val="10"/>
        <color theme="1"/>
        <rFont val="Calibri"/>
      </rPr>
      <t>这家</t>
    </r>
    <r>
      <rPr>
        <b/>
        <sz val="10"/>
        <color theme="1"/>
        <rFont val="Calibri"/>
      </rPr>
      <t>工厂</t>
    </r>
    <r>
      <rPr>
        <sz val="10"/>
        <color theme="1"/>
        <rFont val="Calibri"/>
      </rPr>
      <t>生产各种电子产品，并出口到世界各地。</t>
    </r>
  </si>
  <si>
    <t>Nhà máy này sản xuất đủ loại sản phẩm điện tử và xuất khẩu đi khắp nơi trên thế giới.</t>
  </si>
  <si>
    <t>H5_B32_BG-21.png</t>
  </si>
  <si>
    <t>B32_21.mp3</t>
  </si>
  <si>
    <t>B32_VD_21.mp3</t>
  </si>
  <si>
    <t>废</t>
  </si>
  <si>
    <t>&lt;ruby&gt;废&lt;rt&gt;fèi&lt;/rt&gt;&lt;/ruby&gt;</t>
  </si>
  <si>
    <t>fèi</t>
  </si>
  <si>
    <t>thải, bỏ</t>
  </si>
  <si>
    <r>
      <rPr>
        <b/>
        <sz val="10"/>
        <color theme="1"/>
        <rFont val="Calibri"/>
      </rPr>
      <t>废</t>
    </r>
    <r>
      <rPr>
        <sz val="10"/>
        <color theme="1"/>
        <rFont val="Calibri"/>
      </rPr>
      <t>水被排放到河流中，造成了严重的污染。</t>
    </r>
  </si>
  <si>
    <t>Nước thải được xả ra sông, gây ra ô nhiễm nghiêm trọng.</t>
  </si>
  <si>
    <t>H5_B32_BG-22.png</t>
  </si>
  <si>
    <t>B32_22.mp3</t>
  </si>
  <si>
    <t>B32_VD_22.mp3</t>
  </si>
  <si>
    <t>逐步</t>
  </si>
  <si>
    <t>&lt;ruby&gt;逐步&lt;rt&gt;zhúbù&lt;/rt&gt;&lt;/ruby&gt;</t>
  </si>
  <si>
    <t>zhúbù</t>
  </si>
  <si>
    <t>từng bước, dần dần</t>
  </si>
  <si>
    <r>
      <rPr>
        <sz val="10"/>
        <color theme="1"/>
        <rFont val="Calibri"/>
      </rPr>
      <t>随着科技的发展，越来越多的工作</t>
    </r>
    <r>
      <rPr>
        <b/>
        <sz val="10"/>
        <color theme="1"/>
        <rFont val="Calibri"/>
      </rPr>
      <t>逐步</t>
    </r>
    <r>
      <rPr>
        <sz val="10"/>
        <color theme="1"/>
        <rFont val="Calibri"/>
      </rPr>
      <t>被自动化取代。</t>
    </r>
  </si>
  <si>
    <t>Với sự phát triển của công nghệ, ngày càng nhiều công việc dần dần được thay thế bằng tự động hóa.</t>
  </si>
  <si>
    <t>H5_B32_BG-23.png</t>
  </si>
  <si>
    <t>B32_23.mp3</t>
  </si>
  <si>
    <t>B32_VD_23.mp3</t>
  </si>
  <si>
    <t>尽量</t>
  </si>
  <si>
    <t>&lt;ruby&gt;尽量&lt;rt&gt;jìnliàng&lt;/rt&gt;&lt;/ruby&gt;</t>
  </si>
  <si>
    <t>jìnliàng</t>
  </si>
  <si>
    <t>cố gắng hết sức</t>
  </si>
  <si>
    <r>
      <rPr>
        <sz val="10"/>
        <color theme="1"/>
        <rFont val="Calibri"/>
      </rPr>
      <t>为了通过考试，我</t>
    </r>
    <r>
      <rPr>
        <b/>
        <sz val="10"/>
        <color theme="1"/>
        <rFont val="Calibri"/>
      </rPr>
      <t>尽量</t>
    </r>
    <r>
      <rPr>
        <sz val="10"/>
        <color theme="1"/>
        <rFont val="Calibri"/>
      </rPr>
      <t>多复习。</t>
    </r>
  </si>
  <si>
    <t>Để vượt qua kỳ thi, tôi đã cố gắng ôn tập nhiều..</t>
  </si>
  <si>
    <t>H5_B32_BG-24.png</t>
  </si>
  <si>
    <t>B32_24.mp3</t>
  </si>
  <si>
    <t>B32_VD_24.mp3</t>
  </si>
  <si>
    <t>私（人）</t>
  </si>
  <si>
    <t>&lt;ruby&gt;私（人）&lt;rt&gt;sī (rén)&lt;/rt&gt;&lt;/ruby&gt;</t>
  </si>
  <si>
    <t>sī (rén)</t>
  </si>
  <si>
    <t>riêng, cá nhân</t>
  </si>
  <si>
    <r>
      <rPr>
        <sz val="10"/>
        <color theme="1"/>
        <rFont val="Calibri"/>
      </rPr>
      <t>这些书是我的</t>
    </r>
    <r>
      <rPr>
        <b/>
        <sz val="10"/>
        <color theme="1"/>
        <rFont val="Calibri"/>
      </rPr>
      <t>私人</t>
    </r>
    <r>
      <rPr>
        <sz val="10"/>
        <color theme="1"/>
        <rFont val="Calibri"/>
      </rPr>
      <t>收藏，不借给别人。</t>
    </r>
  </si>
  <si>
    <t>Những cuốn sách này là bộ sưu tập cá nhân của tôi, tôi không cho người khác mượn.</t>
  </si>
  <si>
    <t>H5_B32_BG-25.png</t>
  </si>
  <si>
    <t>B32_25.mp3</t>
  </si>
  <si>
    <t>B32_VD_25.mp3</t>
  </si>
  <si>
    <t>设施</t>
  </si>
  <si>
    <t>&lt;ruby&gt;设施&lt;rt&gt;shèshī&lt;/rt&gt;&lt;/ruby&gt;</t>
  </si>
  <si>
    <t>shèshī</t>
  </si>
  <si>
    <t>thiết bị, phương tiện</t>
  </si>
  <si>
    <r>
      <rPr>
        <sz val="10"/>
        <color theme="1"/>
        <rFont val="Calibri"/>
      </rPr>
      <t>这个工厂的</t>
    </r>
    <r>
      <rPr>
        <b/>
        <sz val="10"/>
        <color theme="1"/>
        <rFont val="Calibri"/>
      </rPr>
      <t>设施</t>
    </r>
    <r>
      <rPr>
        <sz val="10"/>
        <color theme="1"/>
        <rFont val="Calibri"/>
      </rPr>
      <t>很好，到处都有摄像头保证安全。</t>
    </r>
  </si>
  <si>
    <t>Nhà máy này có cơ sở vật chất rất tốt, có camera khắp nơi để đảm bảo an toàn.</t>
  </si>
  <si>
    <t>H5_B32_BG-26.png</t>
  </si>
  <si>
    <t>B32_26.mp3</t>
  </si>
  <si>
    <t>B32_VD_26.mp3</t>
  </si>
  <si>
    <t>夸张</t>
  </si>
  <si>
    <t>&lt;ruby&gt;夸张&lt;rt&gt;kuāzhāng&lt;/rt&gt;&lt;/ruby&gt;</t>
  </si>
  <si>
    <t>kuāzhāng</t>
  </si>
  <si>
    <t>phóng đại, cường điệu</t>
  </si>
  <si>
    <r>
      <rPr>
        <sz val="10"/>
        <color theme="1"/>
        <rFont val="Calibri"/>
      </rPr>
      <t>他说的话太</t>
    </r>
    <r>
      <rPr>
        <b/>
        <sz val="10"/>
        <color theme="1"/>
        <rFont val="Calibri"/>
      </rPr>
      <t>夸张</t>
    </r>
    <r>
      <rPr>
        <sz val="10"/>
        <color theme="1"/>
        <rFont val="Calibri"/>
      </rPr>
      <t>了。</t>
    </r>
  </si>
  <si>
    <t>Những gì anh ấy nói có đều là phóng đại.</t>
  </si>
  <si>
    <t>H5_B32_BG-27.png</t>
  </si>
  <si>
    <t>B32_27.mp3</t>
  </si>
  <si>
    <t>B32_VD_27.mp3</t>
  </si>
  <si>
    <t>不安</t>
  </si>
  <si>
    <t>&lt;ruby&gt;不安&lt;rt&gt;bù'ān&lt;/rt&gt;&lt;/ruby&gt;</t>
  </si>
  <si>
    <t>bù'ān</t>
  </si>
  <si>
    <t>lo lắng, không an lòng</t>
  </si>
  <si>
    <r>
      <rPr>
        <sz val="10"/>
        <color theme="1"/>
        <rFont val="Calibri"/>
      </rPr>
      <t>因为即将到来的重要考试，我感到非常</t>
    </r>
    <r>
      <rPr>
        <b/>
        <sz val="10"/>
        <color theme="1"/>
        <rFont val="Calibri"/>
      </rPr>
      <t>不安</t>
    </r>
    <r>
      <rPr>
        <sz val="10"/>
        <color theme="1"/>
        <rFont val="Calibri"/>
      </rPr>
      <t>。</t>
    </r>
  </si>
  <si>
    <t>Tôi cảm thấy rất lo lắng vì kỳ thi quan trọng sắp tới.</t>
  </si>
  <si>
    <t>H5_B32_BG-28.png</t>
  </si>
  <si>
    <t>B32_28.mp3</t>
  </si>
  <si>
    <t>B32_VD_28.mp3</t>
  </si>
  <si>
    <t>密切</t>
  </si>
  <si>
    <t>&lt;ruby&gt;密切&lt;rt&gt;mìqiè&lt;/rt&gt;&lt;/ruby&gt;</t>
  </si>
  <si>
    <t>mìqiè</t>
  </si>
  <si>
    <t>mật thiết, thân mật</t>
  </si>
  <si>
    <r>
      <rPr>
        <sz val="10"/>
        <color theme="1"/>
        <rFont val="Calibri"/>
      </rPr>
      <t>他们家的关系非常</t>
    </r>
    <r>
      <rPr>
        <b/>
        <sz val="10"/>
        <color theme="1"/>
        <rFont val="Calibri"/>
      </rPr>
      <t>密切</t>
    </r>
    <r>
      <rPr>
        <sz val="10"/>
        <color theme="1"/>
        <rFont val="Calibri"/>
      </rPr>
      <t>，经常一起去度假。</t>
    </r>
  </si>
  <si>
    <t>Mối quan hệ trong gia đình họ rất thân mật, thường xuyên đi nghỉ dưỡng cùng nhau.</t>
  </si>
  <si>
    <t>H5_B32_BG-29.png</t>
  </si>
  <si>
    <t>B32_29.mp3</t>
  </si>
  <si>
    <t>B32_VD_29.mp3</t>
  </si>
  <si>
    <t>幸运</t>
  </si>
  <si>
    <t>&lt;ruby&gt;幸运&lt;rt&gt;xìngyùn&lt;/rt&gt;&lt;/ruby&gt;</t>
  </si>
  <si>
    <t>xìngyùn</t>
  </si>
  <si>
    <t>may mắn</t>
  </si>
  <si>
    <r>
      <rPr>
        <sz val="10"/>
        <color theme="1"/>
        <rFont val="Calibri"/>
      </rPr>
      <t xml:space="preserve"> 我们很</t>
    </r>
    <r>
      <rPr>
        <b/>
        <sz val="10"/>
        <color theme="1"/>
        <rFont val="Calibri"/>
      </rPr>
      <t>幸运</t>
    </r>
    <r>
      <rPr>
        <sz val="10"/>
        <color theme="1"/>
        <rFont val="Calibri"/>
      </rPr>
      <t>遇到了好朋友。</t>
    </r>
  </si>
  <si>
    <t>Chúng tôi thật may mắn khi gặp được những người bạn tốt.</t>
  </si>
  <si>
    <t>H5_B32_BG-30.png</t>
  </si>
  <si>
    <t>B32_30.mp3</t>
  </si>
  <si>
    <t>B32_VD_30.mp3</t>
  </si>
  <si>
    <t>敏感</t>
  </si>
  <si>
    <t>&lt;ruby&gt;敏感&lt;rt&gt;mǐngǎn&lt;/rt&gt;&lt;/ruby&gt;</t>
  </si>
  <si>
    <t>mǐngǎn</t>
  </si>
  <si>
    <t>nhạy cảm</t>
  </si>
  <si>
    <r>
      <rPr>
        <sz val="10"/>
        <color theme="1"/>
        <rFont val="Calibri"/>
      </rPr>
      <t>他的皮肤很</t>
    </r>
    <r>
      <rPr>
        <b/>
        <sz val="10"/>
        <color theme="1"/>
        <rFont val="Calibri"/>
      </rPr>
      <t>敏感</t>
    </r>
    <r>
      <rPr>
        <sz val="10"/>
        <color theme="1"/>
        <rFont val="Calibri"/>
      </rPr>
      <t>，经常会过敏。</t>
    </r>
  </si>
  <si>
    <t>Da của anh ấy rất nhạy cảm, thường xuyên bị kích ứng.</t>
  </si>
  <si>
    <t>H5_B32_BG-31.png</t>
  </si>
  <si>
    <t>B32_31.mp3</t>
  </si>
  <si>
    <t>B32_VD_31.mp3</t>
  </si>
  <si>
    <t>自觉</t>
  </si>
  <si>
    <t>&lt;ruby&gt;自觉&lt;rt&gt;zìjué&lt;/rt&gt;&lt;/ruby&gt;</t>
  </si>
  <si>
    <t>zìjué</t>
  </si>
  <si>
    <t>tự giác, có ý thức</t>
  </si>
  <si>
    <r>
      <rPr>
        <sz val="10"/>
        <color theme="1"/>
        <rFont val="Calibri"/>
      </rPr>
      <t>我每天早上都会</t>
    </r>
    <r>
      <rPr>
        <b/>
        <sz val="10"/>
        <color theme="1"/>
        <rFont val="Calibri"/>
      </rPr>
      <t>自觉</t>
    </r>
    <r>
      <rPr>
        <sz val="10"/>
        <color theme="1"/>
        <rFont val="Calibri"/>
      </rPr>
      <t>起床，不需要妈妈叫我。</t>
    </r>
  </si>
  <si>
    <t>Tôi luôn tự giác dậy sớm mỗi ngày, không cần mẹ gọi.</t>
  </si>
  <si>
    <t>H5_B32_BG-32.png</t>
  </si>
  <si>
    <t>B32_32.mp3</t>
  </si>
  <si>
    <t>B32_VD_32.mp3</t>
  </si>
  <si>
    <t>尊敬</t>
  </si>
  <si>
    <t>&lt;ruby&gt;尊敬&lt;rt&gt;zūnjìng&lt;/rt&gt;&lt;/ruby&gt;</t>
  </si>
  <si>
    <t>zūnjìng</t>
  </si>
  <si>
    <t>kính trọng</t>
  </si>
  <si>
    <r>
      <rPr>
        <sz val="10"/>
        <color theme="1"/>
        <rFont val="Calibri"/>
      </rPr>
      <t xml:space="preserve"> 我一直</t>
    </r>
    <r>
      <rPr>
        <b/>
        <sz val="10"/>
        <color theme="1"/>
        <rFont val="Calibri"/>
      </rPr>
      <t>尊敬</t>
    </r>
    <r>
      <rPr>
        <sz val="10"/>
        <color theme="1"/>
        <rFont val="Calibri"/>
      </rPr>
      <t>我的父母，并感谢他们为我们所做的一切。</t>
    </r>
  </si>
  <si>
    <t>Tôi luôn kính trọng cha mẹ của mình và cảm ơn những gì họ đã làm cho chúng ta.</t>
  </si>
  <si>
    <t>H5_B32_BG-33.png</t>
  </si>
  <si>
    <t>B32_33.mp3</t>
  </si>
  <si>
    <t>B32_VD_33.mp3</t>
  </si>
  <si>
    <t>鼓舞</t>
  </si>
  <si>
    <t>&lt;ruby&gt;鼓舞&lt;rt&gt;gǔwǔ&lt;/rt&gt;&lt;/ruby&gt;</t>
  </si>
  <si>
    <t>gǔwǔ</t>
  </si>
  <si>
    <t>cổ vũ, khích lệ</t>
  </si>
  <si>
    <r>
      <rPr>
        <sz val="10"/>
        <color theme="1"/>
        <rFont val="Calibri"/>
      </rPr>
      <t>老师的</t>
    </r>
    <r>
      <rPr>
        <b/>
        <sz val="10"/>
        <color theme="1"/>
        <rFont val="Calibri"/>
      </rPr>
      <t>鼓舞</t>
    </r>
    <r>
      <rPr>
        <sz val="10"/>
        <color theme="1"/>
        <rFont val="Calibri"/>
      </rPr>
      <t>让我更加努力学习。</t>
    </r>
  </si>
  <si>
    <t>Lời khích lệ của cô giáo khiến tôi cố gắng học tập hơn nữa.</t>
  </si>
  <si>
    <t>H5_B32_BG-34.png</t>
  </si>
  <si>
    <t>B32_34.mp3</t>
  </si>
  <si>
    <t>B32_VD_34.mp3</t>
  </si>
  <si>
    <t>消极</t>
  </si>
  <si>
    <t>&lt;ruby&gt;消极&lt;rt&gt;xiāojí&lt;/rt&gt;&lt;/ruby&gt;</t>
  </si>
  <si>
    <t>xiāojí</t>
  </si>
  <si>
    <t>tiêu cực</t>
  </si>
  <si>
    <r>
      <rPr>
        <sz val="10"/>
        <color theme="1"/>
        <rFont val="Calibri"/>
      </rPr>
      <t>我的腿不能走路了，我总是有</t>
    </r>
    <r>
      <rPr>
        <b/>
        <sz val="10"/>
        <color theme="1"/>
        <rFont val="Calibri"/>
      </rPr>
      <t>消极</t>
    </r>
    <r>
      <rPr>
        <sz val="10"/>
        <color theme="1"/>
        <rFont val="Calibri"/>
      </rPr>
      <t>的想法。</t>
    </r>
  </si>
  <si>
    <t>Tôi luôn có suy nghĩ tiêu cực khi đôi chân của mình không thể đi lại được.</t>
  </si>
  <si>
    <t>H5_B32_BG-35.png</t>
  </si>
  <si>
    <t>B32_35.mp3</t>
  </si>
  <si>
    <t>B32_VD_35.mp3</t>
  </si>
  <si>
    <t>幻想</t>
  </si>
  <si>
    <t>&lt;ruby&gt;幻想&lt;rt&gt;huànxiǎng&lt;/rt&gt;&lt;/ruby&gt;</t>
  </si>
  <si>
    <t>huànxiǎng</t>
  </si>
  <si>
    <t>ảo tưởng, hoang tưởng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</si>
  <si>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幻想</t>
    </r>
    <r>
      <rPr>
        <sz val="10"/>
        <color theme="1"/>
        <rFont val="Calibri"/>
      </rPr>
      <t>自己成为超级英雄。</t>
    </r>
  </si>
  <si>
    <t>Anh ta ảo tưởng trở thành siêu anh hùng.</t>
  </si>
  <si>
    <t>H5_B32_BG-36.png</t>
  </si>
  <si>
    <t>B32_36.mp3</t>
  </si>
  <si>
    <t>B32_VD_36.mp3</t>
  </si>
  <si>
    <t>贡献</t>
  </si>
  <si>
    <t>&lt;ruby&gt;贡献&lt;rt&gt;gòngxiàn&lt;/rt&gt;&lt;/ruby&gt;</t>
  </si>
  <si>
    <t>gòngxiàn</t>
  </si>
  <si>
    <t>sự đóng góp; cống hiến</t>
  </si>
  <si>
    <r>
      <rPr>
        <sz val="10"/>
        <color theme="1"/>
        <rFont val="Calibri"/>
      </rPr>
      <t>他的</t>
    </r>
    <r>
      <rPr>
        <b/>
        <sz val="10"/>
        <color theme="1"/>
        <rFont val="Calibri"/>
      </rPr>
      <t>贡献</t>
    </r>
    <r>
      <rPr>
        <sz val="10"/>
        <color theme="1"/>
        <rFont val="Calibri"/>
      </rPr>
      <t>虽然看起来微不足道，但对团队来说非常重要。</t>
    </r>
  </si>
  <si>
    <t>Những đóng góp của anh ấy dù có vẻ nhỏ bé, nhưng lại vô cùng quan trọng đối với đội nhóm.</t>
  </si>
  <si>
    <t>H5_B32_BG-37.png</t>
  </si>
  <si>
    <t>B32_37.mp3</t>
  </si>
  <si>
    <t>B32_VD_37.mp3</t>
  </si>
  <si>
    <t>命运</t>
  </si>
  <si>
    <t>&lt;ruby&gt;命运&lt;rt&gt;mìngyùn&lt;/rt&gt;&lt;/ruby&gt;</t>
  </si>
  <si>
    <t>mìngyùn</t>
  </si>
  <si>
    <t>số phận, vận mệnh</t>
  </si>
  <si>
    <r>
      <rPr>
        <b/>
        <sz val="10"/>
        <color theme="1"/>
        <rFont val="Calibri"/>
      </rPr>
      <t>命运</t>
    </r>
    <r>
      <rPr>
        <sz val="10"/>
        <color theme="1"/>
        <rFont val="Calibri"/>
      </rPr>
      <t>让我们走到了一起，创造了一段美好的爱情。</t>
    </r>
  </si>
  <si>
    <t>Số phận đã sắp đặt chúng tôi bên nhau, tạo nên một tình yêu đẹp.</t>
  </si>
  <si>
    <t>H5_B32_BG-38.png</t>
  </si>
  <si>
    <t>B32_38.mp3</t>
  </si>
  <si>
    <t>B32_VD_38.mp3</t>
  </si>
  <si>
    <t>掌握</t>
  </si>
  <si>
    <t>&lt;ruby&gt;掌握&lt;rt&gt;zhǎngwò&lt;/rt&gt;&lt;/ruby&gt;</t>
  </si>
  <si>
    <t>zhǎngwò</t>
  </si>
  <si>
    <t>nắm chắc, nắm vững, hiểu rõ</t>
  </si>
  <si>
    <r>
      <rPr>
        <sz val="10"/>
        <color theme="1"/>
        <rFont val="Calibri"/>
      </rPr>
      <t xml:space="preserve"> 我已经</t>
    </r>
    <r>
      <rPr>
        <b/>
        <sz val="10"/>
        <color theme="1"/>
        <rFont val="Calibri"/>
      </rPr>
      <t>掌握</t>
    </r>
    <r>
      <rPr>
        <sz val="10"/>
        <color theme="1"/>
        <rFont val="Calibri"/>
      </rPr>
      <t>了所有知识，并在考试中取得了满分。</t>
    </r>
  </si>
  <si>
    <t>Tôi đã nắm chắc kiến thức trong tay và đạt được điểm tối đa trong kì thi vừa qua.</t>
  </si>
  <si>
    <t>H5_B32_BG-39.png</t>
  </si>
  <si>
    <t>B32_39.mp3</t>
  </si>
  <si>
    <t>B32_VD_39.mp3</t>
  </si>
  <si>
    <t>缓解</t>
  </si>
  <si>
    <t>&lt;ruby&gt;缓解&lt;rt&gt;huǎnjiě&lt;/rt&gt;&lt;/ruby&gt;</t>
  </si>
  <si>
    <t>huǎnjiě</t>
  </si>
  <si>
    <t>làm dịu, xoa dịu</t>
  </si>
  <si>
    <r>
      <rPr>
        <sz val="12"/>
        <color theme="1"/>
        <rFont val="Calibri"/>
      </rPr>
      <t>这种药可以</t>
    </r>
    <r>
      <rPr>
        <b/>
        <sz val="12"/>
        <color theme="1"/>
        <rFont val="Calibri"/>
      </rPr>
      <t>缓解</t>
    </r>
    <r>
      <rPr>
        <sz val="12"/>
        <color theme="1"/>
        <rFont val="Calibri"/>
      </rPr>
      <t>头痛。</t>
    </r>
  </si>
  <si>
    <t>Loại thuốc này có thể làm dịu cơn đau đầu.</t>
  </si>
  <si>
    <t>H5_B33_BG-01.png</t>
  </si>
  <si>
    <t>B33_1.mp3</t>
  </si>
  <si>
    <t>B33_VD_1.mp3</t>
  </si>
  <si>
    <t>招（儿）</t>
  </si>
  <si>
    <t>&lt;ruby&gt;招（儿）&lt;rt&gt;zhāo(r)&lt;/rt&gt;&lt;/ruby&gt;</t>
  </si>
  <si>
    <t>zhāo(r)</t>
  </si>
  <si>
    <t>biện pháp, phương pháp</t>
  </si>
  <si>
    <r>
      <rPr>
        <sz val="12"/>
        <color theme="1"/>
        <rFont val="Calibri"/>
      </rPr>
      <t>他想出了一个很好的</t>
    </r>
    <r>
      <rPr>
        <b/>
        <sz val="12"/>
        <color theme="1"/>
        <rFont val="Calibri"/>
      </rPr>
      <t>招儿</t>
    </r>
    <r>
      <rPr>
        <sz val="12"/>
        <color theme="1"/>
        <rFont val="Calibri"/>
      </rPr>
      <t>来推广产品。</t>
    </r>
  </si>
  <si>
    <t>Anh ấy đã nghĩ ra một biện pháp tốt để quảng bá sản phẩm.</t>
  </si>
  <si>
    <t>H5_B33_BG-02.png</t>
  </si>
  <si>
    <t>B33_2.mp3</t>
  </si>
  <si>
    <t>B33_VD_2.mp3</t>
  </si>
  <si>
    <t>家常</t>
  </si>
  <si>
    <t>&lt;ruby&gt;家常&lt;rt&gt;jiācháng&lt;/rt&gt;&lt;/ruby&gt;</t>
  </si>
  <si>
    <t>jiācháng</t>
  </si>
  <si>
    <t>việc thường ngày</t>
  </si>
  <si>
    <r>
      <rPr>
        <sz val="12"/>
        <color theme="1"/>
        <rFont val="Calibri"/>
      </rPr>
      <t>我们聊了很多</t>
    </r>
    <r>
      <rPr>
        <b/>
        <sz val="12"/>
        <color theme="1"/>
        <rFont val="Calibri"/>
      </rPr>
      <t>家常</t>
    </r>
    <r>
      <rPr>
        <sz val="12"/>
        <color theme="1"/>
        <rFont val="Calibri"/>
      </rPr>
      <t>。</t>
    </r>
  </si>
  <si>
    <t>Chúng tôi đã trò chuyện nhiều về chuyện gia đình.</t>
  </si>
  <si>
    <t>H5_B33_BG-03.png</t>
  </si>
  <si>
    <t>B33_3.mp3</t>
  </si>
  <si>
    <t>B33_VD_3.mp3</t>
  </si>
  <si>
    <t>健身</t>
  </si>
  <si>
    <t>&lt;ruby&gt;健身&lt;rt&gt;jiànshēn&lt;/rt&gt;&lt;/ruby&gt;</t>
  </si>
  <si>
    <t>jiànshēn</t>
  </si>
  <si>
    <t>tâp thể dục</t>
  </si>
  <si>
    <r>
      <rPr>
        <sz val="12"/>
        <color theme="1"/>
        <rFont val="Calibri"/>
      </rPr>
      <t>我喜欢</t>
    </r>
    <r>
      <rPr>
        <b/>
        <sz val="12"/>
        <color theme="1"/>
        <rFont val="Calibri"/>
      </rPr>
      <t>健身</t>
    </r>
    <r>
      <rPr>
        <sz val="12"/>
        <color theme="1"/>
        <rFont val="Calibri"/>
      </rPr>
      <t>，特别是跑步。</t>
    </r>
  </si>
  <si>
    <t>Tôi thích tập thể dục, đặc biệt là chạy bộ</t>
  </si>
  <si>
    <t>H5_B33_BG-04.png</t>
  </si>
  <si>
    <t>B33_4.mp3</t>
  </si>
  <si>
    <t>B33_VD_4.mp3</t>
  </si>
  <si>
    <t>受（伤）</t>
  </si>
  <si>
    <t>&lt;ruby&gt;受（伤）&lt;rt&gt;shòu (shāng)&lt;/rt&gt;&lt;/ruby&gt;</t>
  </si>
  <si>
    <t>shòu (shāng)</t>
  </si>
  <si>
    <t>bị (thương)</t>
  </si>
  <si>
    <r>
      <rPr>
        <sz val="12"/>
        <color theme="1"/>
        <rFont val="Calibri"/>
      </rPr>
      <t>他</t>
    </r>
    <r>
      <rPr>
        <b/>
        <sz val="12"/>
        <color theme="1"/>
        <rFont val="Calibri"/>
      </rPr>
      <t>受伤</t>
    </r>
    <r>
      <rPr>
        <sz val="12"/>
        <color theme="1"/>
        <rFont val="Calibri"/>
      </rPr>
      <t>后需要休息一段时间。</t>
    </r>
  </si>
  <si>
    <t>Sau khi bị thương, anh ấy cần nghỉ ngơi vài một thời gian.</t>
  </si>
  <si>
    <t>H5_B33_BG-05.png</t>
  </si>
  <si>
    <t>B33_5.mp3</t>
  </si>
  <si>
    <t>B33_VD_5.mp3</t>
  </si>
  <si>
    <t>照常</t>
  </si>
  <si>
    <t>&lt;ruby&gt;照常&lt;rt&gt;zhàocháng&lt;/rt&gt;&lt;/ruby&gt;</t>
  </si>
  <si>
    <t>zhàocháng</t>
  </si>
  <si>
    <t>như thường lệ</t>
  </si>
  <si>
    <r>
      <rPr>
        <sz val="12"/>
        <color theme="1"/>
        <rFont val="Calibri"/>
      </rPr>
      <t>尽管今天下雨，我仍然</t>
    </r>
    <r>
      <rPr>
        <b/>
        <sz val="12"/>
        <color theme="1"/>
        <rFont val="Calibri"/>
      </rPr>
      <t>照常</t>
    </r>
    <r>
      <rPr>
        <sz val="12"/>
        <color theme="1"/>
        <rFont val="Calibri"/>
      </rPr>
      <t>上学。</t>
    </r>
  </si>
  <si>
    <t>Mặc dù hôm nay trời mưa, tôi vẫn đi học như thường lệ.</t>
  </si>
  <si>
    <t>H5_B33_BG-06.png</t>
  </si>
  <si>
    <t>B33_6.mp3</t>
  </si>
  <si>
    <t>B33_VD_6.mp3</t>
  </si>
  <si>
    <t>保险</t>
  </si>
  <si>
    <t>&lt;ruby&gt;保险&lt;rt&gt;bǎoxiǎn&lt;/rt&gt;&lt;/ruby&gt;</t>
  </si>
  <si>
    <t>bǎoxiǎn</t>
  </si>
  <si>
    <t>hợp đồng bảo hiểm</t>
  </si>
  <si>
    <r>
      <rPr>
        <sz val="12"/>
        <color theme="1"/>
        <rFont val="Calibri"/>
      </rPr>
      <t>他决定买一份医疗</t>
    </r>
    <r>
      <rPr>
        <b/>
        <sz val="12"/>
        <color theme="1"/>
        <rFont val="Calibri"/>
      </rPr>
      <t>保险</t>
    </r>
    <r>
      <rPr>
        <sz val="12"/>
        <color theme="1"/>
        <rFont val="Calibri"/>
      </rPr>
      <t>以防生病。</t>
    </r>
  </si>
  <si>
    <t>Anh ấy quyết định mua một hợp đồng bảo hiểm y tế để phòng trường hợp ốm đau.</t>
  </si>
  <si>
    <t>H5_B33_BG-07.png</t>
  </si>
  <si>
    <t>B33_7.mp3</t>
  </si>
  <si>
    <t>B33_VD_7.mp3</t>
  </si>
  <si>
    <t>赔偿</t>
  </si>
  <si>
    <t>&lt;ruby&gt;赔偿&lt;rt&gt;péicháng&lt;/rt&gt;&lt;/ruby&gt;</t>
  </si>
  <si>
    <t>péicháng</t>
  </si>
  <si>
    <t>bồi thường, đền bù</t>
  </si>
  <si>
    <r>
      <rPr>
        <sz val="12"/>
        <color theme="1"/>
        <rFont val="Calibri"/>
      </rPr>
      <t>如果发生事故，保险公司会</t>
    </r>
    <r>
      <rPr>
        <b/>
        <sz val="12"/>
        <color theme="1"/>
        <rFont val="Calibri"/>
      </rPr>
      <t>赔偿</t>
    </r>
    <r>
      <rPr>
        <sz val="12"/>
        <color theme="1"/>
        <rFont val="Calibri"/>
      </rPr>
      <t>损失。</t>
    </r>
  </si>
  <si>
    <t>Nếu xảy ra tai nạn, công ty bảo hiểm sẽ bồi thường thiệt hại.</t>
  </si>
  <si>
    <t>H5_B33_BG-08.png</t>
  </si>
  <si>
    <t>B33_8.mp3</t>
  </si>
  <si>
    <t>B33_VD_8.mp3</t>
  </si>
  <si>
    <t>拥挤</t>
  </si>
  <si>
    <t>&lt;ruby&gt;拥挤&lt;rt&gt;yōngjǐ&lt;/rt&gt;&lt;/ruby&gt;</t>
  </si>
  <si>
    <t>yōngjǐ</t>
  </si>
  <si>
    <t>đông nghịt, chật ních</t>
  </si>
  <si>
    <r>
      <rPr>
        <sz val="12"/>
        <color theme="1"/>
        <rFont val="Calibri"/>
      </rPr>
      <t>早上的道路特别</t>
    </r>
    <r>
      <rPr>
        <b/>
        <sz val="12"/>
        <color theme="1"/>
        <rFont val="Calibri"/>
      </rPr>
      <t>拥挤</t>
    </r>
    <r>
      <rPr>
        <sz val="12"/>
        <color theme="1"/>
        <rFont val="Calibri"/>
      </rPr>
      <t>。</t>
    </r>
  </si>
  <si>
    <t>Đường vào buổi sáng đặc biệt đông đúc.</t>
  </si>
  <si>
    <t>H5_B33_BG-09.png</t>
  </si>
  <si>
    <t>B33_9.mp3</t>
  </si>
  <si>
    <t>B33_VD_9.mp3</t>
  </si>
  <si>
    <t>根治</t>
  </si>
  <si>
    <t>&lt;ruby&gt;根治&lt;rt&gt;gēnzhì&lt;/rt&gt;&lt;/ruby&gt;</t>
  </si>
  <si>
    <t>gēnzhì</t>
  </si>
  <si>
    <t>trị tận gốc</t>
  </si>
  <si>
    <r>
      <rPr>
        <sz val="12"/>
        <color theme="1"/>
        <rFont val="Calibri"/>
      </rPr>
      <t>他的病可以通过手术</t>
    </r>
    <r>
      <rPr>
        <b/>
        <sz val="12"/>
        <color theme="1"/>
        <rFont val="Calibri"/>
      </rPr>
      <t>根治</t>
    </r>
    <r>
      <rPr>
        <sz val="12"/>
        <color theme="1"/>
        <rFont val="Calibri"/>
      </rPr>
      <t>。</t>
    </r>
  </si>
  <si>
    <t>Bệnh của anh ấy có thể trị tận gốc bệnh này bằng cách phẫu thuật.</t>
  </si>
  <si>
    <t>H5_B33_BG-10.png</t>
  </si>
  <si>
    <t>B33_10.mp3</t>
  </si>
  <si>
    <t>B33_VD_10.mp3</t>
  </si>
  <si>
    <t>汽油</t>
  </si>
  <si>
    <t>&lt;ruby&gt;汽油&lt;rt&gt;qìyóu&lt;/rt&gt;&lt;/ruby&gt;</t>
  </si>
  <si>
    <t>qìyóu</t>
  </si>
  <si>
    <t>xăng</t>
  </si>
  <si>
    <r>
      <rPr>
        <sz val="12"/>
        <color theme="1"/>
        <rFont val="Calibri"/>
      </rPr>
      <t>我的车快没</t>
    </r>
    <r>
      <rPr>
        <b/>
        <sz val="12"/>
        <color theme="1"/>
        <rFont val="Calibri"/>
      </rPr>
      <t>汽油</t>
    </r>
    <r>
      <rPr>
        <sz val="12"/>
        <color theme="1"/>
        <rFont val="Calibri"/>
      </rPr>
      <t>了，我得去加油站。</t>
    </r>
  </si>
  <si>
    <t>Xe tôi sắp hết xăng rồi, tôi phải đến trạm xăng thôi.</t>
  </si>
  <si>
    <t>H5_B33_BG-11.png</t>
  </si>
  <si>
    <t>B33_11.mp3</t>
  </si>
  <si>
    <t>B33_VD_11.mp3</t>
  </si>
  <si>
    <t>繁荣</t>
  </si>
  <si>
    <t>&lt;ruby&gt;繁荣&lt;rt&gt;fánróng&lt;/rt&gt;&lt;/ruby&gt;</t>
  </si>
  <si>
    <t>fánróng</t>
  </si>
  <si>
    <t>phồn thịnh, phát triển mạnh</t>
  </si>
  <si>
    <r>
      <rPr>
        <sz val="10"/>
        <color theme="1"/>
        <rFont val="Arial"/>
      </rPr>
      <t>大城市的</t>
    </r>
    <r>
      <rPr>
        <b/>
        <sz val="10"/>
        <color theme="1"/>
        <rFont val="Arial"/>
      </rPr>
      <t>繁荣</t>
    </r>
    <r>
      <rPr>
        <sz val="10"/>
        <color theme="1"/>
        <rFont val="Arial"/>
      </rPr>
      <t xml:space="preserve">吸引了很多年轻人来这里工作。
</t>
    </r>
  </si>
  <si>
    <t>Sự phồn thịnh của các thành phố lớn thu hút rất nhiều người trẻ đến đây làm việc.</t>
  </si>
  <si>
    <t>H5_B33_BG-12.png</t>
  </si>
  <si>
    <t>B33_12.mp3</t>
  </si>
  <si>
    <t>B33_VD_12.mp3</t>
  </si>
  <si>
    <t>面积</t>
  </si>
  <si>
    <t>&lt;ruby&gt;面积&lt;rt&gt;miànjī&lt;/rt&gt;&lt;/ruby&gt;</t>
  </si>
  <si>
    <t>miànjī</t>
  </si>
  <si>
    <t>diện tích</t>
  </si>
  <si>
    <r>
      <rPr>
        <sz val="12"/>
        <color theme="1"/>
        <rFont val="Calibri"/>
      </rPr>
      <t>这个房间的</t>
    </r>
    <r>
      <rPr>
        <b/>
        <sz val="12"/>
        <color theme="1"/>
        <rFont val="Calibri"/>
      </rPr>
      <t>面积</t>
    </r>
    <r>
      <rPr>
        <sz val="12"/>
        <color theme="1"/>
        <rFont val="Calibri"/>
      </rPr>
      <t>大约是40平方米。</t>
    </r>
  </si>
  <si>
    <t>Diện tích của phòng này khoảng 40 mét vuông.</t>
  </si>
  <si>
    <t>H5_B33_BG-13.png</t>
  </si>
  <si>
    <t>B33_13.mp3</t>
  </si>
  <si>
    <t>B33_VD_13.mp3</t>
  </si>
  <si>
    <t>宽</t>
  </si>
  <si>
    <t>&lt;ruby&gt;宽&lt;rt&gt;kuān&lt;/rt&gt;&lt;/ruby&gt;</t>
  </si>
  <si>
    <t>kuān</t>
  </si>
  <si>
    <t>rộng</t>
  </si>
  <si>
    <r>
      <rPr>
        <sz val="12"/>
        <color theme="1"/>
        <rFont val="Calibri"/>
      </rPr>
      <t>这条路很</t>
    </r>
    <r>
      <rPr>
        <b/>
        <sz val="12"/>
        <color theme="1"/>
        <rFont val="Calibri"/>
      </rPr>
      <t>宽</t>
    </r>
    <r>
      <rPr>
        <sz val="12"/>
        <color theme="1"/>
        <rFont val="Calibri"/>
      </rPr>
      <t>，交通非常顺畅。</t>
    </r>
  </si>
  <si>
    <t>Con đường này rất rộng, lưu thông xe cộ rất thuận lợi.</t>
  </si>
  <si>
    <t>H5_B33_BG-14.png</t>
  </si>
  <si>
    <t>B33_14.mp3</t>
  </si>
  <si>
    <t>B33_VD_14.mp3</t>
  </si>
  <si>
    <t>扩（大）</t>
  </si>
  <si>
    <t>&lt;ruby&gt;扩（大）&lt;rt&gt;kuò(dà)&lt;/rt&gt;&lt;/ruby&gt;</t>
  </si>
  <si>
    <t>kuò(dà)</t>
  </si>
  <si>
    <t>mở rộng</t>
  </si>
  <si>
    <r>
      <rPr>
        <sz val="12"/>
        <color theme="1"/>
        <rFont val="Calibri"/>
      </rPr>
      <t>我们决定</t>
    </r>
    <r>
      <rPr>
        <b/>
        <sz val="12"/>
        <color theme="1"/>
        <rFont val="Calibri"/>
      </rPr>
      <t>扩大</t>
    </r>
    <r>
      <rPr>
        <sz val="12"/>
        <color theme="1"/>
        <rFont val="Calibri"/>
      </rPr>
      <t>合作关系，展开更多项目。</t>
    </r>
  </si>
  <si>
    <t>Chúng tôi quyết định mở rộng quan hệ hợp tác, triển khai thêm nhiều dự án.</t>
  </si>
  <si>
    <t>H5_B33_BG-15.png</t>
  </si>
  <si>
    <t>B33_15.mp3</t>
  </si>
  <si>
    <t>B33_VD_15.mp3</t>
  </si>
  <si>
    <t>展开</t>
  </si>
  <si>
    <t>&lt;ruby&gt;展开&lt;rt&gt;zhǎnkāi&lt;/rt&gt;&lt;/ruby&gt;</t>
  </si>
  <si>
    <t>zhǎnkāi</t>
  </si>
  <si>
    <t>triển khai, tiến hành</t>
  </si>
  <si>
    <r>
      <rPr>
        <sz val="12"/>
        <color theme="1"/>
        <rFont val="Calibri"/>
      </rPr>
      <t>会议一开始，大家就</t>
    </r>
    <r>
      <rPr>
        <b/>
        <sz val="12"/>
        <color theme="1"/>
        <rFont val="Calibri"/>
      </rPr>
      <t>展开</t>
    </r>
    <r>
      <rPr>
        <sz val="12"/>
        <color theme="1"/>
        <rFont val="Calibri"/>
      </rPr>
      <t>了关于项目的讨论。</t>
    </r>
  </si>
  <si>
    <t>Khi cuộc họp bắt đầu, mọi người đã triển khai cuộc thảo luận về dự án.</t>
  </si>
  <si>
    <t>H5_B33_BG-16.png</t>
  </si>
  <si>
    <t>B33_16.mp3</t>
  </si>
  <si>
    <t>B33_VD_16.mp3</t>
  </si>
  <si>
    <t>政府</t>
  </si>
  <si>
    <t>&lt;ruby&gt;政府&lt;rt&gt;zhèngfǔ&lt;/rt&gt;&lt;/ruby&gt;</t>
  </si>
  <si>
    <t>zhèngfǔ</t>
  </si>
  <si>
    <t>chính phủ/chính quyền</t>
  </si>
  <si>
    <r>
      <rPr>
        <sz val="12"/>
        <color theme="1"/>
        <rFont val="Calibri"/>
      </rPr>
      <t>在这次国际会议上，</t>
    </r>
    <r>
      <rPr>
        <b/>
        <sz val="12"/>
        <color theme="1"/>
        <rFont val="Calibri"/>
      </rPr>
      <t>政府</t>
    </r>
    <r>
      <rPr>
        <sz val="12"/>
        <color theme="1"/>
        <rFont val="Calibri"/>
      </rPr>
      <t>代表发表了一个重要问题。</t>
    </r>
  </si>
  <si>
    <t xml:space="preserve"> Tại hội nghị quốc tế lần này, đại diện chính phủ đã phát biểu một vấn đề quan trọng.</t>
  </si>
  <si>
    <t>H5_B33_BG-17.png</t>
  </si>
  <si>
    <t>B33_17.mp3</t>
  </si>
  <si>
    <t>B33_VD_17.mp3</t>
  </si>
  <si>
    <t>批准</t>
  </si>
  <si>
    <t>&lt;ruby&gt;批准&lt;rt&gt;pīzhǔn&lt;/rt&gt;&lt;/ruby&gt;</t>
  </si>
  <si>
    <t>pīzhǔn</t>
  </si>
  <si>
    <t>phê chuẩn, phê duyệt</t>
  </si>
  <si>
    <r>
      <rPr>
        <sz val="12"/>
        <color theme="1"/>
        <rFont val="Calibri"/>
      </rPr>
      <t>我们公司已经</t>
    </r>
    <r>
      <rPr>
        <b/>
        <sz val="12"/>
        <color theme="1"/>
        <rFont val="Calibri"/>
      </rPr>
      <t>批准</t>
    </r>
    <r>
      <rPr>
        <sz val="12"/>
        <color theme="1"/>
        <rFont val="Calibri"/>
      </rPr>
      <t>了与另一家公司签订的合作合同。</t>
    </r>
  </si>
  <si>
    <t>Công ty chúng tôi đã phê duyệt hợp đồng hợp tác với một công ty khác.</t>
  </si>
  <si>
    <t>H5_B33_BG-18.png</t>
  </si>
  <si>
    <t>B33_18.mp3</t>
  </si>
  <si>
    <t>B33_VD_18.mp3</t>
  </si>
  <si>
    <t>改革</t>
  </si>
  <si>
    <t>&lt;ruby&gt;改革&lt;rt&gt;gǎigé&lt;/rt&gt;&lt;/ruby&gt;</t>
  </si>
  <si>
    <t>gǎigé</t>
  </si>
  <si>
    <t>cải cách, sửa đổi</t>
  </si>
  <si>
    <r>
      <rPr>
        <sz val="12"/>
        <color theme="1"/>
        <rFont val="Calibri"/>
      </rPr>
      <t>学校决定</t>
    </r>
    <r>
      <rPr>
        <b/>
        <sz val="12"/>
        <color theme="1"/>
        <rFont val="Calibri"/>
      </rPr>
      <t>改革</t>
    </r>
    <r>
      <rPr>
        <sz val="12"/>
        <color theme="1"/>
        <rFont val="Calibri"/>
      </rPr>
      <t>教育方法，采用更多教学方式。</t>
    </r>
  </si>
  <si>
    <t>Trường học quyết định cải cách phương pháp giáo dục, áp dụng nhiều phương pháp giảng dạy hơn.</t>
  </si>
  <si>
    <t>H5_B33_BG-19.png</t>
  </si>
  <si>
    <t>B33_19.mp3</t>
  </si>
  <si>
    <t>B33_VD_19.mp3</t>
  </si>
  <si>
    <t>取消</t>
  </si>
  <si>
    <t>&lt;ruby&gt;取消&lt;rt&gt;qǔxiāo&lt;/rt&gt;&lt;/ruby&gt;</t>
  </si>
  <si>
    <t>qǔxiāo</t>
  </si>
  <si>
    <t>hủy bỏ, xóa bỏ</t>
  </si>
  <si>
    <r>
      <rPr>
        <sz val="12"/>
        <color theme="1"/>
        <rFont val="Calibri"/>
      </rPr>
      <t>由于天气不好，我们决定</t>
    </r>
    <r>
      <rPr>
        <b/>
        <sz val="12"/>
        <color theme="1"/>
        <rFont val="Calibri"/>
      </rPr>
      <t>取消</t>
    </r>
    <r>
      <rPr>
        <sz val="12"/>
        <color theme="1"/>
        <rFont val="Calibri"/>
      </rPr>
      <t>今天的旅游计划。</t>
    </r>
  </si>
  <si>
    <t>Vì thời tiết không tốt, chúng tôi quyết định hủy bỏ kế hoạch du lịch hôm nay.</t>
  </si>
  <si>
    <t>H5_B33_BG-20.png</t>
  </si>
  <si>
    <t>B33_20.mp3</t>
  </si>
  <si>
    <t>B33_VD_20.mp3</t>
  </si>
  <si>
    <t>行人</t>
  </si>
  <si>
    <t>&lt;ruby&gt;行人&lt;rt&gt;xíngrén&lt;/rt&gt;&lt;/ruby&gt;</t>
  </si>
  <si>
    <t>xíngrén</t>
  </si>
  <si>
    <t>người đi bộ</t>
  </si>
  <si>
    <r>
      <rPr>
        <sz val="12"/>
        <color theme="1"/>
        <rFont val="Calibri"/>
      </rPr>
      <t>当红绿灯变绿时，</t>
    </r>
    <r>
      <rPr>
        <b/>
        <sz val="12"/>
        <color theme="1"/>
        <rFont val="Calibri"/>
      </rPr>
      <t>行人</t>
    </r>
    <r>
      <rPr>
        <sz val="12"/>
        <color theme="1"/>
        <rFont val="Calibri"/>
      </rPr>
      <t>可以过马路。</t>
    </r>
  </si>
  <si>
    <t>Khi đèn giao thông chuyển sang màu xanh, người đi bộ có thể qua đường.</t>
  </si>
  <si>
    <t>H5_B33_BG-21.png</t>
  </si>
  <si>
    <t>B33_21.mp3</t>
  </si>
  <si>
    <t>B33_VD_21.mp3</t>
  </si>
  <si>
    <t>广场</t>
  </si>
  <si>
    <t>&lt;ruby&gt;广场&lt;rt&gt;guǎngchǎng&lt;/rt&gt;&lt;/ruby&gt;</t>
  </si>
  <si>
    <t>guǎngchǎng</t>
  </si>
  <si>
    <t>quảng trường</t>
  </si>
  <si>
    <r>
      <rPr>
        <b/>
        <sz val="12"/>
        <color theme="1"/>
        <rFont val="Calibri"/>
      </rPr>
      <t>广场</t>
    </r>
    <r>
      <rPr>
        <sz val="12"/>
        <color theme="1"/>
        <rFont val="Calibri"/>
      </rPr>
      <t>中心有一个很漂亮的喷泉。</t>
    </r>
  </si>
  <si>
    <t>Ở trung tâm quảng trường có một đài phun nước rất đẹp.</t>
  </si>
  <si>
    <t>H5_B33_BG-22.png</t>
  </si>
  <si>
    <t>B33_22.mp3</t>
  </si>
  <si>
    <t>B33_VD_22.mp3</t>
  </si>
  <si>
    <t>商务</t>
  </si>
  <si>
    <t>&lt;ruby&gt;商务&lt;rt&gt;shāngwù&lt;/rt&gt;&lt;/ruby&gt;</t>
  </si>
  <si>
    <t>shāngwù</t>
  </si>
  <si>
    <t>thương vụ, công việc buôn bán</t>
  </si>
  <si>
    <r>
      <rPr>
        <sz val="10"/>
        <color theme="1"/>
        <rFont val="Arial"/>
      </rPr>
      <t>他们公司签订了一份重要的</t>
    </r>
    <r>
      <rPr>
        <b/>
        <sz val="10"/>
        <color theme="1"/>
        <rFont val="Arial"/>
      </rPr>
      <t>商务</t>
    </r>
    <r>
      <rPr>
        <sz val="10"/>
        <color theme="1"/>
        <rFont val="Arial"/>
      </rPr>
      <t>合同。</t>
    </r>
  </si>
  <si>
    <t>Công ty họ đã ký một hợp đồng thương mại quan trọng.</t>
  </si>
  <si>
    <t>H5_B33_BG-23.png</t>
  </si>
  <si>
    <t>B33_23.mp3</t>
  </si>
  <si>
    <t>B33_VD_23.mp3</t>
  </si>
  <si>
    <t>大厦</t>
  </si>
  <si>
    <t>&lt;ruby&gt;大厦&lt;rt&gt;dàshà&lt;/rt&gt;&lt;/ruby&gt;</t>
  </si>
  <si>
    <t>dàshà</t>
  </si>
  <si>
    <t>cao ốc, tòa nhà đồ sộ</t>
  </si>
  <si>
    <r>
      <rPr>
        <sz val="12"/>
        <color theme="1"/>
        <rFont val="Calibri"/>
      </rPr>
      <t>这座</t>
    </r>
    <r>
      <rPr>
        <b/>
        <sz val="12"/>
        <color theme="1"/>
        <rFont val="Calibri"/>
      </rPr>
      <t>大厦</t>
    </r>
    <r>
      <rPr>
        <sz val="12"/>
        <color theme="1"/>
        <rFont val="Calibri"/>
      </rPr>
      <t>非常现代化。</t>
    </r>
  </si>
  <si>
    <t>Tòa cao ốc này rất hiện đại.</t>
  </si>
  <si>
    <t>H5_B33_BG-24.png</t>
  </si>
  <si>
    <t>B33_24.mp3</t>
  </si>
  <si>
    <t>B33_VD_24.mp3</t>
  </si>
  <si>
    <t>解放</t>
  </si>
  <si>
    <t>&lt;ruby&gt;解放&lt;rt&gt;jiěfàng&lt;/rt&gt;&lt;/ruby&gt;</t>
  </si>
  <si>
    <t>jiěfàng</t>
  </si>
  <si>
    <t>giải phóng, thả tự do</t>
  </si>
  <si>
    <r>
      <rPr>
        <sz val="12"/>
        <color theme="1"/>
        <rFont val="Calibri"/>
      </rPr>
      <t>读书可以</t>
    </r>
    <r>
      <rPr>
        <b/>
        <sz val="12"/>
        <color theme="1"/>
        <rFont val="Calibri"/>
      </rPr>
      <t>解放</t>
    </r>
    <r>
      <rPr>
        <sz val="12"/>
        <color theme="1"/>
        <rFont val="Calibri"/>
      </rPr>
      <t>我们的思想。</t>
    </r>
  </si>
  <si>
    <t>Đọc sách có thể giải phóng tư tưởng của chúng ta.</t>
  </si>
  <si>
    <t>H5_B33_BG-25.png</t>
  </si>
  <si>
    <t>B33_25.mp3</t>
  </si>
  <si>
    <t>B33_VD_25.mp3</t>
  </si>
  <si>
    <t>体现</t>
  </si>
  <si>
    <t>&lt;ruby&gt;体现&lt;rt&gt;tǐxiàn&lt;/rt&gt;&lt;/ruby&gt;</t>
  </si>
  <si>
    <t>tǐxiàn</t>
  </si>
  <si>
    <t>thể hiện, phản ánh</t>
  </si>
  <si>
    <r>
      <rPr>
        <sz val="12"/>
        <color theme="1"/>
        <rFont val="Calibri"/>
      </rPr>
      <t>这本书</t>
    </r>
    <r>
      <rPr>
        <b/>
        <sz val="12"/>
        <color theme="1"/>
        <rFont val="Calibri"/>
      </rPr>
      <t>体现</t>
    </r>
    <r>
      <rPr>
        <sz val="12"/>
        <color theme="1"/>
        <rFont val="Calibri"/>
      </rPr>
      <t>了作者对社会问题的深刻思考。</t>
    </r>
  </si>
  <si>
    <t>Cuốn sách này đã phản ánh suy nghĩ sâu sắc của tác giả về các vấn đề xã hội.</t>
  </si>
  <si>
    <t>H5_B33_BG-26.png</t>
  </si>
  <si>
    <t>B33_26.mp3</t>
  </si>
  <si>
    <t>B33_VD_26.mp3</t>
  </si>
  <si>
    <t>主观</t>
  </si>
  <si>
    <t>&lt;ruby&gt;主观&lt;rt&gt;zhǔguān&lt;/rt&gt;&lt;/ruby&gt;</t>
  </si>
  <si>
    <t>zhǔguān</t>
  </si>
  <si>
    <t>chủ quan</t>
  </si>
  <si>
    <r>
      <rPr>
        <sz val="12"/>
        <color theme="1"/>
        <rFont val="Calibri"/>
      </rPr>
      <t>他的</t>
    </r>
    <r>
      <rPr>
        <b/>
        <sz val="12"/>
        <color theme="1"/>
        <rFont val="Calibri"/>
      </rPr>
      <t>主观</t>
    </r>
    <r>
      <rPr>
        <sz val="12"/>
        <color theme="1"/>
        <rFont val="Calibri"/>
      </rPr>
      <t>观点让他很难接受别人的意见。</t>
    </r>
  </si>
  <si>
    <t>Quan điểm chủ quan của anh ấy khiến anh ấy rất khó chấp nhận quan điểm của người khác.</t>
  </si>
  <si>
    <t>H5_B33_BG-27.png</t>
  </si>
  <si>
    <t>B33_27.mp3</t>
  </si>
  <si>
    <t>B33_VD_27.mp3</t>
  </si>
  <si>
    <t>不妨</t>
  </si>
  <si>
    <t>&lt;ruby&gt;不妨&lt;rt&gt;bùfáng&lt;/rt&gt;&lt;/ruby&gt;</t>
  </si>
  <si>
    <t>bùfáng</t>
  </si>
  <si>
    <t>đừng ngại, có thể làm</t>
  </si>
  <si>
    <r>
      <rPr>
        <sz val="12"/>
        <color theme="1"/>
        <rFont val="Calibri"/>
      </rPr>
      <t>你</t>
    </r>
    <r>
      <rPr>
        <b/>
        <sz val="12"/>
        <color theme="1"/>
        <rFont val="Calibri"/>
      </rPr>
      <t>不妨</t>
    </r>
    <r>
      <rPr>
        <sz val="12"/>
        <color theme="1"/>
        <rFont val="Calibri"/>
      </rPr>
      <t>试试新产品。</t>
    </r>
  </si>
  <si>
    <t>Bạn có thể thử sản phẩm mới.</t>
  </si>
  <si>
    <t>H5_B33_BG-28.png</t>
  </si>
  <si>
    <t>B33_28.mp3</t>
  </si>
  <si>
    <t>B33_VD_28.mp3</t>
  </si>
  <si>
    <t>归纳</t>
  </si>
  <si>
    <t>&lt;ruby&gt;归纳&lt;rt&gt;guīnà&lt;/rt&gt;&lt;/ruby&gt;</t>
  </si>
  <si>
    <t>guīnà</t>
  </si>
  <si>
    <t>tổng kết, tóm tắt</t>
  </si>
  <si>
    <r>
      <rPr>
        <sz val="12"/>
        <color theme="1"/>
        <rFont val="Calibri"/>
      </rPr>
      <t>会议结束时，我们需要</t>
    </r>
    <r>
      <rPr>
        <b/>
        <sz val="12"/>
        <color theme="1"/>
        <rFont val="Calibri"/>
      </rPr>
      <t>归纳</t>
    </r>
    <r>
      <rPr>
        <sz val="12"/>
        <color theme="1"/>
        <rFont val="Calibri"/>
      </rPr>
      <t>今天讨论的要点。</t>
    </r>
  </si>
  <si>
    <t>Vào cuối cuộc họp, chúng ta cần tổng kết lại những điểm chính đã thảo luận hôm nay.</t>
  </si>
  <si>
    <t>H5_B33_BG-29.png</t>
  </si>
  <si>
    <t>B33_29.mp3</t>
  </si>
  <si>
    <t>B33_VD_29.mp3</t>
  </si>
  <si>
    <t>虚心</t>
  </si>
  <si>
    <t>&lt;ruby&gt;虚心&lt;rt&gt;xūxīn&lt;/rt&gt;&lt;/ruby&gt;</t>
  </si>
  <si>
    <t>xūxīn</t>
  </si>
  <si>
    <r>
      <rPr>
        <sz val="12"/>
        <color theme="1"/>
        <rFont val="Calibri"/>
      </rPr>
      <t>他是一个非常</t>
    </r>
    <r>
      <rPr>
        <b/>
        <sz val="12"/>
        <color theme="1"/>
        <rFont val="Calibri"/>
      </rPr>
      <t>虚心</t>
    </r>
    <r>
      <rPr>
        <sz val="12"/>
        <color theme="1"/>
        <rFont val="Calibri"/>
      </rPr>
      <t>的人，总是学习新技能，不断提高自己。</t>
    </r>
  </si>
  <si>
    <t>Anh ấy là một người rất khiêm tốn, luôn học hỏi mọi kỹ năng mới và không ngừng nâng cao bản thân.</t>
  </si>
  <si>
    <t>H5_B33_BG-30.png</t>
  </si>
  <si>
    <t>B33_30.mp3</t>
  </si>
  <si>
    <t>B33_VD_30.mp3</t>
  </si>
  <si>
    <t>咨询</t>
  </si>
  <si>
    <t>&lt;ruby&gt;咨询&lt;rt&gt;zīxún&lt;/rt&gt;&lt;/ruby&gt;</t>
  </si>
  <si>
    <t>zīxún</t>
  </si>
  <si>
    <t>tư vấn, hỏi ý kiến</t>
  </si>
  <si>
    <r>
      <rPr>
        <sz val="12"/>
        <color theme="1"/>
        <rFont val="Calibri"/>
      </rPr>
      <t>他在一家</t>
    </r>
    <r>
      <rPr>
        <b/>
        <sz val="12"/>
        <color theme="1"/>
        <rFont val="Calibri"/>
      </rPr>
      <t>咨询</t>
    </r>
    <r>
      <rPr>
        <sz val="12"/>
        <color theme="1"/>
        <rFont val="Calibri"/>
      </rPr>
      <t>公司工作，专门为企业提供管理建议。</t>
    </r>
  </si>
  <si>
    <t>Anh ấy làm việc tại một công ty tư vấn, chuyên cung cấp lời khuyên quản lý cho các doanh nghiệp.</t>
  </si>
  <si>
    <t>H5_B33_BG-31.png</t>
  </si>
  <si>
    <t>B33_31.mp3</t>
  </si>
  <si>
    <t>B33_VD_31.mp3</t>
  </si>
  <si>
    <t>中旬</t>
  </si>
  <si>
    <t>&lt;ruby&gt;中旬&lt;rt&gt;zhōngxún&lt;/rt&gt;&lt;/ruby&gt;</t>
  </si>
  <si>
    <t>zhōngxún</t>
  </si>
  <si>
    <t>trung tuần</t>
  </si>
  <si>
    <r>
      <rPr>
        <sz val="12"/>
        <color theme="1"/>
        <rFont val="Calibri"/>
      </rPr>
      <t>12月</t>
    </r>
    <r>
      <rPr>
        <b/>
        <sz val="12"/>
        <color theme="1"/>
        <rFont val="Calibri"/>
      </rPr>
      <t>中旬</t>
    </r>
    <r>
      <rPr>
        <sz val="12"/>
        <color theme="1"/>
        <rFont val="Calibri"/>
      </rPr>
      <t>有一个会议。</t>
    </r>
  </si>
  <si>
    <t>Giữa tháng 12 có một cuộc họp.</t>
  </si>
  <si>
    <t>H5_B33_BG-32.png</t>
  </si>
  <si>
    <t>B33_32.mp3</t>
  </si>
  <si>
    <t>B33_VD_32.mp3</t>
  </si>
  <si>
    <t>图</t>
  </si>
  <si>
    <t>&lt;ruby&gt;图&lt;rt&gt;tú&lt;/rt&gt;&lt;/ruby&gt;</t>
  </si>
  <si>
    <t>tú</t>
  </si>
  <si>
    <t>ham muốn</t>
  </si>
  <si>
    <r>
      <rPr>
        <sz val="12"/>
        <color theme="1"/>
        <rFont val="Calibri"/>
      </rPr>
      <t>他</t>
    </r>
    <r>
      <rPr>
        <b/>
        <sz val="12"/>
        <color theme="1"/>
        <rFont val="Calibri"/>
      </rPr>
      <t>图</t>
    </r>
    <r>
      <rPr>
        <sz val="12"/>
        <color theme="1"/>
        <rFont val="Calibri"/>
      </rPr>
      <t>谋占有这块土地。</t>
    </r>
  </si>
  <si>
    <t>Anh ta âm mưu chiếm lấy mảnh đất này.</t>
  </si>
  <si>
    <t>H5_B33_BG-33.png</t>
  </si>
  <si>
    <t>B33_33.mp3</t>
  </si>
  <si>
    <t>B33_VD_33.mp3</t>
  </si>
  <si>
    <t>自愿</t>
  </si>
  <si>
    <t>&lt;ruby&gt;自愿&lt;rt&gt;zìyuàn&lt;/rt&gt;&lt;/ruby&gt;</t>
  </si>
  <si>
    <t>zìyuàn</t>
  </si>
  <si>
    <t>tự nguyện, tự ý</t>
  </si>
  <si>
    <r>
      <rPr>
        <sz val="12"/>
        <color theme="1"/>
        <rFont val="Calibri"/>
      </rPr>
      <t>他</t>
    </r>
    <r>
      <rPr>
        <b/>
        <sz val="12"/>
        <color theme="1"/>
        <rFont val="Calibri"/>
      </rPr>
      <t>自愿</t>
    </r>
    <r>
      <rPr>
        <sz val="12"/>
        <color theme="1"/>
        <rFont val="Calibri"/>
      </rPr>
      <t>做这份工作吗？</t>
    </r>
  </si>
  <si>
    <t>Anh ấy có tự nguyện làm công việc này không?</t>
  </si>
  <si>
    <t>H5_B33_BG-34.png</t>
  </si>
  <si>
    <t>B33_34.mp3</t>
  </si>
  <si>
    <t>B33_VD_34.mp3</t>
  </si>
  <si>
    <t>难怪</t>
  </si>
  <si>
    <t>&lt;ruby&gt;难怪&lt;rt&gt;nánguài&lt;/rt&gt;&lt;/ruby&gt;</t>
  </si>
  <si>
    <t>nánguài</t>
  </si>
  <si>
    <t>có thể hiểu được, khó trách</t>
  </si>
  <si>
    <r>
      <rPr>
        <b/>
        <sz val="12"/>
        <color theme="1"/>
        <rFont val="Calibri"/>
      </rPr>
      <t>难怪</t>
    </r>
    <r>
      <rPr>
        <sz val="12"/>
        <color theme="1"/>
        <rFont val="Calibri"/>
      </rPr>
      <t>他不高兴，原来他失业了。</t>
    </r>
  </si>
  <si>
    <t>Khó trách anh ấy không vui, hóa ra anh ấy đã bị thất nghiệp.</t>
  </si>
  <si>
    <t>H5_B33_BG-35.png</t>
  </si>
  <si>
    <t>B33_35.mp3</t>
  </si>
  <si>
    <t>B33_VD_35.mp3</t>
  </si>
  <si>
    <t>与其</t>
  </si>
  <si>
    <t>&lt;ruby&gt;与其&lt;rt&gt;yǔqí&lt;/rt&gt;&lt;/ruby&gt;</t>
  </si>
  <si>
    <t>yǔqí</t>
  </si>
  <si>
    <t>thà... còn hơn...</t>
  </si>
  <si>
    <r>
      <rPr>
        <b/>
        <sz val="12"/>
        <color theme="1"/>
        <rFont val="Calibri"/>
      </rPr>
      <t>与其</t>
    </r>
    <r>
      <rPr>
        <sz val="12"/>
        <color theme="1"/>
        <rFont val="Calibri"/>
      </rPr>
      <t>吃快餐，不如选择健康的食物。</t>
    </r>
  </si>
  <si>
    <t>Thà chọn những món ăn lành mạnh, còn hơn là ăn đồ ăn nhanh.</t>
  </si>
  <si>
    <t>H5_B33_BG-36.png</t>
  </si>
  <si>
    <t>B33_36.mp3</t>
  </si>
  <si>
    <t>B33_VD_36.mp3</t>
  </si>
  <si>
    <t>明确</t>
  </si>
  <si>
    <t>&lt;ruby&gt;明确&lt;rt&gt;míngquè&lt;/rt&gt;&lt;/ruby&gt;</t>
  </si>
  <si>
    <t>míngquè</t>
  </si>
  <si>
    <t>rõ ràng</t>
  </si>
  <si>
    <r>
      <rPr>
        <sz val="12"/>
        <color theme="1"/>
        <rFont val="Calibri"/>
      </rPr>
      <t>在会议上，经理提出了下一年的</t>
    </r>
    <r>
      <rPr>
        <b/>
        <sz val="12"/>
        <color theme="1"/>
        <rFont val="Calibri"/>
      </rPr>
      <t>明确</t>
    </r>
    <r>
      <rPr>
        <sz val="12"/>
        <color theme="1"/>
        <rFont val="Calibri"/>
      </rPr>
      <t>目标。</t>
    </r>
  </si>
  <si>
    <t>Trong cuộc họp giám đốc đã đưa ra mục tiêu rõ ràng cho năm tiếp theo.</t>
  </si>
  <si>
    <t>H5_B33_BG-37.png</t>
  </si>
  <si>
    <t>B33_37.mp3</t>
  </si>
  <si>
    <t>B33_VD_37.mp3</t>
  </si>
  <si>
    <t>期待</t>
  </si>
  <si>
    <t>&lt;ruby&gt;期待&lt;rt&gt;qīdài&lt;/rt&gt;&lt;/ruby&gt;</t>
  </si>
  <si>
    <t>qīdài</t>
  </si>
  <si>
    <t>mong đợi, kỳ vọng</t>
  </si>
  <si>
    <r>
      <rPr>
        <sz val="12"/>
        <color theme="1"/>
        <rFont val="Calibri"/>
      </rPr>
      <t>我非常</t>
    </r>
    <r>
      <rPr>
        <b/>
        <sz val="12"/>
        <color theme="1"/>
        <rFont val="Calibri"/>
      </rPr>
      <t>期待</t>
    </r>
    <r>
      <rPr>
        <sz val="12"/>
        <color theme="1"/>
        <rFont val="Calibri"/>
      </rPr>
      <t>即将到来的家庭旅行。</t>
    </r>
  </si>
  <si>
    <t>Tôi rất mong đợi chuyến du lịch sắp tới với gia đình.</t>
  </si>
  <si>
    <t>H5_B33_BG-38.png</t>
  </si>
  <si>
    <t>B33_38.mp3</t>
  </si>
  <si>
    <t>B33_VD_38.mp3</t>
  </si>
  <si>
    <t>接触</t>
  </si>
  <si>
    <t>&lt;ruby&gt;接触&lt;rt&gt;jiēchù&lt;/rt&gt;&lt;/ruby&gt;</t>
  </si>
  <si>
    <t>jiēchù</t>
  </si>
  <si>
    <t>tiếp xúc</t>
  </si>
  <si>
    <r>
      <rPr>
        <sz val="10"/>
        <color theme="1"/>
        <rFont val="Calibri"/>
      </rPr>
      <t>他从小就</t>
    </r>
    <r>
      <rPr>
        <b/>
        <sz val="10"/>
        <color theme="1"/>
        <rFont val="Calibri"/>
      </rPr>
      <t>接触</t>
    </r>
    <r>
      <rPr>
        <sz val="10"/>
        <color theme="1"/>
        <rFont val="Calibri"/>
      </rPr>
      <t>了很多不同的音乐风格。</t>
    </r>
  </si>
  <si>
    <t>Anh ấy đã tiếp xúc với rất nhiều phong cách âm nhạc khác nhau từ khi còn nhỏ.</t>
  </si>
  <si>
    <t>H5_B34_BG-01.png</t>
  </si>
  <si>
    <t>B34_1.mp3</t>
  </si>
  <si>
    <t>B34_VD_1.mp3</t>
  </si>
  <si>
    <t>特征</t>
  </si>
  <si>
    <t>&lt;ruby&gt;特征&lt;rt&gt;tèzhēng&lt;/rt&gt;&lt;/ruby&gt;</t>
  </si>
  <si>
    <t>tèzhēng</t>
  </si>
  <si>
    <t>điểm đặc trưng, nét đặc biệt</t>
  </si>
  <si>
    <r>
      <rPr>
        <sz val="10"/>
        <color theme="1"/>
        <rFont val="Calibri"/>
      </rPr>
      <t>这只鹦鹉的</t>
    </r>
    <r>
      <rPr>
        <b/>
        <sz val="10"/>
        <color theme="1"/>
        <rFont val="Calibri"/>
      </rPr>
      <t>特征</t>
    </r>
    <r>
      <rPr>
        <sz val="10"/>
        <color theme="1"/>
        <rFont val="Calibri"/>
      </rPr>
      <t>是五彩斑斓的羽毛和长长的嘴巴。</t>
    </r>
  </si>
  <si>
    <t>Đặc trưng của con vẹt này là bộ lông sặc sỡ và chiếc mỏ dài.</t>
  </si>
  <si>
    <t>H5_B34_BG-02.png</t>
  </si>
  <si>
    <t>B34_2.mp3</t>
  </si>
  <si>
    <t>B34_VD_2.mp3</t>
  </si>
  <si>
    <t>翅膀</t>
  </si>
  <si>
    <t>&lt;ruby&gt;翅膀&lt;rt&gt;chìbǎng&lt;/rt&gt;&lt;/ruby&gt;</t>
  </si>
  <si>
    <t>chìbǎng</t>
  </si>
  <si>
    <t>cánh (côn trùng, chim)</t>
  </si>
  <si>
    <r>
      <rPr>
        <sz val="10"/>
        <color theme="1"/>
        <rFont val="Calibri"/>
      </rPr>
      <t>鸟儿用它的</t>
    </r>
    <r>
      <rPr>
        <b/>
        <sz val="10"/>
        <color theme="1"/>
        <rFont val="Calibri"/>
      </rPr>
      <t>翅膀</t>
    </r>
    <r>
      <rPr>
        <sz val="10"/>
        <color theme="1"/>
        <rFont val="Calibri"/>
      </rPr>
      <t>在天空中翱翔。</t>
    </r>
  </si>
  <si>
    <t>Con chim bay lượn trên bầu trời bằng đôi cánh của nó.</t>
  </si>
  <si>
    <t>H5_B34_BG-03.png</t>
  </si>
  <si>
    <t>B34_3.mp3</t>
  </si>
  <si>
    <t>B34_VD_3.mp3</t>
  </si>
  <si>
    <t>昆虫</t>
  </si>
  <si>
    <t>&lt;ruby&gt;昆虫&lt;rt&gt;kūnchóng&lt;/rt&gt;&lt;/ruby&gt;</t>
  </si>
  <si>
    <t>kūnchóng</t>
  </si>
  <si>
    <t>côn trùng, sâu bọ</t>
  </si>
  <si>
    <r>
      <rPr>
        <sz val="10"/>
        <color theme="1"/>
        <rFont val="Calibri"/>
      </rPr>
      <t>绿毛虫是一种</t>
    </r>
    <r>
      <rPr>
        <b/>
        <sz val="10"/>
        <color theme="1"/>
        <rFont val="Calibri"/>
      </rPr>
      <t>昆虫</t>
    </r>
    <r>
      <rPr>
        <sz val="10"/>
        <color theme="1"/>
        <rFont val="Calibri"/>
      </rPr>
      <t>。</t>
    </r>
  </si>
  <si>
    <t>Sâu xanh là một loài côn trùng.</t>
  </si>
  <si>
    <t>H5_B34_BG-04.png</t>
  </si>
  <si>
    <t>B34_4.mp3</t>
  </si>
  <si>
    <t>B34_VD_4.mp3</t>
  </si>
  <si>
    <t>天空</t>
  </si>
  <si>
    <t>&lt;ruby&gt;天空&lt;rt&gt;tiānkōng&lt;/rt&gt;&lt;/ruby&gt;</t>
  </si>
  <si>
    <t>tiānkōng</t>
  </si>
  <si>
    <t>bầu trời</t>
  </si>
  <si>
    <r>
      <rPr>
        <sz val="10"/>
        <color theme="1"/>
        <rFont val="Calibri"/>
      </rPr>
      <t>黄昏时分，</t>
    </r>
    <r>
      <rPr>
        <b/>
        <sz val="10"/>
        <color theme="1"/>
        <rFont val="Calibri"/>
      </rPr>
      <t>天空</t>
    </r>
    <r>
      <rPr>
        <sz val="10"/>
        <color theme="1"/>
        <rFont val="Calibri"/>
      </rPr>
      <t>染上了橙色的夕阳光辉。</t>
    </r>
  </si>
  <si>
    <t>Vào lúc chạng vạng, bầu trời đã nhuốm màu cam của hoàng hôn.</t>
  </si>
  <si>
    <t>H5_B34_BG-05.png</t>
  </si>
  <si>
    <t>B34_5.mp3</t>
  </si>
  <si>
    <t>B34_VD_5.mp3</t>
  </si>
  <si>
    <t>啄</t>
  </si>
  <si>
    <t>&lt;ruby&gt;啄&lt;rt&gt;zhuó&lt;/rt&gt;&lt;/ruby&gt;</t>
  </si>
  <si>
    <t>zhuó</t>
  </si>
  <si>
    <t>mổ, rỉa</t>
  </si>
  <si>
    <r>
      <rPr>
        <sz val="10"/>
        <color theme="1"/>
        <rFont val="Calibri"/>
      </rPr>
      <t>鸡在院子里</t>
    </r>
    <r>
      <rPr>
        <b/>
        <sz val="10"/>
        <color theme="1"/>
        <rFont val="Calibri"/>
      </rPr>
      <t>啄</t>
    </r>
    <r>
      <rPr>
        <sz val="10"/>
        <color theme="1"/>
        <rFont val="Calibri"/>
      </rPr>
      <t>食谷粒。</t>
    </r>
  </si>
  <si>
    <t>Con gà mổ hạt trong sân.</t>
  </si>
  <si>
    <t>H5_B34_BG-06.png</t>
  </si>
  <si>
    <t>B34_6.mp3</t>
  </si>
  <si>
    <t>B34_VD_6.mp3</t>
  </si>
  <si>
    <t>光滑</t>
  </si>
  <si>
    <t>&lt;ruby&gt;光滑&lt;rt&gt;guānghuá&lt;/rt&gt;&lt;/ruby&gt;</t>
  </si>
  <si>
    <t>guānghuá</t>
  </si>
  <si>
    <t>trơn, mượt, bóng loáng</t>
  </si>
  <si>
    <r>
      <rPr>
        <sz val="10"/>
        <color theme="1"/>
        <rFont val="Calibri"/>
      </rPr>
      <t>婴儿的皮肤非常</t>
    </r>
    <r>
      <rPr>
        <b/>
        <sz val="10"/>
        <color theme="1"/>
        <rFont val="Calibri"/>
      </rPr>
      <t>光滑</t>
    </r>
    <r>
      <rPr>
        <sz val="10"/>
        <color theme="1"/>
        <rFont val="Calibri"/>
      </rPr>
      <t>。</t>
    </r>
  </si>
  <si>
    <t>Làn da của em bé rất mịn màng.</t>
  </si>
  <si>
    <t>H5_B34_BG-07.png</t>
  </si>
  <si>
    <t>B34_7.mp3</t>
  </si>
  <si>
    <t>B34_VD_7.mp3</t>
  </si>
  <si>
    <t>区分</t>
  </si>
  <si>
    <t>&lt;ruby&gt;区分&lt;rt&gt;qūfēn&lt;/rt&gt;&lt;/ruby&gt;</t>
  </si>
  <si>
    <t>qūfēn</t>
  </si>
  <si>
    <t>phân biệt</t>
  </si>
  <si>
    <r>
      <rPr>
        <sz val="10"/>
        <color theme="1"/>
        <rFont val="Calibri"/>
      </rPr>
      <t>做饭时，我们需要</t>
    </r>
    <r>
      <rPr>
        <b/>
        <sz val="10"/>
        <color theme="1"/>
        <rFont val="Calibri"/>
      </rPr>
      <t>区分</t>
    </r>
    <r>
      <rPr>
        <sz val="10"/>
        <color theme="1"/>
        <rFont val="Calibri"/>
      </rPr>
      <t>不同的调料，以确保丰富的口感。</t>
    </r>
  </si>
  <si>
    <t>Khi nấu ăn, chúng ta cần phân biệt các loại gia vị khác nhau để đảm bảo hương vị phong phú.</t>
  </si>
  <si>
    <t>H5_B34_BG-08.png</t>
  </si>
  <si>
    <t>B34_8.mp3</t>
  </si>
  <si>
    <t>B34_VD_8.mp3</t>
  </si>
  <si>
    <t>唯一</t>
  </si>
  <si>
    <t>&lt;ruby&gt;唯一&lt;rt&gt;wéiyī&lt;/rt&gt;&lt;/ruby&gt;</t>
  </si>
  <si>
    <t>wéiyī</t>
  </si>
  <si>
    <t>duy nhất, độc nhất</t>
  </si>
  <si>
    <r>
      <rPr>
        <sz val="10"/>
        <color theme="1"/>
        <rFont val="Calibri"/>
      </rPr>
      <t>他是我</t>
    </r>
    <r>
      <rPr>
        <b/>
        <sz val="10"/>
        <color theme="1"/>
        <rFont val="Calibri"/>
      </rPr>
      <t>唯一</t>
    </r>
    <r>
      <rPr>
        <sz val="10"/>
        <color theme="1"/>
        <rFont val="Calibri"/>
      </rPr>
      <t>的朋友，我非常珍惜这段友谊。</t>
    </r>
  </si>
  <si>
    <t>Anh ấy là người bạn duy nhất của tôi, tôi rất trân trọng tình bạn này.</t>
  </si>
  <si>
    <t>H5_B34_BG-09.png</t>
  </si>
  <si>
    <t>B34_9.mp3</t>
  </si>
  <si>
    <t>B34_VD_9.mp3</t>
  </si>
  <si>
    <t>斑</t>
  </si>
  <si>
    <t>&lt;ruby&gt;斑&lt;rt&gt;bān&lt;/rt&gt;&lt;/ruby&gt;</t>
  </si>
  <si>
    <t>bớt, vết lốm đốm</t>
  </si>
  <si>
    <r>
      <rPr>
        <sz val="10"/>
        <color theme="1"/>
        <rFont val="Calibri"/>
      </rPr>
      <t>老虎的身上有黑色的</t>
    </r>
    <r>
      <rPr>
        <b/>
        <sz val="10"/>
        <color theme="1"/>
        <rFont val="Calibri"/>
      </rPr>
      <t>斑</t>
    </r>
    <r>
      <rPr>
        <sz val="10"/>
        <color theme="1"/>
        <rFont val="Calibri"/>
      </rPr>
      <t>纹。</t>
    </r>
  </si>
  <si>
    <t>Trên thân con hổ có vằn đen.</t>
  </si>
  <si>
    <t>H5_B34_BG-10.png</t>
  </si>
  <si>
    <t>B34_10.mp3</t>
  </si>
  <si>
    <t>B34_VD_10.mp3</t>
  </si>
  <si>
    <t>bắt, tóm</t>
  </si>
  <si>
    <r>
      <rPr>
        <sz val="10"/>
        <color theme="1"/>
        <rFont val="Calibri"/>
      </rPr>
      <t>小猫</t>
    </r>
    <r>
      <rPr>
        <b/>
        <sz val="10"/>
        <color theme="1"/>
        <rFont val="Calibri"/>
      </rPr>
      <t>抓</t>
    </r>
    <r>
      <rPr>
        <sz val="10"/>
        <color theme="1"/>
        <rFont val="Calibri"/>
      </rPr>
      <t>住了一只老鼠。</t>
    </r>
  </si>
  <si>
    <t>Con mèo nhỏ đã bắt được một con chuột.</t>
  </si>
  <si>
    <t>H5_B34_BG-11.png</t>
  </si>
  <si>
    <t>B34_11.mp3</t>
  </si>
  <si>
    <t>B34_VD_11.mp3</t>
  </si>
  <si>
    <t>寄生</t>
  </si>
  <si>
    <t>&lt;ruby&gt;寄生&lt;rt&gt;jìshēng&lt;/rt&gt;&lt;/ruby&gt;</t>
  </si>
  <si>
    <t>jìshēng</t>
  </si>
  <si>
    <t>ký sinh, ăn bám</t>
  </si>
  <si>
    <r>
      <rPr>
        <sz val="10"/>
        <color theme="1"/>
        <rFont val="Calibri"/>
      </rPr>
      <t>这种寄生虫会</t>
    </r>
    <r>
      <rPr>
        <b/>
        <sz val="10"/>
        <color theme="1"/>
        <rFont val="Calibri"/>
      </rPr>
      <t>寄生</t>
    </r>
    <r>
      <rPr>
        <sz val="10"/>
        <color theme="1"/>
        <rFont val="Calibri"/>
      </rPr>
      <t>在人类肠道内，导致消化问题。</t>
    </r>
  </si>
  <si>
    <t>Loại ký sinh trùng này sẽ ký sinh trong ruột của con người, gây ra các vấn đề về tiêu hóa.</t>
  </si>
  <si>
    <t>H5_B34_BG-12.png</t>
  </si>
  <si>
    <t>B34_12.mp3</t>
  </si>
  <si>
    <t>B34_VD_12.mp3</t>
  </si>
  <si>
    <t>岛屿</t>
  </si>
  <si>
    <t>&lt;ruby&gt;岛屿&lt;rt&gt;dǎoyǔ&lt;/rt&gt;&lt;/ruby&gt;</t>
  </si>
  <si>
    <t>dǎoyǔ</t>
  </si>
  <si>
    <t>(hòn) đảo</t>
  </si>
  <si>
    <r>
      <rPr>
        <sz val="10"/>
        <color theme="1"/>
        <rFont val="Arial"/>
      </rPr>
      <t>这个</t>
    </r>
    <r>
      <rPr>
        <b/>
        <sz val="10"/>
        <color theme="1"/>
        <rFont val="Arial"/>
      </rPr>
      <t>岛屿</t>
    </r>
    <r>
      <rPr>
        <sz val="10"/>
        <color theme="1"/>
        <rFont val="Arial"/>
      </rPr>
      <t>拥有丰富的资源。</t>
    </r>
  </si>
  <si>
    <t>Hòn đảo này có nguồn tài nguyên phong phú.</t>
  </si>
  <si>
    <t>H5_B34_BG-13.png</t>
  </si>
  <si>
    <t>B34_13.mp3</t>
  </si>
  <si>
    <t>B34_VD_13.mp3</t>
  </si>
  <si>
    <t>知更鸟</t>
  </si>
  <si>
    <t>&lt;ruby&gt;知更鸟&lt;rt&gt;zhīgēngniǎo&lt;/rt&gt;&lt;/ruby&gt;</t>
  </si>
  <si>
    <t>zhīgēngniǎo</t>
  </si>
  <si>
    <t>chim cổ đỏ</t>
  </si>
  <si>
    <r>
      <rPr>
        <sz val="10"/>
        <color theme="1"/>
        <rFont val="Calibri"/>
      </rPr>
      <t>我看到了一只</t>
    </r>
    <r>
      <rPr>
        <b/>
        <sz val="10"/>
        <color theme="1"/>
        <rFont val="Calibri"/>
      </rPr>
      <t>知更鸟</t>
    </r>
    <r>
      <rPr>
        <sz val="10"/>
        <color theme="1"/>
        <rFont val="Calibri"/>
      </rPr>
      <t>，它非常漂亮。</t>
    </r>
  </si>
  <si>
    <t>Tôi đã thấy một con chim cổ đỏ, nó rất đẹp.</t>
  </si>
  <si>
    <t>H5_B34_BG-14.png</t>
  </si>
  <si>
    <t>B34_14.mp3</t>
  </si>
  <si>
    <t>B34_VD_14.mp3</t>
  </si>
  <si>
    <t>坑</t>
  </si>
  <si>
    <t>&lt;ruby&gt;坑&lt;rt&gt;kēng&lt;/rt&gt;&lt;/ruby&gt;</t>
  </si>
  <si>
    <t>kēng</t>
  </si>
  <si>
    <t>hố, vũng</t>
  </si>
  <si>
    <r>
      <rPr>
        <sz val="10"/>
        <color theme="1"/>
        <rFont val="Calibri"/>
      </rPr>
      <t>我不小心掉进了一个泥</t>
    </r>
    <r>
      <rPr>
        <b/>
        <sz val="10"/>
        <color theme="1"/>
        <rFont val="Calibri"/>
      </rPr>
      <t>坑</t>
    </r>
    <r>
      <rPr>
        <sz val="10"/>
        <color theme="1"/>
        <rFont val="Calibri"/>
      </rPr>
      <t>。</t>
    </r>
  </si>
  <si>
    <t>Tôi không cẩn thận rơi vào vũng bùn.</t>
  </si>
  <si>
    <t>H5_B34_BG-15.png</t>
  </si>
  <si>
    <t>B34_15.mp3</t>
  </si>
  <si>
    <t>B34_VD_15.mp3</t>
  </si>
  <si>
    <t>池塘</t>
  </si>
  <si>
    <t>&lt;ruby&gt;池塘&lt;rt&gt;chítáng&lt;/rt&gt;&lt;/ruby&gt;</t>
  </si>
  <si>
    <t>chítáng</t>
  </si>
  <si>
    <t>ao, đầm</t>
  </si>
  <si>
    <r>
      <rPr>
        <sz val="10"/>
        <color theme="1"/>
        <rFont val="Calibri"/>
      </rPr>
      <t>小青蛙静静地坐在</t>
    </r>
    <r>
      <rPr>
        <b/>
        <sz val="10"/>
        <color theme="1"/>
        <rFont val="Calibri"/>
      </rPr>
      <t>池塘</t>
    </r>
    <r>
      <rPr>
        <sz val="10"/>
        <color theme="1"/>
        <rFont val="Calibri"/>
      </rPr>
      <t xml:space="preserve">边。
</t>
    </r>
  </si>
  <si>
    <t>Chú ếch con lặng lẽ ngồi bên bờ ao.</t>
  </si>
  <si>
    <t>H5_B34_BG-16.png</t>
  </si>
  <si>
    <t>B34_16.mp3</t>
  </si>
  <si>
    <t>B34_VD_16.mp3</t>
  </si>
  <si>
    <t>老鹰</t>
  </si>
  <si>
    <t>&lt;ruby&gt;老鹰&lt;rt&gt;lǎoyīng&lt;/rt&gt;&lt;/ruby&gt;</t>
  </si>
  <si>
    <t>lǎoyīng</t>
  </si>
  <si>
    <t>diều hâu</t>
  </si>
  <si>
    <r>
      <rPr>
        <sz val="10"/>
        <color theme="1"/>
        <rFont val="Calibri"/>
      </rPr>
      <t>一只强壮的</t>
    </r>
    <r>
      <rPr>
        <b/>
        <sz val="10"/>
        <color theme="1"/>
        <rFont val="Calibri"/>
      </rPr>
      <t>老鹰</t>
    </r>
    <r>
      <rPr>
        <sz val="10"/>
        <color theme="1"/>
        <rFont val="Calibri"/>
      </rPr>
      <t>正在天空中翱翔。</t>
    </r>
  </si>
  <si>
    <t>Một con diều hâu mạnh mẽ đang bay trên bầu trời.</t>
  </si>
  <si>
    <t>H5_B34_BG-17.png</t>
  </si>
  <si>
    <t>B34_17.mp3</t>
  </si>
  <si>
    <t>B34_VD_17.mp3</t>
  </si>
  <si>
    <t>种类</t>
  </si>
  <si>
    <t>&lt;ruby&gt;种类&lt;rt&gt;zhǒnglèi&lt;/rt&gt;&lt;/ruby&gt;</t>
  </si>
  <si>
    <t>zhǒnglèi</t>
  </si>
  <si>
    <t>chủng loại, loại</t>
  </si>
  <si>
    <r>
      <rPr>
        <sz val="10"/>
        <color theme="1"/>
        <rFont val="Calibri"/>
      </rPr>
      <t>这家商店有很多</t>
    </r>
    <r>
      <rPr>
        <b/>
        <sz val="10"/>
        <color theme="1"/>
        <rFont val="Calibri"/>
      </rPr>
      <t>种类</t>
    </r>
    <r>
      <rPr>
        <sz val="10"/>
        <color theme="1"/>
        <rFont val="Calibri"/>
      </rPr>
      <t>的水果，顾客可以随意挑选。</t>
    </r>
  </si>
  <si>
    <t>Cửa hàng này có rất nhiều loại trái cây, khách hàng có thể thoải mái lựa chọn.</t>
  </si>
  <si>
    <t>H5_B34_BG-18.png</t>
  </si>
  <si>
    <t>B34_18.mp3</t>
  </si>
  <si>
    <t>B34_VD_18.mp3</t>
  </si>
  <si>
    <t>充当</t>
  </si>
  <si>
    <t>&lt;ruby&gt;充当&lt;rt&gt;chōngdāng&lt;/rt&gt;&lt;/ruby&gt;</t>
  </si>
  <si>
    <t>chōngdāng</t>
  </si>
  <si>
    <t>làm, đảm nhiệm</t>
  </si>
  <si>
    <r>
      <rPr>
        <sz val="10"/>
        <color theme="1"/>
        <rFont val="Calibri"/>
      </rPr>
      <t>他在公司</t>
    </r>
    <r>
      <rPr>
        <b/>
        <sz val="10"/>
        <color theme="1"/>
        <rFont val="Calibri"/>
      </rPr>
      <t>充当</t>
    </r>
    <r>
      <rPr>
        <sz val="10"/>
        <color theme="1"/>
        <rFont val="Calibri"/>
      </rPr>
      <t>总监的角色，负责管理团队。</t>
    </r>
  </si>
  <si>
    <t>Anh ấy đảm nhiệm vai trò giám đốc trong công ty, chịu trách nhiệm quản lý đội ngũ.</t>
  </si>
  <si>
    <t>H5_B34_BG-19.png</t>
  </si>
  <si>
    <t>B34_19.mp3</t>
  </si>
  <si>
    <t>B34_VD_19.mp3</t>
  </si>
  <si>
    <r>
      <rPr>
        <sz val="10"/>
        <color theme="1"/>
        <rFont val="Calibri"/>
      </rPr>
      <t>我们讨论了很多问题，</t>
    </r>
    <r>
      <rPr>
        <b/>
        <sz val="10"/>
        <color theme="1"/>
        <rFont val="Calibri"/>
      </rPr>
      <t>总之</t>
    </r>
    <r>
      <rPr>
        <sz val="10"/>
        <color theme="1"/>
        <rFont val="Calibri"/>
      </rPr>
      <t>，大家都同意这个计划。</t>
    </r>
  </si>
  <si>
    <t>角色</t>
  </si>
  <si>
    <t>&lt;ruby&gt;角色&lt;rt&gt;juésè&lt;/rt&gt;&lt;/ruby&gt;</t>
  </si>
  <si>
    <t>juésè</t>
  </si>
  <si>
    <t>vai trò, vai</t>
  </si>
  <si>
    <r>
      <rPr>
        <sz val="10"/>
        <color theme="1"/>
        <rFont val="Calibri"/>
      </rPr>
      <t>他在这个项目中担任领导</t>
    </r>
    <r>
      <rPr>
        <b/>
        <sz val="10"/>
        <color theme="1"/>
        <rFont val="Calibri"/>
      </rPr>
      <t>角色</t>
    </r>
    <r>
      <rPr>
        <sz val="10"/>
        <color theme="1"/>
        <rFont val="Calibri"/>
      </rPr>
      <t>，带领团队完成任务。</t>
    </r>
  </si>
  <si>
    <t>Anh ấy đảm nhiệm vai trò là người lãnh đạo trong dự án này, dẫn dắt đội nhóm hoàn thành nhiệm vụ.</t>
  </si>
  <si>
    <t>H5_B34_BG-21.png</t>
  </si>
  <si>
    <t>B34_21.mp3</t>
  </si>
  <si>
    <t>B34_VD_21.mp3</t>
  </si>
  <si>
    <t>爱惜</t>
  </si>
  <si>
    <t>&lt;ruby&gt;爱惜&lt;rt&gt;àixī&lt;/rt&gt;&lt;/ruby&gt;</t>
  </si>
  <si>
    <t>àixī</t>
  </si>
  <si>
    <r>
      <rPr>
        <sz val="10"/>
        <color theme="1"/>
        <rFont val="Calibri"/>
      </rPr>
      <t>他非常</t>
    </r>
    <r>
      <rPr>
        <b/>
        <sz val="10"/>
        <color theme="1"/>
        <rFont val="Calibri"/>
      </rPr>
      <t>爱惜</t>
    </r>
    <r>
      <rPr>
        <sz val="10"/>
        <color theme="1"/>
        <rFont val="Calibri"/>
      </rPr>
      <t>自己的健康，每天都会锻炼身体。</t>
    </r>
  </si>
  <si>
    <t>Anh ấy rất yêu quý sức khỏe của mình, mỗi ngày đều luyện tập thể dục, thể thao.</t>
  </si>
  <si>
    <t>H5_B34_BG-22.png</t>
  </si>
  <si>
    <t>B34_22.mp3</t>
  </si>
  <si>
    <t>B34_VD_22.mp3</t>
  </si>
  <si>
    <t>保养</t>
  </si>
  <si>
    <t>&lt;ruby&gt;保养&lt;rt&gt;bǎoyǎng&lt;/rt&gt;&lt;/ruby&gt;</t>
  </si>
  <si>
    <t>bǎoyǎng</t>
  </si>
  <si>
    <t>chăm sóc, bảo quản</t>
  </si>
  <si>
    <r>
      <rPr>
        <sz val="10"/>
        <color theme="1"/>
        <rFont val="Calibri"/>
      </rPr>
      <t>为了延长汽车的使用寿命，车主应该定期</t>
    </r>
    <r>
      <rPr>
        <b/>
        <sz val="10"/>
        <color theme="1"/>
        <rFont val="Calibri"/>
      </rPr>
      <t>保养</t>
    </r>
    <r>
      <rPr>
        <sz val="10"/>
        <color theme="1"/>
        <rFont val="Calibri"/>
      </rPr>
      <t>汽车。</t>
    </r>
  </si>
  <si>
    <t>Để kéo dài tuổi thọ của ô tô, chủ xe nên bảo dưỡng ô tô định kỳ.</t>
  </si>
  <si>
    <t>H5_B34_BG-23.png</t>
  </si>
  <si>
    <t>B34_23.mp3</t>
  </si>
  <si>
    <t>B34_VD_23.mp3</t>
  </si>
  <si>
    <t>概括</t>
  </si>
  <si>
    <t>&lt;ruby&gt;概括&lt;rt&gt;gàikuò&lt;/rt&gt;&lt;/ruby&gt;</t>
  </si>
  <si>
    <t>gàikuò</t>
  </si>
  <si>
    <t>khái quát; tóm tắt</t>
  </si>
  <si>
    <r>
      <rPr>
        <sz val="10"/>
        <color theme="1"/>
        <rFont val="Calibri"/>
      </rPr>
      <t>她的演讲非常精彩，能够</t>
    </r>
    <r>
      <rPr>
        <b/>
        <sz val="10"/>
        <color theme="1"/>
        <rFont val="Calibri"/>
      </rPr>
      <t>概括</t>
    </r>
    <r>
      <rPr>
        <sz val="10"/>
        <color theme="1"/>
        <rFont val="Calibri"/>
      </rPr>
      <t>社会问题的核心。</t>
    </r>
  </si>
  <si>
    <t>Bài thuyết trình của cô ấy rất ấn tượng, có thể khái quát được cốt lõi của các vấn đề xã hội.</t>
  </si>
  <si>
    <t>H5_B34_BG-24.png</t>
  </si>
  <si>
    <t>B34_24.mp3</t>
  </si>
  <si>
    <t>B34_VD_24.mp3</t>
  </si>
  <si>
    <t>痛快</t>
  </si>
  <si>
    <t>&lt;ruby&gt;痛快&lt;rt&gt;tòngkuài&lt;/rt&gt;&lt;/ruby&gt;</t>
  </si>
  <si>
    <t>tòngkuài</t>
  </si>
  <si>
    <t>vui sướng, thích thú, đã, sướng</t>
  </si>
  <si>
    <r>
      <rPr>
        <sz val="10"/>
        <color theme="1"/>
        <rFont val="Calibri"/>
      </rPr>
      <t>赢得这场比赛让我感到非常</t>
    </r>
    <r>
      <rPr>
        <b/>
        <sz val="10"/>
        <color theme="1"/>
        <rFont val="Calibri"/>
      </rPr>
      <t>痛快</t>
    </r>
    <r>
      <rPr>
        <sz val="10"/>
        <color theme="1"/>
        <rFont val="Calibri"/>
      </rPr>
      <t>。</t>
    </r>
  </si>
  <si>
    <t>Tôi rất vui sướng khi đã dành chiến thắng trong trận đấu này.</t>
  </si>
  <si>
    <t>H5_B34_BG-25.png</t>
  </si>
  <si>
    <t>B34_25.mp3</t>
  </si>
  <si>
    <t>B34_VD_25.mp3</t>
  </si>
  <si>
    <t>迎接</t>
  </si>
  <si>
    <t>&lt;ruby&gt;迎接&lt;rt&gt;yíngjiē&lt;/rt&gt;&lt;/ruby&gt;</t>
  </si>
  <si>
    <t>yíngjiē</t>
  </si>
  <si>
    <t>nghênh đón, chào đón, đón nhận</t>
  </si>
  <si>
    <r>
      <rPr>
        <sz val="10"/>
        <color theme="1"/>
        <rFont val="Calibri"/>
      </rPr>
      <t>他们全家站在门口</t>
    </r>
    <r>
      <rPr>
        <b/>
        <sz val="10"/>
        <color theme="1"/>
        <rFont val="Calibri"/>
      </rPr>
      <t>迎接</t>
    </r>
    <r>
      <rPr>
        <sz val="10"/>
        <color theme="1"/>
        <rFont val="Calibri"/>
      </rPr>
      <t>我的归来。</t>
    </r>
  </si>
  <si>
    <t>Cả gia đình họ đứng ở cửa để chào đón sự trở về của tôi.</t>
  </si>
  <si>
    <t>H5_B34_BG-26.png</t>
  </si>
  <si>
    <t>B34_26.mp3</t>
  </si>
  <si>
    <t>B34_VD_26.mp3</t>
  </si>
  <si>
    <t>反复</t>
  </si>
  <si>
    <t>&lt;ruby&gt;反复&lt;rt&gt;fǎnfù&lt;/rt&gt;&lt;/ruby&gt;</t>
  </si>
  <si>
    <t>fǎnfù</t>
  </si>
  <si>
    <t>nhiều lần, lặp đi lặp lại</t>
  </si>
  <si>
    <r>
      <rPr>
        <sz val="10"/>
        <color theme="1"/>
        <rFont val="Calibri"/>
      </rPr>
      <t>她</t>
    </r>
    <r>
      <rPr>
        <b/>
        <sz val="10"/>
        <color theme="1"/>
        <rFont val="Calibri"/>
      </rPr>
      <t>反复</t>
    </r>
    <r>
      <rPr>
        <sz val="10"/>
        <color theme="1"/>
        <rFont val="Calibri"/>
      </rPr>
      <t>练习，最终赢得了比赛。</t>
    </r>
  </si>
  <si>
    <t>Cô ấy luyện tập nhiều lần, cuối cùng đã chiến thắng trong cuộc thi.</t>
  </si>
  <si>
    <t>H5_B34_BG-27.png</t>
  </si>
  <si>
    <t>B34_27.mp3</t>
  </si>
  <si>
    <t>B34_VD_27.mp3</t>
  </si>
  <si>
    <t>随身</t>
  </si>
  <si>
    <t>&lt;ruby&gt;随身&lt;rt&gt;suíshēn&lt;/rt&gt;&lt;/ruby&gt;</t>
  </si>
  <si>
    <t>suíshēn</t>
  </si>
  <si>
    <t>mang bên mình, theo bên người</t>
  </si>
  <si>
    <r>
      <rPr>
        <sz val="10"/>
        <color theme="1"/>
        <rFont val="Calibri"/>
      </rPr>
      <t>我每次出门都会</t>
    </r>
    <r>
      <rPr>
        <b/>
        <sz val="10"/>
        <color theme="1"/>
        <rFont val="Calibri"/>
      </rPr>
      <t>随身</t>
    </r>
    <r>
      <rPr>
        <sz val="10"/>
        <color theme="1"/>
        <rFont val="Calibri"/>
      </rPr>
      <t>带一把伞。</t>
    </r>
  </si>
  <si>
    <t>Tôi luôn mang bên mình 1 chiếc ô mỗi khi ra ngoài.</t>
  </si>
  <si>
    <t>H5_B34_BG-28.png</t>
  </si>
  <si>
    <t>B34_28.mp3</t>
  </si>
  <si>
    <t>B34_VD_28.mp3</t>
  </si>
  <si>
    <t>梳子</t>
  </si>
  <si>
    <t>&lt;ruby&gt;梳子&lt;rt&gt;shūzi&lt;/rt&gt;&lt;/ruby&gt;</t>
  </si>
  <si>
    <t>shūzi</t>
  </si>
  <si>
    <t>(cái) lược</t>
  </si>
  <si>
    <r>
      <rPr>
        <sz val="10"/>
        <color theme="1"/>
        <rFont val="Calibri"/>
      </rPr>
      <t>妈妈送给我一把金色的</t>
    </r>
    <r>
      <rPr>
        <b/>
        <sz val="10"/>
        <color theme="1"/>
        <rFont val="Calibri"/>
      </rPr>
      <t>梳子</t>
    </r>
    <r>
      <rPr>
        <sz val="10"/>
        <color theme="1"/>
        <rFont val="Calibri"/>
      </rPr>
      <t>。</t>
    </r>
  </si>
  <si>
    <t>Tôi được mẹ tặng 1 chiếc lược màu vàng.</t>
  </si>
  <si>
    <t>H5_B34_BG-29.png</t>
  </si>
  <si>
    <t>B34_29.mp3</t>
  </si>
  <si>
    <t>B34_VD_29.mp3</t>
  </si>
  <si>
    <t>肥皂</t>
  </si>
  <si>
    <t>&lt;ruby&gt;肥皂&lt;rt&gt;féizào&lt;/rt&gt;&lt;/ruby&gt;</t>
  </si>
  <si>
    <t>féizào</t>
  </si>
  <si>
    <t>xà phòng</t>
  </si>
  <si>
    <r>
      <rPr>
        <sz val="10"/>
        <color theme="1"/>
        <rFont val="Calibri"/>
      </rPr>
      <t>我吃饭前都会用</t>
    </r>
    <r>
      <rPr>
        <b/>
        <sz val="10"/>
        <color theme="1"/>
        <rFont val="Calibri"/>
      </rPr>
      <t>肥皂</t>
    </r>
    <r>
      <rPr>
        <sz val="10"/>
        <color theme="1"/>
        <rFont val="Calibri"/>
      </rPr>
      <t>洗手。</t>
    </r>
  </si>
  <si>
    <t>Tôi luôn dùng xà phòng để rửa tay trước khi ăn.</t>
  </si>
  <si>
    <t>H5_B34_BG-30.png</t>
  </si>
  <si>
    <t>B34_30.mp3</t>
  </si>
  <si>
    <t>B34_VD_30.mp3</t>
  </si>
  <si>
    <t>洗礼</t>
  </si>
  <si>
    <t>&lt;ruby&gt;洗礼&lt;rt&gt;xǐlǐ&lt;/rt&gt;&lt;/ruby&gt;</t>
  </si>
  <si>
    <t>xǐlǐ</t>
  </si>
  <si>
    <t>lễ rửa tội</t>
  </si>
  <si>
    <r>
      <rPr>
        <sz val="10"/>
        <color theme="1"/>
        <rFont val="Calibri"/>
      </rPr>
      <t>那个婴儿昨天刚接受了</t>
    </r>
    <r>
      <rPr>
        <b/>
        <sz val="10"/>
        <color theme="1"/>
        <rFont val="Calibri"/>
      </rPr>
      <t>洗礼</t>
    </r>
    <r>
      <rPr>
        <sz val="10"/>
        <color theme="1"/>
        <rFont val="Calibri"/>
      </rPr>
      <t>。</t>
    </r>
  </si>
  <si>
    <t>Cô bé ấy vừa mới nhận lễ rửa tội hôm qua.</t>
  </si>
  <si>
    <t>H5_B34_BG-31.png</t>
  </si>
  <si>
    <t>B34_31.mp3</t>
  </si>
  <si>
    <t>B34_VD_31.mp3</t>
  </si>
  <si>
    <t>沙子</t>
  </si>
  <si>
    <t>&lt;ruby&gt;沙子&lt;rt&gt;shāzi&lt;/rt&gt;&lt;/ruby&gt;</t>
  </si>
  <si>
    <t>shāzi</t>
  </si>
  <si>
    <t>hạt cát</t>
  </si>
  <si>
    <r>
      <rPr>
        <sz val="10"/>
        <color theme="1"/>
        <rFont val="Calibri"/>
      </rPr>
      <t>这座城堡是我在海边用</t>
    </r>
    <r>
      <rPr>
        <b/>
        <sz val="10"/>
        <color theme="1"/>
        <rFont val="Calibri"/>
      </rPr>
      <t>沙子</t>
    </r>
    <r>
      <rPr>
        <sz val="10"/>
        <color theme="1"/>
        <rFont val="Calibri"/>
      </rPr>
      <t>建造的。</t>
    </r>
  </si>
  <si>
    <t>Lâu đài này được tôi xây bằng cát ở ngoài biển.</t>
  </si>
  <si>
    <t>H5_B34_BG-32.png</t>
  </si>
  <si>
    <t>B34_32.mp3</t>
  </si>
  <si>
    <t>B34_VD_32.mp3</t>
  </si>
  <si>
    <t>干燥</t>
  </si>
  <si>
    <t>&lt;ruby&gt;干燥&lt;rt&gt;gānzào&lt;/rt&gt;&lt;/ruby&gt;</t>
  </si>
  <si>
    <t>gānzào</t>
  </si>
  <si>
    <t>khô</t>
  </si>
  <si>
    <r>
      <rPr>
        <sz val="10"/>
        <color theme="1"/>
        <rFont val="Calibri"/>
      </rPr>
      <t>因为长期没有下雨，这片土地变得非常</t>
    </r>
    <r>
      <rPr>
        <b/>
        <sz val="10"/>
        <color theme="1"/>
        <rFont val="Calibri"/>
      </rPr>
      <t>干燥</t>
    </r>
    <r>
      <rPr>
        <sz val="10"/>
        <color theme="1"/>
        <rFont val="Calibri"/>
      </rPr>
      <t>。</t>
    </r>
  </si>
  <si>
    <t>Vì không có mưa trong một thời gian dài, đất nơi đây trở nên khô cạn.</t>
  </si>
  <si>
    <t>H5_B34_BG-33.png</t>
  </si>
  <si>
    <t>B34_33.mp3</t>
  </si>
  <si>
    <t>B34_VD_33.mp3</t>
  </si>
  <si>
    <t>秘密</t>
  </si>
  <si>
    <t>&lt;ruby&gt;秘密&lt;rt&gt;mìmì&lt;/rt&gt;&lt;/ruby&gt;</t>
  </si>
  <si>
    <t>mìmì</t>
  </si>
  <si>
    <t>bí mật; điều bí mật</t>
  </si>
  <si>
    <r>
      <rPr>
        <sz val="10"/>
        <color theme="1"/>
        <rFont val="Calibri"/>
      </rPr>
      <t>我们之间有一个</t>
    </r>
    <r>
      <rPr>
        <b/>
        <sz val="10"/>
        <color theme="1"/>
        <rFont val="Calibri"/>
      </rPr>
      <t>秘密</t>
    </r>
    <r>
      <rPr>
        <sz val="10"/>
        <color theme="1"/>
        <rFont val="Calibri"/>
      </rPr>
      <t>，不能告诉别人。</t>
    </r>
  </si>
  <si>
    <t>Giữa chúng tôi có một bí mật, không thể nói cho người khác biết.</t>
  </si>
  <si>
    <t>H5_B34_BG-34.png</t>
  </si>
  <si>
    <t>B34_34.mp3</t>
  </si>
  <si>
    <t>B34_VD_34.mp3</t>
  </si>
  <si>
    <t>炎热</t>
  </si>
  <si>
    <t>&lt;ruby&gt;炎热&lt;rt&gt;yánrè&lt;/rt&gt;&lt;/ruby&gt;</t>
  </si>
  <si>
    <t>yánrè</t>
  </si>
  <si>
    <t>nóng bức</t>
  </si>
  <si>
    <r>
      <rPr>
        <sz val="10"/>
        <color theme="1"/>
        <rFont val="Calibri"/>
      </rPr>
      <t>今天的天气非常</t>
    </r>
    <r>
      <rPr>
        <b/>
        <sz val="10"/>
        <color theme="1"/>
        <rFont val="Calibri"/>
      </rPr>
      <t>炎热</t>
    </r>
    <r>
      <rPr>
        <sz val="10"/>
        <color theme="1"/>
        <rFont val="Calibri"/>
      </rPr>
      <t>。</t>
    </r>
  </si>
  <si>
    <t>Hôm nay thời tiết rất nóng bức quá.</t>
  </si>
  <si>
    <t>H5_B35_BG-01.png</t>
  </si>
  <si>
    <t>B35_1.mp3</t>
  </si>
  <si>
    <t>B35_VD_1.mp3</t>
  </si>
  <si>
    <t>歇</t>
  </si>
  <si>
    <t>&lt;ruby&gt;歇&lt;rt&gt;xiē&lt;/rt&gt;&lt;/ruby&gt;</t>
  </si>
  <si>
    <r>
      <rPr>
        <sz val="10"/>
        <color theme="1"/>
        <rFont val="Calibri"/>
      </rPr>
      <t>跑步后，我停下来</t>
    </r>
    <r>
      <rPr>
        <b/>
        <sz val="10"/>
        <color theme="1"/>
        <rFont val="Calibri"/>
      </rPr>
      <t>歇</t>
    </r>
    <r>
      <rPr>
        <sz val="10"/>
        <color theme="1"/>
        <rFont val="Calibri"/>
      </rPr>
      <t>一会儿。</t>
    </r>
  </si>
  <si>
    <t>Sau khi chạy bộ tôi dừng lại nghỉ ngơi một chút.</t>
  </si>
  <si>
    <t>H5_B35_BG-02.png</t>
  </si>
  <si>
    <t>B35_2.mp3</t>
  </si>
  <si>
    <t>B35_VD_2.mp3</t>
  </si>
  <si>
    <t>开水</t>
  </si>
  <si>
    <t>&lt;ruby&gt;开水&lt;rt&gt;kāishuǐ&lt;/rt&gt;&lt;/ruby&gt;</t>
  </si>
  <si>
    <t>kāishuǐ</t>
  </si>
  <si>
    <t>nước sôi</t>
  </si>
  <si>
    <r>
      <rPr>
        <sz val="10"/>
        <color theme="1"/>
        <rFont val="Calibri"/>
      </rPr>
      <t>你可以用</t>
    </r>
    <r>
      <rPr>
        <b/>
        <sz val="10"/>
        <color theme="1"/>
        <rFont val="Calibri"/>
      </rPr>
      <t>开水</t>
    </r>
    <r>
      <rPr>
        <sz val="10"/>
        <color theme="1"/>
        <rFont val="Calibri"/>
      </rPr>
      <t>泡茶。</t>
    </r>
  </si>
  <si>
    <t>Bạn có thể dùng nước sôi pha trà.</t>
  </si>
  <si>
    <t>H5_B35_BG-03.png</t>
  </si>
  <si>
    <t>B35_3.mp3</t>
  </si>
  <si>
    <t>B35_VD_3.mp3</t>
  </si>
  <si>
    <t>蒸腾</t>
  </si>
  <si>
    <t>&lt;ruby&gt;蒸腾&lt;rt&gt;zhēngténg&lt;/rt&gt;&lt;/ruby&gt;</t>
  </si>
  <si>
    <t>zhēngténg</t>
  </si>
  <si>
    <t>bốc hơi</t>
  </si>
  <si>
    <r>
      <rPr>
        <sz val="10"/>
        <color theme="1"/>
        <rFont val="Calibri"/>
      </rPr>
      <t>在高温下，水</t>
    </r>
    <r>
      <rPr>
        <b/>
        <sz val="10"/>
        <color theme="1"/>
        <rFont val="Calibri"/>
      </rPr>
      <t>蒸腾</t>
    </r>
    <r>
      <rPr>
        <sz val="10"/>
        <color theme="1"/>
        <rFont val="Calibri"/>
      </rPr>
      <t>得很快。</t>
    </r>
  </si>
  <si>
    <t>Ở nhiệt độ cao, nước bốc hơi rất nhanh.</t>
  </si>
  <si>
    <t>H5_B35_BG-04.png</t>
  </si>
  <si>
    <t>B35_4.mp3</t>
  </si>
  <si>
    <t>B35_VD_4.mp3</t>
  </si>
  <si>
    <t>冰激凌</t>
  </si>
  <si>
    <t>&lt;ruby&gt;冰激凌&lt;rt&gt;bīngjīlíng&lt;/rt&gt;&lt;/ruby&gt;</t>
  </si>
  <si>
    <t>bīngjīlíng</t>
  </si>
  <si>
    <t>kem</t>
  </si>
  <si>
    <r>
      <rPr>
        <sz val="10"/>
        <color theme="1"/>
        <rFont val="Calibri"/>
      </rPr>
      <t>夏天我喜欢吃</t>
    </r>
    <r>
      <rPr>
        <b/>
        <sz val="10"/>
        <color theme="1"/>
        <rFont val="Calibri"/>
      </rPr>
      <t>冰激凌</t>
    </r>
    <r>
      <rPr>
        <sz val="10"/>
        <color theme="1"/>
        <rFont val="Calibri"/>
      </rPr>
      <t>，特别是巧克力味的。</t>
    </r>
  </si>
  <si>
    <t>Vào mùa hè, tôi thích ăn kem, đặc biệt là kem vị sô cô la.</t>
  </si>
  <si>
    <t>H5_B35_BG-05.png</t>
  </si>
  <si>
    <t>B35_5.mp3</t>
  </si>
  <si>
    <t>B35_VD_5.mp3</t>
  </si>
  <si>
    <t>肌肉</t>
  </si>
  <si>
    <t>&lt;ruby&gt;肌肉&lt;rt&gt;jīròu&lt;/rt&gt;&lt;/ruby&gt;</t>
  </si>
  <si>
    <t>jīròu</t>
  </si>
  <si>
    <t>bắp thịt, cơ</t>
  </si>
  <si>
    <r>
      <rPr>
        <sz val="10"/>
        <color theme="1"/>
        <rFont val="Calibri"/>
      </rPr>
      <t>他通过游泳锻炼</t>
    </r>
    <r>
      <rPr>
        <b/>
        <sz val="10"/>
        <color theme="1"/>
        <rFont val="Calibri"/>
      </rPr>
      <t>肌肉</t>
    </r>
    <r>
      <rPr>
        <sz val="10"/>
        <color theme="1"/>
        <rFont val="Calibri"/>
      </rPr>
      <t>，身体变得更加强壮。</t>
    </r>
  </si>
  <si>
    <t>Anh ấy luyện cơ bắp bằng cách bơi lội, cơ thể trở nên khỏe mạnh hơn.</t>
  </si>
  <si>
    <t>H5_B35_BG-06.png</t>
  </si>
  <si>
    <t>B35_6.mp3</t>
  </si>
  <si>
    <t>B35_VD_6.mp3</t>
  </si>
  <si>
    <t>恢复</t>
  </si>
  <si>
    <t>&lt;ruby&gt;恢复&lt;rt&gt;huīfù&lt;/rt&gt;&lt;/ruby&gt;</t>
  </si>
  <si>
    <t>huīfù</t>
  </si>
  <si>
    <t>phục hồi, lấy lại</t>
  </si>
  <si>
    <r>
      <rPr>
        <sz val="10"/>
        <color theme="1"/>
        <rFont val="Calibri"/>
      </rPr>
      <t>工厂的生产已经</t>
    </r>
    <r>
      <rPr>
        <b/>
        <sz val="10"/>
        <color theme="1"/>
        <rFont val="Calibri"/>
      </rPr>
      <t>恢复</t>
    </r>
    <r>
      <rPr>
        <sz val="10"/>
        <color theme="1"/>
        <rFont val="Calibri"/>
      </rPr>
      <t>正常。</t>
    </r>
  </si>
  <si>
    <t>Sản xuất của nhà máy đã khôi phục bình thường.</t>
  </si>
  <si>
    <t>H5_B35_BG-07.png</t>
  </si>
  <si>
    <t>B35_7.mp3</t>
  </si>
  <si>
    <t>B35_VD_7.mp3</t>
  </si>
  <si>
    <t>湿润</t>
  </si>
  <si>
    <t>&lt;ruby&gt;湿润&lt;rt&gt;shīrùn&lt;/rt&gt;&lt;/ruby&gt;</t>
  </si>
  <si>
    <t>shīrùn</t>
  </si>
  <si>
    <t>ẩm ướt</t>
  </si>
  <si>
    <r>
      <rPr>
        <sz val="10"/>
        <color theme="1"/>
        <rFont val="Calibri"/>
      </rPr>
      <t>森林里的空气很</t>
    </r>
    <r>
      <rPr>
        <b/>
        <sz val="10"/>
        <color theme="1"/>
        <rFont val="Calibri"/>
      </rPr>
      <t>湿润</t>
    </r>
    <r>
      <rPr>
        <sz val="10"/>
        <color theme="1"/>
        <rFont val="Calibri"/>
      </rPr>
      <t>，树木生长得很茂盛。</t>
    </r>
  </si>
  <si>
    <t>Không khí trong rừng rất ẩm ướt, cây cối phát triển rất tươi tốt.</t>
  </si>
  <si>
    <t>H5_B35_BG-08.png</t>
  </si>
  <si>
    <t>B35_8.mp3</t>
  </si>
  <si>
    <t>B35_VD_8.mp3</t>
  </si>
  <si>
    <t>荫凉</t>
  </si>
  <si>
    <t>&lt;ruby&gt;荫凉&lt;rt&gt;yìnliáng&lt;/rt&gt;&lt;/ruby&gt;</t>
  </si>
  <si>
    <t>yìnliáng</t>
  </si>
  <si>
    <t>râm mát</t>
  </si>
  <si>
    <r>
      <rPr>
        <sz val="10"/>
        <color theme="1"/>
        <rFont val="Calibri"/>
      </rPr>
      <t>下午公园里很</t>
    </r>
    <r>
      <rPr>
        <b/>
        <sz val="10"/>
        <color theme="1"/>
        <rFont val="Calibri"/>
      </rPr>
      <t>荫凉</t>
    </r>
    <r>
      <rPr>
        <sz val="10"/>
        <color theme="1"/>
        <rFont val="Calibri"/>
      </rPr>
      <t>，是散步的理想场所。</t>
    </r>
  </si>
  <si>
    <t>Vào buổi chiều, công viên rất râm mát, là nơi lý tưởng để đi dạo.</t>
  </si>
  <si>
    <t>H5_B35_BG-09.png</t>
  </si>
  <si>
    <t>B35_9.mp3</t>
  </si>
  <si>
    <t>B35_VD_9.mp3</t>
  </si>
  <si>
    <t>汗腺</t>
  </si>
  <si>
    <t>&lt;ruby&gt;汗腺&lt;rt&gt;hànxiàn&lt;/rt&gt;&lt;/ruby&gt;</t>
  </si>
  <si>
    <t>hànxiàn</t>
  </si>
  <si>
    <t>tuyến mồ hôi</t>
  </si>
  <si>
    <r>
      <rPr>
        <sz val="10"/>
        <color theme="1"/>
        <rFont val="Calibri"/>
      </rPr>
      <t>运动时，</t>
    </r>
    <r>
      <rPr>
        <b/>
        <sz val="10"/>
        <color theme="1"/>
        <rFont val="Calibri"/>
      </rPr>
      <t>汗腺</t>
    </r>
    <r>
      <rPr>
        <sz val="10"/>
        <color theme="1"/>
        <rFont val="Calibri"/>
      </rPr>
      <t>会分泌大量的汗水来帮助身体降温。</t>
    </r>
  </si>
  <si>
    <t>Khi chơi thể thao, tuyến mồ hôi sẽ tiết ra một lượng lớn mồ hôi để giúp cơ thể hạ nhiệt.</t>
  </si>
  <si>
    <t>H5_B35_BG-10.png</t>
  </si>
  <si>
    <t>B35_10.mp3</t>
  </si>
  <si>
    <t>B35_VD_10.mp3</t>
  </si>
  <si>
    <t>毛孔</t>
  </si>
  <si>
    <t>&lt;ruby&gt;毛孔&lt;rt&gt;máokǒng&lt;/rt&gt;&lt;/ruby&gt;</t>
  </si>
  <si>
    <t>máokǒng</t>
  </si>
  <si>
    <t>lỗ chân lông</t>
  </si>
  <si>
    <r>
      <rPr>
        <sz val="10"/>
        <color theme="1"/>
        <rFont val="Calibri"/>
      </rPr>
      <t>使用深层清洁面膜可以清洁</t>
    </r>
    <r>
      <rPr>
        <b/>
        <sz val="10"/>
        <color theme="1"/>
        <rFont val="Calibri"/>
      </rPr>
      <t>毛孔</t>
    </r>
    <r>
      <rPr>
        <sz val="10"/>
        <color theme="1"/>
        <rFont val="Calibri"/>
      </rPr>
      <t>，改善皮肤状况。</t>
    </r>
  </si>
  <si>
    <t>Sử dụng mặt nạ làm sạch sâu giúp làm sạch lỗ chân lông và cải thiện tình trạng da.</t>
  </si>
  <si>
    <t>H5_B35_BG-11.png</t>
  </si>
  <si>
    <t>B35_11.mp3</t>
  </si>
  <si>
    <t>B35_VD_11.mp3</t>
  </si>
  <si>
    <t>冒</t>
  </si>
  <si>
    <t>&lt;ruby&gt;冒&lt;rt&gt;mào&lt;/rt&gt;&lt;/ruby&gt;</t>
  </si>
  <si>
    <t>mào</t>
  </si>
  <si>
    <t>bốc lên, toát ra, phả ra</t>
  </si>
  <si>
    <r>
      <rPr>
        <sz val="10"/>
        <color theme="1"/>
        <rFont val="Calibri"/>
      </rPr>
      <t>烟雾四处</t>
    </r>
    <r>
      <rPr>
        <b/>
        <sz val="10"/>
        <color theme="1"/>
        <rFont val="Calibri"/>
      </rPr>
      <t>冒</t>
    </r>
    <r>
      <rPr>
        <sz val="10"/>
        <color theme="1"/>
        <rFont val="Calibri"/>
      </rPr>
      <t>着。</t>
    </r>
  </si>
  <si>
    <t>Khói tỏa ra khắp nơi.</t>
  </si>
  <si>
    <t>H5_B35_BG-12.png</t>
  </si>
  <si>
    <t>B35_12.mp3</t>
  </si>
  <si>
    <t>B35_VD_12.mp3</t>
  </si>
  <si>
    <t>指挥</t>
  </si>
  <si>
    <t>&lt;ruby&gt;指挥&lt;rt&gt;zhǐhuī&lt;/rt&gt;&lt;/ruby&gt;</t>
  </si>
  <si>
    <t>zhǐhuī</t>
  </si>
  <si>
    <t>chỉ huy, điều khiển, ra lệnh</t>
  </si>
  <si>
    <r>
      <rPr>
        <sz val="10"/>
        <color theme="1"/>
        <rFont val="Calibri"/>
      </rPr>
      <t>他正在</t>
    </r>
    <r>
      <rPr>
        <b/>
        <sz val="10"/>
        <color theme="1"/>
        <rFont val="Calibri"/>
      </rPr>
      <t>指挥</t>
    </r>
    <r>
      <rPr>
        <sz val="10"/>
        <color theme="1"/>
        <rFont val="Calibri"/>
      </rPr>
      <t>交通。</t>
    </r>
  </si>
  <si>
    <t>Anh ấy đang chỉ huy giao thông.</t>
  </si>
  <si>
    <t>H5_B35_BG-13.png</t>
  </si>
  <si>
    <t>B35_13.mp3</t>
  </si>
  <si>
    <t>B35_VD_13.mp3</t>
  </si>
  <si>
    <t>赶快</t>
  </si>
  <si>
    <t>&lt;ruby&gt;赶快&lt;rt&gt;gǎnkuài&lt;/rt&gt;&lt;/ruby&gt;</t>
  </si>
  <si>
    <t>gǎnkuài</t>
  </si>
  <si>
    <t>mau mau, nhanh</t>
  </si>
  <si>
    <r>
      <rPr>
        <sz val="10"/>
        <color theme="1"/>
        <rFont val="Calibri"/>
      </rPr>
      <t>快迟到了，</t>
    </r>
    <r>
      <rPr>
        <b/>
        <sz val="10"/>
        <color theme="1"/>
        <rFont val="Calibri"/>
      </rPr>
      <t>赶快</t>
    </r>
    <r>
      <rPr>
        <sz val="10"/>
        <color theme="1"/>
        <rFont val="Calibri"/>
      </rPr>
      <t>去上学吧！</t>
    </r>
  </si>
  <si>
    <t>Sắp muộn rồi, mau mau đi học thôi!</t>
  </si>
  <si>
    <t>H5_B35_BG-14.png</t>
  </si>
  <si>
    <t>B35_14.mp3</t>
  </si>
  <si>
    <t>B35_VD_14.mp3</t>
  </si>
  <si>
    <t>片</t>
  </si>
  <si>
    <t>&lt;ruby&gt;片&lt;rt&gt;piàn&lt;/rt&gt;&lt;/ruby&gt;</t>
  </si>
  <si>
    <t>tấm, mảnh</t>
  </si>
  <si>
    <r>
      <rPr>
        <sz val="10"/>
        <color theme="1"/>
        <rFont val="Calibri"/>
      </rPr>
      <t>树叶一</t>
    </r>
    <r>
      <rPr>
        <b/>
        <sz val="10"/>
        <color theme="1"/>
        <rFont val="Calibri"/>
      </rPr>
      <t>片</t>
    </r>
    <r>
      <rPr>
        <sz val="10"/>
        <color theme="1"/>
        <rFont val="Calibri"/>
      </rPr>
      <t>片地落下。</t>
    </r>
  </si>
  <si>
    <t>Lá cây từng chiếc rơi xuống.</t>
  </si>
  <si>
    <t>H5_B35_BG-15.png</t>
  </si>
  <si>
    <t>B35_15.mp3</t>
  </si>
  <si>
    <t>B35_VD_15.mp3</t>
  </si>
  <si>
    <t>控制</t>
  </si>
  <si>
    <t>&lt;ruby&gt;控制&lt;rt&gt;kòngzhì&lt;/rt&gt;&lt;/ruby&gt;</t>
  </si>
  <si>
    <t>kòngzhì</t>
  </si>
  <si>
    <t>kiểm soát, điều khiển</t>
  </si>
  <si>
    <r>
      <rPr>
        <sz val="10"/>
        <color theme="1"/>
        <rFont val="Calibri"/>
      </rPr>
      <t>开车时，她必须</t>
    </r>
    <r>
      <rPr>
        <b/>
        <sz val="10"/>
        <color theme="1"/>
        <rFont val="Calibri"/>
      </rPr>
      <t>控制</t>
    </r>
    <r>
      <rPr>
        <sz val="10"/>
        <color theme="1"/>
        <rFont val="Calibri"/>
      </rPr>
      <t>车速以确保安全。</t>
    </r>
  </si>
  <si>
    <t>Khi lái xe, cô ấy phải kiểm soát tốc độ xe để đảm bảo an toàn.</t>
  </si>
  <si>
    <t>H5_B35_BG-16.png</t>
  </si>
  <si>
    <t>B35_16.mp3</t>
  </si>
  <si>
    <t>B35_VD_16.mp3</t>
  </si>
  <si>
    <t>管子</t>
  </si>
  <si>
    <t>&lt;ruby&gt;管子&lt;rt&gt;guǎnzi&lt;/rt&gt;&lt;/ruby&gt;</t>
  </si>
  <si>
    <t>guǎnzi</t>
  </si>
  <si>
    <t>ống, ống dẫn</t>
  </si>
  <si>
    <t>管子坏了，需要修理。</t>
  </si>
  <si>
    <t>Cái ống này bị hỏng rồi, cần phải sửa chữa.</t>
  </si>
  <si>
    <t>H5_B35_BG-17.png</t>
  </si>
  <si>
    <t>B35_17.mp3</t>
  </si>
  <si>
    <t>B35_VD_17.mp3</t>
  </si>
  <si>
    <t>玻璃</t>
  </si>
  <si>
    <t>&lt;ruby&gt;玻璃&lt;rt&gt;bōli&lt;/rt&gt;&lt;/ruby&gt;</t>
  </si>
  <si>
    <t>bōli</t>
  </si>
  <si>
    <t>pha-lê, thủy tinh, kính</t>
  </si>
  <si>
    <r>
      <rPr>
        <sz val="10"/>
        <color theme="1"/>
        <rFont val="Calibri"/>
      </rPr>
      <t>这些杯子是用</t>
    </r>
    <r>
      <rPr>
        <b/>
        <sz val="10"/>
        <color theme="1"/>
        <rFont val="Calibri"/>
      </rPr>
      <t>玻璃</t>
    </r>
    <r>
      <rPr>
        <sz val="10"/>
        <color theme="1"/>
        <rFont val="Calibri"/>
      </rPr>
      <t>做的。</t>
    </r>
  </si>
  <si>
    <t>Những chiếc ly này được làm bằng thủy tinh.</t>
  </si>
  <si>
    <t>H5_B35_BG-18.png</t>
  </si>
  <si>
    <t>B35_18.mp3</t>
  </si>
  <si>
    <t>B35_VD_18.mp3</t>
  </si>
  <si>
    <t>测验</t>
  </si>
  <si>
    <t>&lt;ruby&gt;测验&lt;rt&gt;cèyàn&lt;/rt&gt;&lt;/ruby&gt;</t>
  </si>
  <si>
    <t>cèyàn</t>
  </si>
  <si>
    <t>kiểm tra</t>
  </si>
  <si>
    <r>
      <rPr>
        <sz val="10"/>
        <color theme="1"/>
        <rFont val="Calibri"/>
      </rPr>
      <t>化验员已经</t>
    </r>
    <r>
      <rPr>
        <b/>
        <sz val="10"/>
        <color theme="1"/>
        <rFont val="Calibri"/>
      </rPr>
      <t>测验</t>
    </r>
    <r>
      <rPr>
        <sz val="10"/>
        <color theme="1"/>
        <rFont val="Calibri"/>
      </rPr>
      <t>了样品。</t>
    </r>
  </si>
  <si>
    <t>Nhân viên hóa nghiệm đã kiểm nghiệm mẫu vật.</t>
  </si>
  <si>
    <t>H5_B35_BG-19.png</t>
  </si>
  <si>
    <t>B35_19.mp3</t>
  </si>
  <si>
    <t>B35_VD_19.mp3</t>
  </si>
  <si>
    <t>根本</t>
  </si>
  <si>
    <t>&lt;ruby&gt;根本&lt;rt&gt;gēnběn&lt;/rt&gt;&lt;/ruby&gt;</t>
  </si>
  <si>
    <t>gēnběn</t>
  </si>
  <si>
    <t>(thường được dùng trong câu phủ định) tuyệt nhiên, không hề</t>
  </si>
  <si>
    <r>
      <rPr>
        <sz val="10"/>
        <color theme="1"/>
        <rFont val="Calibri"/>
      </rPr>
      <t>我们</t>
    </r>
    <r>
      <rPr>
        <b/>
        <sz val="10"/>
        <color theme="1"/>
        <rFont val="Calibri"/>
      </rPr>
      <t>根本</t>
    </r>
    <r>
      <rPr>
        <sz val="10"/>
        <color theme="1"/>
        <rFont val="Calibri"/>
      </rPr>
      <t>不了解彼此。</t>
    </r>
  </si>
  <si>
    <t>Chúng ta căn bản không hiểu nhau.</t>
  </si>
  <si>
    <t>H5_B35_BG-20.png</t>
  </si>
  <si>
    <t>B35_20.mp3</t>
  </si>
  <si>
    <t>B35_VD_20.mp3</t>
  </si>
  <si>
    <t>内部</t>
  </si>
  <si>
    <t>&lt;ruby&gt;内部&lt;rt&gt;nèibù&lt;/rt&gt;&lt;/ruby&gt;</t>
  </si>
  <si>
    <t>nèibù</t>
  </si>
  <si>
    <t>nội bộ, bên trong</t>
  </si>
  <si>
    <r>
      <rPr>
        <sz val="10"/>
        <color theme="1"/>
        <rFont val="Calibri"/>
      </rPr>
      <t>这是我们公司的</t>
    </r>
    <r>
      <rPr>
        <b/>
        <sz val="10"/>
        <color theme="1"/>
        <rFont val="Calibri"/>
      </rPr>
      <t>内部</t>
    </r>
    <r>
      <rPr>
        <sz val="10"/>
        <color theme="1"/>
        <rFont val="Calibri"/>
      </rPr>
      <t>文件。</t>
    </r>
  </si>
  <si>
    <t>Đây là tài liệu nội bộ của công ty tôi.</t>
  </si>
  <si>
    <t>H5_B35_BG-21.png</t>
  </si>
  <si>
    <t>B35_21.mp3</t>
  </si>
  <si>
    <t>B35_VD_21.mp3</t>
  </si>
  <si>
    <t>系统</t>
  </si>
  <si>
    <t>&lt;ruby&gt;系统&lt;rt&gt;xìtǒng&lt;/rt&gt;&lt;/ruby&gt;</t>
  </si>
  <si>
    <t>xìtǒng</t>
  </si>
  <si>
    <t>hệ thống</t>
  </si>
  <si>
    <r>
      <rPr>
        <sz val="10"/>
        <color theme="1"/>
        <rFont val="Calibri"/>
      </rPr>
      <t>这家医院的医疗</t>
    </r>
    <r>
      <rPr>
        <b/>
        <sz val="10"/>
        <color theme="1"/>
        <rFont val="Calibri"/>
      </rPr>
      <t>系统</t>
    </r>
    <r>
      <rPr>
        <sz val="10"/>
        <color theme="1"/>
        <rFont val="Calibri"/>
      </rPr>
      <t>非常先进。</t>
    </r>
  </si>
  <si>
    <t>Hệ thống y tế của bệnh viện này rất tiên tiến.</t>
  </si>
  <si>
    <t>H5_B35_BG-22.png</t>
  </si>
  <si>
    <t>B35_22.mp3</t>
  </si>
  <si>
    <t>B35_VD_22.mp3</t>
  </si>
  <si>
    <t>状况</t>
  </si>
  <si>
    <t>&lt;ruby&gt;状况&lt;rt&gt;zhuàngkuàng&lt;/rt&gt;&lt;/ruby&gt;</t>
  </si>
  <si>
    <t>zhuàngkuàng</t>
  </si>
  <si>
    <t>tình hình, tình trạng</t>
  </si>
  <si>
    <r>
      <rPr>
        <sz val="10"/>
        <color theme="1"/>
        <rFont val="Calibri"/>
      </rPr>
      <t>由于天气</t>
    </r>
    <r>
      <rPr>
        <b/>
        <sz val="10"/>
        <color theme="1"/>
        <rFont val="Calibri"/>
      </rPr>
      <t>状况</t>
    </r>
    <r>
      <rPr>
        <sz val="10"/>
        <color theme="1"/>
        <rFont val="Calibri"/>
      </rPr>
      <t>不好，航班被取消了。</t>
    </r>
  </si>
  <si>
    <t>Do tình hình thời tiết không tốt, chuyến bay đã bị hủy.</t>
  </si>
  <si>
    <t>H5_B35_BG-23.png</t>
  </si>
  <si>
    <t>B35_23.mp3</t>
  </si>
  <si>
    <t>B35_VD_23.mp3</t>
  </si>
  <si>
    <t>秩序</t>
  </si>
  <si>
    <t>&lt;ruby&gt;秩序&lt;rt&gt;zhìxù&lt;/rt&gt;&lt;/ruby&gt;</t>
  </si>
  <si>
    <t>zhìxù</t>
  </si>
  <si>
    <t>trật tự</t>
  </si>
  <si>
    <r>
      <rPr>
        <sz val="10"/>
        <color theme="1"/>
        <rFont val="Calibri"/>
      </rPr>
      <t>这个城市的公共</t>
    </r>
    <r>
      <rPr>
        <b/>
        <sz val="10"/>
        <color theme="1"/>
        <rFont val="Calibri"/>
      </rPr>
      <t>秩序</t>
    </r>
    <r>
      <rPr>
        <sz val="10"/>
        <color theme="1"/>
        <rFont val="Calibri"/>
      </rPr>
      <t>很好。</t>
    </r>
  </si>
  <si>
    <t>Trật tự công cộng của thành phố này rất tốt.</t>
  </si>
  <si>
    <t>H5_B35_BG-24.png</t>
  </si>
  <si>
    <t>B35_24.mp3</t>
  </si>
  <si>
    <t>B35_VD_24.mp3</t>
  </si>
  <si>
    <t>特殊</t>
  </si>
  <si>
    <t>&lt;ruby&gt;特殊&lt;rt&gt;tèshū&lt;/rt&gt;&lt;/ruby&gt;</t>
  </si>
  <si>
    <t>tèshū</t>
  </si>
  <si>
    <t>đặc biệt, đặc thù</t>
  </si>
  <si>
    <r>
      <rPr>
        <sz val="10"/>
        <color theme="1"/>
        <rFont val="Calibri"/>
      </rPr>
      <t>他有一种</t>
    </r>
    <r>
      <rPr>
        <b/>
        <sz val="10"/>
        <color theme="1"/>
        <rFont val="Calibri"/>
      </rPr>
      <t>特殊</t>
    </r>
    <r>
      <rPr>
        <sz val="10"/>
        <color theme="1"/>
        <rFont val="Calibri"/>
      </rPr>
      <t>的才能，可以轻松学会任何语言。</t>
    </r>
  </si>
  <si>
    <t>Anh ấy có một tài năng đặc biệt, có thể học bất kỳ ngôn ngữ nào một cách dễ dàng.</t>
  </si>
  <si>
    <t>H5_B35_BG-25.png</t>
  </si>
  <si>
    <t>B35_25.mp3</t>
  </si>
  <si>
    <t>B35_VD_25.mp3</t>
  </si>
  <si>
    <t>常识</t>
  </si>
  <si>
    <t>&lt;ruby&gt;常识&lt;rt&gt;chángshí&lt;/rt&gt;&lt;/ruby&gt;</t>
  </si>
  <si>
    <t>chángshí</t>
  </si>
  <si>
    <t>kiến thức thông thường</t>
  </si>
  <si>
    <r>
      <rPr>
        <sz val="10"/>
        <color theme="1"/>
        <rFont val="Calibri"/>
      </rPr>
      <t>这门课程讲解法律</t>
    </r>
    <r>
      <rPr>
        <b/>
        <sz val="10"/>
        <color theme="1"/>
        <rFont val="Calibri"/>
      </rPr>
      <t>常识</t>
    </r>
    <r>
      <rPr>
        <sz val="10"/>
        <color theme="1"/>
        <rFont val="Calibri"/>
      </rPr>
      <t>。</t>
    </r>
  </si>
  <si>
    <t>Khóa học này giải thích kiến thức pháp luật.</t>
  </si>
  <si>
    <t>H5_B35_BG-26.png</t>
  </si>
  <si>
    <t>B35_26.mp3</t>
  </si>
  <si>
    <t>B35_VD_26.mp3</t>
  </si>
  <si>
    <t>rễ cây</t>
  </si>
  <si>
    <r>
      <rPr>
        <sz val="10"/>
        <color theme="1"/>
        <rFont val="Calibri"/>
      </rPr>
      <t>树</t>
    </r>
    <r>
      <rPr>
        <b/>
        <sz val="10"/>
        <color theme="1"/>
        <rFont val="Calibri"/>
      </rPr>
      <t>根</t>
    </r>
    <r>
      <rPr>
        <sz val="10"/>
        <color theme="1"/>
        <rFont val="Calibri"/>
      </rPr>
      <t>是树木吸收水分和养分的地方。</t>
    </r>
  </si>
  <si>
    <t>Rễ cây là nơi cây hút nước và chất dinh dưỡng.</t>
  </si>
  <si>
    <t>H5_B35_BG-27.png</t>
  </si>
  <si>
    <t>B35_27.mp3</t>
  </si>
  <si>
    <t>B35_VD_27.mp3</t>
  </si>
  <si>
    <t>吸收</t>
  </si>
  <si>
    <t>&lt;ruby&gt;吸收&lt;rt&gt;xīshōu&lt;/rt&gt;&lt;/ruby&gt;</t>
  </si>
  <si>
    <t>xīshōu</t>
  </si>
  <si>
    <t>hấp thu, hút</t>
  </si>
  <si>
    <r>
      <rPr>
        <sz val="10"/>
        <color theme="1"/>
        <rFont val="Calibri"/>
      </rPr>
      <t>树木从土壤中</t>
    </r>
    <r>
      <rPr>
        <b/>
        <sz val="10"/>
        <color theme="1"/>
        <rFont val="Calibri"/>
      </rPr>
      <t>吸收</t>
    </r>
    <r>
      <rPr>
        <sz val="10"/>
        <color theme="1"/>
        <rFont val="Calibri"/>
      </rPr>
      <t>水分和养分。</t>
    </r>
  </si>
  <si>
    <t>Cây cối hấp thụ nước và chất dinh dưỡng ở đất.</t>
  </si>
  <si>
    <t>H5_B35_BG-28.png</t>
  </si>
  <si>
    <t>B35_28.mp3</t>
  </si>
  <si>
    <t>B35_VD_28.mp3</t>
  </si>
  <si>
    <t>成分</t>
  </si>
  <si>
    <t>&lt;ruby&gt;成分&lt;rt&gt;chéngfèn&lt;/rt&gt;&lt;/ruby&gt;</t>
  </si>
  <si>
    <t>chéngfèn</t>
  </si>
  <si>
    <t>thành phần</t>
  </si>
  <si>
    <r>
      <rPr>
        <sz val="10"/>
        <color theme="1"/>
        <rFont val="Calibri"/>
      </rPr>
      <t>这种药的</t>
    </r>
    <r>
      <rPr>
        <b/>
        <sz val="10"/>
        <color theme="1"/>
        <rFont val="Calibri"/>
      </rPr>
      <t>成分</t>
    </r>
    <r>
      <rPr>
        <sz val="10"/>
        <color theme="1"/>
        <rFont val="Calibri"/>
      </rPr>
      <t>包括抗生素和维生素。</t>
    </r>
  </si>
  <si>
    <t>Thành phần của loại thuốc này bao gồm kháng sinh và vitamin.</t>
  </si>
  <si>
    <t>H5_B35_BG-29.png</t>
  </si>
  <si>
    <t>B35_29.mp3</t>
  </si>
  <si>
    <t>B35_VD_29.mp3</t>
  </si>
  <si>
    <t>梢</t>
  </si>
  <si>
    <t>&lt;ruby&gt;梢&lt;rt&gt;shāo&lt;/rt&gt;&lt;/ruby&gt;</t>
  </si>
  <si>
    <t>shāo</t>
  </si>
  <si>
    <t>ngọn (cây)</t>
  </si>
  <si>
    <r>
      <rPr>
        <sz val="10"/>
        <color theme="1"/>
        <rFont val="Calibri"/>
      </rPr>
      <t>风吹过高高的树</t>
    </r>
    <r>
      <rPr>
        <b/>
        <sz val="10"/>
        <color theme="1"/>
        <rFont val="Calibri"/>
      </rPr>
      <t>梢</t>
    </r>
    <r>
      <rPr>
        <sz val="10"/>
        <color theme="1"/>
        <rFont val="Calibri"/>
      </rPr>
      <t>。</t>
    </r>
  </si>
  <si>
    <t>Cơn gió đã thổi qua những ngọn cây cao.</t>
  </si>
  <si>
    <t>H5_B35_BG-30.png</t>
  </si>
  <si>
    <t>B35_30.mp3</t>
  </si>
  <si>
    <t>B35_VD_30.mp3</t>
  </si>
  <si>
    <t>枝干</t>
  </si>
  <si>
    <t>&lt;ruby&gt;枝干&lt;rt&gt;zhīgàn&lt;/rt&gt;&lt;/ruby&gt;</t>
  </si>
  <si>
    <t>zhīgàn</t>
  </si>
  <si>
    <t>cành cây</t>
  </si>
  <si>
    <r>
      <rPr>
        <sz val="10"/>
        <color theme="1"/>
        <rFont val="Calibri"/>
      </rPr>
      <t>小鸟停在</t>
    </r>
    <r>
      <rPr>
        <b/>
        <sz val="10"/>
        <color theme="1"/>
        <rFont val="Calibri"/>
      </rPr>
      <t>枝干</t>
    </r>
    <r>
      <rPr>
        <sz val="10"/>
        <color theme="1"/>
        <rFont val="Calibri"/>
      </rPr>
      <t>上。</t>
    </r>
  </si>
  <si>
    <t>Mấy chú chim đang đậu trên cành cây.</t>
  </si>
  <si>
    <t>H5_B35_BG-31.png</t>
  </si>
  <si>
    <t>B35_31.mp3</t>
  </si>
  <si>
    <t>B35_VD_31.mp3</t>
  </si>
  <si>
    <t>释放</t>
  </si>
  <si>
    <t>&lt;ruby&gt;释放&lt;rt&gt;shìfàng&lt;/rt&gt;&lt;/ruby&gt;</t>
  </si>
  <si>
    <t>shìfàng</t>
  </si>
  <si>
    <t>phóng thích, tỏa ra</t>
  </si>
  <si>
    <r>
      <rPr>
        <sz val="10"/>
        <color theme="1"/>
        <rFont val="Calibri"/>
      </rPr>
      <t>核电站</t>
    </r>
    <r>
      <rPr>
        <b/>
        <sz val="10"/>
        <color theme="1"/>
        <rFont val="Calibri"/>
      </rPr>
      <t>释放</t>
    </r>
    <r>
      <rPr>
        <sz val="10"/>
        <color theme="1"/>
        <rFont val="Calibri"/>
      </rPr>
      <t>了大量能量。</t>
    </r>
  </si>
  <si>
    <t>Nhà máy điện hạt nhân đã phóng thích một lượng lớn năng lượng.</t>
  </si>
  <si>
    <t>H5_B35_BG-32.png</t>
  </si>
  <si>
    <t>B35_32.mp3</t>
  </si>
  <si>
    <t>B35_VD_32.mp3</t>
  </si>
  <si>
    <t>自动</t>
  </si>
  <si>
    <t>&lt;ruby&gt;自动&lt;rt&gt;zìdòng&lt;/rt&gt;&lt;/ruby&gt;</t>
  </si>
  <si>
    <t>zìdòng</t>
  </si>
  <si>
    <t>tự động, tự</t>
  </si>
  <si>
    <r>
      <rPr>
        <sz val="10"/>
        <color theme="1"/>
        <rFont val="Calibri"/>
      </rPr>
      <t>这辆车是</t>
    </r>
    <r>
      <rPr>
        <b/>
        <sz val="10"/>
        <color theme="1"/>
        <rFont val="Calibri"/>
      </rPr>
      <t>自动</t>
    </r>
    <r>
      <rPr>
        <sz val="10"/>
        <color theme="1"/>
        <rFont val="Calibri"/>
      </rPr>
      <t>驾驶的，不需要人操作。</t>
    </r>
  </si>
  <si>
    <t>Chiếc xe này là xe tự lái, không cần người điều khiển.</t>
  </si>
  <si>
    <t>H5_B35_BG-33.png</t>
  </si>
  <si>
    <t>B35_33.mp3</t>
  </si>
  <si>
    <t>B35_VD_33.mp3</t>
  </si>
  <si>
    <t>补充</t>
  </si>
  <si>
    <t>&lt;ruby&gt;补充&lt;rt&gt;bǔchōng&lt;/rt&gt;&lt;/ruby&gt;</t>
  </si>
  <si>
    <t>bǔchōng</t>
  </si>
  <si>
    <t>cung cấp thêm, bổ sung</t>
  </si>
  <si>
    <r>
      <rPr>
        <sz val="10"/>
        <color theme="1"/>
        <rFont val="Calibri"/>
      </rPr>
      <t>你可以通过吃水果来</t>
    </r>
    <r>
      <rPr>
        <b/>
        <sz val="10"/>
        <color theme="1"/>
        <rFont val="Calibri"/>
      </rPr>
      <t>补充</t>
    </r>
    <r>
      <rPr>
        <sz val="10"/>
        <color theme="1"/>
        <rFont val="Calibri"/>
      </rPr>
      <t>维生素。</t>
    </r>
  </si>
  <si>
    <t>Bạn có thể bổ sung vitamin bằng cách ăn trái cây.</t>
  </si>
  <si>
    <t>H5_B35_BG-34.png</t>
  </si>
  <si>
    <t>B35_34.mp3</t>
  </si>
  <si>
    <t>B35_VD_34.mp3</t>
  </si>
  <si>
    <t>抽</t>
  </si>
  <si>
    <t>&lt;ruby&gt;抽&lt;rt&gt;chōu&lt;/rt&gt;&lt;/ruby&gt;</t>
  </si>
  <si>
    <t>chōu</t>
  </si>
  <si>
    <t>rút ra, hút, bơm</t>
  </si>
  <si>
    <r>
      <rPr>
        <b/>
        <sz val="10"/>
        <color theme="1"/>
        <rFont val="Calibri"/>
      </rPr>
      <t>抽</t>
    </r>
    <r>
      <rPr>
        <sz val="10"/>
        <color theme="1"/>
        <rFont val="Calibri"/>
      </rPr>
      <t>烟对身体有害。</t>
    </r>
  </si>
  <si>
    <t>Hút thuốc có hại cho cơ thể.</t>
  </si>
  <si>
    <t>H5_B35_BG-35.png</t>
  </si>
  <si>
    <t>B35_35.mp3</t>
  </si>
  <si>
    <t>B35_VD_35.mp3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</si>
  <si>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养</t>
    </r>
    <r>
      <rPr>
        <sz val="10"/>
        <color theme="1"/>
        <rFont val="Calibri"/>
      </rPr>
      <t>了一只兔子。</t>
    </r>
  </si>
  <si>
    <t>朵</t>
  </si>
  <si>
    <t>&lt;ruby&gt;朵&lt;rt&gt;duǒ&lt;/rt&gt;&lt;/ruby&gt;</t>
  </si>
  <si>
    <t>duǒ</t>
  </si>
  <si>
    <t>đóa, đám</t>
  </si>
  <si>
    <r>
      <rPr>
        <sz val="10"/>
        <color theme="1"/>
        <rFont val="Calibri"/>
      </rPr>
      <t>这</t>
    </r>
    <r>
      <rPr>
        <b/>
        <sz val="10"/>
        <color theme="1"/>
        <rFont val="Calibri"/>
      </rPr>
      <t>朵</t>
    </r>
    <r>
      <rPr>
        <sz val="10"/>
        <color theme="1"/>
        <rFont val="Calibri"/>
      </rPr>
      <t>花真漂亮。</t>
    </r>
  </si>
  <si>
    <t>H5_B36_BG-02.png</t>
  </si>
  <si>
    <t>B36_2.mp3</t>
  </si>
  <si>
    <t>B36_VD_2.mp3</t>
  </si>
  <si>
    <t>剪刀</t>
  </si>
  <si>
    <t>&lt;ruby&gt;剪刀&lt;rt&gt;jiǎndāo&lt;/rt&gt;&lt;/ruby&gt;</t>
  </si>
  <si>
    <t>jiǎndāo</t>
  </si>
  <si>
    <t>cái kéo</t>
  </si>
  <si>
    <r>
      <rPr>
        <sz val="10"/>
        <color theme="1"/>
        <rFont val="Calibri"/>
      </rPr>
      <t>这把</t>
    </r>
    <r>
      <rPr>
        <b/>
        <sz val="10"/>
        <color theme="1"/>
        <rFont val="Calibri"/>
      </rPr>
      <t>剪刀</t>
    </r>
    <r>
      <rPr>
        <sz val="10"/>
        <color theme="1"/>
        <rFont val="Calibri"/>
      </rPr>
      <t>很锋利。</t>
    </r>
  </si>
  <si>
    <t>Cái kéo này rất sắc.</t>
  </si>
  <si>
    <t>H5_B36_BG-03.png</t>
  </si>
  <si>
    <t>B36_3.mp3</t>
  </si>
  <si>
    <t>B36_VD_3.mp3</t>
  </si>
  <si>
    <t>捡</t>
  </si>
  <si>
    <t>&lt;ruby&gt;捡&lt;rt&gt;jiǎn&lt;/rt&gt;&lt;/ruby&gt;</t>
  </si>
  <si>
    <t>jiǎn</t>
  </si>
  <si>
    <t>nhặt, lượm</t>
  </si>
  <si>
    <r>
      <rPr>
        <sz val="10"/>
        <color theme="1"/>
        <rFont val="Calibri"/>
      </rPr>
      <t>猴子们跳下来</t>
    </r>
    <r>
      <rPr>
        <b/>
        <sz val="10"/>
        <color theme="1"/>
        <rFont val="Calibri"/>
      </rPr>
      <t>捡</t>
    </r>
    <r>
      <rPr>
        <sz val="10"/>
        <color theme="1"/>
        <rFont val="Calibri"/>
      </rPr>
      <t>地上的水果。</t>
    </r>
  </si>
  <si>
    <t>Những chú khỉ nhảy xuống nhặt đống quả dưới đất.</t>
  </si>
  <si>
    <t>H5_B36_BG-04.png</t>
  </si>
  <si>
    <t>B36_4.mp3</t>
  </si>
  <si>
    <t>B36_VD_4.mp3</t>
  </si>
  <si>
    <t>暴雨</t>
  </si>
  <si>
    <t>&lt;ruby&gt;暴雨&lt;rt&gt;bàoyǔ&lt;/rt&gt;&lt;/ruby&gt;</t>
  </si>
  <si>
    <t>bàoyǔ</t>
  </si>
  <si>
    <t>mưa xối xả</t>
  </si>
  <si>
    <r>
      <rPr>
        <sz val="10"/>
        <color theme="1"/>
        <rFont val="Calibri"/>
      </rPr>
      <t>昨天晚上又下一场</t>
    </r>
    <r>
      <rPr>
        <b/>
        <sz val="10"/>
        <color theme="1"/>
        <rFont val="Calibri"/>
      </rPr>
      <t>暴雨</t>
    </r>
    <r>
      <rPr>
        <sz val="10"/>
        <color theme="1"/>
        <rFont val="Calibri"/>
      </rPr>
      <t>。</t>
    </r>
  </si>
  <si>
    <t>Tối hôm qua lại có một trận mưa to.</t>
  </si>
  <si>
    <t>H5_B36_BG-05.png</t>
  </si>
  <si>
    <t>B36_5.mp3</t>
  </si>
  <si>
    <t>B36_VD_5.mp3</t>
  </si>
  <si>
    <t>潮湿</t>
  </si>
  <si>
    <t>&lt;ruby&gt;潮湿&lt;rt&gt;cháoshī&lt;/rt&gt;&lt;/ruby&gt;</t>
  </si>
  <si>
    <t>cháoshī</t>
  </si>
  <si>
    <t>ẩm ướt, ẩm thấp, ướt</t>
  </si>
  <si>
    <r>
      <rPr>
        <sz val="10"/>
        <color theme="1"/>
        <rFont val="Calibri"/>
      </rPr>
      <t>靴子被雨水弄</t>
    </r>
    <r>
      <rPr>
        <b/>
        <sz val="10"/>
        <color theme="1"/>
        <rFont val="Calibri"/>
      </rPr>
      <t>潮湿</t>
    </r>
    <r>
      <rPr>
        <sz val="10"/>
        <color theme="1"/>
        <rFont val="Calibri"/>
      </rPr>
      <t>了。</t>
    </r>
  </si>
  <si>
    <t>Đôi ủng dính nước mưa nên bị ẩm rồi.</t>
  </si>
  <si>
    <t>H5_B36_BG-06.png</t>
  </si>
  <si>
    <t>B36_6.mp3</t>
  </si>
  <si>
    <t>B36_VD_6.mp3</t>
  </si>
  <si>
    <t>施肥</t>
  </si>
  <si>
    <t>&lt;ruby&gt;施肥&lt;rt&gt;shī féi&lt;/rt&gt;&lt;/ruby&gt;</t>
  </si>
  <si>
    <t>shī féi</t>
  </si>
  <si>
    <t>bón phân</t>
  </si>
  <si>
    <r>
      <rPr>
        <sz val="10"/>
        <color theme="1"/>
        <rFont val="Calibri"/>
      </rPr>
      <t>她正在给植物</t>
    </r>
    <r>
      <rPr>
        <b/>
        <sz val="10"/>
        <color theme="1"/>
        <rFont val="Calibri"/>
      </rPr>
      <t>施肥</t>
    </r>
    <r>
      <rPr>
        <sz val="10"/>
        <color theme="1"/>
        <rFont val="Calibri"/>
      </rPr>
      <t>。</t>
    </r>
  </si>
  <si>
    <t>Cô ấy đang bón phân cho cây trồng.</t>
  </si>
  <si>
    <t>H5_B36_BG-07.png</t>
  </si>
  <si>
    <t>B36_7.mp3</t>
  </si>
  <si>
    <t>B36_VD_7.mp3</t>
  </si>
  <si>
    <t>浇</t>
  </si>
  <si>
    <t>&lt;ruby&gt;浇&lt;rt&gt;jiāo&lt;/rt&gt;&lt;/ruby&gt;</t>
  </si>
  <si>
    <t>tưới, dội, đổ</t>
  </si>
  <si>
    <r>
      <rPr>
        <sz val="10"/>
        <color theme="1"/>
        <rFont val="Calibri"/>
      </rPr>
      <t>他每天都去</t>
    </r>
    <r>
      <rPr>
        <b/>
        <sz val="10"/>
        <color theme="1"/>
        <rFont val="Calibri"/>
      </rPr>
      <t>浇</t>
    </r>
    <r>
      <rPr>
        <sz val="10"/>
        <color theme="1"/>
        <rFont val="Calibri"/>
      </rPr>
      <t>花。</t>
    </r>
  </si>
  <si>
    <t>Anh ấy mỗi ngày đều đi tưới cây.</t>
  </si>
  <si>
    <t>H5_B36_BG-08.png</t>
  </si>
  <si>
    <t>B36_8.mp3</t>
  </si>
  <si>
    <t>B36_VD_8.mp3</t>
  </si>
  <si>
    <t>鲜艳</t>
  </si>
  <si>
    <t>&lt;ruby&gt;鲜艳&lt;rt&gt;xiānyàn&lt;/rt&gt;&lt;/ruby&gt;</t>
  </si>
  <si>
    <t>xiānyàn</t>
  </si>
  <si>
    <t>tươi đẹp</t>
  </si>
  <si>
    <r>
      <rPr>
        <sz val="10"/>
        <color theme="1"/>
        <rFont val="Calibri"/>
      </rPr>
      <t>这些花盆很</t>
    </r>
    <r>
      <rPr>
        <b/>
        <sz val="10"/>
        <color theme="1"/>
        <rFont val="Calibri"/>
      </rPr>
      <t>鲜艳</t>
    </r>
    <r>
      <rPr>
        <sz val="10"/>
        <color theme="1"/>
        <rFont val="Calibri"/>
      </rPr>
      <t>。</t>
    </r>
  </si>
  <si>
    <t>những chậu hoa này thật đẹp</t>
  </si>
  <si>
    <t>H5_B36_BG-09.png</t>
  </si>
  <si>
    <t>B36_9.mp3</t>
  </si>
  <si>
    <t>B36_VD_9.mp3</t>
  </si>
  <si>
    <t>昙花</t>
  </si>
  <si>
    <t>&lt;ruby&gt;昙花&lt;rt&gt;tánhuā&lt;/rt&gt;&lt;/ruby&gt;</t>
  </si>
  <si>
    <t>tánhuā</t>
  </si>
  <si>
    <t>hoa quỳnh</t>
  </si>
  <si>
    <r>
      <rPr>
        <sz val="10"/>
        <color theme="1"/>
        <rFont val="Calibri"/>
      </rPr>
      <t>这些</t>
    </r>
    <r>
      <rPr>
        <b/>
        <sz val="10"/>
        <color theme="1"/>
        <rFont val="Calibri"/>
      </rPr>
      <t>昙花</t>
    </r>
    <r>
      <rPr>
        <sz val="10"/>
        <color theme="1"/>
        <rFont val="Calibri"/>
      </rPr>
      <t>真漂亮。</t>
    </r>
  </si>
  <si>
    <t>Những đóa hoa quỳnh này thật đẹp.</t>
  </si>
  <si>
    <t>H5_B36_BG-10.png</t>
  </si>
  <si>
    <t>B36_10.mp3</t>
  </si>
  <si>
    <t>B36_VD_10.mp3</t>
  </si>
  <si>
    <t>菊花</t>
  </si>
  <si>
    <t>&lt;ruby&gt;菊花&lt;rt&gt;júhuā&lt;/rt&gt;&lt;/ruby&gt;</t>
  </si>
  <si>
    <t>júhuā</t>
  </si>
  <si>
    <t>cây hoa cúc, hoa cúc</t>
  </si>
  <si>
    <r>
      <rPr>
        <sz val="10"/>
        <color theme="1"/>
        <rFont val="Calibri"/>
      </rPr>
      <t>她喜欢</t>
    </r>
    <r>
      <rPr>
        <b/>
        <sz val="10"/>
        <color theme="1"/>
        <rFont val="Calibri"/>
      </rPr>
      <t>菊花</t>
    </r>
    <r>
      <rPr>
        <sz val="10"/>
        <color theme="1"/>
        <rFont val="Calibri"/>
      </rPr>
      <t>的香味。</t>
    </r>
  </si>
  <si>
    <t>Cô ấy thích hương thơm của hoa cúc.</t>
  </si>
  <si>
    <t>H5_B36_BG-11.png</t>
  </si>
  <si>
    <t>B36_11.mp3</t>
  </si>
  <si>
    <t>B36_VD_11.mp3</t>
  </si>
  <si>
    <t>砸</t>
  </si>
  <si>
    <t>&lt;ruby&gt;砸&lt;rt&gt;zá&lt;/rt&gt;&lt;/ruby&gt;</t>
  </si>
  <si>
    <t>zá</t>
  </si>
  <si>
    <t>đè nát, đè bẹp, đập</t>
  </si>
  <si>
    <r>
      <rPr>
        <sz val="10"/>
        <color theme="1"/>
        <rFont val="Calibri"/>
      </rPr>
      <t>他</t>
    </r>
    <r>
      <rPr>
        <b/>
        <sz val="10"/>
        <color theme="1"/>
        <rFont val="Calibri"/>
      </rPr>
      <t>砸</t>
    </r>
    <r>
      <rPr>
        <sz val="10"/>
        <color theme="1"/>
        <rFont val="Calibri"/>
      </rPr>
      <t>碎了那个水桶。</t>
    </r>
  </si>
  <si>
    <t>Anh ấy đập vỡ thùng nước đó.</t>
  </si>
  <si>
    <t>H5_B36_BG-12.png</t>
  </si>
  <si>
    <t>B36_12.mp3</t>
  </si>
  <si>
    <t>B36_VD_12.mp3</t>
  </si>
  <si>
    <t>熟练</t>
  </si>
  <si>
    <t>&lt;ruby&gt;熟练&lt;rt&gt;shúliàn&lt;/rt&gt;&lt;/ruby&gt;</t>
  </si>
  <si>
    <t>shúliàn</t>
  </si>
  <si>
    <t>thuần thục, thông thạo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</si>
  <si>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熟练</t>
    </r>
    <r>
      <rPr>
        <sz val="10"/>
        <color theme="1"/>
        <rFont val="Arial"/>
      </rPr>
      <t>地说多种语言。</t>
    </r>
  </si>
  <si>
    <t>Anh ấy nói thành thạo nhiều thứ tiếng.</t>
  </si>
  <si>
    <t>H5_B36_BG-13.png</t>
  </si>
  <si>
    <t>B36_13.mp3</t>
  </si>
  <si>
    <t>B36_VD_13.mp3</t>
  </si>
  <si>
    <t>除非</t>
  </si>
  <si>
    <t>&lt;ruby&gt;除非&lt;rt&gt;chúfēi&lt;/rt&gt;&lt;/ruby&gt;</t>
  </si>
  <si>
    <t>chúfēi</t>
  </si>
  <si>
    <t>trừ phi, chỉ với điều kiện là</t>
  </si>
  <si>
    <r>
      <rPr>
        <sz val="10"/>
        <color theme="1"/>
        <rFont val="Calibri"/>
      </rPr>
      <t>她不太喜欢吃沙拉，</t>
    </r>
    <r>
      <rPr>
        <b/>
        <sz val="10"/>
        <color theme="1"/>
        <rFont val="Calibri"/>
      </rPr>
      <t>除非</t>
    </r>
    <r>
      <rPr>
        <sz val="10"/>
        <color theme="1"/>
        <rFont val="Calibri"/>
      </rPr>
      <t>里面有西兰花。</t>
    </r>
  </si>
  <si>
    <t>Cô ấy không thích ăn salad lắm trừ khi món salad đó có súp lơ.</t>
  </si>
  <si>
    <t>H5_B36_BG-14.png</t>
  </si>
  <si>
    <t>B36_14.mp3</t>
  </si>
  <si>
    <t>B36_VD_14.mp3</t>
  </si>
  <si>
    <t>装饰</t>
  </si>
  <si>
    <t>&lt;ruby&gt;装饰&lt;rt&gt;zhuāngshì&lt;/rt&gt;&lt;/ruby&gt;</t>
  </si>
  <si>
    <t>zhuāngshì</t>
  </si>
  <si>
    <t>sự trang hoàng, đồ trang trí</t>
  </si>
  <si>
    <r>
      <rPr>
        <sz val="10"/>
        <color theme="1"/>
        <rFont val="Arial"/>
      </rPr>
      <t>圣诞树上</t>
    </r>
    <r>
      <rPr>
        <b/>
        <sz val="10"/>
        <color theme="1"/>
        <rFont val="Arial"/>
      </rPr>
      <t>装饰</t>
    </r>
    <r>
      <rPr>
        <sz val="10"/>
        <color theme="1"/>
        <rFont val="Arial"/>
      </rPr>
      <t>了很多饰品。</t>
    </r>
  </si>
  <si>
    <t>Cây thông noel gắn rất nhiều đồ trang trí.</t>
  </si>
  <si>
    <t>H5_B36_BG-15.png</t>
  </si>
  <si>
    <t>B36_15.mp3</t>
  </si>
  <si>
    <t>B36_VD_15.mp3</t>
  </si>
  <si>
    <t>结合</t>
  </si>
  <si>
    <t>&lt;ruby&gt;结合&lt;rt&gt;jiéhé&lt;/rt&gt;&lt;/ruby&gt;</t>
  </si>
  <si>
    <t>jiéhé</t>
  </si>
  <si>
    <t>kết hợp</t>
  </si>
  <si>
    <r>
      <rPr>
        <sz val="10"/>
        <color theme="1"/>
        <rFont val="Arial"/>
      </rPr>
      <t>他们在文艺表演中</t>
    </r>
    <r>
      <rPr>
        <b/>
        <sz val="10"/>
        <color theme="1"/>
        <rFont val="Arial"/>
      </rPr>
      <t>结合</t>
    </r>
    <r>
      <rPr>
        <sz val="10"/>
        <color theme="1"/>
        <rFont val="Arial"/>
      </rPr>
      <t>了弹琴和唱歌。</t>
    </r>
  </si>
  <si>
    <t>Hai bạn kết hợp đàn hát trong tiết mục văn nghệ.</t>
  </si>
  <si>
    <t>H5_B36_BG-16.png</t>
  </si>
  <si>
    <t>B36_16.mp3</t>
  </si>
  <si>
    <t>B36_VD_16.mp3</t>
  </si>
  <si>
    <t>紧急</t>
  </si>
  <si>
    <t>&lt;ruby&gt;紧急&lt;rt&gt;jǐnjí&lt;/rt&gt;&lt;/ruby&gt;</t>
  </si>
  <si>
    <t>jǐnjí</t>
  </si>
  <si>
    <t>khẩn cấp, cấp bách</t>
  </si>
  <si>
    <r>
      <rPr>
        <sz val="10"/>
        <color theme="1"/>
        <rFont val="Arial"/>
      </rPr>
      <t>火灾是</t>
    </r>
    <r>
      <rPr>
        <b/>
        <sz val="10"/>
        <color theme="1"/>
        <rFont val="Arial"/>
      </rPr>
      <t>紧急</t>
    </r>
    <r>
      <rPr>
        <sz val="10"/>
        <color theme="1"/>
        <rFont val="Arial"/>
      </rPr>
      <t>情况。</t>
    </r>
  </si>
  <si>
    <t>Cháy nhà là tình huống khẩn cấp.</t>
  </si>
  <si>
    <t>H5_B36_BG-17.png</t>
  </si>
  <si>
    <t>B36_17.mp3</t>
  </si>
  <si>
    <t>B36_VD_17.mp3</t>
  </si>
  <si>
    <t>劳驾</t>
  </si>
  <si>
    <t>&lt;ruby&gt;劳驾&lt;rt&gt;láo jià&lt;/rt&gt;&lt;/ruby&gt;</t>
  </si>
  <si>
    <t>láo jià</t>
  </si>
  <si>
    <t>làm phiền, cảm phiền</t>
  </si>
  <si>
    <r>
      <rPr>
        <b/>
        <sz val="10"/>
        <color theme="1"/>
        <rFont val="Arial"/>
      </rPr>
      <t>劳驾</t>
    </r>
    <r>
      <rPr>
        <sz val="10"/>
        <color theme="1"/>
        <rFont val="Arial"/>
      </rPr>
      <t>，把那本书递给我。</t>
    </r>
  </si>
  <si>
    <t>Làm phiền đưa quyển sách đó cho tôi.</t>
  </si>
  <si>
    <t>H5_B36_BG-18.png</t>
  </si>
  <si>
    <t>B36_18.mp3</t>
  </si>
  <si>
    <t>B36_VD_18.mp3</t>
  </si>
  <si>
    <t>抢救</t>
  </si>
  <si>
    <t>&lt;ruby&gt;抢救&lt;rt&gt;qiǎngjiù&lt;/rt&gt;&lt;/ruby&gt;</t>
  </si>
  <si>
    <t>qiǎngjiù</t>
  </si>
  <si>
    <t>cứu</t>
  </si>
  <si>
    <r>
      <rPr>
        <sz val="10"/>
        <color theme="1"/>
        <rFont val="Arial"/>
      </rPr>
      <t>医生正在抢</t>
    </r>
    <r>
      <rPr>
        <b/>
        <sz val="10"/>
        <color theme="1"/>
        <rFont val="Arial"/>
      </rPr>
      <t>救病</t>
    </r>
    <r>
      <rPr>
        <sz val="10"/>
        <color theme="1"/>
        <rFont val="Arial"/>
      </rPr>
      <t>人。</t>
    </r>
  </si>
  <si>
    <t>Bác sĩ đang cấp cứu bệnh nhân.</t>
  </si>
  <si>
    <t>H5_B36_BG-19.png</t>
  </si>
  <si>
    <t>B36_19.mp3</t>
  </si>
  <si>
    <t>B36_VD_19.mp3</t>
  </si>
  <si>
    <t>腰</t>
  </si>
  <si>
    <t>&lt;ruby&gt;腰&lt;rt&gt;yāo&lt;/rt&gt;&lt;/ruby&gt;</t>
  </si>
  <si>
    <t>yāo</t>
  </si>
  <si>
    <t>eo, chỗ thắt lưng</t>
  </si>
  <si>
    <r>
      <rPr>
        <sz val="10"/>
        <color theme="1"/>
        <rFont val="Arial"/>
      </rPr>
      <t>他的</t>
    </r>
    <r>
      <rPr>
        <b/>
        <sz val="10"/>
        <color theme="1"/>
        <rFont val="Arial"/>
      </rPr>
      <t>腰</t>
    </r>
    <r>
      <rPr>
        <sz val="10"/>
        <color theme="1"/>
        <rFont val="Arial"/>
      </rPr>
      <t>挺大。</t>
    </r>
  </si>
  <si>
    <t>Eo của anh ấy khá to.</t>
  </si>
  <si>
    <t>H5_B36_BG-20.png</t>
  </si>
  <si>
    <t>B36_20.mp3</t>
  </si>
  <si>
    <t>B36_VD_20.mp3</t>
  </si>
  <si>
    <t>直</t>
  </si>
  <si>
    <t>&lt;ruby&gt;直&lt;rt&gt;zhí&lt;/rt&gt;&lt;/ruby&gt;</t>
  </si>
  <si>
    <t>zhí</t>
  </si>
  <si>
    <r>
      <rPr>
        <sz val="10"/>
        <color theme="1"/>
        <rFont val="Arial"/>
      </rPr>
      <t>他一</t>
    </r>
    <r>
      <rPr>
        <b/>
        <sz val="10"/>
        <color theme="1"/>
        <rFont val="Arial"/>
      </rPr>
      <t>直</t>
    </r>
    <r>
      <rPr>
        <sz val="10"/>
        <color theme="1"/>
        <rFont val="Arial"/>
      </rPr>
      <t>努力学习。</t>
    </r>
  </si>
  <si>
    <t>Anh ấy không ngừng nỗ lực học tập.</t>
  </si>
  <si>
    <t>H5_B36_BG-21.png</t>
  </si>
  <si>
    <t>B36_21.mp3</t>
  </si>
  <si>
    <t>B36_VD_21.mp3</t>
  </si>
  <si>
    <t>不然</t>
  </si>
  <si>
    <t>&lt;ruby&gt;不然&lt;rt&gt;bùrán&lt;/rt&gt;&lt;/ruby&gt;</t>
  </si>
  <si>
    <t>bùrán</t>
  </si>
  <si>
    <r>
      <rPr>
        <sz val="10"/>
        <color theme="1"/>
        <rFont val="Arial"/>
      </rPr>
      <t>他得赶紧吃东西，</t>
    </r>
    <r>
      <rPr>
        <b/>
        <sz val="10"/>
        <color theme="1"/>
        <rFont val="Arial"/>
      </rPr>
      <t>不然</t>
    </r>
    <r>
      <rPr>
        <sz val="10"/>
        <color theme="1"/>
        <rFont val="Arial"/>
      </rPr>
      <t>胃会疼。</t>
    </r>
  </si>
  <si>
    <t>Anh ấy cần ăn ngay lập tức nếu không sẽ bị đau dạ dày.</t>
  </si>
  <si>
    <t>H5_B36_BG-22.png</t>
  </si>
  <si>
    <t>B36_22.mp3</t>
  </si>
  <si>
    <t>B36_VD_22.mp3</t>
  </si>
  <si>
    <t>保留</t>
  </si>
  <si>
    <t>&lt;ruby&gt;保留&lt;rt&gt;bǎoliú&lt;/rt&gt;&lt;/ruby&gt;</t>
  </si>
  <si>
    <t>bǎoliú</t>
  </si>
  <si>
    <t>giữ lại, để lại, bảo tồn</t>
  </si>
  <si>
    <r>
      <rPr>
        <sz val="10"/>
        <color theme="1"/>
        <rFont val="Arial"/>
      </rPr>
      <t>我们需要</t>
    </r>
    <r>
      <rPr>
        <b/>
        <sz val="10"/>
        <color theme="1"/>
        <rFont val="Arial"/>
      </rPr>
      <t>保留</t>
    </r>
    <r>
      <rPr>
        <sz val="10"/>
        <color theme="1"/>
        <rFont val="Arial"/>
      </rPr>
      <t>传统文化。</t>
    </r>
  </si>
  <si>
    <t>Chúng ta cần giữ gìn văn hóa truyền thống.</t>
  </si>
  <si>
    <t>H5_B36_BG-23.png</t>
  </si>
  <si>
    <t>B36_23.mp3</t>
  </si>
  <si>
    <t>B36_VD_23.mp3</t>
  </si>
  <si>
    <t>回报</t>
  </si>
  <si>
    <t>&lt;ruby&gt;回报&lt;rt&gt;huíbào&lt;/rt&gt;&lt;/ruby&gt;</t>
  </si>
  <si>
    <t>huíbào</t>
  </si>
  <si>
    <t>báo đáp, đền đáp</t>
  </si>
  <si>
    <r>
      <rPr>
        <sz val="10"/>
        <color theme="1"/>
        <rFont val="Arial"/>
      </rPr>
      <t>努力学习来</t>
    </r>
    <r>
      <rPr>
        <b/>
        <sz val="10"/>
        <color theme="1"/>
        <rFont val="Arial"/>
      </rPr>
      <t>回报</t>
    </r>
    <r>
      <rPr>
        <sz val="10"/>
        <color theme="1"/>
        <rFont val="Arial"/>
      </rPr>
      <t>父母。</t>
    </r>
  </si>
  <si>
    <t>Học tập chăm chỉ để đền đáp cha mẹ.</t>
  </si>
  <si>
    <t>H5_B36_BG-24.png</t>
  </si>
  <si>
    <t>B36_24.mp3</t>
  </si>
  <si>
    <t>B36_VD_24.mp3</t>
  </si>
  <si>
    <t>真理</t>
  </si>
  <si>
    <t>&lt;ruby&gt;真理&lt;rt&gt;zhēnlǐ&lt;/rt&gt;&lt;/ruby&gt;</t>
  </si>
  <si>
    <t>zhēnlǐ</t>
  </si>
  <si>
    <t>chân lý</t>
  </si>
  <si>
    <r>
      <rPr>
        <sz val="10"/>
        <color theme="1"/>
        <rFont val="Arial"/>
      </rPr>
      <t>他为了</t>
    </r>
    <r>
      <rPr>
        <b/>
        <sz val="10"/>
        <color theme="1"/>
        <rFont val="Arial"/>
      </rPr>
      <t>真理</t>
    </r>
    <r>
      <rPr>
        <sz val="10"/>
        <color theme="1"/>
        <rFont val="Arial"/>
      </rPr>
      <t>而奋斗。</t>
    </r>
  </si>
  <si>
    <t>Anh ấy đấu tranh vì chân lý.</t>
  </si>
  <si>
    <t>H5_B36_BG-25.png</t>
  </si>
  <si>
    <t>B36_25.mp3</t>
  </si>
  <si>
    <t>B36_VD_25.mp3</t>
  </si>
  <si>
    <t>应付</t>
  </si>
  <si>
    <t>&lt;ruby&gt;应付&lt;rt&gt;yìngfu&lt;/rt&gt;&lt;/ruby&gt;</t>
  </si>
  <si>
    <t>yìngfu</t>
  </si>
  <si>
    <t>ứng phó, đối phó</t>
  </si>
  <si>
    <r>
      <rPr>
        <sz val="10"/>
        <color theme="1"/>
        <rFont val="Arial"/>
      </rPr>
      <t>消防员正在</t>
    </r>
    <r>
      <rPr>
        <b/>
        <sz val="10"/>
        <color theme="1"/>
        <rFont val="Arial"/>
      </rPr>
      <t>应付</t>
    </r>
    <r>
      <rPr>
        <sz val="10"/>
        <color theme="1"/>
        <rFont val="Arial"/>
      </rPr>
      <t>火灾。</t>
    </r>
  </si>
  <si>
    <t>Lính cứu hỏa đang ứng phó với đám cháy.</t>
  </si>
  <si>
    <t>H5_B36_BG-26.png</t>
  </si>
  <si>
    <t>B36_26.mp3</t>
  </si>
  <si>
    <t>B36_VD_26.mp3</t>
  </si>
  <si>
    <t>奋斗</t>
  </si>
  <si>
    <t>&lt;ruby&gt;奋斗&lt;rt&gt;fèndòu&lt;/rt&gt;&lt;/ruby&gt;</t>
  </si>
  <si>
    <t>fèndòu</t>
  </si>
  <si>
    <t>phấn đấu, cố gắng</t>
  </si>
  <si>
    <r>
      <rPr>
        <sz val="10"/>
        <color theme="1"/>
        <rFont val="Arial"/>
      </rPr>
      <t>他为了成为职业运动员而</t>
    </r>
    <r>
      <rPr>
        <b/>
        <sz val="10"/>
        <color theme="1"/>
        <rFont val="Arial"/>
      </rPr>
      <t>奋斗</t>
    </r>
    <r>
      <rPr>
        <sz val="10"/>
        <color theme="1"/>
        <rFont val="Arial"/>
      </rPr>
      <t>。</t>
    </r>
  </si>
  <si>
    <t>Anh ấy phấn đấu vì ước mơ trở thành vận động viên chuyên nghiệp.</t>
  </si>
  <si>
    <t>H5_B36_BG-27.png</t>
  </si>
  <si>
    <t>B36_27.mp3</t>
  </si>
  <si>
    <t>B36_VD_27.mp3</t>
  </si>
  <si>
    <t>乐趣</t>
  </si>
  <si>
    <t>&lt;ruby&gt;乐趣&lt;rt&gt;lèqù&lt;/rt&gt;&lt;/ruby&gt;</t>
  </si>
  <si>
    <t>lèqù</t>
  </si>
  <si>
    <t>niềm vui</t>
  </si>
  <si>
    <r>
      <rPr>
        <sz val="10"/>
        <color theme="1"/>
        <rFont val="Arial"/>
      </rPr>
      <t>这个女孩的</t>
    </r>
    <r>
      <rPr>
        <b/>
        <sz val="10"/>
        <color theme="1"/>
        <rFont val="Arial"/>
      </rPr>
      <t>乐趣</t>
    </r>
    <r>
      <rPr>
        <sz val="10"/>
        <color theme="1"/>
        <rFont val="Arial"/>
      </rPr>
      <t>就是每天弹琴唱歌。</t>
    </r>
  </si>
  <si>
    <t>Niềm vui của cô gái chính là được đàn hát mỗi ngày.</t>
  </si>
  <si>
    <t>H5_B36_BG-28.png</t>
  </si>
  <si>
    <t>B36_28.mp3</t>
  </si>
  <si>
    <t>B36_VD_28.mp3</t>
  </si>
  <si>
    <t>在乎</t>
  </si>
  <si>
    <t>&lt;ruby&gt;在乎&lt;rt&gt;zàihu&lt;/rt&gt;&lt;/ruby&gt;</t>
  </si>
  <si>
    <t>zàihu</t>
  </si>
  <si>
    <t>để ý đến, quan tâm đến</t>
  </si>
  <si>
    <r>
      <rPr>
        <sz val="10"/>
        <color theme="1"/>
        <rFont val="Arial"/>
      </rPr>
      <t>他</t>
    </r>
    <r>
      <rPr>
        <b/>
        <sz val="10"/>
        <color theme="1"/>
        <rFont val="Arial"/>
      </rPr>
      <t>在乎</t>
    </r>
    <r>
      <rPr>
        <sz val="10"/>
        <color theme="1"/>
        <rFont val="Arial"/>
      </rPr>
      <t>植物的生长。</t>
    </r>
  </si>
  <si>
    <t>Anh ấy quan tâm đến sự phát triển của cây cối.</t>
  </si>
  <si>
    <t>H5_B36_BG-29.png</t>
  </si>
  <si>
    <t>B36_29.mp3</t>
  </si>
  <si>
    <t>B36_VD_29.mp3</t>
  </si>
  <si>
    <t>自豪</t>
  </si>
  <si>
    <t>&lt;ruby&gt;自豪&lt;rt&gt;zìháo&lt;/rt&gt;&lt;/ruby&gt;</t>
  </si>
  <si>
    <t>zìháo</t>
  </si>
  <si>
    <t>tự hào, hãnh diện</t>
  </si>
  <si>
    <r>
      <rPr>
        <sz val="10"/>
        <color theme="1"/>
        <rFont val="Arial"/>
      </rPr>
      <t>他为自己的金牌感到</t>
    </r>
    <r>
      <rPr>
        <b/>
        <sz val="10"/>
        <color theme="1"/>
        <rFont val="Arial"/>
      </rPr>
      <t>自豪</t>
    </r>
    <r>
      <rPr>
        <sz val="10"/>
        <color theme="1"/>
        <rFont val="Arial"/>
      </rPr>
      <t>。</t>
    </r>
  </si>
  <si>
    <t>Cậu ấy tự hào về huy chương vàng của mình.</t>
  </si>
  <si>
    <t>H5_B36_BG-30.png</t>
  </si>
  <si>
    <t>B36_30.mp3</t>
  </si>
  <si>
    <t>B36_VD_30.mp3</t>
  </si>
  <si>
    <t>吹</t>
  </si>
  <si>
    <t>&lt;ruby&gt;吹&lt;rt&gt;chuī&lt;/rt&gt;&lt;/ruby&gt;</t>
  </si>
  <si>
    <t>chuī</t>
  </si>
  <si>
    <t>khoe khoang, khoác lác</t>
  </si>
  <si>
    <r>
      <rPr>
        <sz val="10"/>
        <color theme="1"/>
        <rFont val="Arial"/>
      </rPr>
      <t>她</t>
    </r>
    <r>
      <rPr>
        <b/>
        <sz val="10"/>
        <color theme="1"/>
        <rFont val="Arial"/>
      </rPr>
      <t>吹</t>
    </r>
    <r>
      <rPr>
        <sz val="10"/>
        <color theme="1"/>
        <rFont val="Arial"/>
      </rPr>
      <t>嘘自己的成功。</t>
    </r>
  </si>
  <si>
    <t>Cô ấy khoe khoang thành công của mình.</t>
  </si>
  <si>
    <t>H5_B36_BG-31.png</t>
  </si>
  <si>
    <t>B36_31.mp3</t>
  </si>
  <si>
    <t>B36_VD_31.mp3</t>
  </si>
  <si>
    <t>爱心</t>
  </si>
  <si>
    <t>&lt;ruby&gt;爱心&lt;rt&gt;àixīn&lt;/rt&gt;&lt;/ruby&gt;</t>
  </si>
  <si>
    <t>àixīn</t>
  </si>
  <si>
    <t>lòng yêu thương, lòng trắc ẩn</t>
  </si>
  <si>
    <r>
      <rPr>
        <sz val="10"/>
        <color theme="1"/>
        <rFont val="Arial"/>
      </rPr>
      <t>她是一个有</t>
    </r>
    <r>
      <rPr>
        <b/>
        <sz val="10"/>
        <color theme="1"/>
        <rFont val="Arial"/>
      </rPr>
      <t>爱心</t>
    </r>
    <r>
      <rPr>
        <sz val="10"/>
        <color theme="1"/>
        <rFont val="Arial"/>
      </rPr>
      <t>的人，喜欢动物。</t>
    </r>
  </si>
  <si>
    <t>Cô ấy là người có lòng yêu thương động vật.</t>
  </si>
  <si>
    <t>H5_B36_BG-32.png</t>
  </si>
  <si>
    <t>B36_32.mp3</t>
  </si>
  <si>
    <t>B36_VD_32.mp3</t>
  </si>
  <si>
    <t>分享</t>
  </si>
  <si>
    <t>&lt;ruby&gt;分享&lt;rt&gt;fēnxiǎng&lt;/rt&gt;&lt;/ruby&gt;</t>
  </si>
  <si>
    <t>fēnxiǎng</t>
  </si>
  <si>
    <t>chia sẻ</t>
  </si>
  <si>
    <r>
      <rPr>
        <sz val="10"/>
        <color theme="1"/>
        <rFont val="Arial"/>
      </rPr>
      <t>两个小朋友</t>
    </r>
    <r>
      <rPr>
        <b/>
        <sz val="10"/>
        <color theme="1"/>
        <rFont val="Arial"/>
      </rPr>
      <t>分享</t>
    </r>
    <r>
      <rPr>
        <sz val="10"/>
        <color theme="1"/>
        <rFont val="Arial"/>
      </rPr>
      <t>玩具。</t>
    </r>
  </si>
  <si>
    <t>Hai bạn nhỏ chia sẻ đồ chơi với nhau.</t>
  </si>
  <si>
    <t>H5_B36_BG-33.png</t>
  </si>
  <si>
    <t>B36_33.mp3</t>
  </si>
  <si>
    <t>B36_VD_33.mp3</t>
  </si>
  <si>
    <t>庆祝</t>
  </si>
  <si>
    <t>&lt;ruby&gt;庆祝&lt;rt&gt;qìngzhù&lt;/rt&gt;&lt;/ruby&gt;</t>
  </si>
  <si>
    <t>qìngzhù</t>
  </si>
  <si>
    <r>
      <rPr>
        <sz val="10"/>
        <color theme="1"/>
        <rFont val="Arial"/>
      </rPr>
      <t>我们一起</t>
    </r>
    <r>
      <rPr>
        <b/>
        <sz val="10"/>
        <color theme="1"/>
        <rFont val="Arial"/>
      </rPr>
      <t>庆祝</t>
    </r>
    <r>
      <rPr>
        <sz val="10"/>
        <color theme="1"/>
        <rFont val="Arial"/>
      </rPr>
      <t>她的生日。</t>
    </r>
  </si>
  <si>
    <t>Chúng ta cùng chúc mừng sinh nhật cô ấy.</t>
  </si>
  <si>
    <t>H5_B36_BG-34.png</t>
  </si>
  <si>
    <t>B36_34.mp3</t>
  </si>
  <si>
    <t>B36_VD_34.mp3</t>
  </si>
  <si>
    <t>悲（伤）</t>
  </si>
  <si>
    <t>&lt;ruby&gt;悲（伤）&lt;rt&gt;bēi (shāng)&lt;/rt&gt;&lt;/ruby&gt;</t>
  </si>
  <si>
    <t>bēi (shāng)</t>
  </si>
  <si>
    <t>đau khổ, buồn phiền</t>
  </si>
  <si>
    <r>
      <rPr>
        <sz val="10"/>
        <color theme="1"/>
        <rFont val="Arial"/>
      </rPr>
      <t>她很</t>
    </r>
    <r>
      <rPr>
        <b/>
        <sz val="10"/>
        <color theme="1"/>
        <rFont val="Arial"/>
      </rPr>
      <t>悲伤</t>
    </r>
    <r>
      <rPr>
        <sz val="10"/>
        <color theme="1"/>
        <rFont val="Arial"/>
      </rPr>
      <t>。</t>
    </r>
  </si>
  <si>
    <t>Cô ấy đang rất đau khổ.</t>
  </si>
  <si>
    <t>H5_B36_BG-35.png</t>
  </si>
  <si>
    <t>B36_35.mp3</t>
  </si>
  <si>
    <t>B36_VD_35.mp3</t>
  </si>
  <si>
    <t>反正</t>
  </si>
  <si>
    <t>&lt;ruby&gt;反正&lt;rt&gt;fǎnzhèng&lt;/rt&gt;&lt;/ruby&gt;</t>
  </si>
  <si>
    <t>fǎnzhèng</t>
  </si>
  <si>
    <t>(được dùng để chỉ kết quả như nhau bất chấp các tình huống khác nhau) dù sao cũng, dù thế nào đi nữa (cũng)</t>
  </si>
  <si>
    <r>
      <rPr>
        <b/>
        <sz val="10"/>
        <color theme="1"/>
        <rFont val="Arial"/>
      </rPr>
      <t>反正</t>
    </r>
    <r>
      <rPr>
        <sz val="10"/>
        <color theme="1"/>
        <rFont val="Arial"/>
      </rPr>
      <t>也迟到了，所以她还是悠闲地梳头。</t>
    </r>
  </si>
  <si>
    <t>Dù sao thì cũng muộn học rồi nên cô ấy vẫn ung dung chải tóc.</t>
  </si>
  <si>
    <t>H5_B36_BG-36.png</t>
  </si>
  <si>
    <t>B36_36.mp3</t>
  </si>
  <si>
    <t>B36_VD_36.mp3</t>
  </si>
  <si>
    <t>热爱</t>
  </si>
  <si>
    <t>&lt;ruby&gt;热爱&lt;rt&gt;rè'ài&lt;/rt&gt;&lt;/ruby&gt;</t>
  </si>
  <si>
    <t>rè'ài</t>
  </si>
  <si>
    <t>yêu tha thiết</t>
  </si>
  <si>
    <r>
      <rPr>
        <sz val="10"/>
        <color theme="1"/>
        <rFont val="Arial"/>
      </rPr>
      <t>小明</t>
    </r>
    <r>
      <rPr>
        <b/>
        <sz val="10"/>
        <color theme="1"/>
        <rFont val="Arial"/>
      </rPr>
      <t>热爱</t>
    </r>
    <r>
      <rPr>
        <sz val="10"/>
        <color theme="1"/>
        <rFont val="Arial"/>
      </rPr>
      <t>阅读各种书籍。</t>
    </r>
  </si>
  <si>
    <t>Tiểu Minh thích đọc mọi loại sách.</t>
  </si>
  <si>
    <t>H5_B36_BG-37.png</t>
  </si>
  <si>
    <t>B36_37.mp3</t>
  </si>
  <si>
    <t>B36_VD_37.mp3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</si>
</sst>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0000FF"/>
      <name val="Arial"/>
    </font>
    <font>
      <u/>
      <sz val="11"/>
      <color rgb="FF0563C1"/>
      <name val="Arial"/>
    </font>
    <font>
      <sz val="19"/>
      <color rgb="FFFF0000"/>
      <name val="Calibri"/>
    </font>
    <font>
      <sz val="10"/>
      <color theme="1"/>
      <name val="Arial"/>
      <scheme val="minor"/>
    </font>
    <font>
      <b/>
      <sz val="11"/>
      <color rgb="FF000000"/>
      <name val="Times New Roman"/>
    </font>
    <font>
      <b/>
      <sz val="10"/>
      <color theme="1"/>
      <name val="Times New Roman"/>
    </font>
    <font>
      <sz val="11"/>
      <color rgb="FF000000"/>
      <name val="Times New Roman"/>
    </font>
    <font>
      <sz val="10"/>
      <color rgb="FF000000"/>
      <name val="Times New Roman"/>
    </font>
    <font>
      <sz val="10"/>
      <color theme="1"/>
      <name val="Times New Roman"/>
    </font>
    <font>
      <sz val="10"/>
      <name val="Arial"/>
    </font>
    <font>
      <b/>
      <sz val="11"/>
      <color rgb="FF000000"/>
      <name val="Calibri"/>
    </font>
    <font>
      <sz val="11"/>
      <color theme="1"/>
      <name val="Times New Roman"/>
    </font>
    <font>
      <sz val="10"/>
      <color rgb="FF0E0E0E"/>
      <name val="Arial"/>
      <scheme val="minor"/>
    </font>
    <font>
      <sz val="12"/>
      <color rgb="FF000000"/>
      <name val="Times New Roman"/>
    </font>
    <font>
      <sz val="10"/>
      <color theme="1"/>
      <name val="Calibri"/>
    </font>
    <font>
      <sz val="11"/>
      <color rgb="FF000000"/>
      <name val="Calibri"/>
    </font>
    <font>
      <sz val="10"/>
      <color rgb="FF0E0E0E"/>
      <name val="Calibri"/>
    </font>
    <font>
      <sz val="10"/>
      <color rgb="FF0E0E0E"/>
      <name val="Times New Roman"/>
    </font>
    <font>
      <sz val="10"/>
      <color rgb="FF000000"/>
      <name val="Times New Roman"/>
    </font>
    <font>
      <sz val="11"/>
      <color rgb="FF666666"/>
      <name val="Times New Roman"/>
    </font>
    <font>
      <sz val="10"/>
      <color rgb="FF000000"/>
      <name val="Arial"/>
      <scheme val="minor"/>
    </font>
    <font>
      <sz val="10"/>
      <color rgb="FF000000"/>
      <name val="Calibri"/>
    </font>
    <font>
      <sz val="11"/>
      <color rgb="FF0E0E0E"/>
      <name val="Times New Roman"/>
    </font>
    <font>
      <sz val="11"/>
      <color rgb="FF363636"/>
      <name val="Times New Roman"/>
    </font>
    <font>
      <sz val="12"/>
      <color rgb="FF363636"/>
      <name val="Chalkboardseregular"/>
    </font>
    <font>
      <sz val="11"/>
      <color rgb="FF1F1F1F"/>
      <name val="Times New Roman"/>
    </font>
    <font>
      <b/>
      <sz val="11"/>
      <color rgb="FF000000"/>
      <name val="Arial"/>
      <scheme val="minor"/>
    </font>
    <font>
      <b/>
      <sz val="12"/>
      <color rgb="FF000000"/>
      <name val="Times New Roman"/>
    </font>
    <font>
      <sz val="11"/>
      <color rgb="FF000000"/>
      <name val="Arial"/>
      <scheme val="minor"/>
    </font>
    <font>
      <sz val="11"/>
      <color rgb="FF000000"/>
      <name val="&quot;Google Sans Text&quot;"/>
    </font>
    <font>
      <sz val="12"/>
      <color theme="1"/>
      <name val="Times New Roman"/>
    </font>
    <font>
      <sz val="12"/>
      <color rgb="FF000000"/>
      <name val="Calibri"/>
    </font>
    <font>
      <sz val="12"/>
      <color rgb="FF363636"/>
      <name val="Times New Roman"/>
    </font>
    <font>
      <sz val="10"/>
      <color rgb="FF000000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2"/>
      <color theme="1"/>
      <name val="Calibri"/>
    </font>
    <font>
      <b/>
      <u/>
      <sz val="11"/>
      <color rgb="FF1155CC"/>
      <name val="Arial"/>
    </font>
    <font>
      <b/>
      <u/>
      <sz val="11"/>
      <color rgb="FFFF0000"/>
      <name val="Arial"/>
    </font>
    <font>
      <sz val="11"/>
      <name val="Arial"/>
    </font>
    <font>
      <b/>
      <sz val="11"/>
      <color rgb="FFFF0000"/>
      <name val="Arial"/>
    </font>
    <font>
      <b/>
      <sz val="11"/>
      <color theme="1"/>
      <name val="Calibri"/>
    </font>
    <font>
      <b/>
      <sz val="10"/>
      <color theme="1"/>
      <name val="Calibri"/>
    </font>
    <font>
      <sz val="10"/>
      <color rgb="FF0E0E0E"/>
      <name val="Arial"/>
    </font>
    <font>
      <b/>
      <sz val="10"/>
      <color rgb="FF0E0E0E"/>
      <name val="Arial"/>
    </font>
    <font>
      <b/>
      <sz val="10"/>
      <color rgb="FF0E0E0E"/>
      <name val="Calibri"/>
    </font>
    <font>
      <b/>
      <sz val="12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Calibri"/>
    </font>
    <font>
      <i/>
      <sz val="11"/>
      <color rgb="FF000000"/>
      <name val="Times New Roman"/>
    </font>
    <font>
      <i/>
      <sz val="10"/>
      <color theme="1"/>
      <name val="Times New Roman"/>
    </font>
    <font>
      <b/>
      <sz val="11"/>
      <color theme="1"/>
      <name val="Times New Roman"/>
    </font>
    <font>
      <b/>
      <sz val="11"/>
      <color rgb="FF0E0E0E"/>
      <name val="Times New Roman"/>
    </font>
    <font>
      <b/>
      <sz val="11"/>
      <color rgb="FF363636"/>
      <name val="Times New Roman"/>
    </font>
    <font>
      <b/>
      <sz val="10"/>
      <color rgb="FF0E0E0E"/>
      <name val="Times New Roman"/>
    </font>
    <font>
      <sz val="12"/>
      <color rgb="FF363636"/>
      <name val="Arial"/>
    </font>
    <font>
      <b/>
      <sz val="12"/>
      <color rgb="FF363636"/>
      <name val="Arial"/>
    </font>
    <font>
      <b/>
      <sz val="12"/>
      <color theme="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  <fill>
      <patternFill patternType="solid">
        <fgColor rgb="FF53BB24"/>
        <bgColor rgb="FF53BB24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3" borderId="0" xfId="0" applyFont="1" applyFill="1" applyAlignment="1">
      <alignment wrapText="1"/>
    </xf>
    <xf numFmtId="0" fontId="1" fillId="3" borderId="0" xfId="0" applyFont="1" applyFill="1"/>
    <xf numFmtId="0" fontId="3" fillId="4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9" fillId="0" borderId="0" xfId="0" applyFont="1"/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" fillId="11" borderId="1" xfId="0" applyFont="1" applyFill="1" applyBorder="1"/>
    <xf numFmtId="0" fontId="12" fillId="11" borderId="1" xfId="0" applyFont="1" applyFill="1" applyBorder="1" applyAlignment="1">
      <alignment vertical="center"/>
    </xf>
    <xf numFmtId="0" fontId="14" fillId="11" borderId="1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Font="1" applyBorder="1"/>
    <xf numFmtId="0" fontId="12" fillId="3" borderId="1" xfId="0" applyFont="1" applyFill="1" applyBorder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17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4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vertical="center"/>
    </xf>
    <xf numFmtId="0" fontId="17" fillId="11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21" fillId="3" borderId="1" xfId="0" applyFont="1" applyFill="1" applyBorder="1" applyAlignment="1">
      <alignment vertical="center"/>
    </xf>
    <xf numFmtId="0" fontId="21" fillId="11" borderId="1" xfId="0" applyFont="1" applyFill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0" fillId="11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0" xfId="0" applyFont="1" applyAlignment="1">
      <alignment horizontal="center"/>
    </xf>
    <xf numFmtId="0" fontId="17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vertical="center"/>
    </xf>
    <xf numFmtId="0" fontId="1" fillId="7" borderId="1" xfId="0" applyFont="1" applyFill="1" applyBorder="1"/>
    <xf numFmtId="0" fontId="12" fillId="7" borderId="1" xfId="0" applyFont="1" applyFill="1" applyBorder="1" applyAlignment="1">
      <alignment vertical="center"/>
    </xf>
    <xf numFmtId="0" fontId="1" fillId="3" borderId="1" xfId="0" applyFont="1" applyFill="1" applyBorder="1"/>
    <xf numFmtId="0" fontId="14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0" fontId="9" fillId="3" borderId="0" xfId="0" applyFont="1" applyFill="1"/>
    <xf numFmtId="0" fontId="23" fillId="3" borderId="1" xfId="0" applyFont="1" applyFill="1" applyBorder="1" applyAlignment="1">
      <alignment vertical="center"/>
    </xf>
    <xf numFmtId="0" fontId="25" fillId="3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vertical="center"/>
    </xf>
    <xf numFmtId="0" fontId="25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14" fillId="3" borderId="1" xfId="0" applyFont="1" applyFill="1" applyBorder="1"/>
    <xf numFmtId="0" fontId="12" fillId="10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left" wrapText="1"/>
    </xf>
    <xf numFmtId="0" fontId="16" fillId="5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17" fillId="11" borderId="1" xfId="0" applyFont="1" applyFill="1" applyBorder="1" applyAlignment="1">
      <alignment horizontal="center"/>
    </xf>
    <xf numFmtId="0" fontId="17" fillId="11" borderId="1" xfId="0" applyFont="1" applyFill="1" applyBorder="1"/>
    <xf numFmtId="0" fontId="12" fillId="11" borderId="1" xfId="0" applyFont="1" applyFill="1" applyBorder="1"/>
    <xf numFmtId="0" fontId="12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0" fontId="12" fillId="3" borderId="1" xfId="0" applyFont="1" applyFill="1" applyBorder="1"/>
    <xf numFmtId="0" fontId="20" fillId="0" borderId="1" xfId="0" applyFont="1" applyBorder="1"/>
    <xf numFmtId="0" fontId="9" fillId="0" borderId="1" xfId="0" applyFont="1" applyBorder="1"/>
    <xf numFmtId="0" fontId="14" fillId="11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21" fillId="3" borderId="1" xfId="0" applyFont="1" applyFill="1" applyBorder="1"/>
    <xf numFmtId="0" fontId="14" fillId="3" borderId="1" xfId="0" applyFont="1" applyFill="1" applyBorder="1" applyAlignment="1">
      <alignment horizontal="center"/>
    </xf>
    <xf numFmtId="0" fontId="18" fillId="3" borderId="1" xfId="0" applyFont="1" applyFill="1" applyBorder="1"/>
    <xf numFmtId="0" fontId="22" fillId="0" borderId="1" xfId="0" applyFont="1" applyBorder="1"/>
    <xf numFmtId="0" fontId="18" fillId="0" borderId="1" xfId="0" applyFont="1" applyBorder="1"/>
    <xf numFmtId="0" fontId="18" fillId="0" borderId="0" xfId="0" applyFont="1"/>
    <xf numFmtId="0" fontId="14" fillId="11" borderId="1" xfId="0" applyFont="1" applyFill="1" applyBorder="1"/>
    <xf numFmtId="0" fontId="20" fillId="11" borderId="1" xfId="0" applyFont="1" applyFill="1" applyBorder="1"/>
    <xf numFmtId="0" fontId="14" fillId="0" borderId="1" xfId="0" applyFont="1" applyBorder="1"/>
    <xf numFmtId="0" fontId="20" fillId="3" borderId="1" xfId="0" applyFont="1" applyFill="1" applyBorder="1"/>
    <xf numFmtId="0" fontId="12" fillId="0" borderId="1" xfId="0" applyFont="1" applyBorder="1"/>
    <xf numFmtId="0" fontId="19" fillId="3" borderId="0" xfId="0" applyFont="1" applyFill="1"/>
    <xf numFmtId="0" fontId="17" fillId="3" borderId="1" xfId="0" applyFont="1" applyFill="1" applyBorder="1"/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/>
    </xf>
    <xf numFmtId="0" fontId="9" fillId="3" borderId="1" xfId="0" applyFont="1" applyFill="1" applyBorder="1"/>
    <xf numFmtId="0" fontId="21" fillId="11" borderId="1" xfId="0" applyFont="1" applyFill="1" applyBorder="1"/>
    <xf numFmtId="0" fontId="12" fillId="5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vertical="center"/>
    </xf>
    <xf numFmtId="0" fontId="22" fillId="3" borderId="1" xfId="0" applyFont="1" applyFill="1" applyBorder="1" applyAlignment="1">
      <alignment vertical="center"/>
    </xf>
    <xf numFmtId="0" fontId="27" fillId="3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left"/>
    </xf>
    <xf numFmtId="0" fontId="14" fillId="7" borderId="1" xfId="0" applyFont="1" applyFill="1" applyBorder="1"/>
    <xf numFmtId="0" fontId="20" fillId="7" borderId="1" xfId="0" applyFont="1" applyFill="1" applyBorder="1"/>
    <xf numFmtId="0" fontId="12" fillId="7" borderId="1" xfId="0" applyFont="1" applyFill="1" applyBorder="1"/>
    <xf numFmtId="0" fontId="14" fillId="0" borderId="1" xfId="0" applyFont="1" applyBorder="1" applyAlignment="1">
      <alignment horizontal="left"/>
    </xf>
    <xf numFmtId="0" fontId="14" fillId="0" borderId="0" xfId="0" applyFont="1"/>
    <xf numFmtId="0" fontId="23" fillId="0" borderId="0" xfId="0" applyFont="1"/>
    <xf numFmtId="0" fontId="23" fillId="0" borderId="1" xfId="0" applyFont="1" applyBorder="1"/>
    <xf numFmtId="0" fontId="12" fillId="7" borderId="1" xfId="0" applyFont="1" applyFill="1" applyBorder="1" applyAlignment="1">
      <alignment horizontal="left" wrapText="1"/>
    </xf>
    <xf numFmtId="0" fontId="14" fillId="7" borderId="0" xfId="0" applyFont="1" applyFill="1"/>
    <xf numFmtId="0" fontId="17" fillId="7" borderId="1" xfId="0" applyFont="1" applyFill="1" applyBorder="1"/>
    <xf numFmtId="0" fontId="20" fillId="7" borderId="0" xfId="0" applyFont="1" applyFill="1"/>
    <xf numFmtId="0" fontId="19" fillId="3" borderId="1" xfId="0" applyFont="1" applyFill="1" applyBorder="1"/>
    <xf numFmtId="0" fontId="19" fillId="7" borderId="1" xfId="0" applyFont="1" applyFill="1" applyBorder="1"/>
    <xf numFmtId="0" fontId="21" fillId="7" borderId="1" xfId="0" applyFont="1" applyFill="1" applyBorder="1"/>
    <xf numFmtId="0" fontId="25" fillId="7" borderId="1" xfId="0" applyFont="1" applyFill="1" applyBorder="1"/>
    <xf numFmtId="0" fontId="27" fillId="7" borderId="1" xfId="0" applyFont="1" applyFill="1" applyBorder="1"/>
    <xf numFmtId="0" fontId="26" fillId="7" borderId="1" xfId="0" applyFont="1" applyFill="1" applyBorder="1"/>
    <xf numFmtId="0" fontId="25" fillId="3" borderId="1" xfId="0" applyFont="1" applyFill="1" applyBorder="1"/>
    <xf numFmtId="0" fontId="27" fillId="0" borderId="0" xfId="0" applyFont="1"/>
    <xf numFmtId="0" fontId="26" fillId="0" borderId="1" xfId="0" applyFont="1" applyBorder="1"/>
    <xf numFmtId="0" fontId="27" fillId="0" borderId="1" xfId="0" applyFont="1" applyBorder="1"/>
    <xf numFmtId="0" fontId="27" fillId="3" borderId="0" xfId="0" applyFont="1" applyFill="1"/>
    <xf numFmtId="0" fontId="26" fillId="3" borderId="0" xfId="0" applyFont="1" applyFill="1"/>
    <xf numFmtId="0" fontId="27" fillId="3" borderId="1" xfId="0" applyFont="1" applyFill="1" applyBorder="1"/>
    <xf numFmtId="0" fontId="26" fillId="3" borderId="1" xfId="0" applyFont="1" applyFill="1" applyBorder="1"/>
    <xf numFmtId="0" fontId="9" fillId="7" borderId="1" xfId="0" applyFont="1" applyFill="1" applyBorder="1"/>
    <xf numFmtId="0" fontId="12" fillId="12" borderId="1" xfId="0" applyFont="1" applyFill="1" applyBorder="1" applyAlignment="1">
      <alignment horizontal="center"/>
    </xf>
    <xf numFmtId="0" fontId="14" fillId="12" borderId="1" xfId="0" applyFont="1" applyFill="1" applyBorder="1"/>
    <xf numFmtId="0" fontId="21" fillId="12" borderId="1" xfId="0" applyFont="1" applyFill="1" applyBorder="1"/>
    <xf numFmtId="0" fontId="12" fillId="12" borderId="1" xfId="0" applyFont="1" applyFill="1" applyBorder="1"/>
    <xf numFmtId="0" fontId="12" fillId="13" borderId="1" xfId="0" applyFont="1" applyFill="1" applyBorder="1"/>
    <xf numFmtId="0" fontId="12" fillId="13" borderId="1" xfId="0" applyFont="1" applyFill="1" applyBorder="1" applyAlignment="1">
      <alignment horizontal="center" wrapText="1"/>
    </xf>
    <xf numFmtId="0" fontId="17" fillId="13" borderId="1" xfId="0" applyFont="1" applyFill="1" applyBorder="1"/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8" fillId="0" borderId="1" xfId="0" applyFont="1" applyBorder="1"/>
    <xf numFmtId="0" fontId="12" fillId="13" borderId="1" xfId="0" applyFont="1" applyFill="1" applyBorder="1" applyAlignment="1">
      <alignment horizontal="center" vertical="center"/>
    </xf>
    <xf numFmtId="0" fontId="12" fillId="14" borderId="1" xfId="0" applyFont="1" applyFill="1" applyBorder="1"/>
    <xf numFmtId="0" fontId="29" fillId="3" borderId="1" xfId="0" applyFont="1" applyFill="1" applyBorder="1"/>
    <xf numFmtId="0" fontId="28" fillId="3" borderId="1" xfId="0" applyFont="1" applyFill="1" applyBorder="1"/>
    <xf numFmtId="0" fontId="12" fillId="3" borderId="1" xfId="0" applyFont="1" applyFill="1" applyBorder="1" applyAlignment="1">
      <alignment wrapText="1"/>
    </xf>
    <xf numFmtId="0" fontId="12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 wrapText="1"/>
    </xf>
    <xf numFmtId="0" fontId="17" fillId="3" borderId="1" xfId="0" applyFont="1" applyFill="1" applyBorder="1" applyAlignment="1">
      <alignment horizontal="center" wrapText="1"/>
    </xf>
    <xf numFmtId="0" fontId="17" fillId="13" borderId="1" xfId="0" applyFont="1" applyFill="1" applyBorder="1" applyAlignment="1">
      <alignment horizontal="center" wrapText="1"/>
    </xf>
    <xf numFmtId="0" fontId="12" fillId="13" borderId="1" xfId="0" applyFont="1" applyFill="1" applyBorder="1" applyAlignment="1">
      <alignment horizontal="left"/>
    </xf>
    <xf numFmtId="0" fontId="17" fillId="0" borderId="0" xfId="0" applyFont="1"/>
    <xf numFmtId="0" fontId="30" fillId="3" borderId="1" xfId="0" applyFont="1" applyFill="1" applyBorder="1"/>
    <xf numFmtId="0" fontId="14" fillId="13" borderId="1" xfId="0" applyFont="1" applyFill="1" applyBorder="1" applyAlignment="1">
      <alignment horizontal="center"/>
    </xf>
    <xf numFmtId="0" fontId="13" fillId="0" borderId="1" xfId="0" applyFont="1" applyBorder="1"/>
    <xf numFmtId="0" fontId="13" fillId="7" borderId="1" xfId="0" applyFont="1" applyFill="1" applyBorder="1"/>
    <xf numFmtId="0" fontId="23" fillId="7" borderId="1" xfId="0" applyFont="1" applyFill="1" applyBorder="1"/>
    <xf numFmtId="0" fontId="31" fillId="3" borderId="1" xfId="0" applyFont="1" applyFill="1" applyBorder="1"/>
    <xf numFmtId="0" fontId="32" fillId="5" borderId="1" xfId="0" applyFont="1" applyFill="1" applyBorder="1" applyAlignment="1">
      <alignment horizontal="left"/>
    </xf>
    <xf numFmtId="0" fontId="33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left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left"/>
    </xf>
    <xf numFmtId="0" fontId="9" fillId="4" borderId="1" xfId="0" applyFont="1" applyFill="1" applyBorder="1"/>
    <xf numFmtId="0" fontId="19" fillId="3" borderId="1" xfId="0" applyFont="1" applyFill="1" applyBorder="1" applyAlignment="1">
      <alignment horizontal="center" wrapText="1"/>
    </xf>
    <xf numFmtId="0" fontId="34" fillId="3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6" fillId="4" borderId="1" xfId="0" applyFont="1" applyFill="1" applyBorder="1" applyAlignment="1">
      <alignment horizontal="left"/>
    </xf>
    <xf numFmtId="0" fontId="27" fillId="4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26" fillId="3" borderId="1" xfId="0" applyFont="1" applyFill="1" applyBorder="1" applyAlignment="1">
      <alignment horizontal="left"/>
    </xf>
    <xf numFmtId="0" fontId="27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0" fontId="34" fillId="4" borderId="1" xfId="0" applyFont="1" applyFill="1" applyBorder="1" applyAlignment="1">
      <alignment horizontal="left"/>
    </xf>
    <xf numFmtId="0" fontId="21" fillId="4" borderId="1" xfId="0" applyFont="1" applyFill="1" applyBorder="1" applyAlignment="1">
      <alignment horizontal="left"/>
    </xf>
    <xf numFmtId="0" fontId="18" fillId="4" borderId="1" xfId="0" applyFont="1" applyFill="1" applyBorder="1"/>
    <xf numFmtId="0" fontId="19" fillId="0" borderId="1" xfId="0" applyFont="1" applyBorder="1" applyAlignment="1">
      <alignment horizontal="center" vertical="center"/>
    </xf>
    <xf numFmtId="0" fontId="19" fillId="15" borderId="1" xfId="0" applyFont="1" applyFill="1" applyBorder="1" applyAlignment="1">
      <alignment horizontal="center" wrapText="1"/>
    </xf>
    <xf numFmtId="0" fontId="34" fillId="15" borderId="1" xfId="0" applyFont="1" applyFill="1" applyBorder="1" applyAlignment="1">
      <alignment horizontal="left"/>
    </xf>
    <xf numFmtId="0" fontId="19" fillId="15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left"/>
    </xf>
    <xf numFmtId="0" fontId="12" fillId="15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34" fillId="3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/>
    </xf>
    <xf numFmtId="0" fontId="34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33" fillId="0" borderId="1" xfId="0" applyFont="1" applyBorder="1" applyAlignment="1">
      <alignment horizontal="center" wrapText="1"/>
    </xf>
    <xf numFmtId="0" fontId="34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9" fillId="3" borderId="1" xfId="0" applyFont="1" applyFill="1" applyBorder="1" applyAlignment="1">
      <alignment horizontal="left"/>
    </xf>
    <xf numFmtId="0" fontId="20" fillId="3" borderId="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35" fillId="3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33" fillId="3" borderId="1" xfId="0" applyFont="1" applyFill="1" applyBorder="1" applyAlignment="1">
      <alignment horizontal="center" wrapText="1"/>
    </xf>
    <xf numFmtId="0" fontId="33" fillId="4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left" vertical="center"/>
    </xf>
    <xf numFmtId="0" fontId="12" fillId="16" borderId="1" xfId="0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 wrapText="1"/>
    </xf>
    <xf numFmtId="0" fontId="36" fillId="0" borderId="1" xfId="0" applyFont="1" applyBorder="1" applyAlignment="1">
      <alignment horizontal="center" wrapText="1"/>
    </xf>
    <xf numFmtId="0" fontId="36" fillId="3" borderId="1" xfId="0" applyFont="1" applyFill="1" applyBorder="1" applyAlignment="1">
      <alignment horizontal="center" wrapText="1"/>
    </xf>
    <xf numFmtId="0" fontId="36" fillId="3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 wrapText="1"/>
    </xf>
    <xf numFmtId="0" fontId="18" fillId="3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center"/>
    </xf>
    <xf numFmtId="0" fontId="14" fillId="4" borderId="1" xfId="0" applyFont="1" applyFill="1" applyBorder="1"/>
    <xf numFmtId="0" fontId="19" fillId="4" borderId="1" xfId="0" applyFont="1" applyFill="1" applyBorder="1" applyAlignment="1">
      <alignment horizontal="center"/>
    </xf>
    <xf numFmtId="0" fontId="37" fillId="4" borderId="1" xfId="0" applyFont="1" applyFill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6" fillId="4" borderId="1" xfId="0" applyFont="1" applyFill="1" applyBorder="1" applyAlignment="1">
      <alignment horizontal="center"/>
    </xf>
    <xf numFmtId="0" fontId="36" fillId="0" borderId="1" xfId="0" applyFont="1" applyBorder="1"/>
    <xf numFmtId="0" fontId="38" fillId="3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39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9" fillId="0" borderId="1" xfId="0" applyFont="1" applyBorder="1" applyAlignment="1">
      <alignment horizontal="left"/>
    </xf>
    <xf numFmtId="0" fontId="24" fillId="3" borderId="1" xfId="0" applyFont="1" applyFill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39" fillId="3" borderId="0" xfId="0" applyFont="1" applyFill="1" applyAlignment="1">
      <alignment horizontal="left"/>
    </xf>
    <xf numFmtId="0" fontId="12" fillId="4" borderId="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left"/>
    </xf>
    <xf numFmtId="0" fontId="4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40" fillId="0" borderId="1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12" fillId="8" borderId="1" xfId="0" applyFont="1" applyFill="1" applyBorder="1" applyAlignment="1">
      <alignment horizontal="center"/>
    </xf>
    <xf numFmtId="0" fontId="42" fillId="4" borderId="1" xfId="0" applyFont="1" applyFill="1" applyBorder="1" applyAlignment="1">
      <alignment horizontal="left"/>
    </xf>
    <xf numFmtId="0" fontId="17" fillId="8" borderId="1" xfId="0" applyFont="1" applyFill="1" applyBorder="1" applyAlignment="1">
      <alignment horizontal="center"/>
    </xf>
    <xf numFmtId="0" fontId="42" fillId="3" borderId="1" xfId="0" applyFont="1" applyFill="1" applyBorder="1" applyAlignment="1">
      <alignment horizontal="left"/>
    </xf>
    <xf numFmtId="0" fontId="42" fillId="3" borderId="0" xfId="0" applyFont="1" applyFill="1" applyAlignment="1">
      <alignment horizontal="left"/>
    </xf>
    <xf numFmtId="0" fontId="8" fillId="0" borderId="0" xfId="0" applyFont="1"/>
    <xf numFmtId="0" fontId="0" fillId="0" borderId="0" xfId="0"/>
    <xf numFmtId="0" fontId="9" fillId="9" borderId="2" xfId="0" applyFont="1" applyFill="1" applyBorder="1" applyAlignment="1">
      <alignment horizontal="center" vertical="center"/>
    </xf>
    <xf numFmtId="0" fontId="15" fillId="0" borderId="3" xfId="0" applyFont="1" applyBorder="1"/>
    <xf numFmtId="0" fontId="15" fillId="0" borderId="4" xfId="0" applyFont="1" applyBorder="1"/>
    <xf numFmtId="0" fontId="17" fillId="4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137160</xdr:colOff>
      <xdr:row>61</xdr:row>
      <xdr:rowOff>91440</xdr:rowOff>
    </xdr:from>
    <xdr:to>
      <xdr:col>15</xdr:col>
      <xdr:colOff>137160</xdr:colOff>
      <xdr:row>67</xdr:row>
      <xdr:rowOff>38100</xdr:rowOff>
    </xdr:to>
    <xdr:sp macro="" textlink="">
      <xdr:nvSpPr>
        <xdr:cNvPr id="2066" name="Text Box 18" hidden="1">
          <a:extLst>
            <a:ext uri="{FF2B5EF4-FFF2-40B4-BE49-F238E27FC236}">
              <a16:creationId xmlns:a16="http://schemas.microsoft.com/office/drawing/2014/main" id="{AEFEAD3E-D508-7F51-3800-3E6114DB7117}"/>
            </a:ext>
          </a:extLst>
        </xdr:cNvPr>
        <xdr:cNvSpPr txBox="1">
          <a:spLocks noChangeArrowheads="1"/>
        </xdr:cNvSpPr>
      </xdr:nvSpPr>
      <xdr:spPr bwMode="auto">
        <a:xfrm>
          <a:off x="19225260" y="11262360"/>
          <a:ext cx="6149340" cy="1043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137160</xdr:colOff>
      <xdr:row>74</xdr:row>
      <xdr:rowOff>91440</xdr:rowOff>
    </xdr:from>
    <xdr:to>
      <xdr:col>15</xdr:col>
      <xdr:colOff>137160</xdr:colOff>
      <xdr:row>80</xdr:row>
      <xdr:rowOff>38100</xdr:rowOff>
    </xdr:to>
    <xdr:sp macro="" textlink="">
      <xdr:nvSpPr>
        <xdr:cNvPr id="2064" name="Text Box 16" hidden="1">
          <a:extLst>
            <a:ext uri="{FF2B5EF4-FFF2-40B4-BE49-F238E27FC236}">
              <a16:creationId xmlns:a16="http://schemas.microsoft.com/office/drawing/2014/main" id="{606411FF-F4D8-80B6-7FAA-8E891D653187}"/>
            </a:ext>
          </a:extLst>
        </xdr:cNvPr>
        <xdr:cNvSpPr txBox="1">
          <a:spLocks noChangeArrowheads="1"/>
        </xdr:cNvSpPr>
      </xdr:nvSpPr>
      <xdr:spPr bwMode="auto">
        <a:xfrm>
          <a:off x="19225260" y="13639800"/>
          <a:ext cx="6149340" cy="1043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</xdr:col>
      <xdr:colOff>137160</xdr:colOff>
      <xdr:row>474</xdr:row>
      <xdr:rowOff>91440</xdr:rowOff>
    </xdr:from>
    <xdr:to>
      <xdr:col>16</xdr:col>
      <xdr:colOff>137160</xdr:colOff>
      <xdr:row>480</xdr:row>
      <xdr:rowOff>38100</xdr:rowOff>
    </xdr:to>
    <xdr:sp macro="" textlink="">
      <xdr:nvSpPr>
        <xdr:cNvPr id="2059" name="Text Box 11" hidden="1">
          <a:extLst>
            <a:ext uri="{FF2B5EF4-FFF2-40B4-BE49-F238E27FC236}">
              <a16:creationId xmlns:a16="http://schemas.microsoft.com/office/drawing/2014/main" id="{85D4EEF4-71C2-4C6D-4559-1D13BE3DDD2F}"/>
            </a:ext>
          </a:extLst>
        </xdr:cNvPr>
        <xdr:cNvSpPr txBox="1">
          <a:spLocks noChangeArrowheads="1"/>
        </xdr:cNvSpPr>
      </xdr:nvSpPr>
      <xdr:spPr bwMode="auto">
        <a:xfrm>
          <a:off x="20985480" y="86860380"/>
          <a:ext cx="5257800" cy="1043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</xdr:col>
      <xdr:colOff>137160</xdr:colOff>
      <xdr:row>423</xdr:row>
      <xdr:rowOff>91440</xdr:rowOff>
    </xdr:from>
    <xdr:to>
      <xdr:col>16</xdr:col>
      <xdr:colOff>137160</xdr:colOff>
      <xdr:row>429</xdr:row>
      <xdr:rowOff>38100</xdr:rowOff>
    </xdr:to>
    <xdr:sp macro="" textlink="">
      <xdr:nvSpPr>
        <xdr:cNvPr id="2057" name="Text Box 9" hidden="1">
          <a:extLst>
            <a:ext uri="{FF2B5EF4-FFF2-40B4-BE49-F238E27FC236}">
              <a16:creationId xmlns:a16="http://schemas.microsoft.com/office/drawing/2014/main" id="{C12D5CEC-4506-6200-CBFE-0E113BF6A5C1}"/>
            </a:ext>
          </a:extLst>
        </xdr:cNvPr>
        <xdr:cNvSpPr txBox="1">
          <a:spLocks noChangeArrowheads="1"/>
        </xdr:cNvSpPr>
      </xdr:nvSpPr>
      <xdr:spPr bwMode="auto">
        <a:xfrm>
          <a:off x="20985480" y="77533500"/>
          <a:ext cx="5257800" cy="1043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nh Nguyễn Gia" id="{B3AE0B75-F76E-424E-87F8-9AA3F744D53D}" userId="" providerId="google-sheets"/>
  <person displayName="Huê CTV Phạm Thị" id="{D955B271-6B9B-4528-A7B1-FC6CE683ADEC}" userId="" providerId="google-sheets"/>
  <person displayName="Phương CTV Nguyễn Phan Hà" id="{375CE0D6-5C87-4655-8041-CA92FE42292E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6-04-10T03:27:49.00" personId="{D955B271-6B9B-4528-A7B1-FC6CE683ADEC}" id="{B4F4774A-0785-4199-A293-FE200AE37AAE}" done="1">
    <text>sai ví dụ</text>
  </threadedComment>
  <threadedComment ref="K49" dT="2026-04-10T02:18:39.00" personId="{B3AE0B75-F76E-424E-87F8-9AA3F744D53D}" id="{813BE3D7-DDAC-4306-B046-12AB331536A7}" done="1">
    <text>ảnh không đúng ví dụ</text>
  </threadedComment>
  <threadedComment ref="K54" dT="2026-04-10T02:20:00.00" personId="{D955B271-6B9B-4528-A7B1-FC6CE683ADEC}" id="{0161A6EF-CCA8-417E-8684-427F77B99B6A}" done="1">
    <text>sai ví dụ</text>
  </threadedComment>
  <threadedComment ref="L104" dT="2026-04-10T04:50:14.00" personId="{B3AE0B75-F76E-424E-87F8-9AA3F744D53D}" id="{1C74055E-9FBD-4FB5-BEA1-F8BE9CE88633}" done="1">
    <text>chưa có audio</text>
  </threadedComment>
  <threadedComment ref="M104" dT="2026-04-10T04:50:19.00" personId="{B3AE0B75-F76E-424E-87F8-9AA3F744D53D}" id="{23BFC304-15B6-432B-99C1-889885268E16}" done="1">
    <text>chưa có audio</text>
  </threadedComment>
  <threadedComment ref="K133" dT="2026-04-10T02:24:49.00" personId="{D955B271-6B9B-4528-A7B1-FC6CE683ADEC}" id="{EC7D8D59-0E50-48D5-B5DC-D2009561A015}" done="1">
    <text>ví dụ không đúng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5" dT="2026-04-15T09:12:42.00" personId="{375CE0D6-5C87-4655-8041-CA92FE42292E}" id="{4B4E4BB6-8E8C-4BC6-86F4-E62157592ABD}" done="1">
    <text>ko khớp nội dung ví dụ</text>
  </threadedComment>
  <threadedComment ref="M9" dT="2026-04-15T09:14:15.00" personId="{375CE0D6-5C87-4655-8041-CA92FE42292E}" id="{9D56BF9A-83D4-4138-872B-B7AC4C85784C}" done="1">
    <text>ko khớp nội dung ví dụ</text>
  </threadedComment>
  <threadedComment ref="K10" dT="2026-04-15T08:56:30.00" personId="{375CE0D6-5C87-4655-8041-CA92FE42292E}" id="{F41EB470-AC9A-4EA9-9A30-390D023F766C}" done="1">
    <text>Ảnh bị thừa chi tiết (nắp thùng rác)</text>
  </threadedComment>
  <threadedComment ref="M10" dT="2026-04-15T09:15:25.00" personId="{375CE0D6-5C87-4655-8041-CA92FE42292E}" id="{999193EE-E229-42B3-9702-4FA8F3E4AE33}" done="1">
    <text>ko khớp nội dung ví dụ</text>
  </threadedComment>
  <threadedComment ref="M11" dT="2026-04-15T09:16:17.00" personId="{375CE0D6-5C87-4655-8041-CA92FE42292E}" id="{EF46AD3D-7A8C-42DE-8E8A-09241C663363}" done="1">
    <text>ko khớp nội dung ví dụ</text>
  </threadedComment>
  <threadedComment ref="M17" dT="2026-04-15T09:18:17.00" personId="{375CE0D6-5C87-4655-8041-CA92FE42292E}" id="{B19D99C6-E2FC-4BCC-B91A-C8EA41FDF9C9}" done="1">
    <text>ko khớp nội dung ví dụ</text>
  </threadedComment>
  <threadedComment ref="M28" dT="2026-04-15T09:21:17.00" personId="{375CE0D6-5C87-4655-8041-CA92FE42292E}" id="{3471655E-FCC6-4689-BFA1-488186220A63}" done="1">
    <text>ko khớp nội dung ví dụ</text>
  </threadedComment>
  <threadedComment ref="M35" dT="2026-04-15T09:23:13.00" personId="{375CE0D6-5C87-4655-8041-CA92FE42292E}" id="{3746042E-46F6-4C20-8E3D-C1F07C5FCE05}" done="1">
    <text>ko khớp nội dung ví dụ</text>
  </threadedComment>
  <threadedComment ref="M36" dT="2026-04-15T09:25:06.00" personId="{375CE0D6-5C87-4655-8041-CA92FE42292E}" id="{A95D7799-F475-4E66-9681-5BF03707B5A5}" done="1">
    <text>ko khớp nội dung ví  dụ</text>
  </threadedComment>
  <threadedComment ref="M43" dT="2026-04-15T09:28:00.00" personId="{375CE0D6-5C87-4655-8041-CA92FE42292E}" id="{1AA342D1-51E4-46E5-8A58-43041C2C05D3}" done="1">
    <text>ko khớp nội dung ví dụ</text>
  </threadedComment>
  <threadedComment ref="M45" dT="2026-04-15T09:29:35.00" personId="{375CE0D6-5C87-4655-8041-CA92FE42292E}" id="{45A718B9-8925-4521-847B-AB1E58548FAF}" done="1">
    <text>ko khớp nội dung ví dụ</text>
  </threadedComment>
  <threadedComment ref="M47" dT="2026-04-15T09:30:53.00" personId="{375CE0D6-5C87-4655-8041-CA92FE42292E}" id="{AB87A811-5100-482E-80B1-00FCD8FE3596}" done="1">
    <text>ko khớp nội dung ví dụ</text>
  </threadedComment>
  <threadedComment ref="M49" dT="2026-04-15T09:32:07.00" personId="{375CE0D6-5C87-4655-8041-CA92FE42292E}" id="{A9CA7D3F-B373-4445-99B0-0032B2CC9BC0}" done="1">
    <text>ko khớp nội dung ví dụ</text>
  </threadedComment>
  <threadedComment ref="M50" dT="2026-04-15T09:36:15.00" personId="{375CE0D6-5C87-4655-8041-CA92FE42292E}" id="{1908765D-927B-4669-957C-7142B288576E}" done="1">
    <text>ko khớp nội dung ví dụ</text>
  </threadedComment>
  <threadedComment ref="M51" dT="2026-04-15T09:36:57.00" personId="{375CE0D6-5C87-4655-8041-CA92FE42292E}" id="{177C638C-EA12-41EB-8FC8-8CF37A3523D1}" done="1">
    <text>ko khớp nội dung ví dụ</text>
  </threadedComment>
  <threadedComment ref="K53" dT="2026-04-15T09:39:52.00" personId="{375CE0D6-5C87-4655-8041-CA92FE42292E}" id="{49A8EF16-2C84-4CE5-AC8B-566F309CC23A}" done="1">
    <text>chưa có file</text>
  </threadedComment>
  <threadedComment ref="L53" dT="2026-04-15T09:38:22.00" personId="{375CE0D6-5C87-4655-8041-CA92FE42292E}" id="{1292E467-7F38-48CF-8344-C1601BC70F54}" done="1">
    <text>chưa có file</text>
  </threadedComment>
  <threadedComment ref="M53" dT="2026-04-15T09:39:16.00" personId="{375CE0D6-5C87-4655-8041-CA92FE42292E}" id="{74002280-E9BF-4ED5-9B10-53D68AC74D96}" done="1">
    <text>ko khớp nội dung ví dụ</text>
  </threadedComment>
  <threadedComment ref="K55" dT="2026-04-15T09:40:03.00" personId="{375CE0D6-5C87-4655-8041-CA92FE42292E}" id="{11E3C19D-9431-4CB6-A56F-011D07D30BB1}" done="1">
    <text>chưa có file</text>
  </threadedComment>
  <threadedComment ref="L55" dT="2026-04-15T09:38:36.00" personId="{375CE0D6-5C87-4655-8041-CA92FE42292E}" id="{375BB8B9-188B-40CE-8DC4-08D340441918}" done="1">
    <text>chưa có file</text>
  </threadedComment>
  <threadedComment ref="M55" dT="2026-04-15T09:40:44.00" personId="{375CE0D6-5C87-4655-8041-CA92FE42292E}" id="{E2B08339-BE8F-4A6A-9D1D-88ACDE752D01}" done="1">
    <text>ko khớp nội dung ví dụ</text>
  </threadedComment>
  <threadedComment ref="M57" dT="2026-04-15T09:42:01.00" personId="{375CE0D6-5C87-4655-8041-CA92FE42292E}" id="{9B576833-606B-46CB-BE91-51466C04AE3A}" done="1">
    <text>ko khớp nội dung ví dụ</text>
  </threadedComment>
  <threadedComment ref="K61" dT="2026-04-15T09:44:08.00" personId="{375CE0D6-5C87-4655-8041-CA92FE42292E}" id="{15ACE35E-FA25-4AAF-82C3-94C1772775BA}" done="1">
    <text>chưa có file</text>
  </threadedComment>
  <threadedComment ref="M61" dT="2026-04-15T09:44:56.00" personId="{375CE0D6-5C87-4655-8041-CA92FE42292E}" id="{41F96A5B-79DB-437D-9299-43AD08756D53}" done="1">
    <text>ko khớp nội dung ví dụ</text>
  </threadedComment>
  <threadedComment ref="K65" dT="2026-04-15T09:46:19.00" personId="{375CE0D6-5C87-4655-8041-CA92FE42292E}" id="{45F5398B-3802-4C69-A9A3-4F9DE4D4142B}" done="1">
    <text>chưa có file</text>
  </threadedComment>
  <threadedComment ref="M65" dT="2026-04-15T09:46:51.00" personId="{375CE0D6-5C87-4655-8041-CA92FE42292E}" id="{CF71BB8E-A2E8-43F4-8617-6927C8002D47}" done="1">
    <text>ko khớp nội dung ví dụ</text>
  </threadedComment>
  <threadedComment ref="M67" dT="2026-04-15T09:47:49.00" personId="{375CE0D6-5C87-4655-8041-CA92FE42292E}" id="{D4A6410A-1766-41B6-BA5D-6664043C2114}" done="1">
    <text>ko khớp nội dung ví dụ</text>
  </threadedComment>
  <threadedComment ref="M73" dT="2026-04-15T09:49:26.00" personId="{375CE0D6-5C87-4655-8041-CA92FE42292E}" id="{258AD558-85BD-459A-9ECE-A6AA13A4E3BB}" done="1">
    <text>ko khớp nội dung ví dụ</text>
  </threadedComment>
  <threadedComment ref="K74" dT="2026-04-15T09:57:20.00" personId="{375CE0D6-5C87-4655-8041-CA92FE42292E}" id="{0F690420-7709-434A-B6BB-96C057B0E71C}" done="1">
    <text>ảnh không khớp với nội dung ví dụ</text>
  </threadedComment>
  <threadedComment ref="M74" dT="2026-04-15T09:51:15.00" personId="{375CE0D6-5C87-4655-8041-CA92FE42292E}" id="{8BD0236B-CE58-4346-8AF8-958D3F771F50}" done="1">
    <text>ko khớp nội dung ví dụ</text>
  </threadedComment>
  <threadedComment ref="K76" dT="2026-04-15T09:51:46.00" personId="{375CE0D6-5C87-4655-8041-CA92FE42292E}" id="{7D51453A-A31F-4D10-BC0D-9DC384DFDD4D}" done="1">
    <text>chưa có file</text>
  </threadedComment>
  <threadedComment ref="L76" dT="2026-04-15T09:58:07.00" personId="{375CE0D6-5C87-4655-8041-CA92FE42292E}" id="{FFCB8BA4-3C91-46C6-AB16-96CFECB9EE97}" done="1">
    <text>sai phiên âm, hái -&gt; huàn</text>
  </threadedComment>
  <threadedComment ref="L79" dT="2026-04-15T10:01:33.00" personId="{375CE0D6-5C87-4655-8041-CA92FE42292E}" id="{C01EAB4A-4DC1-42B8-9DF6-05EF48BF88F1}" done="1">
    <text>nhầm thanh điệu, thanh 4-&gt; thanh 2</text>
  </threadedComment>
  <threadedComment ref="M83" dT="2026-04-16T01:53:52.00" personId="{375CE0D6-5C87-4655-8041-CA92FE42292E}" id="{3150791D-0A0B-40F7-8E5D-DC9E3236AC26}" done="1">
    <text>ko khớp nội dung ví dụ</text>
  </threadedComment>
  <threadedComment ref="M84" dT="2026-04-16T01:54:55.00" personId="{375CE0D6-5C87-4655-8041-CA92FE42292E}" id="{973DCF98-7EE5-4D2E-B963-573F5A7663CB}" done="1">
    <text>ko khớp nội dung ví dụ</text>
  </threadedComment>
  <threadedComment ref="L110" dT="2026-04-16T02:01:24.00" personId="{375CE0D6-5C87-4655-8041-CA92FE42292E}" id="{9286C2C5-1769-4463-9F63-F1B1A814FE83}" done="1">
    <text>chưa có file</text>
  </threadedComment>
  <threadedComment ref="M110" dT="2026-04-16T02:01:37.00" personId="{375CE0D6-5C87-4655-8041-CA92FE42292E}" id="{00F90536-3F8C-4260-A358-A869031944AA}" done="1">
    <text>chưa có file</text>
  </threadedComment>
  <threadedComment ref="M172" dT="2026-04-16T02:19:54.00" personId="{375CE0D6-5C87-4655-8041-CA92FE42292E}" id="{F253992A-06B8-4E2E-B0A9-AAF5DEAF8FB7}" done="1">
    <text>ko khớp nội dung ví dụ</text>
  </threadedComment>
  <threadedComment ref="L181" dT="2026-04-16T02:21:40.00" personId="{375CE0D6-5C87-4655-8041-CA92FE42292E}" id="{0A236BB4-4647-4945-97F7-4B460B3578FF}" done="1">
    <text>sai thanh điệu, thanh 1 -&gt; thanh 2</text>
  </threadedComment>
  <threadedComment ref="M182" dT="2026-04-16T02:22:21.00" personId="{375CE0D6-5C87-4655-8041-CA92FE42292E}" id="{6DD1AEB0-29DB-40E4-8D0F-C3AF9F91D54D}" done="1">
    <text>ko khớp nội dung ví dụ</text>
  </threadedComment>
  <threadedComment ref="M198" dT="2026-04-16T02:29:39.00" personId="{375CE0D6-5C87-4655-8041-CA92FE42292E}" id="{45A89079-85C7-496B-85EB-C5C88DEBDDB1}" done="1">
    <text>chưa có file</text>
  </threadedComment>
  <threadedComment ref="K232" dT="2026-04-16T02:38:46.00" personId="{375CE0D6-5C87-4655-8041-CA92FE42292E}" id="{8604ADA9-6CCE-49C4-8953-58B2DCBCC9B9}" done="1">
    <text>sai hán tự</text>
  </threadedComment>
  <threadedComment ref="M266" dT="2026-04-16T02:53:58.00" personId="{375CE0D6-5C87-4655-8041-CA92FE42292E}" id="{8E8A3A25-1395-4447-B551-0420961A9480}" done="1">
    <text>ko khớp nội dung ví dụ</text>
  </threadedComment>
  <threadedComment ref="K288" dT="2026-04-16T03:26:46.00" personId="{375CE0D6-5C87-4655-8041-CA92FE42292E}" id="{D5000E4C-8B43-49C4-9D41-2300ABE7636A}" done="1">
    <text>sai hán tự</text>
  </threadedComment>
  <threadedComment ref="K350" dT="2026-04-16T04:11:06.00" personId="{375CE0D6-5C87-4655-8041-CA92FE42292E}" id="{ECC89F82-D52E-4F25-B3B5-62D1AD3C5677}" done="1">
    <text>chưa có hán tự</text>
  </threadedComment>
  <threadedComment ref="K351" dT="2026-04-16T04:11:47.00" personId="{375CE0D6-5C87-4655-8041-CA92FE42292E}" id="{8AEA5204-B2B8-4415-8EC5-BC60F7CC1F8A}" done="1">
    <text>chưa có hán tự</text>
  </threadedComment>
  <threadedComment ref="M354" dT="2026-04-22T01:38:22.00" personId="{375CE0D6-5C87-4655-8041-CA92FE42292E}" id="{75398F93-9A87-443D-A1D4-8D7BB0BB65C0}" done="1">
    <text>ko khớp nội dung ví dụ</text>
  </threadedComment>
  <threadedComment ref="L404" dT="2026-04-22T01:49:01.00" personId="{375CE0D6-5C87-4655-8041-CA92FE42292E}" id="{F1FAB1E8-9FD9-4BBF-A596-20751F569ABE}" done="1">
    <text>chưa có file</text>
  </threadedComment>
  <threadedComment ref="M404" dT="2026-04-22T01:49:08.00" personId="{375CE0D6-5C87-4655-8041-CA92FE42292E}" id="{73628CBE-4EA8-41C2-B4F4-66DA62D356EF}" done="1">
    <text>chưa có file</text>
  </threadedComment>
  <threadedComment ref="K409" dT="2026-04-16T04:16:51.00" personId="{375CE0D6-5C87-4655-8041-CA92FE42292E}" id="{E4C97816-D952-4069-A0E0-67810BBD72F4}" done="1">
    <text>chưa có hán tự</text>
  </threadedComment>
  <threadedComment ref="K414" dT="2026-04-16T04:18:38.00" personId="{375CE0D6-5C87-4655-8041-CA92FE42292E}" id="{4DE36C42-E34B-4EF9-B912-4BB2E23FFC61}" done="1">
    <text>chưa có hán tự</text>
  </threadedComment>
  <threadedComment ref="K418" dT="2026-04-16T04:19:13.00" personId="{375CE0D6-5C87-4655-8041-CA92FE42292E}" id="{8A1BC0EF-73CE-4AE9-BDEE-5B57DB01AC6A}" done="1">
    <text>chưa có hán tự</text>
  </threadedComment>
  <threadedComment ref="L423" dT="2026-04-22T01:53:57.00" personId="{375CE0D6-5C87-4655-8041-CA92FE42292E}" id="{6F60A5E1-C603-46C0-9848-CF1F34F328EB}" done="1">
    <text>ko đúng từ khóa</text>
  </threadedComment>
  <threadedComment ref="M423" dT="2026-04-22T01:53:40.00" personId="{375CE0D6-5C87-4655-8041-CA92FE42292E}" id="{B3F3CFF6-8721-409F-B89C-3870120D4F44}" done="1">
    <text>ko khớp nội dung ví dụ</text>
  </threadedComment>
  <threadedComment ref="K425" dT="2026-04-16T04:20:06.00" personId="{375CE0D6-5C87-4655-8041-CA92FE42292E}" id="{F517CA03-8ED5-4994-82A5-B50DFD1DFB76}" done="1">
    <text>chưa có hán tự</text>
  </threadedComment>
  <threadedComment ref="K426" dT="2026-04-16T04:20:28.00" personId="{375CE0D6-5C87-4655-8041-CA92FE42292E}" id="{8EF052DE-0D47-4EBD-811C-4CD7FAD2E2A1}" done="1">
    <text>chưa có hán tự</text>
  </threadedComment>
  <threadedComment ref="K438" dT="2026-04-16T04:33:59.00" personId="{375CE0D6-5C87-4655-8041-CA92FE42292E}" id="{ABF4F586-8BDA-4246-8BD9-0FA5E2464519}" done="1">
    <text>chưa có hán tự</text>
  </threadedComment>
  <threadedComment ref="M445" dT="2026-04-22T01:59:07.00" personId="{375CE0D6-5C87-4655-8041-CA92FE42292E}" id="{7D864E88-87A4-414D-9CFE-C0E652FFE4FA}" done="1">
    <text>chưa có file</text>
  </threadedComment>
  <threadedComment ref="K448" dT="2026-04-16T04:34:57.00" personId="{375CE0D6-5C87-4655-8041-CA92FE42292E}" id="{2AF57525-EC2C-4296-AA5E-A77CE9E84FC5}" done="1">
    <text>chưa có hán tự</text>
  </threadedComment>
  <threadedComment ref="K455" dT="2026-04-16T04:35:40.00" personId="{375CE0D6-5C87-4655-8041-CA92FE42292E}" id="{D6CDC464-FFEA-47D7-BF1A-AF3D5B45E6CA}" done="1">
    <text>chưa có hán tự</text>
  </threadedComment>
  <threadedComment ref="K459" dT="2026-04-16T04:36:12.00" personId="{375CE0D6-5C87-4655-8041-CA92FE42292E}" id="{041EAD73-BB39-4D9B-8ADB-32F5994D0B64}" done="1">
    <text>sai hán tự</text>
  </threadedComment>
  <threadedComment ref="L474" dT="2026-04-22T02:04:18.00" personId="{375CE0D6-5C87-4655-8041-CA92FE42292E}" id="{8E7097E4-1E69-4757-A520-677DF947194E}" done="1">
    <text>chưa có file</text>
  </threadedComment>
  <threadedComment ref="M474" dT="2026-04-22T02:04:24.00" personId="{375CE0D6-5C87-4655-8041-CA92FE42292E}" id="{3A9C4BC5-BCEF-4EF7-AD2A-AD2F4A98FC7A}" done="1">
    <text>chưa có file</text>
  </threadedComment>
  <threadedComment ref="K476" dT="2026-04-16T04:37:22.00" personId="{375CE0D6-5C87-4655-8041-CA92FE42292E}" id="{9777CABE-CF99-4927-B6BA-18EC68BCA316}" done="1">
    <text>chưa có hán tự</text>
  </threadedComment>
  <threadedComment ref="K482" dT="2026-04-16T04:38:07.00" personId="{375CE0D6-5C87-4655-8041-CA92FE42292E}" id="{660107B0-102E-4A6E-9AF2-F34705F19F5A}" done="1">
    <text>sai hán tự</text>
  </threadedComment>
  <threadedComment ref="L490" dT="2026-04-22T02:08:06.00" personId="{375CE0D6-5C87-4655-8041-CA92FE42292E}" id="{960C09BC-49C2-46DE-A92C-8C8AF2A93788}" done="1">
    <text>chưa có file</text>
  </threadedComment>
  <threadedComment ref="M490" dT="2026-04-22T02:08:15.00" personId="{375CE0D6-5C87-4655-8041-CA92FE42292E}" id="{B220F772-9787-401F-8BD4-75BDBDD8CF15}" done="1">
    <text>chưa có file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nt.sc/qjiawIXnl-2j" TargetMode="External"/><Relationship Id="rId2" Type="http://schemas.openxmlformats.org/officeDocument/2006/relationships/hyperlink" Target="https://admin.onluyen.work/account/login?ReturnUrl=%2FContentH5p" TargetMode="External"/><Relationship Id="rId1" Type="http://schemas.openxmlformats.org/officeDocument/2006/relationships/hyperlink" Target="https://www.awesomescreenshot.com/video/21240081?key=56cb0a126b99aa5594e9ebe617a023a8" TargetMode="External"/><Relationship Id="rId6" Type="http://schemas.openxmlformats.org/officeDocument/2006/relationships/hyperlink" Target="https://prnt.sc/AuRSNB7chCkn" TargetMode="External"/><Relationship Id="rId5" Type="http://schemas.openxmlformats.org/officeDocument/2006/relationships/hyperlink" Target="https://prnt.sc/lcMuNigGZme9" TargetMode="External"/><Relationship Id="rId4" Type="http://schemas.openxmlformats.org/officeDocument/2006/relationships/hyperlink" Target="https://prnt.sc/YZG88YEkGkG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workbookViewId="0"/>
  </sheetViews>
  <sheetFormatPr defaultColWidth="12.6640625" defaultRowHeight="15" customHeight="1"/>
  <cols>
    <col min="1" max="1" width="63.6640625" customWidth="1"/>
    <col min="2" max="2" width="50.88671875" customWidth="1"/>
  </cols>
  <sheetData>
    <row r="1" spans="1:2" ht="14.4">
      <c r="A1" s="1"/>
      <c r="B1" s="1"/>
    </row>
    <row r="2" spans="1:2" ht="13.8">
      <c r="A2" s="2"/>
      <c r="B2" s="3"/>
    </row>
    <row r="3" spans="1:2" ht="14.4">
      <c r="A3" s="1"/>
      <c r="B3" s="1"/>
    </row>
    <row r="4" spans="1:2" ht="14.4">
      <c r="A4" s="4" t="s">
        <v>0</v>
      </c>
      <c r="B4" s="1"/>
    </row>
    <row r="5" spans="1:2" ht="14.4">
      <c r="A5" s="5" t="s">
        <v>1</v>
      </c>
      <c r="B5" s="1"/>
    </row>
    <row r="6" spans="1:2" ht="14.4">
      <c r="A6" s="6" t="s">
        <v>2</v>
      </c>
      <c r="B6" s="1"/>
    </row>
    <row r="7" spans="1:2" ht="42">
      <c r="A7" s="5" t="s">
        <v>3</v>
      </c>
      <c r="B7" s="1"/>
    </row>
    <row r="8" spans="1:2" ht="14.4">
      <c r="A8" s="7" t="s">
        <v>4</v>
      </c>
      <c r="B8" s="1"/>
    </row>
    <row r="9" spans="1:2" ht="357.75" customHeight="1">
      <c r="A9" s="8" t="s">
        <v>5</v>
      </c>
      <c r="B9" s="2" t="s">
        <v>6</v>
      </c>
    </row>
    <row r="10" spans="1:2" ht="55.8">
      <c r="A10" s="9" t="s">
        <v>7</v>
      </c>
      <c r="B10" s="1"/>
    </row>
    <row r="11" spans="1:2" ht="42">
      <c r="A11" s="7" t="s">
        <v>8</v>
      </c>
      <c r="B11" s="10"/>
    </row>
    <row r="12" spans="1:2" ht="14.4">
      <c r="A12" s="11" t="s">
        <v>9</v>
      </c>
      <c r="B12" s="1"/>
    </row>
    <row r="13" spans="1:2" ht="28.2">
      <c r="A13" s="12" t="s">
        <v>10</v>
      </c>
      <c r="B13" s="1"/>
    </row>
    <row r="14" spans="1:2" ht="14.4">
      <c r="A14" s="1"/>
      <c r="B14" s="1"/>
    </row>
    <row r="15" spans="1:2" ht="13.2">
      <c r="A15" s="307" t="s">
        <v>11</v>
      </c>
      <c r="B15" s="308"/>
    </row>
    <row r="16" spans="1:2" ht="15" customHeight="1">
      <c r="A16" s="308"/>
      <c r="B16" s="308"/>
    </row>
    <row r="17" spans="1:2" ht="15" customHeight="1">
      <c r="A17" s="308"/>
      <c r="B17" s="308"/>
    </row>
    <row r="18" spans="1:2" ht="15" customHeight="1">
      <c r="A18" s="308"/>
      <c r="B18" s="308"/>
    </row>
    <row r="19" spans="1:2" ht="15" customHeight="1">
      <c r="A19" s="308"/>
      <c r="B19" s="308"/>
    </row>
    <row r="20" spans="1:2" ht="15" customHeight="1">
      <c r="A20" s="308"/>
      <c r="B20" s="308"/>
    </row>
    <row r="21" spans="1:2" ht="15" customHeight="1">
      <c r="A21" s="308"/>
      <c r="B21" s="308"/>
    </row>
    <row r="22" spans="1:2" ht="15" customHeight="1">
      <c r="A22" s="308"/>
      <c r="B22" s="308"/>
    </row>
    <row r="23" spans="1:2" ht="15" customHeight="1">
      <c r="A23" s="308"/>
      <c r="B23" s="308"/>
    </row>
    <row r="24" spans="1:2" ht="15" customHeight="1">
      <c r="A24" s="308"/>
      <c r="B24" s="308"/>
    </row>
    <row r="25" spans="1:2" ht="14.4">
      <c r="A25" s="1"/>
      <c r="B25" s="1"/>
    </row>
    <row r="26" spans="1:2" ht="14.4">
      <c r="A26" s="1"/>
      <c r="B26" s="1"/>
    </row>
    <row r="27" spans="1:2" ht="14.4">
      <c r="A27" s="1"/>
      <c r="B27" s="1"/>
    </row>
    <row r="28" spans="1:2" ht="14.4">
      <c r="A28" s="1"/>
      <c r="B28" s="1"/>
    </row>
    <row r="29" spans="1:2" ht="14.4">
      <c r="A29" s="1"/>
      <c r="B29" s="1"/>
    </row>
    <row r="30" spans="1:2" ht="14.4">
      <c r="A30" s="1"/>
      <c r="B30" s="1"/>
    </row>
    <row r="31" spans="1:2" ht="14.4">
      <c r="A31" s="1"/>
      <c r="B31" s="1"/>
    </row>
    <row r="32" spans="1:2" ht="14.4">
      <c r="A32" s="1"/>
      <c r="B32" s="1"/>
    </row>
    <row r="33" spans="1:2" ht="14.4">
      <c r="A33" s="1"/>
      <c r="B33" s="1"/>
    </row>
    <row r="34" spans="1:2" ht="14.4">
      <c r="A34" s="1"/>
      <c r="B34" s="1"/>
    </row>
    <row r="35" spans="1:2" ht="14.4">
      <c r="A35" s="1"/>
      <c r="B35" s="1"/>
    </row>
    <row r="36" spans="1:2" ht="14.4">
      <c r="A36" s="1"/>
      <c r="B36" s="1"/>
    </row>
    <row r="37" spans="1:2" ht="14.4">
      <c r="A37" s="1"/>
      <c r="B37" s="1"/>
    </row>
    <row r="38" spans="1:2" ht="14.4">
      <c r="A38" s="1"/>
      <c r="B38" s="1"/>
    </row>
    <row r="39" spans="1:2" ht="14.4">
      <c r="A39" s="1"/>
      <c r="B39" s="1"/>
    </row>
    <row r="40" spans="1:2" ht="14.4">
      <c r="A40" s="1"/>
      <c r="B40" s="1"/>
    </row>
    <row r="41" spans="1:2" ht="14.4">
      <c r="A41" s="1"/>
      <c r="B41" s="1"/>
    </row>
    <row r="42" spans="1:2" ht="14.4">
      <c r="A42" s="1"/>
      <c r="B42" s="1"/>
    </row>
    <row r="43" spans="1:2" ht="14.4">
      <c r="A43" s="1"/>
      <c r="B43" s="1"/>
    </row>
    <row r="44" spans="1:2" ht="14.4">
      <c r="A44" s="1"/>
      <c r="B44" s="1"/>
    </row>
    <row r="45" spans="1:2" ht="14.4">
      <c r="A45" s="1"/>
      <c r="B45" s="1"/>
    </row>
    <row r="46" spans="1:2" ht="14.4">
      <c r="A46" s="1"/>
      <c r="B46" s="1"/>
    </row>
    <row r="47" spans="1:2" ht="14.4">
      <c r="A47" s="1"/>
      <c r="B47" s="1"/>
    </row>
    <row r="48" spans="1:2" ht="14.4">
      <c r="A48" s="1"/>
      <c r="B48" s="1"/>
    </row>
    <row r="49" spans="1:2" ht="14.4">
      <c r="A49" s="1"/>
      <c r="B49" s="1"/>
    </row>
    <row r="50" spans="1:2" ht="14.4">
      <c r="A50" s="1"/>
      <c r="B50" s="1"/>
    </row>
    <row r="51" spans="1:2" ht="14.4">
      <c r="A51" s="1"/>
      <c r="B51" s="1"/>
    </row>
    <row r="52" spans="1:2" ht="14.4">
      <c r="A52" s="1"/>
      <c r="B52" s="1"/>
    </row>
    <row r="53" spans="1:2" ht="14.4">
      <c r="A53" s="1"/>
      <c r="B53" s="1"/>
    </row>
    <row r="54" spans="1:2" ht="14.4">
      <c r="A54" s="1"/>
      <c r="B54" s="1"/>
    </row>
    <row r="55" spans="1:2" ht="14.4">
      <c r="A55" s="1"/>
      <c r="B55" s="1"/>
    </row>
    <row r="56" spans="1:2" ht="14.4">
      <c r="A56" s="1"/>
      <c r="B56" s="1"/>
    </row>
    <row r="57" spans="1:2" ht="14.4">
      <c r="A57" s="1"/>
      <c r="B57" s="1"/>
    </row>
    <row r="58" spans="1:2" ht="14.4">
      <c r="A58" s="1"/>
      <c r="B58" s="1"/>
    </row>
    <row r="59" spans="1:2" ht="14.4">
      <c r="A59" s="1"/>
      <c r="B59" s="1"/>
    </row>
    <row r="60" spans="1:2" ht="14.4">
      <c r="A60" s="1"/>
      <c r="B60" s="1"/>
    </row>
    <row r="61" spans="1:2" ht="14.4">
      <c r="A61" s="1"/>
      <c r="B61" s="1"/>
    </row>
    <row r="62" spans="1:2" ht="14.4">
      <c r="A62" s="1"/>
      <c r="B62" s="1"/>
    </row>
    <row r="63" spans="1:2" ht="14.4">
      <c r="A63" s="1"/>
      <c r="B63" s="1"/>
    </row>
    <row r="64" spans="1:2" ht="14.4">
      <c r="A64" s="1"/>
      <c r="B64" s="1"/>
    </row>
    <row r="65" spans="1:2" ht="14.4">
      <c r="A65" s="1"/>
      <c r="B65" s="1"/>
    </row>
    <row r="66" spans="1:2" ht="14.4">
      <c r="A66" s="1"/>
      <c r="B66" s="1"/>
    </row>
    <row r="67" spans="1:2" ht="14.4">
      <c r="A67" s="1"/>
      <c r="B67" s="1"/>
    </row>
    <row r="68" spans="1:2" ht="14.4">
      <c r="A68" s="1"/>
      <c r="B68" s="1"/>
    </row>
    <row r="69" spans="1:2" ht="14.4">
      <c r="A69" s="1"/>
      <c r="B69" s="1"/>
    </row>
    <row r="70" spans="1:2" ht="14.4">
      <c r="A70" s="1"/>
      <c r="B70" s="1"/>
    </row>
    <row r="71" spans="1:2" ht="14.4">
      <c r="A71" s="1"/>
      <c r="B71" s="1"/>
    </row>
    <row r="72" spans="1:2" ht="14.4">
      <c r="A72" s="1"/>
      <c r="B72" s="1"/>
    </row>
    <row r="73" spans="1:2" ht="14.4">
      <c r="A73" s="1"/>
      <c r="B73" s="1"/>
    </row>
    <row r="74" spans="1:2" ht="14.4">
      <c r="A74" s="1"/>
      <c r="B74" s="1"/>
    </row>
    <row r="75" spans="1:2" ht="14.4">
      <c r="A75" s="1"/>
      <c r="B75" s="1"/>
    </row>
    <row r="76" spans="1:2" ht="14.4">
      <c r="A76" s="1"/>
      <c r="B76" s="1"/>
    </row>
    <row r="77" spans="1:2" ht="14.4">
      <c r="A77" s="1"/>
      <c r="B77" s="1"/>
    </row>
    <row r="78" spans="1:2" ht="14.4">
      <c r="A78" s="1"/>
      <c r="B78" s="1"/>
    </row>
    <row r="79" spans="1:2" ht="14.4">
      <c r="A79" s="1"/>
      <c r="B79" s="1"/>
    </row>
    <row r="80" spans="1:2" ht="14.4">
      <c r="A80" s="1"/>
      <c r="B80" s="1"/>
    </row>
    <row r="81" spans="1:2" ht="14.4">
      <c r="A81" s="1"/>
      <c r="B81" s="1"/>
    </row>
    <row r="82" spans="1:2" ht="14.4">
      <c r="A82" s="1"/>
      <c r="B82" s="1"/>
    </row>
    <row r="83" spans="1:2" ht="14.4">
      <c r="A83" s="1"/>
      <c r="B83" s="1"/>
    </row>
    <row r="84" spans="1:2" ht="14.4">
      <c r="A84" s="1"/>
      <c r="B84" s="1"/>
    </row>
    <row r="85" spans="1:2" ht="14.4">
      <c r="A85" s="1"/>
      <c r="B85" s="1"/>
    </row>
    <row r="86" spans="1:2" ht="14.4">
      <c r="A86" s="1"/>
      <c r="B86" s="1"/>
    </row>
    <row r="87" spans="1:2" ht="14.4">
      <c r="A87" s="1"/>
      <c r="B87" s="1"/>
    </row>
    <row r="88" spans="1:2" ht="14.4">
      <c r="A88" s="1"/>
      <c r="B88" s="1"/>
    </row>
    <row r="89" spans="1:2" ht="14.4">
      <c r="A89" s="1"/>
      <c r="B89" s="1"/>
    </row>
    <row r="90" spans="1:2" ht="14.4">
      <c r="A90" s="1"/>
      <c r="B90" s="1"/>
    </row>
    <row r="91" spans="1:2" ht="14.4">
      <c r="A91" s="1"/>
      <c r="B91" s="1"/>
    </row>
    <row r="92" spans="1:2" ht="14.4">
      <c r="A92" s="1"/>
      <c r="B92" s="1"/>
    </row>
    <row r="93" spans="1:2" ht="14.4">
      <c r="A93" s="1"/>
      <c r="B93" s="1"/>
    </row>
    <row r="94" spans="1:2" ht="14.4">
      <c r="A94" s="1"/>
      <c r="B94" s="1"/>
    </row>
    <row r="95" spans="1:2" ht="14.4">
      <c r="A95" s="1"/>
      <c r="B95" s="1"/>
    </row>
    <row r="96" spans="1:2" ht="14.4">
      <c r="A96" s="1"/>
      <c r="B96" s="1"/>
    </row>
    <row r="97" spans="1:2" ht="14.4">
      <c r="A97" s="1"/>
      <c r="B97" s="1"/>
    </row>
    <row r="98" spans="1:2" ht="14.4">
      <c r="A98" s="1"/>
      <c r="B98" s="1"/>
    </row>
    <row r="99" spans="1:2" ht="14.4">
      <c r="A99" s="1"/>
      <c r="B99" s="1"/>
    </row>
    <row r="100" spans="1:2" ht="14.4">
      <c r="A100" s="1"/>
      <c r="B100" s="1"/>
    </row>
    <row r="101" spans="1:2" ht="14.4">
      <c r="A101" s="1"/>
      <c r="B101" s="1"/>
    </row>
    <row r="102" spans="1:2" ht="14.4">
      <c r="A102" s="1"/>
      <c r="B102" s="1"/>
    </row>
    <row r="103" spans="1:2" ht="14.4">
      <c r="A103" s="1"/>
      <c r="B103" s="1"/>
    </row>
    <row r="104" spans="1:2" ht="14.4">
      <c r="A104" s="1"/>
      <c r="B104" s="1"/>
    </row>
    <row r="105" spans="1:2" ht="14.4">
      <c r="A105" s="1"/>
      <c r="B105" s="1"/>
    </row>
    <row r="106" spans="1:2" ht="14.4">
      <c r="A106" s="1"/>
      <c r="B106" s="1"/>
    </row>
    <row r="107" spans="1:2" ht="14.4">
      <c r="A107" s="1"/>
      <c r="B107" s="1"/>
    </row>
    <row r="108" spans="1:2" ht="14.4">
      <c r="A108" s="1"/>
      <c r="B108" s="1"/>
    </row>
    <row r="109" spans="1:2" ht="14.4">
      <c r="A109" s="1"/>
      <c r="B109" s="1"/>
    </row>
    <row r="110" spans="1:2" ht="14.4">
      <c r="A110" s="1"/>
      <c r="B110" s="1"/>
    </row>
    <row r="111" spans="1:2" ht="14.4">
      <c r="A111" s="1"/>
      <c r="B111" s="1"/>
    </row>
    <row r="112" spans="1:2" ht="14.4">
      <c r="A112" s="1"/>
      <c r="B112" s="1"/>
    </row>
    <row r="113" spans="1:2" ht="14.4">
      <c r="A113" s="1"/>
      <c r="B113" s="1"/>
    </row>
    <row r="114" spans="1:2" ht="14.4">
      <c r="A114" s="1"/>
      <c r="B114" s="1"/>
    </row>
    <row r="115" spans="1:2" ht="14.4">
      <c r="A115" s="1"/>
      <c r="B115" s="1"/>
    </row>
    <row r="116" spans="1:2" ht="14.4">
      <c r="A116" s="1"/>
      <c r="B116" s="1"/>
    </row>
    <row r="117" spans="1:2" ht="14.4">
      <c r="A117" s="1"/>
      <c r="B117" s="1"/>
    </row>
    <row r="118" spans="1:2" ht="14.4">
      <c r="A118" s="1"/>
      <c r="B118" s="1"/>
    </row>
    <row r="119" spans="1:2" ht="14.4">
      <c r="A119" s="1"/>
      <c r="B119" s="1"/>
    </row>
    <row r="120" spans="1:2" ht="14.4">
      <c r="A120" s="1"/>
      <c r="B120" s="1"/>
    </row>
    <row r="121" spans="1:2" ht="14.4">
      <c r="A121" s="1"/>
      <c r="B121" s="1"/>
    </row>
    <row r="122" spans="1:2" ht="14.4">
      <c r="A122" s="1"/>
      <c r="B122" s="1"/>
    </row>
    <row r="123" spans="1:2" ht="14.4">
      <c r="A123" s="1"/>
      <c r="B123" s="1"/>
    </row>
    <row r="124" spans="1:2" ht="14.4">
      <c r="A124" s="1"/>
      <c r="B124" s="1"/>
    </row>
    <row r="125" spans="1:2" ht="14.4">
      <c r="A125" s="1"/>
      <c r="B125" s="1"/>
    </row>
    <row r="126" spans="1:2" ht="14.4">
      <c r="A126" s="1"/>
      <c r="B126" s="1"/>
    </row>
    <row r="127" spans="1:2" ht="14.4">
      <c r="A127" s="1"/>
      <c r="B127" s="1"/>
    </row>
    <row r="128" spans="1:2" ht="14.4">
      <c r="A128" s="1"/>
      <c r="B128" s="1"/>
    </row>
    <row r="129" spans="1:2" ht="14.4">
      <c r="A129" s="1"/>
      <c r="B129" s="1"/>
    </row>
    <row r="130" spans="1:2" ht="14.4">
      <c r="A130" s="1"/>
      <c r="B130" s="1"/>
    </row>
    <row r="131" spans="1:2" ht="14.4">
      <c r="A131" s="1"/>
      <c r="B131" s="1"/>
    </row>
    <row r="132" spans="1:2" ht="14.4">
      <c r="A132" s="1"/>
      <c r="B132" s="1"/>
    </row>
    <row r="133" spans="1:2" ht="14.4">
      <c r="A133" s="1"/>
      <c r="B133" s="1"/>
    </row>
    <row r="134" spans="1:2" ht="14.4">
      <c r="A134" s="1"/>
      <c r="B134" s="1"/>
    </row>
    <row r="135" spans="1:2" ht="14.4">
      <c r="A135" s="1"/>
      <c r="B135" s="1"/>
    </row>
    <row r="136" spans="1:2" ht="14.4">
      <c r="A136" s="1"/>
      <c r="B136" s="1"/>
    </row>
    <row r="137" spans="1:2" ht="14.4">
      <c r="A137" s="1"/>
      <c r="B137" s="1"/>
    </row>
    <row r="138" spans="1:2" ht="14.4">
      <c r="A138" s="1"/>
      <c r="B138" s="1"/>
    </row>
    <row r="139" spans="1:2" ht="14.4">
      <c r="A139" s="1"/>
      <c r="B139" s="1"/>
    </row>
    <row r="140" spans="1:2" ht="14.4">
      <c r="A140" s="1"/>
      <c r="B140" s="1"/>
    </row>
    <row r="141" spans="1:2" ht="14.4">
      <c r="A141" s="1"/>
      <c r="B141" s="1"/>
    </row>
    <row r="142" spans="1:2" ht="14.4">
      <c r="A142" s="1"/>
      <c r="B142" s="1"/>
    </row>
    <row r="143" spans="1:2" ht="14.4">
      <c r="A143" s="1"/>
      <c r="B143" s="1"/>
    </row>
    <row r="144" spans="1:2" ht="14.4">
      <c r="A144" s="1"/>
      <c r="B144" s="1"/>
    </row>
    <row r="145" spans="1:2" ht="14.4">
      <c r="A145" s="1"/>
      <c r="B145" s="1"/>
    </row>
    <row r="146" spans="1:2" ht="14.4">
      <c r="A146" s="1"/>
      <c r="B146" s="1"/>
    </row>
    <row r="147" spans="1:2" ht="14.4">
      <c r="A147" s="1"/>
      <c r="B147" s="1"/>
    </row>
    <row r="148" spans="1:2" ht="14.4">
      <c r="A148" s="1"/>
      <c r="B148" s="1"/>
    </row>
    <row r="149" spans="1:2" ht="14.4">
      <c r="A149" s="1"/>
      <c r="B149" s="1"/>
    </row>
    <row r="150" spans="1:2" ht="14.4">
      <c r="A150" s="1"/>
      <c r="B150" s="1"/>
    </row>
    <row r="151" spans="1:2" ht="14.4">
      <c r="A151" s="1"/>
      <c r="B151" s="1"/>
    </row>
    <row r="152" spans="1:2" ht="14.4">
      <c r="A152" s="1"/>
      <c r="B152" s="1"/>
    </row>
    <row r="153" spans="1:2" ht="14.4">
      <c r="A153" s="1"/>
      <c r="B153" s="1"/>
    </row>
    <row r="154" spans="1:2" ht="14.4">
      <c r="A154" s="1"/>
      <c r="B154" s="1"/>
    </row>
    <row r="155" spans="1:2" ht="14.4">
      <c r="A155" s="1"/>
      <c r="B155" s="1"/>
    </row>
    <row r="156" spans="1:2" ht="14.4">
      <c r="A156" s="1"/>
      <c r="B156" s="1"/>
    </row>
    <row r="157" spans="1:2" ht="14.4">
      <c r="A157" s="1"/>
      <c r="B157" s="1"/>
    </row>
    <row r="158" spans="1:2" ht="14.4">
      <c r="A158" s="1"/>
      <c r="B158" s="1"/>
    </row>
    <row r="159" spans="1:2" ht="14.4">
      <c r="A159" s="1"/>
      <c r="B159" s="1"/>
    </row>
    <row r="160" spans="1:2" ht="14.4">
      <c r="A160" s="1"/>
      <c r="B160" s="1"/>
    </row>
    <row r="161" spans="1:2" ht="14.4">
      <c r="A161" s="1"/>
      <c r="B161" s="1"/>
    </row>
    <row r="162" spans="1:2" ht="14.4">
      <c r="A162" s="1"/>
      <c r="B162" s="1"/>
    </row>
    <row r="163" spans="1:2" ht="14.4">
      <c r="A163" s="1"/>
      <c r="B163" s="1"/>
    </row>
    <row r="164" spans="1:2" ht="14.4">
      <c r="A164" s="1"/>
      <c r="B164" s="1"/>
    </row>
    <row r="165" spans="1:2" ht="14.4">
      <c r="A165" s="1"/>
      <c r="B165" s="1"/>
    </row>
    <row r="166" spans="1:2" ht="14.4">
      <c r="A166" s="1"/>
      <c r="B166" s="1"/>
    </row>
    <row r="167" spans="1:2" ht="14.4">
      <c r="A167" s="1"/>
      <c r="B167" s="1"/>
    </row>
    <row r="168" spans="1:2" ht="14.4">
      <c r="A168" s="1"/>
      <c r="B168" s="1"/>
    </row>
    <row r="169" spans="1:2" ht="14.4">
      <c r="A169" s="1"/>
      <c r="B169" s="1"/>
    </row>
    <row r="170" spans="1:2" ht="14.4">
      <c r="A170" s="1"/>
      <c r="B170" s="1"/>
    </row>
    <row r="171" spans="1:2" ht="14.4">
      <c r="A171" s="1"/>
      <c r="B171" s="1"/>
    </row>
    <row r="172" spans="1:2" ht="14.4">
      <c r="A172" s="1"/>
      <c r="B172" s="1"/>
    </row>
    <row r="173" spans="1:2" ht="14.4">
      <c r="A173" s="1"/>
      <c r="B173" s="1"/>
    </row>
    <row r="174" spans="1:2" ht="14.4">
      <c r="A174" s="1"/>
      <c r="B174" s="1"/>
    </row>
    <row r="175" spans="1:2" ht="14.4">
      <c r="A175" s="1"/>
      <c r="B175" s="1"/>
    </row>
    <row r="176" spans="1:2" ht="14.4">
      <c r="A176" s="1"/>
      <c r="B176" s="1"/>
    </row>
    <row r="177" spans="1:2" ht="14.4">
      <c r="A177" s="1"/>
      <c r="B177" s="1"/>
    </row>
    <row r="178" spans="1:2" ht="14.4">
      <c r="A178" s="1"/>
      <c r="B178" s="1"/>
    </row>
    <row r="179" spans="1:2" ht="14.4">
      <c r="A179" s="1"/>
      <c r="B179" s="1"/>
    </row>
    <row r="180" spans="1:2" ht="14.4">
      <c r="A180" s="1"/>
      <c r="B180" s="1"/>
    </row>
    <row r="181" spans="1:2" ht="14.4">
      <c r="A181" s="1"/>
      <c r="B181" s="1"/>
    </row>
    <row r="182" spans="1:2" ht="14.4">
      <c r="A182" s="1"/>
      <c r="B182" s="1"/>
    </row>
    <row r="183" spans="1:2" ht="14.4">
      <c r="A183" s="1"/>
      <c r="B183" s="1"/>
    </row>
    <row r="184" spans="1:2" ht="14.4">
      <c r="A184" s="1"/>
      <c r="B184" s="1"/>
    </row>
    <row r="185" spans="1:2" ht="14.4">
      <c r="A185" s="1"/>
      <c r="B185" s="1"/>
    </row>
    <row r="186" spans="1:2" ht="14.4">
      <c r="A186" s="1"/>
      <c r="B186" s="1"/>
    </row>
    <row r="187" spans="1:2" ht="14.4">
      <c r="A187" s="1"/>
      <c r="B187" s="1"/>
    </row>
    <row r="188" spans="1:2" ht="14.4">
      <c r="A188" s="1"/>
      <c r="B188" s="1"/>
    </row>
    <row r="189" spans="1:2" ht="14.4">
      <c r="A189" s="1"/>
      <c r="B189" s="1"/>
    </row>
    <row r="190" spans="1:2" ht="14.4">
      <c r="A190" s="1"/>
      <c r="B190" s="1"/>
    </row>
    <row r="191" spans="1:2" ht="14.4">
      <c r="A191" s="1"/>
      <c r="B191" s="1"/>
    </row>
    <row r="192" spans="1:2" ht="14.4">
      <c r="A192" s="1"/>
      <c r="B192" s="1"/>
    </row>
    <row r="193" spans="1:2" ht="14.4">
      <c r="A193" s="1"/>
      <c r="B193" s="1"/>
    </row>
    <row r="194" spans="1:2" ht="14.4">
      <c r="A194" s="1"/>
      <c r="B194" s="1"/>
    </row>
    <row r="195" spans="1:2" ht="14.4">
      <c r="A195" s="1"/>
      <c r="B195" s="1"/>
    </row>
    <row r="196" spans="1:2" ht="14.4">
      <c r="A196" s="1"/>
      <c r="B196" s="1"/>
    </row>
    <row r="197" spans="1:2" ht="14.4">
      <c r="A197" s="1"/>
      <c r="B197" s="1"/>
    </row>
    <row r="198" spans="1:2" ht="14.4">
      <c r="A198" s="1"/>
      <c r="B198" s="1"/>
    </row>
    <row r="199" spans="1:2" ht="14.4">
      <c r="A199" s="1"/>
      <c r="B199" s="1"/>
    </row>
    <row r="200" spans="1:2" ht="14.4">
      <c r="A200" s="1"/>
      <c r="B200" s="1"/>
    </row>
    <row r="201" spans="1:2" ht="14.4">
      <c r="A201" s="1"/>
      <c r="B201" s="1"/>
    </row>
    <row r="202" spans="1:2" ht="14.4">
      <c r="A202" s="1"/>
      <c r="B202" s="1"/>
    </row>
    <row r="203" spans="1:2" ht="14.4">
      <c r="A203" s="1"/>
      <c r="B203" s="1"/>
    </row>
    <row r="204" spans="1:2" ht="14.4">
      <c r="A204" s="1"/>
      <c r="B204" s="1"/>
    </row>
    <row r="205" spans="1:2" ht="14.4">
      <c r="A205" s="1"/>
      <c r="B205" s="1"/>
    </row>
    <row r="206" spans="1:2" ht="14.4">
      <c r="A206" s="1"/>
      <c r="B206" s="1"/>
    </row>
    <row r="207" spans="1:2" ht="14.4">
      <c r="A207" s="1"/>
      <c r="B207" s="1"/>
    </row>
    <row r="208" spans="1:2" ht="14.4">
      <c r="A208" s="1"/>
      <c r="B208" s="1"/>
    </row>
    <row r="209" spans="1:2" ht="14.4">
      <c r="A209" s="1"/>
      <c r="B209" s="1"/>
    </row>
    <row r="210" spans="1:2" ht="14.4">
      <c r="A210" s="1"/>
      <c r="B210" s="1"/>
    </row>
    <row r="211" spans="1:2" ht="14.4">
      <c r="A211" s="1"/>
      <c r="B211" s="1"/>
    </row>
    <row r="212" spans="1:2" ht="14.4">
      <c r="A212" s="1"/>
      <c r="B212" s="1"/>
    </row>
    <row r="213" spans="1:2" ht="14.4">
      <c r="A213" s="1"/>
      <c r="B213" s="1"/>
    </row>
    <row r="214" spans="1:2" ht="14.4">
      <c r="A214" s="1"/>
      <c r="B214" s="1"/>
    </row>
    <row r="215" spans="1:2" ht="14.4">
      <c r="A215" s="1"/>
      <c r="B215" s="1"/>
    </row>
    <row r="216" spans="1:2" ht="14.4">
      <c r="A216" s="1"/>
      <c r="B216" s="1"/>
    </row>
    <row r="217" spans="1:2" ht="14.4">
      <c r="A217" s="1"/>
      <c r="B217" s="1"/>
    </row>
    <row r="218" spans="1:2" ht="14.4">
      <c r="A218" s="1"/>
      <c r="B218" s="1"/>
    </row>
    <row r="219" spans="1:2" ht="14.4">
      <c r="A219" s="1"/>
      <c r="B219" s="1"/>
    </row>
    <row r="220" spans="1:2" ht="14.4">
      <c r="A220" s="1"/>
      <c r="B220" s="1"/>
    </row>
    <row r="221" spans="1:2" ht="14.4">
      <c r="A221" s="1"/>
      <c r="B221" s="1"/>
    </row>
    <row r="222" spans="1:2" ht="14.4">
      <c r="A222" s="1"/>
      <c r="B222" s="1"/>
    </row>
    <row r="223" spans="1:2" ht="14.4">
      <c r="A223" s="1"/>
      <c r="B223" s="1"/>
    </row>
    <row r="224" spans="1:2" ht="14.4">
      <c r="A224" s="1"/>
      <c r="B224" s="1"/>
    </row>
    <row r="225" spans="1:2" ht="14.4">
      <c r="A225" s="1"/>
      <c r="B225" s="1"/>
    </row>
    <row r="226" spans="1:2" ht="14.4">
      <c r="A226" s="1"/>
      <c r="B226" s="1"/>
    </row>
    <row r="227" spans="1:2" ht="14.4">
      <c r="A227" s="1"/>
      <c r="B227" s="1"/>
    </row>
    <row r="228" spans="1:2" ht="14.4">
      <c r="A228" s="1"/>
      <c r="B228" s="1"/>
    </row>
    <row r="229" spans="1:2" ht="14.4">
      <c r="A229" s="1"/>
      <c r="B229" s="1"/>
    </row>
    <row r="230" spans="1:2" ht="14.4">
      <c r="A230" s="1"/>
      <c r="B230" s="1"/>
    </row>
    <row r="231" spans="1:2" ht="14.4">
      <c r="A231" s="1"/>
      <c r="B231" s="1"/>
    </row>
    <row r="232" spans="1:2" ht="14.4">
      <c r="A232" s="1"/>
      <c r="B232" s="1"/>
    </row>
    <row r="233" spans="1:2" ht="14.4">
      <c r="A233" s="1"/>
      <c r="B233" s="1"/>
    </row>
    <row r="234" spans="1:2" ht="14.4">
      <c r="A234" s="1"/>
      <c r="B234" s="1"/>
    </row>
    <row r="235" spans="1:2" ht="14.4">
      <c r="A235" s="1"/>
      <c r="B235" s="1"/>
    </row>
    <row r="236" spans="1:2" ht="14.4">
      <c r="A236" s="1"/>
      <c r="B236" s="1"/>
    </row>
    <row r="237" spans="1:2" ht="14.4">
      <c r="A237" s="1"/>
      <c r="B237" s="1"/>
    </row>
    <row r="238" spans="1:2" ht="14.4">
      <c r="A238" s="1"/>
      <c r="B238" s="1"/>
    </row>
    <row r="239" spans="1:2" ht="14.4">
      <c r="A239" s="1"/>
      <c r="B239" s="1"/>
    </row>
    <row r="240" spans="1:2" ht="14.4">
      <c r="A240" s="1"/>
      <c r="B240" s="1"/>
    </row>
    <row r="241" spans="1:2" ht="14.4">
      <c r="A241" s="1"/>
      <c r="B241" s="1"/>
    </row>
    <row r="242" spans="1:2" ht="14.4">
      <c r="A242" s="1"/>
      <c r="B242" s="1"/>
    </row>
    <row r="243" spans="1:2" ht="14.4">
      <c r="A243" s="1"/>
      <c r="B243" s="1"/>
    </row>
    <row r="244" spans="1:2" ht="14.4">
      <c r="A244" s="1"/>
      <c r="B244" s="1"/>
    </row>
    <row r="245" spans="1:2" ht="14.4">
      <c r="A245" s="1"/>
      <c r="B245" s="1"/>
    </row>
    <row r="246" spans="1:2" ht="14.4">
      <c r="A246" s="1"/>
      <c r="B246" s="1"/>
    </row>
    <row r="247" spans="1:2" ht="14.4">
      <c r="A247" s="1"/>
      <c r="B247" s="1"/>
    </row>
    <row r="248" spans="1:2" ht="14.4">
      <c r="A248" s="1"/>
      <c r="B248" s="1"/>
    </row>
    <row r="249" spans="1:2" ht="14.4">
      <c r="A249" s="1"/>
      <c r="B249" s="1"/>
    </row>
    <row r="250" spans="1:2" ht="14.4">
      <c r="A250" s="1"/>
      <c r="B250" s="1"/>
    </row>
    <row r="251" spans="1:2" ht="14.4">
      <c r="A251" s="1"/>
      <c r="B251" s="1"/>
    </row>
    <row r="252" spans="1:2" ht="14.4">
      <c r="A252" s="1"/>
      <c r="B252" s="1"/>
    </row>
    <row r="253" spans="1:2" ht="14.4">
      <c r="A253" s="1"/>
      <c r="B253" s="1"/>
    </row>
    <row r="254" spans="1:2" ht="14.4">
      <c r="A254" s="1"/>
      <c r="B254" s="1"/>
    </row>
    <row r="255" spans="1:2" ht="14.4">
      <c r="A255" s="1"/>
      <c r="B255" s="1"/>
    </row>
    <row r="256" spans="1:2" ht="14.4">
      <c r="A256" s="1"/>
      <c r="B256" s="1"/>
    </row>
    <row r="257" spans="1:2" ht="14.4">
      <c r="A257" s="1"/>
      <c r="B257" s="1"/>
    </row>
    <row r="258" spans="1:2" ht="14.4">
      <c r="A258" s="1"/>
      <c r="B258" s="1"/>
    </row>
    <row r="259" spans="1:2" ht="14.4">
      <c r="A259" s="1"/>
      <c r="B259" s="1"/>
    </row>
    <row r="260" spans="1:2" ht="14.4">
      <c r="A260" s="1"/>
      <c r="B260" s="1"/>
    </row>
    <row r="261" spans="1:2" ht="14.4">
      <c r="A261" s="1"/>
      <c r="B261" s="1"/>
    </row>
    <row r="262" spans="1:2" ht="14.4">
      <c r="A262" s="1"/>
      <c r="B262" s="1"/>
    </row>
    <row r="263" spans="1:2" ht="14.4">
      <c r="A263" s="1"/>
      <c r="B263" s="1"/>
    </row>
    <row r="264" spans="1:2" ht="14.4">
      <c r="A264" s="1"/>
      <c r="B264" s="1"/>
    </row>
    <row r="265" spans="1:2" ht="14.4">
      <c r="A265" s="1"/>
      <c r="B265" s="1"/>
    </row>
    <row r="266" spans="1:2" ht="14.4">
      <c r="A266" s="1"/>
      <c r="B266" s="1"/>
    </row>
    <row r="267" spans="1:2" ht="14.4">
      <c r="A267" s="1"/>
      <c r="B267" s="1"/>
    </row>
    <row r="268" spans="1:2" ht="14.4">
      <c r="A268" s="1"/>
      <c r="B268" s="1"/>
    </row>
    <row r="269" spans="1:2" ht="14.4">
      <c r="A269" s="1"/>
      <c r="B269" s="1"/>
    </row>
    <row r="270" spans="1:2" ht="14.4">
      <c r="A270" s="1"/>
      <c r="B270" s="1"/>
    </row>
    <row r="271" spans="1:2" ht="14.4">
      <c r="A271" s="1"/>
      <c r="B271" s="1"/>
    </row>
    <row r="272" spans="1:2" ht="14.4">
      <c r="A272" s="1"/>
      <c r="B272" s="1"/>
    </row>
    <row r="273" spans="1:2" ht="14.4">
      <c r="A273" s="1"/>
      <c r="B273" s="1"/>
    </row>
    <row r="274" spans="1:2" ht="14.4">
      <c r="A274" s="1"/>
      <c r="B274" s="1"/>
    </row>
    <row r="275" spans="1:2" ht="14.4">
      <c r="A275" s="1"/>
      <c r="B275" s="1"/>
    </row>
    <row r="276" spans="1:2" ht="14.4">
      <c r="A276" s="1"/>
      <c r="B276" s="1"/>
    </row>
    <row r="277" spans="1:2" ht="14.4">
      <c r="A277" s="1"/>
      <c r="B277" s="1"/>
    </row>
    <row r="278" spans="1:2" ht="14.4">
      <c r="A278" s="1"/>
      <c r="B278" s="1"/>
    </row>
    <row r="279" spans="1:2" ht="14.4">
      <c r="A279" s="1"/>
      <c r="B279" s="1"/>
    </row>
    <row r="280" spans="1:2" ht="14.4">
      <c r="A280" s="1"/>
      <c r="B280" s="1"/>
    </row>
    <row r="281" spans="1:2" ht="14.4">
      <c r="A281" s="1"/>
      <c r="B281" s="1"/>
    </row>
    <row r="282" spans="1:2" ht="14.4">
      <c r="A282" s="1"/>
      <c r="B282" s="1"/>
    </row>
    <row r="283" spans="1:2" ht="14.4">
      <c r="A283" s="1"/>
      <c r="B283" s="1"/>
    </row>
    <row r="284" spans="1:2" ht="14.4">
      <c r="A284" s="1"/>
      <c r="B284" s="1"/>
    </row>
    <row r="285" spans="1:2" ht="14.4">
      <c r="A285" s="1"/>
      <c r="B285" s="1"/>
    </row>
    <row r="286" spans="1:2" ht="14.4">
      <c r="A286" s="1"/>
      <c r="B286" s="1"/>
    </row>
    <row r="287" spans="1:2" ht="14.4">
      <c r="A287" s="1"/>
      <c r="B287" s="1"/>
    </row>
    <row r="288" spans="1:2" ht="14.4">
      <c r="A288" s="1"/>
      <c r="B288" s="1"/>
    </row>
    <row r="289" spans="1:2" ht="14.4">
      <c r="A289" s="1"/>
      <c r="B289" s="1"/>
    </row>
    <row r="290" spans="1:2" ht="14.4">
      <c r="A290" s="1"/>
      <c r="B290" s="1"/>
    </row>
    <row r="291" spans="1:2" ht="14.4">
      <c r="A291" s="1"/>
      <c r="B291" s="1"/>
    </row>
    <row r="292" spans="1:2" ht="14.4">
      <c r="A292" s="1"/>
      <c r="B292" s="1"/>
    </row>
    <row r="293" spans="1:2" ht="14.4">
      <c r="A293" s="1"/>
      <c r="B293" s="1"/>
    </row>
    <row r="294" spans="1:2" ht="14.4">
      <c r="A294" s="1"/>
      <c r="B294" s="1"/>
    </row>
    <row r="295" spans="1:2" ht="14.4">
      <c r="A295" s="1"/>
      <c r="B295" s="1"/>
    </row>
    <row r="296" spans="1:2" ht="14.4">
      <c r="A296" s="1"/>
      <c r="B296" s="1"/>
    </row>
    <row r="297" spans="1:2" ht="14.4">
      <c r="A297" s="1"/>
      <c r="B297" s="1"/>
    </row>
    <row r="298" spans="1:2" ht="14.4">
      <c r="A298" s="1"/>
      <c r="B298" s="1"/>
    </row>
    <row r="299" spans="1:2" ht="14.4">
      <c r="A299" s="1"/>
      <c r="B299" s="1"/>
    </row>
    <row r="300" spans="1:2" ht="14.4">
      <c r="A300" s="1"/>
      <c r="B300" s="1"/>
    </row>
    <row r="301" spans="1:2" ht="14.4">
      <c r="A301" s="1"/>
      <c r="B301" s="1"/>
    </row>
    <row r="302" spans="1:2" ht="14.4">
      <c r="A302" s="1"/>
      <c r="B302" s="1"/>
    </row>
    <row r="303" spans="1:2" ht="14.4">
      <c r="A303" s="1"/>
      <c r="B303" s="1"/>
    </row>
    <row r="304" spans="1:2" ht="14.4">
      <c r="A304" s="1"/>
      <c r="B304" s="1"/>
    </row>
    <row r="305" spans="1:2" ht="14.4">
      <c r="A305" s="1"/>
      <c r="B305" s="1"/>
    </row>
    <row r="306" spans="1:2" ht="14.4">
      <c r="A306" s="1"/>
      <c r="B306" s="1"/>
    </row>
    <row r="307" spans="1:2" ht="14.4">
      <c r="A307" s="1"/>
      <c r="B307" s="1"/>
    </row>
    <row r="308" spans="1:2" ht="14.4">
      <c r="A308" s="1"/>
      <c r="B308" s="1"/>
    </row>
    <row r="309" spans="1:2" ht="14.4">
      <c r="A309" s="1"/>
      <c r="B309" s="1"/>
    </row>
    <row r="310" spans="1:2" ht="14.4">
      <c r="A310" s="1"/>
      <c r="B310" s="1"/>
    </row>
    <row r="311" spans="1:2" ht="14.4">
      <c r="A311" s="1"/>
      <c r="B311" s="1"/>
    </row>
    <row r="312" spans="1:2" ht="14.4">
      <c r="A312" s="1"/>
      <c r="B312" s="1"/>
    </row>
    <row r="313" spans="1:2" ht="14.4">
      <c r="A313" s="1"/>
      <c r="B313" s="1"/>
    </row>
    <row r="314" spans="1:2" ht="14.4">
      <c r="A314" s="1"/>
      <c r="B314" s="1"/>
    </row>
    <row r="315" spans="1:2" ht="14.4">
      <c r="A315" s="1"/>
      <c r="B315" s="1"/>
    </row>
    <row r="316" spans="1:2" ht="14.4">
      <c r="A316" s="1"/>
      <c r="B316" s="1"/>
    </row>
    <row r="317" spans="1:2" ht="14.4">
      <c r="A317" s="1"/>
      <c r="B317" s="1"/>
    </row>
    <row r="318" spans="1:2" ht="14.4">
      <c r="A318" s="1"/>
      <c r="B318" s="1"/>
    </row>
    <row r="319" spans="1:2" ht="14.4">
      <c r="A319" s="1"/>
      <c r="B319" s="1"/>
    </row>
    <row r="320" spans="1:2" ht="14.4">
      <c r="A320" s="1"/>
      <c r="B320" s="1"/>
    </row>
    <row r="321" spans="1:2" ht="14.4">
      <c r="A321" s="1"/>
      <c r="B321" s="1"/>
    </row>
    <row r="322" spans="1:2" ht="14.4">
      <c r="A322" s="1"/>
      <c r="B322" s="1"/>
    </row>
    <row r="323" spans="1:2" ht="14.4">
      <c r="A323" s="1"/>
      <c r="B323" s="1"/>
    </row>
    <row r="324" spans="1:2" ht="14.4">
      <c r="A324" s="1"/>
      <c r="B324" s="1"/>
    </row>
    <row r="325" spans="1:2" ht="14.4">
      <c r="A325" s="1"/>
      <c r="B325" s="1"/>
    </row>
    <row r="326" spans="1:2" ht="14.4">
      <c r="A326" s="1"/>
      <c r="B326" s="1"/>
    </row>
    <row r="327" spans="1:2" ht="14.4">
      <c r="A327" s="1"/>
      <c r="B327" s="1"/>
    </row>
    <row r="328" spans="1:2" ht="14.4">
      <c r="A328" s="1"/>
      <c r="B328" s="1"/>
    </row>
    <row r="329" spans="1:2" ht="14.4">
      <c r="A329" s="1"/>
      <c r="B329" s="1"/>
    </row>
    <row r="330" spans="1:2" ht="14.4">
      <c r="A330" s="1"/>
      <c r="B330" s="1"/>
    </row>
    <row r="331" spans="1:2" ht="14.4">
      <c r="A331" s="1"/>
      <c r="B331" s="1"/>
    </row>
    <row r="332" spans="1:2" ht="14.4">
      <c r="A332" s="1"/>
      <c r="B332" s="1"/>
    </row>
    <row r="333" spans="1:2" ht="14.4">
      <c r="A333" s="1"/>
      <c r="B333" s="1"/>
    </row>
    <row r="334" spans="1:2" ht="14.4">
      <c r="A334" s="1"/>
      <c r="B334" s="1"/>
    </row>
    <row r="335" spans="1:2" ht="14.4">
      <c r="A335" s="1"/>
      <c r="B335" s="1"/>
    </row>
    <row r="336" spans="1:2" ht="14.4">
      <c r="A336" s="1"/>
      <c r="B336" s="1"/>
    </row>
    <row r="337" spans="1:2" ht="14.4">
      <c r="A337" s="1"/>
      <c r="B337" s="1"/>
    </row>
    <row r="338" spans="1:2" ht="14.4">
      <c r="A338" s="1"/>
      <c r="B338" s="1"/>
    </row>
    <row r="339" spans="1:2" ht="14.4">
      <c r="A339" s="1"/>
      <c r="B339" s="1"/>
    </row>
    <row r="340" spans="1:2" ht="14.4">
      <c r="A340" s="1"/>
      <c r="B340" s="1"/>
    </row>
    <row r="341" spans="1:2" ht="14.4">
      <c r="A341" s="1"/>
      <c r="B341" s="1"/>
    </row>
    <row r="342" spans="1:2" ht="14.4">
      <c r="A342" s="1"/>
      <c r="B342" s="1"/>
    </row>
    <row r="343" spans="1:2" ht="14.4">
      <c r="A343" s="1"/>
      <c r="B343" s="1"/>
    </row>
    <row r="344" spans="1:2" ht="14.4">
      <c r="A344" s="1"/>
      <c r="B344" s="1"/>
    </row>
    <row r="345" spans="1:2" ht="14.4">
      <c r="A345" s="1"/>
      <c r="B345" s="1"/>
    </row>
    <row r="346" spans="1:2" ht="14.4">
      <c r="A346" s="1"/>
      <c r="B346" s="1"/>
    </row>
    <row r="347" spans="1:2" ht="14.4">
      <c r="A347" s="1"/>
      <c r="B347" s="1"/>
    </row>
    <row r="348" spans="1:2" ht="14.4">
      <c r="A348" s="1"/>
      <c r="B348" s="1"/>
    </row>
    <row r="349" spans="1:2" ht="14.4">
      <c r="A349" s="1"/>
      <c r="B349" s="1"/>
    </row>
    <row r="350" spans="1:2" ht="14.4">
      <c r="A350" s="1"/>
      <c r="B350" s="1"/>
    </row>
    <row r="351" spans="1:2" ht="14.4">
      <c r="A351" s="1"/>
      <c r="B351" s="1"/>
    </row>
    <row r="352" spans="1:2" ht="14.4">
      <c r="A352" s="1"/>
      <c r="B352" s="1"/>
    </row>
    <row r="353" spans="1:2" ht="14.4">
      <c r="A353" s="1"/>
      <c r="B353" s="1"/>
    </row>
    <row r="354" spans="1:2" ht="14.4">
      <c r="A354" s="1"/>
      <c r="B354" s="1"/>
    </row>
    <row r="355" spans="1:2" ht="14.4">
      <c r="A355" s="1"/>
      <c r="B355" s="1"/>
    </row>
    <row r="356" spans="1:2" ht="14.4">
      <c r="A356" s="1"/>
      <c r="B356" s="1"/>
    </row>
    <row r="357" spans="1:2" ht="14.4">
      <c r="A357" s="1"/>
      <c r="B357" s="1"/>
    </row>
    <row r="358" spans="1:2" ht="14.4">
      <c r="A358" s="1"/>
      <c r="B358" s="1"/>
    </row>
    <row r="359" spans="1:2" ht="14.4">
      <c r="A359" s="1"/>
      <c r="B359" s="1"/>
    </row>
    <row r="360" spans="1:2" ht="14.4">
      <c r="A360" s="1"/>
      <c r="B360" s="1"/>
    </row>
    <row r="361" spans="1:2" ht="14.4">
      <c r="A361" s="1"/>
      <c r="B361" s="1"/>
    </row>
    <row r="362" spans="1:2" ht="14.4">
      <c r="A362" s="1"/>
      <c r="B362" s="1"/>
    </row>
    <row r="363" spans="1:2" ht="14.4">
      <c r="A363" s="1"/>
      <c r="B363" s="1"/>
    </row>
    <row r="364" spans="1:2" ht="14.4">
      <c r="A364" s="1"/>
      <c r="B364" s="1"/>
    </row>
    <row r="365" spans="1:2" ht="14.4">
      <c r="A365" s="1"/>
      <c r="B365" s="1"/>
    </row>
    <row r="366" spans="1:2" ht="14.4">
      <c r="A366" s="1"/>
      <c r="B366" s="1"/>
    </row>
    <row r="367" spans="1:2" ht="14.4">
      <c r="A367" s="1"/>
      <c r="B367" s="1"/>
    </row>
    <row r="368" spans="1:2" ht="14.4">
      <c r="A368" s="1"/>
      <c r="B368" s="1"/>
    </row>
    <row r="369" spans="1:2" ht="14.4">
      <c r="A369" s="1"/>
      <c r="B369" s="1"/>
    </row>
    <row r="370" spans="1:2" ht="14.4">
      <c r="A370" s="1"/>
      <c r="B370" s="1"/>
    </row>
    <row r="371" spans="1:2" ht="14.4">
      <c r="A371" s="1"/>
      <c r="B371" s="1"/>
    </row>
    <row r="372" spans="1:2" ht="14.4">
      <c r="A372" s="1"/>
      <c r="B372" s="1"/>
    </row>
    <row r="373" spans="1:2" ht="14.4">
      <c r="A373" s="1"/>
      <c r="B373" s="1"/>
    </row>
    <row r="374" spans="1:2" ht="14.4">
      <c r="A374" s="1"/>
      <c r="B374" s="1"/>
    </row>
    <row r="375" spans="1:2" ht="14.4">
      <c r="A375" s="1"/>
      <c r="B375" s="1"/>
    </row>
    <row r="376" spans="1:2" ht="14.4">
      <c r="A376" s="1"/>
      <c r="B376" s="1"/>
    </row>
    <row r="377" spans="1:2" ht="14.4">
      <c r="A377" s="1"/>
      <c r="B377" s="1"/>
    </row>
    <row r="378" spans="1:2" ht="14.4">
      <c r="A378" s="1"/>
      <c r="B378" s="1"/>
    </row>
    <row r="379" spans="1:2" ht="14.4">
      <c r="A379" s="1"/>
      <c r="B379" s="1"/>
    </row>
    <row r="380" spans="1:2" ht="14.4">
      <c r="A380" s="1"/>
      <c r="B380" s="1"/>
    </row>
    <row r="381" spans="1:2" ht="14.4">
      <c r="A381" s="1"/>
      <c r="B381" s="1"/>
    </row>
    <row r="382" spans="1:2" ht="14.4">
      <c r="A382" s="1"/>
      <c r="B382" s="1"/>
    </row>
    <row r="383" spans="1:2" ht="14.4">
      <c r="A383" s="1"/>
      <c r="B383" s="1"/>
    </row>
    <row r="384" spans="1:2" ht="14.4">
      <c r="A384" s="1"/>
      <c r="B384" s="1"/>
    </row>
    <row r="385" spans="1:2" ht="14.4">
      <c r="A385" s="1"/>
      <c r="B385" s="1"/>
    </row>
    <row r="386" spans="1:2" ht="14.4">
      <c r="A386" s="1"/>
      <c r="B386" s="1"/>
    </row>
    <row r="387" spans="1:2" ht="14.4">
      <c r="A387" s="1"/>
      <c r="B387" s="1"/>
    </row>
    <row r="388" spans="1:2" ht="14.4">
      <c r="A388" s="1"/>
      <c r="B388" s="1"/>
    </row>
    <row r="389" spans="1:2" ht="14.4">
      <c r="A389" s="1"/>
      <c r="B389" s="1"/>
    </row>
    <row r="390" spans="1:2" ht="14.4">
      <c r="A390" s="1"/>
      <c r="B390" s="1"/>
    </row>
    <row r="391" spans="1:2" ht="14.4">
      <c r="A391" s="1"/>
      <c r="B391" s="1"/>
    </row>
    <row r="392" spans="1:2" ht="14.4">
      <c r="A392" s="1"/>
      <c r="B392" s="1"/>
    </row>
    <row r="393" spans="1:2" ht="14.4">
      <c r="A393" s="1"/>
      <c r="B393" s="1"/>
    </row>
    <row r="394" spans="1:2" ht="14.4">
      <c r="A394" s="1"/>
      <c r="B394" s="1"/>
    </row>
    <row r="395" spans="1:2" ht="14.4">
      <c r="A395" s="1"/>
      <c r="B395" s="1"/>
    </row>
    <row r="396" spans="1:2" ht="14.4">
      <c r="A396" s="1"/>
      <c r="B396" s="1"/>
    </row>
    <row r="397" spans="1:2" ht="14.4">
      <c r="A397" s="1"/>
      <c r="B397" s="1"/>
    </row>
    <row r="398" spans="1:2" ht="14.4">
      <c r="A398" s="1"/>
      <c r="B398" s="1"/>
    </row>
    <row r="399" spans="1:2" ht="14.4">
      <c r="A399" s="1"/>
      <c r="B399" s="1"/>
    </row>
    <row r="400" spans="1:2" ht="14.4">
      <c r="A400" s="1"/>
      <c r="B400" s="1"/>
    </row>
    <row r="401" spans="1:2" ht="14.4">
      <c r="A401" s="1"/>
      <c r="B401" s="1"/>
    </row>
    <row r="402" spans="1:2" ht="14.4">
      <c r="A402" s="1"/>
      <c r="B402" s="1"/>
    </row>
    <row r="403" spans="1:2" ht="14.4">
      <c r="A403" s="1"/>
      <c r="B403" s="1"/>
    </row>
    <row r="404" spans="1:2" ht="14.4">
      <c r="A404" s="1"/>
      <c r="B404" s="1"/>
    </row>
    <row r="405" spans="1:2" ht="14.4">
      <c r="A405" s="1"/>
      <c r="B405" s="1"/>
    </row>
    <row r="406" spans="1:2" ht="14.4">
      <c r="A406" s="1"/>
      <c r="B406" s="1"/>
    </row>
    <row r="407" spans="1:2" ht="14.4">
      <c r="A407" s="1"/>
      <c r="B407" s="1"/>
    </row>
    <row r="408" spans="1:2" ht="14.4">
      <c r="A408" s="1"/>
      <c r="B408" s="1"/>
    </row>
    <row r="409" spans="1:2" ht="14.4">
      <c r="A409" s="1"/>
      <c r="B409" s="1"/>
    </row>
    <row r="410" spans="1:2" ht="14.4">
      <c r="A410" s="1"/>
      <c r="B410" s="1"/>
    </row>
    <row r="411" spans="1:2" ht="14.4">
      <c r="A411" s="1"/>
      <c r="B411" s="1"/>
    </row>
    <row r="412" spans="1:2" ht="14.4">
      <c r="A412" s="1"/>
      <c r="B412" s="1"/>
    </row>
    <row r="413" spans="1:2" ht="14.4">
      <c r="A413" s="1"/>
      <c r="B413" s="1"/>
    </row>
    <row r="414" spans="1:2" ht="14.4">
      <c r="A414" s="1"/>
      <c r="B414" s="1"/>
    </row>
    <row r="415" spans="1:2" ht="14.4">
      <c r="A415" s="1"/>
      <c r="B415" s="1"/>
    </row>
    <row r="416" spans="1:2" ht="14.4">
      <c r="A416" s="1"/>
      <c r="B416" s="1"/>
    </row>
    <row r="417" spans="1:2" ht="14.4">
      <c r="A417" s="1"/>
      <c r="B417" s="1"/>
    </row>
    <row r="418" spans="1:2" ht="14.4">
      <c r="A418" s="1"/>
      <c r="B418" s="1"/>
    </row>
    <row r="419" spans="1:2" ht="14.4">
      <c r="A419" s="1"/>
      <c r="B419" s="1"/>
    </row>
    <row r="420" spans="1:2" ht="14.4">
      <c r="A420" s="1"/>
      <c r="B420" s="1"/>
    </row>
    <row r="421" spans="1:2" ht="14.4">
      <c r="A421" s="1"/>
      <c r="B421" s="1"/>
    </row>
    <row r="422" spans="1:2" ht="14.4">
      <c r="A422" s="1"/>
      <c r="B422" s="1"/>
    </row>
    <row r="423" spans="1:2" ht="14.4">
      <c r="A423" s="1"/>
      <c r="B423" s="1"/>
    </row>
    <row r="424" spans="1:2" ht="14.4">
      <c r="A424" s="1"/>
      <c r="B424" s="1"/>
    </row>
    <row r="425" spans="1:2" ht="14.4">
      <c r="A425" s="1"/>
      <c r="B425" s="1"/>
    </row>
    <row r="426" spans="1:2" ht="14.4">
      <c r="A426" s="1"/>
      <c r="B426" s="1"/>
    </row>
    <row r="427" spans="1:2" ht="14.4">
      <c r="A427" s="1"/>
      <c r="B427" s="1"/>
    </row>
    <row r="428" spans="1:2" ht="14.4">
      <c r="A428" s="1"/>
      <c r="B428" s="1"/>
    </row>
    <row r="429" spans="1:2" ht="14.4">
      <c r="A429" s="1"/>
      <c r="B429" s="1"/>
    </row>
    <row r="430" spans="1:2" ht="14.4">
      <c r="A430" s="1"/>
      <c r="B430" s="1"/>
    </row>
    <row r="431" spans="1:2" ht="14.4">
      <c r="A431" s="1"/>
      <c r="B431" s="1"/>
    </row>
    <row r="432" spans="1:2" ht="14.4">
      <c r="A432" s="1"/>
      <c r="B432" s="1"/>
    </row>
    <row r="433" spans="1:2" ht="14.4">
      <c r="A433" s="1"/>
      <c r="B433" s="1"/>
    </row>
    <row r="434" spans="1:2" ht="14.4">
      <c r="A434" s="1"/>
      <c r="B434" s="1"/>
    </row>
    <row r="435" spans="1:2" ht="14.4">
      <c r="A435" s="1"/>
      <c r="B435" s="1"/>
    </row>
    <row r="436" spans="1:2" ht="14.4">
      <c r="A436" s="1"/>
      <c r="B436" s="1"/>
    </row>
    <row r="437" spans="1:2" ht="14.4">
      <c r="A437" s="1"/>
      <c r="B437" s="1"/>
    </row>
    <row r="438" spans="1:2" ht="14.4">
      <c r="A438" s="1"/>
      <c r="B438" s="1"/>
    </row>
    <row r="439" spans="1:2" ht="14.4">
      <c r="A439" s="1"/>
      <c r="B439" s="1"/>
    </row>
    <row r="440" spans="1:2" ht="14.4">
      <c r="A440" s="1"/>
      <c r="B440" s="1"/>
    </row>
    <row r="441" spans="1:2" ht="14.4">
      <c r="A441" s="1"/>
      <c r="B441" s="1"/>
    </row>
    <row r="442" spans="1:2" ht="14.4">
      <c r="A442" s="1"/>
      <c r="B442" s="1"/>
    </row>
    <row r="443" spans="1:2" ht="14.4">
      <c r="A443" s="1"/>
      <c r="B443" s="1"/>
    </row>
    <row r="444" spans="1:2" ht="14.4">
      <c r="A444" s="1"/>
      <c r="B444" s="1"/>
    </row>
    <row r="445" spans="1:2" ht="14.4">
      <c r="A445" s="1"/>
      <c r="B445" s="1"/>
    </row>
    <row r="446" spans="1:2" ht="14.4">
      <c r="A446" s="1"/>
      <c r="B446" s="1"/>
    </row>
    <row r="447" spans="1:2" ht="14.4">
      <c r="A447" s="1"/>
      <c r="B447" s="1"/>
    </row>
    <row r="448" spans="1:2" ht="14.4">
      <c r="A448" s="1"/>
      <c r="B448" s="1"/>
    </row>
    <row r="449" spans="1:2" ht="14.4">
      <c r="A449" s="1"/>
      <c r="B449" s="1"/>
    </row>
    <row r="450" spans="1:2" ht="14.4">
      <c r="A450" s="1"/>
      <c r="B450" s="1"/>
    </row>
    <row r="451" spans="1:2" ht="14.4">
      <c r="A451" s="1"/>
      <c r="B451" s="1"/>
    </row>
    <row r="452" spans="1:2" ht="14.4">
      <c r="A452" s="1"/>
      <c r="B452" s="1"/>
    </row>
    <row r="453" spans="1:2" ht="14.4">
      <c r="A453" s="1"/>
      <c r="B453" s="1"/>
    </row>
    <row r="454" spans="1:2" ht="14.4">
      <c r="A454" s="1"/>
      <c r="B454" s="1"/>
    </row>
    <row r="455" spans="1:2" ht="14.4">
      <c r="A455" s="1"/>
      <c r="B455" s="1"/>
    </row>
    <row r="456" spans="1:2" ht="14.4">
      <c r="A456" s="1"/>
      <c r="B456" s="1"/>
    </row>
    <row r="457" spans="1:2" ht="14.4">
      <c r="A457" s="1"/>
      <c r="B457" s="1"/>
    </row>
    <row r="458" spans="1:2" ht="14.4">
      <c r="A458" s="1"/>
      <c r="B458" s="1"/>
    </row>
    <row r="459" spans="1:2" ht="14.4">
      <c r="A459" s="1"/>
      <c r="B459" s="1"/>
    </row>
    <row r="460" spans="1:2" ht="14.4">
      <c r="A460" s="1"/>
      <c r="B460" s="1"/>
    </row>
    <row r="461" spans="1:2" ht="14.4">
      <c r="A461" s="1"/>
      <c r="B461" s="1"/>
    </row>
    <row r="462" spans="1:2" ht="14.4">
      <c r="A462" s="1"/>
      <c r="B462" s="1"/>
    </row>
    <row r="463" spans="1:2" ht="14.4">
      <c r="A463" s="1"/>
      <c r="B463" s="1"/>
    </row>
    <row r="464" spans="1:2" ht="14.4">
      <c r="A464" s="1"/>
      <c r="B464" s="1"/>
    </row>
    <row r="465" spans="1:2" ht="14.4">
      <c r="A465" s="1"/>
      <c r="B465" s="1"/>
    </row>
    <row r="466" spans="1:2" ht="14.4">
      <c r="A466" s="1"/>
      <c r="B466" s="1"/>
    </row>
    <row r="467" spans="1:2" ht="14.4">
      <c r="A467" s="1"/>
      <c r="B467" s="1"/>
    </row>
    <row r="468" spans="1:2" ht="14.4">
      <c r="A468" s="1"/>
      <c r="B468" s="1"/>
    </row>
    <row r="469" spans="1:2" ht="14.4">
      <c r="A469" s="1"/>
      <c r="B469" s="1"/>
    </row>
    <row r="470" spans="1:2" ht="14.4">
      <c r="A470" s="1"/>
      <c r="B470" s="1"/>
    </row>
    <row r="471" spans="1:2" ht="14.4">
      <c r="A471" s="1"/>
      <c r="B471" s="1"/>
    </row>
    <row r="472" spans="1:2" ht="14.4">
      <c r="A472" s="1"/>
      <c r="B472" s="1"/>
    </row>
    <row r="473" spans="1:2" ht="14.4">
      <c r="A473" s="1"/>
      <c r="B473" s="1"/>
    </row>
    <row r="474" spans="1:2" ht="14.4">
      <c r="A474" s="1"/>
      <c r="B474" s="1"/>
    </row>
    <row r="475" spans="1:2" ht="14.4">
      <c r="A475" s="1"/>
      <c r="B475" s="1"/>
    </row>
    <row r="476" spans="1:2" ht="14.4">
      <c r="A476" s="1"/>
      <c r="B476" s="1"/>
    </row>
    <row r="477" spans="1:2" ht="14.4">
      <c r="A477" s="1"/>
      <c r="B477" s="1"/>
    </row>
    <row r="478" spans="1:2" ht="14.4">
      <c r="A478" s="1"/>
      <c r="B478" s="1"/>
    </row>
    <row r="479" spans="1:2" ht="14.4">
      <c r="A479" s="1"/>
      <c r="B479" s="1"/>
    </row>
    <row r="480" spans="1:2" ht="14.4">
      <c r="A480" s="1"/>
      <c r="B480" s="1"/>
    </row>
    <row r="481" spans="1:2" ht="14.4">
      <c r="A481" s="1"/>
      <c r="B481" s="1"/>
    </row>
    <row r="482" spans="1:2" ht="14.4">
      <c r="A482" s="1"/>
      <c r="B482" s="1"/>
    </row>
    <row r="483" spans="1:2" ht="14.4">
      <c r="A483" s="1"/>
      <c r="B483" s="1"/>
    </row>
    <row r="484" spans="1:2" ht="14.4">
      <c r="A484" s="1"/>
      <c r="B484" s="1"/>
    </row>
    <row r="485" spans="1:2" ht="14.4">
      <c r="A485" s="1"/>
      <c r="B485" s="1"/>
    </row>
    <row r="486" spans="1:2" ht="14.4">
      <c r="A486" s="1"/>
      <c r="B486" s="1"/>
    </row>
    <row r="487" spans="1:2" ht="14.4">
      <c r="A487" s="1"/>
      <c r="B487" s="1"/>
    </row>
    <row r="488" spans="1:2" ht="14.4">
      <c r="A488" s="1"/>
      <c r="B488" s="1"/>
    </row>
    <row r="489" spans="1:2" ht="14.4">
      <c r="A489" s="1"/>
      <c r="B489" s="1"/>
    </row>
    <row r="490" spans="1:2" ht="14.4">
      <c r="A490" s="1"/>
      <c r="B490" s="1"/>
    </row>
    <row r="491" spans="1:2" ht="14.4">
      <c r="A491" s="1"/>
      <c r="B491" s="1"/>
    </row>
    <row r="492" spans="1:2" ht="14.4">
      <c r="A492" s="1"/>
      <c r="B492" s="1"/>
    </row>
    <row r="493" spans="1:2" ht="14.4">
      <c r="A493" s="1"/>
      <c r="B493" s="1"/>
    </row>
    <row r="494" spans="1:2" ht="14.4">
      <c r="A494" s="1"/>
      <c r="B494" s="1"/>
    </row>
    <row r="495" spans="1:2" ht="14.4">
      <c r="A495" s="1"/>
      <c r="B495" s="1"/>
    </row>
    <row r="496" spans="1:2" ht="14.4">
      <c r="A496" s="1"/>
      <c r="B496" s="1"/>
    </row>
    <row r="497" spans="1:2" ht="14.4">
      <c r="A497" s="1"/>
      <c r="B497" s="1"/>
    </row>
    <row r="498" spans="1:2" ht="14.4">
      <c r="A498" s="1"/>
      <c r="B498" s="1"/>
    </row>
    <row r="499" spans="1:2" ht="14.4">
      <c r="A499" s="1"/>
      <c r="B499" s="1"/>
    </row>
    <row r="500" spans="1:2" ht="14.4">
      <c r="A500" s="1"/>
      <c r="B500" s="1"/>
    </row>
    <row r="501" spans="1:2" ht="14.4">
      <c r="A501" s="1"/>
      <c r="B501" s="1"/>
    </row>
    <row r="502" spans="1:2" ht="14.4">
      <c r="A502" s="1"/>
      <c r="B502" s="1"/>
    </row>
    <row r="503" spans="1:2" ht="14.4">
      <c r="A503" s="1"/>
      <c r="B503" s="1"/>
    </row>
    <row r="504" spans="1:2" ht="14.4">
      <c r="A504" s="1"/>
      <c r="B504" s="1"/>
    </row>
    <row r="505" spans="1:2" ht="14.4">
      <c r="A505" s="1"/>
      <c r="B505" s="1"/>
    </row>
    <row r="506" spans="1:2" ht="14.4">
      <c r="A506" s="1"/>
      <c r="B506" s="1"/>
    </row>
    <row r="507" spans="1:2" ht="14.4">
      <c r="A507" s="1"/>
      <c r="B507" s="1"/>
    </row>
    <row r="508" spans="1:2" ht="14.4">
      <c r="A508" s="1"/>
      <c r="B508" s="1"/>
    </row>
    <row r="509" spans="1:2" ht="14.4">
      <c r="A509" s="1"/>
      <c r="B509" s="1"/>
    </row>
    <row r="510" spans="1:2" ht="14.4">
      <c r="A510" s="1"/>
      <c r="B510" s="1"/>
    </row>
    <row r="511" spans="1:2" ht="14.4">
      <c r="A511" s="1"/>
      <c r="B511" s="1"/>
    </row>
    <row r="512" spans="1:2" ht="14.4">
      <c r="A512" s="1"/>
      <c r="B512" s="1"/>
    </row>
    <row r="513" spans="1:2" ht="14.4">
      <c r="A513" s="1"/>
      <c r="B513" s="1"/>
    </row>
    <row r="514" spans="1:2" ht="14.4">
      <c r="A514" s="1"/>
      <c r="B514" s="1"/>
    </row>
    <row r="515" spans="1:2" ht="14.4">
      <c r="A515" s="1"/>
      <c r="B515" s="1"/>
    </row>
    <row r="516" spans="1:2" ht="14.4">
      <c r="A516" s="1"/>
      <c r="B516" s="1"/>
    </row>
    <row r="517" spans="1:2" ht="14.4">
      <c r="A517" s="1"/>
      <c r="B517" s="1"/>
    </row>
    <row r="518" spans="1:2" ht="14.4">
      <c r="A518" s="1"/>
      <c r="B518" s="1"/>
    </row>
    <row r="519" spans="1:2" ht="14.4">
      <c r="A519" s="1"/>
      <c r="B519" s="1"/>
    </row>
    <row r="520" spans="1:2" ht="14.4">
      <c r="A520" s="1"/>
      <c r="B520" s="1"/>
    </row>
    <row r="521" spans="1:2" ht="14.4">
      <c r="A521" s="1"/>
      <c r="B521" s="1"/>
    </row>
    <row r="522" spans="1:2" ht="14.4">
      <c r="A522" s="1"/>
      <c r="B522" s="1"/>
    </row>
    <row r="523" spans="1:2" ht="14.4">
      <c r="A523" s="1"/>
      <c r="B523" s="1"/>
    </row>
    <row r="524" spans="1:2" ht="14.4">
      <c r="A524" s="1"/>
      <c r="B524" s="1"/>
    </row>
    <row r="525" spans="1:2" ht="14.4">
      <c r="A525" s="1"/>
      <c r="B525" s="1"/>
    </row>
    <row r="526" spans="1:2" ht="14.4">
      <c r="A526" s="1"/>
      <c r="B526" s="1"/>
    </row>
    <row r="527" spans="1:2" ht="14.4">
      <c r="A527" s="1"/>
      <c r="B527" s="1"/>
    </row>
    <row r="528" spans="1:2" ht="14.4">
      <c r="A528" s="1"/>
      <c r="B528" s="1"/>
    </row>
    <row r="529" spans="1:2" ht="14.4">
      <c r="A529" s="1"/>
      <c r="B529" s="1"/>
    </row>
    <row r="530" spans="1:2" ht="14.4">
      <c r="A530" s="1"/>
      <c r="B530" s="1"/>
    </row>
    <row r="531" spans="1:2" ht="14.4">
      <c r="A531" s="1"/>
      <c r="B531" s="1"/>
    </row>
    <row r="532" spans="1:2" ht="14.4">
      <c r="A532" s="1"/>
      <c r="B532" s="1"/>
    </row>
    <row r="533" spans="1:2" ht="14.4">
      <c r="A533" s="1"/>
      <c r="B533" s="1"/>
    </row>
    <row r="534" spans="1:2" ht="14.4">
      <c r="A534" s="1"/>
      <c r="B534" s="1"/>
    </row>
    <row r="535" spans="1:2" ht="14.4">
      <c r="A535" s="1"/>
      <c r="B535" s="1"/>
    </row>
    <row r="536" spans="1:2" ht="14.4">
      <c r="A536" s="1"/>
      <c r="B536" s="1"/>
    </row>
    <row r="537" spans="1:2" ht="14.4">
      <c r="A537" s="1"/>
      <c r="B537" s="1"/>
    </row>
    <row r="538" spans="1:2" ht="14.4">
      <c r="A538" s="1"/>
      <c r="B538" s="1"/>
    </row>
    <row r="539" spans="1:2" ht="14.4">
      <c r="A539" s="1"/>
      <c r="B539" s="1"/>
    </row>
    <row r="540" spans="1:2" ht="14.4">
      <c r="A540" s="1"/>
      <c r="B540" s="1"/>
    </row>
    <row r="541" spans="1:2" ht="14.4">
      <c r="A541" s="1"/>
      <c r="B541" s="1"/>
    </row>
    <row r="542" spans="1:2" ht="14.4">
      <c r="A542" s="1"/>
      <c r="B542" s="1"/>
    </row>
    <row r="543" spans="1:2" ht="14.4">
      <c r="A543" s="1"/>
      <c r="B543" s="1"/>
    </row>
    <row r="544" spans="1:2" ht="14.4">
      <c r="A544" s="1"/>
      <c r="B544" s="1"/>
    </row>
    <row r="545" spans="1:2" ht="14.4">
      <c r="A545" s="1"/>
      <c r="B545" s="1"/>
    </row>
    <row r="546" spans="1:2" ht="14.4">
      <c r="A546" s="1"/>
      <c r="B546" s="1"/>
    </row>
    <row r="547" spans="1:2" ht="14.4">
      <c r="A547" s="1"/>
      <c r="B547" s="1"/>
    </row>
    <row r="548" spans="1:2" ht="14.4">
      <c r="A548" s="1"/>
      <c r="B548" s="1"/>
    </row>
    <row r="549" spans="1:2" ht="14.4">
      <c r="A549" s="1"/>
      <c r="B549" s="1"/>
    </row>
    <row r="550" spans="1:2" ht="14.4">
      <c r="A550" s="1"/>
      <c r="B550" s="1"/>
    </row>
    <row r="551" spans="1:2" ht="14.4">
      <c r="A551" s="1"/>
      <c r="B551" s="1"/>
    </row>
    <row r="552" spans="1:2" ht="14.4">
      <c r="A552" s="1"/>
      <c r="B552" s="1"/>
    </row>
    <row r="553" spans="1:2" ht="14.4">
      <c r="A553" s="1"/>
      <c r="B553" s="1"/>
    </row>
    <row r="554" spans="1:2" ht="14.4">
      <c r="A554" s="1"/>
      <c r="B554" s="1"/>
    </row>
    <row r="555" spans="1:2" ht="14.4">
      <c r="A555" s="1"/>
      <c r="B555" s="1"/>
    </row>
    <row r="556" spans="1:2" ht="14.4">
      <c r="A556" s="1"/>
      <c r="B556" s="1"/>
    </row>
    <row r="557" spans="1:2" ht="14.4">
      <c r="A557" s="1"/>
      <c r="B557" s="1"/>
    </row>
    <row r="558" spans="1:2" ht="14.4">
      <c r="A558" s="1"/>
      <c r="B558" s="1"/>
    </row>
    <row r="559" spans="1:2" ht="14.4">
      <c r="A559" s="1"/>
      <c r="B559" s="1"/>
    </row>
    <row r="560" spans="1:2" ht="14.4">
      <c r="A560" s="1"/>
      <c r="B560" s="1"/>
    </row>
    <row r="561" spans="1:2" ht="14.4">
      <c r="A561" s="1"/>
      <c r="B561" s="1"/>
    </row>
    <row r="562" spans="1:2" ht="14.4">
      <c r="A562" s="1"/>
      <c r="B562" s="1"/>
    </row>
    <row r="563" spans="1:2" ht="14.4">
      <c r="A563" s="1"/>
      <c r="B563" s="1"/>
    </row>
    <row r="564" spans="1:2" ht="14.4">
      <c r="A564" s="1"/>
      <c r="B564" s="1"/>
    </row>
    <row r="565" spans="1:2" ht="14.4">
      <c r="A565" s="1"/>
      <c r="B565" s="1"/>
    </row>
    <row r="566" spans="1:2" ht="14.4">
      <c r="A566" s="1"/>
      <c r="B566" s="1"/>
    </row>
    <row r="567" spans="1:2" ht="14.4">
      <c r="A567" s="1"/>
      <c r="B567" s="1"/>
    </row>
    <row r="568" spans="1:2" ht="14.4">
      <c r="A568" s="1"/>
      <c r="B568" s="1"/>
    </row>
    <row r="569" spans="1:2" ht="14.4">
      <c r="A569" s="1"/>
      <c r="B569" s="1"/>
    </row>
    <row r="570" spans="1:2" ht="14.4">
      <c r="A570" s="1"/>
      <c r="B570" s="1"/>
    </row>
    <row r="571" spans="1:2" ht="14.4">
      <c r="A571" s="1"/>
      <c r="B571" s="1"/>
    </row>
    <row r="572" spans="1:2" ht="14.4">
      <c r="A572" s="1"/>
      <c r="B572" s="1"/>
    </row>
    <row r="573" spans="1:2" ht="14.4">
      <c r="A573" s="1"/>
      <c r="B573" s="1"/>
    </row>
    <row r="574" spans="1:2" ht="14.4">
      <c r="A574" s="1"/>
      <c r="B574" s="1"/>
    </row>
    <row r="575" spans="1:2" ht="14.4">
      <c r="A575" s="1"/>
      <c r="B575" s="1"/>
    </row>
    <row r="576" spans="1:2" ht="14.4">
      <c r="A576" s="1"/>
      <c r="B576" s="1"/>
    </row>
    <row r="577" spans="1:2" ht="14.4">
      <c r="A577" s="1"/>
      <c r="B577" s="1"/>
    </row>
    <row r="578" spans="1:2" ht="14.4">
      <c r="A578" s="1"/>
      <c r="B578" s="1"/>
    </row>
    <row r="579" spans="1:2" ht="14.4">
      <c r="A579" s="1"/>
      <c r="B579" s="1"/>
    </row>
    <row r="580" spans="1:2" ht="14.4">
      <c r="A580" s="1"/>
      <c r="B580" s="1"/>
    </row>
    <row r="581" spans="1:2" ht="14.4">
      <c r="A581" s="1"/>
      <c r="B581" s="1"/>
    </row>
    <row r="582" spans="1:2" ht="14.4">
      <c r="A582" s="1"/>
      <c r="B582" s="1"/>
    </row>
    <row r="583" spans="1:2" ht="14.4">
      <c r="A583" s="1"/>
      <c r="B583" s="1"/>
    </row>
    <row r="584" spans="1:2" ht="14.4">
      <c r="A584" s="1"/>
      <c r="B584" s="1"/>
    </row>
    <row r="585" spans="1:2" ht="14.4">
      <c r="A585" s="1"/>
      <c r="B585" s="1"/>
    </row>
    <row r="586" spans="1:2" ht="14.4">
      <c r="A586" s="1"/>
      <c r="B586" s="1"/>
    </row>
    <row r="587" spans="1:2" ht="14.4">
      <c r="A587" s="1"/>
      <c r="B587" s="1"/>
    </row>
    <row r="588" spans="1:2" ht="14.4">
      <c r="A588" s="1"/>
      <c r="B588" s="1"/>
    </row>
    <row r="589" spans="1:2" ht="14.4">
      <c r="A589" s="1"/>
      <c r="B589" s="1"/>
    </row>
    <row r="590" spans="1:2" ht="14.4">
      <c r="A590" s="1"/>
      <c r="B590" s="1"/>
    </row>
    <row r="591" spans="1:2" ht="14.4">
      <c r="A591" s="1"/>
      <c r="B591" s="1"/>
    </row>
    <row r="592" spans="1:2" ht="14.4">
      <c r="A592" s="1"/>
      <c r="B592" s="1"/>
    </row>
    <row r="593" spans="1:2" ht="14.4">
      <c r="A593" s="1"/>
      <c r="B593" s="1"/>
    </row>
    <row r="594" spans="1:2" ht="14.4">
      <c r="A594" s="1"/>
      <c r="B594" s="1"/>
    </row>
    <row r="595" spans="1:2" ht="14.4">
      <c r="A595" s="1"/>
      <c r="B595" s="1"/>
    </row>
    <row r="596" spans="1:2" ht="14.4">
      <c r="A596" s="1"/>
      <c r="B596" s="1"/>
    </row>
    <row r="597" spans="1:2" ht="14.4">
      <c r="A597" s="1"/>
      <c r="B597" s="1"/>
    </row>
    <row r="598" spans="1:2" ht="14.4">
      <c r="A598" s="1"/>
      <c r="B598" s="1"/>
    </row>
    <row r="599" spans="1:2" ht="14.4">
      <c r="A599" s="1"/>
      <c r="B599" s="1"/>
    </row>
    <row r="600" spans="1:2" ht="14.4">
      <c r="A600" s="1"/>
      <c r="B600" s="1"/>
    </row>
    <row r="601" spans="1:2" ht="14.4">
      <c r="A601" s="1"/>
      <c r="B601" s="1"/>
    </row>
    <row r="602" spans="1:2" ht="14.4">
      <c r="A602" s="1"/>
      <c r="B602" s="1"/>
    </row>
    <row r="603" spans="1:2" ht="14.4">
      <c r="A603" s="1"/>
      <c r="B603" s="1"/>
    </row>
    <row r="604" spans="1:2" ht="14.4">
      <c r="A604" s="1"/>
      <c r="B604" s="1"/>
    </row>
    <row r="605" spans="1:2" ht="14.4">
      <c r="A605" s="1"/>
      <c r="B605" s="1"/>
    </row>
    <row r="606" spans="1:2" ht="14.4">
      <c r="A606" s="1"/>
      <c r="B606" s="1"/>
    </row>
    <row r="607" spans="1:2" ht="14.4">
      <c r="A607" s="1"/>
      <c r="B607" s="1"/>
    </row>
    <row r="608" spans="1:2" ht="14.4">
      <c r="A608" s="1"/>
      <c r="B608" s="1"/>
    </row>
    <row r="609" spans="1:2" ht="14.4">
      <c r="A609" s="1"/>
      <c r="B609" s="1"/>
    </row>
    <row r="610" spans="1:2" ht="14.4">
      <c r="A610" s="1"/>
      <c r="B610" s="1"/>
    </row>
    <row r="611" spans="1:2" ht="14.4">
      <c r="A611" s="1"/>
      <c r="B611" s="1"/>
    </row>
    <row r="612" spans="1:2" ht="14.4">
      <c r="A612" s="1"/>
      <c r="B612" s="1"/>
    </row>
    <row r="613" spans="1:2" ht="14.4">
      <c r="A613" s="1"/>
      <c r="B613" s="1"/>
    </row>
    <row r="614" spans="1:2" ht="14.4">
      <c r="A614" s="1"/>
      <c r="B614" s="1"/>
    </row>
    <row r="615" spans="1:2" ht="14.4">
      <c r="A615" s="1"/>
      <c r="B615" s="1"/>
    </row>
    <row r="616" spans="1:2" ht="14.4">
      <c r="A616" s="1"/>
      <c r="B616" s="1"/>
    </row>
    <row r="617" spans="1:2" ht="14.4">
      <c r="A617" s="1"/>
      <c r="B617" s="1"/>
    </row>
    <row r="618" spans="1:2" ht="14.4">
      <c r="A618" s="1"/>
      <c r="B618" s="1"/>
    </row>
    <row r="619" spans="1:2" ht="14.4">
      <c r="A619" s="1"/>
      <c r="B619" s="1"/>
    </row>
    <row r="620" spans="1:2" ht="14.4">
      <c r="A620" s="1"/>
      <c r="B620" s="1"/>
    </row>
    <row r="621" spans="1:2" ht="14.4">
      <c r="A621" s="1"/>
      <c r="B621" s="1"/>
    </row>
    <row r="622" spans="1:2" ht="14.4">
      <c r="A622" s="1"/>
      <c r="B622" s="1"/>
    </row>
    <row r="623" spans="1:2" ht="14.4">
      <c r="A623" s="1"/>
      <c r="B623" s="1"/>
    </row>
    <row r="624" spans="1:2" ht="14.4">
      <c r="A624" s="1"/>
      <c r="B624" s="1"/>
    </row>
    <row r="625" spans="1:2" ht="14.4">
      <c r="A625" s="1"/>
      <c r="B625" s="1"/>
    </row>
    <row r="626" spans="1:2" ht="14.4">
      <c r="A626" s="1"/>
      <c r="B626" s="1"/>
    </row>
    <row r="627" spans="1:2" ht="14.4">
      <c r="A627" s="1"/>
      <c r="B627" s="1"/>
    </row>
    <row r="628" spans="1:2" ht="14.4">
      <c r="A628" s="1"/>
      <c r="B628" s="1"/>
    </row>
    <row r="629" spans="1:2" ht="14.4">
      <c r="A629" s="1"/>
      <c r="B629" s="1"/>
    </row>
    <row r="630" spans="1:2" ht="14.4">
      <c r="A630" s="1"/>
      <c r="B630" s="1"/>
    </row>
    <row r="631" spans="1:2" ht="14.4">
      <c r="A631" s="1"/>
      <c r="B631" s="1"/>
    </row>
    <row r="632" spans="1:2" ht="14.4">
      <c r="A632" s="1"/>
      <c r="B632" s="1"/>
    </row>
    <row r="633" spans="1:2" ht="14.4">
      <c r="A633" s="1"/>
      <c r="B633" s="1"/>
    </row>
    <row r="634" spans="1:2" ht="14.4">
      <c r="A634" s="1"/>
      <c r="B634" s="1"/>
    </row>
    <row r="635" spans="1:2" ht="14.4">
      <c r="A635" s="1"/>
      <c r="B635" s="1"/>
    </row>
    <row r="636" spans="1:2" ht="14.4">
      <c r="A636" s="1"/>
      <c r="B636" s="1"/>
    </row>
    <row r="637" spans="1:2" ht="14.4">
      <c r="A637" s="1"/>
      <c r="B637" s="1"/>
    </row>
    <row r="638" spans="1:2" ht="14.4">
      <c r="A638" s="1"/>
      <c r="B638" s="1"/>
    </row>
    <row r="639" spans="1:2" ht="14.4">
      <c r="A639" s="1"/>
      <c r="B639" s="1"/>
    </row>
    <row r="640" spans="1:2" ht="14.4">
      <c r="A640" s="1"/>
      <c r="B640" s="1"/>
    </row>
    <row r="641" spans="1:2" ht="14.4">
      <c r="A641" s="1"/>
      <c r="B641" s="1"/>
    </row>
    <row r="642" spans="1:2" ht="14.4">
      <c r="A642" s="1"/>
      <c r="B642" s="1"/>
    </row>
    <row r="643" spans="1:2" ht="14.4">
      <c r="A643" s="1"/>
      <c r="B643" s="1"/>
    </row>
    <row r="644" spans="1:2" ht="14.4">
      <c r="A644" s="1"/>
      <c r="B644" s="1"/>
    </row>
    <row r="645" spans="1:2" ht="14.4">
      <c r="A645" s="1"/>
      <c r="B645" s="1"/>
    </row>
    <row r="646" spans="1:2" ht="14.4">
      <c r="A646" s="1"/>
      <c r="B646" s="1"/>
    </row>
    <row r="647" spans="1:2" ht="14.4">
      <c r="A647" s="1"/>
      <c r="B647" s="1"/>
    </row>
    <row r="648" spans="1:2" ht="14.4">
      <c r="A648" s="1"/>
      <c r="B648" s="1"/>
    </row>
    <row r="649" spans="1:2" ht="14.4">
      <c r="A649" s="1"/>
      <c r="B649" s="1"/>
    </row>
    <row r="650" spans="1:2" ht="14.4">
      <c r="A650" s="1"/>
      <c r="B650" s="1"/>
    </row>
    <row r="651" spans="1:2" ht="14.4">
      <c r="A651" s="1"/>
      <c r="B651" s="1"/>
    </row>
    <row r="652" spans="1:2" ht="14.4">
      <c r="A652" s="1"/>
      <c r="B652" s="1"/>
    </row>
    <row r="653" spans="1:2" ht="14.4">
      <c r="A653" s="1"/>
      <c r="B653" s="1"/>
    </row>
    <row r="654" spans="1:2" ht="14.4">
      <c r="A654" s="1"/>
      <c r="B654" s="1"/>
    </row>
    <row r="655" spans="1:2" ht="14.4">
      <c r="A655" s="1"/>
      <c r="B655" s="1"/>
    </row>
    <row r="656" spans="1:2" ht="14.4">
      <c r="A656" s="1"/>
      <c r="B656" s="1"/>
    </row>
    <row r="657" spans="1:2" ht="14.4">
      <c r="A657" s="1"/>
      <c r="B657" s="1"/>
    </row>
    <row r="658" spans="1:2" ht="14.4">
      <c r="A658" s="1"/>
      <c r="B658" s="1"/>
    </row>
    <row r="659" spans="1:2" ht="14.4">
      <c r="A659" s="1"/>
      <c r="B659" s="1"/>
    </row>
    <row r="660" spans="1:2" ht="14.4">
      <c r="A660" s="1"/>
      <c r="B660" s="1"/>
    </row>
    <row r="661" spans="1:2" ht="14.4">
      <c r="A661" s="1"/>
      <c r="B661" s="1"/>
    </row>
    <row r="662" spans="1:2" ht="14.4">
      <c r="A662" s="1"/>
      <c r="B662" s="1"/>
    </row>
    <row r="663" spans="1:2" ht="14.4">
      <c r="A663" s="1"/>
      <c r="B663" s="1"/>
    </row>
    <row r="664" spans="1:2" ht="14.4">
      <c r="A664" s="1"/>
      <c r="B664" s="1"/>
    </row>
    <row r="665" spans="1:2" ht="14.4">
      <c r="A665" s="1"/>
      <c r="B665" s="1"/>
    </row>
    <row r="666" spans="1:2" ht="14.4">
      <c r="A666" s="1"/>
      <c r="B666" s="1"/>
    </row>
    <row r="667" spans="1:2" ht="14.4">
      <c r="A667" s="1"/>
      <c r="B667" s="1"/>
    </row>
    <row r="668" spans="1:2" ht="14.4">
      <c r="A668" s="1"/>
      <c r="B668" s="1"/>
    </row>
    <row r="669" spans="1:2" ht="14.4">
      <c r="A669" s="1"/>
      <c r="B669" s="1"/>
    </row>
    <row r="670" spans="1:2" ht="14.4">
      <c r="A670" s="1"/>
      <c r="B670" s="1"/>
    </row>
    <row r="671" spans="1:2" ht="14.4">
      <c r="A671" s="1"/>
      <c r="B671" s="1"/>
    </row>
    <row r="672" spans="1:2" ht="14.4">
      <c r="A672" s="1"/>
      <c r="B672" s="1"/>
    </row>
    <row r="673" spans="1:2" ht="14.4">
      <c r="A673" s="1"/>
      <c r="B673" s="1"/>
    </row>
    <row r="674" spans="1:2" ht="14.4">
      <c r="A674" s="1"/>
      <c r="B674" s="1"/>
    </row>
    <row r="675" spans="1:2" ht="14.4">
      <c r="A675" s="1"/>
      <c r="B675" s="1"/>
    </row>
    <row r="676" spans="1:2" ht="14.4">
      <c r="A676" s="1"/>
      <c r="B676" s="1"/>
    </row>
    <row r="677" spans="1:2" ht="14.4">
      <c r="A677" s="1"/>
      <c r="B677" s="1"/>
    </row>
    <row r="678" spans="1:2" ht="14.4">
      <c r="A678" s="1"/>
      <c r="B678" s="1"/>
    </row>
    <row r="679" spans="1:2" ht="14.4">
      <c r="A679" s="1"/>
      <c r="B679" s="1"/>
    </row>
    <row r="680" spans="1:2" ht="14.4">
      <c r="A680" s="1"/>
      <c r="B680" s="1"/>
    </row>
    <row r="681" spans="1:2" ht="14.4">
      <c r="A681" s="1"/>
      <c r="B681" s="1"/>
    </row>
    <row r="682" spans="1:2" ht="14.4">
      <c r="A682" s="1"/>
      <c r="B682" s="1"/>
    </row>
    <row r="683" spans="1:2" ht="14.4">
      <c r="A683" s="1"/>
      <c r="B683" s="1"/>
    </row>
    <row r="684" spans="1:2" ht="14.4">
      <c r="A684" s="1"/>
      <c r="B684" s="1"/>
    </row>
    <row r="685" spans="1:2" ht="14.4">
      <c r="A685" s="1"/>
      <c r="B685" s="1"/>
    </row>
    <row r="686" spans="1:2" ht="14.4">
      <c r="A686" s="1"/>
      <c r="B686" s="1"/>
    </row>
    <row r="687" spans="1:2" ht="14.4">
      <c r="A687" s="1"/>
      <c r="B687" s="1"/>
    </row>
    <row r="688" spans="1:2" ht="14.4">
      <c r="A688" s="1"/>
      <c r="B688" s="1"/>
    </row>
    <row r="689" spans="1:2" ht="14.4">
      <c r="A689" s="1"/>
      <c r="B689" s="1"/>
    </row>
    <row r="690" spans="1:2" ht="14.4">
      <c r="A690" s="1"/>
      <c r="B690" s="1"/>
    </row>
    <row r="691" spans="1:2" ht="14.4">
      <c r="A691" s="1"/>
      <c r="B691" s="1"/>
    </row>
    <row r="692" spans="1:2" ht="14.4">
      <c r="A692" s="1"/>
      <c r="B692" s="1"/>
    </row>
    <row r="693" spans="1:2" ht="14.4">
      <c r="A693" s="1"/>
      <c r="B693" s="1"/>
    </row>
    <row r="694" spans="1:2" ht="14.4">
      <c r="A694" s="1"/>
      <c r="B694" s="1"/>
    </row>
    <row r="695" spans="1:2" ht="14.4">
      <c r="A695" s="1"/>
      <c r="B695" s="1"/>
    </row>
    <row r="696" spans="1:2" ht="14.4">
      <c r="A696" s="1"/>
      <c r="B696" s="1"/>
    </row>
    <row r="697" spans="1:2" ht="14.4">
      <c r="A697" s="1"/>
      <c r="B697" s="1"/>
    </row>
    <row r="698" spans="1:2" ht="14.4">
      <c r="A698" s="1"/>
      <c r="B698" s="1"/>
    </row>
    <row r="699" spans="1:2" ht="14.4">
      <c r="A699" s="1"/>
      <c r="B699" s="1"/>
    </row>
    <row r="700" spans="1:2" ht="14.4">
      <c r="A700" s="1"/>
      <c r="B700" s="1"/>
    </row>
    <row r="701" spans="1:2" ht="14.4">
      <c r="A701" s="1"/>
      <c r="B701" s="1"/>
    </row>
    <row r="702" spans="1:2" ht="14.4">
      <c r="A702" s="1"/>
      <c r="B702" s="1"/>
    </row>
    <row r="703" spans="1:2" ht="14.4">
      <c r="A703" s="1"/>
      <c r="B703" s="1"/>
    </row>
    <row r="704" spans="1:2" ht="14.4">
      <c r="A704" s="1"/>
      <c r="B704" s="1"/>
    </row>
    <row r="705" spans="1:2" ht="14.4">
      <c r="A705" s="1"/>
      <c r="B705" s="1"/>
    </row>
    <row r="706" spans="1:2" ht="14.4">
      <c r="A706" s="1"/>
      <c r="B706" s="1"/>
    </row>
    <row r="707" spans="1:2" ht="14.4">
      <c r="A707" s="1"/>
      <c r="B707" s="1"/>
    </row>
    <row r="708" spans="1:2" ht="14.4">
      <c r="A708" s="1"/>
      <c r="B708" s="1"/>
    </row>
    <row r="709" spans="1:2" ht="14.4">
      <c r="A709" s="1"/>
      <c r="B709" s="1"/>
    </row>
    <row r="710" spans="1:2" ht="14.4">
      <c r="A710" s="1"/>
      <c r="B710" s="1"/>
    </row>
    <row r="711" spans="1:2" ht="14.4">
      <c r="A711" s="1"/>
      <c r="B711" s="1"/>
    </row>
    <row r="712" spans="1:2" ht="14.4">
      <c r="A712" s="1"/>
      <c r="B712" s="1"/>
    </row>
    <row r="713" spans="1:2" ht="14.4">
      <c r="A713" s="1"/>
      <c r="B713" s="1"/>
    </row>
    <row r="714" spans="1:2" ht="14.4">
      <c r="A714" s="1"/>
      <c r="B714" s="1"/>
    </row>
    <row r="715" spans="1:2" ht="14.4">
      <c r="A715" s="1"/>
      <c r="B715" s="1"/>
    </row>
    <row r="716" spans="1:2" ht="14.4">
      <c r="A716" s="1"/>
      <c r="B716" s="1"/>
    </row>
    <row r="717" spans="1:2" ht="14.4">
      <c r="A717" s="1"/>
      <c r="B717" s="1"/>
    </row>
    <row r="718" spans="1:2" ht="14.4">
      <c r="A718" s="1"/>
      <c r="B718" s="1"/>
    </row>
    <row r="719" spans="1:2" ht="14.4">
      <c r="A719" s="1"/>
      <c r="B719" s="1"/>
    </row>
    <row r="720" spans="1:2" ht="14.4">
      <c r="A720" s="1"/>
      <c r="B720" s="1"/>
    </row>
    <row r="721" spans="1:2" ht="14.4">
      <c r="A721" s="1"/>
      <c r="B721" s="1"/>
    </row>
    <row r="722" spans="1:2" ht="14.4">
      <c r="A722" s="1"/>
      <c r="B722" s="1"/>
    </row>
    <row r="723" spans="1:2" ht="14.4">
      <c r="A723" s="1"/>
      <c r="B723" s="1"/>
    </row>
    <row r="724" spans="1:2" ht="14.4">
      <c r="A724" s="1"/>
      <c r="B724" s="1"/>
    </row>
    <row r="725" spans="1:2" ht="14.4">
      <c r="A725" s="1"/>
      <c r="B725" s="1"/>
    </row>
    <row r="726" spans="1:2" ht="14.4">
      <c r="A726" s="1"/>
      <c r="B726" s="1"/>
    </row>
    <row r="727" spans="1:2" ht="14.4">
      <c r="A727" s="1"/>
      <c r="B727" s="1"/>
    </row>
    <row r="728" spans="1:2" ht="14.4">
      <c r="A728" s="1"/>
      <c r="B728" s="1"/>
    </row>
    <row r="729" spans="1:2" ht="14.4">
      <c r="A729" s="1"/>
      <c r="B729" s="1"/>
    </row>
    <row r="730" spans="1:2" ht="14.4">
      <c r="A730" s="1"/>
      <c r="B730" s="1"/>
    </row>
    <row r="731" spans="1:2" ht="14.4">
      <c r="A731" s="1"/>
      <c r="B731" s="1"/>
    </row>
    <row r="732" spans="1:2" ht="14.4">
      <c r="A732" s="1"/>
      <c r="B732" s="1"/>
    </row>
    <row r="733" spans="1:2" ht="14.4">
      <c r="A733" s="1"/>
      <c r="B733" s="1"/>
    </row>
    <row r="734" spans="1:2" ht="14.4">
      <c r="A734" s="1"/>
      <c r="B734" s="1"/>
    </row>
    <row r="735" spans="1:2" ht="14.4">
      <c r="A735" s="1"/>
      <c r="B735" s="1"/>
    </row>
    <row r="736" spans="1:2" ht="14.4">
      <c r="A736" s="1"/>
      <c r="B736" s="1"/>
    </row>
    <row r="737" spans="1:2" ht="14.4">
      <c r="A737" s="1"/>
      <c r="B737" s="1"/>
    </row>
    <row r="738" spans="1:2" ht="14.4">
      <c r="A738" s="1"/>
      <c r="B738" s="1"/>
    </row>
    <row r="739" spans="1:2" ht="14.4">
      <c r="A739" s="1"/>
      <c r="B739" s="1"/>
    </row>
    <row r="740" spans="1:2" ht="14.4">
      <c r="A740" s="1"/>
      <c r="B740" s="1"/>
    </row>
    <row r="741" spans="1:2" ht="14.4">
      <c r="A741" s="1"/>
      <c r="B741" s="1"/>
    </row>
    <row r="742" spans="1:2" ht="14.4">
      <c r="A742" s="1"/>
      <c r="B742" s="1"/>
    </row>
    <row r="743" spans="1:2" ht="14.4">
      <c r="A743" s="1"/>
      <c r="B743" s="1"/>
    </row>
    <row r="744" spans="1:2" ht="14.4">
      <c r="A744" s="1"/>
      <c r="B744" s="1"/>
    </row>
    <row r="745" spans="1:2" ht="14.4">
      <c r="A745" s="1"/>
      <c r="B745" s="1"/>
    </row>
    <row r="746" spans="1:2" ht="14.4">
      <c r="A746" s="1"/>
      <c r="B746" s="1"/>
    </row>
    <row r="747" spans="1:2" ht="14.4">
      <c r="A747" s="1"/>
      <c r="B747" s="1"/>
    </row>
    <row r="748" spans="1:2" ht="14.4">
      <c r="A748" s="1"/>
      <c r="B748" s="1"/>
    </row>
    <row r="749" spans="1:2" ht="14.4">
      <c r="A749" s="1"/>
      <c r="B749" s="1"/>
    </row>
    <row r="750" spans="1:2" ht="14.4">
      <c r="A750" s="1"/>
      <c r="B750" s="1"/>
    </row>
    <row r="751" spans="1:2" ht="14.4">
      <c r="A751" s="1"/>
      <c r="B751" s="1"/>
    </row>
    <row r="752" spans="1:2" ht="14.4">
      <c r="A752" s="1"/>
      <c r="B752" s="1"/>
    </row>
    <row r="753" spans="1:2" ht="14.4">
      <c r="A753" s="1"/>
      <c r="B753" s="1"/>
    </row>
    <row r="754" spans="1:2" ht="14.4">
      <c r="A754" s="1"/>
      <c r="B754" s="1"/>
    </row>
    <row r="755" spans="1:2" ht="14.4">
      <c r="A755" s="1"/>
      <c r="B755" s="1"/>
    </row>
    <row r="756" spans="1:2" ht="14.4">
      <c r="A756" s="1"/>
      <c r="B756" s="1"/>
    </row>
    <row r="757" spans="1:2" ht="14.4">
      <c r="A757" s="1"/>
      <c r="B757" s="1"/>
    </row>
    <row r="758" spans="1:2" ht="14.4">
      <c r="A758" s="1"/>
      <c r="B758" s="1"/>
    </row>
    <row r="759" spans="1:2" ht="14.4">
      <c r="A759" s="1"/>
      <c r="B759" s="1"/>
    </row>
    <row r="760" spans="1:2" ht="14.4">
      <c r="A760" s="1"/>
      <c r="B760" s="1"/>
    </row>
    <row r="761" spans="1:2" ht="14.4">
      <c r="A761" s="1"/>
      <c r="B761" s="1"/>
    </row>
    <row r="762" spans="1:2" ht="14.4">
      <c r="A762" s="1"/>
      <c r="B762" s="1"/>
    </row>
    <row r="763" spans="1:2" ht="14.4">
      <c r="A763" s="1"/>
      <c r="B763" s="1"/>
    </row>
    <row r="764" spans="1:2" ht="14.4">
      <c r="A764" s="1"/>
      <c r="B764" s="1"/>
    </row>
    <row r="765" spans="1:2" ht="14.4">
      <c r="A765" s="1"/>
      <c r="B765" s="1"/>
    </row>
    <row r="766" spans="1:2" ht="14.4">
      <c r="A766" s="1"/>
      <c r="B766" s="1"/>
    </row>
    <row r="767" spans="1:2" ht="14.4">
      <c r="A767" s="1"/>
      <c r="B767" s="1"/>
    </row>
    <row r="768" spans="1:2" ht="14.4">
      <c r="A768" s="1"/>
      <c r="B768" s="1"/>
    </row>
    <row r="769" spans="1:2" ht="14.4">
      <c r="A769" s="1"/>
      <c r="B769" s="1"/>
    </row>
    <row r="770" spans="1:2" ht="14.4">
      <c r="A770" s="1"/>
      <c r="B770" s="1"/>
    </row>
    <row r="771" spans="1:2" ht="14.4">
      <c r="A771" s="1"/>
      <c r="B771" s="1"/>
    </row>
    <row r="772" spans="1:2" ht="14.4">
      <c r="A772" s="1"/>
      <c r="B772" s="1"/>
    </row>
    <row r="773" spans="1:2" ht="14.4">
      <c r="A773" s="1"/>
      <c r="B773" s="1"/>
    </row>
    <row r="774" spans="1:2" ht="14.4">
      <c r="A774" s="1"/>
      <c r="B774" s="1"/>
    </row>
    <row r="775" spans="1:2" ht="14.4">
      <c r="A775" s="1"/>
      <c r="B775" s="1"/>
    </row>
    <row r="776" spans="1:2" ht="14.4">
      <c r="A776" s="1"/>
      <c r="B776" s="1"/>
    </row>
    <row r="777" spans="1:2" ht="14.4">
      <c r="A777" s="1"/>
      <c r="B777" s="1"/>
    </row>
    <row r="778" spans="1:2" ht="14.4">
      <c r="A778" s="1"/>
      <c r="B778" s="1"/>
    </row>
    <row r="779" spans="1:2" ht="14.4">
      <c r="A779" s="1"/>
      <c r="B779" s="1"/>
    </row>
    <row r="780" spans="1:2" ht="14.4">
      <c r="A780" s="1"/>
      <c r="B780" s="1"/>
    </row>
    <row r="781" spans="1:2" ht="14.4">
      <c r="A781" s="1"/>
      <c r="B781" s="1"/>
    </row>
    <row r="782" spans="1:2" ht="14.4">
      <c r="A782" s="1"/>
      <c r="B782" s="1"/>
    </row>
    <row r="783" spans="1:2" ht="14.4">
      <c r="A783" s="1"/>
      <c r="B783" s="1"/>
    </row>
    <row r="784" spans="1:2" ht="14.4">
      <c r="A784" s="1"/>
      <c r="B784" s="1"/>
    </row>
    <row r="785" spans="1:2" ht="14.4">
      <c r="A785" s="1"/>
      <c r="B785" s="1"/>
    </row>
    <row r="786" spans="1:2" ht="14.4">
      <c r="A786" s="1"/>
      <c r="B786" s="1"/>
    </row>
    <row r="787" spans="1:2" ht="14.4">
      <c r="A787" s="1"/>
      <c r="B787" s="1"/>
    </row>
    <row r="788" spans="1:2" ht="14.4">
      <c r="A788" s="1"/>
      <c r="B788" s="1"/>
    </row>
    <row r="789" spans="1:2" ht="14.4">
      <c r="A789" s="1"/>
      <c r="B789" s="1"/>
    </row>
    <row r="790" spans="1:2" ht="14.4">
      <c r="A790" s="1"/>
      <c r="B790" s="1"/>
    </row>
    <row r="791" spans="1:2" ht="14.4">
      <c r="A791" s="1"/>
      <c r="B791" s="1"/>
    </row>
    <row r="792" spans="1:2" ht="14.4">
      <c r="A792" s="1"/>
      <c r="B792" s="1"/>
    </row>
    <row r="793" spans="1:2" ht="14.4">
      <c r="A793" s="1"/>
      <c r="B793" s="1"/>
    </row>
    <row r="794" spans="1:2" ht="14.4">
      <c r="A794" s="1"/>
      <c r="B794" s="1"/>
    </row>
    <row r="795" spans="1:2" ht="14.4">
      <c r="A795" s="1"/>
      <c r="B795" s="1"/>
    </row>
    <row r="796" spans="1:2" ht="14.4">
      <c r="A796" s="1"/>
      <c r="B796" s="1"/>
    </row>
    <row r="797" spans="1:2" ht="14.4">
      <c r="A797" s="1"/>
      <c r="B797" s="1"/>
    </row>
    <row r="798" spans="1:2" ht="14.4">
      <c r="A798" s="1"/>
      <c r="B798" s="1"/>
    </row>
    <row r="799" spans="1:2" ht="14.4">
      <c r="A799" s="1"/>
      <c r="B799" s="1"/>
    </row>
    <row r="800" spans="1:2" ht="14.4">
      <c r="A800" s="1"/>
      <c r="B800" s="1"/>
    </row>
    <row r="801" spans="1:2" ht="14.4">
      <c r="A801" s="1"/>
      <c r="B801" s="1"/>
    </row>
    <row r="802" spans="1:2" ht="14.4">
      <c r="A802" s="1"/>
      <c r="B802" s="1"/>
    </row>
    <row r="803" spans="1:2" ht="14.4">
      <c r="A803" s="1"/>
      <c r="B803" s="1"/>
    </row>
    <row r="804" spans="1:2" ht="14.4">
      <c r="A804" s="1"/>
      <c r="B804" s="1"/>
    </row>
    <row r="805" spans="1:2" ht="14.4">
      <c r="A805" s="1"/>
      <c r="B805" s="1"/>
    </row>
    <row r="806" spans="1:2" ht="14.4">
      <c r="A806" s="1"/>
      <c r="B806" s="1"/>
    </row>
    <row r="807" spans="1:2" ht="14.4">
      <c r="A807" s="1"/>
      <c r="B807" s="1"/>
    </row>
    <row r="808" spans="1:2" ht="14.4">
      <c r="A808" s="1"/>
      <c r="B808" s="1"/>
    </row>
    <row r="809" spans="1:2" ht="14.4">
      <c r="A809" s="1"/>
      <c r="B809" s="1"/>
    </row>
    <row r="810" spans="1:2" ht="14.4">
      <c r="A810" s="1"/>
      <c r="B810" s="1"/>
    </row>
    <row r="811" spans="1:2" ht="14.4">
      <c r="A811" s="1"/>
      <c r="B811" s="1"/>
    </row>
    <row r="812" spans="1:2" ht="14.4">
      <c r="A812" s="1"/>
      <c r="B812" s="1"/>
    </row>
    <row r="813" spans="1:2" ht="14.4">
      <c r="A813" s="1"/>
      <c r="B813" s="1"/>
    </row>
    <row r="814" spans="1:2" ht="14.4">
      <c r="A814" s="1"/>
      <c r="B814" s="1"/>
    </row>
    <row r="815" spans="1:2" ht="14.4">
      <c r="A815" s="1"/>
      <c r="B815" s="1"/>
    </row>
    <row r="816" spans="1:2" ht="14.4">
      <c r="A816" s="1"/>
      <c r="B816" s="1"/>
    </row>
    <row r="817" spans="1:2" ht="14.4">
      <c r="A817" s="1"/>
      <c r="B817" s="1"/>
    </row>
    <row r="818" spans="1:2" ht="14.4">
      <c r="A818" s="1"/>
      <c r="B818" s="1"/>
    </row>
    <row r="819" spans="1:2" ht="14.4">
      <c r="A819" s="1"/>
      <c r="B819" s="1"/>
    </row>
    <row r="820" spans="1:2" ht="14.4">
      <c r="A820" s="1"/>
      <c r="B820" s="1"/>
    </row>
    <row r="821" spans="1:2" ht="14.4">
      <c r="A821" s="1"/>
      <c r="B821" s="1"/>
    </row>
    <row r="822" spans="1:2" ht="14.4">
      <c r="A822" s="1"/>
      <c r="B822" s="1"/>
    </row>
    <row r="823" spans="1:2" ht="14.4">
      <c r="A823" s="1"/>
      <c r="B823" s="1"/>
    </row>
    <row r="824" spans="1:2" ht="14.4">
      <c r="A824" s="1"/>
      <c r="B824" s="1"/>
    </row>
    <row r="825" spans="1:2" ht="14.4">
      <c r="A825" s="1"/>
      <c r="B825" s="1"/>
    </row>
    <row r="826" spans="1:2" ht="14.4">
      <c r="A826" s="1"/>
      <c r="B826" s="1"/>
    </row>
    <row r="827" spans="1:2" ht="14.4">
      <c r="A827" s="1"/>
      <c r="B827" s="1"/>
    </row>
    <row r="828" spans="1:2" ht="14.4">
      <c r="A828" s="1"/>
      <c r="B828" s="1"/>
    </row>
    <row r="829" spans="1:2" ht="14.4">
      <c r="A829" s="1"/>
      <c r="B829" s="1"/>
    </row>
    <row r="830" spans="1:2" ht="14.4">
      <c r="A830" s="1"/>
      <c r="B830" s="1"/>
    </row>
    <row r="831" spans="1:2" ht="14.4">
      <c r="A831" s="1"/>
      <c r="B831" s="1"/>
    </row>
    <row r="832" spans="1:2" ht="14.4">
      <c r="A832" s="1"/>
      <c r="B832" s="1"/>
    </row>
    <row r="833" spans="1:2" ht="14.4">
      <c r="A833" s="1"/>
      <c r="B833" s="1"/>
    </row>
    <row r="834" spans="1:2" ht="14.4">
      <c r="A834" s="1"/>
      <c r="B834" s="1"/>
    </row>
    <row r="835" spans="1:2" ht="14.4">
      <c r="A835" s="1"/>
      <c r="B835" s="1"/>
    </row>
    <row r="836" spans="1:2" ht="14.4">
      <c r="A836" s="1"/>
      <c r="B836" s="1"/>
    </row>
    <row r="837" spans="1:2" ht="14.4">
      <c r="A837" s="1"/>
      <c r="B837" s="1"/>
    </row>
    <row r="838" spans="1:2" ht="14.4">
      <c r="A838" s="1"/>
      <c r="B838" s="1"/>
    </row>
    <row r="839" spans="1:2" ht="14.4">
      <c r="A839" s="1"/>
      <c r="B839" s="1"/>
    </row>
    <row r="840" spans="1:2" ht="14.4">
      <c r="A840" s="1"/>
      <c r="B840" s="1"/>
    </row>
    <row r="841" spans="1:2" ht="14.4">
      <c r="A841" s="1"/>
      <c r="B841" s="1"/>
    </row>
    <row r="842" spans="1:2" ht="14.4">
      <c r="A842" s="1"/>
      <c r="B842" s="1"/>
    </row>
    <row r="843" spans="1:2" ht="14.4">
      <c r="A843" s="1"/>
      <c r="B843" s="1"/>
    </row>
    <row r="844" spans="1:2" ht="14.4">
      <c r="A844" s="1"/>
      <c r="B844" s="1"/>
    </row>
    <row r="845" spans="1:2" ht="14.4">
      <c r="A845" s="1"/>
      <c r="B845" s="1"/>
    </row>
    <row r="846" spans="1:2" ht="14.4">
      <c r="A846" s="1"/>
      <c r="B846" s="1"/>
    </row>
    <row r="847" spans="1:2" ht="14.4">
      <c r="A847" s="1"/>
      <c r="B847" s="1"/>
    </row>
    <row r="848" spans="1:2" ht="14.4">
      <c r="A848" s="1"/>
      <c r="B848" s="1"/>
    </row>
    <row r="849" spans="1:2" ht="14.4">
      <c r="A849" s="1"/>
      <c r="B849" s="1"/>
    </row>
    <row r="850" spans="1:2" ht="14.4">
      <c r="A850" s="1"/>
      <c r="B850" s="1"/>
    </row>
    <row r="851" spans="1:2" ht="14.4">
      <c r="A851" s="1"/>
      <c r="B851" s="1"/>
    </row>
    <row r="852" spans="1:2" ht="14.4">
      <c r="A852" s="1"/>
      <c r="B852" s="1"/>
    </row>
    <row r="853" spans="1:2" ht="14.4">
      <c r="A853" s="1"/>
      <c r="B853" s="1"/>
    </row>
    <row r="854" spans="1:2" ht="14.4">
      <c r="A854" s="1"/>
      <c r="B854" s="1"/>
    </row>
    <row r="855" spans="1:2" ht="14.4">
      <c r="A855" s="1"/>
      <c r="B855" s="1"/>
    </row>
    <row r="856" spans="1:2" ht="14.4">
      <c r="A856" s="1"/>
      <c r="B856" s="1"/>
    </row>
    <row r="857" spans="1:2" ht="14.4">
      <c r="A857" s="1"/>
      <c r="B857" s="1"/>
    </row>
    <row r="858" spans="1:2" ht="14.4">
      <c r="A858" s="1"/>
      <c r="B858" s="1"/>
    </row>
    <row r="859" spans="1:2" ht="14.4">
      <c r="A859" s="1"/>
      <c r="B859" s="1"/>
    </row>
    <row r="860" spans="1:2" ht="14.4">
      <c r="A860" s="1"/>
      <c r="B860" s="1"/>
    </row>
    <row r="861" spans="1:2" ht="14.4">
      <c r="A861" s="1"/>
      <c r="B861" s="1"/>
    </row>
    <row r="862" spans="1:2" ht="14.4">
      <c r="A862" s="1"/>
      <c r="B862" s="1"/>
    </row>
    <row r="863" spans="1:2" ht="14.4">
      <c r="A863" s="1"/>
      <c r="B863" s="1"/>
    </row>
    <row r="864" spans="1:2" ht="14.4">
      <c r="A864" s="1"/>
      <c r="B864" s="1"/>
    </row>
    <row r="865" spans="1:2" ht="14.4">
      <c r="A865" s="1"/>
      <c r="B865" s="1"/>
    </row>
    <row r="866" spans="1:2" ht="14.4">
      <c r="A866" s="1"/>
      <c r="B866" s="1"/>
    </row>
    <row r="867" spans="1:2" ht="14.4">
      <c r="A867" s="1"/>
      <c r="B867" s="1"/>
    </row>
    <row r="868" spans="1:2" ht="14.4">
      <c r="A868" s="1"/>
      <c r="B868" s="1"/>
    </row>
    <row r="869" spans="1:2" ht="14.4">
      <c r="A869" s="1"/>
      <c r="B869" s="1"/>
    </row>
    <row r="870" spans="1:2" ht="14.4">
      <c r="A870" s="1"/>
      <c r="B870" s="1"/>
    </row>
    <row r="871" spans="1:2" ht="14.4">
      <c r="A871" s="1"/>
      <c r="B871" s="1"/>
    </row>
    <row r="872" spans="1:2" ht="14.4">
      <c r="A872" s="1"/>
      <c r="B872" s="1"/>
    </row>
    <row r="873" spans="1:2" ht="14.4">
      <c r="A873" s="1"/>
      <c r="B873" s="1"/>
    </row>
    <row r="874" spans="1:2" ht="14.4">
      <c r="A874" s="1"/>
      <c r="B874" s="1"/>
    </row>
    <row r="875" spans="1:2" ht="14.4">
      <c r="A875" s="1"/>
      <c r="B875" s="1"/>
    </row>
    <row r="876" spans="1:2" ht="14.4">
      <c r="A876" s="1"/>
      <c r="B876" s="1"/>
    </row>
    <row r="877" spans="1:2" ht="14.4">
      <c r="A877" s="1"/>
      <c r="B877" s="1"/>
    </row>
    <row r="878" spans="1:2" ht="14.4">
      <c r="A878" s="1"/>
      <c r="B878" s="1"/>
    </row>
    <row r="879" spans="1:2" ht="14.4">
      <c r="A879" s="1"/>
      <c r="B879" s="1"/>
    </row>
    <row r="880" spans="1:2" ht="14.4">
      <c r="A880" s="1"/>
      <c r="B880" s="1"/>
    </row>
    <row r="881" spans="1:2" ht="14.4">
      <c r="A881" s="1"/>
      <c r="B881" s="1"/>
    </row>
    <row r="882" spans="1:2" ht="14.4">
      <c r="A882" s="1"/>
      <c r="B882" s="1"/>
    </row>
    <row r="883" spans="1:2" ht="14.4">
      <c r="A883" s="1"/>
      <c r="B883" s="1"/>
    </row>
    <row r="884" spans="1:2" ht="14.4">
      <c r="A884" s="1"/>
      <c r="B884" s="1"/>
    </row>
    <row r="885" spans="1:2" ht="14.4">
      <c r="A885" s="1"/>
      <c r="B885" s="1"/>
    </row>
    <row r="886" spans="1:2" ht="14.4">
      <c r="A886" s="1"/>
      <c r="B886" s="1"/>
    </row>
    <row r="887" spans="1:2" ht="14.4">
      <c r="A887" s="1"/>
      <c r="B887" s="1"/>
    </row>
    <row r="888" spans="1:2" ht="14.4">
      <c r="A888" s="1"/>
      <c r="B888" s="1"/>
    </row>
    <row r="889" spans="1:2" ht="14.4">
      <c r="A889" s="1"/>
      <c r="B889" s="1"/>
    </row>
    <row r="890" spans="1:2" ht="14.4">
      <c r="A890" s="1"/>
      <c r="B890" s="1"/>
    </row>
    <row r="891" spans="1:2" ht="14.4">
      <c r="A891" s="1"/>
      <c r="B891" s="1"/>
    </row>
    <row r="892" spans="1:2" ht="14.4">
      <c r="A892" s="1"/>
      <c r="B892" s="1"/>
    </row>
    <row r="893" spans="1:2" ht="14.4">
      <c r="A893" s="1"/>
      <c r="B893" s="1"/>
    </row>
    <row r="894" spans="1:2" ht="14.4">
      <c r="A894" s="1"/>
      <c r="B894" s="1"/>
    </row>
    <row r="895" spans="1:2" ht="14.4">
      <c r="A895" s="1"/>
      <c r="B895" s="1"/>
    </row>
    <row r="896" spans="1:2" ht="14.4">
      <c r="A896" s="1"/>
      <c r="B896" s="1"/>
    </row>
    <row r="897" spans="1:2" ht="14.4">
      <c r="A897" s="1"/>
      <c r="B897" s="1"/>
    </row>
    <row r="898" spans="1:2" ht="14.4">
      <c r="A898" s="1"/>
      <c r="B898" s="1"/>
    </row>
    <row r="899" spans="1:2" ht="14.4">
      <c r="A899" s="1"/>
      <c r="B899" s="1"/>
    </row>
    <row r="900" spans="1:2" ht="14.4">
      <c r="A900" s="1"/>
      <c r="B900" s="1"/>
    </row>
    <row r="901" spans="1:2" ht="14.4">
      <c r="A901" s="1"/>
      <c r="B901" s="1"/>
    </row>
    <row r="902" spans="1:2" ht="14.4">
      <c r="A902" s="1"/>
      <c r="B902" s="1"/>
    </row>
    <row r="903" spans="1:2" ht="14.4">
      <c r="A903" s="1"/>
      <c r="B903" s="1"/>
    </row>
    <row r="904" spans="1:2" ht="14.4">
      <c r="A904" s="1"/>
      <c r="B904" s="1"/>
    </row>
    <row r="905" spans="1:2" ht="14.4">
      <c r="A905" s="1"/>
      <c r="B905" s="1"/>
    </row>
    <row r="906" spans="1:2" ht="14.4">
      <c r="A906" s="1"/>
      <c r="B906" s="1"/>
    </row>
    <row r="907" spans="1:2" ht="14.4">
      <c r="A907" s="1"/>
      <c r="B907" s="1"/>
    </row>
    <row r="908" spans="1:2" ht="14.4">
      <c r="A908" s="1"/>
      <c r="B908" s="1"/>
    </row>
    <row r="909" spans="1:2" ht="14.4">
      <c r="A909" s="1"/>
      <c r="B909" s="1"/>
    </row>
    <row r="910" spans="1:2" ht="14.4">
      <c r="A910" s="1"/>
      <c r="B910" s="1"/>
    </row>
    <row r="911" spans="1:2" ht="14.4">
      <c r="A911" s="1"/>
      <c r="B911" s="1"/>
    </row>
    <row r="912" spans="1:2" ht="14.4">
      <c r="A912" s="1"/>
      <c r="B912" s="1"/>
    </row>
    <row r="913" spans="1:2" ht="14.4">
      <c r="A913" s="1"/>
      <c r="B913" s="1"/>
    </row>
    <row r="914" spans="1:2" ht="14.4">
      <c r="A914" s="1"/>
      <c r="B914" s="1"/>
    </row>
    <row r="915" spans="1:2" ht="14.4">
      <c r="A915" s="1"/>
      <c r="B915" s="1"/>
    </row>
    <row r="916" spans="1:2" ht="14.4">
      <c r="A916" s="1"/>
      <c r="B916" s="1"/>
    </row>
    <row r="917" spans="1:2" ht="14.4">
      <c r="A917" s="1"/>
      <c r="B917" s="1"/>
    </row>
    <row r="918" spans="1:2" ht="14.4">
      <c r="A918" s="1"/>
      <c r="B918" s="1"/>
    </row>
    <row r="919" spans="1:2" ht="14.4">
      <c r="A919" s="1"/>
      <c r="B919" s="1"/>
    </row>
    <row r="920" spans="1:2" ht="14.4">
      <c r="A920" s="1"/>
      <c r="B920" s="1"/>
    </row>
    <row r="921" spans="1:2" ht="14.4">
      <c r="A921" s="1"/>
      <c r="B921" s="1"/>
    </row>
    <row r="922" spans="1:2" ht="14.4">
      <c r="A922" s="1"/>
      <c r="B922" s="1"/>
    </row>
    <row r="923" spans="1:2" ht="14.4">
      <c r="A923" s="1"/>
      <c r="B923" s="1"/>
    </row>
    <row r="924" spans="1:2" ht="14.4">
      <c r="A924" s="1"/>
      <c r="B924" s="1"/>
    </row>
    <row r="925" spans="1:2" ht="14.4">
      <c r="A925" s="1"/>
      <c r="B925" s="1"/>
    </row>
    <row r="926" spans="1:2" ht="14.4">
      <c r="A926" s="1"/>
      <c r="B926" s="1"/>
    </row>
    <row r="927" spans="1:2" ht="14.4">
      <c r="A927" s="1"/>
      <c r="B927" s="1"/>
    </row>
    <row r="928" spans="1:2" ht="14.4">
      <c r="A928" s="1"/>
      <c r="B928" s="1"/>
    </row>
    <row r="929" spans="1:2" ht="14.4">
      <c r="A929" s="1"/>
      <c r="B929" s="1"/>
    </row>
    <row r="930" spans="1:2" ht="14.4">
      <c r="A930" s="1"/>
      <c r="B930" s="1"/>
    </row>
    <row r="931" spans="1:2" ht="14.4">
      <c r="A931" s="1"/>
      <c r="B931" s="1"/>
    </row>
    <row r="932" spans="1:2" ht="14.4">
      <c r="A932" s="1"/>
      <c r="B932" s="1"/>
    </row>
    <row r="933" spans="1:2" ht="14.4">
      <c r="A933" s="1"/>
      <c r="B933" s="1"/>
    </row>
    <row r="934" spans="1:2" ht="14.4">
      <c r="A934" s="1"/>
      <c r="B934" s="1"/>
    </row>
    <row r="935" spans="1:2" ht="14.4">
      <c r="A935" s="1"/>
      <c r="B935" s="1"/>
    </row>
    <row r="936" spans="1:2" ht="14.4">
      <c r="A936" s="1"/>
      <c r="B936" s="1"/>
    </row>
    <row r="937" spans="1:2" ht="14.4">
      <c r="A937" s="1"/>
      <c r="B937" s="1"/>
    </row>
    <row r="938" spans="1:2" ht="14.4">
      <c r="A938" s="1"/>
      <c r="B938" s="1"/>
    </row>
    <row r="939" spans="1:2" ht="14.4">
      <c r="A939" s="1"/>
      <c r="B939" s="1"/>
    </row>
    <row r="940" spans="1:2" ht="14.4">
      <c r="A940" s="1"/>
      <c r="B940" s="1"/>
    </row>
    <row r="941" spans="1:2" ht="14.4">
      <c r="A941" s="1"/>
      <c r="B941" s="1"/>
    </row>
    <row r="942" spans="1:2" ht="14.4">
      <c r="A942" s="1"/>
      <c r="B942" s="1"/>
    </row>
    <row r="943" spans="1:2" ht="14.4">
      <c r="A943" s="1"/>
      <c r="B943" s="1"/>
    </row>
    <row r="944" spans="1:2" ht="14.4">
      <c r="A944" s="1"/>
      <c r="B944" s="1"/>
    </row>
    <row r="945" spans="1:2" ht="14.4">
      <c r="A945" s="1"/>
      <c r="B945" s="1"/>
    </row>
    <row r="946" spans="1:2" ht="14.4">
      <c r="A946" s="1"/>
      <c r="B946" s="1"/>
    </row>
    <row r="947" spans="1:2" ht="14.4">
      <c r="A947" s="1"/>
      <c r="B947" s="1"/>
    </row>
    <row r="948" spans="1:2" ht="14.4">
      <c r="A948" s="1"/>
      <c r="B948" s="1"/>
    </row>
    <row r="949" spans="1:2" ht="14.4">
      <c r="A949" s="1"/>
      <c r="B949" s="1"/>
    </row>
    <row r="950" spans="1:2" ht="14.4">
      <c r="A950" s="1"/>
      <c r="B950" s="1"/>
    </row>
    <row r="951" spans="1:2" ht="14.4">
      <c r="A951" s="1"/>
      <c r="B951" s="1"/>
    </row>
    <row r="952" spans="1:2" ht="14.4">
      <c r="A952" s="1"/>
      <c r="B952" s="1"/>
    </row>
    <row r="953" spans="1:2" ht="14.4">
      <c r="A953" s="1"/>
      <c r="B953" s="1"/>
    </row>
    <row r="954" spans="1:2" ht="14.4">
      <c r="A954" s="1"/>
      <c r="B954" s="1"/>
    </row>
    <row r="955" spans="1:2" ht="14.4">
      <c r="A955" s="1"/>
      <c r="B955" s="1"/>
    </row>
    <row r="956" spans="1:2" ht="14.4">
      <c r="A956" s="1"/>
      <c r="B956" s="1"/>
    </row>
    <row r="957" spans="1:2" ht="14.4">
      <c r="A957" s="1"/>
      <c r="B957" s="1"/>
    </row>
    <row r="958" spans="1:2" ht="14.4">
      <c r="A958" s="1"/>
      <c r="B958" s="1"/>
    </row>
    <row r="959" spans="1:2" ht="14.4">
      <c r="A959" s="1"/>
      <c r="B959" s="1"/>
    </row>
    <row r="960" spans="1:2" ht="14.4">
      <c r="A960" s="1"/>
      <c r="B960" s="1"/>
    </row>
    <row r="961" spans="1:2" ht="14.4">
      <c r="A961" s="1"/>
      <c r="B961" s="1"/>
    </row>
    <row r="962" spans="1:2" ht="14.4">
      <c r="A962" s="1"/>
      <c r="B962" s="1"/>
    </row>
    <row r="963" spans="1:2" ht="14.4">
      <c r="A963" s="1"/>
      <c r="B963" s="1"/>
    </row>
    <row r="964" spans="1:2" ht="14.4">
      <c r="A964" s="1"/>
      <c r="B964" s="1"/>
    </row>
    <row r="965" spans="1:2" ht="14.4">
      <c r="A965" s="1"/>
      <c r="B965" s="1"/>
    </row>
    <row r="966" spans="1:2" ht="14.4">
      <c r="A966" s="1"/>
      <c r="B966" s="1"/>
    </row>
    <row r="967" spans="1:2" ht="14.4">
      <c r="A967" s="1"/>
      <c r="B967" s="1"/>
    </row>
    <row r="968" spans="1:2" ht="14.4">
      <c r="A968" s="1"/>
      <c r="B968" s="1"/>
    </row>
    <row r="969" spans="1:2" ht="14.4">
      <c r="A969" s="1"/>
      <c r="B969" s="1"/>
    </row>
    <row r="970" spans="1:2" ht="14.4">
      <c r="A970" s="1"/>
      <c r="B970" s="1"/>
    </row>
    <row r="971" spans="1:2" ht="14.4">
      <c r="A971" s="1"/>
      <c r="B971" s="1"/>
    </row>
    <row r="972" spans="1:2" ht="14.4">
      <c r="A972" s="1"/>
      <c r="B972" s="1"/>
    </row>
    <row r="973" spans="1:2" ht="14.4">
      <c r="A973" s="1"/>
      <c r="B973" s="1"/>
    </row>
    <row r="974" spans="1:2" ht="14.4">
      <c r="A974" s="1"/>
      <c r="B974" s="1"/>
    </row>
    <row r="975" spans="1:2" ht="14.4">
      <c r="A975" s="1"/>
      <c r="B975" s="1"/>
    </row>
    <row r="976" spans="1:2" ht="14.4">
      <c r="A976" s="1"/>
      <c r="B976" s="1"/>
    </row>
    <row r="977" spans="1:2" ht="14.4">
      <c r="A977" s="1"/>
      <c r="B977" s="1"/>
    </row>
    <row r="978" spans="1:2" ht="14.4">
      <c r="A978" s="1"/>
      <c r="B978" s="1"/>
    </row>
    <row r="979" spans="1:2" ht="14.4">
      <c r="A979" s="1"/>
      <c r="B979" s="1"/>
    </row>
    <row r="980" spans="1:2" ht="14.4">
      <c r="A980" s="1"/>
      <c r="B980" s="1"/>
    </row>
    <row r="981" spans="1:2" ht="14.4">
      <c r="A981" s="1"/>
      <c r="B981" s="1"/>
    </row>
    <row r="982" spans="1:2" ht="14.4">
      <c r="A982" s="1"/>
      <c r="B982" s="1"/>
    </row>
    <row r="983" spans="1:2" ht="14.4">
      <c r="A983" s="1"/>
      <c r="B983" s="1"/>
    </row>
    <row r="984" spans="1:2" ht="14.4">
      <c r="A984" s="1"/>
      <c r="B984" s="1"/>
    </row>
    <row r="985" spans="1:2" ht="14.4">
      <c r="A985" s="1"/>
      <c r="B985" s="1"/>
    </row>
    <row r="986" spans="1:2" ht="14.4">
      <c r="A986" s="1"/>
      <c r="B986" s="1"/>
    </row>
    <row r="987" spans="1:2" ht="14.4">
      <c r="A987" s="1"/>
      <c r="B987" s="1"/>
    </row>
    <row r="988" spans="1:2" ht="14.4">
      <c r="A988" s="1"/>
      <c r="B988" s="1"/>
    </row>
    <row r="989" spans="1:2" ht="14.4">
      <c r="A989" s="1"/>
      <c r="B989" s="1"/>
    </row>
    <row r="990" spans="1:2" ht="14.4">
      <c r="A990" s="1"/>
      <c r="B990" s="1"/>
    </row>
    <row r="991" spans="1:2" ht="14.4">
      <c r="A991" s="1"/>
      <c r="B991" s="1"/>
    </row>
    <row r="992" spans="1:2" ht="14.4">
      <c r="A992" s="1"/>
      <c r="B992" s="1"/>
    </row>
    <row r="993" spans="1:2" ht="14.4">
      <c r="A993" s="1"/>
      <c r="B993" s="1"/>
    </row>
    <row r="994" spans="1:2" ht="14.4">
      <c r="A994" s="1"/>
      <c r="B994" s="1"/>
    </row>
    <row r="995" spans="1:2" ht="14.4">
      <c r="A995" s="1"/>
      <c r="B995" s="1"/>
    </row>
    <row r="996" spans="1:2" ht="14.4">
      <c r="A996" s="1"/>
      <c r="B996" s="1"/>
    </row>
    <row r="997" spans="1:2" ht="14.4">
      <c r="A997" s="1"/>
      <c r="B997" s="1"/>
    </row>
    <row r="998" spans="1:2" ht="14.4">
      <c r="A998" s="1"/>
      <c r="B998" s="1"/>
    </row>
    <row r="999" spans="1:2" ht="14.4">
      <c r="A999" s="1"/>
      <c r="B999" s="1"/>
    </row>
    <row r="1000" spans="1:2" ht="14.4">
      <c r="A1000" s="1"/>
      <c r="B1000" s="1"/>
    </row>
  </sheetData>
  <mergeCells count="1">
    <mergeCell ref="A15:B24"/>
  </mergeCells>
  <hyperlinks>
    <hyperlink ref="A5" r:id="rId1" xr:uid="{00000000-0004-0000-0000-000000000000}"/>
    <hyperlink ref="A7" r:id="rId2" xr:uid="{00000000-0004-0000-0000-000001000000}"/>
    <hyperlink ref="A8" r:id="rId3" xr:uid="{00000000-0004-0000-0000-000002000000}"/>
    <hyperlink ref="A9" r:id="rId4" xr:uid="{00000000-0004-0000-0000-000003000000}"/>
    <hyperlink ref="A10" r:id="rId5" xr:uid="{00000000-0004-0000-0000-000004000000}"/>
    <hyperlink ref="A11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71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5.21875" customWidth="1"/>
    <col min="2" max="2" width="14.109375" customWidth="1"/>
    <col min="3" max="3" width="35.88671875" customWidth="1"/>
    <col min="4" max="4" width="31.77734375" customWidth="1"/>
    <col min="5" max="5" width="13.77734375" customWidth="1"/>
    <col min="7" max="7" width="27.21875" customWidth="1"/>
    <col min="8" max="8" width="20.21875" customWidth="1"/>
    <col min="9" max="9" width="22.21875" customWidth="1"/>
    <col min="10" max="10" width="28.6640625" customWidth="1"/>
  </cols>
  <sheetData>
    <row r="1" spans="1:13">
      <c r="A1" s="13" t="str">
        <f ca="1">IFERROR(__xludf.DUMMYFUNCTION("QUERY({ 'HSK1 cũ'!A1:M3211; 'HSK2 cũ'!A1:M3211; 'HSK3 cũ'!A1:M3211 ; 'HSK4 cũ'!A1:M3211; 'HSK5 cũ'!A1:M3211}, ""SELECT * WHERE Col3 IS NOT NULL"", 0)"),"")</f>
        <v/>
      </c>
      <c r="B1" s="13" t="str">
        <f ca="1">IFERROR(__xludf.DUMMYFUNCTION("""COMPUTED_VALUE"""),"Tên chủ đề")</f>
        <v>Tên chủ đề</v>
      </c>
      <c r="C1" s="13" t="str">
        <f ca="1">IFERROR(__xludf.DUMMYFUNCTION("""COMPUTED_VALUE"""),"Từ vựng")</f>
        <v>Từ vựng</v>
      </c>
      <c r="D1" s="13" t="str">
        <f ca="1">IFERROR(__xludf.DUMMYFUNCTION("""COMPUTED_VALUE"""),"Link html")</f>
        <v>Link html</v>
      </c>
      <c r="E1" s="13" t="str">
        <f ca="1">IFERROR(__xludf.DUMMYFUNCTION("""COMPUTED_VALUE"""),"Phiên âm")</f>
        <v>Phiên âm</v>
      </c>
      <c r="F1" s="13" t="str">
        <f ca="1">IFERROR(__xludf.DUMMYFUNCTION("""COMPUTED_VALUE"""),"Loại từ")</f>
        <v>Loại từ</v>
      </c>
      <c r="G1" s="13" t="str">
        <f ca="1">IFERROR(__xludf.DUMMYFUNCTION("""COMPUTED_VALUE"""),"Nghĩa")</f>
        <v>Nghĩa</v>
      </c>
      <c r="H1" s="13" t="str">
        <f ca="1">IFERROR(__xludf.DUMMYFUNCTION("""COMPUTED_VALUE"""),"Ví dụ")</f>
        <v>Ví dụ</v>
      </c>
      <c r="I1" s="13" t="str">
        <f ca="1">IFERROR(__xludf.DUMMYFUNCTION("""COMPUTED_VALUE"""),"Pinyin")</f>
        <v>Pinyin</v>
      </c>
      <c r="J1" s="13" t="str">
        <f ca="1">IFERROR(__xludf.DUMMYFUNCTION("""COMPUTED_VALUE"""),"Nghĩa ví dụ")</f>
        <v>Nghĩa ví dụ</v>
      </c>
      <c r="K1" s="13" t="str">
        <f ca="1">IFERROR(__xludf.DUMMYFUNCTION("""COMPUTED_VALUE"""),"Tên ảnh/Gif flashcard")</f>
        <v>Tên ảnh/Gif flashcard</v>
      </c>
      <c r="L1" s="13" t="str">
        <f ca="1">IFERROR(__xludf.DUMMYFUNCTION("""COMPUTED_VALUE"""),"Tên audio từ vựng")</f>
        <v>Tên audio từ vựng</v>
      </c>
      <c r="M1" s="13" t="str">
        <f ca="1">IFERROR(__xludf.DUMMYFUNCTION("""COMPUTED_VALUE"""),"Tên audio ví dụ")</f>
        <v>Tên audio ví dụ</v>
      </c>
    </row>
    <row r="2" spans="1:13">
      <c r="A2" s="13">
        <f ca="1">IFERROR(__xludf.DUMMYFUNCTION("""COMPUTED_VALUE"""),1)</f>
        <v>1</v>
      </c>
      <c r="B2" s="13"/>
      <c r="C2" s="13" t="str">
        <f ca="1">IFERROR(__xludf.DUMMYFUNCTION("""COMPUTED_VALUE"""),"不")</f>
        <v>不</v>
      </c>
      <c r="D2" s="13" t="str">
        <f ca="1">IFERROR(__xludf.DUMMYFUNCTION("""COMPUTED_VALUE"""),"&lt;ruby&gt;不&lt;rt&gt;bù&lt;/rt&gt;&lt;/ruby&gt;")</f>
        <v>&lt;ruby&gt;不&lt;rt&gt;bù&lt;/rt&gt;&lt;/ruby&gt;</v>
      </c>
      <c r="E2" s="13" t="str">
        <f ca="1">IFERROR(__xludf.DUMMYFUNCTION("""COMPUTED_VALUE"""),"bù")</f>
        <v>bù</v>
      </c>
      <c r="F2" s="13" t="str">
        <f ca="1">IFERROR(__xludf.DUMMYFUNCTION("""COMPUTED_VALUE"""),"Phó từ")</f>
        <v>Phó từ</v>
      </c>
      <c r="G2" s="13" t="str">
        <f ca="1">IFERROR(__xludf.DUMMYFUNCTION("""COMPUTED_VALUE"""),"Không, không cần, đừng")</f>
        <v>Không, không cần, đừng</v>
      </c>
      <c r="H2" s="13" t="str">
        <f ca="1">IFERROR(__xludf.DUMMYFUNCTION("""COMPUTED_VALUE"""),"我不喜欢喝咖啡。")</f>
        <v>我不喜欢喝咖啡。</v>
      </c>
      <c r="I2" s="13" t="str">
        <f ca="1">IFERROR(__xludf.DUMMYFUNCTION("""COMPUTED_VALUE"""),"Wǒ bù xǐhuan hē kāfēi.")</f>
        <v>Wǒ bù xǐhuan hē kāfēi.</v>
      </c>
      <c r="J2" s="13" t="str">
        <f ca="1">IFERROR(__xludf.DUMMYFUNCTION("""COMPUTED_VALUE"""),"Tôi không thích uống cà phê.")</f>
        <v>Tôi không thích uống cà phê.</v>
      </c>
      <c r="K2" s="13" t="str">
        <f ca="1">IFERROR(__xludf.DUMMYFUNCTION("""COMPUTED_VALUE"""),"H1_B1_BG-01.gif")</f>
        <v>H1_B1_BG-01.gif</v>
      </c>
      <c r="L2" s="13" t="str">
        <f ca="1">IFERROR(__xludf.DUMMYFUNCTION("""COMPUTED_VALUE"""),"H1_B1-01.mp3")</f>
        <v>H1_B1-01.mp3</v>
      </c>
      <c r="M2" s="13" t="str">
        <f ca="1">IFERROR(__xludf.DUMMYFUNCTION("""COMPUTED_VALUE"""),"H1_B1_VD_1.mp3")</f>
        <v>H1_B1_VD_1.mp3</v>
      </c>
    </row>
    <row r="3" spans="1:13">
      <c r="A3" s="13">
        <f ca="1">IFERROR(__xludf.DUMMYFUNCTION("""COMPUTED_VALUE"""),2)</f>
        <v>2</v>
      </c>
      <c r="B3" s="13"/>
      <c r="C3" s="13" t="str">
        <f ca="1">IFERROR(__xludf.DUMMYFUNCTION("""COMPUTED_VALUE"""),"对不起")</f>
        <v>对不起</v>
      </c>
      <c r="D3" s="13" t="str">
        <f ca="1">IFERROR(__xludf.DUMMYFUNCTION("""COMPUTED_VALUE"""),"&lt;ruby&gt;对不起&lt;rt&gt;duìbùqǐ&lt;/rt&gt;&lt;/ruby&gt;")</f>
        <v>&lt;ruby&gt;对不起&lt;rt&gt;duìbùqǐ&lt;/rt&gt;&lt;/ruby&gt;</v>
      </c>
      <c r="E3" s="13" t="str">
        <f ca="1">IFERROR(__xludf.DUMMYFUNCTION("""COMPUTED_VALUE"""),"duìbùqǐ")</f>
        <v>duìbùqǐ</v>
      </c>
      <c r="F3" s="13" t="str">
        <f ca="1">IFERROR(__xludf.DUMMYFUNCTION("""COMPUTED_VALUE"""),"Động từ")</f>
        <v>Động từ</v>
      </c>
      <c r="G3" s="13" t="str">
        <f ca="1">IFERROR(__xludf.DUMMYFUNCTION("""COMPUTED_VALUE"""),"Xin lỗi")</f>
        <v>Xin lỗi</v>
      </c>
      <c r="H3" s="13" t="str">
        <f ca="1">IFERROR(__xludf.DUMMYFUNCTION("""COMPUTED_VALUE"""),"对不起，我来晚了。")</f>
        <v>对不起，我来晚了。</v>
      </c>
      <c r="I3" s="13" t="str">
        <f ca="1">IFERROR(__xludf.DUMMYFUNCTION("""COMPUTED_VALUE"""),"Duìbuqǐ, wǒ lái wǎn le.")</f>
        <v>Duìbuqǐ, wǒ lái wǎn le.</v>
      </c>
      <c r="J3" s="13" t="str">
        <f ca="1">IFERROR(__xludf.DUMMYFUNCTION("""COMPUTED_VALUE"""),"Xin lỗi, tôi đến muộn.")</f>
        <v>Xin lỗi, tôi đến muộn.</v>
      </c>
      <c r="K3" s="13" t="str">
        <f ca="1">IFERROR(__xludf.DUMMYFUNCTION("""COMPUTED_VALUE"""),"H1_B1_BG-02.gif")</f>
        <v>H1_B1_BG-02.gif</v>
      </c>
      <c r="L3" s="13" t="str">
        <f ca="1">IFERROR(__xludf.DUMMYFUNCTION("""COMPUTED_VALUE"""),"H1_B1-02.mp3")</f>
        <v>H1_B1-02.mp3</v>
      </c>
      <c r="M3" s="13" t="str">
        <f ca="1">IFERROR(__xludf.DUMMYFUNCTION("""COMPUTED_VALUE"""),"H1_B1_VD_2.mp3")</f>
        <v>H1_B1_VD_2.mp3</v>
      </c>
    </row>
    <row r="4" spans="1:13">
      <c r="A4" s="13">
        <f ca="1">IFERROR(__xludf.DUMMYFUNCTION("""COMPUTED_VALUE"""),3)</f>
        <v>3</v>
      </c>
      <c r="B4" s="13"/>
      <c r="C4" s="13" t="str">
        <f ca="1">IFERROR(__xludf.DUMMYFUNCTION("""COMPUTED_VALUE"""),"没关系")</f>
        <v>没关系</v>
      </c>
      <c r="D4" s="13" t="str">
        <f ca="1">IFERROR(__xludf.DUMMYFUNCTION("""COMPUTED_VALUE"""),"&lt;ruby&gt;没关系&lt;rt&gt;méi guānxi&lt;/rt&gt;&lt;/ruby&gt;")</f>
        <v>&lt;ruby&gt;没关系&lt;rt&gt;méi guānxi&lt;/rt&gt;&lt;/ruby&gt;</v>
      </c>
      <c r="E4" s="13" t="str">
        <f ca="1">IFERROR(__xludf.DUMMYFUNCTION("""COMPUTED_VALUE"""),"méi guānxi")</f>
        <v>méi guānxi</v>
      </c>
      <c r="F4" s="13" t="str">
        <f ca="1">IFERROR(__xludf.DUMMYFUNCTION("""COMPUTED_VALUE"""),"Cụm từ")</f>
        <v>Cụm từ</v>
      </c>
      <c r="G4" s="13" t="str">
        <f ca="1">IFERROR(__xludf.DUMMYFUNCTION("""COMPUTED_VALUE"""),"Không sao đâu, không có vấn đề gì ")</f>
        <v xml:space="preserve">Không sao đâu, không có vấn đề gì </v>
      </c>
      <c r="H4" s="13" t="str">
        <f ca="1">IFERROR(__xludf.DUMMYFUNCTION("""COMPUTED_VALUE"""),"没关系，下次早点来。")</f>
        <v>没关系，下次早点来。</v>
      </c>
      <c r="I4" s="13" t="str">
        <f ca="1">IFERROR(__xludf.DUMMYFUNCTION("""COMPUTED_VALUE"""),"Méiguānxi, xiàcì zǎodiǎn lái.")</f>
        <v>Méiguānxi, xiàcì zǎodiǎn lái.</v>
      </c>
      <c r="J4" s="13" t="str">
        <f ca="1">IFERROR(__xludf.DUMMYFUNCTION("""COMPUTED_VALUE"""),"Không sao, lần sau đến sớm hơn nhé.")</f>
        <v>Không sao, lần sau đến sớm hơn nhé.</v>
      </c>
      <c r="K4" s="13" t="str">
        <f ca="1">IFERROR(__xludf.DUMMYFUNCTION("""COMPUTED_VALUE"""),"H1_B1_BG-03.gif")</f>
        <v>H1_B1_BG-03.gif</v>
      </c>
      <c r="L4" s="13" t="str">
        <f ca="1">IFERROR(__xludf.DUMMYFUNCTION("""COMPUTED_VALUE"""),"H1_B1-03.mp3")</f>
        <v>H1_B1-03.mp3</v>
      </c>
      <c r="M4" s="13" t="str">
        <f ca="1">IFERROR(__xludf.DUMMYFUNCTION("""COMPUTED_VALUE"""),"H1_B1_VD_3.mp3")</f>
        <v>H1_B1_VD_3.mp3</v>
      </c>
    </row>
    <row r="5" spans="1:13">
      <c r="A5" s="13">
        <f ca="1">IFERROR(__xludf.DUMMYFUNCTION("""COMPUTED_VALUE"""),4)</f>
        <v>4</v>
      </c>
      <c r="B5" s="13"/>
      <c r="C5" s="13" t="str">
        <f ca="1">IFERROR(__xludf.DUMMYFUNCTION("""COMPUTED_VALUE"""),"谢谢")</f>
        <v>谢谢</v>
      </c>
      <c r="D5" s="13" t="str">
        <f ca="1">IFERROR(__xludf.DUMMYFUNCTION("""COMPUTED_VALUE"""),"&lt;ruby&gt;谢谢&lt;rt&gt;xièxie&lt;/rt&gt;&lt;/ruby&gt;")</f>
        <v>&lt;ruby&gt;谢谢&lt;rt&gt;xièxie&lt;/rt&gt;&lt;/ruby&gt;</v>
      </c>
      <c r="E5" s="13" t="str">
        <f ca="1">IFERROR(__xludf.DUMMYFUNCTION("""COMPUTED_VALUE"""),"xièxie")</f>
        <v>xièxie</v>
      </c>
      <c r="F5" s="13" t="str">
        <f ca="1">IFERROR(__xludf.DUMMYFUNCTION("""COMPUTED_VALUE"""),"Động từ")</f>
        <v>Động từ</v>
      </c>
      <c r="G5" s="13" t="str">
        <f ca="1">IFERROR(__xludf.DUMMYFUNCTION("""COMPUTED_VALUE"""),"Cảm ơn")</f>
        <v>Cảm ơn</v>
      </c>
      <c r="H5" s="13" t="str">
        <f ca="1">IFERROR(__xludf.DUMMYFUNCTION("""COMPUTED_VALUE"""),"谢谢你的帮助。")</f>
        <v>谢谢你的帮助。</v>
      </c>
      <c r="I5" s="13" t="str">
        <f ca="1">IFERROR(__xludf.DUMMYFUNCTION("""COMPUTED_VALUE"""),"Xièxie nǐ de bāngzhù.")</f>
        <v>Xièxie nǐ de bāngzhù.</v>
      </c>
      <c r="J5" s="13" t="str">
        <f ca="1">IFERROR(__xludf.DUMMYFUNCTION("""COMPUTED_VALUE"""),"Cảm ơn sự giúp đỡ của bạn.")</f>
        <v>Cảm ơn sự giúp đỡ của bạn.</v>
      </c>
      <c r="K5" s="13" t="str">
        <f ca="1">IFERROR(__xludf.DUMMYFUNCTION("""COMPUTED_VALUE"""),"H1_B1_BG-04.gif")</f>
        <v>H1_B1_BG-04.gif</v>
      </c>
      <c r="L5" s="13" t="str">
        <f ca="1">IFERROR(__xludf.DUMMYFUNCTION("""COMPUTED_VALUE"""),"H1_B1-04.mp3")</f>
        <v>H1_B1-04.mp3</v>
      </c>
      <c r="M5" s="13" t="str">
        <f ca="1">IFERROR(__xludf.DUMMYFUNCTION("""COMPUTED_VALUE"""),"H1_B1_VD_4.mp3")</f>
        <v>H1_B1_VD_4.mp3</v>
      </c>
    </row>
    <row r="6" spans="1:13">
      <c r="A6" s="13">
        <f ca="1">IFERROR(__xludf.DUMMYFUNCTION("""COMPUTED_VALUE"""),5)</f>
        <v>5</v>
      </c>
      <c r="B6" s="13"/>
      <c r="C6" s="13" t="str">
        <f ca="1">IFERROR(__xludf.DUMMYFUNCTION("""COMPUTED_VALUE"""),"不客气")</f>
        <v>不客气</v>
      </c>
      <c r="D6" s="13" t="str">
        <f ca="1">IFERROR(__xludf.DUMMYFUNCTION("""COMPUTED_VALUE"""),"&lt;ruby&gt;不客气&lt;rt&gt;bú kèqi&lt;/rt&gt;&lt;/ruby&gt;")</f>
        <v>&lt;ruby&gt;不客气&lt;rt&gt;bú kèqi&lt;/rt&gt;&lt;/ruby&gt;</v>
      </c>
      <c r="E6" s="13" t="str">
        <f ca="1">IFERROR(__xludf.DUMMYFUNCTION("""COMPUTED_VALUE"""),"bú kèqi")</f>
        <v>bú kèqi</v>
      </c>
      <c r="F6" s="13" t="str">
        <f ca="1">IFERROR(__xludf.DUMMYFUNCTION("""COMPUTED_VALUE"""),"Cụm từ")</f>
        <v>Cụm từ</v>
      </c>
      <c r="G6" s="13" t="str">
        <f ca="1">IFERROR(__xludf.DUMMYFUNCTION("""COMPUTED_VALUE"""),"Đừng khách sáo ")</f>
        <v xml:space="preserve">Đừng khách sáo </v>
      </c>
      <c r="H6" s="13" t="str">
        <f ca="1">IFERROR(__xludf.DUMMYFUNCTION("""COMPUTED_VALUE"""),"不客气，这是我应该做的。")</f>
        <v>不客气，这是我应该做的。</v>
      </c>
      <c r="I6" s="13" t="str">
        <f ca="1">IFERROR(__xludf.DUMMYFUNCTION("""COMPUTED_VALUE"""),"Bú kèqì, zhè shì wǒ yīnggāi zuò de.")</f>
        <v>Bú kèqì, zhè shì wǒ yīnggāi zuò de.</v>
      </c>
      <c r="J6" s="13" t="str">
        <f ca="1">IFERROR(__xludf.DUMMYFUNCTION("""COMPUTED_VALUE"""),"Không có gì, đây là việc tôi nên làm.")</f>
        <v>Không có gì, đây là việc tôi nên làm.</v>
      </c>
      <c r="K6" s="13" t="str">
        <f ca="1">IFERROR(__xludf.DUMMYFUNCTION("""COMPUTED_VALUE"""),"H1_B1_BG-05.gif")</f>
        <v>H1_B1_BG-05.gif</v>
      </c>
      <c r="L6" s="13" t="str">
        <f ca="1">IFERROR(__xludf.DUMMYFUNCTION("""COMPUTED_VALUE"""),"H1_B1-05.mp3")</f>
        <v>H1_B1-05.mp3</v>
      </c>
      <c r="M6" s="13" t="str">
        <f ca="1">IFERROR(__xludf.DUMMYFUNCTION("""COMPUTED_VALUE"""),"H1_B1_VD_5.mp3")</f>
        <v>H1_B1_VD_5.mp3</v>
      </c>
    </row>
    <row r="7" spans="1:13">
      <c r="A7" s="13">
        <f ca="1">IFERROR(__xludf.DUMMYFUNCTION("""COMPUTED_VALUE"""),6)</f>
        <v>6</v>
      </c>
      <c r="B7" s="13"/>
      <c r="C7" s="13" t="str">
        <f ca="1">IFERROR(__xludf.DUMMYFUNCTION("""COMPUTED_VALUE"""),"你好")</f>
        <v>你好</v>
      </c>
      <c r="D7" s="13" t="str">
        <f ca="1">IFERROR(__xludf.DUMMYFUNCTION("""COMPUTED_VALUE"""),"&lt;ruby&gt;你好&lt;rt&gt;nǐ hǎo&lt;/rt&gt;&lt;/ruby&gt;")</f>
        <v>&lt;ruby&gt;你好&lt;rt&gt;nǐ hǎo&lt;/rt&gt;&lt;/ruby&gt;</v>
      </c>
      <c r="E7" s="13" t="str">
        <f ca="1">IFERROR(__xludf.DUMMYFUNCTION("""COMPUTED_VALUE"""),"nǐ hǎo")</f>
        <v>nǐ hǎo</v>
      </c>
      <c r="F7" s="13" t="str">
        <f ca="1">IFERROR(__xludf.DUMMYFUNCTION("""COMPUTED_VALUE"""),"Cụm từ")</f>
        <v>Cụm từ</v>
      </c>
      <c r="G7" s="13" t="str">
        <f ca="1">IFERROR(__xludf.DUMMYFUNCTION("""COMPUTED_VALUE"""),"Xin chào")</f>
        <v>Xin chào</v>
      </c>
      <c r="H7" s="13" t="str">
        <f ca="1">IFERROR(__xludf.DUMMYFUNCTION("""COMPUTED_VALUE"""),"你好，我是小明。")</f>
        <v>你好，我是小明。</v>
      </c>
      <c r="I7" s="13" t="str">
        <f ca="1">IFERROR(__xludf.DUMMYFUNCTION("""COMPUTED_VALUE"""),"Nǐ hǎo, wǒ shì Xiǎo Míng.")</f>
        <v>Nǐ hǎo, wǒ shì Xiǎo Míng.</v>
      </c>
      <c r="J7" s="13" t="str">
        <f ca="1">IFERROR(__xludf.DUMMYFUNCTION("""COMPUTED_VALUE"""),"Xin chào, tôi là Tiểu Minh.")</f>
        <v>Xin chào, tôi là Tiểu Minh.</v>
      </c>
      <c r="K7" s="13" t="str">
        <f ca="1">IFERROR(__xludf.DUMMYFUNCTION("""COMPUTED_VALUE"""),"H1_B1_BG-06.gif")</f>
        <v>H1_B1_BG-06.gif</v>
      </c>
      <c r="L7" s="13" t="str">
        <f ca="1">IFERROR(__xludf.DUMMYFUNCTION("""COMPUTED_VALUE"""),"H1_B1-06.mp3")</f>
        <v>H1_B1-06.mp3</v>
      </c>
      <c r="M7" s="13" t="str">
        <f ca="1">IFERROR(__xludf.DUMMYFUNCTION("""COMPUTED_VALUE"""),"H1_B1_VD_6.mp3")</f>
        <v>H1_B1_VD_6.mp3</v>
      </c>
    </row>
    <row r="8" spans="1:13">
      <c r="A8" s="13">
        <f ca="1">IFERROR(__xludf.DUMMYFUNCTION("""COMPUTED_VALUE"""),7)</f>
        <v>7</v>
      </c>
      <c r="B8" s="13"/>
      <c r="C8" s="13" t="str">
        <f ca="1">IFERROR(__xludf.DUMMYFUNCTION("""COMPUTED_VALUE"""),"再见")</f>
        <v>再见</v>
      </c>
      <c r="D8" s="13" t="str">
        <f ca="1">IFERROR(__xludf.DUMMYFUNCTION("""COMPUTED_VALUE"""),"&lt;ruby&gt;再见&lt;rt&gt;zàijiàn&lt;/rt&gt;&lt;/ruby&gt;")</f>
        <v>&lt;ruby&gt;再见&lt;rt&gt;zàijiàn&lt;/rt&gt;&lt;/ruby&gt;</v>
      </c>
      <c r="E8" s="13" t="str">
        <f ca="1">IFERROR(__xludf.DUMMYFUNCTION("""COMPUTED_VALUE"""),"zàijiàn")</f>
        <v>zàijiàn</v>
      </c>
      <c r="F8" s="13" t="str">
        <f ca="1">IFERROR(__xludf.DUMMYFUNCTION("""COMPUTED_VALUE"""),"Cụm từ")</f>
        <v>Cụm từ</v>
      </c>
      <c r="G8" s="13" t="str">
        <f ca="1">IFERROR(__xludf.DUMMYFUNCTION("""COMPUTED_VALUE"""),"Tạm biệt")</f>
        <v>Tạm biệt</v>
      </c>
      <c r="H8" s="13" t="str">
        <f ca="1">IFERROR(__xludf.DUMMYFUNCTION("""COMPUTED_VALUE"""),"再见，明天见！")</f>
        <v>再见，明天见！</v>
      </c>
      <c r="I8" s="13" t="str">
        <f ca="1">IFERROR(__xludf.DUMMYFUNCTION("""COMPUTED_VALUE"""),"Zàijiàn, míngtiān jiàn!")</f>
        <v>Zàijiàn, míngtiān jiàn!</v>
      </c>
      <c r="J8" s="13" t="str">
        <f ca="1">IFERROR(__xludf.DUMMYFUNCTION("""COMPUTED_VALUE"""),"Tạm biệt, hẹn gặp lại ngày mai!")</f>
        <v>Tạm biệt, hẹn gặp lại ngày mai!</v>
      </c>
      <c r="K8" s="13" t="str">
        <f ca="1">IFERROR(__xludf.DUMMYFUNCTION("""COMPUTED_VALUE"""),"H1_B1_BG-07.gif")</f>
        <v>H1_B1_BG-07.gif</v>
      </c>
      <c r="L8" s="13" t="str">
        <f ca="1">IFERROR(__xludf.DUMMYFUNCTION("""COMPUTED_VALUE"""),"H1_B1-07.mp3")</f>
        <v>H1_B1-07.mp3</v>
      </c>
      <c r="M8" s="13" t="str">
        <f ca="1">IFERROR(__xludf.DUMMYFUNCTION("""COMPUTED_VALUE"""),"H1_B1_VD_7.mp3")</f>
        <v>H1_B1_VD_7.mp3</v>
      </c>
    </row>
    <row r="9" spans="1:13">
      <c r="A9" s="13">
        <f ca="1">IFERROR(__xludf.DUMMYFUNCTION("""COMPUTED_VALUE"""),8)</f>
        <v>8</v>
      </c>
      <c r="B9" s="13"/>
      <c r="C9" s="13" t="str">
        <f ca="1">IFERROR(__xludf.DUMMYFUNCTION("""COMPUTED_VALUE"""),"您")</f>
        <v>您</v>
      </c>
      <c r="D9" s="13" t="str">
        <f ca="1">IFERROR(__xludf.DUMMYFUNCTION("""COMPUTED_VALUE"""),"&lt;ruby&gt;您&lt;rt&gt;nín&lt;/rt&gt;&lt;/ruby&gt;")</f>
        <v>&lt;ruby&gt;您&lt;rt&gt;nín&lt;/rt&gt;&lt;/ruby&gt;</v>
      </c>
      <c r="E9" s="13" t="str">
        <f ca="1">IFERROR(__xludf.DUMMYFUNCTION("""COMPUTED_VALUE"""),"nín")</f>
        <v>nín</v>
      </c>
      <c r="F9" s="13" t="str">
        <f ca="1">IFERROR(__xludf.DUMMYFUNCTION("""COMPUTED_VALUE"""),"Đại từ")</f>
        <v>Đại từ</v>
      </c>
      <c r="G9" s="13" t="str">
        <f ca="1">IFERROR(__xludf.DUMMYFUNCTION("""COMPUTED_VALUE"""),"Ngài (lịch sự của ""bạn"")")</f>
        <v>Ngài (lịch sự của "bạn")</v>
      </c>
      <c r="H9" s="13" t="str">
        <f ca="1">IFERROR(__xludf.DUMMYFUNCTION("""COMPUTED_VALUE"""),"您好，请问您需要什么？")</f>
        <v>您好，请问您需要什么？</v>
      </c>
      <c r="I9" s="13" t="str">
        <f ca="1">IFERROR(__xludf.DUMMYFUNCTION("""COMPUTED_VALUE"""),"Nín hǎo, qǐngwèn nín xūyào shénme?")</f>
        <v>Nín hǎo, qǐngwèn nín xūyào shénme?</v>
      </c>
      <c r="J9" s="13" t="str">
        <f ca="1">IFERROR(__xludf.DUMMYFUNCTION("""COMPUTED_VALUE"""),"Xin chào, ngài cần gì ạ?")</f>
        <v>Xin chào, ngài cần gì ạ?</v>
      </c>
      <c r="K9" s="13" t="str">
        <f ca="1">IFERROR(__xludf.DUMMYFUNCTION("""COMPUTED_VALUE"""),"H1_B1_BG-08.gif")</f>
        <v>H1_B1_BG-08.gif</v>
      </c>
      <c r="L9" s="13" t="str">
        <f ca="1">IFERROR(__xludf.DUMMYFUNCTION("""COMPUTED_VALUE"""),"H1_B1-08.mp3")</f>
        <v>H1_B1-08.mp3</v>
      </c>
      <c r="M9" s="13" t="str">
        <f ca="1">IFERROR(__xludf.DUMMYFUNCTION("""COMPUTED_VALUE"""),"H1_B1_VD_8.mp3")</f>
        <v>H1_B1_VD_8.mp3</v>
      </c>
    </row>
    <row r="10" spans="1:13">
      <c r="A10" s="13">
        <f ca="1">IFERROR(__xludf.DUMMYFUNCTION("""COMPUTED_VALUE"""),9)</f>
        <v>9</v>
      </c>
      <c r="B10" s="13"/>
      <c r="C10" s="13" t="str">
        <f ca="1">IFERROR(__xludf.DUMMYFUNCTION("""COMPUTED_VALUE"""),"你")</f>
        <v>你</v>
      </c>
      <c r="D10" s="13" t="str">
        <f ca="1">IFERROR(__xludf.DUMMYFUNCTION("""COMPUTED_VALUE"""),"&lt;ruby&gt;你&lt;rt&gt;nǐ&lt;/rt&gt;&lt;/ruby&gt;")</f>
        <v>&lt;ruby&gt;你&lt;rt&gt;nǐ&lt;/rt&gt;&lt;/ruby&gt;</v>
      </c>
      <c r="E10" s="13" t="str">
        <f ca="1">IFERROR(__xludf.DUMMYFUNCTION("""COMPUTED_VALUE"""),"nǐ")</f>
        <v>nǐ</v>
      </c>
      <c r="F10" s="13" t="str">
        <f ca="1">IFERROR(__xludf.DUMMYFUNCTION("""COMPUTED_VALUE"""),"Đại từ")</f>
        <v>Đại từ</v>
      </c>
      <c r="G10" s="13" t="str">
        <f ca="1">IFERROR(__xludf.DUMMYFUNCTION("""COMPUTED_VALUE"""),"Anh, chị, bạn cậu,...")</f>
        <v>Anh, chị, bạn cậu,...</v>
      </c>
      <c r="H10" s="13" t="str">
        <f ca="1">IFERROR(__xludf.DUMMYFUNCTION("""COMPUTED_VALUE"""),"你想跟我一起玩儿吗？")</f>
        <v>你想跟我一起玩儿吗？</v>
      </c>
      <c r="I10" s="13" t="str">
        <f ca="1">IFERROR(__xludf.DUMMYFUNCTION("""COMPUTED_VALUE"""),"Nǐ xiǎng gēn wǒ yìqǐ wánr ma?")</f>
        <v>Nǐ xiǎng gēn wǒ yìqǐ wánr ma?</v>
      </c>
      <c r="J10" s="13" t="str">
        <f ca="1">IFERROR(__xludf.DUMMYFUNCTION("""COMPUTED_VALUE"""),"Bạn có muốn chơi cùng tôi không?")</f>
        <v>Bạn có muốn chơi cùng tôi không?</v>
      </c>
      <c r="K10" s="13" t="str">
        <f ca="1">IFERROR(__xludf.DUMMYFUNCTION("""COMPUTED_VALUE"""),"H1_B1_BG-09.gif")</f>
        <v>H1_B1_BG-09.gif</v>
      </c>
      <c r="L10" s="13" t="str">
        <f ca="1">IFERROR(__xludf.DUMMYFUNCTION("""COMPUTED_VALUE"""),"H1_B1-09.mp3")</f>
        <v>H1_B1-09.mp3</v>
      </c>
      <c r="M10" s="13" t="str">
        <f ca="1">IFERROR(__xludf.DUMMYFUNCTION("""COMPUTED_VALUE"""),"H1_B1_VD_9.mp3")</f>
        <v>H1_B1_VD_9.mp3</v>
      </c>
    </row>
    <row r="11" spans="1:13">
      <c r="A11" s="13">
        <f ca="1">IFERROR(__xludf.DUMMYFUNCTION("""COMPUTED_VALUE"""),10)</f>
        <v>10</v>
      </c>
      <c r="B11" s="13"/>
      <c r="C11" s="13" t="str">
        <f ca="1">IFERROR(__xludf.DUMMYFUNCTION("""COMPUTED_VALUE"""),"我")</f>
        <v>我</v>
      </c>
      <c r="D11" s="13" t="str">
        <f ca="1">IFERROR(__xludf.DUMMYFUNCTION("""COMPUTED_VALUE"""),"&lt;ruby&gt;我&lt;rt&gt;wǒ&lt;/rt&gt;&lt;/ruby&gt;")</f>
        <v>&lt;ruby&gt;我&lt;rt&gt;wǒ&lt;/rt&gt;&lt;/ruby&gt;</v>
      </c>
      <c r="E11" s="13" t="str">
        <f ca="1">IFERROR(__xludf.DUMMYFUNCTION("""COMPUTED_VALUE"""),"wǒ")</f>
        <v>wǒ</v>
      </c>
      <c r="F11" s="13" t="str">
        <f ca="1">IFERROR(__xludf.DUMMYFUNCTION("""COMPUTED_VALUE"""),"Đại từ")</f>
        <v>Đại từ</v>
      </c>
      <c r="G11" s="13" t="str">
        <f ca="1">IFERROR(__xludf.DUMMYFUNCTION("""COMPUTED_VALUE"""),"Tôi, tớ, ta, mình")</f>
        <v>Tôi, tớ, ta, mình</v>
      </c>
      <c r="H11" s="13" t="str">
        <f ca="1">IFERROR(__xludf.DUMMYFUNCTION("""COMPUTED_VALUE"""),"我是越南人。")</f>
        <v>我是越南人。</v>
      </c>
      <c r="I11" s="13" t="str">
        <f ca="1">IFERROR(__xludf.DUMMYFUNCTION("""COMPUTED_VALUE"""),"Wǒ shì Yuènán rén.")</f>
        <v>Wǒ shì Yuènán rén.</v>
      </c>
      <c r="J11" s="13" t="str">
        <f ca="1">IFERROR(__xludf.DUMMYFUNCTION("""COMPUTED_VALUE"""),"Tôi là người Việt Nam.")</f>
        <v>Tôi là người Việt Nam.</v>
      </c>
      <c r="K11" s="13" t="str">
        <f ca="1">IFERROR(__xludf.DUMMYFUNCTION("""COMPUTED_VALUE"""),"H1_B1_BG-10.gif")</f>
        <v>H1_B1_BG-10.gif</v>
      </c>
      <c r="L11" s="13" t="str">
        <f ca="1">IFERROR(__xludf.DUMMYFUNCTION("""COMPUTED_VALUE"""),"H1_B1-10.mp3")</f>
        <v>H1_B1-10.mp3</v>
      </c>
      <c r="M11" s="13" t="str">
        <f ca="1">IFERROR(__xludf.DUMMYFUNCTION("""COMPUTED_VALUE"""),"H1_B1_VD_10.mp3")</f>
        <v>H1_B1_VD_10.mp3</v>
      </c>
    </row>
    <row r="12" spans="1:13">
      <c r="A12" s="13">
        <f ca="1">IFERROR(__xludf.DUMMYFUNCTION("""COMPUTED_VALUE"""),11)</f>
        <v>11</v>
      </c>
      <c r="B12" s="13"/>
      <c r="C12" s="13" t="str">
        <f ca="1">IFERROR(__xludf.DUMMYFUNCTION("""COMPUTED_VALUE"""),"他")</f>
        <v>他</v>
      </c>
      <c r="D12" s="13" t="str">
        <f ca="1">IFERROR(__xludf.DUMMYFUNCTION("""COMPUTED_VALUE"""),"&lt;ruby&gt;他&lt;rt&gt;tā&lt;/rt&gt;&lt;/ruby&gt;")</f>
        <v>&lt;ruby&gt;他&lt;rt&gt;tā&lt;/rt&gt;&lt;/ruby&gt;</v>
      </c>
      <c r="E12" s="13" t="str">
        <f ca="1">IFERROR(__xludf.DUMMYFUNCTION("""COMPUTED_VALUE"""),"tā")</f>
        <v>tā</v>
      </c>
      <c r="F12" s="13" t="str">
        <f ca="1">IFERROR(__xludf.DUMMYFUNCTION("""COMPUTED_VALUE"""),"Đại từ")</f>
        <v>Đại từ</v>
      </c>
      <c r="G12" s="13" t="str">
        <f ca="1">IFERROR(__xludf.DUMMYFUNCTION("""COMPUTED_VALUE"""),"Anh ấy, ông ấy")</f>
        <v>Anh ấy, ông ấy</v>
      </c>
      <c r="H12" s="13" t="str">
        <f ca="1">IFERROR(__xludf.DUMMYFUNCTION("""COMPUTED_VALUE"""),"他是我的哥哥。")</f>
        <v>他是我的哥哥。</v>
      </c>
      <c r="I12" s="13" t="str">
        <f ca="1">IFERROR(__xludf.DUMMYFUNCTION("""COMPUTED_VALUE"""),"Tā shì wǒ de gēge.")</f>
        <v>Tā shì wǒ de gēge.</v>
      </c>
      <c r="J12" s="13" t="str">
        <f ca="1">IFERROR(__xludf.DUMMYFUNCTION("""COMPUTED_VALUE"""),"Anh ấy là anh trai tôi.")</f>
        <v>Anh ấy là anh trai tôi.</v>
      </c>
      <c r="K12" s="13" t="str">
        <f ca="1">IFERROR(__xludf.DUMMYFUNCTION("""COMPUTED_VALUE"""),"H1_B1_BG-11.gif")</f>
        <v>H1_B1_BG-11.gif</v>
      </c>
      <c r="L12" s="13" t="str">
        <f ca="1">IFERROR(__xludf.DUMMYFUNCTION("""COMPUTED_VALUE"""),"H1_B1-11.mp3")</f>
        <v>H1_B1-11.mp3</v>
      </c>
      <c r="M12" s="13" t="str">
        <f ca="1">IFERROR(__xludf.DUMMYFUNCTION("""COMPUTED_VALUE"""),"H1_B1_VD_11.mp3")</f>
        <v>H1_B1_VD_11.mp3</v>
      </c>
    </row>
    <row r="13" spans="1:13">
      <c r="A13" s="13">
        <f ca="1">IFERROR(__xludf.DUMMYFUNCTION("""COMPUTED_VALUE"""),12)</f>
        <v>12</v>
      </c>
      <c r="B13" s="13"/>
      <c r="C13" s="13" t="str">
        <f ca="1">IFERROR(__xludf.DUMMYFUNCTION("""COMPUTED_VALUE"""),"她")</f>
        <v>她</v>
      </c>
      <c r="D13" s="13" t="str">
        <f ca="1">IFERROR(__xludf.DUMMYFUNCTION("""COMPUTED_VALUE"""),"&lt;ruby&gt;她&lt;rt&gt;tā&lt;/rt&gt;&lt;/ruby&gt;")</f>
        <v>&lt;ruby&gt;她&lt;rt&gt;tā&lt;/rt&gt;&lt;/ruby&gt;</v>
      </c>
      <c r="E13" s="13" t="str">
        <f ca="1">IFERROR(__xludf.DUMMYFUNCTION("""COMPUTED_VALUE"""),"tā")</f>
        <v>tā</v>
      </c>
      <c r="F13" s="13" t="str">
        <f ca="1">IFERROR(__xludf.DUMMYFUNCTION("""COMPUTED_VALUE"""),"Đại từ")</f>
        <v>Đại từ</v>
      </c>
      <c r="G13" s="13" t="str">
        <f ca="1">IFERROR(__xludf.DUMMYFUNCTION("""COMPUTED_VALUE"""),"Cô ấy, bà ấy")</f>
        <v>Cô ấy, bà ấy</v>
      </c>
      <c r="H13" s="13" t="str">
        <f ca="1">IFERROR(__xludf.DUMMYFUNCTION("""COMPUTED_VALUE"""),"她很漂亮。")</f>
        <v>她很漂亮。</v>
      </c>
      <c r="I13" s="13" t="str">
        <f ca="1">IFERROR(__xludf.DUMMYFUNCTION("""COMPUTED_VALUE"""),"Tā hěn piàoliang.")</f>
        <v>Tā hěn piàoliang.</v>
      </c>
      <c r="J13" s="13" t="str">
        <f ca="1">IFERROR(__xludf.DUMMYFUNCTION("""COMPUTED_VALUE"""),"Cô ấy rất xinh đẹp.")</f>
        <v>Cô ấy rất xinh đẹp.</v>
      </c>
      <c r="K13" s="13" t="str">
        <f ca="1">IFERROR(__xludf.DUMMYFUNCTION("""COMPUTED_VALUE"""),"H1_B1_BG-12.gif")</f>
        <v>H1_B1_BG-12.gif</v>
      </c>
      <c r="L13" s="13" t="str">
        <f ca="1">IFERROR(__xludf.DUMMYFUNCTION("""COMPUTED_VALUE"""),"H1_B1-12.mp3")</f>
        <v>H1_B1-12.mp3</v>
      </c>
      <c r="M13" s="13" t="str">
        <f ca="1">IFERROR(__xludf.DUMMYFUNCTION("""COMPUTED_VALUE"""),"H1_B1_VD_12.mp3")</f>
        <v>H1_B1_VD_12.mp3</v>
      </c>
    </row>
    <row r="14" spans="1:13">
      <c r="A14" s="13">
        <f ca="1">IFERROR(__xludf.DUMMYFUNCTION("""COMPUTED_VALUE"""),13)</f>
        <v>13</v>
      </c>
      <c r="B14" s="13"/>
      <c r="C14" s="13" t="str">
        <f ca="1">IFERROR(__xludf.DUMMYFUNCTION("""COMPUTED_VALUE"""),"好")</f>
        <v>好</v>
      </c>
      <c r="D14" s="13" t="str">
        <f ca="1">IFERROR(__xludf.DUMMYFUNCTION("""COMPUTED_VALUE"""),"&lt;ruby&gt;好&lt;rt&gt;hǎo&lt;/rt&gt;&lt;/ruby&gt;")</f>
        <v>&lt;ruby&gt;好&lt;rt&gt;hǎo&lt;/rt&gt;&lt;/ruby&gt;</v>
      </c>
      <c r="E14" s="13" t="str">
        <f ca="1">IFERROR(__xludf.DUMMYFUNCTION("""COMPUTED_VALUE"""),"hǎo")</f>
        <v>hǎo</v>
      </c>
      <c r="F14" s="13" t="str">
        <f ca="1">IFERROR(__xludf.DUMMYFUNCTION("""COMPUTED_VALUE"""),"Tính từ")</f>
        <v>Tính từ</v>
      </c>
      <c r="G14" s="13" t="str">
        <f ca="1">IFERROR(__xludf.DUMMYFUNCTION("""COMPUTED_VALUE"""),"Tốt, khỏe")</f>
        <v>Tốt, khỏe</v>
      </c>
      <c r="H14" s="13" t="str">
        <f ca="1">IFERROR(__xludf.DUMMYFUNCTION("""COMPUTED_VALUE"""),"他们跳舞很好。")</f>
        <v>他们跳舞很好。</v>
      </c>
      <c r="I14" s="13" t="str">
        <f ca="1">IFERROR(__xludf.DUMMYFUNCTION("""COMPUTED_VALUE"""),"Tāmen tiàowǔ hěn hǎo.")</f>
        <v>Tāmen tiàowǔ hěn hǎo.</v>
      </c>
      <c r="J14" s="13" t="str">
        <f ca="1">IFERROR(__xludf.DUMMYFUNCTION("""COMPUTED_VALUE"""),"Họ nhảy múa rất giỏi.")</f>
        <v>Họ nhảy múa rất giỏi.</v>
      </c>
      <c r="K14" s="13" t="str">
        <f ca="1">IFERROR(__xludf.DUMMYFUNCTION("""COMPUTED_VALUE"""),"H1_B1_BG-13.gif")</f>
        <v>H1_B1_BG-13.gif</v>
      </c>
      <c r="L14" s="13" t="str">
        <f ca="1">IFERROR(__xludf.DUMMYFUNCTION("""COMPUTED_VALUE"""),"H1_B1-13.mp3")</f>
        <v>H1_B1-13.mp3</v>
      </c>
      <c r="M14" s="13" t="str">
        <f ca="1">IFERROR(__xludf.DUMMYFUNCTION("""COMPUTED_VALUE"""),"H1_B1_VD_13.mp3")</f>
        <v>H1_B1_VD_13.mp3</v>
      </c>
    </row>
    <row r="15" spans="1:13">
      <c r="A15" s="13">
        <f ca="1">IFERROR(__xludf.DUMMYFUNCTION("""COMPUTED_VALUE"""),14)</f>
        <v>14</v>
      </c>
      <c r="B15" s="13"/>
      <c r="C15" s="13" t="str">
        <f ca="1">IFERROR(__xludf.DUMMYFUNCTION("""COMPUTED_VALUE"""),"你们")</f>
        <v>你们</v>
      </c>
      <c r="D15" s="13" t="str">
        <f ca="1">IFERROR(__xludf.DUMMYFUNCTION("""COMPUTED_VALUE"""),"&lt;ruby&gt;你们&lt;rt&gt;nǐmen&lt;/rt&gt;&lt;/ruby&gt;")</f>
        <v>&lt;ruby&gt;你们&lt;rt&gt;nǐmen&lt;/rt&gt;&lt;/ruby&gt;</v>
      </c>
      <c r="E15" s="13" t="str">
        <f ca="1">IFERROR(__xludf.DUMMYFUNCTION("""COMPUTED_VALUE"""),"nǐmen")</f>
        <v>nǐmen</v>
      </c>
      <c r="F15" s="13" t="str">
        <f ca="1">IFERROR(__xludf.DUMMYFUNCTION("""COMPUTED_VALUE"""),"Đại từ ")</f>
        <v xml:space="preserve">Đại từ </v>
      </c>
      <c r="G15" s="13" t="str">
        <f ca="1">IFERROR(__xludf.DUMMYFUNCTION("""COMPUTED_VALUE"""),"Các anh, các chị, các bạn ")</f>
        <v xml:space="preserve">Các anh, các chị, các bạn </v>
      </c>
      <c r="H15" s="13" t="str">
        <f ca="1">IFERROR(__xludf.DUMMYFUNCTION("""COMPUTED_VALUE"""),"你们是一家人吗？")</f>
        <v>你们是一家人吗？</v>
      </c>
      <c r="I15" s="13" t="str">
        <f ca="1">IFERROR(__xludf.DUMMYFUNCTION("""COMPUTED_VALUE"""),"Nǐmen shì yì jiā rén ma?")</f>
        <v>Nǐmen shì yì jiā rén ma?</v>
      </c>
      <c r="J15" s="13" t="str">
        <f ca="1">IFERROR(__xludf.DUMMYFUNCTION("""COMPUTED_VALUE"""),"Các bạn là một gia đình phải không?")</f>
        <v>Các bạn là một gia đình phải không?</v>
      </c>
      <c r="K15" s="13" t="str">
        <f ca="1">IFERROR(__xludf.DUMMYFUNCTION("""COMPUTED_VALUE"""),"H1_B1_BG-14.gif")</f>
        <v>H1_B1_BG-14.gif</v>
      </c>
      <c r="L15" s="13" t="str">
        <f ca="1">IFERROR(__xludf.DUMMYFUNCTION("""COMPUTED_VALUE"""),"H1_B1-14.mp3")</f>
        <v>H1_B1-14.mp3</v>
      </c>
      <c r="M15" s="13" t="str">
        <f ca="1">IFERROR(__xludf.DUMMYFUNCTION("""COMPUTED_VALUE"""),"H1_B1_VD_14.mp3")</f>
        <v>H1_B1_VD_14.mp3</v>
      </c>
    </row>
    <row r="16" spans="1:13">
      <c r="A16" s="13">
        <f ca="1">IFERROR(__xludf.DUMMYFUNCTION("""COMPUTED_VALUE"""),1)</f>
        <v>1</v>
      </c>
      <c r="B16" s="13"/>
      <c r="C16" s="13" t="str">
        <f ca="1">IFERROR(__xludf.DUMMYFUNCTION("""COMPUTED_VALUE"""),"人")</f>
        <v>人</v>
      </c>
      <c r="D16" s="13" t="str">
        <f ca="1">IFERROR(__xludf.DUMMYFUNCTION("""COMPUTED_VALUE"""),"&lt;ruby&gt;人&lt;rt&gt;rén&lt;/rt&gt;&lt;/ruby&gt;")</f>
        <v>&lt;ruby&gt;人&lt;rt&gt;rén&lt;/rt&gt;&lt;/ruby&gt;</v>
      </c>
      <c r="E16" s="13" t="str">
        <f ca="1">IFERROR(__xludf.DUMMYFUNCTION("""COMPUTED_VALUE"""),"rén")</f>
        <v>rén</v>
      </c>
      <c r="F16" s="13" t="str">
        <f ca="1">IFERROR(__xludf.DUMMYFUNCTION("""COMPUTED_VALUE"""),"Danh từ")</f>
        <v>Danh từ</v>
      </c>
      <c r="G16" s="13" t="str">
        <f ca="1">IFERROR(__xludf.DUMMYFUNCTION("""COMPUTED_VALUE"""),"Người")</f>
        <v>Người</v>
      </c>
      <c r="H16" s="13" t="str">
        <f ca="1">IFERROR(__xludf.DUMMYFUNCTION("""COMPUTED_VALUE"""),"我是中国人。")</f>
        <v>我是中国人。</v>
      </c>
      <c r="I16" s="13" t="str">
        <f ca="1">IFERROR(__xludf.DUMMYFUNCTION("""COMPUTED_VALUE"""),"Wǒ shì Zhōngguó rén.")</f>
        <v>Wǒ shì Zhōngguó rén.</v>
      </c>
      <c r="J16" s="13" t="str">
        <f ca="1">IFERROR(__xludf.DUMMYFUNCTION("""COMPUTED_VALUE"""),"Tôi là người Trung Quốc.")</f>
        <v>Tôi là người Trung Quốc.</v>
      </c>
      <c r="K16" s="13" t="str">
        <f ca="1">IFERROR(__xludf.DUMMYFUNCTION("""COMPUTED_VALUE"""),"H1_B2_BG-01.gif")</f>
        <v>H1_B2_BG-01.gif</v>
      </c>
      <c r="L16" s="13" t="str">
        <f ca="1">IFERROR(__xludf.DUMMYFUNCTION("""COMPUTED_VALUE"""),"H1_B2-01.mp3")</f>
        <v>H1_B2-01.mp3</v>
      </c>
      <c r="M16" s="13" t="str">
        <f ca="1">IFERROR(__xludf.DUMMYFUNCTION("""COMPUTED_VALUE"""),"H1_B2_VD_1.mp3")</f>
        <v>H1_B2_VD_1.mp3</v>
      </c>
    </row>
    <row r="17" spans="1:13">
      <c r="A17" s="13">
        <f ca="1">IFERROR(__xludf.DUMMYFUNCTION("""COMPUTED_VALUE"""),2)</f>
        <v>2</v>
      </c>
      <c r="B17" s="13"/>
      <c r="C17" s="13" t="str">
        <f ca="1">IFERROR(__xludf.DUMMYFUNCTION("""COMPUTED_VALUE"""),"学生")</f>
        <v>学生</v>
      </c>
      <c r="D17" s="13" t="str">
        <f ca="1">IFERROR(__xludf.DUMMYFUNCTION("""COMPUTED_VALUE"""),"&lt;ruby&gt;学生&lt;rt&gt;xuésheng&lt;/rt&gt;&lt;/ruby&gt;")</f>
        <v>&lt;ruby&gt;学生&lt;rt&gt;xuésheng&lt;/rt&gt;&lt;/ruby&gt;</v>
      </c>
      <c r="E17" s="13" t="str">
        <f ca="1">IFERROR(__xludf.DUMMYFUNCTION("""COMPUTED_VALUE"""),"xuésheng")</f>
        <v>xuésheng</v>
      </c>
      <c r="F17" s="13" t="str">
        <f ca="1">IFERROR(__xludf.DUMMYFUNCTION("""COMPUTED_VALUE"""),"Danh từ")</f>
        <v>Danh từ</v>
      </c>
      <c r="G17" s="13" t="str">
        <f ca="1">IFERROR(__xludf.DUMMYFUNCTION("""COMPUTED_VALUE"""),"Học sinh")</f>
        <v>Học sinh</v>
      </c>
      <c r="H17" s="13" t="str">
        <f ca="1">IFERROR(__xludf.DUMMYFUNCTION("""COMPUTED_VALUE"""),"她是学生。")</f>
        <v>她是学生。</v>
      </c>
      <c r="I17" s="13" t="str">
        <f ca="1">IFERROR(__xludf.DUMMYFUNCTION("""COMPUTED_VALUE"""),"Tā shì xuésheng.")</f>
        <v>Tā shì xuésheng.</v>
      </c>
      <c r="J17" s="13" t="str">
        <f ca="1">IFERROR(__xludf.DUMMYFUNCTION("""COMPUTED_VALUE"""),"Cô ấy là học sinh.")</f>
        <v>Cô ấy là học sinh.</v>
      </c>
      <c r="K17" s="13" t="str">
        <f ca="1">IFERROR(__xludf.DUMMYFUNCTION("""COMPUTED_VALUE"""),"H1_B2_BG-02.gif")</f>
        <v>H1_B2_BG-02.gif</v>
      </c>
      <c r="L17" s="13" t="str">
        <f ca="1">IFERROR(__xludf.DUMMYFUNCTION("""COMPUTED_VALUE"""),"H1_B2-02.mp3")</f>
        <v>H1_B2-02.mp3</v>
      </c>
      <c r="M17" s="13" t="str">
        <f ca="1">IFERROR(__xludf.DUMMYFUNCTION("""COMPUTED_VALUE"""),"H1_B2_VD_2.mp3")</f>
        <v>H1_B2_VD_2.mp3</v>
      </c>
    </row>
    <row r="18" spans="1:13">
      <c r="A18" s="13">
        <f ca="1">IFERROR(__xludf.DUMMYFUNCTION("""COMPUTED_VALUE"""),3)</f>
        <v>3</v>
      </c>
      <c r="B18" s="13"/>
      <c r="C18" s="13" t="str">
        <f ca="1">IFERROR(__xludf.DUMMYFUNCTION("""COMPUTED_VALUE"""),"老师")</f>
        <v>老师</v>
      </c>
      <c r="D18" s="13" t="str">
        <f ca="1">IFERROR(__xludf.DUMMYFUNCTION("""COMPUTED_VALUE"""),"&lt;ruby&gt;老师&lt;rt&gt;lǎoshī&lt;/rt&gt;&lt;/ruby&gt;")</f>
        <v>&lt;ruby&gt;老师&lt;rt&gt;lǎoshī&lt;/rt&gt;&lt;/ruby&gt;</v>
      </c>
      <c r="E18" s="13" t="str">
        <f ca="1">IFERROR(__xludf.DUMMYFUNCTION("""COMPUTED_VALUE"""),"lǎoshī")</f>
        <v>lǎoshī</v>
      </c>
      <c r="F18" s="13" t="str">
        <f ca="1">IFERROR(__xludf.DUMMYFUNCTION("""COMPUTED_VALUE"""),"Danh từ")</f>
        <v>Danh từ</v>
      </c>
      <c r="G18" s="13" t="str">
        <f ca="1">IFERROR(__xludf.DUMMYFUNCTION("""COMPUTED_VALUE"""),"Giáo viên, thầy/cô giáo")</f>
        <v>Giáo viên, thầy/cô giáo</v>
      </c>
      <c r="H18" s="13" t="str">
        <f ca="1">IFERROR(__xludf.DUMMYFUNCTION("""COMPUTED_VALUE"""),"她是老师。")</f>
        <v>她是老师。</v>
      </c>
      <c r="I18" s="13" t="str">
        <f ca="1">IFERROR(__xludf.DUMMYFUNCTION("""COMPUTED_VALUE"""),"Tā shì lǎoshī.")</f>
        <v>Tā shì lǎoshī.</v>
      </c>
      <c r="J18" s="13" t="str">
        <f ca="1">IFERROR(__xludf.DUMMYFUNCTION("""COMPUTED_VALUE"""),"Cô ấy là giáo viên.")</f>
        <v>Cô ấy là giáo viên.</v>
      </c>
      <c r="K18" s="13" t="str">
        <f ca="1">IFERROR(__xludf.DUMMYFUNCTION("""COMPUTED_VALUE"""),"H1_B2_BG-03.gif")</f>
        <v>H1_B2_BG-03.gif</v>
      </c>
      <c r="L18" s="13" t="str">
        <f ca="1">IFERROR(__xludf.DUMMYFUNCTION("""COMPUTED_VALUE"""),"H1_B2-03.mp3")</f>
        <v>H1_B2-03.mp3</v>
      </c>
      <c r="M18" s="13" t="str">
        <f ca="1">IFERROR(__xludf.DUMMYFUNCTION("""COMPUTED_VALUE"""),"H1_B2_VD_3.mp3")</f>
        <v>H1_B2_VD_3.mp3</v>
      </c>
    </row>
    <row r="19" spans="1:13">
      <c r="A19" s="13">
        <f ca="1">IFERROR(__xludf.DUMMYFUNCTION("""COMPUTED_VALUE"""),4)</f>
        <v>4</v>
      </c>
      <c r="B19" s="13"/>
      <c r="C19" s="13" t="str">
        <f ca="1">IFERROR(__xludf.DUMMYFUNCTION("""COMPUTED_VALUE"""),"名字")</f>
        <v>名字</v>
      </c>
      <c r="D19" s="13" t="str">
        <f ca="1">IFERROR(__xludf.DUMMYFUNCTION("""COMPUTED_VALUE"""),"&lt;ruby&gt;名字&lt;rt&gt;míngzi&lt;/rt&gt;&lt;/ruby&gt;")</f>
        <v>&lt;ruby&gt;名字&lt;rt&gt;míngzi&lt;/rt&gt;&lt;/ruby&gt;</v>
      </c>
      <c r="E19" s="13" t="str">
        <f ca="1">IFERROR(__xludf.DUMMYFUNCTION("""COMPUTED_VALUE"""),"míngzi")</f>
        <v>míngzi</v>
      </c>
      <c r="F19" s="13" t="str">
        <f ca="1">IFERROR(__xludf.DUMMYFUNCTION("""COMPUTED_VALUE"""),"Danh từ")</f>
        <v>Danh từ</v>
      </c>
      <c r="G19" s="13" t="str">
        <f ca="1">IFERROR(__xludf.DUMMYFUNCTION("""COMPUTED_VALUE"""),"Tên")</f>
        <v>Tên</v>
      </c>
      <c r="H19" s="13" t="str">
        <f ca="1">IFERROR(__xludf.DUMMYFUNCTION("""COMPUTED_VALUE"""),"她叫什么名字？")</f>
        <v>她叫什么名字？</v>
      </c>
      <c r="I19" s="13" t="str">
        <f ca="1">IFERROR(__xludf.DUMMYFUNCTION("""COMPUTED_VALUE"""),"Tā jiào shénme míngzi?")</f>
        <v>Tā jiào shénme míngzi?</v>
      </c>
      <c r="J19" s="13" t="str">
        <f ca="1">IFERROR(__xludf.DUMMYFUNCTION("""COMPUTED_VALUE"""),"Cô ấy tên là gì?")</f>
        <v>Cô ấy tên là gì?</v>
      </c>
      <c r="K19" s="13" t="str">
        <f ca="1">IFERROR(__xludf.DUMMYFUNCTION("""COMPUTED_VALUE"""),"H1_B2_BG-04.gif")</f>
        <v>H1_B2_BG-04.gif</v>
      </c>
      <c r="L19" s="13" t="str">
        <f ca="1">IFERROR(__xludf.DUMMYFUNCTION("""COMPUTED_VALUE"""),"H1_B2-04.mp3")</f>
        <v>H1_B2-04.mp3</v>
      </c>
      <c r="M19" s="13" t="str">
        <f ca="1">IFERROR(__xludf.DUMMYFUNCTION("""COMPUTED_VALUE"""),"H1_B2_VD_4.mp3")</f>
        <v>H1_B2_VD_4.mp3</v>
      </c>
    </row>
    <row r="20" spans="1:13">
      <c r="A20" s="13">
        <f ca="1">IFERROR(__xludf.DUMMYFUNCTION("""COMPUTED_VALUE"""),5)</f>
        <v>5</v>
      </c>
      <c r="B20" s="13"/>
      <c r="C20" s="13" t="str">
        <f ca="1">IFERROR(__xludf.DUMMYFUNCTION("""COMPUTED_VALUE"""),"叫")</f>
        <v>叫</v>
      </c>
      <c r="D20" s="13" t="str">
        <f ca="1">IFERROR(__xludf.DUMMYFUNCTION("""COMPUTED_VALUE"""),"&lt;ruby&gt;叫&lt;rt&gt;jiào&lt;/rt&gt;&lt;/ruby&gt;")</f>
        <v>&lt;ruby&gt;叫&lt;rt&gt;jiào&lt;/rt&gt;&lt;/ruby&gt;</v>
      </c>
      <c r="E20" s="13" t="str">
        <f ca="1">IFERROR(__xludf.DUMMYFUNCTION("""COMPUTED_VALUE"""),"jiào")</f>
        <v>jiào</v>
      </c>
      <c r="F20" s="13" t="str">
        <f ca="1">IFERROR(__xludf.DUMMYFUNCTION("""COMPUTED_VALUE"""),"Động từ")</f>
        <v>Động từ</v>
      </c>
      <c r="G20" s="13" t="str">
        <f ca="1">IFERROR(__xludf.DUMMYFUNCTION("""COMPUTED_VALUE"""),"Gọi, tên là")</f>
        <v>Gọi, tên là</v>
      </c>
      <c r="H20" s="13" t="str">
        <f ca="1">IFERROR(__xludf.DUMMYFUNCTION("""COMPUTED_VALUE"""),"她叫玛丽。")</f>
        <v>她叫玛丽。</v>
      </c>
      <c r="I20" s="13" t="str">
        <f ca="1">IFERROR(__xludf.DUMMYFUNCTION("""COMPUTED_VALUE"""),"Tā jiào Mǎlì.")</f>
        <v>Tā jiào Mǎlì.</v>
      </c>
      <c r="J20" s="13" t="str">
        <f ca="1">IFERROR(__xludf.DUMMYFUNCTION("""COMPUTED_VALUE"""),"Cô ấy tên là Mary.")</f>
        <v>Cô ấy tên là Mary.</v>
      </c>
      <c r="K20" s="13" t="str">
        <f ca="1">IFERROR(__xludf.DUMMYFUNCTION("""COMPUTED_VALUE"""),"H1_B2_BG-05.gif")</f>
        <v>H1_B2_BG-05.gif</v>
      </c>
      <c r="L20" s="13" t="str">
        <f ca="1">IFERROR(__xludf.DUMMYFUNCTION("""COMPUTED_VALUE"""),"H1_B2-05.mp3")</f>
        <v>H1_B2-05.mp3</v>
      </c>
      <c r="M20" s="13" t="str">
        <f ca="1">IFERROR(__xludf.DUMMYFUNCTION("""COMPUTED_VALUE"""),"H1_B2_VD_5.mp3")</f>
        <v>H1_B2_VD_5.mp3</v>
      </c>
    </row>
    <row r="21" spans="1:13">
      <c r="A21" s="13">
        <f ca="1">IFERROR(__xludf.DUMMYFUNCTION("""COMPUTED_VALUE"""),6)</f>
        <v>6</v>
      </c>
      <c r="B21" s="13"/>
      <c r="C21" s="13" t="str">
        <f ca="1">IFERROR(__xludf.DUMMYFUNCTION("""COMPUTED_VALUE"""),"是")</f>
        <v>是</v>
      </c>
      <c r="D21" s="13" t="str">
        <f ca="1">IFERROR(__xludf.DUMMYFUNCTION("""COMPUTED_VALUE"""),"&lt;ruby&gt;是&lt;rt&gt;shì&lt;/rt&gt;&lt;/ruby&gt;")</f>
        <v>&lt;ruby&gt;是&lt;rt&gt;shì&lt;/rt&gt;&lt;/ruby&gt;</v>
      </c>
      <c r="E21" s="13" t="str">
        <f ca="1">IFERROR(__xludf.DUMMYFUNCTION("""COMPUTED_VALUE"""),"shì")</f>
        <v>shì</v>
      </c>
      <c r="F21" s="13" t="str">
        <f ca="1">IFERROR(__xludf.DUMMYFUNCTION("""COMPUTED_VALUE"""),"Động từ")</f>
        <v>Động từ</v>
      </c>
      <c r="G21" s="13" t="str">
        <f ca="1">IFERROR(__xludf.DUMMYFUNCTION("""COMPUTED_VALUE"""),"Là")</f>
        <v>Là</v>
      </c>
      <c r="H21" s="13" t="str">
        <f ca="1">IFERROR(__xludf.DUMMYFUNCTION("""COMPUTED_VALUE"""),"他是中国人，她是美国人。")</f>
        <v>他是中国人，她是美国人。</v>
      </c>
      <c r="I21" s="13" t="str">
        <f ca="1">IFERROR(__xludf.DUMMYFUNCTION("""COMPUTED_VALUE"""),"Tā shì Zhōngguó rén, tā shì Měiguó rén.")</f>
        <v>Tā shì Zhōngguó rén, tā shì Měiguó rén.</v>
      </c>
      <c r="J21" s="13" t="str">
        <f ca="1">IFERROR(__xludf.DUMMYFUNCTION("""COMPUTED_VALUE"""),"Anh ấy là người Trung Quốc, cô ấy là người Mỹ.")</f>
        <v>Anh ấy là người Trung Quốc, cô ấy là người Mỹ.</v>
      </c>
      <c r="K21" s="13" t="str">
        <f ca="1">IFERROR(__xludf.DUMMYFUNCTION("""COMPUTED_VALUE"""),"H1_B2_BG-06.gif")</f>
        <v>H1_B2_BG-06.gif</v>
      </c>
      <c r="L21" s="13" t="str">
        <f ca="1">IFERROR(__xludf.DUMMYFUNCTION("""COMPUTED_VALUE"""),"H1_B2-06.mp3")</f>
        <v>H1_B2-06.mp3</v>
      </c>
      <c r="M21" s="13" t="str">
        <f ca="1">IFERROR(__xludf.DUMMYFUNCTION("""COMPUTED_VALUE"""),"H1_B2_VD_6.mp3")</f>
        <v>H1_B2_VD_6.mp3</v>
      </c>
    </row>
    <row r="22" spans="1:13">
      <c r="A22" s="13">
        <f ca="1">IFERROR(__xludf.DUMMYFUNCTION("""COMPUTED_VALUE"""),7)</f>
        <v>7</v>
      </c>
      <c r="B22" s="13"/>
      <c r="C22" s="13" t="str">
        <f ca="1">IFERROR(__xludf.DUMMYFUNCTION("""COMPUTED_VALUE"""),"什么")</f>
        <v>什么</v>
      </c>
      <c r="D22" s="13" t="str">
        <f ca="1">IFERROR(__xludf.DUMMYFUNCTION("""COMPUTED_VALUE"""),"&lt;ruby&gt;什么&lt;rt&gt;shénme&lt;/rt&gt;&lt;/ruby&gt;")</f>
        <v>&lt;ruby&gt;什么&lt;rt&gt;shénme&lt;/rt&gt;&lt;/ruby&gt;</v>
      </c>
      <c r="E22" s="13" t="str">
        <f ca="1">IFERROR(__xludf.DUMMYFUNCTION("""COMPUTED_VALUE"""),"shénme")</f>
        <v>shénme</v>
      </c>
      <c r="F22" s="13" t="str">
        <f ca="1">IFERROR(__xludf.DUMMYFUNCTION("""COMPUTED_VALUE"""),"Đại từ")</f>
        <v>Đại từ</v>
      </c>
      <c r="G22" s="13" t="str">
        <f ca="1">IFERROR(__xludf.DUMMYFUNCTION("""COMPUTED_VALUE"""),"Gì, cái gì")</f>
        <v>Gì, cái gì</v>
      </c>
      <c r="H22" s="13" t="str">
        <f ca="1">IFERROR(__xludf.DUMMYFUNCTION("""COMPUTED_VALUE"""),"这是什么？")</f>
        <v>这是什么？</v>
      </c>
      <c r="I22" s="13" t="str">
        <f ca="1">IFERROR(__xludf.DUMMYFUNCTION("""COMPUTED_VALUE"""),"Zhè shì shénme?")</f>
        <v>Zhè shì shénme?</v>
      </c>
      <c r="J22" s="13" t="str">
        <f ca="1">IFERROR(__xludf.DUMMYFUNCTION("""COMPUTED_VALUE"""),"Đây là cái gì?")</f>
        <v>Đây là cái gì?</v>
      </c>
      <c r="K22" s="13" t="str">
        <f ca="1">IFERROR(__xludf.DUMMYFUNCTION("""COMPUTED_VALUE"""),"H1_B2_BG-07.gif")</f>
        <v>H1_B2_BG-07.gif</v>
      </c>
      <c r="L22" s="13" t="str">
        <f ca="1">IFERROR(__xludf.DUMMYFUNCTION("""COMPUTED_VALUE"""),"H1_B2-07.mp3")</f>
        <v>H1_B2-07.mp3</v>
      </c>
      <c r="M22" s="13" t="str">
        <f ca="1">IFERROR(__xludf.DUMMYFUNCTION("""COMPUTED_VALUE"""),"H1_B2_VD_7.mp3")</f>
        <v>H1_B2_VD_7.mp3</v>
      </c>
    </row>
    <row r="23" spans="1:13">
      <c r="A23" s="13">
        <f ca="1">IFERROR(__xludf.DUMMYFUNCTION("""COMPUTED_VALUE"""),8)</f>
        <v>8</v>
      </c>
      <c r="B23" s="13"/>
      <c r="C23" s="13" t="str">
        <f ca="1">IFERROR(__xludf.DUMMYFUNCTION("""COMPUTED_VALUE"""),"吗")</f>
        <v>吗</v>
      </c>
      <c r="D23" s="13" t="str">
        <f ca="1">IFERROR(__xludf.DUMMYFUNCTION("""COMPUTED_VALUE"""),"&lt;ruby&gt;吗&lt;rt&gt;ma&lt;/rt&gt;&lt;/ruby&gt;")</f>
        <v>&lt;ruby&gt;吗&lt;rt&gt;ma&lt;/rt&gt;&lt;/ruby&gt;</v>
      </c>
      <c r="E23" s="13" t="str">
        <f ca="1">IFERROR(__xludf.DUMMYFUNCTION("""COMPUTED_VALUE"""),"ma")</f>
        <v>ma</v>
      </c>
      <c r="F23" s="13" t="str">
        <f ca="1">IFERROR(__xludf.DUMMYFUNCTION("""COMPUTED_VALUE"""),"Trợ từ")</f>
        <v>Trợ từ</v>
      </c>
      <c r="G23" s="13" t="str">
        <f ca="1">IFERROR(__xludf.DUMMYFUNCTION("""COMPUTED_VALUE"""),"Không? (dùng ở cuối câu hỏi)")</f>
        <v>Không? (dùng ở cuối câu hỏi)</v>
      </c>
      <c r="H23" s="13" t="str">
        <f ca="1">IFERROR(__xludf.DUMMYFUNCTION("""COMPUTED_VALUE"""),"你是老师吗？")</f>
        <v>你是老师吗？</v>
      </c>
      <c r="I23" s="13" t="str">
        <f ca="1">IFERROR(__xludf.DUMMYFUNCTION("""COMPUTED_VALUE"""),"Nǐ shì lǎoshī ma?")</f>
        <v>Nǐ shì lǎoshī ma?</v>
      </c>
      <c r="J23" s="13" t="str">
        <f ca="1">IFERROR(__xludf.DUMMYFUNCTION("""COMPUTED_VALUE"""),"Bạn có phải giáo viên không?")</f>
        <v>Bạn có phải giáo viên không?</v>
      </c>
      <c r="K23" s="13" t="str">
        <f ca="1">IFERROR(__xludf.DUMMYFUNCTION("""COMPUTED_VALUE"""),"H1_B2_BG-08.gif")</f>
        <v>H1_B2_BG-08.gif</v>
      </c>
      <c r="L23" s="13" t="str">
        <f ca="1">IFERROR(__xludf.DUMMYFUNCTION("""COMPUTED_VALUE"""),"H1_B2-08.mp3")</f>
        <v>H1_B2-08.mp3</v>
      </c>
      <c r="M23" s="13" t="str">
        <f ca="1">IFERROR(__xludf.DUMMYFUNCTION("""COMPUTED_VALUE"""),"H1_B2_VD_8.mp3")</f>
        <v>H1_B2_VD_8.mp3</v>
      </c>
    </row>
    <row r="24" spans="1:13">
      <c r="A24" s="13">
        <f ca="1">IFERROR(__xludf.DUMMYFUNCTION("""COMPUTED_VALUE"""),9)</f>
        <v>9</v>
      </c>
      <c r="B24" s="13"/>
      <c r="C24" s="13" t="str">
        <f ca="1">IFERROR(__xludf.DUMMYFUNCTION("""COMPUTED_VALUE"""),"中国")</f>
        <v>中国</v>
      </c>
      <c r="D24" s="13" t="str">
        <f ca="1">IFERROR(__xludf.DUMMYFUNCTION("""COMPUTED_VALUE"""),"&lt;ruby&gt;中国&lt;rt&gt;Zhōngguó&lt;/rt&gt;&lt;/ruby&gt;")</f>
        <v>&lt;ruby&gt;中国&lt;rt&gt;Zhōngguó&lt;/rt&gt;&lt;/ruby&gt;</v>
      </c>
      <c r="E24" s="13" t="str">
        <f ca="1">IFERROR(__xludf.DUMMYFUNCTION("""COMPUTED_VALUE"""),"Zhōngguó")</f>
        <v>Zhōngguó</v>
      </c>
      <c r="F24" s="13" t="str">
        <f ca="1">IFERROR(__xludf.DUMMYFUNCTION("""COMPUTED_VALUE"""),"Danh từ")</f>
        <v>Danh từ</v>
      </c>
      <c r="G24" s="13" t="str">
        <f ca="1">IFERROR(__xludf.DUMMYFUNCTION("""COMPUTED_VALUE"""),"Trung Quốc")</f>
        <v>Trung Quốc</v>
      </c>
      <c r="H24" s="13" t="str">
        <f ca="1">IFERROR(__xludf.DUMMYFUNCTION("""COMPUTED_VALUE"""),"这 (Zhè, đây) 是中国。")</f>
        <v>这 (Zhè, đây) 是中国。</v>
      </c>
      <c r="I24" s="13" t="str">
        <f ca="1">IFERROR(__xludf.DUMMYFUNCTION("""COMPUTED_VALUE"""),"Zhè shì Zhōngguó.")</f>
        <v>Zhè shì Zhōngguó.</v>
      </c>
      <c r="J24" s="13" t="str">
        <f ca="1">IFERROR(__xludf.DUMMYFUNCTION("""COMPUTED_VALUE"""),"Đây là Trung Quốc.")</f>
        <v>Đây là Trung Quốc.</v>
      </c>
      <c r="K24" s="13" t="str">
        <f ca="1">IFERROR(__xludf.DUMMYFUNCTION("""COMPUTED_VALUE"""),"H1_B2_BG-09.gif")</f>
        <v>H1_B2_BG-09.gif</v>
      </c>
      <c r="L24" s="13" t="str">
        <f ca="1">IFERROR(__xludf.DUMMYFUNCTION("""COMPUTED_VALUE"""),"H1_B2-09.mp3")</f>
        <v>H1_B2-09.mp3</v>
      </c>
      <c r="M24" s="13" t="str">
        <f ca="1">IFERROR(__xludf.DUMMYFUNCTION("""COMPUTED_VALUE"""),"H1_B2_VD_9.mp3")</f>
        <v>H1_B2_VD_9.mp3</v>
      </c>
    </row>
    <row r="25" spans="1:13">
      <c r="A25" s="13">
        <f ca="1">IFERROR(__xludf.DUMMYFUNCTION("""COMPUTED_VALUE"""),10)</f>
        <v>10</v>
      </c>
      <c r="B25" s="13"/>
      <c r="C25" s="13" t="str">
        <f ca="1">IFERROR(__xludf.DUMMYFUNCTION("""COMPUTED_VALUE"""),"美国")</f>
        <v>美国</v>
      </c>
      <c r="D25" s="13" t="str">
        <f ca="1">IFERROR(__xludf.DUMMYFUNCTION("""COMPUTED_VALUE"""),"&lt;ruby&gt;美国&lt;rt&gt;Měiguó&lt;/rt&gt;&lt;/ruby&gt;")</f>
        <v>&lt;ruby&gt;美国&lt;rt&gt;Měiguó&lt;/rt&gt;&lt;/ruby&gt;</v>
      </c>
      <c r="E25" s="13" t="str">
        <f ca="1">IFERROR(__xludf.DUMMYFUNCTION("""COMPUTED_VALUE"""),"Měiguó")</f>
        <v>Měiguó</v>
      </c>
      <c r="F25" s="13" t="str">
        <f ca="1">IFERROR(__xludf.DUMMYFUNCTION("""COMPUTED_VALUE"""),"Danh từ")</f>
        <v>Danh từ</v>
      </c>
      <c r="G25" s="13" t="str">
        <f ca="1">IFERROR(__xludf.DUMMYFUNCTION("""COMPUTED_VALUE"""),"nước Mỹ")</f>
        <v>nước Mỹ</v>
      </c>
      <c r="H25" s="13" t="str">
        <f ca="1">IFERROR(__xludf.DUMMYFUNCTION("""COMPUTED_VALUE"""),"这 (Zhè, đây) 是美国。")</f>
        <v>这 (Zhè, đây) 是美国。</v>
      </c>
      <c r="I25" s="13" t="str">
        <f ca="1">IFERROR(__xludf.DUMMYFUNCTION("""COMPUTED_VALUE"""),"Zhè shì Měiguó.")</f>
        <v>Zhè shì Měiguó.</v>
      </c>
      <c r="J25" s="13" t="str">
        <f ca="1">IFERROR(__xludf.DUMMYFUNCTION("""COMPUTED_VALUE"""),"Đây là nước Mỹ.")</f>
        <v>Đây là nước Mỹ.</v>
      </c>
      <c r="K25" s="13" t="str">
        <f ca="1">IFERROR(__xludf.DUMMYFUNCTION("""COMPUTED_VALUE"""),"H1_B2_BG-10.gif")</f>
        <v>H1_B2_BG-10.gif</v>
      </c>
      <c r="L25" s="13" t="str">
        <f ca="1">IFERROR(__xludf.DUMMYFUNCTION("""COMPUTED_VALUE"""),"H1_B2-10.mp3")</f>
        <v>H1_B2-10.mp3</v>
      </c>
      <c r="M25" s="13" t="str">
        <f ca="1">IFERROR(__xludf.DUMMYFUNCTION("""COMPUTED_VALUE"""),"H1_B2_VD_10.mp3")</f>
        <v>H1_B2_VD_10.mp3</v>
      </c>
    </row>
    <row r="26" spans="1:13">
      <c r="A26" s="13">
        <f ca="1">IFERROR(__xludf.DUMMYFUNCTION("""COMPUTED_VALUE"""),1)</f>
        <v>1</v>
      </c>
      <c r="B26" s="13"/>
      <c r="C26" s="13" t="str">
        <f ca="1">IFERROR(__xludf.DUMMYFUNCTION("""COMPUTED_VALUE"""),"同学")</f>
        <v>同学</v>
      </c>
      <c r="D26" s="13" t="str">
        <f ca="1">IFERROR(__xludf.DUMMYFUNCTION("""COMPUTED_VALUE"""),"&lt;ruby&gt;同学&lt;rt&gt;tóngxué&lt;/rt&gt;&lt;/ruby&gt;")</f>
        <v>&lt;ruby&gt;同学&lt;rt&gt;tóngxué&lt;/rt&gt;&lt;/ruby&gt;</v>
      </c>
      <c r="E26" s="13" t="str">
        <f ca="1">IFERROR(__xludf.DUMMYFUNCTION("""COMPUTED_VALUE"""),"tóngxué")</f>
        <v>tóngxué</v>
      </c>
      <c r="F26" s="13" t="str">
        <f ca="1">IFERROR(__xludf.DUMMYFUNCTION("""COMPUTED_VALUE"""),"Danh từ")</f>
        <v>Danh từ</v>
      </c>
      <c r="G26" s="13" t="str">
        <f ca="1">IFERROR(__xludf.DUMMYFUNCTION("""COMPUTED_VALUE"""),"Bạn học, bạn cùng lớp ")</f>
        <v xml:space="preserve">Bạn học, bạn cùng lớp </v>
      </c>
      <c r="H26" s="13" t="str">
        <f ca="1">IFERROR(__xludf.DUMMYFUNCTION("""COMPUTED_VALUE"""),"玛丽是我同学。")</f>
        <v>玛丽是我同学。</v>
      </c>
      <c r="I26" s="13" t="str">
        <f ca="1">IFERROR(__xludf.DUMMYFUNCTION("""COMPUTED_VALUE"""),"Mǎlì shì wǒ tóngxué.")</f>
        <v>Mǎlì shì wǒ tóngxué.</v>
      </c>
      <c r="J26" s="13" t="str">
        <f ca="1">IFERROR(__xludf.DUMMYFUNCTION("""COMPUTED_VALUE"""),"Mary là bạn cùng lớp của tôi.")</f>
        <v>Mary là bạn cùng lớp của tôi.</v>
      </c>
      <c r="K26" s="13" t="str">
        <f ca="1">IFERROR(__xludf.DUMMYFUNCTION("""COMPUTED_VALUE"""),"H1_B3_BG-01.gif")</f>
        <v>H1_B3_BG-01.gif</v>
      </c>
      <c r="L26" s="13" t="str">
        <f ca="1">IFERROR(__xludf.DUMMYFUNCTION("""COMPUTED_VALUE"""),"H1_B3-01.mp3")</f>
        <v>H1_B3-01.mp3</v>
      </c>
      <c r="M26" s="13" t="str">
        <f ca="1">IFERROR(__xludf.DUMMYFUNCTION("""COMPUTED_VALUE"""),"H1_B3_VD_1.mp3")</f>
        <v>H1_B3_VD_1.mp3</v>
      </c>
    </row>
    <row r="27" spans="1:13">
      <c r="A27" s="13">
        <f ca="1">IFERROR(__xludf.DUMMYFUNCTION("""COMPUTED_VALUE"""),2)</f>
        <v>2</v>
      </c>
      <c r="B27" s="13"/>
      <c r="C27" s="13" t="str">
        <f ca="1">IFERROR(__xludf.DUMMYFUNCTION("""COMPUTED_VALUE"""),"朋友")</f>
        <v>朋友</v>
      </c>
      <c r="D27" s="13" t="str">
        <f ca="1">IFERROR(__xludf.DUMMYFUNCTION("""COMPUTED_VALUE"""),"&lt;ruby&gt;朋友&lt;rt&gt;péngyǒu&lt;/rt&gt;&lt;/ruby&gt;")</f>
        <v>&lt;ruby&gt;朋友&lt;rt&gt;péngyǒu&lt;/rt&gt;&lt;/ruby&gt;</v>
      </c>
      <c r="E27" s="13" t="str">
        <f ca="1">IFERROR(__xludf.DUMMYFUNCTION("""COMPUTED_VALUE"""),"péngyǒu")</f>
        <v>péngyǒu</v>
      </c>
      <c r="F27" s="13" t="str">
        <f ca="1">IFERROR(__xludf.DUMMYFUNCTION("""COMPUTED_VALUE"""),"Danh từ")</f>
        <v>Danh từ</v>
      </c>
      <c r="G27" s="13" t="str">
        <f ca="1">IFERROR(__xludf.DUMMYFUNCTION("""COMPUTED_VALUE"""),"Bạn bè")</f>
        <v>Bạn bè</v>
      </c>
      <c r="H27" s="13" t="str">
        <f ca="1">IFERROR(__xludf.DUMMYFUNCTION("""COMPUTED_VALUE"""),"他们 (tāmen, bọn họ) 是我的好朋友。")</f>
        <v>他们 (tāmen, bọn họ) 是我的好朋友。</v>
      </c>
      <c r="I27" s="13" t="str">
        <f ca="1">IFERROR(__xludf.DUMMYFUNCTION("""COMPUTED_VALUE"""),"Tāmen shì wǒ de hǎo péngyou.")</f>
        <v>Tāmen shì wǒ de hǎo péngyou.</v>
      </c>
      <c r="J27" s="13" t="str">
        <f ca="1">IFERROR(__xludf.DUMMYFUNCTION("""COMPUTED_VALUE"""),"Họ là những người bạn tốt của tôi.")</f>
        <v>Họ là những người bạn tốt của tôi.</v>
      </c>
      <c r="K27" s="13" t="str">
        <f ca="1">IFERROR(__xludf.DUMMYFUNCTION("""COMPUTED_VALUE"""),"H1_B3_BG-02.gif")</f>
        <v>H1_B3_BG-02.gif</v>
      </c>
      <c r="L27" s="13" t="str">
        <f ca="1">IFERROR(__xludf.DUMMYFUNCTION("""COMPUTED_VALUE"""),"H1_B3-02.mp3")</f>
        <v>H1_B3-02.mp3</v>
      </c>
      <c r="M27" s="13" t="str">
        <f ca="1">IFERROR(__xludf.DUMMYFUNCTION("""COMPUTED_VALUE"""),"H1_B3_VD_2.mp3")</f>
        <v>H1_B3_VD_2.mp3</v>
      </c>
    </row>
    <row r="28" spans="1:13">
      <c r="A28" s="13">
        <f ca="1">IFERROR(__xludf.DUMMYFUNCTION("""COMPUTED_VALUE"""),3)</f>
        <v>3</v>
      </c>
      <c r="B28" s="13"/>
      <c r="C28" s="13" t="str">
        <f ca="1">IFERROR(__xludf.DUMMYFUNCTION("""COMPUTED_VALUE"""),"国")</f>
        <v>国</v>
      </c>
      <c r="D28" s="13" t="str">
        <f ca="1">IFERROR(__xludf.DUMMYFUNCTION("""COMPUTED_VALUE"""),"&lt;ruby&gt;国&lt;rt&gt;guó&lt;/rt&gt;&lt;/ruby&gt;")</f>
        <v>&lt;ruby&gt;国&lt;rt&gt;guó&lt;/rt&gt;&lt;/ruby&gt;</v>
      </c>
      <c r="E28" s="13" t="str">
        <f ca="1">IFERROR(__xludf.DUMMYFUNCTION("""COMPUTED_VALUE"""),"guó")</f>
        <v>guó</v>
      </c>
      <c r="F28" s="13" t="str">
        <f ca="1">IFERROR(__xludf.DUMMYFUNCTION("""COMPUTED_VALUE"""),"Danh từ")</f>
        <v>Danh từ</v>
      </c>
      <c r="G28" s="13" t="str">
        <f ca="1">IFERROR(__xludf.DUMMYFUNCTION("""COMPUTED_VALUE"""),"Quốc gia, đất nước")</f>
        <v>Quốc gia, đất nước</v>
      </c>
      <c r="H28" s="13" t="str">
        <f ca="1">IFERROR(__xludf.DUMMYFUNCTION("""COMPUTED_VALUE"""),"你是哪国人？")</f>
        <v>你是哪国人？</v>
      </c>
      <c r="I28" s="13" t="str">
        <f ca="1">IFERROR(__xludf.DUMMYFUNCTION("""COMPUTED_VALUE"""),"Nǐ shì nǎ guó rén?")</f>
        <v>Nǐ shì nǎ guó rén?</v>
      </c>
      <c r="J28" s="13" t="str">
        <f ca="1">IFERROR(__xludf.DUMMYFUNCTION("""COMPUTED_VALUE"""),"Bạn là người nước nào?")</f>
        <v>Bạn là người nước nào?</v>
      </c>
      <c r="K28" s="13" t="str">
        <f ca="1">IFERROR(__xludf.DUMMYFUNCTION("""COMPUTED_VALUE"""),"H1_B3_BG-03.gif")</f>
        <v>H1_B3_BG-03.gif</v>
      </c>
      <c r="L28" s="13" t="str">
        <f ca="1">IFERROR(__xludf.DUMMYFUNCTION("""COMPUTED_VALUE"""),"H1_B3-03.mp3")</f>
        <v>H1_B3-03.mp3</v>
      </c>
      <c r="M28" s="13" t="str">
        <f ca="1">IFERROR(__xludf.DUMMYFUNCTION("""COMPUTED_VALUE"""),"H1_B3_VD_3.mp3")</f>
        <v>H1_B3_VD_3.mp3</v>
      </c>
    </row>
    <row r="29" spans="1:13">
      <c r="A29" s="13">
        <f ca="1">IFERROR(__xludf.DUMMYFUNCTION("""COMPUTED_VALUE"""),4)</f>
        <v>4</v>
      </c>
      <c r="B29" s="13"/>
      <c r="C29" s="13" t="str">
        <f ca="1">IFERROR(__xludf.DUMMYFUNCTION("""COMPUTED_VALUE"""),"汉语")</f>
        <v>汉语</v>
      </c>
      <c r="D29" s="13" t="str">
        <f ca="1">IFERROR(__xludf.DUMMYFUNCTION("""COMPUTED_VALUE"""),"&lt;ruby&gt;汉语&lt;rt&gt;hànyǔ&lt;/rt&gt;&lt;/ruby&gt;")</f>
        <v>&lt;ruby&gt;汉语&lt;rt&gt;hànyǔ&lt;/rt&gt;&lt;/ruby&gt;</v>
      </c>
      <c r="E29" s="13" t="str">
        <f ca="1">IFERROR(__xludf.DUMMYFUNCTION("""COMPUTED_VALUE"""),"hànyǔ")</f>
        <v>hànyǔ</v>
      </c>
      <c r="F29" s="13" t="str">
        <f ca="1">IFERROR(__xludf.DUMMYFUNCTION("""COMPUTED_VALUE"""),"Danh từ")</f>
        <v>Danh từ</v>
      </c>
      <c r="G29" s="13" t="str">
        <f ca="1">IFERROR(__xludf.DUMMYFUNCTION("""COMPUTED_VALUE"""),"Tiếng Trung")</f>
        <v>Tiếng Trung</v>
      </c>
      <c r="H29" s="13" t="str">
        <f ca="1">IFERROR(__xludf.DUMMYFUNCTION("""COMPUTED_VALUE"""),"他会说汉语。")</f>
        <v>他会说汉语。</v>
      </c>
      <c r="I29" s="13" t="str">
        <f ca="1">IFERROR(__xludf.DUMMYFUNCTION("""COMPUTED_VALUE"""),"Tā huì shuō Hànyǔ.")</f>
        <v>Tā huì shuō Hànyǔ.</v>
      </c>
      <c r="J29" s="13" t="str">
        <f ca="1">IFERROR(__xludf.DUMMYFUNCTION("""COMPUTED_VALUE"""),"Anh ấy biết nói tiếng Trung.")</f>
        <v>Anh ấy biết nói tiếng Trung.</v>
      </c>
      <c r="K29" s="13" t="str">
        <f ca="1">IFERROR(__xludf.DUMMYFUNCTION("""COMPUTED_VALUE"""),"H1_B3_BG-04.gif")</f>
        <v>H1_B3_BG-04.gif</v>
      </c>
      <c r="L29" s="13" t="str">
        <f ca="1">IFERROR(__xludf.DUMMYFUNCTION("""COMPUTED_VALUE"""),"H1_B3-04.mp3")</f>
        <v>H1_B3-04.mp3</v>
      </c>
      <c r="M29" s="13" t="str">
        <f ca="1">IFERROR(__xludf.DUMMYFUNCTION("""COMPUTED_VALUE"""),"H1_B3_VD_4.mp3")</f>
        <v>H1_B3_VD_4.mp3</v>
      </c>
    </row>
    <row r="30" spans="1:13">
      <c r="A30" s="13">
        <f ca="1">IFERROR(__xludf.DUMMYFUNCTION("""COMPUTED_VALUE"""),5)</f>
        <v>5</v>
      </c>
      <c r="B30" s="13"/>
      <c r="C30" s="13" t="str">
        <f ca="1">IFERROR(__xludf.DUMMYFUNCTION("""COMPUTED_VALUE"""),"的")</f>
        <v>的</v>
      </c>
      <c r="D30" s="13" t="str">
        <f ca="1">IFERROR(__xludf.DUMMYFUNCTION("""COMPUTED_VALUE"""),"&lt;ruby&gt;的&lt;rt&gt;de&lt;/rt&gt;&lt;/ruby&gt;")</f>
        <v>&lt;ruby&gt;的&lt;rt&gt;de&lt;/rt&gt;&lt;/ruby&gt;</v>
      </c>
      <c r="E30" s="13" t="str">
        <f ca="1">IFERROR(__xludf.DUMMYFUNCTION("""COMPUTED_VALUE"""),"de")</f>
        <v>de</v>
      </c>
      <c r="F30" s="13" t="str">
        <f ca="1">IFERROR(__xludf.DUMMYFUNCTION("""COMPUTED_VALUE"""),"Trợ từ")</f>
        <v>Trợ từ</v>
      </c>
      <c r="G30" s="13" t="str">
        <f ca="1">IFERROR(__xludf.DUMMYFUNCTION("""COMPUTED_VALUE"""),"Của (sở hữu) (Được dùng sau định ngữ)")</f>
        <v>Của (sở hữu) (Được dùng sau định ngữ)</v>
      </c>
      <c r="H30" s="13" t="str">
        <f ca="1">IFERROR(__xludf.DUMMYFUNCTION("""COMPUTED_VALUE"""),"这是我的围巾。")</f>
        <v>这是我的围巾。</v>
      </c>
      <c r="I30" s="13" t="str">
        <f ca="1">IFERROR(__xludf.DUMMYFUNCTION("""COMPUTED_VALUE"""),"Zhè shì wǒ de wéijīn.")</f>
        <v>Zhè shì wǒ de wéijīn.</v>
      </c>
      <c r="J30" s="13" t="str">
        <f ca="1">IFERROR(__xludf.DUMMYFUNCTION("""COMPUTED_VALUE"""),"Đây là chiếc khăn quàng cổ của tôi.")</f>
        <v>Đây là chiếc khăn quàng cổ của tôi.</v>
      </c>
      <c r="K30" s="13" t="str">
        <f ca="1">IFERROR(__xludf.DUMMYFUNCTION("""COMPUTED_VALUE"""),"H1_B3_BG-05.gif")</f>
        <v>H1_B3_BG-05.gif</v>
      </c>
      <c r="L30" s="13" t="str">
        <f ca="1">IFERROR(__xludf.DUMMYFUNCTION("""COMPUTED_VALUE"""),"H1_B3-05.mp3")</f>
        <v>H1_B3-05.mp3</v>
      </c>
      <c r="M30" s="13" t="str">
        <f ca="1">IFERROR(__xludf.DUMMYFUNCTION("""COMPUTED_VALUE"""),"H1_B3_VD_5.mp3")</f>
        <v>H1_B3_VD_5.mp3</v>
      </c>
    </row>
    <row r="31" spans="1:13">
      <c r="A31" s="13">
        <f ca="1">IFERROR(__xludf.DUMMYFUNCTION("""COMPUTED_VALUE"""),6)</f>
        <v>6</v>
      </c>
      <c r="B31" s="13"/>
      <c r="C31" s="13" t="str">
        <f ca="1">IFERROR(__xludf.DUMMYFUNCTION("""COMPUTED_VALUE"""),"谁")</f>
        <v>谁</v>
      </c>
      <c r="D31" s="13" t="str">
        <f ca="1">IFERROR(__xludf.DUMMYFUNCTION("""COMPUTED_VALUE"""),"&lt;ruby&gt;谁&lt;rt&gt;shuí / shéi&lt;/rt&gt;&lt;/ruby&gt;")</f>
        <v>&lt;ruby&gt;谁&lt;rt&gt;shuí / shéi&lt;/rt&gt;&lt;/ruby&gt;</v>
      </c>
      <c r="E31" s="13" t="str">
        <f ca="1">IFERROR(__xludf.DUMMYFUNCTION("""COMPUTED_VALUE"""),"shuí / shéi")</f>
        <v>shuí / shéi</v>
      </c>
      <c r="F31" s="13" t="str">
        <f ca="1">IFERROR(__xludf.DUMMYFUNCTION("""COMPUTED_VALUE"""),"Đại từ")</f>
        <v>Đại từ</v>
      </c>
      <c r="G31" s="13" t="str">
        <f ca="1">IFERROR(__xludf.DUMMYFUNCTION("""COMPUTED_VALUE"""),"Ai")</f>
        <v>Ai</v>
      </c>
      <c r="H31" s="13" t="str">
        <f ca="1">IFERROR(__xludf.DUMMYFUNCTION("""COMPUTED_VALUE"""),"谁在树后面？")</f>
        <v>谁在树后面？</v>
      </c>
      <c r="I31" s="13" t="str">
        <f ca="1">IFERROR(__xludf.DUMMYFUNCTION("""COMPUTED_VALUE"""),"Shéi zài shù hòumian?")</f>
        <v>Shéi zài shù hòumian?</v>
      </c>
      <c r="J31" s="13" t="str">
        <f ca="1">IFERROR(__xludf.DUMMYFUNCTION("""COMPUTED_VALUE"""),"Ai đang ở phía sau cái cây?")</f>
        <v>Ai đang ở phía sau cái cây?</v>
      </c>
      <c r="K31" s="13" t="str">
        <f ca="1">IFERROR(__xludf.DUMMYFUNCTION("""COMPUTED_VALUE"""),"H1_B3_BG-06.gif")</f>
        <v>H1_B3_BG-06.gif</v>
      </c>
      <c r="L31" s="13" t="str">
        <f ca="1">IFERROR(__xludf.DUMMYFUNCTION("""COMPUTED_VALUE"""),"H1_B3-06.mp3")</f>
        <v>H1_B3-06.mp3</v>
      </c>
      <c r="M31" s="13" t="str">
        <f ca="1">IFERROR(__xludf.DUMMYFUNCTION("""COMPUTED_VALUE"""),"H1_B3_VD_6.mp3")</f>
        <v>H1_B3_VD_6.mp3</v>
      </c>
    </row>
    <row r="32" spans="1:13">
      <c r="A32" s="13">
        <f ca="1">IFERROR(__xludf.DUMMYFUNCTION("""COMPUTED_VALUE"""),7)</f>
        <v>7</v>
      </c>
      <c r="B32" s="13"/>
      <c r="C32" s="13" t="str">
        <f ca="1">IFERROR(__xludf.DUMMYFUNCTION("""COMPUTED_VALUE"""),"哪")</f>
        <v>哪</v>
      </c>
      <c r="D32" s="13" t="str">
        <f ca="1">IFERROR(__xludf.DUMMYFUNCTION("""COMPUTED_VALUE"""),"&lt;ruby&gt;哪&lt;rt&gt;nǎ&lt;/rt&gt;&lt;/ruby&gt;")</f>
        <v>&lt;ruby&gt;哪&lt;rt&gt;nǎ&lt;/rt&gt;&lt;/ruby&gt;</v>
      </c>
      <c r="E32" s="13" t="str">
        <f ca="1">IFERROR(__xludf.DUMMYFUNCTION("""COMPUTED_VALUE"""),"nǎ")</f>
        <v>nǎ</v>
      </c>
      <c r="F32" s="13" t="str">
        <f ca="1">IFERROR(__xludf.DUMMYFUNCTION("""COMPUTED_VALUE"""),"Đại từ")</f>
        <v>Đại từ</v>
      </c>
      <c r="G32" s="13" t="str">
        <f ca="1">IFERROR(__xludf.DUMMYFUNCTION("""COMPUTED_VALUE"""),"Nào, ở đâu")</f>
        <v>Nào, ở đâu</v>
      </c>
      <c r="H32" s="13" t="str">
        <f ca="1">IFERROR(__xludf.DUMMYFUNCTION("""COMPUTED_VALUE"""),"他的球在哪儿？")</f>
        <v>他的球在哪儿？</v>
      </c>
      <c r="I32" s="13" t="str">
        <f ca="1">IFERROR(__xludf.DUMMYFUNCTION("""COMPUTED_VALUE"""),"Tā de qiú zài nǎr?")</f>
        <v>Tā de qiú zài nǎr?</v>
      </c>
      <c r="J32" s="13" t="str">
        <f ca="1">IFERROR(__xludf.DUMMYFUNCTION("""COMPUTED_VALUE"""),"Quả bóng của anh ấy ở đâu?")</f>
        <v>Quả bóng của anh ấy ở đâu?</v>
      </c>
      <c r="K32" s="13" t="str">
        <f ca="1">IFERROR(__xludf.DUMMYFUNCTION("""COMPUTED_VALUE"""),"H1_B3_BG-07.gif")</f>
        <v>H1_B3_BG-07.gif</v>
      </c>
      <c r="L32" s="13" t="str">
        <f ca="1">IFERROR(__xludf.DUMMYFUNCTION("""COMPUTED_VALUE"""),"H1_B3-07.mp3")</f>
        <v>H1_B3-07.mp3</v>
      </c>
      <c r="M32" s="13" t="str">
        <f ca="1">IFERROR(__xludf.DUMMYFUNCTION("""COMPUTED_VALUE"""),"H1_B3_VD_7.mp3")</f>
        <v>H1_B3_VD_7.mp3</v>
      </c>
    </row>
    <row r="33" spans="1:13">
      <c r="A33" s="13">
        <f ca="1">IFERROR(__xludf.DUMMYFUNCTION("""COMPUTED_VALUE"""),8)</f>
        <v>8</v>
      </c>
      <c r="B33" s="13"/>
      <c r="C33" s="13" t="str">
        <f ca="1">IFERROR(__xludf.DUMMYFUNCTION("""COMPUTED_VALUE"""),"呢")</f>
        <v>呢</v>
      </c>
      <c r="D33" s="13" t="str">
        <f ca="1">IFERROR(__xludf.DUMMYFUNCTION("""COMPUTED_VALUE"""),"&lt;ruby&gt;呢&lt;rt&gt;ne&lt;/rt&gt;&lt;/ruby&gt;")</f>
        <v>&lt;ruby&gt;呢&lt;rt&gt;ne&lt;/rt&gt;&lt;/ruby&gt;</v>
      </c>
      <c r="E33" s="13" t="str">
        <f ca="1">IFERROR(__xludf.DUMMYFUNCTION("""COMPUTED_VALUE"""),"ne")</f>
        <v>ne</v>
      </c>
      <c r="F33" s="13" t="str">
        <f ca="1">IFERROR(__xludf.DUMMYFUNCTION("""COMPUTED_VALUE"""),"Trợ từ")</f>
        <v>Trợ từ</v>
      </c>
      <c r="G33" s="13" t="str">
        <f ca="1">IFERROR(__xludf.DUMMYFUNCTION("""COMPUTED_VALUE"""),"Thế..., còn... (Được dùng ở cuối câu hỏi)")</f>
        <v>Thế..., còn... (Được dùng ở cuối câu hỏi)</v>
      </c>
      <c r="H33" s="13" t="str">
        <f ca="1">IFERROR(__xludf.DUMMYFUNCTION("""COMPUTED_VALUE"""),"她今年20岁，你呢？")</f>
        <v>她今年20岁，你呢？</v>
      </c>
      <c r="I33" s="13" t="str">
        <f ca="1">IFERROR(__xludf.DUMMYFUNCTION("""COMPUTED_VALUE"""),"Tā jīnnián 20 suì, nǐ ne?")</f>
        <v>Tā jīnnián 20 suì, nǐ ne?</v>
      </c>
      <c r="J33" s="13" t="str">
        <f ca="1">IFERROR(__xludf.DUMMYFUNCTION("""COMPUTED_VALUE"""),"Cô ấy năm nay 20 tuổi, còn bạn?")</f>
        <v>Cô ấy năm nay 20 tuổi, còn bạn?</v>
      </c>
      <c r="K33" s="13" t="str">
        <f ca="1">IFERROR(__xludf.DUMMYFUNCTION("""COMPUTED_VALUE"""),"H1_B3_BG-08.gif")</f>
        <v>H1_B3_BG-08.gif</v>
      </c>
      <c r="L33" s="13" t="str">
        <f ca="1">IFERROR(__xludf.DUMMYFUNCTION("""COMPUTED_VALUE"""),"H1_B3-08.mp3")</f>
        <v>H1_B3-08.mp3</v>
      </c>
      <c r="M33" s="13" t="str">
        <f ca="1">IFERROR(__xludf.DUMMYFUNCTION("""COMPUTED_VALUE"""),"H1_B3_VD_8.mp3")</f>
        <v>H1_B3_VD_8.mp3</v>
      </c>
    </row>
    <row r="34" spans="1:13">
      <c r="A34" s="13">
        <f ca="1">IFERROR(__xludf.DUMMYFUNCTION("""COMPUTED_VALUE"""),1)</f>
        <v>1</v>
      </c>
      <c r="B34" s="13"/>
      <c r="C34" s="13" t="str">
        <f ca="1">IFERROR(__xludf.DUMMYFUNCTION("""COMPUTED_VALUE"""),"今年")</f>
        <v>今年</v>
      </c>
      <c r="D34" s="13" t="str">
        <f ca="1">IFERROR(__xludf.DUMMYFUNCTION("""COMPUTED_VALUE"""),"&lt;ruby&gt;今年&lt;rt&gt;jīnnián&lt;/rt&gt;&lt;/ruby&gt;")</f>
        <v>&lt;ruby&gt;今年&lt;rt&gt;jīnnián&lt;/rt&gt;&lt;/ruby&gt;</v>
      </c>
      <c r="E34" s="13" t="str">
        <f ca="1">IFERROR(__xludf.DUMMYFUNCTION("""COMPUTED_VALUE"""),"jīnnián")</f>
        <v>jīnnián</v>
      </c>
      <c r="F34" s="13" t="str">
        <f ca="1">IFERROR(__xludf.DUMMYFUNCTION("""COMPUTED_VALUE"""),"Danh từ")</f>
        <v>Danh từ</v>
      </c>
      <c r="G34" s="13" t="str">
        <f ca="1">IFERROR(__xludf.DUMMYFUNCTION("""COMPUTED_VALUE"""),"Năm nay")</f>
        <v>Năm nay</v>
      </c>
      <c r="H34" s="13" t="str">
        <f ca="1">IFERROR(__xludf.DUMMYFUNCTION("""COMPUTED_VALUE"""),"我外公今年70岁了。")</f>
        <v>我外公今年70岁了。</v>
      </c>
      <c r="I34" s="13" t="str">
        <f ca="1">IFERROR(__xludf.DUMMYFUNCTION("""COMPUTED_VALUE"""),"Wǒ wàigōng jīnnián 70 suì le.")</f>
        <v>Wǒ wàigōng jīnnián 70 suì le.</v>
      </c>
      <c r="J34" s="13" t="str">
        <f ca="1">IFERROR(__xludf.DUMMYFUNCTION("""COMPUTED_VALUE"""),"Ông ngoại tôi năm nay 70 tuổi rồi.")</f>
        <v>Ông ngoại tôi năm nay 70 tuổi rồi.</v>
      </c>
      <c r="K34" s="13" t="str">
        <f ca="1">IFERROR(__xludf.DUMMYFUNCTION("""COMPUTED_VALUE"""),"H1_B4_BG-01.gif")</f>
        <v>H1_B4_BG-01.gif</v>
      </c>
      <c r="L34" s="13" t="str">
        <f ca="1">IFERROR(__xludf.DUMMYFUNCTION("""COMPUTED_VALUE"""),"H1_B4-01.mp3")</f>
        <v>H1_B4-01.mp3</v>
      </c>
      <c r="M34" s="13" t="str">
        <f ca="1">IFERROR(__xludf.DUMMYFUNCTION("""COMPUTED_VALUE"""),"H1_B4_VD_1.mp3")</f>
        <v>H1_B4_VD_1.mp3</v>
      </c>
    </row>
    <row r="35" spans="1:13">
      <c r="A35" s="13">
        <f ca="1">IFERROR(__xludf.DUMMYFUNCTION("""COMPUTED_VALUE"""),2)</f>
        <v>2</v>
      </c>
      <c r="B35" s="13"/>
      <c r="C35" s="13" t="str">
        <f ca="1">IFERROR(__xludf.DUMMYFUNCTION("""COMPUTED_VALUE"""),"几")</f>
        <v>几</v>
      </c>
      <c r="D35" s="13" t="str">
        <f ca="1">IFERROR(__xludf.DUMMYFUNCTION("""COMPUTED_VALUE"""),"&lt;ruby&gt;几&lt;rt&gt;jǐ&lt;/rt&gt;&lt;/ruby&gt;")</f>
        <v>&lt;ruby&gt;几&lt;rt&gt;jǐ&lt;/rt&gt;&lt;/ruby&gt;</v>
      </c>
      <c r="E35" s="13" t="str">
        <f ca="1">IFERROR(__xludf.DUMMYFUNCTION("""COMPUTED_VALUE"""),"jǐ")</f>
        <v>jǐ</v>
      </c>
      <c r="F35" s="13" t="str">
        <f ca="1">IFERROR(__xludf.DUMMYFUNCTION("""COMPUTED_VALUE"""),"Đại từ")</f>
        <v>Đại từ</v>
      </c>
      <c r="G35" s="13" t="str">
        <f ca="1">IFERROR(__xludf.DUMMYFUNCTION("""COMPUTED_VALUE"""),"Bao nhiêu, mấy")</f>
        <v>Bao nhiêu, mấy</v>
      </c>
      <c r="H35" s="13" t="str">
        <f ca="1">IFERROR(__xludf.DUMMYFUNCTION("""COMPUTED_VALUE"""),"有几个苹果？")</f>
        <v>有几个苹果？</v>
      </c>
      <c r="I35" s="13" t="str">
        <f ca="1">IFERROR(__xludf.DUMMYFUNCTION("""COMPUTED_VALUE"""),"Yǒu jǐ ge píngguǒ?")</f>
        <v>Yǒu jǐ ge píngguǒ?</v>
      </c>
      <c r="J35" s="13" t="str">
        <f ca="1">IFERROR(__xludf.DUMMYFUNCTION("""COMPUTED_VALUE"""),"Có mấy quả táo?")</f>
        <v>Có mấy quả táo?</v>
      </c>
      <c r="K35" s="13" t="str">
        <f ca="1">IFERROR(__xludf.DUMMYFUNCTION("""COMPUTED_VALUE"""),"H1_B4_BG-02.gif")</f>
        <v>H1_B4_BG-02.gif</v>
      </c>
      <c r="L35" s="13" t="str">
        <f ca="1">IFERROR(__xludf.DUMMYFUNCTION("""COMPUTED_VALUE"""),"H1_B4-02.mp3")</f>
        <v>H1_B4-02.mp3</v>
      </c>
      <c r="M35" s="13" t="str">
        <f ca="1">IFERROR(__xludf.DUMMYFUNCTION("""COMPUTED_VALUE"""),"H1_B4_VD_2.mp3")</f>
        <v>H1_B4_VD_2.mp3</v>
      </c>
    </row>
    <row r="36" spans="1:13">
      <c r="A36" s="13">
        <f ca="1">IFERROR(__xludf.DUMMYFUNCTION("""COMPUTED_VALUE"""),3)</f>
        <v>3</v>
      </c>
      <c r="B36" s="13"/>
      <c r="C36" s="13" t="str">
        <f ca="1">IFERROR(__xludf.DUMMYFUNCTION("""COMPUTED_VALUE"""),"多")</f>
        <v>多</v>
      </c>
      <c r="D36" s="13" t="str">
        <f ca="1">IFERROR(__xludf.DUMMYFUNCTION("""COMPUTED_VALUE"""),"&lt;ruby&gt;多&lt;rt&gt;duō&lt;/rt&gt;&lt;/ruby&gt;")</f>
        <v>&lt;ruby&gt;多&lt;rt&gt;duō&lt;/rt&gt;&lt;/ruby&gt;</v>
      </c>
      <c r="E36" s="13" t="str">
        <f ca="1">IFERROR(__xludf.DUMMYFUNCTION("""COMPUTED_VALUE"""),"duō")</f>
        <v>duō</v>
      </c>
      <c r="F36" s="13" t="str">
        <f ca="1">IFERROR(__xludf.DUMMYFUNCTION("""COMPUTED_VALUE"""),"Phó từ/ tính từ")</f>
        <v>Phó từ/ tính từ</v>
      </c>
      <c r="G36" s="13" t="str">
        <f ca="1">IFERROR(__xludf.DUMMYFUNCTION("""COMPUTED_VALUE"""),"Nhiều")</f>
        <v>Nhiều</v>
      </c>
      <c r="H36" s="13" t="str">
        <f ca="1">IFERROR(__xludf.DUMMYFUNCTION("""COMPUTED_VALUE"""),"李老师多大了？")</f>
        <v>李老师多大了？</v>
      </c>
      <c r="I36" s="13" t="str">
        <f ca="1">IFERROR(__xludf.DUMMYFUNCTION("""COMPUTED_VALUE"""),"Lǐ lǎoshī duō dà le?")</f>
        <v>Lǐ lǎoshī duō dà le?</v>
      </c>
      <c r="J36" s="13" t="str">
        <f ca="1">IFERROR(__xludf.DUMMYFUNCTION("""COMPUTED_VALUE"""),"Cô giáo Lý bao nhiêu tuổi rồi?")</f>
        <v>Cô giáo Lý bao nhiêu tuổi rồi?</v>
      </c>
      <c r="K36" s="13" t="str">
        <f ca="1">IFERROR(__xludf.DUMMYFUNCTION("""COMPUTED_VALUE"""),"H1_B4_BG-03.gif")</f>
        <v>H1_B4_BG-03.gif</v>
      </c>
      <c r="L36" s="13" t="str">
        <f ca="1">IFERROR(__xludf.DUMMYFUNCTION("""COMPUTED_VALUE"""),"H1_B4-03.mp3")</f>
        <v>H1_B4-03.mp3</v>
      </c>
      <c r="M36" s="13" t="str">
        <f ca="1">IFERROR(__xludf.DUMMYFUNCTION("""COMPUTED_VALUE"""),"H1_B4_VD_3.mp3")</f>
        <v>H1_B4_VD_3.mp3</v>
      </c>
    </row>
    <row r="37" spans="1:13">
      <c r="A37" s="13">
        <f ca="1">IFERROR(__xludf.DUMMYFUNCTION("""COMPUTED_VALUE"""),4)</f>
        <v>4</v>
      </c>
      <c r="B37" s="13"/>
      <c r="C37" s="13" t="str">
        <f ca="1">IFERROR(__xludf.DUMMYFUNCTION("""COMPUTED_VALUE"""),"大")</f>
        <v>大</v>
      </c>
      <c r="D37" s="13" t="str">
        <f ca="1">IFERROR(__xludf.DUMMYFUNCTION("""COMPUTED_VALUE"""),"&lt;ruby&gt;大&lt;rt&gt;dà&lt;/rt&gt;&lt;/ruby&gt;")</f>
        <v>&lt;ruby&gt;大&lt;rt&gt;dà&lt;/rt&gt;&lt;/ruby&gt;</v>
      </c>
      <c r="E37" s="13" t="str">
        <f ca="1">IFERROR(__xludf.DUMMYFUNCTION("""COMPUTED_VALUE"""),"dà")</f>
        <v>dà</v>
      </c>
      <c r="F37" s="13" t="str">
        <f ca="1">IFERROR(__xludf.DUMMYFUNCTION("""COMPUTED_VALUE"""),"Tính từ")</f>
        <v>Tính từ</v>
      </c>
      <c r="G37" s="13" t="str">
        <f ca="1">IFERROR(__xludf.DUMMYFUNCTION("""COMPUTED_VALUE"""),"Lớn (khi đứng trong cụm từ ""多大"" sẽ có nghĩa là bao nhiêu)")</f>
        <v>Lớn (khi đứng trong cụm từ "多大" sẽ có nghĩa là bao nhiêu)</v>
      </c>
      <c r="H37" s="13" t="str">
        <f ca="1">IFERROR(__xludf.DUMMYFUNCTION("""COMPUTED_VALUE"""),"请问，您今年多大了？")</f>
        <v>请问，您今年多大了？</v>
      </c>
      <c r="I37" s="13" t="str">
        <f ca="1">IFERROR(__xludf.DUMMYFUNCTION("""COMPUTED_VALUE"""),"Qǐngwèn, nín jīnnián duō dà le?")</f>
        <v>Qǐngwèn, nín jīnnián duō dà le?</v>
      </c>
      <c r="J37" s="13" t="str">
        <f ca="1">IFERROR(__xludf.DUMMYFUNCTION("""COMPUTED_VALUE"""),"Xin hỏi, năm nay ông bao nhiêu tuổi?")</f>
        <v>Xin hỏi, năm nay ông bao nhiêu tuổi?</v>
      </c>
      <c r="K37" s="13" t="str">
        <f ca="1">IFERROR(__xludf.DUMMYFUNCTION("""COMPUTED_VALUE"""),"H1_B4_BG-04.gif")</f>
        <v>H1_B4_BG-04.gif</v>
      </c>
      <c r="L37" s="13" t="str">
        <f ca="1">IFERROR(__xludf.DUMMYFUNCTION("""COMPUTED_VALUE"""),"H1_B4-04.mp3")</f>
        <v>H1_B4-04.mp3</v>
      </c>
      <c r="M37" s="13" t="str">
        <f ca="1">IFERROR(__xludf.DUMMYFUNCTION("""COMPUTED_VALUE"""),"H1_B4_VD_4.mp3")</f>
        <v>H1_B4_VD_4.mp3</v>
      </c>
    </row>
    <row r="38" spans="1:13">
      <c r="A38" s="13">
        <f ca="1">IFERROR(__xludf.DUMMYFUNCTION("""COMPUTED_VALUE"""),5)</f>
        <v>5</v>
      </c>
      <c r="B38" s="13"/>
      <c r="C38" s="13" t="str">
        <f ca="1">IFERROR(__xludf.DUMMYFUNCTION("""COMPUTED_VALUE"""),"口")</f>
        <v>口</v>
      </c>
      <c r="D38" s="13" t="str">
        <f ca="1">IFERROR(__xludf.DUMMYFUNCTION("""COMPUTED_VALUE"""),"&lt;ruby&gt;口&lt;rt&gt;kǒu&lt;/rt&gt;&lt;/ruby&gt;")</f>
        <v>&lt;ruby&gt;口&lt;rt&gt;kǒu&lt;/rt&gt;&lt;/ruby&gt;</v>
      </c>
      <c r="E38" s="13" t="str">
        <f ca="1">IFERROR(__xludf.DUMMYFUNCTION("""COMPUTED_VALUE"""),"kǒu")</f>
        <v>kǒu</v>
      </c>
      <c r="F38" s="13" t="str">
        <f ca="1">IFERROR(__xludf.DUMMYFUNCTION("""COMPUTED_VALUE"""),"Lượng từ ")</f>
        <v xml:space="preserve">Lượng từ </v>
      </c>
      <c r="G38" s="13" t="str">
        <f ca="1">IFERROR(__xludf.DUMMYFUNCTION("""COMPUTED_VALUE"""),"Lượng từ dùng cho người ")</f>
        <v xml:space="preserve">Lượng từ dùng cho người </v>
      </c>
      <c r="H38" s="13" t="str">
        <f ca="1">IFERROR(__xludf.DUMMYFUNCTION("""COMPUTED_VALUE"""),"我家有三口人。")</f>
        <v>我家有三口人。</v>
      </c>
      <c r="I38" s="13" t="str">
        <f ca="1">IFERROR(__xludf.DUMMYFUNCTION("""COMPUTED_VALUE"""),"Wǒ jiā yǒu sān kǒu rén.")</f>
        <v>Wǒ jiā yǒu sān kǒu rén.</v>
      </c>
      <c r="J38" s="13" t="str">
        <f ca="1">IFERROR(__xludf.DUMMYFUNCTION("""COMPUTED_VALUE"""),"Nhà tôi có ba người.")</f>
        <v>Nhà tôi có ba người.</v>
      </c>
      <c r="K38" s="13" t="str">
        <f ca="1">IFERROR(__xludf.DUMMYFUNCTION("""COMPUTED_VALUE"""),"H1_B4_BG-05.gif")</f>
        <v>H1_B4_BG-05.gif</v>
      </c>
      <c r="L38" s="13" t="str">
        <f ca="1">IFERROR(__xludf.DUMMYFUNCTION("""COMPUTED_VALUE"""),"H1_B4-05.mp3")</f>
        <v>H1_B4-05.mp3</v>
      </c>
      <c r="M38" s="13" t="str">
        <f ca="1">IFERROR(__xludf.DUMMYFUNCTION("""COMPUTED_VALUE"""),"H1_B4_VD_5.mp3")</f>
        <v>H1_B4_VD_5.mp3</v>
      </c>
    </row>
    <row r="39" spans="1:13">
      <c r="A39" s="13">
        <f ca="1">IFERROR(__xludf.DUMMYFUNCTION("""COMPUTED_VALUE"""),6)</f>
        <v>6</v>
      </c>
      <c r="B39" s="13"/>
      <c r="C39" s="13" t="str">
        <f ca="1">IFERROR(__xludf.DUMMYFUNCTION("""COMPUTED_VALUE"""),"女儿  ")</f>
        <v xml:space="preserve">女儿  </v>
      </c>
      <c r="D39" s="13" t="str">
        <f ca="1">IFERROR(__xludf.DUMMYFUNCTION("""COMPUTED_VALUE"""),"&lt;ruby&gt;女儿  &lt;rt&gt;nǚ’ér&lt;/rt&gt;&lt;/ruby&gt;")</f>
        <v>&lt;ruby&gt;女儿  &lt;rt&gt;nǚ’ér&lt;/rt&gt;&lt;/ruby&gt;</v>
      </c>
      <c r="E39" s="13" t="str">
        <f ca="1">IFERROR(__xludf.DUMMYFUNCTION("""COMPUTED_VALUE"""),"nǚ’ér")</f>
        <v>nǚ’ér</v>
      </c>
      <c r="F39" s="13" t="str">
        <f ca="1">IFERROR(__xludf.DUMMYFUNCTION("""COMPUTED_VALUE"""),"Danh từ")</f>
        <v>Danh từ</v>
      </c>
      <c r="G39" s="13" t="str">
        <f ca="1">IFERROR(__xludf.DUMMYFUNCTION("""COMPUTED_VALUE"""),"Con gái")</f>
        <v>Con gái</v>
      </c>
      <c r="H39" s="13" t="str">
        <f ca="1">IFERROR(__xludf.DUMMYFUNCTION("""COMPUTED_VALUE"""),"你女儿几岁了？")</f>
        <v>你女儿几岁了？</v>
      </c>
      <c r="I39" s="13" t="str">
        <f ca="1">IFERROR(__xludf.DUMMYFUNCTION("""COMPUTED_VALUE"""),"Nǐ nǚ'ér jǐ suì le?")</f>
        <v>Nǐ nǚ'ér jǐ suì le?</v>
      </c>
      <c r="J39" s="13" t="str">
        <f ca="1">IFERROR(__xludf.DUMMYFUNCTION("""COMPUTED_VALUE"""),"Con gái bạn bao nhiêu tuổi rồi?")</f>
        <v>Con gái bạn bao nhiêu tuổi rồi?</v>
      </c>
      <c r="K39" s="13" t="str">
        <f ca="1">IFERROR(__xludf.DUMMYFUNCTION("""COMPUTED_VALUE"""),"H1_B4_BG-06.gif")</f>
        <v>H1_B4_BG-06.gif</v>
      </c>
      <c r="L39" s="13" t="str">
        <f ca="1">IFERROR(__xludf.DUMMYFUNCTION("""COMPUTED_VALUE"""),"H1_B4-06.mp3")</f>
        <v>H1_B4-06.mp3</v>
      </c>
      <c r="M39" s="13" t="str">
        <f ca="1">IFERROR(__xludf.DUMMYFUNCTION("""COMPUTED_VALUE"""),"H1_B4_VD_6.mp3")</f>
        <v>H1_B4_VD_6.mp3</v>
      </c>
    </row>
    <row r="40" spans="1:13">
      <c r="A40" s="13">
        <f ca="1">IFERROR(__xludf.DUMMYFUNCTION("""COMPUTED_VALUE"""),7)</f>
        <v>7</v>
      </c>
      <c r="B40" s="13"/>
      <c r="C40" s="13" t="str">
        <f ca="1">IFERROR(__xludf.DUMMYFUNCTION("""COMPUTED_VALUE"""),"家")</f>
        <v>家</v>
      </c>
      <c r="D40" s="13" t="str">
        <f ca="1">IFERROR(__xludf.DUMMYFUNCTION("""COMPUTED_VALUE"""),"&lt;ruby&gt;家&lt;rt&gt;jiā&lt;/rt&gt;&lt;/ruby&gt;")</f>
        <v>&lt;ruby&gt;家&lt;rt&gt;jiā&lt;/rt&gt;&lt;/ruby&gt;</v>
      </c>
      <c r="E40" s="13" t="str">
        <f ca="1">IFERROR(__xludf.DUMMYFUNCTION("""COMPUTED_VALUE"""),"jiā")</f>
        <v>jiā</v>
      </c>
      <c r="F40" s="13" t="str">
        <f ca="1">IFERROR(__xludf.DUMMYFUNCTION("""COMPUTED_VALUE"""),"Danh từ")</f>
        <v>Danh từ</v>
      </c>
      <c r="G40" s="13" t="str">
        <f ca="1">IFERROR(__xludf.DUMMYFUNCTION("""COMPUTED_VALUE"""),"Nhà, gia đình")</f>
        <v>Nhà, gia đình</v>
      </c>
      <c r="H40" s="13" t="str">
        <f ca="1">IFERROR(__xludf.DUMMYFUNCTION("""COMPUTED_VALUE"""),"他家有几口人？")</f>
        <v>他家有几口人？</v>
      </c>
      <c r="I40" s="13" t="str">
        <f ca="1">IFERROR(__xludf.DUMMYFUNCTION("""COMPUTED_VALUE"""),"Tā jiā yǒu jǐ kǒu rén?")</f>
        <v>Tā jiā yǒu jǐ kǒu rén?</v>
      </c>
      <c r="J40" s="13" t="str">
        <f ca="1">IFERROR(__xludf.DUMMYFUNCTION("""COMPUTED_VALUE"""),"Nhà anh ấy có mấy người?")</f>
        <v>Nhà anh ấy có mấy người?</v>
      </c>
      <c r="K40" s="13" t="str">
        <f ca="1">IFERROR(__xludf.DUMMYFUNCTION("""COMPUTED_VALUE"""),"H1_B4_BG-07.gif")</f>
        <v>H1_B4_BG-07.gif</v>
      </c>
      <c r="L40" s="13" t="str">
        <f ca="1">IFERROR(__xludf.DUMMYFUNCTION("""COMPUTED_VALUE"""),"H1_B4-07.mp3")</f>
        <v>H1_B4-07.mp3</v>
      </c>
      <c r="M40" s="13" t="str">
        <f ca="1">IFERROR(__xludf.DUMMYFUNCTION("""COMPUTED_VALUE"""),"H1_B4_VD_7.mp3")</f>
        <v>H1_B4_VD_7.mp3</v>
      </c>
    </row>
    <row r="41" spans="1:13">
      <c r="A41" s="13">
        <f ca="1">IFERROR(__xludf.DUMMYFUNCTION("""COMPUTED_VALUE"""),8)</f>
        <v>8</v>
      </c>
      <c r="B41" s="13"/>
      <c r="C41" s="13" t="str">
        <f ca="1">IFERROR(__xludf.DUMMYFUNCTION("""COMPUTED_VALUE"""),"岁")</f>
        <v>岁</v>
      </c>
      <c r="D41" s="13" t="str">
        <f ca="1">IFERROR(__xludf.DUMMYFUNCTION("""COMPUTED_VALUE"""),"&lt;ruby&gt;岁&lt;rt&gt;suì&lt;/rt&gt;&lt;/ruby&gt;")</f>
        <v>&lt;ruby&gt;岁&lt;rt&gt;suì&lt;/rt&gt;&lt;/ruby&gt;</v>
      </c>
      <c r="E41" s="13" t="str">
        <f ca="1">IFERROR(__xludf.DUMMYFUNCTION("""COMPUTED_VALUE"""),"suì")</f>
        <v>suì</v>
      </c>
      <c r="F41" s="13" t="str">
        <f ca="1">IFERROR(__xludf.DUMMYFUNCTION("""COMPUTED_VALUE"""),"Danh từ")</f>
        <v>Danh từ</v>
      </c>
      <c r="G41" s="13" t="str">
        <f ca="1">IFERROR(__xludf.DUMMYFUNCTION("""COMPUTED_VALUE"""),"Tuổi")</f>
        <v>Tuổi</v>
      </c>
      <c r="H41" s="13" t="str">
        <f ca="1">IFERROR(__xludf.DUMMYFUNCTION("""COMPUTED_VALUE"""),"我今年20岁了。")</f>
        <v>我今年20岁了。</v>
      </c>
      <c r="I41" s="13" t="str">
        <f ca="1">IFERROR(__xludf.DUMMYFUNCTION("""COMPUTED_VALUE"""),"Wǒ jīnnián 20 suì le.")</f>
        <v>Wǒ jīnnián 20 suì le.</v>
      </c>
      <c r="J41" s="13" t="str">
        <f ca="1">IFERROR(__xludf.DUMMYFUNCTION("""COMPUTED_VALUE"""),"Năm nay tôi 20 tuổi rồi.")</f>
        <v>Năm nay tôi 20 tuổi rồi.</v>
      </c>
      <c r="K41" s="13" t="str">
        <f ca="1">IFERROR(__xludf.DUMMYFUNCTION("""COMPUTED_VALUE"""),"H1_B4_BG-08.gif")</f>
        <v>H1_B4_BG-08.gif</v>
      </c>
      <c r="L41" s="13" t="str">
        <f ca="1">IFERROR(__xludf.DUMMYFUNCTION("""COMPUTED_VALUE"""),"H1_B4-08.mp3")</f>
        <v>H1_B4-08.mp3</v>
      </c>
      <c r="M41" s="13" t="str">
        <f ca="1">IFERROR(__xludf.DUMMYFUNCTION("""COMPUTED_VALUE"""),"H1_B4_VD_8.mp3")</f>
        <v>H1_B4_VD_8.mp3</v>
      </c>
    </row>
    <row r="42" spans="1:13">
      <c r="A42" s="13">
        <f ca="1">IFERROR(__xludf.DUMMYFUNCTION("""COMPUTED_VALUE"""),9)</f>
        <v>9</v>
      </c>
      <c r="B42" s="13"/>
      <c r="C42" s="13" t="str">
        <f ca="1">IFERROR(__xludf.DUMMYFUNCTION("""COMPUTED_VALUE"""),"有")</f>
        <v>有</v>
      </c>
      <c r="D42" s="13" t="str">
        <f ca="1">IFERROR(__xludf.DUMMYFUNCTION("""COMPUTED_VALUE"""),"&lt;ruby&gt;有&lt;rt&gt;yǒu&lt;/rt&gt;&lt;/ruby&gt;")</f>
        <v>&lt;ruby&gt;有&lt;rt&gt;yǒu&lt;/rt&gt;&lt;/ruby&gt;</v>
      </c>
      <c r="E42" s="13" t="str">
        <f ca="1">IFERROR(__xludf.DUMMYFUNCTION("""COMPUTED_VALUE"""),"yǒu")</f>
        <v>yǒu</v>
      </c>
      <c r="F42" s="13" t="str">
        <f ca="1">IFERROR(__xludf.DUMMYFUNCTION("""COMPUTED_VALUE"""),"Động từ")</f>
        <v>Động từ</v>
      </c>
      <c r="G42" s="13" t="str">
        <f ca="1">IFERROR(__xludf.DUMMYFUNCTION("""COMPUTED_VALUE"""),"Có")</f>
        <v>Có</v>
      </c>
      <c r="H42" s="13" t="str">
        <f ca="1">IFERROR(__xludf.DUMMYFUNCTION("""COMPUTED_VALUE"""),"我有一条鱼。")</f>
        <v>我有一条鱼。</v>
      </c>
      <c r="I42" s="13" t="str">
        <f ca="1">IFERROR(__xludf.DUMMYFUNCTION("""COMPUTED_VALUE"""),"Wǒ yǒu yì tiáo yú.")</f>
        <v>Wǒ yǒu yì tiáo yú.</v>
      </c>
      <c r="J42" s="13" t="str">
        <f ca="1">IFERROR(__xludf.DUMMYFUNCTION("""COMPUTED_VALUE"""),"Tôi có một con cá.")</f>
        <v>Tôi có một con cá.</v>
      </c>
      <c r="K42" s="13" t="str">
        <f ca="1">IFERROR(__xludf.DUMMYFUNCTION("""COMPUTED_VALUE"""),"H1_B4_BG-09.gif")</f>
        <v>H1_B4_BG-09.gif</v>
      </c>
      <c r="L42" s="13" t="str">
        <f ca="1">IFERROR(__xludf.DUMMYFUNCTION("""COMPUTED_VALUE"""),"H1_B4-09.mp3")</f>
        <v>H1_B4-09.mp3</v>
      </c>
      <c r="M42" s="13" t="str">
        <f ca="1">IFERROR(__xludf.DUMMYFUNCTION("""COMPUTED_VALUE"""),"H1_B4_VD_9.mp3")</f>
        <v>H1_B4_VD_9.mp3</v>
      </c>
    </row>
    <row r="43" spans="1:13">
      <c r="A43" s="13">
        <f ca="1">IFERROR(__xludf.DUMMYFUNCTION("""COMPUTED_VALUE"""),10)</f>
        <v>10</v>
      </c>
      <c r="B43" s="13"/>
      <c r="C43" s="13" t="str">
        <f ca="1">IFERROR(__xludf.DUMMYFUNCTION("""COMPUTED_VALUE"""),"了")</f>
        <v>了</v>
      </c>
      <c r="D43" s="13" t="str">
        <f ca="1">IFERROR(__xludf.DUMMYFUNCTION("""COMPUTED_VALUE"""),"&lt;ruby&gt;了&lt;rt&gt;le&lt;/rt&gt;&lt;/ruby&gt;")</f>
        <v>&lt;ruby&gt;了&lt;rt&gt;le&lt;/rt&gt;&lt;/ruby&gt;</v>
      </c>
      <c r="E43" s="13" t="str">
        <f ca="1">IFERROR(__xludf.DUMMYFUNCTION("""COMPUTED_VALUE"""),"le")</f>
        <v>le</v>
      </c>
      <c r="F43" s="13" t="str">
        <f ca="1">IFERROR(__xludf.DUMMYFUNCTION("""COMPUTED_VALUE"""),"Trợ từ")</f>
        <v>Trợ từ</v>
      </c>
      <c r="G43" s="13" t="str">
        <f ca="1">IFERROR(__xludf.DUMMYFUNCTION("""COMPUTED_VALUE"""),"Rồi")</f>
        <v>Rồi</v>
      </c>
      <c r="H43" s="13" t="str">
        <f ca="1">IFERROR(__xludf.DUMMYFUNCTION("""COMPUTED_VALUE"""),"我吃了饭。")</f>
        <v>我吃了饭。</v>
      </c>
      <c r="I43" s="13" t="str">
        <f ca="1">IFERROR(__xludf.DUMMYFUNCTION("""COMPUTED_VALUE"""),"Wǒ chī le fàn.")</f>
        <v>Wǒ chī le fàn.</v>
      </c>
      <c r="J43" s="13" t="str">
        <f ca="1">IFERROR(__xludf.DUMMYFUNCTION("""COMPUTED_VALUE"""),"Tôi đã ăn cơm rồi.")</f>
        <v>Tôi đã ăn cơm rồi.</v>
      </c>
      <c r="K43" s="13" t="str">
        <f ca="1">IFERROR(__xludf.DUMMYFUNCTION("""COMPUTED_VALUE"""),"H1_B4_BG-10.gif")</f>
        <v>H1_B4_BG-10.gif</v>
      </c>
      <c r="L43" s="13" t="str">
        <f ca="1">IFERROR(__xludf.DUMMYFUNCTION("""COMPUTED_VALUE"""),"H1_B4-10.mp3")</f>
        <v>H1_B4-10.mp3</v>
      </c>
      <c r="M43" s="13" t="str">
        <f ca="1">IFERROR(__xludf.DUMMYFUNCTION("""COMPUTED_VALUE"""),"H1_B4_VD_10.mp3")</f>
        <v>H1_B4_VD_10.mp3</v>
      </c>
    </row>
    <row r="44" spans="1:13">
      <c r="A44" s="13">
        <f ca="1">IFERROR(__xludf.DUMMYFUNCTION("""COMPUTED_VALUE"""),1)</f>
        <v>1</v>
      </c>
      <c r="B44" s="13"/>
      <c r="C44" s="13" t="str">
        <f ca="1">IFERROR(__xludf.DUMMYFUNCTION("""COMPUTED_VALUE"""),"会")</f>
        <v>会</v>
      </c>
      <c r="D44" s="13" t="str">
        <f ca="1">IFERROR(__xludf.DUMMYFUNCTION("""COMPUTED_VALUE"""),"&lt;ruby&gt;会&lt;rt&gt;huì&lt;/rt&gt;&lt;/ruby&gt;")</f>
        <v>&lt;ruby&gt;会&lt;rt&gt;huì&lt;/rt&gt;&lt;/ruby&gt;</v>
      </c>
      <c r="E44" s="13" t="str">
        <f ca="1">IFERROR(__xludf.DUMMYFUNCTION("""COMPUTED_VALUE"""),"huì")</f>
        <v>huì</v>
      </c>
      <c r="F44" s="13" t="str">
        <f ca="1">IFERROR(__xludf.DUMMYFUNCTION("""COMPUTED_VALUE"""),"Động từ")</f>
        <v>Động từ</v>
      </c>
      <c r="G44" s="13" t="str">
        <f ca="1">IFERROR(__xludf.DUMMYFUNCTION("""COMPUTED_VALUE"""),"Biết, có thể")</f>
        <v>Biết, có thể</v>
      </c>
      <c r="H44" s="13" t="str">
        <f ca="1">IFERROR(__xludf.DUMMYFUNCTION("""COMPUTED_VALUE"""),"他会说汉语。")</f>
        <v>他会说汉语。</v>
      </c>
      <c r="I44" s="13" t="str">
        <f ca="1">IFERROR(__xludf.DUMMYFUNCTION("""COMPUTED_VALUE"""),"Tā huì shuō Hànyǔ.")</f>
        <v>Tā huì shuō Hànyǔ.</v>
      </c>
      <c r="J44" s="13" t="str">
        <f ca="1">IFERROR(__xludf.DUMMYFUNCTION("""COMPUTED_VALUE"""),"Anh ấy có thể nói tiếng Trung Quốc.")</f>
        <v>Anh ấy có thể nói tiếng Trung Quốc.</v>
      </c>
      <c r="K44" s="13" t="str">
        <f ca="1">IFERROR(__xludf.DUMMYFUNCTION("""COMPUTED_VALUE"""),"H1_B5_BG-01.gif")</f>
        <v>H1_B5_BG-01.gif</v>
      </c>
      <c r="L44" s="13" t="str">
        <f ca="1">IFERROR(__xludf.DUMMYFUNCTION("""COMPUTED_VALUE"""),"H1_B5-01.mp3")</f>
        <v>H1_B5-01.mp3</v>
      </c>
      <c r="M44" s="13" t="str">
        <f ca="1">IFERROR(__xludf.DUMMYFUNCTION("""COMPUTED_VALUE"""),"H1_B5_VD_1.mp3")</f>
        <v>H1_B5_VD_1.mp3</v>
      </c>
    </row>
    <row r="45" spans="1:13">
      <c r="A45" s="13">
        <f ca="1">IFERROR(__xludf.DUMMYFUNCTION("""COMPUTED_VALUE"""),2)</f>
        <v>2</v>
      </c>
      <c r="B45" s="13"/>
      <c r="C45" s="13" t="str">
        <f ca="1">IFERROR(__xludf.DUMMYFUNCTION("""COMPUTED_VALUE"""),"说")</f>
        <v>说</v>
      </c>
      <c r="D45" s="13" t="str">
        <f ca="1">IFERROR(__xludf.DUMMYFUNCTION("""COMPUTED_VALUE"""),"&lt;ruby&gt;说&lt;rt&gt;shuō&lt;/rt&gt;&lt;/ruby&gt;")</f>
        <v>&lt;ruby&gt;说&lt;rt&gt;shuō&lt;/rt&gt;&lt;/ruby&gt;</v>
      </c>
      <c r="E45" s="13" t="str">
        <f ca="1">IFERROR(__xludf.DUMMYFUNCTION("""COMPUTED_VALUE"""),"shuō")</f>
        <v>shuō</v>
      </c>
      <c r="F45" s="13" t="str">
        <f ca="1">IFERROR(__xludf.DUMMYFUNCTION("""COMPUTED_VALUE"""),"Động từ")</f>
        <v>Động từ</v>
      </c>
      <c r="G45" s="13" t="str">
        <f ca="1">IFERROR(__xludf.DUMMYFUNCTION("""COMPUTED_VALUE"""),"Nói")</f>
        <v>Nói</v>
      </c>
      <c r="H45" s="13" t="str">
        <f ca="1">IFERROR(__xludf.DUMMYFUNCTION("""COMPUTED_VALUE"""),"你说什么？")</f>
        <v>你说什么？</v>
      </c>
      <c r="I45" s="13" t="str">
        <f ca="1">IFERROR(__xludf.DUMMYFUNCTION("""COMPUTED_VALUE"""),"Nǐ shuō shénme?")</f>
        <v>Nǐ shuō shénme?</v>
      </c>
      <c r="J45" s="13" t="str">
        <f ca="1">IFERROR(__xludf.DUMMYFUNCTION("""COMPUTED_VALUE"""),"Bạn nói gì cơ?")</f>
        <v>Bạn nói gì cơ?</v>
      </c>
      <c r="K45" s="13" t="str">
        <f ca="1">IFERROR(__xludf.DUMMYFUNCTION("""COMPUTED_VALUE"""),"H1_B5_BG-02.gif")</f>
        <v>H1_B5_BG-02.gif</v>
      </c>
      <c r="L45" s="13" t="str">
        <f ca="1">IFERROR(__xludf.DUMMYFUNCTION("""COMPUTED_VALUE"""),"H1_B5-02.mp3")</f>
        <v>H1_B5-02.mp3</v>
      </c>
      <c r="M45" s="13" t="str">
        <f ca="1">IFERROR(__xludf.DUMMYFUNCTION("""COMPUTED_VALUE"""),"H1_B5_VD_2.mp3")</f>
        <v>H1_B5_VD_2.mp3</v>
      </c>
    </row>
    <row r="46" spans="1:13">
      <c r="A46" s="13">
        <f ca="1">IFERROR(__xludf.DUMMYFUNCTION("""COMPUTED_VALUE"""),3)</f>
        <v>3</v>
      </c>
      <c r="B46" s="13"/>
      <c r="C46" s="13" t="str">
        <f ca="1">IFERROR(__xludf.DUMMYFUNCTION("""COMPUTED_VALUE"""),"读")</f>
        <v>读</v>
      </c>
      <c r="D46" s="13" t="str">
        <f ca="1">IFERROR(__xludf.DUMMYFUNCTION("""COMPUTED_VALUE"""),"&lt;ruby&gt;读&lt;rt&gt;dú&lt;/rt&gt;&lt;/ruby&gt;")</f>
        <v>&lt;ruby&gt;读&lt;rt&gt;dú&lt;/rt&gt;&lt;/ruby&gt;</v>
      </c>
      <c r="E46" s="13" t="str">
        <f ca="1">IFERROR(__xludf.DUMMYFUNCTION("""COMPUTED_VALUE"""),"dú")</f>
        <v>dú</v>
      </c>
      <c r="F46" s="13" t="str">
        <f ca="1">IFERROR(__xludf.DUMMYFUNCTION("""COMPUTED_VALUE"""),"Động từ")</f>
        <v>Động từ</v>
      </c>
      <c r="G46" s="13" t="str">
        <f ca="1">IFERROR(__xludf.DUMMYFUNCTION("""COMPUTED_VALUE"""),"Đọc")</f>
        <v>Đọc</v>
      </c>
      <c r="H46" s="13" t="str">
        <f ca="1">IFERROR(__xludf.DUMMYFUNCTION("""COMPUTED_VALUE"""),"他在读书。")</f>
        <v>他在读书。</v>
      </c>
      <c r="I46" s="13" t="str">
        <f ca="1">IFERROR(__xludf.DUMMYFUNCTION("""COMPUTED_VALUE"""),"Tā zài dúshū.")</f>
        <v>Tā zài dúshū.</v>
      </c>
      <c r="J46" s="13" t="str">
        <f ca="1">IFERROR(__xludf.DUMMYFUNCTION("""COMPUTED_VALUE"""),"Anh ấy đang đọc sách.")</f>
        <v>Anh ấy đang đọc sách.</v>
      </c>
      <c r="K46" s="13" t="str">
        <f ca="1">IFERROR(__xludf.DUMMYFUNCTION("""COMPUTED_VALUE"""),"H1_B5_BG-03.gif")</f>
        <v>H1_B5_BG-03.gif</v>
      </c>
      <c r="L46" s="13" t="str">
        <f ca="1">IFERROR(__xludf.DUMMYFUNCTION("""COMPUTED_VALUE"""),"H1_B5-03.mp3")</f>
        <v>H1_B5-03.mp3</v>
      </c>
      <c r="M46" s="13" t="str">
        <f ca="1">IFERROR(__xludf.DUMMYFUNCTION("""COMPUTED_VALUE"""),"H1_B5_VD_3.mp3")</f>
        <v>H1_B5_VD_3.mp3</v>
      </c>
    </row>
    <row r="47" spans="1:13">
      <c r="A47" s="13">
        <f ca="1">IFERROR(__xludf.DUMMYFUNCTION("""COMPUTED_VALUE"""),4)</f>
        <v>4</v>
      </c>
      <c r="B47" s="13"/>
      <c r="C47" s="13" t="str">
        <f ca="1">IFERROR(__xludf.DUMMYFUNCTION("""COMPUTED_VALUE"""),"写")</f>
        <v>写</v>
      </c>
      <c r="D47" s="13" t="str">
        <f ca="1">IFERROR(__xludf.DUMMYFUNCTION("""COMPUTED_VALUE"""),"&lt;ruby&gt;写&lt;rt&gt;xiě&lt;/rt&gt;&lt;/ruby&gt;")</f>
        <v>&lt;ruby&gt;写&lt;rt&gt;xiě&lt;/rt&gt;&lt;/ruby&gt;</v>
      </c>
      <c r="E47" s="13" t="str">
        <f ca="1">IFERROR(__xludf.DUMMYFUNCTION("""COMPUTED_VALUE"""),"xiě")</f>
        <v>xiě</v>
      </c>
      <c r="F47" s="13" t="str">
        <f ca="1">IFERROR(__xludf.DUMMYFUNCTION("""COMPUTED_VALUE"""),"Động từ")</f>
        <v>Động từ</v>
      </c>
      <c r="G47" s="13" t="str">
        <f ca="1">IFERROR(__xludf.DUMMYFUNCTION("""COMPUTED_VALUE"""),"Viết")</f>
        <v>Viết</v>
      </c>
      <c r="H47" s="13" t="str">
        <f ca="1">IFERROR(__xludf.DUMMYFUNCTION("""COMPUTED_VALUE"""),"他会写汉字。")</f>
        <v>他会写汉字。</v>
      </c>
      <c r="I47" s="13" t="str">
        <f ca="1">IFERROR(__xludf.DUMMYFUNCTION("""COMPUTED_VALUE"""),"Tā huì xiě hànzì.")</f>
        <v>Tā huì xiě hànzì.</v>
      </c>
      <c r="J47" s="13" t="str">
        <f ca="1">IFERROR(__xludf.DUMMYFUNCTION("""COMPUTED_VALUE"""),"Anh ấy có thể viết được chữ Hán.")</f>
        <v>Anh ấy có thể viết được chữ Hán.</v>
      </c>
      <c r="K47" s="13" t="str">
        <f ca="1">IFERROR(__xludf.DUMMYFUNCTION("""COMPUTED_VALUE"""),"H1_B5_BG-04.gif")</f>
        <v>H1_B5_BG-04.gif</v>
      </c>
      <c r="L47" s="13" t="str">
        <f ca="1">IFERROR(__xludf.DUMMYFUNCTION("""COMPUTED_VALUE"""),"H1_B5-04.mp3")</f>
        <v>H1_B5-04.mp3</v>
      </c>
      <c r="M47" s="13" t="str">
        <f ca="1">IFERROR(__xludf.DUMMYFUNCTION("""COMPUTED_VALUE"""),"H1_B5_VD_4.mp3")</f>
        <v>H1_B5_VD_4.mp3</v>
      </c>
    </row>
    <row r="48" spans="1:13">
      <c r="A48" s="13">
        <f ca="1">IFERROR(__xludf.DUMMYFUNCTION("""COMPUTED_VALUE"""),5)</f>
        <v>5</v>
      </c>
      <c r="B48" s="13"/>
      <c r="C48" s="13" t="str">
        <f ca="1">IFERROR(__xludf.DUMMYFUNCTION("""COMPUTED_VALUE"""),"汉字")</f>
        <v>汉字</v>
      </c>
      <c r="D48" s="13" t="str">
        <f ca="1">IFERROR(__xludf.DUMMYFUNCTION("""COMPUTED_VALUE"""),"&lt;ruby&gt;汉字&lt;rt&gt;hànzì&lt;/rt&gt;&lt;/ruby&gt;")</f>
        <v>&lt;ruby&gt;汉字&lt;rt&gt;hànzì&lt;/rt&gt;&lt;/ruby&gt;</v>
      </c>
      <c r="E48" s="13" t="str">
        <f ca="1">IFERROR(__xludf.DUMMYFUNCTION("""COMPUTED_VALUE"""),"hànzì")</f>
        <v>hànzì</v>
      </c>
      <c r="F48" s="13" t="str">
        <f ca="1">IFERROR(__xludf.DUMMYFUNCTION("""COMPUTED_VALUE"""),"Danh từ")</f>
        <v>Danh từ</v>
      </c>
      <c r="G48" s="13" t="str">
        <f ca="1">IFERROR(__xludf.DUMMYFUNCTION("""COMPUTED_VALUE"""),"Chữ Hán")</f>
        <v>Chữ Hán</v>
      </c>
      <c r="H48" s="13" t="str">
        <f ca="1">IFERROR(__xludf.DUMMYFUNCTION("""COMPUTED_VALUE"""),"汉字很难。")</f>
        <v>汉字很难。</v>
      </c>
      <c r="I48" s="13" t="str">
        <f ca="1">IFERROR(__xludf.DUMMYFUNCTION("""COMPUTED_VALUE"""),"Hànzì hěn nán.")</f>
        <v>Hànzì hěn nán.</v>
      </c>
      <c r="J48" s="13" t="str">
        <f ca="1">IFERROR(__xludf.DUMMYFUNCTION("""COMPUTED_VALUE"""),"Chữ Hán rất khó.")</f>
        <v>Chữ Hán rất khó.</v>
      </c>
      <c r="K48" s="13" t="str">
        <f ca="1">IFERROR(__xludf.DUMMYFUNCTION("""COMPUTED_VALUE"""),"H1_B5_BG-05.gif")</f>
        <v>H1_B5_BG-05.gif</v>
      </c>
      <c r="L48" s="13" t="str">
        <f ca="1">IFERROR(__xludf.DUMMYFUNCTION("""COMPUTED_VALUE"""),"H1_B5-05.mp3")</f>
        <v>H1_B5-05.mp3</v>
      </c>
      <c r="M48" s="13" t="str">
        <f ca="1">IFERROR(__xludf.DUMMYFUNCTION("""COMPUTED_VALUE"""),"H1_B5_VD_5.mp3")</f>
        <v>H1_B5_VD_5.mp3</v>
      </c>
    </row>
    <row r="49" spans="1:13">
      <c r="A49" s="13">
        <f ca="1">IFERROR(__xludf.DUMMYFUNCTION("""COMPUTED_VALUE"""),6)</f>
        <v>6</v>
      </c>
      <c r="B49" s="13"/>
      <c r="C49" s="13" t="str">
        <f ca="1">IFERROR(__xludf.DUMMYFUNCTION("""COMPUTED_VALUE"""),"字")</f>
        <v>字</v>
      </c>
      <c r="D49" s="13" t="str">
        <f ca="1">IFERROR(__xludf.DUMMYFUNCTION("""COMPUTED_VALUE"""),"&lt;ruby&gt;字&lt;rt&gt;zì&lt;/rt&gt;&lt;/ruby&gt;")</f>
        <v>&lt;ruby&gt;字&lt;rt&gt;zì&lt;/rt&gt;&lt;/ruby&gt;</v>
      </c>
      <c r="E49" s="13" t="str">
        <f ca="1">IFERROR(__xludf.DUMMYFUNCTION("""COMPUTED_VALUE"""),"zì")</f>
        <v>zì</v>
      </c>
      <c r="F49" s="13" t="str">
        <f ca="1">IFERROR(__xludf.DUMMYFUNCTION("""COMPUTED_VALUE"""),"Danh từ")</f>
        <v>Danh từ</v>
      </c>
      <c r="G49" s="13" t="str">
        <f ca="1">IFERROR(__xludf.DUMMYFUNCTION("""COMPUTED_VALUE"""),"Chữ")</f>
        <v>Chữ</v>
      </c>
      <c r="H49" s="13" t="str">
        <f ca="1">IFERROR(__xludf.DUMMYFUNCTION("""COMPUTED_VALUE"""),"这是什么字？")</f>
        <v>这是什么字？</v>
      </c>
      <c r="I49" s="13" t="str">
        <f ca="1">IFERROR(__xludf.DUMMYFUNCTION("""COMPUTED_VALUE"""),"Zhè shì shénme zì?")</f>
        <v>Zhè shì shénme zì?</v>
      </c>
      <c r="J49" s="13" t="str">
        <f ca="1">IFERROR(__xludf.DUMMYFUNCTION("""COMPUTED_VALUE"""),"Đây là chữ gì vậy?")</f>
        <v>Đây là chữ gì vậy?</v>
      </c>
      <c r="K49" s="13" t="str">
        <f ca="1">IFERROR(__xludf.DUMMYFUNCTION("""COMPUTED_VALUE"""),"H1_B5_BG-06.gif")</f>
        <v>H1_B5_BG-06.gif</v>
      </c>
      <c r="L49" s="13" t="str">
        <f ca="1">IFERROR(__xludf.DUMMYFUNCTION("""COMPUTED_VALUE"""),"H1_B5-06.mp3")</f>
        <v>H1_B5-06.mp3</v>
      </c>
      <c r="M49" s="13" t="str">
        <f ca="1">IFERROR(__xludf.DUMMYFUNCTION("""COMPUTED_VALUE"""),"H1_B5_VD_6.mp3")</f>
        <v>H1_B5_VD_6.mp3</v>
      </c>
    </row>
    <row r="50" spans="1:13">
      <c r="A50" s="13">
        <f ca="1">IFERROR(__xludf.DUMMYFUNCTION("""COMPUTED_VALUE"""),7)</f>
        <v>7</v>
      </c>
      <c r="B50" s="13"/>
      <c r="C50" s="13" t="str">
        <f ca="1">IFERROR(__xludf.DUMMYFUNCTION("""COMPUTED_VALUE"""),"做")</f>
        <v>做</v>
      </c>
      <c r="D50" s="13" t="str">
        <f ca="1">IFERROR(__xludf.DUMMYFUNCTION("""COMPUTED_VALUE"""),"&lt;ruby&gt;做&lt;rt&gt;zuò&lt;/rt&gt;&lt;/ruby&gt;")</f>
        <v>&lt;ruby&gt;做&lt;rt&gt;zuò&lt;/rt&gt;&lt;/ruby&gt;</v>
      </c>
      <c r="E50" s="13" t="str">
        <f ca="1">IFERROR(__xludf.DUMMYFUNCTION("""COMPUTED_VALUE"""),"zuò")</f>
        <v>zuò</v>
      </c>
      <c r="F50" s="13" t="str">
        <f ca="1">IFERROR(__xludf.DUMMYFUNCTION("""COMPUTED_VALUE"""),"Động từ")</f>
        <v>Động từ</v>
      </c>
      <c r="G50" s="13" t="str">
        <f ca="1">IFERROR(__xludf.DUMMYFUNCTION("""COMPUTED_VALUE"""),"Làm, nấu")</f>
        <v>Làm, nấu</v>
      </c>
      <c r="H50" s="13" t="str">
        <f ca="1">IFERROR(__xludf.DUMMYFUNCTION("""COMPUTED_VALUE"""),"他会做饭。")</f>
        <v>他会做饭。</v>
      </c>
      <c r="I50" s="13" t="str">
        <f ca="1">IFERROR(__xludf.DUMMYFUNCTION("""COMPUTED_VALUE"""),"Tā huì zuò fàn.")</f>
        <v>Tā huì zuò fàn.</v>
      </c>
      <c r="J50" s="13" t="str">
        <f ca="1">IFERROR(__xludf.DUMMYFUNCTION("""COMPUTED_VALUE"""),"Anh ấy có thể nấu ăn.")</f>
        <v>Anh ấy có thể nấu ăn.</v>
      </c>
      <c r="K50" s="13" t="str">
        <f ca="1">IFERROR(__xludf.DUMMYFUNCTION("""COMPUTED_VALUE"""),"H1_B5_BG-07.gif")</f>
        <v>H1_B5_BG-07.gif</v>
      </c>
      <c r="L50" s="13" t="str">
        <f ca="1">IFERROR(__xludf.DUMMYFUNCTION("""COMPUTED_VALUE"""),"H1_B5-07.mp3")</f>
        <v>H1_B5-07.mp3</v>
      </c>
      <c r="M50" s="13" t="str">
        <f ca="1">IFERROR(__xludf.DUMMYFUNCTION("""COMPUTED_VALUE"""),"H1_B5_VD_7.mp3")</f>
        <v>H1_B5_VD_7.mp3</v>
      </c>
    </row>
    <row r="51" spans="1:13">
      <c r="A51" s="13">
        <f ca="1">IFERROR(__xludf.DUMMYFUNCTION("""COMPUTED_VALUE"""),8)</f>
        <v>8</v>
      </c>
      <c r="B51" s="13"/>
      <c r="C51" s="13" t="str">
        <f ca="1">IFERROR(__xludf.DUMMYFUNCTION("""COMPUTED_VALUE"""),"菜")</f>
        <v>菜</v>
      </c>
      <c r="D51" s="13" t="str">
        <f ca="1">IFERROR(__xludf.DUMMYFUNCTION("""COMPUTED_VALUE"""),"&lt;ruby&gt;菜&lt;rt&gt;cài&lt;/rt&gt;&lt;/ruby&gt;")</f>
        <v>&lt;ruby&gt;菜&lt;rt&gt;cài&lt;/rt&gt;&lt;/ruby&gt;</v>
      </c>
      <c r="E51" s="13" t="str">
        <f ca="1">IFERROR(__xludf.DUMMYFUNCTION("""COMPUTED_VALUE"""),"cài")</f>
        <v>cài</v>
      </c>
      <c r="F51" s="13" t="str">
        <f ca="1">IFERROR(__xludf.DUMMYFUNCTION("""COMPUTED_VALUE"""),"Danh từ")</f>
        <v>Danh từ</v>
      </c>
      <c r="G51" s="13" t="str">
        <f ca="1">IFERROR(__xludf.DUMMYFUNCTION("""COMPUTED_VALUE"""),"Món ăn, rau ")</f>
        <v xml:space="preserve">Món ăn, rau </v>
      </c>
      <c r="H51" s="13" t="str">
        <f ca="1">IFERROR(__xludf.DUMMYFUNCTION("""COMPUTED_VALUE"""),"你吃菜吗？")</f>
        <v>你吃菜吗？</v>
      </c>
      <c r="I51" s="13" t="str">
        <f ca="1">IFERROR(__xludf.DUMMYFUNCTION("""COMPUTED_VALUE"""),"Nǐ chī cài ma?")</f>
        <v>Nǐ chī cài ma?</v>
      </c>
      <c r="J51" s="13" t="str">
        <f ca="1">IFERROR(__xludf.DUMMYFUNCTION("""COMPUTED_VALUE"""),"Bạn có ăn rau không?")</f>
        <v>Bạn có ăn rau không?</v>
      </c>
      <c r="K51" s="13" t="str">
        <f ca="1">IFERROR(__xludf.DUMMYFUNCTION("""COMPUTED_VALUE"""),"H1_B5_BG-08.gif")</f>
        <v>H1_B5_BG-08.gif</v>
      </c>
      <c r="L51" s="13" t="str">
        <f ca="1">IFERROR(__xludf.DUMMYFUNCTION("""COMPUTED_VALUE"""),"H1_B5-08.mp3")</f>
        <v>H1_B5-08.mp3</v>
      </c>
      <c r="M51" s="13" t="str">
        <f ca="1">IFERROR(__xludf.DUMMYFUNCTION("""COMPUTED_VALUE"""),"H1_B5_VD_8.mp3")</f>
        <v>H1_B5_VD_8.mp3</v>
      </c>
    </row>
    <row r="52" spans="1:13">
      <c r="A52" s="13">
        <f ca="1">IFERROR(__xludf.DUMMYFUNCTION("""COMPUTED_VALUE"""),9)</f>
        <v>9</v>
      </c>
      <c r="B52" s="13"/>
      <c r="C52" s="13" t="str">
        <f ca="1">IFERROR(__xludf.DUMMYFUNCTION("""COMPUTED_VALUE"""),"好吃")</f>
        <v>好吃</v>
      </c>
      <c r="D52" s="13" t="str">
        <f ca="1">IFERROR(__xludf.DUMMYFUNCTION("""COMPUTED_VALUE"""),"&lt;ruby&gt;好吃&lt;rt&gt;hǎochī&lt;/rt&gt;&lt;/ruby&gt;")</f>
        <v>&lt;ruby&gt;好吃&lt;rt&gt;hǎochī&lt;/rt&gt;&lt;/ruby&gt;</v>
      </c>
      <c r="E52" s="13" t="str">
        <f ca="1">IFERROR(__xludf.DUMMYFUNCTION("""COMPUTED_VALUE"""),"hǎochī")</f>
        <v>hǎochī</v>
      </c>
      <c r="F52" s="13" t="str">
        <f ca="1">IFERROR(__xludf.DUMMYFUNCTION("""COMPUTED_VALUE"""),"Tính từ")</f>
        <v>Tính từ</v>
      </c>
      <c r="G52" s="13" t="str">
        <f ca="1">IFERROR(__xludf.DUMMYFUNCTION("""COMPUTED_VALUE"""),"Ngon")</f>
        <v>Ngon</v>
      </c>
      <c r="H52" s="13" t="str">
        <f ca="1">IFERROR(__xludf.DUMMYFUNCTION("""COMPUTED_VALUE"""),"西瓜很好吃。")</f>
        <v>西瓜很好吃。</v>
      </c>
      <c r="I52" s="13" t="str">
        <f ca="1">IFERROR(__xludf.DUMMYFUNCTION("""COMPUTED_VALUE"""),"Xīguā hěn hǎochī.")</f>
        <v>Xīguā hěn hǎochī.</v>
      </c>
      <c r="J52" s="13" t="str">
        <f ca="1">IFERROR(__xludf.DUMMYFUNCTION("""COMPUTED_VALUE"""),"Dưa hấu rất ngon.")</f>
        <v>Dưa hấu rất ngon.</v>
      </c>
      <c r="K52" s="13" t="str">
        <f ca="1">IFERROR(__xludf.DUMMYFUNCTION("""COMPUTED_VALUE"""),"H1_B5_BG-09.gif")</f>
        <v>H1_B5_BG-09.gif</v>
      </c>
      <c r="L52" s="13" t="str">
        <f ca="1">IFERROR(__xludf.DUMMYFUNCTION("""COMPUTED_VALUE"""),"H1_B5-09.mp3")</f>
        <v>H1_B5-09.mp3</v>
      </c>
      <c r="M52" s="13" t="str">
        <f ca="1">IFERROR(__xludf.DUMMYFUNCTION("""COMPUTED_VALUE"""),"H1_B5_VD_9.mp3")</f>
        <v>H1_B5_VD_9.mp3</v>
      </c>
    </row>
    <row r="53" spans="1:13">
      <c r="A53" s="13">
        <f ca="1">IFERROR(__xludf.DUMMYFUNCTION("""COMPUTED_VALUE"""),10)</f>
        <v>10</v>
      </c>
      <c r="B53" s="13"/>
      <c r="C53" s="13" t="str">
        <f ca="1">IFERROR(__xludf.DUMMYFUNCTION("""COMPUTED_VALUE"""),"妈妈")</f>
        <v>妈妈</v>
      </c>
      <c r="D53" s="13" t="str">
        <f ca="1">IFERROR(__xludf.DUMMYFUNCTION("""COMPUTED_VALUE"""),"&lt;ruby&gt;妈妈&lt;rt&gt;māma&lt;/rt&gt;&lt;/ruby&gt;")</f>
        <v>&lt;ruby&gt;妈妈&lt;rt&gt;māma&lt;/rt&gt;&lt;/ruby&gt;</v>
      </c>
      <c r="E53" s="13" t="str">
        <f ca="1">IFERROR(__xludf.DUMMYFUNCTION("""COMPUTED_VALUE"""),"māma")</f>
        <v>māma</v>
      </c>
      <c r="F53" s="13" t="str">
        <f ca="1">IFERROR(__xludf.DUMMYFUNCTION("""COMPUTED_VALUE"""),"Danh từ")</f>
        <v>Danh từ</v>
      </c>
      <c r="G53" s="13" t="str">
        <f ca="1">IFERROR(__xludf.DUMMYFUNCTION("""COMPUTED_VALUE"""),"Mẹ")</f>
        <v>Mẹ</v>
      </c>
      <c r="H53" s="13" t="str">
        <f ca="1">IFERROR(__xludf.DUMMYFUNCTION("""COMPUTED_VALUE"""),"我爱我妈妈。")</f>
        <v>我爱我妈妈。</v>
      </c>
      <c r="I53" s="13" t="str">
        <f ca="1">IFERROR(__xludf.DUMMYFUNCTION("""COMPUTED_VALUE"""),"Wǒ ài wǒ māma.")</f>
        <v>Wǒ ài wǒ māma.</v>
      </c>
      <c r="J53" s="13" t="str">
        <f ca="1">IFERROR(__xludf.DUMMYFUNCTION("""COMPUTED_VALUE"""),"Tôi yêu mẹ tôi.")</f>
        <v>Tôi yêu mẹ tôi.</v>
      </c>
      <c r="K53" s="13" t="str">
        <f ca="1">IFERROR(__xludf.DUMMYFUNCTION("""COMPUTED_VALUE"""),"H1_B5_BG-10.gif")</f>
        <v>H1_B5_BG-10.gif</v>
      </c>
      <c r="L53" s="13" t="str">
        <f ca="1">IFERROR(__xludf.DUMMYFUNCTION("""COMPUTED_VALUE"""),"H1_B5-10.mp3")</f>
        <v>H1_B5-10.mp3</v>
      </c>
      <c r="M53" s="13" t="str">
        <f ca="1">IFERROR(__xludf.DUMMYFUNCTION("""COMPUTED_VALUE"""),"H1_B5_VD_10.mp3")</f>
        <v>H1_B5_VD_10.mp3</v>
      </c>
    </row>
    <row r="54" spans="1:13">
      <c r="A54" s="13">
        <f ca="1">IFERROR(__xludf.DUMMYFUNCTION("""COMPUTED_VALUE"""),11)</f>
        <v>11</v>
      </c>
      <c r="B54" s="13"/>
      <c r="C54" s="13" t="str">
        <f ca="1">IFERROR(__xludf.DUMMYFUNCTION("""COMPUTED_VALUE"""),"很")</f>
        <v>很</v>
      </c>
      <c r="D54" s="13" t="str">
        <f ca="1">IFERROR(__xludf.DUMMYFUNCTION("""COMPUTED_VALUE"""),"&lt;ruby&gt;很&lt;rt&gt;hěn&lt;/rt&gt;&lt;/ruby&gt;")</f>
        <v>&lt;ruby&gt;很&lt;rt&gt;hěn&lt;/rt&gt;&lt;/ruby&gt;</v>
      </c>
      <c r="E54" s="13" t="str">
        <f ca="1">IFERROR(__xludf.DUMMYFUNCTION("""COMPUTED_VALUE"""),"hěn")</f>
        <v>hěn</v>
      </c>
      <c r="F54" s="13" t="str">
        <f ca="1">IFERROR(__xludf.DUMMYFUNCTION("""COMPUTED_VALUE"""),"Phó từ")</f>
        <v>Phó từ</v>
      </c>
      <c r="G54" s="13" t="str">
        <f ca="1">IFERROR(__xludf.DUMMYFUNCTION("""COMPUTED_VALUE"""),"Rất")</f>
        <v>Rất</v>
      </c>
      <c r="H54" s="13" t="str">
        <f ca="1">IFERROR(__xludf.DUMMYFUNCTION("""COMPUTED_VALUE"""),"我很累。")</f>
        <v>我很累。</v>
      </c>
      <c r="I54" s="13" t="str">
        <f ca="1">IFERROR(__xludf.DUMMYFUNCTION("""COMPUTED_VALUE"""),"Wǒ hěn lèi.")</f>
        <v>Wǒ hěn lèi.</v>
      </c>
      <c r="J54" s="13" t="str">
        <f ca="1">IFERROR(__xludf.DUMMYFUNCTION("""COMPUTED_VALUE"""),"Tôi rất mệt mỏi.")</f>
        <v>Tôi rất mệt mỏi.</v>
      </c>
      <c r="K54" s="13" t="str">
        <f ca="1">IFERROR(__xludf.DUMMYFUNCTION("""COMPUTED_VALUE"""),"H1_B5_BG-11.gif")</f>
        <v>H1_B5_BG-11.gif</v>
      </c>
      <c r="L54" s="13" t="str">
        <f ca="1">IFERROR(__xludf.DUMMYFUNCTION("""COMPUTED_VALUE"""),"H1_B5-11.mp3")</f>
        <v>H1_B5-11.mp3</v>
      </c>
      <c r="M54" s="13" t="str">
        <f ca="1">IFERROR(__xludf.DUMMYFUNCTION("""COMPUTED_VALUE"""),"H1_B5_VD_11.mp3")</f>
        <v>H1_B5_VD_11.mp3</v>
      </c>
    </row>
    <row r="55" spans="1:13">
      <c r="A55" s="13">
        <f ca="1">IFERROR(__xludf.DUMMYFUNCTION("""COMPUTED_VALUE"""),12)</f>
        <v>12</v>
      </c>
      <c r="B55" s="13"/>
      <c r="C55" s="13" t="str">
        <f ca="1">IFERROR(__xludf.DUMMYFUNCTION("""COMPUTED_VALUE"""),"怎么")</f>
        <v>怎么</v>
      </c>
      <c r="D55" s="13" t="str">
        <f ca="1">IFERROR(__xludf.DUMMYFUNCTION("""COMPUTED_VALUE"""),"&lt;ruby&gt;怎么&lt;rt&gt;zěnme&lt;/rt&gt;&lt;/ruby&gt;")</f>
        <v>&lt;ruby&gt;怎么&lt;rt&gt;zěnme&lt;/rt&gt;&lt;/ruby&gt;</v>
      </c>
      <c r="E55" s="13" t="str">
        <f ca="1">IFERROR(__xludf.DUMMYFUNCTION("""COMPUTED_VALUE"""),"zěnme")</f>
        <v>zěnme</v>
      </c>
      <c r="F55" s="13" t="str">
        <f ca="1">IFERROR(__xludf.DUMMYFUNCTION("""COMPUTED_VALUE"""),"Đại từ")</f>
        <v>Đại từ</v>
      </c>
      <c r="G55" s="13" t="str">
        <f ca="1">IFERROR(__xludf.DUMMYFUNCTION("""COMPUTED_VALUE"""),"Như thế nào")</f>
        <v>Như thế nào</v>
      </c>
      <c r="H55" s="13" t="str">
        <f ca="1">IFERROR(__xludf.DUMMYFUNCTION("""COMPUTED_VALUE"""),"她们怎么这么开心？")</f>
        <v>她们怎么这么开心？</v>
      </c>
      <c r="I55" s="13" t="str">
        <f ca="1">IFERROR(__xludf.DUMMYFUNCTION("""COMPUTED_VALUE"""),"Tāmen zěnme zhème kāixīn?")</f>
        <v>Tāmen zěnme zhème kāixīn?</v>
      </c>
      <c r="J55" s="13" t="str">
        <f ca="1">IFERROR(__xludf.DUMMYFUNCTION("""COMPUTED_VALUE"""),"Tại sao họ lại vui như vậy?")</f>
        <v>Tại sao họ lại vui như vậy?</v>
      </c>
      <c r="K55" s="13" t="str">
        <f ca="1">IFERROR(__xludf.DUMMYFUNCTION("""COMPUTED_VALUE"""),"H1_B5_BG-12.gif")</f>
        <v>H1_B5_BG-12.gif</v>
      </c>
      <c r="L55" s="13" t="str">
        <f ca="1">IFERROR(__xludf.DUMMYFUNCTION("""COMPUTED_VALUE"""),"H1_B5-12.mp3")</f>
        <v>H1_B5-12.mp3</v>
      </c>
      <c r="M55" s="13" t="str">
        <f ca="1">IFERROR(__xludf.DUMMYFUNCTION("""COMPUTED_VALUE"""),"H1_B5_VD_12.mp3")</f>
        <v>H1_B5_VD_12.mp3</v>
      </c>
    </row>
    <row r="56" spans="1:13">
      <c r="A56" s="13">
        <f ca="1">IFERROR(__xludf.DUMMYFUNCTION("""COMPUTED_VALUE"""),13)</f>
        <v>13</v>
      </c>
      <c r="B56" s="13"/>
      <c r="C56" s="13" t="str">
        <f ca="1">IFERROR(__xludf.DUMMYFUNCTION("""COMPUTED_VALUE"""),"他们")</f>
        <v>他们</v>
      </c>
      <c r="D56" s="13" t="str">
        <f ca="1">IFERROR(__xludf.DUMMYFUNCTION("""COMPUTED_VALUE"""),"&lt;ruby&gt;他们&lt;rt&gt;tāmen&lt;/rt&gt;&lt;/ruby&gt;")</f>
        <v>&lt;ruby&gt;他们&lt;rt&gt;tāmen&lt;/rt&gt;&lt;/ruby&gt;</v>
      </c>
      <c r="E56" s="13" t="str">
        <f ca="1">IFERROR(__xludf.DUMMYFUNCTION("""COMPUTED_VALUE"""),"tāmen")</f>
        <v>tāmen</v>
      </c>
      <c r="F56" s="13" t="str">
        <f ca="1">IFERROR(__xludf.DUMMYFUNCTION("""COMPUTED_VALUE"""),"Đại từ ")</f>
        <v xml:space="preserve">Đại từ </v>
      </c>
      <c r="G56" s="13" t="str">
        <f ca="1">IFERROR(__xludf.DUMMYFUNCTION("""COMPUTED_VALUE"""),"Bọn họ, họ (dùng cho nam hoặc nam và nữ)")</f>
        <v>Bọn họ, họ (dùng cho nam hoặc nam và nữ)</v>
      </c>
      <c r="H56" s="13" t="str">
        <f ca="1">IFERROR(__xludf.DUMMYFUNCTION("""COMPUTED_VALUE"""),"他们是我的朋友。")</f>
        <v>他们是我的朋友。</v>
      </c>
      <c r="I56" s="13" t="str">
        <f ca="1">IFERROR(__xludf.DUMMYFUNCTION("""COMPUTED_VALUE"""),"Tāmen shì wǒ de péngyou.")</f>
        <v>Tāmen shì wǒ de péngyou.</v>
      </c>
      <c r="J56" s="13" t="str">
        <f ca="1">IFERROR(__xludf.DUMMYFUNCTION("""COMPUTED_VALUE"""),"Họ là bạn của tôi.")</f>
        <v>Họ là bạn của tôi.</v>
      </c>
      <c r="K56" s="13" t="str">
        <f ca="1">IFERROR(__xludf.DUMMYFUNCTION("""COMPUTED_VALUE"""),"H1_B5_BG-13.gif")</f>
        <v>H1_B5_BG-13.gif</v>
      </c>
      <c r="L56" s="13" t="str">
        <f ca="1">IFERROR(__xludf.DUMMYFUNCTION("""COMPUTED_VALUE"""),"H1_B5-13.mp3")</f>
        <v>H1_B5-13.mp3</v>
      </c>
      <c r="M56" s="13" t="str">
        <f ca="1">IFERROR(__xludf.DUMMYFUNCTION("""COMPUTED_VALUE"""),"H1_B5_VD_13.mp3")</f>
        <v>H1_B5_VD_13.mp3</v>
      </c>
    </row>
    <row r="57" spans="1:13">
      <c r="A57" s="13">
        <f ca="1">IFERROR(__xludf.DUMMYFUNCTION("""COMPUTED_VALUE"""),14)</f>
        <v>14</v>
      </c>
      <c r="B57" s="13"/>
      <c r="C57" s="13" t="str">
        <f ca="1">IFERROR(__xludf.DUMMYFUNCTION("""COMPUTED_VALUE"""),"她们")</f>
        <v>她们</v>
      </c>
      <c r="D57" s="13" t="str">
        <f ca="1">IFERROR(__xludf.DUMMYFUNCTION("""COMPUTED_VALUE"""),"&lt;ruby&gt;她们&lt;rt&gt;tāmen&lt;/rt&gt;&lt;/ruby&gt;")</f>
        <v>&lt;ruby&gt;她们&lt;rt&gt;tāmen&lt;/rt&gt;&lt;/ruby&gt;</v>
      </c>
      <c r="E57" s="13" t="str">
        <f ca="1">IFERROR(__xludf.DUMMYFUNCTION("""COMPUTED_VALUE"""),"tāmen")</f>
        <v>tāmen</v>
      </c>
      <c r="F57" s="13" t="str">
        <f ca="1">IFERROR(__xludf.DUMMYFUNCTION("""COMPUTED_VALUE"""),"Đại từ ")</f>
        <v xml:space="preserve">Đại từ </v>
      </c>
      <c r="G57" s="13" t="str">
        <f ca="1">IFERROR(__xludf.DUMMYFUNCTION("""COMPUTED_VALUE"""),"Bọn họ, họ (dùng cho nữ)")</f>
        <v>Bọn họ, họ (dùng cho nữ)</v>
      </c>
      <c r="H57" s="13" t="str">
        <f ca="1">IFERROR(__xludf.DUMMYFUNCTION("""COMPUTED_VALUE"""),"她们是中国人。")</f>
        <v>她们是中国人。</v>
      </c>
      <c r="I57" s="13" t="str">
        <f ca="1">IFERROR(__xludf.DUMMYFUNCTION("""COMPUTED_VALUE"""),"Tāmen shì Zhōngguó rén.")</f>
        <v>Tāmen shì Zhōngguó rén.</v>
      </c>
      <c r="J57" s="13" t="str">
        <f ca="1">IFERROR(__xludf.DUMMYFUNCTION("""COMPUTED_VALUE"""),"Họ là người Trung Quốc.")</f>
        <v>Họ là người Trung Quốc.</v>
      </c>
      <c r="K57" s="13" t="str">
        <f ca="1">IFERROR(__xludf.DUMMYFUNCTION("""COMPUTED_VALUE"""),"H1_B5_BG-14.gif")</f>
        <v>H1_B5_BG-14.gif</v>
      </c>
      <c r="L57" s="13" t="str">
        <f ca="1">IFERROR(__xludf.DUMMYFUNCTION("""COMPUTED_VALUE"""),"H1_B5-14.mp3")</f>
        <v>H1_B5-14.mp3</v>
      </c>
      <c r="M57" s="13" t="str">
        <f ca="1">IFERROR(__xludf.DUMMYFUNCTION("""COMPUTED_VALUE"""),"H1_B5_VD_14.mp3")</f>
        <v>H1_B5_VD_14.mp3</v>
      </c>
    </row>
    <row r="58" spans="1:13">
      <c r="A58" s="13">
        <f ca="1">IFERROR(__xludf.DUMMYFUNCTION("""COMPUTED_VALUE"""),1)</f>
        <v>1</v>
      </c>
      <c r="B58" s="13"/>
      <c r="C58" s="13" t="str">
        <f ca="1">IFERROR(__xludf.DUMMYFUNCTION("""COMPUTED_VALUE"""),"书")</f>
        <v>书</v>
      </c>
      <c r="D58" s="13" t="str">
        <f ca="1">IFERROR(__xludf.DUMMYFUNCTION("""COMPUTED_VALUE"""),"&lt;ruby&gt;书&lt;rt&gt;shū&lt;/rt&gt;&lt;/ruby&gt;")</f>
        <v>&lt;ruby&gt;书&lt;rt&gt;shū&lt;/rt&gt;&lt;/ruby&gt;</v>
      </c>
      <c r="E58" s="13" t="str">
        <f ca="1">IFERROR(__xludf.DUMMYFUNCTION("""COMPUTED_VALUE"""),"shū")</f>
        <v>shū</v>
      </c>
      <c r="F58" s="13" t="str">
        <f ca="1">IFERROR(__xludf.DUMMYFUNCTION("""COMPUTED_VALUE"""),"Danh từ")</f>
        <v>Danh từ</v>
      </c>
      <c r="G58" s="13" t="str">
        <f ca="1">IFERROR(__xludf.DUMMYFUNCTION("""COMPUTED_VALUE"""),"Sách")</f>
        <v>Sách</v>
      </c>
      <c r="H58" s="13" t="str">
        <f ca="1">IFERROR(__xludf.DUMMYFUNCTION("""COMPUTED_VALUE"""),"这是他的书。")</f>
        <v>这是他的书。</v>
      </c>
      <c r="I58" s="13" t="str">
        <f ca="1">IFERROR(__xludf.DUMMYFUNCTION("""COMPUTED_VALUE"""),"Zhè shì tā de shū.")</f>
        <v>Zhè shì tā de shū.</v>
      </c>
      <c r="J58" s="13" t="str">
        <f ca="1">IFERROR(__xludf.DUMMYFUNCTION("""COMPUTED_VALUE"""),"Đây là sách của anh ấy.")</f>
        <v>Đây là sách của anh ấy.</v>
      </c>
      <c r="K58" s="13" t="str">
        <f ca="1">IFERROR(__xludf.DUMMYFUNCTION("""COMPUTED_VALUE"""),"H1_B6_BG-01.gif")</f>
        <v>H1_B6_BG-01.gif</v>
      </c>
      <c r="L58" s="13" t="str">
        <f ca="1">IFERROR(__xludf.DUMMYFUNCTION("""COMPUTED_VALUE"""),"H1_B6-01.mp3")</f>
        <v>H1_B6-01.mp3</v>
      </c>
      <c r="M58" s="13" t="str">
        <f ca="1">IFERROR(__xludf.DUMMYFUNCTION("""COMPUTED_VALUE"""),"H1_B6_VD_1.mp3")</f>
        <v>H1_B6_VD_1.mp3</v>
      </c>
    </row>
    <row r="59" spans="1:13">
      <c r="A59" s="13">
        <f ca="1">IFERROR(__xludf.DUMMYFUNCTION("""COMPUTED_VALUE"""),2)</f>
        <v>2</v>
      </c>
      <c r="B59" s="13"/>
      <c r="C59" s="13" t="str">
        <f ca="1">IFERROR(__xludf.DUMMYFUNCTION("""COMPUTED_VALUE"""),"学校")</f>
        <v>学校</v>
      </c>
      <c r="D59" s="13" t="str">
        <f ca="1">IFERROR(__xludf.DUMMYFUNCTION("""COMPUTED_VALUE"""),"&lt;ruby&gt;学校&lt;rt&gt;xuéxiào&lt;/rt&gt;&lt;/ruby&gt;")</f>
        <v>&lt;ruby&gt;学校&lt;rt&gt;xuéxiào&lt;/rt&gt;&lt;/ruby&gt;</v>
      </c>
      <c r="E59" s="13" t="str">
        <f ca="1">IFERROR(__xludf.DUMMYFUNCTION("""COMPUTED_VALUE"""),"xuéxiào")</f>
        <v>xuéxiào</v>
      </c>
      <c r="F59" s="13" t="str">
        <f ca="1">IFERROR(__xludf.DUMMYFUNCTION("""COMPUTED_VALUE"""),"Danh từ")</f>
        <v>Danh từ</v>
      </c>
      <c r="G59" s="13" t="str">
        <f ca="1">IFERROR(__xludf.DUMMYFUNCTION("""COMPUTED_VALUE"""),"Trường học")</f>
        <v>Trường học</v>
      </c>
      <c r="H59" s="13" t="str">
        <f ca="1">IFERROR(__xludf.DUMMYFUNCTION("""COMPUTED_VALUE"""),"你学校在哪？")</f>
        <v>你学校在哪？</v>
      </c>
      <c r="I59" s="13" t="str">
        <f ca="1">IFERROR(__xludf.DUMMYFUNCTION("""COMPUTED_VALUE"""),"Nǐ xuéxiào zài nǎr?")</f>
        <v>Nǐ xuéxiào zài nǎr?</v>
      </c>
      <c r="J59" s="13" t="str">
        <f ca="1">IFERROR(__xludf.DUMMYFUNCTION("""COMPUTED_VALUE"""),"Trường học của bạn ở đâu?")</f>
        <v>Trường học của bạn ở đâu?</v>
      </c>
      <c r="K59" s="13" t="str">
        <f ca="1">IFERROR(__xludf.DUMMYFUNCTION("""COMPUTED_VALUE"""),"H1_B6_BG-02.gif")</f>
        <v>H1_B6_BG-02.gif</v>
      </c>
      <c r="L59" s="13" t="str">
        <f ca="1">IFERROR(__xludf.DUMMYFUNCTION("""COMPUTED_VALUE"""),"H1_B6-02.mp3")</f>
        <v>H1_B6-02.mp3</v>
      </c>
      <c r="M59" s="13" t="str">
        <f ca="1">IFERROR(__xludf.DUMMYFUNCTION("""COMPUTED_VALUE"""),"H1_B6_VD_2.mp3")</f>
        <v>H1_B6_VD_2.mp3</v>
      </c>
    </row>
    <row r="60" spans="1:13">
      <c r="A60" s="13">
        <f ca="1">IFERROR(__xludf.DUMMYFUNCTION("""COMPUTED_VALUE"""),3)</f>
        <v>3</v>
      </c>
      <c r="B60" s="13"/>
      <c r="C60" s="13" t="str">
        <f ca="1">IFERROR(__xludf.DUMMYFUNCTION("""COMPUTED_VALUE"""),"看")</f>
        <v>看</v>
      </c>
      <c r="D60" s="13" t="str">
        <f ca="1">IFERROR(__xludf.DUMMYFUNCTION("""COMPUTED_VALUE"""),"&lt;ruby&gt;看&lt;rt&gt;kàn&lt;/rt&gt;&lt;/ruby&gt;")</f>
        <v>&lt;ruby&gt;看&lt;rt&gt;kàn&lt;/rt&gt;&lt;/ruby&gt;</v>
      </c>
      <c r="E60" s="13" t="str">
        <f ca="1">IFERROR(__xludf.DUMMYFUNCTION("""COMPUTED_VALUE"""),"kàn")</f>
        <v>kàn</v>
      </c>
      <c r="F60" s="13" t="str">
        <f ca="1">IFERROR(__xludf.DUMMYFUNCTION("""COMPUTED_VALUE"""),"Động từ")</f>
        <v>Động từ</v>
      </c>
      <c r="G60" s="13" t="str">
        <f ca="1">IFERROR(__xludf.DUMMYFUNCTION("""COMPUTED_VALUE"""),"Xem, nhìn")</f>
        <v>Xem, nhìn</v>
      </c>
      <c r="H60" s="13" t="str">
        <f ca="1">IFERROR(__xludf.DUMMYFUNCTION("""COMPUTED_VALUE"""),"我喜欢看电影。")</f>
        <v>我喜欢看电影。</v>
      </c>
      <c r="I60" s="13" t="str">
        <f ca="1">IFERROR(__xludf.DUMMYFUNCTION("""COMPUTED_VALUE"""),"Wǒ xǐhuan kàn diànyǐng.")</f>
        <v>Wǒ xǐhuan kàn diànyǐng.</v>
      </c>
      <c r="J60" s="13" t="str">
        <f ca="1">IFERROR(__xludf.DUMMYFUNCTION("""COMPUTED_VALUE"""),"Tôi thích xem phim.")</f>
        <v>Tôi thích xem phim.</v>
      </c>
      <c r="K60" s="13" t="str">
        <f ca="1">IFERROR(__xludf.DUMMYFUNCTION("""COMPUTED_VALUE"""),"H1_B6_BG-03.gif")</f>
        <v>H1_B6_BG-03.gif</v>
      </c>
      <c r="L60" s="13" t="str">
        <f ca="1">IFERROR(__xludf.DUMMYFUNCTION("""COMPUTED_VALUE"""),"H1_B6-03.mp3")</f>
        <v>H1_B6-03.mp3</v>
      </c>
      <c r="M60" s="13" t="str">
        <f ca="1">IFERROR(__xludf.DUMMYFUNCTION("""COMPUTED_VALUE"""),"H1_B6_VD_3.mp3")</f>
        <v>H1_B6_VD_3.mp3</v>
      </c>
    </row>
    <row r="61" spans="1:13">
      <c r="A61" s="13">
        <f ca="1">IFERROR(__xludf.DUMMYFUNCTION("""COMPUTED_VALUE"""),4)</f>
        <v>4</v>
      </c>
      <c r="B61" s="13"/>
      <c r="C61" s="13" t="str">
        <f ca="1">IFERROR(__xludf.DUMMYFUNCTION("""COMPUTED_VALUE"""),"请")</f>
        <v>请</v>
      </c>
      <c r="D61" s="13" t="str">
        <f ca="1">IFERROR(__xludf.DUMMYFUNCTION("""COMPUTED_VALUE"""),"&lt;ruby&gt;请&lt;rt&gt;qǐng&lt;/rt&gt;&lt;/ruby&gt;")</f>
        <v>&lt;ruby&gt;请&lt;rt&gt;qǐng&lt;/rt&gt;&lt;/ruby&gt;</v>
      </c>
      <c r="E61" s="13" t="str">
        <f ca="1">IFERROR(__xludf.DUMMYFUNCTION("""COMPUTED_VALUE"""),"qǐng")</f>
        <v>qǐng</v>
      </c>
      <c r="F61" s="13" t="str">
        <f ca="1">IFERROR(__xludf.DUMMYFUNCTION("""COMPUTED_VALUE"""),"Động từ")</f>
        <v>Động từ</v>
      </c>
      <c r="G61" s="13" t="str">
        <f ca="1">IFERROR(__xludf.DUMMYFUNCTION("""COMPUTED_VALUE"""),"Mời, xin mời")</f>
        <v>Mời, xin mời</v>
      </c>
      <c r="H61" s="13" t="str">
        <f ca="1">IFERROR(__xludf.DUMMYFUNCTION("""COMPUTED_VALUE"""),"请进。")</f>
        <v>请进。</v>
      </c>
      <c r="I61" s="13" t="str">
        <f ca="1">IFERROR(__xludf.DUMMYFUNCTION("""COMPUTED_VALUE"""),"Qǐng jìn.")</f>
        <v>Qǐng jìn.</v>
      </c>
      <c r="J61" s="13" t="str">
        <f ca="1">IFERROR(__xludf.DUMMYFUNCTION("""COMPUTED_VALUE"""),"Xin mời vào.")</f>
        <v>Xin mời vào.</v>
      </c>
      <c r="K61" s="13" t="str">
        <f ca="1">IFERROR(__xludf.DUMMYFUNCTION("""COMPUTED_VALUE"""),"H1_B6_BG-04.gif")</f>
        <v>H1_B6_BG-04.gif</v>
      </c>
      <c r="L61" s="13" t="str">
        <f ca="1">IFERROR(__xludf.DUMMYFUNCTION("""COMPUTED_VALUE"""),"H1_B6-04.mp3")</f>
        <v>H1_B6-04.mp3</v>
      </c>
      <c r="M61" s="13" t="str">
        <f ca="1">IFERROR(__xludf.DUMMYFUNCTION("""COMPUTED_VALUE"""),"H1_B6_VD_4.mp3")</f>
        <v>H1_B6_VD_4.mp3</v>
      </c>
    </row>
    <row r="62" spans="1:13">
      <c r="A62" s="13">
        <f ca="1">IFERROR(__xludf.DUMMYFUNCTION("""COMPUTED_VALUE"""),5)</f>
        <v>5</v>
      </c>
      <c r="B62" s="13"/>
      <c r="C62" s="13" t="str">
        <f ca="1">IFERROR(__xludf.DUMMYFUNCTION("""COMPUTED_VALUE"""),"问")</f>
        <v>问</v>
      </c>
      <c r="D62" s="13" t="str">
        <f ca="1">IFERROR(__xludf.DUMMYFUNCTION("""COMPUTED_VALUE"""),"&lt;ruby&gt;问&lt;rt&gt;wèn&lt;/rt&gt;&lt;/ruby&gt;")</f>
        <v>&lt;ruby&gt;问&lt;rt&gt;wèn&lt;/rt&gt;&lt;/ruby&gt;</v>
      </c>
      <c r="E62" s="13" t="str">
        <f ca="1">IFERROR(__xludf.DUMMYFUNCTION("""COMPUTED_VALUE"""),"wèn")</f>
        <v>wèn</v>
      </c>
      <c r="F62" s="13" t="str">
        <f ca="1">IFERROR(__xludf.DUMMYFUNCTION("""COMPUTED_VALUE"""),"Động từ")</f>
        <v>Động từ</v>
      </c>
      <c r="G62" s="13" t="str">
        <f ca="1">IFERROR(__xludf.DUMMYFUNCTION("""COMPUTED_VALUE"""),"Hỏi")</f>
        <v>Hỏi</v>
      </c>
      <c r="H62" s="13" t="str">
        <f ca="1">IFERROR(__xludf.DUMMYFUNCTION("""COMPUTED_VALUE"""),"请问你叫什么名字？")</f>
        <v>请问你叫什么名字？</v>
      </c>
      <c r="I62" s="13" t="str">
        <f ca="1">IFERROR(__xludf.DUMMYFUNCTION("""COMPUTED_VALUE"""),"Qǐngwèn nǐ jiào shénme míngzi?")</f>
        <v>Qǐngwèn nǐ jiào shénme míngzi?</v>
      </c>
      <c r="J62" s="13" t="str">
        <f ca="1">IFERROR(__xludf.DUMMYFUNCTION("""COMPUTED_VALUE"""),"Cho hỏi bạn tên gì?")</f>
        <v>Cho hỏi bạn tên gì?</v>
      </c>
      <c r="K62" s="13" t="str">
        <f ca="1">IFERROR(__xludf.DUMMYFUNCTION("""COMPUTED_VALUE"""),"H1_B6_BG-05.gif")</f>
        <v>H1_B6_BG-05.gif</v>
      </c>
      <c r="L62" s="13" t="str">
        <f ca="1">IFERROR(__xludf.DUMMYFUNCTION("""COMPUTED_VALUE"""),"H1_B6-05.mp3")</f>
        <v>H1_B6-05.mp3</v>
      </c>
      <c r="M62" s="13" t="str">
        <f ca="1">IFERROR(__xludf.DUMMYFUNCTION("""COMPUTED_VALUE"""),"H1_B6_VD_5.mp3")</f>
        <v>H1_B6_VD_5.mp3</v>
      </c>
    </row>
    <row r="63" spans="1:13">
      <c r="A63" s="13">
        <f ca="1">IFERROR(__xludf.DUMMYFUNCTION("""COMPUTED_VALUE"""),6)</f>
        <v>6</v>
      </c>
      <c r="B63" s="13"/>
      <c r="C63" s="13" t="str">
        <f ca="1">IFERROR(__xludf.DUMMYFUNCTION("""COMPUTED_VALUE"""),"今天")</f>
        <v>今天</v>
      </c>
      <c r="D63" s="13" t="str">
        <f ca="1">IFERROR(__xludf.DUMMYFUNCTION("""COMPUTED_VALUE"""),"&lt;ruby&gt;今天&lt;rt&gt;jīntiān&lt;/rt&gt;&lt;/ruby&gt;")</f>
        <v>&lt;ruby&gt;今天&lt;rt&gt;jīntiān&lt;/rt&gt;&lt;/ruby&gt;</v>
      </c>
      <c r="E63" s="13" t="str">
        <f ca="1">IFERROR(__xludf.DUMMYFUNCTION("""COMPUTED_VALUE"""),"jīntiān")</f>
        <v>jīntiān</v>
      </c>
      <c r="F63" s="13" t="str">
        <f ca="1">IFERROR(__xludf.DUMMYFUNCTION("""COMPUTED_VALUE"""),"Danh từ")</f>
        <v>Danh từ</v>
      </c>
      <c r="G63" s="13" t="str">
        <f ca="1">IFERROR(__xludf.DUMMYFUNCTION("""COMPUTED_VALUE"""),"Hôm nay")</f>
        <v>Hôm nay</v>
      </c>
      <c r="H63" s="13" t="str">
        <f ca="1">IFERROR(__xludf.DUMMYFUNCTION("""COMPUTED_VALUE"""),"今天我们去哪儿？")</f>
        <v>今天我们去哪儿？</v>
      </c>
      <c r="I63" s="13" t="str">
        <f ca="1">IFERROR(__xludf.DUMMYFUNCTION("""COMPUTED_VALUE"""),"Jīntiān wǒmen qù nǎr?")</f>
        <v>Jīntiān wǒmen qù nǎr?</v>
      </c>
      <c r="J63" s="13" t="str">
        <f ca="1">IFERROR(__xludf.DUMMYFUNCTION("""COMPUTED_VALUE"""),"Hôm nay chúng ta sẽ đi đâu?")</f>
        <v>Hôm nay chúng ta sẽ đi đâu?</v>
      </c>
      <c r="K63" s="13" t="str">
        <f ca="1">IFERROR(__xludf.DUMMYFUNCTION("""COMPUTED_VALUE"""),"H1_B6_BG-06.gif")</f>
        <v>H1_B6_BG-06.gif</v>
      </c>
      <c r="L63" s="13" t="str">
        <f ca="1">IFERROR(__xludf.DUMMYFUNCTION("""COMPUTED_VALUE"""),"H1_B6-06.mp3")</f>
        <v>H1_B6-06.mp3</v>
      </c>
      <c r="M63" s="13" t="str">
        <f ca="1">IFERROR(__xludf.DUMMYFUNCTION("""COMPUTED_VALUE"""),"H1_B6_VD_6.mp3")</f>
        <v>H1_B6_VD_6.mp3</v>
      </c>
    </row>
    <row r="64" spans="1:13">
      <c r="A64" s="13">
        <f ca="1">IFERROR(__xludf.DUMMYFUNCTION("""COMPUTED_VALUE"""),7)</f>
        <v>7</v>
      </c>
      <c r="B64" s="13"/>
      <c r="C64" s="13" t="str">
        <f ca="1">IFERROR(__xludf.DUMMYFUNCTION("""COMPUTED_VALUE"""),"明天")</f>
        <v>明天</v>
      </c>
      <c r="D64" s="13" t="str">
        <f ca="1">IFERROR(__xludf.DUMMYFUNCTION("""COMPUTED_VALUE"""),"&lt;ruby&gt;明天&lt;rt&gt;míngtiān&lt;/rt&gt;&lt;/ruby&gt;")</f>
        <v>&lt;ruby&gt;明天&lt;rt&gt;míngtiān&lt;/rt&gt;&lt;/ruby&gt;</v>
      </c>
      <c r="E64" s="13" t="str">
        <f ca="1">IFERROR(__xludf.DUMMYFUNCTION("""COMPUTED_VALUE"""),"míngtiān")</f>
        <v>míngtiān</v>
      </c>
      <c r="F64" s="13" t="str">
        <f ca="1">IFERROR(__xludf.DUMMYFUNCTION("""COMPUTED_VALUE"""),"Danh từ")</f>
        <v>Danh từ</v>
      </c>
      <c r="G64" s="13" t="str">
        <f ca="1">IFERROR(__xludf.DUMMYFUNCTION("""COMPUTED_VALUE"""),"Ngày mai")</f>
        <v>Ngày mai</v>
      </c>
      <c r="H64" s="13" t="str">
        <f ca="1">IFERROR(__xludf.DUMMYFUNCTION("""COMPUTED_VALUE"""),"明天我要上课。")</f>
        <v>明天我要上课。</v>
      </c>
      <c r="I64" s="13" t="str">
        <f ca="1">IFERROR(__xludf.DUMMYFUNCTION("""COMPUTED_VALUE"""),"Míngtiān wǒ yào shàngkè.")</f>
        <v>Míngtiān wǒ yào shàngkè.</v>
      </c>
      <c r="J64" s="13" t="str">
        <f ca="1">IFERROR(__xludf.DUMMYFUNCTION("""COMPUTED_VALUE"""),"Ngày mai tôi phải đi học.")</f>
        <v>Ngày mai tôi phải đi học.</v>
      </c>
      <c r="K64" s="13" t="str">
        <f ca="1">IFERROR(__xludf.DUMMYFUNCTION("""COMPUTED_VALUE"""),"H1_B6_BG-07.gif")</f>
        <v>H1_B6_BG-07.gif</v>
      </c>
      <c r="L64" s="13" t="str">
        <f ca="1">IFERROR(__xludf.DUMMYFUNCTION("""COMPUTED_VALUE"""),"H1_B6-07.mp3")</f>
        <v>H1_B6-07.mp3</v>
      </c>
      <c r="M64" s="13" t="str">
        <f ca="1">IFERROR(__xludf.DUMMYFUNCTION("""COMPUTED_VALUE"""),"H1_B6_VD_7.mp3")</f>
        <v>H1_B6_VD_7.mp3</v>
      </c>
    </row>
    <row r="65" spans="1:13">
      <c r="A65" s="13">
        <f ca="1">IFERROR(__xludf.DUMMYFUNCTION("""COMPUTED_VALUE"""),8)</f>
        <v>8</v>
      </c>
      <c r="B65" s="13"/>
      <c r="C65" s="13" t="str">
        <f ca="1">IFERROR(__xludf.DUMMYFUNCTION("""COMPUTED_VALUE"""),"昨天")</f>
        <v>昨天</v>
      </c>
      <c r="D65" s="13" t="str">
        <f ca="1">IFERROR(__xludf.DUMMYFUNCTION("""COMPUTED_VALUE"""),"&lt;ruby&gt;昨天&lt;rt&gt;zuótiān&lt;/rt&gt;&lt;/ruby&gt;")</f>
        <v>&lt;ruby&gt;昨天&lt;rt&gt;zuótiān&lt;/rt&gt;&lt;/ruby&gt;</v>
      </c>
      <c r="E65" s="13" t="str">
        <f ca="1">IFERROR(__xludf.DUMMYFUNCTION("""COMPUTED_VALUE"""),"zuótiān")</f>
        <v>zuótiān</v>
      </c>
      <c r="F65" s="13" t="str">
        <f ca="1">IFERROR(__xludf.DUMMYFUNCTION("""COMPUTED_VALUE"""),"Danh từ")</f>
        <v>Danh từ</v>
      </c>
      <c r="G65" s="13" t="str">
        <f ca="1">IFERROR(__xludf.DUMMYFUNCTION("""COMPUTED_VALUE"""),"Hôm qua")</f>
        <v>Hôm qua</v>
      </c>
      <c r="H65" s="13" t="str">
        <f ca="1">IFERROR(__xludf.DUMMYFUNCTION("""COMPUTED_VALUE"""),"昨天，我种了一棵小树。")</f>
        <v>昨天，我种了一棵小树。</v>
      </c>
      <c r="I65" s="13" t="str">
        <f ca="1">IFERROR(__xludf.DUMMYFUNCTION("""COMPUTED_VALUE"""),"Zuótiān, wǒ zhòng le yì kē xiǎo shù.")</f>
        <v>Zuótiān, wǒ zhòng le yì kē xiǎo shù.</v>
      </c>
      <c r="J65" s="13" t="str">
        <f ca="1">IFERROR(__xludf.DUMMYFUNCTION("""COMPUTED_VALUE"""),"Hôm qua, tôi đã trồng một cây nhỏ.")</f>
        <v>Hôm qua, tôi đã trồng một cây nhỏ.</v>
      </c>
      <c r="K65" s="13" t="str">
        <f ca="1">IFERROR(__xludf.DUMMYFUNCTION("""COMPUTED_VALUE"""),"H1_B6_BG-08.gif")</f>
        <v>H1_B6_BG-08.gif</v>
      </c>
      <c r="L65" s="13" t="str">
        <f ca="1">IFERROR(__xludf.DUMMYFUNCTION("""COMPUTED_VALUE"""),"H1_B6-08.mp3")</f>
        <v>H1_B6-08.mp3</v>
      </c>
      <c r="M65" s="13" t="str">
        <f ca="1">IFERROR(__xludf.DUMMYFUNCTION("""COMPUTED_VALUE"""),"H1_B6_VD_8.mp3")</f>
        <v>H1_B6_VD_8.mp3</v>
      </c>
    </row>
    <row r="66" spans="1:13">
      <c r="A66" s="13">
        <f ca="1">IFERROR(__xludf.DUMMYFUNCTION("""COMPUTED_VALUE"""),9)</f>
        <v>9</v>
      </c>
      <c r="B66" s="13"/>
      <c r="C66" s="13" t="str">
        <f ca="1">IFERROR(__xludf.DUMMYFUNCTION("""COMPUTED_VALUE"""),"星期")</f>
        <v>星期</v>
      </c>
      <c r="D66" s="13" t="str">
        <f ca="1">IFERROR(__xludf.DUMMYFUNCTION("""COMPUTED_VALUE"""),"&lt;ruby&gt;星期&lt;rt&gt;xīngqī&lt;/rt&gt;&lt;/ruby&gt;")</f>
        <v>&lt;ruby&gt;星期&lt;rt&gt;xīngqī&lt;/rt&gt;&lt;/ruby&gt;</v>
      </c>
      <c r="E66" s="13" t="str">
        <f ca="1">IFERROR(__xludf.DUMMYFUNCTION("""COMPUTED_VALUE"""),"xīngqī")</f>
        <v>xīngqī</v>
      </c>
      <c r="F66" s="13" t="str">
        <f ca="1">IFERROR(__xludf.DUMMYFUNCTION("""COMPUTED_VALUE"""),"Danh từ")</f>
        <v>Danh từ</v>
      </c>
      <c r="G66" s="13" t="str">
        <f ca="1">IFERROR(__xludf.DUMMYFUNCTION("""COMPUTED_VALUE"""),"Tuần, thứ")</f>
        <v>Tuần, thứ</v>
      </c>
      <c r="H66" s="13" t="str">
        <f ca="1">IFERROR(__xludf.DUMMYFUNCTION("""COMPUTED_VALUE"""),"星期六，我会回家看外公。")</f>
        <v>星期六，我会回家看外公。</v>
      </c>
      <c r="I66" s="13" t="str">
        <f ca="1">IFERROR(__xludf.DUMMYFUNCTION("""COMPUTED_VALUE"""),"Xīngqīliù, wǒ huì huí jiā kàn wàigōng.")</f>
        <v>Xīngqīliù, wǒ huì huí jiā kàn wàigōng.</v>
      </c>
      <c r="J66" s="13" t="str">
        <f ca="1">IFERROR(__xludf.DUMMYFUNCTION("""COMPUTED_VALUE"""),"Thứ bảy, tôi sẽ về nhà thăm ông ngoại.")</f>
        <v>Thứ bảy, tôi sẽ về nhà thăm ông ngoại.</v>
      </c>
      <c r="K66" s="13" t="str">
        <f ca="1">IFERROR(__xludf.DUMMYFUNCTION("""COMPUTED_VALUE"""),"H1_B6_BG-09.gif")</f>
        <v>H1_B6_BG-09.gif</v>
      </c>
      <c r="L66" s="13" t="str">
        <f ca="1">IFERROR(__xludf.DUMMYFUNCTION("""COMPUTED_VALUE"""),"H1_B6-09.mp3")</f>
        <v>H1_B6-09.mp3</v>
      </c>
      <c r="M66" s="13" t="str">
        <f ca="1">IFERROR(__xludf.DUMMYFUNCTION("""COMPUTED_VALUE"""),"H1_B6_VD_9.mp3")</f>
        <v>H1_B6_VD_9.mp3</v>
      </c>
    </row>
    <row r="67" spans="1:13">
      <c r="A67" s="13">
        <f ca="1">IFERROR(__xludf.DUMMYFUNCTION("""COMPUTED_VALUE"""),10)</f>
        <v>10</v>
      </c>
      <c r="B67" s="13"/>
      <c r="C67" s="13" t="str">
        <f ca="1">IFERROR(__xludf.DUMMYFUNCTION("""COMPUTED_VALUE"""),"月")</f>
        <v>月</v>
      </c>
      <c r="D67" s="13" t="str">
        <f ca="1">IFERROR(__xludf.DUMMYFUNCTION("""COMPUTED_VALUE"""),"&lt;ruby&gt;月&lt;rt&gt;yuè&lt;/rt&gt;&lt;/ruby&gt;")</f>
        <v>&lt;ruby&gt;月&lt;rt&gt;yuè&lt;/rt&gt;&lt;/ruby&gt;</v>
      </c>
      <c r="E67" s="13" t="str">
        <f ca="1">IFERROR(__xludf.DUMMYFUNCTION("""COMPUTED_VALUE"""),"yuè")</f>
        <v>yuè</v>
      </c>
      <c r="F67" s="13" t="str">
        <f ca="1">IFERROR(__xludf.DUMMYFUNCTION("""COMPUTED_VALUE"""),"Danh từ")</f>
        <v>Danh từ</v>
      </c>
      <c r="G67" s="13" t="str">
        <f ca="1">IFERROR(__xludf.DUMMYFUNCTION("""COMPUTED_VALUE"""),"Tháng")</f>
        <v>Tháng</v>
      </c>
      <c r="H67" s="13" t="str">
        <f ca="1">IFERROR(__xludf.DUMMYFUNCTION("""COMPUTED_VALUE"""),"今天几月几号？")</f>
        <v>今天几月几号？</v>
      </c>
      <c r="I67" s="13" t="str">
        <f ca="1">IFERROR(__xludf.DUMMYFUNCTION("""COMPUTED_VALUE"""),"Jīntiān jǐ yuè jǐ hào?")</f>
        <v>Jīntiān jǐ yuè jǐ hào?</v>
      </c>
      <c r="J67" s="13" t="str">
        <f ca="1">IFERROR(__xludf.DUMMYFUNCTION("""COMPUTED_VALUE"""),"Hôm nay là ngày mấy tháng mấy?")</f>
        <v>Hôm nay là ngày mấy tháng mấy?</v>
      </c>
      <c r="K67" s="13" t="str">
        <f ca="1">IFERROR(__xludf.DUMMYFUNCTION("""COMPUTED_VALUE"""),"H1_B6_BG-10.gif")</f>
        <v>H1_B6_BG-10.gif</v>
      </c>
      <c r="L67" s="13" t="str">
        <f ca="1">IFERROR(__xludf.DUMMYFUNCTION("""COMPUTED_VALUE"""),"H1_B6-10.mp3")</f>
        <v>H1_B6-10.mp3</v>
      </c>
      <c r="M67" s="13" t="str">
        <f ca="1">IFERROR(__xludf.DUMMYFUNCTION("""COMPUTED_VALUE"""),"H1_B6_VD_10.mp3")</f>
        <v>H1_B6_VD_10.mp3</v>
      </c>
    </row>
    <row r="68" spans="1:13">
      <c r="A68" s="13">
        <f ca="1">IFERROR(__xludf.DUMMYFUNCTION("""COMPUTED_VALUE"""),11)</f>
        <v>11</v>
      </c>
      <c r="B68" s="13"/>
      <c r="C68" s="13" t="str">
        <f ca="1">IFERROR(__xludf.DUMMYFUNCTION("""COMPUTED_VALUE"""),"去")</f>
        <v>去</v>
      </c>
      <c r="D68" s="13" t="str">
        <f ca="1">IFERROR(__xludf.DUMMYFUNCTION("""COMPUTED_VALUE"""),"&lt;ruby&gt;去&lt;rt&gt;qù&lt;/rt&gt;&lt;/ruby&gt;")</f>
        <v>&lt;ruby&gt;去&lt;rt&gt;qù&lt;/rt&gt;&lt;/ruby&gt;</v>
      </c>
      <c r="E68" s="13" t="str">
        <f ca="1">IFERROR(__xludf.DUMMYFUNCTION("""COMPUTED_VALUE"""),"qù")</f>
        <v>qù</v>
      </c>
      <c r="F68" s="13" t="str">
        <f ca="1">IFERROR(__xludf.DUMMYFUNCTION("""COMPUTED_VALUE"""),"Động từ")</f>
        <v>Động từ</v>
      </c>
      <c r="G68" s="13" t="str">
        <f ca="1">IFERROR(__xludf.DUMMYFUNCTION("""COMPUTED_VALUE"""),"Đi, đi đến ")</f>
        <v xml:space="preserve">Đi, đi đến </v>
      </c>
      <c r="H68" s="13" t="str">
        <f ca="1">IFERROR(__xludf.DUMMYFUNCTION("""COMPUTED_VALUE"""),"你去哪儿？")</f>
        <v>你去哪儿？</v>
      </c>
      <c r="I68" s="13" t="str">
        <f ca="1">IFERROR(__xludf.DUMMYFUNCTION("""COMPUTED_VALUE"""),"Nǐ qù nǎr?")</f>
        <v>Nǐ qù nǎr?</v>
      </c>
      <c r="J68" s="13" t="str">
        <f ca="1">IFERROR(__xludf.DUMMYFUNCTION("""COMPUTED_VALUE"""),"Bạn đi đâu vậy?")</f>
        <v>Bạn đi đâu vậy?</v>
      </c>
      <c r="K68" s="13" t="str">
        <f ca="1">IFERROR(__xludf.DUMMYFUNCTION("""COMPUTED_VALUE"""),"H1_B6_BG-11.gif")</f>
        <v>H1_B6_BG-11.gif</v>
      </c>
      <c r="L68" s="13" t="str">
        <f ca="1">IFERROR(__xludf.DUMMYFUNCTION("""COMPUTED_VALUE"""),"H1_B6-11.mp3")</f>
        <v>H1_B6-11.mp3</v>
      </c>
      <c r="M68" s="13" t="str">
        <f ca="1">IFERROR(__xludf.DUMMYFUNCTION("""COMPUTED_VALUE"""),"H1_B6_VD_11.mp3")</f>
        <v>H1_B6_VD_11.mp3</v>
      </c>
    </row>
    <row r="69" spans="1:13">
      <c r="A69" s="13">
        <f ca="1">IFERROR(__xludf.DUMMYFUNCTION("""COMPUTED_VALUE"""),12)</f>
        <v>12</v>
      </c>
      <c r="B69" s="13"/>
      <c r="C69" s="13" t="str">
        <f ca="1">IFERROR(__xludf.DUMMYFUNCTION("""COMPUTED_VALUE"""),"号")</f>
        <v>号</v>
      </c>
      <c r="D69" s="13" t="str">
        <f ca="1">IFERROR(__xludf.DUMMYFUNCTION("""COMPUTED_VALUE"""),"&lt;ruby&gt;号&lt;rt&gt;hào&lt;/rt&gt;&lt;/ruby&gt;")</f>
        <v>&lt;ruby&gt;号&lt;rt&gt;hào&lt;/rt&gt;&lt;/ruby&gt;</v>
      </c>
      <c r="E69" s="13" t="str">
        <f ca="1">IFERROR(__xludf.DUMMYFUNCTION("""COMPUTED_VALUE"""),"hào")</f>
        <v>hào</v>
      </c>
      <c r="F69" s="13" t="str">
        <f ca="1">IFERROR(__xludf.DUMMYFUNCTION("""COMPUTED_VALUE"""),"Danh từ")</f>
        <v>Danh từ</v>
      </c>
      <c r="G69" s="13" t="str">
        <f ca="1">IFERROR(__xludf.DUMMYFUNCTION("""COMPUTED_VALUE"""),"Ngày, số")</f>
        <v>Ngày, số</v>
      </c>
      <c r="H69" s="13" t="str">
        <f ca="1">IFERROR(__xludf.DUMMYFUNCTION("""COMPUTED_VALUE"""),"明天几月几号？")</f>
        <v>明天几月几号？</v>
      </c>
      <c r="I69" s="13" t="str">
        <f ca="1">IFERROR(__xludf.DUMMYFUNCTION("""COMPUTED_VALUE"""),"Míngtiān jǐ yuè jǐ hào?")</f>
        <v>Míngtiān jǐ yuè jǐ hào?</v>
      </c>
      <c r="J69" s="13" t="str">
        <f ca="1">IFERROR(__xludf.DUMMYFUNCTION("""COMPUTED_VALUE"""),"Ngày mai là ngày mấy tháng mấy?")</f>
        <v>Ngày mai là ngày mấy tháng mấy?</v>
      </c>
      <c r="K69" s="13" t="str">
        <f ca="1">IFERROR(__xludf.DUMMYFUNCTION("""COMPUTED_VALUE"""),"H1_B6_BG-12.gif")</f>
        <v>H1_B6_BG-12.gif</v>
      </c>
      <c r="L69" s="13" t="str">
        <f ca="1">IFERROR(__xludf.DUMMYFUNCTION("""COMPUTED_VALUE"""),"H1_B6-12.mp3")</f>
        <v>H1_B6-12.mp3</v>
      </c>
      <c r="M69" s="13" t="str">
        <f ca="1">IFERROR(__xludf.DUMMYFUNCTION("""COMPUTED_VALUE"""),"H1_B6_VD_12.mp3")</f>
        <v>H1_B6_VD_12.mp3</v>
      </c>
    </row>
    <row r="70" spans="1:13">
      <c r="A70" s="13">
        <f ca="1">IFERROR(__xludf.DUMMYFUNCTION("""COMPUTED_VALUE"""),1)</f>
        <v>1</v>
      </c>
      <c r="B70" s="13"/>
      <c r="C70" s="13" t="str">
        <f ca="1">IFERROR(__xludf.DUMMYFUNCTION("""COMPUTED_VALUE"""),"下午")</f>
        <v>下午</v>
      </c>
      <c r="D70" s="13" t="str">
        <f ca="1">IFERROR(__xludf.DUMMYFUNCTION("""COMPUTED_VALUE"""),"&lt;ruby&gt;下午&lt;rt&gt;xià wǔ&lt;/rt&gt;&lt;/ruby&gt;")</f>
        <v>&lt;ruby&gt;下午&lt;rt&gt;xià wǔ&lt;/rt&gt;&lt;/ruby&gt;</v>
      </c>
      <c r="E70" s="13" t="str">
        <f ca="1">IFERROR(__xludf.DUMMYFUNCTION("""COMPUTED_VALUE"""),"xià wǔ")</f>
        <v>xià wǔ</v>
      </c>
      <c r="F70" s="13" t="str">
        <f ca="1">IFERROR(__xludf.DUMMYFUNCTION("""COMPUTED_VALUE"""),"Danh từ")</f>
        <v>Danh từ</v>
      </c>
      <c r="G70" s="13" t="str">
        <f ca="1">IFERROR(__xludf.DUMMYFUNCTION("""COMPUTED_VALUE"""),"Buổi chiều")</f>
        <v>Buổi chiều</v>
      </c>
      <c r="H70" s="13" t="str">
        <f ca="1">IFERROR(__xludf.DUMMYFUNCTION("""COMPUTED_VALUE"""),"下午的风景很美。")</f>
        <v>下午的风景很美。</v>
      </c>
      <c r="I70" s="13" t="str">
        <f ca="1">IFERROR(__xludf.DUMMYFUNCTION("""COMPUTED_VALUE"""),"Xiàwǔ de fēngjǐng hěn měi.")</f>
        <v>Xiàwǔ de fēngjǐng hěn měi.</v>
      </c>
      <c r="J70" s="13" t="str">
        <f ca="1">IFERROR(__xludf.DUMMYFUNCTION("""COMPUTED_VALUE"""),"Cảnh sắc buổi chiều rất đẹp.")</f>
        <v>Cảnh sắc buổi chiều rất đẹp.</v>
      </c>
      <c r="K70" s="13" t="str">
        <f ca="1">IFERROR(__xludf.DUMMYFUNCTION("""COMPUTED_VALUE"""),"H1_B7_BG-01.gif")</f>
        <v>H1_B7_BG-01.gif</v>
      </c>
      <c r="L70" s="13" t="str">
        <f ca="1">IFERROR(__xludf.DUMMYFUNCTION("""COMPUTED_VALUE"""),"H1_B7-01.mp3")</f>
        <v>H1_B7-01.mp3</v>
      </c>
      <c r="M70" s="13" t="str">
        <f ca="1">IFERROR(__xludf.DUMMYFUNCTION("""COMPUTED_VALUE"""),"H1_B7_VD_1.mp3")</f>
        <v>H1_B7_VD_1.mp3</v>
      </c>
    </row>
    <row r="71" spans="1:13">
      <c r="A71" s="13">
        <f ca="1">IFERROR(__xludf.DUMMYFUNCTION("""COMPUTED_VALUE"""),2)</f>
        <v>2</v>
      </c>
      <c r="B71" s="13"/>
      <c r="C71" s="13" t="str">
        <f ca="1">IFERROR(__xludf.DUMMYFUNCTION("""COMPUTED_VALUE"""),"个")</f>
        <v>个</v>
      </c>
      <c r="D71" s="13" t="str">
        <f ca="1">IFERROR(__xludf.DUMMYFUNCTION("""COMPUTED_VALUE"""),"&lt;ruby&gt;个&lt;rt&gt;gè&lt;/rt&gt;&lt;/ruby&gt;")</f>
        <v>&lt;ruby&gt;个&lt;rt&gt;gè&lt;/rt&gt;&lt;/ruby&gt;</v>
      </c>
      <c r="E71" s="13" t="str">
        <f ca="1">IFERROR(__xludf.DUMMYFUNCTION("""COMPUTED_VALUE"""),"gè")</f>
        <v>gè</v>
      </c>
      <c r="F71" s="13" t="str">
        <f ca="1">IFERROR(__xludf.DUMMYFUNCTION("""COMPUTED_VALUE"""),"Lượng từ")</f>
        <v>Lượng từ</v>
      </c>
      <c r="G71" s="13" t="str">
        <f ca="1">IFERROR(__xludf.DUMMYFUNCTION("""COMPUTED_VALUE"""),"Cái (đơn vị)")</f>
        <v>Cái (đơn vị)</v>
      </c>
      <c r="H71" s="13" t="str">
        <f ca="1">IFERROR(__xludf.DUMMYFUNCTION("""COMPUTED_VALUE"""),"我买了一个芒果。")</f>
        <v>我买了一个芒果。</v>
      </c>
      <c r="I71" s="13" t="str">
        <f ca="1">IFERROR(__xludf.DUMMYFUNCTION("""COMPUTED_VALUE"""),"Wǒ mǎi le yí ge mángguǒ.")</f>
        <v>Wǒ mǎi le yí ge mángguǒ.</v>
      </c>
      <c r="J71" s="13" t="str">
        <f ca="1">IFERROR(__xludf.DUMMYFUNCTION("""COMPUTED_VALUE"""),"Tôi đã mua một quả xoài.")</f>
        <v>Tôi đã mua một quả xoài.</v>
      </c>
      <c r="K71" s="13" t="str">
        <f ca="1">IFERROR(__xludf.DUMMYFUNCTION("""COMPUTED_VALUE"""),"H1_B7_BG-02.gif")</f>
        <v>H1_B7_BG-02.gif</v>
      </c>
      <c r="L71" s="13" t="str">
        <f ca="1">IFERROR(__xludf.DUMMYFUNCTION("""COMPUTED_VALUE"""),"H1_B7-02.mp3")</f>
        <v>H1_B7-02.mp3</v>
      </c>
      <c r="M71" s="13" t="str">
        <f ca="1">IFERROR(__xludf.DUMMYFUNCTION("""COMPUTED_VALUE"""),"H1_B7_VD_2.mp3")</f>
        <v>H1_B7_VD_2.mp3</v>
      </c>
    </row>
    <row r="72" spans="1:13">
      <c r="A72" s="13">
        <f ca="1">IFERROR(__xludf.DUMMYFUNCTION("""COMPUTED_VALUE"""),3)</f>
        <v>3</v>
      </c>
      <c r="B72" s="13"/>
      <c r="C72" s="13" t="str">
        <f ca="1">IFERROR(__xludf.DUMMYFUNCTION("""COMPUTED_VALUE"""),"买")</f>
        <v>买</v>
      </c>
      <c r="D72" s="13" t="str">
        <f ca="1">IFERROR(__xludf.DUMMYFUNCTION("""COMPUTED_VALUE"""),"&lt;ruby&gt;买&lt;rt&gt;mǎi&lt;/rt&gt;&lt;/ruby&gt;")</f>
        <v>&lt;ruby&gt;买&lt;rt&gt;mǎi&lt;/rt&gt;&lt;/ruby&gt;</v>
      </c>
      <c r="E72" s="13" t="str">
        <f ca="1">IFERROR(__xludf.DUMMYFUNCTION("""COMPUTED_VALUE"""),"mǎi")</f>
        <v>mǎi</v>
      </c>
      <c r="F72" s="13" t="str">
        <f ca="1">IFERROR(__xludf.DUMMYFUNCTION("""COMPUTED_VALUE"""),"Động từ")</f>
        <v>Động từ</v>
      </c>
      <c r="G72" s="13" t="str">
        <f ca="1">IFERROR(__xludf.DUMMYFUNCTION("""COMPUTED_VALUE"""),"Mua")</f>
        <v>Mua</v>
      </c>
      <c r="H72" s="13" t="str">
        <f ca="1">IFERROR(__xludf.DUMMYFUNCTION("""COMPUTED_VALUE"""),"她买饮料。")</f>
        <v>她买饮料。</v>
      </c>
      <c r="I72" s="13" t="str">
        <f ca="1">IFERROR(__xludf.DUMMYFUNCTION("""COMPUTED_VALUE"""),"Tā mǎi yǐnliào.")</f>
        <v>Tā mǎi yǐnliào.</v>
      </c>
      <c r="J72" s="13" t="str">
        <f ca="1">IFERROR(__xludf.DUMMYFUNCTION("""COMPUTED_VALUE"""),"Cô ấy mua đồ uống.")</f>
        <v>Cô ấy mua đồ uống.</v>
      </c>
      <c r="K72" s="13" t="str">
        <f ca="1">IFERROR(__xludf.DUMMYFUNCTION("""COMPUTED_VALUE"""),"H1_B7_BG-03.gif")</f>
        <v>H1_B7_BG-03.gif</v>
      </c>
      <c r="L72" s="13" t="str">
        <f ca="1">IFERROR(__xludf.DUMMYFUNCTION("""COMPUTED_VALUE"""),"H1_B7-03.mp3")</f>
        <v>H1_B7-03.mp3</v>
      </c>
      <c r="M72" s="13" t="str">
        <f ca="1">IFERROR(__xludf.DUMMYFUNCTION("""COMPUTED_VALUE"""),"H1_B7_VD_3.mp3")</f>
        <v>H1_B7_VD_3.mp3</v>
      </c>
    </row>
    <row r="73" spans="1:13">
      <c r="A73" s="13">
        <f ca="1">IFERROR(__xludf.DUMMYFUNCTION("""COMPUTED_VALUE"""),4)</f>
        <v>4</v>
      </c>
      <c r="B73" s="13"/>
      <c r="C73" s="13" t="str">
        <f ca="1">IFERROR(__xludf.DUMMYFUNCTION("""COMPUTED_VALUE"""),"吃")</f>
        <v>吃</v>
      </c>
      <c r="D73" s="13" t="str">
        <f ca="1">IFERROR(__xludf.DUMMYFUNCTION("""COMPUTED_VALUE"""),"&lt;ruby&gt;吃&lt;rt&gt;chī&lt;/rt&gt;&lt;/ruby&gt;")</f>
        <v>&lt;ruby&gt;吃&lt;rt&gt;chī&lt;/rt&gt;&lt;/ruby&gt;</v>
      </c>
      <c r="E73" s="13" t="str">
        <f ca="1">IFERROR(__xludf.DUMMYFUNCTION("""COMPUTED_VALUE"""),"chī")</f>
        <v>chī</v>
      </c>
      <c r="F73" s="13" t="str">
        <f ca="1">IFERROR(__xludf.DUMMYFUNCTION("""COMPUTED_VALUE"""),"Động từ")</f>
        <v>Động từ</v>
      </c>
      <c r="G73" s="13" t="str">
        <f ca="1">IFERROR(__xludf.DUMMYFUNCTION("""COMPUTED_VALUE"""),"Ăn")</f>
        <v>Ăn</v>
      </c>
      <c r="H73" s="13" t="str">
        <f ca="1">IFERROR(__xludf.DUMMYFUNCTION("""COMPUTED_VALUE"""),"你想吃什么？")</f>
        <v>你想吃什么？</v>
      </c>
      <c r="I73" s="13" t="str">
        <f ca="1">IFERROR(__xludf.DUMMYFUNCTION("""COMPUTED_VALUE"""),"Nǐ xiǎng chī shénme?")</f>
        <v>Nǐ xiǎng chī shénme?</v>
      </c>
      <c r="J73" s="13" t="str">
        <f ca="1">IFERROR(__xludf.DUMMYFUNCTION("""COMPUTED_VALUE"""),"Bạn muốn ăn gì?")</f>
        <v>Bạn muốn ăn gì?</v>
      </c>
      <c r="K73" s="13" t="str">
        <f ca="1">IFERROR(__xludf.DUMMYFUNCTION("""COMPUTED_VALUE"""),"H1_B7_BG-04.gif")</f>
        <v>H1_B7_BG-04.gif</v>
      </c>
      <c r="L73" s="13" t="str">
        <f ca="1">IFERROR(__xludf.DUMMYFUNCTION("""COMPUTED_VALUE"""),"H1_B7-04.mp3")</f>
        <v>H1_B7-04.mp3</v>
      </c>
      <c r="M73" s="13" t="str">
        <f ca="1">IFERROR(__xludf.DUMMYFUNCTION("""COMPUTED_VALUE"""),"H1_B7_VD_4.mp3")</f>
        <v>H1_B7_VD_4.mp3</v>
      </c>
    </row>
    <row r="74" spans="1:13">
      <c r="A74" s="13">
        <f ca="1">IFERROR(__xludf.DUMMYFUNCTION("""COMPUTED_VALUE"""),5)</f>
        <v>5</v>
      </c>
      <c r="B74" s="13"/>
      <c r="C74" s="13" t="str">
        <f ca="1">IFERROR(__xludf.DUMMYFUNCTION("""COMPUTED_VALUE"""),"喝")</f>
        <v>喝</v>
      </c>
      <c r="D74" s="13" t="str">
        <f ca="1">IFERROR(__xludf.DUMMYFUNCTION("""COMPUTED_VALUE"""),"&lt;ruby&gt;喝&lt;rt&gt;hē&lt;/rt&gt;&lt;/ruby&gt;")</f>
        <v>&lt;ruby&gt;喝&lt;rt&gt;hē&lt;/rt&gt;&lt;/ruby&gt;</v>
      </c>
      <c r="E74" s="13" t="str">
        <f ca="1">IFERROR(__xludf.DUMMYFUNCTION("""COMPUTED_VALUE"""),"hē")</f>
        <v>hē</v>
      </c>
      <c r="F74" s="13" t="str">
        <f ca="1">IFERROR(__xludf.DUMMYFUNCTION("""COMPUTED_VALUE"""),"Động từ")</f>
        <v>Động từ</v>
      </c>
      <c r="G74" s="13" t="str">
        <f ca="1">IFERROR(__xludf.DUMMYFUNCTION("""COMPUTED_VALUE"""),"Uống")</f>
        <v>Uống</v>
      </c>
      <c r="H74" s="13" t="str">
        <f ca="1">IFERROR(__xludf.DUMMYFUNCTION("""COMPUTED_VALUE"""),"你想喝什么？")</f>
        <v>你想喝什么？</v>
      </c>
      <c r="I74" s="13" t="str">
        <f ca="1">IFERROR(__xludf.DUMMYFUNCTION("""COMPUTED_VALUE"""),"Nǐ xiǎng hē shénme?")</f>
        <v>Nǐ xiǎng hē shénme?</v>
      </c>
      <c r="J74" s="13" t="str">
        <f ca="1">IFERROR(__xludf.DUMMYFUNCTION("""COMPUTED_VALUE"""),"Bạn muốn uống gì?")</f>
        <v>Bạn muốn uống gì?</v>
      </c>
      <c r="K74" s="13" t="str">
        <f ca="1">IFERROR(__xludf.DUMMYFUNCTION("""COMPUTED_VALUE"""),"H1_B7_BG-05.gif")</f>
        <v>H1_B7_BG-05.gif</v>
      </c>
      <c r="L74" s="13" t="str">
        <f ca="1">IFERROR(__xludf.DUMMYFUNCTION("""COMPUTED_VALUE"""),"H1_B7-05.mp3")</f>
        <v>H1_B7-05.mp3</v>
      </c>
      <c r="M74" s="13" t="str">
        <f ca="1">IFERROR(__xludf.DUMMYFUNCTION("""COMPUTED_VALUE"""),"H1_B7_VD_5.mp3")</f>
        <v>H1_B7_VD_5.mp3</v>
      </c>
    </row>
    <row r="75" spans="1:13">
      <c r="A75" s="13">
        <f ca="1">IFERROR(__xludf.DUMMYFUNCTION("""COMPUTED_VALUE"""),6)</f>
        <v>6</v>
      </c>
      <c r="B75" s="13"/>
      <c r="C75" s="13" t="str">
        <f ca="1">IFERROR(__xludf.DUMMYFUNCTION("""COMPUTED_VALUE"""),"商店")</f>
        <v>商店</v>
      </c>
      <c r="D75" s="13" t="str">
        <f ca="1">IFERROR(__xludf.DUMMYFUNCTION("""COMPUTED_VALUE"""),"&lt;ruby&gt;商店&lt;rt&gt;shāng diàn&lt;/rt&gt;&lt;/ruby&gt;")</f>
        <v>&lt;ruby&gt;商店&lt;rt&gt;shāng diàn&lt;/rt&gt;&lt;/ruby&gt;</v>
      </c>
      <c r="E75" s="13" t="str">
        <f ca="1">IFERROR(__xludf.DUMMYFUNCTION("""COMPUTED_VALUE"""),"shāng diàn")</f>
        <v>shāng diàn</v>
      </c>
      <c r="F75" s="13" t="str">
        <f ca="1">IFERROR(__xludf.DUMMYFUNCTION("""COMPUTED_VALUE"""),"Danh từ")</f>
        <v>Danh từ</v>
      </c>
      <c r="G75" s="13" t="str">
        <f ca="1">IFERROR(__xludf.DUMMYFUNCTION("""COMPUTED_VALUE"""),"Cửa hàng")</f>
        <v>Cửa hàng</v>
      </c>
      <c r="H75" s="13" t="str">
        <f ca="1">IFERROR(__xludf.DUMMYFUNCTION("""COMPUTED_VALUE"""),"下午我想去商店。")</f>
        <v>下午我想去商店。</v>
      </c>
      <c r="I75" s="13" t="str">
        <f ca="1">IFERROR(__xludf.DUMMYFUNCTION("""COMPUTED_VALUE"""),"Xiàwǔ wǒ xiǎng qù shāngdiàn.")</f>
        <v>Xiàwǔ wǒ xiǎng qù shāngdiàn.</v>
      </c>
      <c r="J75" s="13" t="str">
        <f ca="1">IFERROR(__xludf.DUMMYFUNCTION("""COMPUTED_VALUE"""),"Buổi chiều tôi muốn đi cửa hàng.")</f>
        <v>Buổi chiều tôi muốn đi cửa hàng.</v>
      </c>
      <c r="K75" s="13" t="str">
        <f ca="1">IFERROR(__xludf.DUMMYFUNCTION("""COMPUTED_VALUE"""),"H1_B7_BG-06.gif")</f>
        <v>H1_B7_BG-06.gif</v>
      </c>
      <c r="L75" s="13" t="str">
        <f ca="1">IFERROR(__xludf.DUMMYFUNCTION("""COMPUTED_VALUE"""),"H1_B7-06.mp3")</f>
        <v>H1_B7-06.mp3</v>
      </c>
      <c r="M75" s="13" t="str">
        <f ca="1">IFERROR(__xludf.DUMMYFUNCTION("""COMPUTED_VALUE"""),"H1_B7_VD_6.mp3")</f>
        <v>H1_B7_VD_6.mp3</v>
      </c>
    </row>
    <row r="76" spans="1:13">
      <c r="A76" s="13">
        <f ca="1">IFERROR(__xludf.DUMMYFUNCTION("""COMPUTED_VALUE"""),7)</f>
        <v>7</v>
      </c>
      <c r="B76" s="13"/>
      <c r="C76" s="13" t="str">
        <f ca="1">IFERROR(__xludf.DUMMYFUNCTION("""COMPUTED_VALUE"""),"多少")</f>
        <v>多少</v>
      </c>
      <c r="D76" s="13" t="str">
        <f ca="1">IFERROR(__xludf.DUMMYFUNCTION("""COMPUTED_VALUE"""),"&lt;ruby&gt;多少&lt;rt&gt;duō shǎo&lt;/rt&gt;&lt;/ruby&gt;")</f>
        <v>&lt;ruby&gt;多少&lt;rt&gt;duō shǎo&lt;/rt&gt;&lt;/ruby&gt;</v>
      </c>
      <c r="E76" s="13" t="str">
        <f ca="1">IFERROR(__xludf.DUMMYFUNCTION("""COMPUTED_VALUE"""),"duō shǎo")</f>
        <v>duō shǎo</v>
      </c>
      <c r="F76" s="13" t="str">
        <f ca="1">IFERROR(__xludf.DUMMYFUNCTION("""COMPUTED_VALUE"""),"Đại từ")</f>
        <v>Đại từ</v>
      </c>
      <c r="G76" s="13" t="str">
        <f ca="1">IFERROR(__xludf.DUMMYFUNCTION("""COMPUTED_VALUE"""),"Bao nhiêu")</f>
        <v>Bao nhiêu</v>
      </c>
      <c r="H76" s="13" t="str">
        <f ca="1">IFERROR(__xludf.DUMMYFUNCTION("""COMPUTED_VALUE"""),"这些衣服多少钱？")</f>
        <v>这些衣服多少钱？</v>
      </c>
      <c r="I76" s="13" t="str">
        <f ca="1">IFERROR(__xludf.DUMMYFUNCTION("""COMPUTED_VALUE"""),"Zhèxiē yīfu duōshao qián?")</f>
        <v>Zhèxiē yīfu duōshao qián?</v>
      </c>
      <c r="J76" s="13" t="str">
        <f ca="1">IFERROR(__xludf.DUMMYFUNCTION("""COMPUTED_VALUE"""),"Những bộ quần áo này giá bao nhiêu?")</f>
        <v>Những bộ quần áo này giá bao nhiêu?</v>
      </c>
      <c r="K76" s="13" t="str">
        <f ca="1">IFERROR(__xludf.DUMMYFUNCTION("""COMPUTED_VALUE"""),"H1_B7_BG-07.gif")</f>
        <v>H1_B7_BG-07.gif</v>
      </c>
      <c r="L76" s="13" t="str">
        <f ca="1">IFERROR(__xludf.DUMMYFUNCTION("""COMPUTED_VALUE"""),"H1_B7-07.mp3")</f>
        <v>H1_B7-07.mp3</v>
      </c>
      <c r="M76" s="13" t="str">
        <f ca="1">IFERROR(__xludf.DUMMYFUNCTION("""COMPUTED_VALUE"""),"H1_B7_VD_7.mp3")</f>
        <v>H1_B7_VD_7.mp3</v>
      </c>
    </row>
    <row r="77" spans="1:13">
      <c r="A77" s="13">
        <f ca="1">IFERROR(__xludf.DUMMYFUNCTION("""COMPUTED_VALUE"""),8)</f>
        <v>8</v>
      </c>
      <c r="B77" s="13"/>
      <c r="C77" s="13" t="str">
        <f ca="1">IFERROR(__xludf.DUMMYFUNCTION("""COMPUTED_VALUE"""),"块")</f>
        <v>块</v>
      </c>
      <c r="D77" s="13" t="str">
        <f ca="1">IFERROR(__xludf.DUMMYFUNCTION("""COMPUTED_VALUE"""),"&lt;ruby&gt;块&lt;rt&gt;kuài&lt;/rt&gt;&lt;/ruby&gt;")</f>
        <v>&lt;ruby&gt;块&lt;rt&gt;kuài&lt;/rt&gt;&lt;/ruby&gt;</v>
      </c>
      <c r="E77" s="13" t="str">
        <f ca="1">IFERROR(__xludf.DUMMYFUNCTION("""COMPUTED_VALUE"""),"kuài")</f>
        <v>kuài</v>
      </c>
      <c r="F77" s="13" t="str">
        <f ca="1">IFERROR(__xludf.DUMMYFUNCTION("""COMPUTED_VALUE"""),"Lượng từ")</f>
        <v>Lượng từ</v>
      </c>
      <c r="G77" s="13" t="str">
        <f ca="1">IFERROR(__xludf.DUMMYFUNCTION("""COMPUTED_VALUE"""),"Đồng (tiền Trung Quốc)")</f>
        <v>Đồng (tiền Trung Quốc)</v>
      </c>
      <c r="H77" s="13" t="str">
        <f ca="1">IFERROR(__xludf.DUMMYFUNCTION("""COMPUTED_VALUE"""),"一百块钱。")</f>
        <v>一百块钱。</v>
      </c>
      <c r="I77" s="13" t="str">
        <f ca="1">IFERROR(__xludf.DUMMYFUNCTION("""COMPUTED_VALUE"""),"Yìbǎi kuài qián.")</f>
        <v>Yìbǎi kuài qián.</v>
      </c>
      <c r="J77" s="13" t="str">
        <f ca="1">IFERROR(__xludf.DUMMYFUNCTION("""COMPUTED_VALUE"""),"Một trăm đồng.")</f>
        <v>Một trăm đồng.</v>
      </c>
      <c r="K77" s="13" t="str">
        <f ca="1">IFERROR(__xludf.DUMMYFUNCTION("""COMPUTED_VALUE"""),"H1_B7_BG-08.gif")</f>
        <v>H1_B7_BG-08.gif</v>
      </c>
      <c r="L77" s="13" t="str">
        <f ca="1">IFERROR(__xludf.DUMMYFUNCTION("""COMPUTED_VALUE"""),"H1_B7-08.mp3")</f>
        <v>H1_B7-08.mp3</v>
      </c>
      <c r="M77" s="13" t="str">
        <f ca="1">IFERROR(__xludf.DUMMYFUNCTION("""COMPUTED_VALUE"""),"H1_B7_VD_8.mp3")</f>
        <v>H1_B7_VD_8.mp3</v>
      </c>
    </row>
    <row r="78" spans="1:13">
      <c r="A78" s="13">
        <f ca="1">IFERROR(__xludf.DUMMYFUNCTION("""COMPUTED_VALUE"""),9)</f>
        <v>9</v>
      </c>
      <c r="B78" s="13"/>
      <c r="C78" s="13" t="str">
        <f ca="1">IFERROR(__xludf.DUMMYFUNCTION("""COMPUTED_VALUE"""),"想")</f>
        <v>想</v>
      </c>
      <c r="D78" s="13" t="str">
        <f ca="1">IFERROR(__xludf.DUMMYFUNCTION("""COMPUTED_VALUE"""),"&lt;ruby&gt;想&lt;rt&gt;xiǎng&lt;/rt&gt;&lt;/ruby&gt;")</f>
        <v>&lt;ruby&gt;想&lt;rt&gt;xiǎng&lt;/rt&gt;&lt;/ruby&gt;</v>
      </c>
      <c r="E78" s="13" t="str">
        <f ca="1">IFERROR(__xludf.DUMMYFUNCTION("""COMPUTED_VALUE"""),"xiǎng")</f>
        <v>xiǎng</v>
      </c>
      <c r="F78" s="13" t="str">
        <f ca="1">IFERROR(__xludf.DUMMYFUNCTION("""COMPUTED_VALUE"""),"Động từ")</f>
        <v>Động từ</v>
      </c>
      <c r="G78" s="13" t="str">
        <f ca="1">IFERROR(__xludf.DUMMYFUNCTION("""COMPUTED_VALUE"""),"Muốn, nghĩ")</f>
        <v>Muốn, nghĩ</v>
      </c>
      <c r="H78" s="13" t="str">
        <f ca="1">IFERROR(__xludf.DUMMYFUNCTION("""COMPUTED_VALUE"""),"她想买很多东西。")</f>
        <v>她想买很多东西。</v>
      </c>
      <c r="I78" s="13" t="str">
        <f ca="1">IFERROR(__xludf.DUMMYFUNCTION("""COMPUTED_VALUE"""),"Tā xiǎng mǎi hěn duō dōngxi.")</f>
        <v>Tā xiǎng mǎi hěn duō dōngxi.</v>
      </c>
      <c r="J78" s="13" t="str">
        <f ca="1">IFERROR(__xludf.DUMMYFUNCTION("""COMPUTED_VALUE"""),"Cô ấy muốn mua nhiều thứ.")</f>
        <v>Cô ấy muốn mua nhiều thứ.</v>
      </c>
      <c r="K78" s="13" t="str">
        <f ca="1">IFERROR(__xludf.DUMMYFUNCTION("""COMPUTED_VALUE"""),"H1_B7_BG-09.gif")</f>
        <v>H1_B7_BG-09.gif</v>
      </c>
      <c r="L78" s="13" t="str">
        <f ca="1">IFERROR(__xludf.DUMMYFUNCTION("""COMPUTED_VALUE"""),"H1_B7-09.mp3")</f>
        <v>H1_B7-09.mp3</v>
      </c>
      <c r="M78" s="13" t="str">
        <f ca="1">IFERROR(__xludf.DUMMYFUNCTION("""COMPUTED_VALUE"""),"H1_B7_VD_9.mp3")</f>
        <v>H1_B7_VD_9.mp3</v>
      </c>
    </row>
    <row r="79" spans="1:13">
      <c r="A79" s="13">
        <f ca="1">IFERROR(__xludf.DUMMYFUNCTION("""COMPUTED_VALUE"""),10)</f>
        <v>10</v>
      </c>
      <c r="B79" s="13"/>
      <c r="C79" s="13" t="str">
        <f ca="1">IFERROR(__xludf.DUMMYFUNCTION("""COMPUTED_VALUE"""),"杯子")</f>
        <v>杯子</v>
      </c>
      <c r="D79" s="13" t="str">
        <f ca="1">IFERROR(__xludf.DUMMYFUNCTION("""COMPUTED_VALUE"""),"&lt;ruby&gt;杯子&lt;rt&gt;bēi zi&lt;/rt&gt;&lt;/ruby&gt;")</f>
        <v>&lt;ruby&gt;杯子&lt;rt&gt;bēi zi&lt;/rt&gt;&lt;/ruby&gt;</v>
      </c>
      <c r="E79" s="13" t="str">
        <f ca="1">IFERROR(__xludf.DUMMYFUNCTION("""COMPUTED_VALUE"""),"bēi zi")</f>
        <v>bēi zi</v>
      </c>
      <c r="F79" s="13" t="str">
        <f ca="1">IFERROR(__xludf.DUMMYFUNCTION("""COMPUTED_VALUE"""),"Danh từ")</f>
        <v>Danh từ</v>
      </c>
      <c r="G79" s="13" t="str">
        <f ca="1">IFERROR(__xludf.DUMMYFUNCTION("""COMPUTED_VALUE"""),"Ly, cốc, tách")</f>
        <v>Ly, cốc, tách</v>
      </c>
      <c r="H79" s="13" t="str">
        <f ca="1">IFERROR(__xludf.DUMMYFUNCTION("""COMPUTED_VALUE"""),"我妈妈想买一个杯子。")</f>
        <v>我妈妈想买一个杯子。</v>
      </c>
      <c r="I79" s="13" t="str">
        <f ca="1">IFERROR(__xludf.DUMMYFUNCTION("""COMPUTED_VALUE"""),"Wǒ māma xiǎng mǎi yí ge bēizi.")</f>
        <v>Wǒ māma xiǎng mǎi yí ge bēizi.</v>
      </c>
      <c r="J79" s="13" t="str">
        <f ca="1">IFERROR(__xludf.DUMMYFUNCTION("""COMPUTED_VALUE"""),"Mẹ tôi muốn mua một cái cốc.")</f>
        <v>Mẹ tôi muốn mua một cái cốc.</v>
      </c>
      <c r="K79" s="13" t="str">
        <f ca="1">IFERROR(__xludf.DUMMYFUNCTION("""COMPUTED_VALUE"""),"H1_B7_BG-10.gif")</f>
        <v>H1_B7_BG-10.gif</v>
      </c>
      <c r="L79" s="13" t="str">
        <f ca="1">IFERROR(__xludf.DUMMYFUNCTION("""COMPUTED_VALUE"""),"H1_B7-10.mp3")</f>
        <v>H1_B7-10.mp3</v>
      </c>
      <c r="M79" s="13" t="str">
        <f ca="1">IFERROR(__xludf.DUMMYFUNCTION("""COMPUTED_VALUE"""),"H1_B7_VD_10.mp3")</f>
        <v>H1_B7_VD_10.mp3</v>
      </c>
    </row>
    <row r="80" spans="1:13">
      <c r="A80" s="13">
        <f ca="1">IFERROR(__xludf.DUMMYFUNCTION("""COMPUTED_VALUE"""),11)</f>
        <v>11</v>
      </c>
      <c r="B80" s="13"/>
      <c r="C80" s="13" t="str">
        <f ca="1">IFERROR(__xludf.DUMMYFUNCTION("""COMPUTED_VALUE"""),"米饭")</f>
        <v>米饭</v>
      </c>
      <c r="D80" s="13" t="str">
        <f ca="1">IFERROR(__xludf.DUMMYFUNCTION("""COMPUTED_VALUE"""),"&lt;ruby&gt;米饭&lt;rt&gt;mǐ fàn&lt;/rt&gt;&lt;/ruby&gt;")</f>
        <v>&lt;ruby&gt;米饭&lt;rt&gt;mǐ fàn&lt;/rt&gt;&lt;/ruby&gt;</v>
      </c>
      <c r="E80" s="13" t="str">
        <f ca="1">IFERROR(__xludf.DUMMYFUNCTION("""COMPUTED_VALUE"""),"mǐ fàn")</f>
        <v>mǐ fàn</v>
      </c>
      <c r="F80" s="13" t="str">
        <f ca="1">IFERROR(__xludf.DUMMYFUNCTION("""COMPUTED_VALUE"""),"Danh từ")</f>
        <v>Danh từ</v>
      </c>
      <c r="G80" s="13" t="str">
        <f ca="1">IFERROR(__xludf.DUMMYFUNCTION("""COMPUTED_VALUE"""),"Cơm")</f>
        <v>Cơm</v>
      </c>
      <c r="H80" s="13" t="str">
        <f ca="1">IFERROR(__xludf.DUMMYFUNCTION("""COMPUTED_VALUE"""),"他想吃米饭。")</f>
        <v>他想吃米饭。</v>
      </c>
      <c r="I80" s="13" t="str">
        <f ca="1">IFERROR(__xludf.DUMMYFUNCTION("""COMPUTED_VALUE"""),"Tā xiǎng chī mǐfàn.")</f>
        <v>Tā xiǎng chī mǐfàn.</v>
      </c>
      <c r="J80" s="13" t="str">
        <f ca="1">IFERROR(__xludf.DUMMYFUNCTION("""COMPUTED_VALUE"""),"Anh ấy muốn ăn cơm.")</f>
        <v>Anh ấy muốn ăn cơm.</v>
      </c>
      <c r="K80" s="13" t="str">
        <f ca="1">IFERROR(__xludf.DUMMYFUNCTION("""COMPUTED_VALUE"""),"H1_B7_BG-11.gif")</f>
        <v>H1_B7_BG-11.gif</v>
      </c>
      <c r="L80" s="13" t="str">
        <f ca="1">IFERROR(__xludf.DUMMYFUNCTION("""COMPUTED_VALUE"""),"H1_B7-11.mp3")</f>
        <v>H1_B7-11.mp3</v>
      </c>
      <c r="M80" s="13" t="str">
        <f ca="1">IFERROR(__xludf.DUMMYFUNCTION("""COMPUTED_VALUE"""),"H1_B7_VD_11.mp3")</f>
        <v>H1_B7_VD_11.mp3</v>
      </c>
    </row>
    <row r="81" spans="1:13">
      <c r="A81" s="13">
        <f ca="1">IFERROR(__xludf.DUMMYFUNCTION("""COMPUTED_VALUE"""),12)</f>
        <v>12</v>
      </c>
      <c r="B81" s="13"/>
      <c r="C81" s="13" t="str">
        <f ca="1">IFERROR(__xludf.DUMMYFUNCTION("""COMPUTED_VALUE"""),"茶")</f>
        <v>茶</v>
      </c>
      <c r="D81" s="13" t="str">
        <f ca="1">IFERROR(__xludf.DUMMYFUNCTION("""COMPUTED_VALUE"""),"&lt;ruby&gt;茶&lt;rt&gt;chá&lt;/rt&gt;&lt;/ruby&gt;")</f>
        <v>&lt;ruby&gt;茶&lt;rt&gt;chá&lt;/rt&gt;&lt;/ruby&gt;</v>
      </c>
      <c r="E81" s="13" t="str">
        <f ca="1">IFERROR(__xludf.DUMMYFUNCTION("""COMPUTED_VALUE"""),"chá")</f>
        <v>chá</v>
      </c>
      <c r="F81" s="13" t="str">
        <f ca="1">IFERROR(__xludf.DUMMYFUNCTION("""COMPUTED_VALUE"""),"Danh từ")</f>
        <v>Danh từ</v>
      </c>
      <c r="G81" s="13" t="str">
        <f ca="1">IFERROR(__xludf.DUMMYFUNCTION("""COMPUTED_VALUE"""),"Trà")</f>
        <v>Trà</v>
      </c>
      <c r="H81" s="13" t="str">
        <f ca="1">IFERROR(__xludf.DUMMYFUNCTION("""COMPUTED_VALUE"""),"我想喝茶。")</f>
        <v>我想喝茶。</v>
      </c>
      <c r="I81" s="13" t="str">
        <f ca="1">IFERROR(__xludf.DUMMYFUNCTION("""COMPUTED_VALUE"""),"Wǒ xiǎng hē chá.")</f>
        <v>Wǒ xiǎng hē chá.</v>
      </c>
      <c r="J81" s="13" t="str">
        <f ca="1">IFERROR(__xludf.DUMMYFUNCTION("""COMPUTED_VALUE"""),"Tôi muốn uống trà.")</f>
        <v>Tôi muốn uống trà.</v>
      </c>
      <c r="K81" s="13" t="str">
        <f ca="1">IFERROR(__xludf.DUMMYFUNCTION("""COMPUTED_VALUE"""),"H1_B7_BG-12.gif")</f>
        <v>H1_B7_BG-12.gif</v>
      </c>
      <c r="L81" s="13" t="str">
        <f ca="1">IFERROR(__xludf.DUMMYFUNCTION("""COMPUTED_VALUE"""),"H1_B7-12.mp3")</f>
        <v>H1_B7-12.mp3</v>
      </c>
      <c r="M81" s="13" t="str">
        <f ca="1">IFERROR(__xludf.DUMMYFUNCTION("""COMPUTED_VALUE"""),"H1_B7_VD_12.mp3")</f>
        <v>H1_B7_VD_12.mp3</v>
      </c>
    </row>
    <row r="82" spans="1:13">
      <c r="A82" s="13">
        <f ca="1">IFERROR(__xludf.DUMMYFUNCTION("""COMPUTED_VALUE"""),13)</f>
        <v>13</v>
      </c>
      <c r="B82" s="13"/>
      <c r="C82" s="13" t="str">
        <f ca="1">IFERROR(__xludf.DUMMYFUNCTION("""COMPUTED_VALUE"""),"那")</f>
        <v>那</v>
      </c>
      <c r="D82" s="13" t="str">
        <f ca="1">IFERROR(__xludf.DUMMYFUNCTION("""COMPUTED_VALUE"""),"&lt;ruby&gt;那&lt;rt&gt;nà&lt;/rt&gt;&lt;/ruby&gt;")</f>
        <v>&lt;ruby&gt;那&lt;rt&gt;nà&lt;/rt&gt;&lt;/ruby&gt;</v>
      </c>
      <c r="E82" s="13" t="str">
        <f ca="1">IFERROR(__xludf.DUMMYFUNCTION("""COMPUTED_VALUE"""),"nà")</f>
        <v>nà</v>
      </c>
      <c r="F82" s="13" t="str">
        <f ca="1">IFERROR(__xludf.DUMMYFUNCTION("""COMPUTED_VALUE"""),"Đại từ")</f>
        <v>Đại từ</v>
      </c>
      <c r="G82" s="13" t="str">
        <f ca="1">IFERROR(__xludf.DUMMYFUNCTION("""COMPUTED_VALUE"""),"Đó, kia")</f>
        <v>Đó, kia</v>
      </c>
      <c r="H82" s="13" t="str">
        <f ca="1">IFERROR(__xludf.DUMMYFUNCTION("""COMPUTED_VALUE"""),"那棵树是什么树？")</f>
        <v>那棵树是什么树？</v>
      </c>
      <c r="I82" s="13" t="str">
        <f ca="1">IFERROR(__xludf.DUMMYFUNCTION("""COMPUTED_VALUE"""),"Nà kē shù shì shénme shù?")</f>
        <v>Nà kē shù shì shénme shù?</v>
      </c>
      <c r="J82" s="13" t="str">
        <f ca="1">IFERROR(__xludf.DUMMYFUNCTION("""COMPUTED_VALUE"""),"Cây kia là cây gì?")</f>
        <v>Cây kia là cây gì?</v>
      </c>
      <c r="K82" s="13" t="str">
        <f ca="1">IFERROR(__xludf.DUMMYFUNCTION("""COMPUTED_VALUE"""),"H1_B7_BG-13.gif")</f>
        <v>H1_B7_BG-13.gif</v>
      </c>
      <c r="L82" s="13" t="str">
        <f ca="1">IFERROR(__xludf.DUMMYFUNCTION("""COMPUTED_VALUE"""),"H1_B7-13.mp3")</f>
        <v>H1_B7-13.mp3</v>
      </c>
      <c r="M82" s="13" t="str">
        <f ca="1">IFERROR(__xludf.DUMMYFUNCTION("""COMPUTED_VALUE"""),"H1_B7_VD_13.mp3")</f>
        <v>H1_B7_VD_13.mp3</v>
      </c>
    </row>
    <row r="83" spans="1:13">
      <c r="A83" s="13">
        <f ca="1">IFERROR(__xludf.DUMMYFUNCTION("""COMPUTED_VALUE"""),14)</f>
        <v>14</v>
      </c>
      <c r="B83" s="13"/>
      <c r="C83" s="13" t="str">
        <f ca="1">IFERROR(__xludf.DUMMYFUNCTION("""COMPUTED_VALUE"""),"钱")</f>
        <v>钱</v>
      </c>
      <c r="D83" s="13" t="str">
        <f ca="1">IFERROR(__xludf.DUMMYFUNCTION("""COMPUTED_VALUE"""),"&lt;ruby&gt;钱&lt;rt&gt;qián&lt;/rt&gt;&lt;/ruby&gt;")</f>
        <v>&lt;ruby&gt;钱&lt;rt&gt;qián&lt;/rt&gt;&lt;/ruby&gt;</v>
      </c>
      <c r="E83" s="13" t="str">
        <f ca="1">IFERROR(__xludf.DUMMYFUNCTION("""COMPUTED_VALUE"""),"qián")</f>
        <v>qián</v>
      </c>
      <c r="F83" s="13" t="str">
        <f ca="1">IFERROR(__xludf.DUMMYFUNCTION("""COMPUTED_VALUE"""),"Danh từ")</f>
        <v>Danh từ</v>
      </c>
      <c r="G83" s="13" t="str">
        <f ca="1">IFERROR(__xludf.DUMMYFUNCTION("""COMPUTED_VALUE"""),"Tiền")</f>
        <v>Tiền</v>
      </c>
      <c r="H83" s="13" t="str">
        <f ca="1">IFERROR(__xludf.DUMMYFUNCTION("""COMPUTED_VALUE"""),"那个杯子三百块钱。")</f>
        <v>那个杯子三百块钱。</v>
      </c>
      <c r="I83" s="13" t="str">
        <f ca="1">IFERROR(__xludf.DUMMYFUNCTION("""COMPUTED_VALUE"""),"Nà ge bēizi sānbǎi kuài qián.")</f>
        <v>Nà ge bēizi sānbǎi kuài qián.</v>
      </c>
      <c r="J83" s="13" t="str">
        <f ca="1">IFERROR(__xludf.DUMMYFUNCTION("""COMPUTED_VALUE"""),"Cái cốc đó giá 300 tệ.")</f>
        <v>Cái cốc đó giá 300 tệ.</v>
      </c>
      <c r="K83" s="13" t="str">
        <f ca="1">IFERROR(__xludf.DUMMYFUNCTION("""COMPUTED_VALUE"""),"H1_B7_BG-14.gif")</f>
        <v>H1_B7_BG-14.gif</v>
      </c>
      <c r="L83" s="13" t="str">
        <f ca="1">IFERROR(__xludf.DUMMYFUNCTION("""COMPUTED_VALUE"""),"H1_B7-14.mp3")</f>
        <v>H1_B7-14.mp3</v>
      </c>
      <c r="M83" s="13" t="str">
        <f ca="1">IFERROR(__xludf.DUMMYFUNCTION("""COMPUTED_VALUE"""),"H1_B7_VD_14.mp3")</f>
        <v>H1_B7_VD_14.mp3</v>
      </c>
    </row>
    <row r="84" spans="1:13">
      <c r="A84" s="13">
        <f ca="1">IFERROR(__xludf.DUMMYFUNCTION("""COMPUTED_VALUE"""),15)</f>
        <v>15</v>
      </c>
      <c r="B84" s="13"/>
      <c r="C84" s="13" t="str">
        <f ca="1">IFERROR(__xludf.DUMMYFUNCTION("""COMPUTED_VALUE"""),"这")</f>
        <v>这</v>
      </c>
      <c r="D84" s="13" t="str">
        <f ca="1">IFERROR(__xludf.DUMMYFUNCTION("""COMPUTED_VALUE"""),"&lt;ruby&gt;这&lt;rt&gt;zhè&lt;/rt&gt;&lt;/ruby&gt;")</f>
        <v>&lt;ruby&gt;这&lt;rt&gt;zhè&lt;/rt&gt;&lt;/ruby&gt;</v>
      </c>
      <c r="E84" s="13" t="str">
        <f ca="1">IFERROR(__xludf.DUMMYFUNCTION("""COMPUTED_VALUE"""),"zhè")</f>
        <v>zhè</v>
      </c>
      <c r="F84" s="13" t="str">
        <f ca="1">IFERROR(__xludf.DUMMYFUNCTION("""COMPUTED_VALUE"""),"Đại từ")</f>
        <v>Đại từ</v>
      </c>
      <c r="G84" s="13" t="str">
        <f ca="1">IFERROR(__xludf.DUMMYFUNCTION("""COMPUTED_VALUE"""),"Đây, này")</f>
        <v>Đây, này</v>
      </c>
      <c r="H84" s="13" t="str">
        <f ca="1">IFERROR(__xludf.DUMMYFUNCTION("""COMPUTED_VALUE"""),"这是什么？")</f>
        <v>这是什么？</v>
      </c>
      <c r="I84" s="13" t="str">
        <f ca="1">IFERROR(__xludf.DUMMYFUNCTION("""COMPUTED_VALUE"""),"Zhè shì shénme?")</f>
        <v>Zhè shì shénme?</v>
      </c>
      <c r="J84" s="13" t="str">
        <f ca="1">IFERROR(__xludf.DUMMYFUNCTION("""COMPUTED_VALUE"""),"Đây là cái gì?")</f>
        <v>Đây là cái gì?</v>
      </c>
      <c r="K84" s="13" t="str">
        <f ca="1">IFERROR(__xludf.DUMMYFUNCTION("""COMPUTED_VALUE"""),"H1_B7_BG-15.gif")</f>
        <v>H1_B7_BG-15.gif</v>
      </c>
      <c r="L84" s="13" t="str">
        <f ca="1">IFERROR(__xludf.DUMMYFUNCTION("""COMPUTED_VALUE"""),"H1_B7-15.mp3")</f>
        <v>H1_B7-15.mp3</v>
      </c>
      <c r="M84" s="13" t="str">
        <f ca="1">IFERROR(__xludf.DUMMYFUNCTION("""COMPUTED_VALUE"""),"H1_B7_VD_15.mp3")</f>
        <v>H1_B7_VD_15.mp3</v>
      </c>
    </row>
    <row r="85" spans="1:13">
      <c r="A85" s="13">
        <f ca="1">IFERROR(__xludf.DUMMYFUNCTION("""COMPUTED_VALUE"""),1)</f>
        <v>1</v>
      </c>
      <c r="B85" s="13"/>
      <c r="C85" s="13" t="str">
        <f ca="1">IFERROR(__xludf.DUMMYFUNCTION("""COMPUTED_VALUE"""),"下面")</f>
        <v>下面</v>
      </c>
      <c r="D85" s="13" t="str">
        <f ca="1">IFERROR(__xludf.DUMMYFUNCTION("""COMPUTED_VALUE"""),"&lt;ruby&gt;下面&lt;rt&gt;xià miàn&lt;/rt&gt;&lt;/ruby&gt;")</f>
        <v>&lt;ruby&gt;下面&lt;rt&gt;xià miàn&lt;/rt&gt;&lt;/ruby&gt;</v>
      </c>
      <c r="E85" s="13" t="str">
        <f ca="1">IFERROR(__xludf.DUMMYFUNCTION("""COMPUTED_VALUE"""),"xià miàn")</f>
        <v>xià miàn</v>
      </c>
      <c r="F85" s="13" t="str">
        <f ca="1">IFERROR(__xludf.DUMMYFUNCTION("""COMPUTED_VALUE"""),"Danh từ")</f>
        <v>Danh từ</v>
      </c>
      <c r="G85" s="13" t="str">
        <f ca="1">IFERROR(__xludf.DUMMYFUNCTION("""COMPUTED_VALUE"""),"Bên dưới, phía dưới")</f>
        <v>Bên dưới, phía dưới</v>
      </c>
      <c r="H85" s="13" t="str">
        <f ca="1">IFERROR(__xludf.DUMMYFUNCTION("""COMPUTED_VALUE"""),"小猫躲在桌子下面。")</f>
        <v>小猫躲在桌子下面。</v>
      </c>
      <c r="I85" s="13" t="str">
        <f ca="1">IFERROR(__xludf.DUMMYFUNCTION("""COMPUTED_VALUE"""),"Xiǎo māo duǒ zài zhuōzi xiàmiàn.")</f>
        <v>Xiǎo māo duǒ zài zhuōzi xiàmiàn.</v>
      </c>
      <c r="J85" s="13" t="str">
        <f ca="1">IFERROR(__xludf.DUMMYFUNCTION("""COMPUTED_VALUE"""),"Chú mèo con trốn dưới gầm bàn.")</f>
        <v>Chú mèo con trốn dưới gầm bàn.</v>
      </c>
      <c r="K85" s="13" t="str">
        <f ca="1">IFERROR(__xludf.DUMMYFUNCTION("""COMPUTED_VALUE"""),"H1_B8_BG-01.gif")</f>
        <v>H1_B8_BG-01.gif</v>
      </c>
      <c r="L85" s="13" t="str">
        <f ca="1">IFERROR(__xludf.DUMMYFUNCTION("""COMPUTED_VALUE"""),"H1_B8-01.mp3")</f>
        <v>H1_B8-01.mp3</v>
      </c>
      <c r="M85" s="13" t="str">
        <f ca="1">IFERROR(__xludf.DUMMYFUNCTION("""COMPUTED_VALUE"""),"H1_B8_VD_1.mp3")</f>
        <v>H1_B8_VD_1.mp3</v>
      </c>
    </row>
    <row r="86" spans="1:13">
      <c r="A86" s="13">
        <f ca="1">IFERROR(__xludf.DUMMYFUNCTION("""COMPUTED_VALUE"""),2)</f>
        <v>2</v>
      </c>
      <c r="B86" s="13"/>
      <c r="C86" s="13" t="str">
        <f ca="1">IFERROR(__xludf.DUMMYFUNCTION("""COMPUTED_VALUE"""),"哪儿")</f>
        <v>哪儿</v>
      </c>
      <c r="D86" s="13" t="str">
        <f ca="1">IFERROR(__xludf.DUMMYFUNCTION("""COMPUTED_VALUE"""),"&lt;ruby&gt;哪儿&lt;rt&gt;nǎr&lt;/rt&gt;&lt;/ruby&gt;")</f>
        <v>&lt;ruby&gt;哪儿&lt;rt&gt;nǎr&lt;/rt&gt;&lt;/ruby&gt;</v>
      </c>
      <c r="E86" s="13" t="str">
        <f ca="1">IFERROR(__xludf.DUMMYFUNCTION("""COMPUTED_VALUE"""),"nǎr")</f>
        <v>nǎr</v>
      </c>
      <c r="F86" s="13" t="str">
        <f ca="1">IFERROR(__xludf.DUMMYFUNCTION("""COMPUTED_VALUE"""),"Đại từ")</f>
        <v>Đại từ</v>
      </c>
      <c r="G86" s="13" t="str">
        <f ca="1">IFERROR(__xludf.DUMMYFUNCTION("""COMPUTED_VALUE"""),"Ở đâu")</f>
        <v>Ở đâu</v>
      </c>
      <c r="H86" s="13" t="str">
        <f ca="1">IFERROR(__xludf.DUMMYFUNCTION("""COMPUTED_VALUE"""),"你妈妈在哪儿工作？")</f>
        <v>你妈妈在哪儿工作？</v>
      </c>
      <c r="I86" s="13" t="str">
        <f ca="1">IFERROR(__xludf.DUMMYFUNCTION("""COMPUTED_VALUE"""),"Nǐ māma zài nǎr gōngzuò?")</f>
        <v>Nǐ māma zài nǎr gōngzuò?</v>
      </c>
      <c r="J86" s="13" t="str">
        <f ca="1">IFERROR(__xludf.DUMMYFUNCTION("""COMPUTED_VALUE"""),"Mẹ bạn làm việc ở đâu?")</f>
        <v>Mẹ bạn làm việc ở đâu?</v>
      </c>
      <c r="K86" s="13" t="str">
        <f ca="1">IFERROR(__xludf.DUMMYFUNCTION("""COMPUTED_VALUE"""),"H1_B8_BG-02.gif")</f>
        <v>H1_B8_BG-02.gif</v>
      </c>
      <c r="L86" s="13" t="str">
        <f ca="1">IFERROR(__xludf.DUMMYFUNCTION("""COMPUTED_VALUE"""),"H1_B8-02.mp3")</f>
        <v>H1_B8-02.mp3</v>
      </c>
      <c r="M86" s="13" t="str">
        <f ca="1">IFERROR(__xludf.DUMMYFUNCTION("""COMPUTED_VALUE"""),"H1_B8_VD_2.mp3")</f>
        <v>H1_B8_VD_2.mp3</v>
      </c>
    </row>
    <row r="87" spans="1:13">
      <c r="A87" s="13">
        <f ca="1">IFERROR(__xludf.DUMMYFUNCTION("""COMPUTED_VALUE"""),3)</f>
        <v>3</v>
      </c>
      <c r="B87" s="13"/>
      <c r="C87" s="13" t="str">
        <f ca="1">IFERROR(__xludf.DUMMYFUNCTION("""COMPUTED_VALUE"""),"在")</f>
        <v>在</v>
      </c>
      <c r="D87" s="13" t="str">
        <f ca="1">IFERROR(__xludf.DUMMYFUNCTION("""COMPUTED_VALUE"""),"&lt;ruby&gt;在&lt;rt&gt;zài&lt;/rt&gt;&lt;/ruby&gt;")</f>
        <v>&lt;ruby&gt;在&lt;rt&gt;zài&lt;/rt&gt;&lt;/ruby&gt;</v>
      </c>
      <c r="E87" s="13" t="str">
        <f ca="1">IFERROR(__xludf.DUMMYFUNCTION("""COMPUTED_VALUE"""),"zài")</f>
        <v>zài</v>
      </c>
      <c r="F87" s="13" t="str">
        <f ca="1">IFERROR(__xludf.DUMMYFUNCTION("""COMPUTED_VALUE"""),"Động từ")</f>
        <v>Động từ</v>
      </c>
      <c r="G87" s="13" t="str">
        <f ca="1">IFERROR(__xludf.DUMMYFUNCTION("""COMPUTED_VALUE"""),"Ở")</f>
        <v>Ở</v>
      </c>
      <c r="H87" s="13" t="str">
        <f ca="1">IFERROR(__xludf.DUMMYFUNCTION("""COMPUTED_VALUE"""),"我在家看书。")</f>
        <v>我在家看书。</v>
      </c>
      <c r="I87" s="13" t="str">
        <f ca="1">IFERROR(__xludf.DUMMYFUNCTION("""COMPUTED_VALUE"""),"Wǒ zài jiā kànshū.")</f>
        <v>Wǒ zài jiā kànshū.</v>
      </c>
      <c r="J87" s="13" t="str">
        <f ca="1">IFERROR(__xludf.DUMMYFUNCTION("""COMPUTED_VALUE"""),"Tôi đang ở nhà đọc sách.")</f>
        <v>Tôi đang ở nhà đọc sách.</v>
      </c>
      <c r="K87" s="13" t="str">
        <f ca="1">IFERROR(__xludf.DUMMYFUNCTION("""COMPUTED_VALUE"""),"H1_B8_BG-03.gif")</f>
        <v>H1_B8_BG-03.gif</v>
      </c>
      <c r="L87" s="13" t="str">
        <f ca="1">IFERROR(__xludf.DUMMYFUNCTION("""COMPUTED_VALUE"""),"H1_B8-03.mp3")</f>
        <v>H1_B8-03.mp3</v>
      </c>
      <c r="M87" s="13" t="str">
        <f ca="1">IFERROR(__xludf.DUMMYFUNCTION("""COMPUTED_VALUE"""),"H1_B8_VD_3.mp3")</f>
        <v>H1_B8_VD_3.mp3</v>
      </c>
    </row>
    <row r="88" spans="1:13">
      <c r="A88" s="13">
        <f ca="1">IFERROR(__xludf.DUMMYFUNCTION("""COMPUTED_VALUE"""),4)</f>
        <v>4</v>
      </c>
      <c r="B88" s="13"/>
      <c r="C88" s="13" t="str">
        <f ca="1">IFERROR(__xludf.DUMMYFUNCTION("""COMPUTED_VALUE"""),"在")</f>
        <v>在</v>
      </c>
      <c r="D88" s="13" t="str">
        <f ca="1">IFERROR(__xludf.DUMMYFUNCTION("""COMPUTED_VALUE"""),"&lt;ruby&gt;在&lt;rt&gt;zài&lt;/rt&gt;&lt;/ruby&gt;")</f>
        <v>&lt;ruby&gt;在&lt;rt&gt;zài&lt;/rt&gt;&lt;/ruby&gt;</v>
      </c>
      <c r="E88" s="13" t="str">
        <f ca="1">IFERROR(__xludf.DUMMYFUNCTION("""COMPUTED_VALUE"""),"zài")</f>
        <v>zài</v>
      </c>
      <c r="F88" s="13" t="str">
        <f ca="1">IFERROR(__xludf.DUMMYFUNCTION("""COMPUTED_VALUE"""),"Giới từ")</f>
        <v>Giới từ</v>
      </c>
      <c r="G88" s="13" t="str">
        <f ca="1">IFERROR(__xludf.DUMMYFUNCTION("""COMPUTED_VALUE"""),"Ở, vào, tại")</f>
        <v>Ở, vào, tại</v>
      </c>
      <c r="H88" s="13" t="str">
        <f ca="1">IFERROR(__xludf.DUMMYFUNCTION("""COMPUTED_VALUE"""),"我的家在海边。")</f>
        <v>我的家在海边。</v>
      </c>
      <c r="I88" s="13" t="str">
        <f ca="1">IFERROR(__xludf.DUMMYFUNCTION("""COMPUTED_VALUE"""),"Wǒ de jiā zài hǎibiān.")</f>
        <v>Wǒ de jiā zài hǎibiān.</v>
      </c>
      <c r="J88" s="13" t="str">
        <f ca="1">IFERROR(__xludf.DUMMYFUNCTION("""COMPUTED_VALUE"""),"Nhà của tôi ở ven biển.")</f>
        <v>Nhà của tôi ở ven biển.</v>
      </c>
      <c r="K88" s="13" t="str">
        <f ca="1">IFERROR(__xludf.DUMMYFUNCTION("""COMPUTED_VALUE"""),"H1_B8_BG-04.gif")</f>
        <v>H1_B8_BG-04.gif</v>
      </c>
      <c r="L88" s="13" t="str">
        <f ca="1">IFERROR(__xludf.DUMMYFUNCTION("""COMPUTED_VALUE"""),"H1_B8-04.mp3")</f>
        <v>H1_B8-04.mp3</v>
      </c>
      <c r="M88" s="13" t="str">
        <f ca="1">IFERROR(__xludf.DUMMYFUNCTION("""COMPUTED_VALUE"""),"H1_B8_VD_4.mp3")</f>
        <v>H1_B8_VD_4.mp3</v>
      </c>
    </row>
    <row r="89" spans="1:13">
      <c r="A89" s="13">
        <f ca="1">IFERROR(__xludf.DUMMYFUNCTION("""COMPUTED_VALUE"""),5)</f>
        <v>5</v>
      </c>
      <c r="B89" s="13"/>
      <c r="C89" s="13" t="str">
        <f ca="1">IFERROR(__xludf.DUMMYFUNCTION("""COMPUTED_VALUE"""),"那儿")</f>
        <v>那儿</v>
      </c>
      <c r="D89" s="13" t="str">
        <f ca="1">IFERROR(__xludf.DUMMYFUNCTION("""COMPUTED_VALUE"""),"&lt;ruby&gt;那儿&lt;rt&gt;nàr&lt;/rt&gt;&lt;/ruby&gt;")</f>
        <v>&lt;ruby&gt;那儿&lt;rt&gt;nàr&lt;/rt&gt;&lt;/ruby&gt;</v>
      </c>
      <c r="E89" s="13" t="str">
        <f ca="1">IFERROR(__xludf.DUMMYFUNCTION("""COMPUTED_VALUE"""),"nàr")</f>
        <v>nàr</v>
      </c>
      <c r="F89" s="13" t="str">
        <f ca="1">IFERROR(__xludf.DUMMYFUNCTION("""COMPUTED_VALUE"""),"Đại từ")</f>
        <v>Đại từ</v>
      </c>
      <c r="G89" s="13" t="str">
        <f ca="1">IFERROR(__xludf.DUMMYFUNCTION("""COMPUTED_VALUE"""),"Chỗ đó")</f>
        <v>Chỗ đó</v>
      </c>
      <c r="H89" s="13" t="str">
        <f ca="1">IFERROR(__xludf.DUMMYFUNCTION("""COMPUTED_VALUE"""),"商店就在那儿。 ")</f>
        <v xml:space="preserve">商店就在那儿。 </v>
      </c>
      <c r="I89" s="13" t="str">
        <f ca="1">IFERROR(__xludf.DUMMYFUNCTION("""COMPUTED_VALUE"""),"Shāngdiàn jiù zài nàr.")</f>
        <v>Shāngdiàn jiù zài nàr.</v>
      </c>
      <c r="J89" s="13" t="str">
        <f ca="1">IFERROR(__xludf.DUMMYFUNCTION("""COMPUTED_VALUE"""),"Cửa hàng ở chỗ đó.")</f>
        <v>Cửa hàng ở chỗ đó.</v>
      </c>
      <c r="K89" s="13" t="str">
        <f ca="1">IFERROR(__xludf.DUMMYFUNCTION("""COMPUTED_VALUE"""),"H1_B8_BG-05.gif")</f>
        <v>H1_B8_BG-05.gif</v>
      </c>
      <c r="L89" s="13" t="str">
        <f ca="1">IFERROR(__xludf.DUMMYFUNCTION("""COMPUTED_VALUE"""),"H1_B8-05.mp3")</f>
        <v>H1_B8-05.mp3</v>
      </c>
      <c r="M89" s="13" t="str">
        <f ca="1">IFERROR(__xludf.DUMMYFUNCTION("""COMPUTED_VALUE"""),"H1_B8_VD_5.mp3")</f>
        <v>H1_B8_VD_5.mp3</v>
      </c>
    </row>
    <row r="90" spans="1:13">
      <c r="A90" s="13">
        <f ca="1">IFERROR(__xludf.DUMMYFUNCTION("""COMPUTED_VALUE"""),6)</f>
        <v>6</v>
      </c>
      <c r="B90" s="13"/>
      <c r="C90" s="13" t="str">
        <f ca="1">IFERROR(__xludf.DUMMYFUNCTION("""COMPUTED_VALUE"""),"儿子")</f>
        <v>儿子</v>
      </c>
      <c r="D90" s="13" t="str">
        <f ca="1">IFERROR(__xludf.DUMMYFUNCTION("""COMPUTED_VALUE"""),"&lt;ruby&gt;儿子&lt;rt&gt;ér zi&lt;/rt&gt;&lt;/ruby&gt;")</f>
        <v>&lt;ruby&gt;儿子&lt;rt&gt;ér zi&lt;/rt&gt;&lt;/ruby&gt;</v>
      </c>
      <c r="E90" s="13" t="str">
        <f ca="1">IFERROR(__xludf.DUMMYFUNCTION("""COMPUTED_VALUE"""),"ér zi")</f>
        <v>ér zi</v>
      </c>
      <c r="F90" s="13" t="str">
        <f ca="1">IFERROR(__xludf.DUMMYFUNCTION("""COMPUTED_VALUE"""),"Danh từ")</f>
        <v>Danh từ</v>
      </c>
      <c r="G90" s="13" t="str">
        <f ca="1">IFERROR(__xludf.DUMMYFUNCTION("""COMPUTED_VALUE"""),"Con trai")</f>
        <v>Con trai</v>
      </c>
      <c r="H90" s="13" t="str">
        <f ca="1">IFERROR(__xludf.DUMMYFUNCTION("""COMPUTED_VALUE"""),"这是我儿子。")</f>
        <v>这是我儿子。</v>
      </c>
      <c r="I90" s="13" t="str">
        <f ca="1">IFERROR(__xludf.DUMMYFUNCTION("""COMPUTED_VALUE"""),"Zhè shì wǒ érzi.")</f>
        <v>Zhè shì wǒ érzi.</v>
      </c>
      <c r="J90" s="13" t="str">
        <f ca="1">IFERROR(__xludf.DUMMYFUNCTION("""COMPUTED_VALUE"""),"Đây là con trai của tôi.")</f>
        <v>Đây là con trai của tôi.</v>
      </c>
      <c r="K90" s="13" t="str">
        <f ca="1">IFERROR(__xludf.DUMMYFUNCTION("""COMPUTED_VALUE"""),"H1_B8_BG-06.gif")</f>
        <v>H1_B8_BG-06.gif</v>
      </c>
      <c r="L90" s="13" t="str">
        <f ca="1">IFERROR(__xludf.DUMMYFUNCTION("""COMPUTED_VALUE"""),"H1_B8-06.mp3")</f>
        <v>H1_B8-06.mp3</v>
      </c>
      <c r="M90" s="13" t="str">
        <f ca="1">IFERROR(__xludf.DUMMYFUNCTION("""COMPUTED_VALUE"""),"H1_B8_VD_6.mp3")</f>
        <v>H1_B8_VD_6.mp3</v>
      </c>
    </row>
    <row r="91" spans="1:13">
      <c r="A91" s="13">
        <f ca="1">IFERROR(__xludf.DUMMYFUNCTION("""COMPUTED_VALUE"""),7)</f>
        <v>7</v>
      </c>
      <c r="B91" s="13"/>
      <c r="C91" s="13" t="str">
        <f ca="1">IFERROR(__xludf.DUMMYFUNCTION("""COMPUTED_VALUE"""),"爸爸")</f>
        <v>爸爸</v>
      </c>
      <c r="D91" s="13" t="str">
        <f ca="1">IFERROR(__xludf.DUMMYFUNCTION("""COMPUTED_VALUE"""),"&lt;ruby&gt;爸爸&lt;rt&gt;bàba&lt;/rt&gt;&lt;/ruby&gt;")</f>
        <v>&lt;ruby&gt;爸爸&lt;rt&gt;bàba&lt;/rt&gt;&lt;/ruby&gt;</v>
      </c>
      <c r="E91" s="13" t="str">
        <f ca="1">IFERROR(__xludf.DUMMYFUNCTION("""COMPUTED_VALUE"""),"bàba")</f>
        <v>bàba</v>
      </c>
      <c r="F91" s="13" t="str">
        <f ca="1">IFERROR(__xludf.DUMMYFUNCTION("""COMPUTED_VALUE"""),"Danh từ")</f>
        <v>Danh từ</v>
      </c>
      <c r="G91" s="13" t="str">
        <f ca="1">IFERROR(__xludf.DUMMYFUNCTION("""COMPUTED_VALUE"""),"Bố")</f>
        <v>Bố</v>
      </c>
      <c r="H91" s="13" t="str">
        <f ca="1">IFERROR(__xludf.DUMMYFUNCTION("""COMPUTED_VALUE"""),"这是我爸爸。")</f>
        <v>这是我爸爸。</v>
      </c>
      <c r="I91" s="13" t="str">
        <f ca="1">IFERROR(__xludf.DUMMYFUNCTION("""COMPUTED_VALUE"""),"Zhè shì wǒ bàba.")</f>
        <v>Zhè shì wǒ bàba.</v>
      </c>
      <c r="J91" s="13" t="str">
        <f ca="1">IFERROR(__xludf.DUMMYFUNCTION("""COMPUTED_VALUE"""),"Đây là bố của tôi.")</f>
        <v>Đây là bố của tôi.</v>
      </c>
      <c r="K91" s="13" t="str">
        <f ca="1">IFERROR(__xludf.DUMMYFUNCTION("""COMPUTED_VALUE"""),"H1_B8_BG-07.gif")</f>
        <v>H1_B8_BG-07.gif</v>
      </c>
      <c r="L91" s="13" t="str">
        <f ca="1">IFERROR(__xludf.DUMMYFUNCTION("""COMPUTED_VALUE"""),"H1_B8-07.mp3")</f>
        <v>H1_B8-07.mp3</v>
      </c>
      <c r="M91" s="13" t="str">
        <f ca="1">IFERROR(__xludf.DUMMYFUNCTION("""COMPUTED_VALUE"""),"H1_B8_VD_7.mp3")</f>
        <v>H1_B8_VD_7.mp3</v>
      </c>
    </row>
    <row r="92" spans="1:13">
      <c r="A92" s="13">
        <f ca="1">IFERROR(__xludf.DUMMYFUNCTION("""COMPUTED_VALUE"""),8)</f>
        <v>8</v>
      </c>
      <c r="B92" s="13"/>
      <c r="C92" s="13" t="str">
        <f ca="1">IFERROR(__xludf.DUMMYFUNCTION("""COMPUTED_VALUE"""),"医生")</f>
        <v>医生</v>
      </c>
      <c r="D92" s="13" t="str">
        <f ca="1">IFERROR(__xludf.DUMMYFUNCTION("""COMPUTED_VALUE"""),"&lt;ruby&gt;医生&lt;rt&gt;yī shēng&lt;/rt&gt;&lt;/ruby&gt;")</f>
        <v>&lt;ruby&gt;医生&lt;rt&gt;yī shēng&lt;/rt&gt;&lt;/ruby&gt;</v>
      </c>
      <c r="E92" s="13" t="str">
        <f ca="1">IFERROR(__xludf.DUMMYFUNCTION("""COMPUTED_VALUE"""),"yī shēng")</f>
        <v>yī shēng</v>
      </c>
      <c r="F92" s="13" t="str">
        <f ca="1">IFERROR(__xludf.DUMMYFUNCTION("""COMPUTED_VALUE"""),"Danh từ")</f>
        <v>Danh từ</v>
      </c>
      <c r="G92" s="13" t="str">
        <f ca="1">IFERROR(__xludf.DUMMYFUNCTION("""COMPUTED_VALUE"""),"Bác sĩ")</f>
        <v>Bác sĩ</v>
      </c>
      <c r="H92" s="13" t="str">
        <f ca="1">IFERROR(__xludf.DUMMYFUNCTION("""COMPUTED_VALUE"""),"我妈妈是医生。")</f>
        <v>我妈妈是医生。</v>
      </c>
      <c r="I92" s="13" t="str">
        <f ca="1">IFERROR(__xludf.DUMMYFUNCTION("""COMPUTED_VALUE"""),"Wǒ māma shì yīshēng.")</f>
        <v>Wǒ māma shì yīshēng.</v>
      </c>
      <c r="J92" s="13" t="str">
        <f ca="1">IFERROR(__xludf.DUMMYFUNCTION("""COMPUTED_VALUE"""),"Mẹ tôi là bác sĩ.")</f>
        <v>Mẹ tôi là bác sĩ.</v>
      </c>
      <c r="K92" s="13" t="str">
        <f ca="1">IFERROR(__xludf.DUMMYFUNCTION("""COMPUTED_VALUE"""),"H1_B8_BG-08.gif")</f>
        <v>H1_B8_BG-08.gif</v>
      </c>
      <c r="L92" s="13" t="str">
        <f ca="1">IFERROR(__xludf.DUMMYFUNCTION("""COMPUTED_VALUE"""),"H1_B8-08.mp3")</f>
        <v>H1_B8-08.mp3</v>
      </c>
      <c r="M92" s="13" t="str">
        <f ca="1">IFERROR(__xludf.DUMMYFUNCTION("""COMPUTED_VALUE"""),"H1_B8_VD_8.mp3")</f>
        <v>H1_B8_VD_8.mp3</v>
      </c>
    </row>
    <row r="93" spans="1:13">
      <c r="A93" s="13">
        <f ca="1">IFERROR(__xludf.DUMMYFUNCTION("""COMPUTED_VALUE"""),9)</f>
        <v>9</v>
      </c>
      <c r="B93" s="13"/>
      <c r="C93" s="13" t="str">
        <f ca="1">IFERROR(__xludf.DUMMYFUNCTION("""COMPUTED_VALUE"""),"医院")</f>
        <v>医院</v>
      </c>
      <c r="D93" s="13" t="str">
        <f ca="1">IFERROR(__xludf.DUMMYFUNCTION("""COMPUTED_VALUE"""),"&lt;ruby&gt;医院&lt;rt&gt;yī yuàn&lt;/rt&gt;&lt;/ruby&gt;")</f>
        <v>&lt;ruby&gt;医院&lt;rt&gt;yī yuàn&lt;/rt&gt;&lt;/ruby&gt;</v>
      </c>
      <c r="E93" s="13" t="str">
        <f ca="1">IFERROR(__xludf.DUMMYFUNCTION("""COMPUTED_VALUE"""),"yī yuàn")</f>
        <v>yī yuàn</v>
      </c>
      <c r="F93" s="13" t="str">
        <f ca="1">IFERROR(__xludf.DUMMYFUNCTION("""COMPUTED_VALUE"""),"Danh từ")</f>
        <v>Danh từ</v>
      </c>
      <c r="G93" s="13" t="str">
        <f ca="1">IFERROR(__xludf.DUMMYFUNCTION("""COMPUTED_VALUE"""),"Bệnh viện")</f>
        <v>Bệnh viện</v>
      </c>
      <c r="H93" s="13" t="str">
        <f ca="1">IFERROR(__xludf.DUMMYFUNCTION("""COMPUTED_VALUE"""),"这是医院。")</f>
        <v>这是医院。</v>
      </c>
      <c r="I93" s="13" t="str">
        <f ca="1">IFERROR(__xludf.DUMMYFUNCTION("""COMPUTED_VALUE"""),"Zhè shì yīyuàn.")</f>
        <v>Zhè shì yīyuàn.</v>
      </c>
      <c r="J93" s="13" t="str">
        <f ca="1">IFERROR(__xludf.DUMMYFUNCTION("""COMPUTED_VALUE"""),"Đây là bệnh viện.")</f>
        <v>Đây là bệnh viện.</v>
      </c>
      <c r="K93" s="13" t="str">
        <f ca="1">IFERROR(__xludf.DUMMYFUNCTION("""COMPUTED_VALUE"""),"H1_B8_BG-09.gif")</f>
        <v>H1_B8_BG-09.gif</v>
      </c>
      <c r="L93" s="13" t="str">
        <f ca="1">IFERROR(__xludf.DUMMYFUNCTION("""COMPUTED_VALUE"""),"H1_B8-09.mp3")</f>
        <v>H1_B8-09.mp3</v>
      </c>
      <c r="M93" s="13" t="str">
        <f ca="1">IFERROR(__xludf.DUMMYFUNCTION("""COMPUTED_VALUE"""),"H1_B8_VD_9.mp3")</f>
        <v>H1_B8_VD_9.mp3</v>
      </c>
    </row>
    <row r="94" spans="1:13">
      <c r="A94" s="13">
        <f ca="1">IFERROR(__xludf.DUMMYFUNCTION("""COMPUTED_VALUE"""),10)</f>
        <v>10</v>
      </c>
      <c r="B94" s="13"/>
      <c r="C94" s="13" t="str">
        <f ca="1">IFERROR(__xludf.DUMMYFUNCTION("""COMPUTED_VALUE"""),"工作")</f>
        <v>工作</v>
      </c>
      <c r="D94" s="13" t="str">
        <f ca="1">IFERROR(__xludf.DUMMYFUNCTION("""COMPUTED_VALUE"""),"&lt;ruby&gt;工作&lt;rt&gt;gōng zuò&lt;/rt&gt;&lt;/ruby&gt;")</f>
        <v>&lt;ruby&gt;工作&lt;rt&gt;gōng zuò&lt;/rt&gt;&lt;/ruby&gt;</v>
      </c>
      <c r="E94" s="13" t="str">
        <f ca="1">IFERROR(__xludf.DUMMYFUNCTION("""COMPUTED_VALUE"""),"gōng zuò")</f>
        <v>gōng zuò</v>
      </c>
      <c r="F94" s="13" t="str">
        <f ca="1">IFERROR(__xludf.DUMMYFUNCTION("""COMPUTED_VALUE"""),"Động từ/Danh từ")</f>
        <v>Động từ/Danh từ</v>
      </c>
      <c r="G94" s="13" t="str">
        <f ca="1">IFERROR(__xludf.DUMMYFUNCTION("""COMPUTED_VALUE"""),"Làm việc/Công việc")</f>
        <v>Làm việc/Công việc</v>
      </c>
      <c r="H94" s="13" t="str">
        <f ca="1">IFERROR(__xludf.DUMMYFUNCTION("""COMPUTED_VALUE"""),"你儿子在哪儿工作？")</f>
        <v>你儿子在哪儿工作？</v>
      </c>
      <c r="I94" s="13" t="str">
        <f ca="1">IFERROR(__xludf.DUMMYFUNCTION("""COMPUTED_VALUE"""),"Nǐ érzi zài nǎr gōngzuò?")</f>
        <v>Nǐ érzi zài nǎr gōngzuò?</v>
      </c>
      <c r="J94" s="13" t="str">
        <f ca="1">IFERROR(__xludf.DUMMYFUNCTION("""COMPUTED_VALUE"""),"Con trai bạn làm việc ở đâu?")</f>
        <v>Con trai bạn làm việc ở đâu?</v>
      </c>
      <c r="K94" s="13" t="str">
        <f ca="1">IFERROR(__xludf.DUMMYFUNCTION("""COMPUTED_VALUE"""),"H1_B8_BG-10.gif")</f>
        <v>H1_B8_BG-10.gif</v>
      </c>
      <c r="L94" s="13" t="str">
        <f ca="1">IFERROR(__xludf.DUMMYFUNCTION("""COMPUTED_VALUE"""),"H1_B8-10.mp3")</f>
        <v>H1_B8-10.mp3</v>
      </c>
      <c r="M94" s="13" t="str">
        <f ca="1">IFERROR(__xludf.DUMMYFUNCTION("""COMPUTED_VALUE"""),"H1_B8_VD_10.mp3")</f>
        <v>H1_B8_VD_10.mp3</v>
      </c>
    </row>
    <row r="95" spans="1:13">
      <c r="A95" s="13">
        <f ca="1">IFERROR(__xludf.DUMMYFUNCTION("""COMPUTED_VALUE"""),11)</f>
        <v>11</v>
      </c>
      <c r="B95" s="13"/>
      <c r="C95" s="13" t="str">
        <f ca="1">IFERROR(__xludf.DUMMYFUNCTION("""COMPUTED_VALUE"""),"小")</f>
        <v>小</v>
      </c>
      <c r="D95" s="13" t="str">
        <f ca="1">IFERROR(__xludf.DUMMYFUNCTION("""COMPUTED_VALUE"""),"&lt;ruby&gt;小&lt;rt&gt;xiǎo&lt;/rt&gt;&lt;/ruby&gt;")</f>
        <v>&lt;ruby&gt;小&lt;rt&gt;xiǎo&lt;/rt&gt;&lt;/ruby&gt;</v>
      </c>
      <c r="E95" s="13" t="str">
        <f ca="1">IFERROR(__xludf.DUMMYFUNCTION("""COMPUTED_VALUE"""),"xiǎo")</f>
        <v>xiǎo</v>
      </c>
      <c r="F95" s="13" t="str">
        <f ca="1">IFERROR(__xludf.DUMMYFUNCTION("""COMPUTED_VALUE"""),"Tính từ")</f>
        <v>Tính từ</v>
      </c>
      <c r="G95" s="13" t="str">
        <f ca="1">IFERROR(__xludf.DUMMYFUNCTION("""COMPUTED_VALUE"""),"Nhỏ, bé")</f>
        <v>Nhỏ, bé</v>
      </c>
      <c r="H95" s="13" t="str">
        <f ca="1">IFERROR(__xludf.DUMMYFUNCTION("""COMPUTED_VALUE"""),"这条鱼很小。")</f>
        <v>这条鱼很小。</v>
      </c>
      <c r="I95" s="13" t="str">
        <f ca="1">IFERROR(__xludf.DUMMYFUNCTION("""COMPUTED_VALUE"""),"Zhè tiáo yú hěn xiǎo.")</f>
        <v>Zhè tiáo yú hěn xiǎo.</v>
      </c>
      <c r="J95" s="13" t="str">
        <f ca="1">IFERROR(__xludf.DUMMYFUNCTION("""COMPUTED_VALUE"""),"Con cá này rất nhỏ.")</f>
        <v>Con cá này rất nhỏ.</v>
      </c>
      <c r="K95" s="13" t="str">
        <f ca="1">IFERROR(__xludf.DUMMYFUNCTION("""COMPUTED_VALUE"""),"H1_B8_BG-11.gif")</f>
        <v>H1_B8_BG-11.gif</v>
      </c>
      <c r="L95" s="13" t="str">
        <f ca="1">IFERROR(__xludf.DUMMYFUNCTION("""COMPUTED_VALUE"""),"H1_B8-11.mp3")</f>
        <v>H1_B8-11.mp3</v>
      </c>
      <c r="M95" s="13" t="str">
        <f ca="1">IFERROR(__xludf.DUMMYFUNCTION("""COMPUTED_VALUE"""),"H1_B8_VD_11.mp3")</f>
        <v>H1_B8_VD_11.mp3</v>
      </c>
    </row>
    <row r="96" spans="1:13">
      <c r="A96" s="13">
        <f ca="1">IFERROR(__xludf.DUMMYFUNCTION("""COMPUTED_VALUE"""),12)</f>
        <v>12</v>
      </c>
      <c r="B96" s="13"/>
      <c r="C96" s="13" t="str">
        <f ca="1">IFERROR(__xludf.DUMMYFUNCTION("""COMPUTED_VALUE"""),"椅子")</f>
        <v>椅子</v>
      </c>
      <c r="D96" s="13" t="str">
        <f ca="1">IFERROR(__xludf.DUMMYFUNCTION("""COMPUTED_VALUE"""),"&lt;ruby&gt;椅子&lt;rt&gt;yǐ zi&lt;/rt&gt;&lt;/ruby&gt;")</f>
        <v>&lt;ruby&gt;椅子&lt;rt&gt;yǐ zi&lt;/rt&gt;&lt;/ruby&gt;</v>
      </c>
      <c r="E96" s="13" t="str">
        <f ca="1">IFERROR(__xludf.DUMMYFUNCTION("""COMPUTED_VALUE"""),"yǐ zi")</f>
        <v>yǐ zi</v>
      </c>
      <c r="F96" s="13" t="str">
        <f ca="1">IFERROR(__xludf.DUMMYFUNCTION("""COMPUTED_VALUE"""),"Danh từ")</f>
        <v>Danh từ</v>
      </c>
      <c r="G96" s="13" t="str">
        <f ca="1">IFERROR(__xludf.DUMMYFUNCTION("""COMPUTED_VALUE"""),"Ghế dựa")</f>
        <v>Ghế dựa</v>
      </c>
      <c r="H96" s="13" t="str">
        <f ca="1">IFERROR(__xludf.DUMMYFUNCTION("""COMPUTED_VALUE"""),"你的书在椅子下面。")</f>
        <v>你的书在椅子下面。</v>
      </c>
      <c r="I96" s="13" t="str">
        <f ca="1">IFERROR(__xludf.DUMMYFUNCTION("""COMPUTED_VALUE"""),"Nǐ de shū zài yǐzi xiàmiàn.")</f>
        <v>Nǐ de shū zài yǐzi xiàmiàn.</v>
      </c>
      <c r="J96" s="13" t="str">
        <f ca="1">IFERROR(__xludf.DUMMYFUNCTION("""COMPUTED_VALUE"""),"Sách của bạn ở dưới cái ghế dựa.")</f>
        <v>Sách của bạn ở dưới cái ghế dựa.</v>
      </c>
      <c r="K96" s="13" t="str">
        <f ca="1">IFERROR(__xludf.DUMMYFUNCTION("""COMPUTED_VALUE"""),"H1_B8_BG-12.gif")</f>
        <v>H1_B8_BG-12.gif</v>
      </c>
      <c r="L96" s="13" t="str">
        <f ca="1">IFERROR(__xludf.DUMMYFUNCTION("""COMPUTED_VALUE"""),"H1_B8-12.mp3")</f>
        <v>H1_B8-12.mp3</v>
      </c>
      <c r="M96" s="13" t="str">
        <f ca="1">IFERROR(__xludf.DUMMYFUNCTION("""COMPUTED_VALUE"""),"H1_B8_VD_12.mp3")</f>
        <v>H1_B8_VD_12.mp3</v>
      </c>
    </row>
    <row r="97" spans="1:13">
      <c r="A97" s="13">
        <f ca="1">IFERROR(__xludf.DUMMYFUNCTION("""COMPUTED_VALUE"""),13)</f>
        <v>13</v>
      </c>
      <c r="B97" s="13"/>
      <c r="C97" s="13" t="str">
        <f ca="1">IFERROR(__xludf.DUMMYFUNCTION("""COMPUTED_VALUE"""),"狗")</f>
        <v>狗</v>
      </c>
      <c r="D97" s="13" t="str">
        <f ca="1">IFERROR(__xludf.DUMMYFUNCTION("""COMPUTED_VALUE"""),"&lt;ruby&gt;狗&lt;rt&gt;gǒu&lt;/rt&gt;&lt;/ruby&gt;")</f>
        <v>&lt;ruby&gt;狗&lt;rt&gt;gǒu&lt;/rt&gt;&lt;/ruby&gt;</v>
      </c>
      <c r="E97" s="13" t="str">
        <f ca="1">IFERROR(__xludf.DUMMYFUNCTION("""COMPUTED_VALUE"""),"gǒu")</f>
        <v>gǒu</v>
      </c>
      <c r="F97" s="13" t="str">
        <f ca="1">IFERROR(__xludf.DUMMYFUNCTION("""COMPUTED_VALUE"""),"Danh từ")</f>
        <v>Danh từ</v>
      </c>
      <c r="G97" s="13" t="str">
        <f ca="1">IFERROR(__xludf.DUMMYFUNCTION("""COMPUTED_VALUE"""),"Chó")</f>
        <v>Chó</v>
      </c>
      <c r="H97" s="13" t="str">
        <f ca="1">IFERROR(__xludf.DUMMYFUNCTION("""COMPUTED_VALUE"""),"我家有一只狗。")</f>
        <v>我家有一只狗。</v>
      </c>
      <c r="I97" s="13" t="str">
        <f ca="1">IFERROR(__xludf.DUMMYFUNCTION("""COMPUTED_VALUE"""),"Wǒ jiā yǒu yì zhī gǒu.")</f>
        <v>Wǒ jiā yǒu yì zhī gǒu.</v>
      </c>
      <c r="J97" s="13" t="str">
        <f ca="1">IFERROR(__xludf.DUMMYFUNCTION("""COMPUTED_VALUE"""),"Nhà tôi có một chú chó.")</f>
        <v>Nhà tôi có một chú chó.</v>
      </c>
      <c r="K97" s="13" t="str">
        <f ca="1">IFERROR(__xludf.DUMMYFUNCTION("""COMPUTED_VALUE"""),"H1_B8_BG-13.gif")</f>
        <v>H1_B8_BG-13.gif</v>
      </c>
      <c r="L97" s="13" t="str">
        <f ca="1">IFERROR(__xludf.DUMMYFUNCTION("""COMPUTED_VALUE"""),"H1_B8-13.mp3")</f>
        <v>H1_B8-13.mp3</v>
      </c>
      <c r="M97" s="13" t="str">
        <f ca="1">IFERROR(__xludf.DUMMYFUNCTION("""COMPUTED_VALUE"""),"H1_B8_VD_13.mp3")</f>
        <v>H1_B8_VD_13.mp3</v>
      </c>
    </row>
    <row r="98" spans="1:13">
      <c r="A98" s="13">
        <f ca="1">IFERROR(__xludf.DUMMYFUNCTION("""COMPUTED_VALUE"""),14)</f>
        <v>14</v>
      </c>
      <c r="B98" s="13"/>
      <c r="C98" s="13" t="str">
        <f ca="1">IFERROR(__xludf.DUMMYFUNCTION("""COMPUTED_VALUE"""),"猫")</f>
        <v>猫</v>
      </c>
      <c r="D98" s="13" t="str">
        <f ca="1">IFERROR(__xludf.DUMMYFUNCTION("""COMPUTED_VALUE"""),"&lt;ruby&gt;猫&lt;rt&gt;māo&lt;/rt&gt;&lt;/ruby&gt;")</f>
        <v>&lt;ruby&gt;猫&lt;rt&gt;māo&lt;/rt&gt;&lt;/ruby&gt;</v>
      </c>
      <c r="E98" s="13" t="str">
        <f ca="1">IFERROR(__xludf.DUMMYFUNCTION("""COMPUTED_VALUE"""),"māo")</f>
        <v>māo</v>
      </c>
      <c r="F98" s="13" t="str">
        <f ca="1">IFERROR(__xludf.DUMMYFUNCTION("""COMPUTED_VALUE"""),"Danh từ")</f>
        <v>Danh từ</v>
      </c>
      <c r="G98" s="13" t="str">
        <f ca="1">IFERROR(__xludf.DUMMYFUNCTION("""COMPUTED_VALUE"""),"Mèo")</f>
        <v>Mèo</v>
      </c>
      <c r="H98" s="13" t="str">
        <f ca="1">IFERROR(__xludf.DUMMYFUNCTION("""COMPUTED_VALUE"""),"我喜欢猫。")</f>
        <v>我喜欢猫。</v>
      </c>
      <c r="I98" s="13" t="str">
        <f ca="1">IFERROR(__xludf.DUMMYFUNCTION("""COMPUTED_VALUE"""),"Wǒ xǐhuan māo.")</f>
        <v>Wǒ xǐhuan māo.</v>
      </c>
      <c r="J98" s="13" t="str">
        <f ca="1">IFERROR(__xludf.DUMMYFUNCTION("""COMPUTED_VALUE"""),"Tôi thích mèo.")</f>
        <v>Tôi thích mèo.</v>
      </c>
      <c r="K98" s="13" t="str">
        <f ca="1">IFERROR(__xludf.DUMMYFUNCTION("""COMPUTED_VALUE"""),"H1_B8_BG-14.gif")</f>
        <v>H1_B8_BG-14.gif</v>
      </c>
      <c r="L98" s="13" t="str">
        <f ca="1">IFERROR(__xludf.DUMMYFUNCTION("""COMPUTED_VALUE"""),"H1_B8-14.mp3")</f>
        <v>H1_B8-14.mp3</v>
      </c>
      <c r="M98" s="13" t="str">
        <f ca="1">IFERROR(__xludf.DUMMYFUNCTION("""COMPUTED_VALUE"""),"H1_B8_VD_14.mp3")</f>
        <v>H1_B8_VD_14.mp3</v>
      </c>
    </row>
    <row r="99" spans="1:13">
      <c r="A99" s="13">
        <f ca="1">IFERROR(__xludf.DUMMYFUNCTION("""COMPUTED_VALUE"""),1)</f>
        <v>1</v>
      </c>
      <c r="B99" s="13"/>
      <c r="C99" s="13" t="str">
        <f ca="1">IFERROR(__xludf.DUMMYFUNCTION("""COMPUTED_VALUE"""),"上")</f>
        <v>上</v>
      </c>
      <c r="D99" s="13" t="str">
        <f ca="1">IFERROR(__xludf.DUMMYFUNCTION("""COMPUTED_VALUE"""),"&lt;ruby&gt;上&lt;rt&gt;shàng&lt;/rt&gt;&lt;/ruby&gt;")</f>
        <v>&lt;ruby&gt;上&lt;rt&gt;shàng&lt;/rt&gt;&lt;/ruby&gt;</v>
      </c>
      <c r="E99" s="13" t="str">
        <f ca="1">IFERROR(__xludf.DUMMYFUNCTION("""COMPUTED_VALUE"""),"shàng")</f>
        <v>shàng</v>
      </c>
      <c r="F99" s="13" t="str">
        <f ca="1">IFERROR(__xludf.DUMMYFUNCTION("""COMPUTED_VALUE"""),"Danh từ")</f>
        <v>Danh từ</v>
      </c>
      <c r="G99" s="13" t="str">
        <f ca="1">IFERROR(__xludf.DUMMYFUNCTION("""COMPUTED_VALUE"""),"Trên, phía trên")</f>
        <v>Trên, phía trên</v>
      </c>
      <c r="H99" s="13" t="str">
        <f ca="1">IFERROR(__xludf.DUMMYFUNCTION("""COMPUTED_VALUE"""),"上面有一面旗。")</f>
        <v>上面有一面旗。</v>
      </c>
      <c r="I99" s="13" t="str">
        <f ca="1">IFERROR(__xludf.DUMMYFUNCTION("""COMPUTED_VALUE"""),"Shàngmiàn yǒu yī miàn qí.")</f>
        <v>Shàngmiàn yǒu yī miàn qí.</v>
      </c>
      <c r="J99" s="13" t="str">
        <f ca="1">IFERROR(__xludf.DUMMYFUNCTION("""COMPUTED_VALUE"""),"Bên trên có một lá cờ.")</f>
        <v>Bên trên có một lá cờ.</v>
      </c>
      <c r="K99" s="13" t="str">
        <f ca="1">IFERROR(__xludf.DUMMYFUNCTION("""COMPUTED_VALUE"""),"H1_B9_BG-01.gif")</f>
        <v>H1_B9_BG-01.gif</v>
      </c>
      <c r="L99" s="13" t="str">
        <f ca="1">IFERROR(__xludf.DUMMYFUNCTION("""COMPUTED_VALUE"""),"H1_B9_1.mp3")</f>
        <v>H1_B9_1.mp3</v>
      </c>
      <c r="M99" s="13" t="str">
        <f ca="1">IFERROR(__xludf.DUMMYFUNCTION("""COMPUTED_VALUE"""),"H1_B9_VD_1.mp3")</f>
        <v>H1_B9_VD_1.mp3</v>
      </c>
    </row>
    <row r="100" spans="1:13">
      <c r="A100" s="13">
        <f ca="1">IFERROR(__xludf.DUMMYFUNCTION("""COMPUTED_VALUE"""),2)</f>
        <v>2</v>
      </c>
      <c r="B100" s="13"/>
      <c r="C100" s="13" t="str">
        <f ca="1">IFERROR(__xludf.DUMMYFUNCTION("""COMPUTED_VALUE"""),"前面")</f>
        <v>前面</v>
      </c>
      <c r="D100" s="13" t="str">
        <f ca="1">IFERROR(__xludf.DUMMYFUNCTION("""COMPUTED_VALUE"""),"&lt;ruby&gt;前面&lt;rt&gt;qián miàn&lt;/rt&gt;&lt;/ruby&gt;")</f>
        <v>&lt;ruby&gt;前面&lt;rt&gt;qián miàn&lt;/rt&gt;&lt;/ruby&gt;</v>
      </c>
      <c r="E100" s="13" t="str">
        <f ca="1">IFERROR(__xludf.DUMMYFUNCTION("""COMPUTED_VALUE"""),"qián miàn")</f>
        <v>qián miàn</v>
      </c>
      <c r="F100" s="13" t="str">
        <f ca="1">IFERROR(__xludf.DUMMYFUNCTION("""COMPUTED_VALUE"""),"Danh từ")</f>
        <v>Danh từ</v>
      </c>
      <c r="G100" s="13" t="str">
        <f ca="1">IFERROR(__xludf.DUMMYFUNCTION("""COMPUTED_VALUE"""),"Phía trước")</f>
        <v>Phía trước</v>
      </c>
      <c r="H100" s="13" t="str">
        <f ca="1">IFERROR(__xludf.DUMMYFUNCTION("""COMPUTED_VALUE"""),"蓝色的车在我车前面。")</f>
        <v>蓝色的车在我车前面。</v>
      </c>
      <c r="I100" s="13" t="str">
        <f ca="1">IFERROR(__xludf.DUMMYFUNCTION("""COMPUTED_VALUE"""),"Lánsè de chē zài wǒ chē qiánmiàn.")</f>
        <v>Lánsè de chē zài wǒ chē qiánmiàn.</v>
      </c>
      <c r="J100" s="13" t="str">
        <f ca="1">IFERROR(__xludf.DUMMYFUNCTION("""COMPUTED_VALUE"""),"Chiếc xe màu xanh ở phía trước xe của tôi.")</f>
        <v>Chiếc xe màu xanh ở phía trước xe của tôi.</v>
      </c>
      <c r="K100" s="13" t="str">
        <f ca="1">IFERROR(__xludf.DUMMYFUNCTION("""COMPUTED_VALUE"""),"H1_B9_BG-02.gif")</f>
        <v>H1_B9_BG-02.gif</v>
      </c>
      <c r="L100" s="13" t="str">
        <f ca="1">IFERROR(__xludf.DUMMYFUNCTION("""COMPUTED_VALUE"""),"H1_B9_2.mp3")</f>
        <v>H1_B9_2.mp3</v>
      </c>
      <c r="M100" s="13" t="str">
        <f ca="1">IFERROR(__xludf.DUMMYFUNCTION("""COMPUTED_VALUE"""),"H1_B9_VD_2.mp3")</f>
        <v>H1_B9_VD_2.mp3</v>
      </c>
    </row>
    <row r="101" spans="1:13">
      <c r="A101" s="13">
        <f ca="1">IFERROR(__xludf.DUMMYFUNCTION("""COMPUTED_VALUE"""),3)</f>
        <v>3</v>
      </c>
      <c r="B101" s="13"/>
      <c r="C101" s="13" t="str">
        <f ca="1">IFERROR(__xludf.DUMMYFUNCTION("""COMPUTED_VALUE"""),"后面")</f>
        <v>后面</v>
      </c>
      <c r="D101" s="13" t="str">
        <f ca="1">IFERROR(__xludf.DUMMYFUNCTION("""COMPUTED_VALUE"""),"&lt;ruby&gt;后面&lt;rt&gt;hòu miàn&lt;/rt&gt;&lt;/ruby&gt;")</f>
        <v>&lt;ruby&gt;后面&lt;rt&gt;hòu miàn&lt;/rt&gt;&lt;/ruby&gt;</v>
      </c>
      <c r="E101" s="13" t="str">
        <f ca="1">IFERROR(__xludf.DUMMYFUNCTION("""COMPUTED_VALUE"""),"hòu miàn")</f>
        <v>hòu miàn</v>
      </c>
      <c r="F101" s="13" t="str">
        <f ca="1">IFERROR(__xludf.DUMMYFUNCTION("""COMPUTED_VALUE"""),"Danh từ")</f>
        <v>Danh từ</v>
      </c>
      <c r="G101" s="13" t="str">
        <f ca="1">IFERROR(__xludf.DUMMYFUNCTION("""COMPUTED_VALUE"""),"Phía sau")</f>
        <v>Phía sau</v>
      </c>
      <c r="H101" s="13" t="str">
        <f ca="1">IFERROR(__xludf.DUMMYFUNCTION("""COMPUTED_VALUE"""),"蓝色的车在我车后面。")</f>
        <v>蓝色的车在我车后面。</v>
      </c>
      <c r="I101" s="13" t="str">
        <f ca="1">IFERROR(__xludf.DUMMYFUNCTION("""COMPUTED_VALUE"""),"Lánsè de chē zài wǒ chē hòumiàn.")</f>
        <v>Lánsè de chē zài wǒ chē hòumiàn.</v>
      </c>
      <c r="J101" s="13" t="str">
        <f ca="1">IFERROR(__xludf.DUMMYFUNCTION("""COMPUTED_VALUE"""),"Chiếc xe màu xanh ở phía sau xe của tôi.")</f>
        <v>Chiếc xe màu xanh ở phía sau xe của tôi.</v>
      </c>
      <c r="K101" s="13" t="str">
        <f ca="1">IFERROR(__xludf.DUMMYFUNCTION("""COMPUTED_VALUE"""),"H1_B9_BG-03.gif")</f>
        <v>H1_B9_BG-03.gif</v>
      </c>
      <c r="L101" s="13" t="str">
        <f ca="1">IFERROR(__xludf.DUMMYFUNCTION("""COMPUTED_VALUE"""),"H1_B9_3.mp3")</f>
        <v>H1_B9_3.mp3</v>
      </c>
      <c r="M101" s="13" t="str">
        <f ca="1">IFERROR(__xludf.DUMMYFUNCTION("""COMPUTED_VALUE"""),"H1_B9_VD_3.mp3")</f>
        <v>H1_B9_VD_3.mp3</v>
      </c>
    </row>
    <row r="102" spans="1:13">
      <c r="A102" s="13">
        <f ca="1">IFERROR(__xludf.DUMMYFUNCTION("""COMPUTED_VALUE"""),4)</f>
        <v>4</v>
      </c>
      <c r="B102" s="13"/>
      <c r="C102" s="13" t="str">
        <f ca="1">IFERROR(__xludf.DUMMYFUNCTION("""COMPUTED_VALUE"""),"里")</f>
        <v>里</v>
      </c>
      <c r="D102" s="13" t="str">
        <f ca="1">IFERROR(__xludf.DUMMYFUNCTION("""COMPUTED_VALUE"""),"&lt;ruby&gt;里&lt;rt&gt;lǐ&lt;/rt&gt;&lt;/ruby&gt;")</f>
        <v>&lt;ruby&gt;里&lt;rt&gt;lǐ&lt;/rt&gt;&lt;/ruby&gt;</v>
      </c>
      <c r="E102" s="13" t="str">
        <f ca="1">IFERROR(__xludf.DUMMYFUNCTION("""COMPUTED_VALUE"""),"lǐ")</f>
        <v>lǐ</v>
      </c>
      <c r="F102" s="13" t="str">
        <f ca="1">IFERROR(__xludf.DUMMYFUNCTION("""COMPUTED_VALUE"""),"Danh từ")</f>
        <v>Danh từ</v>
      </c>
      <c r="G102" s="13" t="str">
        <f ca="1">IFERROR(__xludf.DUMMYFUNCTION("""COMPUTED_VALUE"""),"Bên trong")</f>
        <v>Bên trong</v>
      </c>
      <c r="H102" s="13" t="str">
        <f ca="1">IFERROR(__xludf.DUMMYFUNCTION("""COMPUTED_VALUE"""),"里面有两支铅笔。")</f>
        <v>里面有两支铅笔。</v>
      </c>
      <c r="I102" s="13" t="str">
        <f ca="1">IFERROR(__xludf.DUMMYFUNCTION("""COMPUTED_VALUE"""),"Lǐmiàn yǒu liǎng zhī qiānbǐ.")</f>
        <v>Lǐmiàn yǒu liǎng zhī qiānbǐ.</v>
      </c>
      <c r="J102" s="13" t="str">
        <f ca="1">IFERROR(__xludf.DUMMYFUNCTION("""COMPUTED_VALUE"""),"Bên trong có hai cái bút chì.")</f>
        <v>Bên trong có hai cái bút chì.</v>
      </c>
      <c r="K102" s="13" t="str">
        <f ca="1">IFERROR(__xludf.DUMMYFUNCTION("""COMPUTED_VALUE"""),"H1_B9_BG-04.gif")</f>
        <v>H1_B9_BG-04.gif</v>
      </c>
      <c r="L102" s="13" t="str">
        <f ca="1">IFERROR(__xludf.DUMMYFUNCTION("""COMPUTED_VALUE"""),"H1_B9_4.mp3")</f>
        <v>H1_B9_4.mp3</v>
      </c>
      <c r="M102" s="13" t="str">
        <f ca="1">IFERROR(__xludf.DUMMYFUNCTION("""COMPUTED_VALUE"""),"H1_B9_VD_4.mp3")</f>
        <v>H1_B9_VD_4.mp3</v>
      </c>
    </row>
    <row r="103" spans="1:13">
      <c r="A103" s="13">
        <f ca="1">IFERROR(__xludf.DUMMYFUNCTION("""COMPUTED_VALUE"""),5)</f>
        <v>5</v>
      </c>
      <c r="B103" s="13"/>
      <c r="C103" s="13" t="str">
        <f ca="1">IFERROR(__xludf.DUMMYFUNCTION("""COMPUTED_VALUE"""),"这儿")</f>
        <v>这儿</v>
      </c>
      <c r="D103" s="13" t="str">
        <f ca="1">IFERROR(__xludf.DUMMYFUNCTION("""COMPUTED_VALUE"""),"&lt;ruby&gt;这儿&lt;rt&gt;zhèr&lt;/rt&gt;&lt;/ruby&gt;")</f>
        <v>&lt;ruby&gt;这儿&lt;rt&gt;zhèr&lt;/rt&gt;&lt;/ruby&gt;</v>
      </c>
      <c r="E103" s="13" t="str">
        <f ca="1">IFERROR(__xludf.DUMMYFUNCTION("""COMPUTED_VALUE"""),"zhèr")</f>
        <v>zhèr</v>
      </c>
      <c r="F103" s="13" t="str">
        <f ca="1">IFERROR(__xludf.DUMMYFUNCTION("""COMPUTED_VALUE"""),"Đại từ")</f>
        <v>Đại từ</v>
      </c>
      <c r="G103" s="13" t="str">
        <f ca="1">IFERROR(__xludf.DUMMYFUNCTION("""COMPUTED_VALUE"""),"Chỗ này, ở đây")</f>
        <v>Chỗ này, ở đây</v>
      </c>
      <c r="H103" s="13" t="str">
        <f ca="1">IFERROR(__xludf.DUMMYFUNCTION("""COMPUTED_VALUE"""),"这儿有很多水果。")</f>
        <v>这儿有很多水果。</v>
      </c>
      <c r="I103" s="13" t="str">
        <f ca="1">IFERROR(__xludf.DUMMYFUNCTION("""COMPUTED_VALUE"""),"Zhèr yǒu hěn duō shuǐguǒ.")</f>
        <v>Zhèr yǒu hěn duō shuǐguǒ.</v>
      </c>
      <c r="J103" s="13" t="str">
        <f ca="1">IFERROR(__xludf.DUMMYFUNCTION("""COMPUTED_VALUE"""),"Ở đây có rất nhiều hoa quả.")</f>
        <v>Ở đây có rất nhiều hoa quả.</v>
      </c>
      <c r="K103" s="13" t="str">
        <f ca="1">IFERROR(__xludf.DUMMYFUNCTION("""COMPUTED_VALUE"""),"H1_B9_BG-05.gif")</f>
        <v>H1_B9_BG-05.gif</v>
      </c>
      <c r="L103" s="13" t="str">
        <f ca="1">IFERROR(__xludf.DUMMYFUNCTION("""COMPUTED_VALUE"""),"H1_B9_5.mp3")</f>
        <v>H1_B9_5.mp3</v>
      </c>
      <c r="M103" s="13" t="str">
        <f ca="1">IFERROR(__xludf.DUMMYFUNCTION("""COMPUTED_VALUE"""),"H1_B9_VD_5.mp3")</f>
        <v>H1_B9_VD_5.mp3</v>
      </c>
    </row>
    <row r="104" spans="1:13">
      <c r="A104" s="13">
        <f ca="1">IFERROR(__xludf.DUMMYFUNCTION("""COMPUTED_VALUE"""),6)</f>
        <v>6</v>
      </c>
      <c r="B104" s="13"/>
      <c r="C104" s="13" t="str">
        <f ca="1">IFERROR(__xludf.DUMMYFUNCTION("""COMPUTED_VALUE"""),"和")</f>
        <v>和</v>
      </c>
      <c r="D104" s="13" t="str">
        <f ca="1">IFERROR(__xludf.DUMMYFUNCTION("""COMPUTED_VALUE"""),"&lt;ruby&gt;和&lt;rt&gt;hé&lt;/rt&gt;&lt;/ruby&gt;")</f>
        <v>&lt;ruby&gt;和&lt;rt&gt;hé&lt;/rt&gt;&lt;/ruby&gt;</v>
      </c>
      <c r="E104" s="13" t="str">
        <f ca="1">IFERROR(__xludf.DUMMYFUNCTION("""COMPUTED_VALUE"""),"hé")</f>
        <v>hé</v>
      </c>
      <c r="F104" s="13" t="str">
        <f ca="1">IFERROR(__xludf.DUMMYFUNCTION("""COMPUTED_VALUE"""),"Liên từ")</f>
        <v>Liên từ</v>
      </c>
      <c r="G104" s="13" t="str">
        <f ca="1">IFERROR(__xludf.DUMMYFUNCTION("""COMPUTED_VALUE"""),"Và")</f>
        <v>Và</v>
      </c>
      <c r="H104" s="13" t="str">
        <f ca="1">IFERROR(__xludf.DUMMYFUNCTION("""COMPUTED_VALUE"""),"他喜欢猫和狗。")</f>
        <v>他喜欢猫和狗。</v>
      </c>
      <c r="I104" s="13" t="str">
        <f ca="1">IFERROR(__xludf.DUMMYFUNCTION("""COMPUTED_VALUE"""),"Tā xǐhuan māo hé gǒu.")</f>
        <v>Tā xǐhuan māo hé gǒu.</v>
      </c>
      <c r="J104" s="13" t="str">
        <f ca="1">IFERROR(__xludf.DUMMYFUNCTION("""COMPUTED_VALUE"""),"Anh ấy thích mèo và chó.")</f>
        <v>Anh ấy thích mèo và chó.</v>
      </c>
      <c r="K104" s="13" t="str">
        <f ca="1">IFERROR(__xludf.DUMMYFUNCTION("""COMPUTED_VALUE"""),"H1_B9_BG-06.gif")</f>
        <v>H1_B9_BG-06.gif</v>
      </c>
      <c r="L104" s="13" t="str">
        <f ca="1">IFERROR(__xludf.DUMMYFUNCTION("""COMPUTED_VALUE"""),"H1_B9_6.mp3")</f>
        <v>H1_B9_6.mp3</v>
      </c>
      <c r="M104" s="13" t="str">
        <f ca="1">IFERROR(__xludf.DUMMYFUNCTION("""COMPUTED_VALUE"""),"H1_B9_VD_6.mp3")</f>
        <v>H1_B9_VD_6.mp3</v>
      </c>
    </row>
    <row r="105" spans="1:13">
      <c r="A105" s="13">
        <f ca="1">IFERROR(__xludf.DUMMYFUNCTION("""COMPUTED_VALUE"""),7)</f>
        <v>7</v>
      </c>
      <c r="B105" s="13"/>
      <c r="C105" s="13" t="str">
        <f ca="1">IFERROR(__xludf.DUMMYFUNCTION("""COMPUTED_VALUE"""),"坐")</f>
        <v>坐</v>
      </c>
      <c r="D105" s="13" t="str">
        <f ca="1">IFERROR(__xludf.DUMMYFUNCTION("""COMPUTED_VALUE"""),"&lt;ruby&gt;坐&lt;rt&gt;zuò&lt;/rt&gt;&lt;/ruby&gt;")</f>
        <v>&lt;ruby&gt;坐&lt;rt&gt;zuò&lt;/rt&gt;&lt;/ruby&gt;</v>
      </c>
      <c r="E105" s="13" t="str">
        <f ca="1">IFERROR(__xludf.DUMMYFUNCTION("""COMPUTED_VALUE"""),"zuò")</f>
        <v>zuò</v>
      </c>
      <c r="F105" s="13" t="str">
        <f ca="1">IFERROR(__xludf.DUMMYFUNCTION("""COMPUTED_VALUE"""),"Động từ")</f>
        <v>Động từ</v>
      </c>
      <c r="G105" s="13" t="str">
        <f ca="1">IFERROR(__xludf.DUMMYFUNCTION("""COMPUTED_VALUE"""),"Ngồi")</f>
        <v>Ngồi</v>
      </c>
      <c r="H105" s="13" t="str">
        <f ca="1">IFERROR(__xludf.DUMMYFUNCTION("""COMPUTED_VALUE"""),"两个人坐在一起。")</f>
        <v>两个人坐在一起。</v>
      </c>
      <c r="I105" s="13" t="str">
        <f ca="1">IFERROR(__xludf.DUMMYFUNCTION("""COMPUTED_VALUE"""),"Liǎng gè rén zuò zài yīqǐ.")</f>
        <v>Liǎng gè rén zuò zài yīqǐ.</v>
      </c>
      <c r="J105" s="13" t="str">
        <f ca="1">IFERROR(__xludf.DUMMYFUNCTION("""COMPUTED_VALUE"""),"Hai người ngồi cùng nhau.")</f>
        <v>Hai người ngồi cùng nhau.</v>
      </c>
      <c r="K105" s="13" t="str">
        <f ca="1">IFERROR(__xludf.DUMMYFUNCTION("""COMPUTED_VALUE"""),"H1_B9_BG-07.gif")</f>
        <v>H1_B9_BG-07.gif</v>
      </c>
      <c r="L105" s="13" t="str">
        <f ca="1">IFERROR(__xludf.DUMMYFUNCTION("""COMPUTED_VALUE"""),"H1_B9_7.mp3")</f>
        <v>H1_B9_7.mp3</v>
      </c>
      <c r="M105" s="13" t="str">
        <f ca="1">IFERROR(__xludf.DUMMYFUNCTION("""COMPUTED_VALUE"""),"H1_B9_VD_7.mp3")</f>
        <v>H1_B9_VD_7.mp3</v>
      </c>
    </row>
    <row r="106" spans="1:13">
      <c r="A106" s="13">
        <f ca="1">IFERROR(__xludf.DUMMYFUNCTION("""COMPUTED_VALUE"""),8)</f>
        <v>8</v>
      </c>
      <c r="B106" s="13"/>
      <c r="C106" s="13" t="str">
        <f ca="1">IFERROR(__xludf.DUMMYFUNCTION("""COMPUTED_VALUE"""),"没有")</f>
        <v>没有</v>
      </c>
      <c r="D106" s="13" t="str">
        <f ca="1">IFERROR(__xludf.DUMMYFUNCTION("""COMPUTED_VALUE"""),"&lt;ruby&gt;没有&lt;rt&gt;méi yǒu&lt;/rt&gt;&lt;/ruby&gt;")</f>
        <v>&lt;ruby&gt;没有&lt;rt&gt;méi yǒu&lt;/rt&gt;&lt;/ruby&gt;</v>
      </c>
      <c r="E106" s="13" t="str">
        <f ca="1">IFERROR(__xludf.DUMMYFUNCTION("""COMPUTED_VALUE"""),"méi yǒu")</f>
        <v>méi yǒu</v>
      </c>
      <c r="F106" s="13" t="str">
        <f ca="1">IFERROR(__xludf.DUMMYFUNCTION("""COMPUTED_VALUE"""),"Động từ")</f>
        <v>Động từ</v>
      </c>
      <c r="G106" s="13" t="str">
        <f ca="1">IFERROR(__xludf.DUMMYFUNCTION("""COMPUTED_VALUE"""),"Không có")</f>
        <v>Không có</v>
      </c>
      <c r="H106" s="13" t="str">
        <f ca="1">IFERROR(__xludf.DUMMYFUNCTION("""COMPUTED_VALUE"""),"她没有书。")</f>
        <v>她没有书。</v>
      </c>
      <c r="I106" s="13" t="str">
        <f ca="1">IFERROR(__xludf.DUMMYFUNCTION("""COMPUTED_VALUE"""),"Tā méiyǒu shū.")</f>
        <v>Tā méiyǒu shū.</v>
      </c>
      <c r="J106" s="13" t="str">
        <f ca="1">IFERROR(__xludf.DUMMYFUNCTION("""COMPUTED_VALUE"""),"Cô ấy không có sách.")</f>
        <v>Cô ấy không có sách.</v>
      </c>
      <c r="K106" s="13" t="str">
        <f ca="1">IFERROR(__xludf.DUMMYFUNCTION("""COMPUTED_VALUE"""),"H1_B9_BG-08.gif")</f>
        <v>H1_B9_BG-08.gif</v>
      </c>
      <c r="L106" s="13" t="str">
        <f ca="1">IFERROR(__xludf.DUMMYFUNCTION("""COMPUTED_VALUE"""),"H1_B9_8.mp3")</f>
        <v>H1_B9_8.mp3</v>
      </c>
      <c r="M106" s="13" t="str">
        <f ca="1">IFERROR(__xludf.DUMMYFUNCTION("""COMPUTED_VALUE"""),"H1_B9_VD_8.mp3")</f>
        <v>H1_B9_VD_8.mp3</v>
      </c>
    </row>
    <row r="107" spans="1:13">
      <c r="A107" s="13">
        <f ca="1">IFERROR(__xludf.DUMMYFUNCTION("""COMPUTED_VALUE"""),9)</f>
        <v>9</v>
      </c>
      <c r="B107" s="13"/>
      <c r="C107" s="13" t="str">
        <f ca="1">IFERROR(__xludf.DUMMYFUNCTION("""COMPUTED_VALUE"""),"能")</f>
        <v>能</v>
      </c>
      <c r="D107" s="13" t="str">
        <f ca="1">IFERROR(__xludf.DUMMYFUNCTION("""COMPUTED_VALUE"""),"&lt;ruby&gt;能&lt;rt&gt;néng&lt;/rt&gt;&lt;/ruby&gt;")</f>
        <v>&lt;ruby&gt;能&lt;rt&gt;néng&lt;/rt&gt;&lt;/ruby&gt;</v>
      </c>
      <c r="E107" s="13" t="str">
        <f ca="1">IFERROR(__xludf.DUMMYFUNCTION("""COMPUTED_VALUE"""),"néng")</f>
        <v>néng</v>
      </c>
      <c r="F107" s="13" t="str">
        <f ca="1">IFERROR(__xludf.DUMMYFUNCTION("""COMPUTED_VALUE"""),"Động từ")</f>
        <v>Động từ</v>
      </c>
      <c r="G107" s="13" t="str">
        <f ca="1">IFERROR(__xludf.DUMMYFUNCTION("""COMPUTED_VALUE"""),"Có thể")</f>
        <v>Có thể</v>
      </c>
      <c r="H107" s="13" t="str">
        <f ca="1">IFERROR(__xludf.DUMMYFUNCTION("""COMPUTED_VALUE"""),"你能搬这个柜子吗？")</f>
        <v>你能搬这个柜子吗？</v>
      </c>
      <c r="I107" s="13" t="str">
        <f ca="1">IFERROR(__xludf.DUMMYFUNCTION("""COMPUTED_VALUE"""),"Nǐ néng bān zhège guìzi ma?")</f>
        <v>Nǐ néng bān zhège guìzi ma?</v>
      </c>
      <c r="J107" s="13" t="str">
        <f ca="1">IFERROR(__xludf.DUMMYFUNCTION("""COMPUTED_VALUE"""),"Bạn có thể di chuyển chiếc tủ này không?")</f>
        <v>Bạn có thể di chuyển chiếc tủ này không?</v>
      </c>
      <c r="K107" s="13" t="str">
        <f ca="1">IFERROR(__xludf.DUMMYFUNCTION("""COMPUTED_VALUE"""),"H1_B9_BG-09.gif")</f>
        <v>H1_B9_BG-09.gif</v>
      </c>
      <c r="L107" s="13" t="str">
        <f ca="1">IFERROR(__xludf.DUMMYFUNCTION("""COMPUTED_VALUE"""),"H1_B9_9.mp3")</f>
        <v>H1_B9_9.mp3</v>
      </c>
      <c r="M107" s="13" t="str">
        <f ca="1">IFERROR(__xludf.DUMMYFUNCTION("""COMPUTED_VALUE"""),"H1_B9_VD_9.mp3")</f>
        <v>H1_B9_VD_9.mp3</v>
      </c>
    </row>
    <row r="108" spans="1:13">
      <c r="A108" s="13">
        <f ca="1">IFERROR(__xludf.DUMMYFUNCTION("""COMPUTED_VALUE"""),10)</f>
        <v>10</v>
      </c>
      <c r="B108" s="13"/>
      <c r="C108" s="13" t="str">
        <f ca="1">IFERROR(__xludf.DUMMYFUNCTION("""COMPUTED_VALUE"""),"本")</f>
        <v>本</v>
      </c>
      <c r="D108" s="13" t="str">
        <f ca="1">IFERROR(__xludf.DUMMYFUNCTION("""COMPUTED_VALUE"""),"&lt;ruby&gt;本&lt;rt&gt;běn&lt;/rt&gt;&lt;/ruby&gt;")</f>
        <v>&lt;ruby&gt;本&lt;rt&gt;běn&lt;/rt&gt;&lt;/ruby&gt;</v>
      </c>
      <c r="E108" s="13" t="str">
        <f ca="1">IFERROR(__xludf.DUMMYFUNCTION("""COMPUTED_VALUE"""),"běn")</f>
        <v>běn</v>
      </c>
      <c r="F108" s="13" t="str">
        <f ca="1">IFERROR(__xludf.DUMMYFUNCTION("""COMPUTED_VALUE"""),"Lượng từ")</f>
        <v>Lượng từ</v>
      </c>
      <c r="G108" s="13" t="str">
        <f ca="1">IFERROR(__xludf.DUMMYFUNCTION("""COMPUTED_VALUE"""),"Quyển , cuốn (sách)")</f>
        <v>Quyển , cuốn (sách)</v>
      </c>
      <c r="H108" s="13" t="str">
        <f ca="1">IFERROR(__xludf.DUMMYFUNCTION("""COMPUTED_VALUE"""),"这本书是我的。")</f>
        <v>这本书是我的。</v>
      </c>
      <c r="I108" s="13" t="str">
        <f ca="1">IFERROR(__xludf.DUMMYFUNCTION("""COMPUTED_VALUE"""),"Zhè běn shū shì wǒ de.")</f>
        <v>Zhè běn shū shì wǒ de.</v>
      </c>
      <c r="J108" s="13" t="str">
        <f ca="1">IFERROR(__xludf.DUMMYFUNCTION("""COMPUTED_VALUE"""),"Quyển sách này là của tôi.")</f>
        <v>Quyển sách này là của tôi.</v>
      </c>
      <c r="K108" s="13" t="str">
        <f ca="1">IFERROR(__xludf.DUMMYFUNCTION("""COMPUTED_VALUE"""),"H1_B9_BG-10.gif")</f>
        <v>H1_B9_BG-10.gif</v>
      </c>
      <c r="L108" s="13" t="str">
        <f ca="1">IFERROR(__xludf.DUMMYFUNCTION("""COMPUTED_VALUE"""),"H1_B9_10.mp3")</f>
        <v>H1_B9_10.mp3</v>
      </c>
      <c r="M108" s="13" t="str">
        <f ca="1">IFERROR(__xludf.DUMMYFUNCTION("""COMPUTED_VALUE"""),"H1_B9_VD_10.mp3")</f>
        <v>H1_B9_VD_10.mp3</v>
      </c>
    </row>
    <row r="109" spans="1:13">
      <c r="A109" s="13">
        <f ca="1">IFERROR(__xludf.DUMMYFUNCTION("""COMPUTED_VALUE"""),11)</f>
        <v>11</v>
      </c>
      <c r="B109" s="13"/>
      <c r="C109" s="13" t="str">
        <f ca="1">IFERROR(__xludf.DUMMYFUNCTION("""COMPUTED_VALUE"""),"桌子")</f>
        <v>桌子</v>
      </c>
      <c r="D109" s="13" t="str">
        <f ca="1">IFERROR(__xludf.DUMMYFUNCTION("""COMPUTED_VALUE"""),"&lt;ruby&gt;桌子&lt;rt&gt;zhuō zi&lt;/rt&gt;&lt;/ruby&gt;")</f>
        <v>&lt;ruby&gt;桌子&lt;rt&gt;zhuō zi&lt;/rt&gt;&lt;/ruby&gt;</v>
      </c>
      <c r="E109" s="13" t="str">
        <f ca="1">IFERROR(__xludf.DUMMYFUNCTION("""COMPUTED_VALUE"""),"zhuō zi")</f>
        <v>zhuō zi</v>
      </c>
      <c r="F109" s="13" t="str">
        <f ca="1">IFERROR(__xludf.DUMMYFUNCTION("""COMPUTED_VALUE"""),"Danh từ")</f>
        <v>Danh từ</v>
      </c>
      <c r="G109" s="13" t="str">
        <f ca="1">IFERROR(__xludf.DUMMYFUNCTION("""COMPUTED_VALUE"""),"Bàn")</f>
        <v>Bàn</v>
      </c>
      <c r="H109" s="13" t="str">
        <f ca="1">IFERROR(__xludf.DUMMYFUNCTION("""COMPUTED_VALUE"""),"桌子很大。")</f>
        <v>桌子很大。</v>
      </c>
      <c r="I109" s="13" t="str">
        <f ca="1">IFERROR(__xludf.DUMMYFUNCTION("""COMPUTED_VALUE"""),"Zhuōzi hěn dà.")</f>
        <v>Zhuōzi hěn dà.</v>
      </c>
      <c r="J109" s="13" t="str">
        <f ca="1">IFERROR(__xludf.DUMMYFUNCTION("""COMPUTED_VALUE"""),"Cái bàn rất to.")</f>
        <v>Cái bàn rất to.</v>
      </c>
      <c r="K109" s="13" t="str">
        <f ca="1">IFERROR(__xludf.DUMMYFUNCTION("""COMPUTED_VALUE"""),"H1_B9_BG-11.gif")</f>
        <v>H1_B9_BG-11.gif</v>
      </c>
      <c r="L109" s="13" t="str">
        <f ca="1">IFERROR(__xludf.DUMMYFUNCTION("""COMPUTED_VALUE"""),"H1_B9_11.mp3")</f>
        <v>H1_B9_11.mp3</v>
      </c>
      <c r="M109" s="13" t="str">
        <f ca="1">IFERROR(__xludf.DUMMYFUNCTION("""COMPUTED_VALUE"""),"H1_B9_VD_11.mp3")</f>
        <v>H1_B9_VD_11.mp3</v>
      </c>
    </row>
    <row r="110" spans="1:13">
      <c r="A110" s="13">
        <f ca="1">IFERROR(__xludf.DUMMYFUNCTION("""COMPUTED_VALUE"""),12)</f>
        <v>12</v>
      </c>
      <c r="B110" s="13"/>
      <c r="C110" s="13" t="str">
        <f ca="1">IFERROR(__xludf.DUMMYFUNCTION("""COMPUTED_VALUE"""),"电脑")</f>
        <v>电脑</v>
      </c>
      <c r="D110" s="13" t="str">
        <f ca="1">IFERROR(__xludf.DUMMYFUNCTION("""COMPUTED_VALUE"""),"&lt;ruby&gt;电脑&lt;rt&gt;diàn nǎo&lt;/rt&gt;&lt;/ruby&gt;")</f>
        <v>&lt;ruby&gt;电脑&lt;rt&gt;diàn nǎo&lt;/rt&gt;&lt;/ruby&gt;</v>
      </c>
      <c r="E110" s="13" t="str">
        <f ca="1">IFERROR(__xludf.DUMMYFUNCTION("""COMPUTED_VALUE"""),"diàn nǎo")</f>
        <v>diàn nǎo</v>
      </c>
      <c r="F110" s="13" t="str">
        <f ca="1">IFERROR(__xludf.DUMMYFUNCTION("""COMPUTED_VALUE"""),"Danh từ")</f>
        <v>Danh từ</v>
      </c>
      <c r="G110" s="13" t="str">
        <f ca="1">IFERROR(__xludf.DUMMYFUNCTION("""COMPUTED_VALUE"""),"Máy tính")</f>
        <v>Máy tính</v>
      </c>
      <c r="H110" s="13" t="str">
        <f ca="1">IFERROR(__xludf.DUMMYFUNCTION("""COMPUTED_VALUE"""),"这是麦克的电脑。")</f>
        <v>这是麦克的电脑。</v>
      </c>
      <c r="I110" s="13" t="str">
        <f ca="1">IFERROR(__xludf.DUMMYFUNCTION("""COMPUTED_VALUE"""),"Zhè shì Màikè de diànnǎo.")</f>
        <v>Zhè shì Màikè de diànnǎo.</v>
      </c>
      <c r="J110" s="13" t="str">
        <f ca="1">IFERROR(__xludf.DUMMYFUNCTION("""COMPUTED_VALUE"""),"Đây là máy tính của Mike.")</f>
        <v>Đây là máy tính của Mike.</v>
      </c>
      <c r="K110" s="13" t="str">
        <f ca="1">IFERROR(__xludf.DUMMYFUNCTION("""COMPUTED_VALUE"""),"H1_B9_BG-12.gif")</f>
        <v>H1_B9_BG-12.gif</v>
      </c>
      <c r="L110" s="13" t="str">
        <f ca="1">IFERROR(__xludf.DUMMYFUNCTION("""COMPUTED_VALUE"""),"H1_B9_12.mp3")</f>
        <v>H1_B9_12.mp3</v>
      </c>
      <c r="M110" s="13" t="str">
        <f ca="1">IFERROR(__xludf.DUMMYFUNCTION("""COMPUTED_VALUE"""),"H1_B9_VD_12.mp3")</f>
        <v>H1_B9_VD_12.mp3</v>
      </c>
    </row>
    <row r="111" spans="1:13">
      <c r="A111" s="13">
        <f ca="1">IFERROR(__xludf.DUMMYFUNCTION("""COMPUTED_VALUE"""),1)</f>
        <v>1</v>
      </c>
      <c r="B111" s="13"/>
      <c r="C111" s="13" t="str">
        <f ca="1">IFERROR(__xludf.DUMMYFUNCTION("""COMPUTED_VALUE"""),"中午")</f>
        <v>中午</v>
      </c>
      <c r="D111" s="13" t="str">
        <f ca="1">IFERROR(__xludf.DUMMYFUNCTION("""COMPUTED_VALUE"""),"&lt;ruby&gt;中午&lt;rt&gt;zhōng wǔ&lt;/rt&gt;&lt;/ruby&gt;")</f>
        <v>&lt;ruby&gt;中午&lt;rt&gt;zhōng wǔ&lt;/rt&gt;&lt;/ruby&gt;</v>
      </c>
      <c r="E111" s="13" t="str">
        <f ca="1">IFERROR(__xludf.DUMMYFUNCTION("""COMPUTED_VALUE"""),"zhōng wǔ")</f>
        <v>zhōng wǔ</v>
      </c>
      <c r="F111" s="13" t="str">
        <f ca="1">IFERROR(__xludf.DUMMYFUNCTION("""COMPUTED_VALUE"""),"Danh từ")</f>
        <v>Danh từ</v>
      </c>
      <c r="G111" s="13" t="str">
        <f ca="1">IFERROR(__xludf.DUMMYFUNCTION("""COMPUTED_VALUE"""),"Buổi trưa")</f>
        <v>Buổi trưa</v>
      </c>
      <c r="H111" s="13" t="str">
        <f ca="1">IFERROR(__xludf.DUMMYFUNCTION("""COMPUTED_VALUE"""),"我们中午吃面吧！")</f>
        <v>我们中午吃面吧！</v>
      </c>
      <c r="I111" s="13" t="str">
        <f ca="1">IFERROR(__xludf.DUMMYFUNCTION("""COMPUTED_VALUE"""),"Wǒmen zhōngwǔ chī miàn ba!")</f>
        <v>Wǒmen zhōngwǔ chī miàn ba!</v>
      </c>
      <c r="J111" s="13" t="str">
        <f ca="1">IFERROR(__xludf.DUMMYFUNCTION("""COMPUTED_VALUE"""),"Trưa nay chúng ta ăn mì nhé!")</f>
        <v>Trưa nay chúng ta ăn mì nhé!</v>
      </c>
      <c r="K111" s="13" t="str">
        <f ca="1">IFERROR(__xludf.DUMMYFUNCTION("""COMPUTED_VALUE"""),"H1_B10_BG-01.gif")</f>
        <v>H1_B10_BG-01.gif</v>
      </c>
      <c r="L111" s="13" t="str">
        <f ca="1">IFERROR(__xludf.DUMMYFUNCTION("""COMPUTED_VALUE"""),"H1_B10_1.mp3")</f>
        <v>H1_B10_1.mp3</v>
      </c>
      <c r="M111" s="13" t="str">
        <f ca="1">IFERROR(__xludf.DUMMYFUNCTION("""COMPUTED_VALUE"""),"H1_B10_VD_1.mp3")</f>
        <v>H1_B10_VD_1.mp3</v>
      </c>
    </row>
    <row r="112" spans="1:13">
      <c r="A112" s="13">
        <f ca="1">IFERROR(__xludf.DUMMYFUNCTION("""COMPUTED_VALUE"""),2)</f>
        <v>2</v>
      </c>
      <c r="B112" s="13"/>
      <c r="C112" s="13" t="str">
        <f ca="1">IFERROR(__xludf.DUMMYFUNCTION("""COMPUTED_VALUE"""),"点")</f>
        <v>点</v>
      </c>
      <c r="D112" s="13" t="str">
        <f ca="1">IFERROR(__xludf.DUMMYFUNCTION("""COMPUTED_VALUE"""),"&lt;ruby&gt;点&lt;rt&gt;diǎn&lt;/rt&gt;&lt;/ruby&gt;")</f>
        <v>&lt;ruby&gt;点&lt;rt&gt;diǎn&lt;/rt&gt;&lt;/ruby&gt;</v>
      </c>
      <c r="E112" s="13" t="str">
        <f ca="1">IFERROR(__xludf.DUMMYFUNCTION("""COMPUTED_VALUE"""),"diǎn")</f>
        <v>diǎn</v>
      </c>
      <c r="F112" s="13" t="str">
        <f ca="1">IFERROR(__xludf.DUMMYFUNCTION("""COMPUTED_VALUE"""),"Lượng từ/ Danh từ")</f>
        <v>Lượng từ/ Danh từ</v>
      </c>
      <c r="G112" s="13" t="str">
        <f ca="1">IFERROR(__xludf.DUMMYFUNCTION("""COMPUTED_VALUE"""),"Giờ (lượng từ) hoặc dấu chấm nhỏ (danh từ)")</f>
        <v>Giờ (lượng từ) hoặc dấu chấm nhỏ (danh từ)</v>
      </c>
      <c r="H112" s="13" t="str">
        <f ca="1">IFERROR(__xludf.DUMMYFUNCTION("""COMPUTED_VALUE"""),"现在是下午两点。")</f>
        <v>现在是下午两点。</v>
      </c>
      <c r="I112" s="13" t="str">
        <f ca="1">IFERROR(__xludf.DUMMYFUNCTION("""COMPUTED_VALUE"""),"Xiànzài shì xiàwǔ liǎng diǎn.")</f>
        <v>Xiànzài shì xiàwǔ liǎng diǎn.</v>
      </c>
      <c r="J112" s="13" t="str">
        <f ca="1">IFERROR(__xludf.DUMMYFUNCTION("""COMPUTED_VALUE"""),"Bây giờ là hai giờ chiều.")</f>
        <v>Bây giờ là hai giờ chiều.</v>
      </c>
      <c r="K112" s="13" t="str">
        <f ca="1">IFERROR(__xludf.DUMMYFUNCTION("""COMPUTED_VALUE"""),"H1_B10_BG-02.gif")</f>
        <v>H1_B10_BG-02.gif</v>
      </c>
      <c r="L112" s="13" t="str">
        <f ca="1">IFERROR(__xludf.DUMMYFUNCTION("""COMPUTED_VALUE"""),"H1_B10_2.mp3")</f>
        <v>H1_B10_2.mp3</v>
      </c>
      <c r="M112" s="13" t="str">
        <f ca="1">IFERROR(__xludf.DUMMYFUNCTION("""COMPUTED_VALUE"""),"H1_B10_VD_2.mp3")</f>
        <v>H1_B10_VD_2.mp3</v>
      </c>
    </row>
    <row r="113" spans="1:13">
      <c r="A113" s="13">
        <f ca="1">IFERROR(__xludf.DUMMYFUNCTION("""COMPUTED_VALUE"""),3)</f>
        <v>3</v>
      </c>
      <c r="B113" s="13"/>
      <c r="C113" s="13" t="str">
        <f ca="1">IFERROR(__xludf.DUMMYFUNCTION("""COMPUTED_VALUE"""),"分")</f>
        <v>分</v>
      </c>
      <c r="D113" s="13" t="str">
        <f ca="1">IFERROR(__xludf.DUMMYFUNCTION("""COMPUTED_VALUE"""),"&lt;ruby&gt;分&lt;rt&gt;fēn&lt;/rt&gt;&lt;/ruby&gt;")</f>
        <v>&lt;ruby&gt;分&lt;rt&gt;fēn&lt;/rt&gt;&lt;/ruby&gt;</v>
      </c>
      <c r="E113" s="13" t="str">
        <f ca="1">IFERROR(__xludf.DUMMYFUNCTION("""COMPUTED_VALUE"""),"fēn")</f>
        <v>fēn</v>
      </c>
      <c r="F113" s="13" t="str">
        <f ca="1">IFERROR(__xludf.DUMMYFUNCTION("""COMPUTED_VALUE"""),"Lượng từ")</f>
        <v>Lượng từ</v>
      </c>
      <c r="G113" s="13" t="str">
        <f ca="1">IFERROR(__xludf.DUMMYFUNCTION("""COMPUTED_VALUE"""),"Phút")</f>
        <v>Phút</v>
      </c>
      <c r="H113" s="13" t="str">
        <f ca="1">IFERROR(__xludf.DUMMYFUNCTION("""COMPUTED_VALUE"""),"今天下午四点十五分，我吃了西瓜。")</f>
        <v>今天下午四点十五分，我吃了西瓜。</v>
      </c>
      <c r="I113" s="13" t="str">
        <f ca="1">IFERROR(__xludf.DUMMYFUNCTION("""COMPUTED_VALUE"""),"Jīntiān xiàwǔ sì diǎn shíwǔ fēn, wǒ chī le xīguā.")</f>
        <v>Jīntiān xiàwǔ sì diǎn shíwǔ fēn, wǒ chī le xīguā.</v>
      </c>
      <c r="J113" s="13" t="str">
        <f ca="1">IFERROR(__xludf.DUMMYFUNCTION("""COMPUTED_VALUE"""),"Chiều nay lúc 4 giờ 15 phút, tôi đã ăn dưa hấu.")</f>
        <v>Chiều nay lúc 4 giờ 15 phút, tôi đã ăn dưa hấu.</v>
      </c>
      <c r="K113" s="13" t="str">
        <f ca="1">IFERROR(__xludf.DUMMYFUNCTION("""COMPUTED_VALUE"""),"H1_B10_BG-03.gif")</f>
        <v>H1_B10_BG-03.gif</v>
      </c>
      <c r="L113" s="13" t="str">
        <f ca="1">IFERROR(__xludf.DUMMYFUNCTION("""COMPUTED_VALUE"""),"H1_B10_3.mp3")</f>
        <v>H1_B10_3.mp3</v>
      </c>
      <c r="M113" s="13" t="str">
        <f ca="1">IFERROR(__xludf.DUMMYFUNCTION("""COMPUTED_VALUE"""),"H1_B10_VD_3.mp3")</f>
        <v>H1_B10_VD_3.mp3</v>
      </c>
    </row>
    <row r="114" spans="1:13">
      <c r="A114" s="13">
        <f ca="1">IFERROR(__xludf.DUMMYFUNCTION("""COMPUTED_VALUE"""),4)</f>
        <v>4</v>
      </c>
      <c r="B114" s="13"/>
      <c r="C114" s="13" t="str">
        <f ca="1">IFERROR(__xludf.DUMMYFUNCTION("""COMPUTED_VALUE"""),"前")</f>
        <v>前</v>
      </c>
      <c r="D114" s="13" t="str">
        <f ca="1">IFERROR(__xludf.DUMMYFUNCTION("""COMPUTED_VALUE"""),"&lt;ruby&gt;前&lt;rt&gt;qián&lt;/rt&gt;&lt;/ruby&gt;")</f>
        <v>&lt;ruby&gt;前&lt;rt&gt;qián&lt;/rt&gt;&lt;/ruby&gt;</v>
      </c>
      <c r="E114" s="13" t="str">
        <f ca="1">IFERROR(__xludf.DUMMYFUNCTION("""COMPUTED_VALUE"""),"qián")</f>
        <v>qián</v>
      </c>
      <c r="F114" s="13" t="str">
        <f ca="1">IFERROR(__xludf.DUMMYFUNCTION("""COMPUTED_VALUE"""),"Danh từ")</f>
        <v>Danh từ</v>
      </c>
      <c r="G114" s="13" t="str">
        <f ca="1">IFERROR(__xludf.DUMMYFUNCTION("""COMPUTED_VALUE"""),"Trước, phía trước")</f>
        <v>Trước, phía trước</v>
      </c>
      <c r="H114" s="13" t="str">
        <f ca="1">IFERROR(__xludf.DUMMYFUNCTION("""COMPUTED_VALUE"""),"我们往前走。")</f>
        <v>我们往前走。</v>
      </c>
      <c r="I114" s="13" t="str">
        <f ca="1">IFERROR(__xludf.DUMMYFUNCTION("""COMPUTED_VALUE"""),"Wǒmen wǎng qián zǒu.")</f>
        <v>Wǒmen wǎng qián zǒu.</v>
      </c>
      <c r="J114" s="13" t="str">
        <f ca="1">IFERROR(__xludf.DUMMYFUNCTION("""COMPUTED_VALUE"""),"Chúng ta đi về phía trước.")</f>
        <v>Chúng ta đi về phía trước.</v>
      </c>
      <c r="K114" s="13" t="str">
        <f ca="1">IFERROR(__xludf.DUMMYFUNCTION("""COMPUTED_VALUE"""),"H1_B10_BG-04.gif")</f>
        <v>H1_B10_BG-04.gif</v>
      </c>
      <c r="L114" s="13" t="str">
        <f ca="1">IFERROR(__xludf.DUMMYFUNCTION("""COMPUTED_VALUE"""),"H1_B10_4.mp3")</f>
        <v>H1_B10_4.mp3</v>
      </c>
      <c r="M114" s="13" t="str">
        <f ca="1">IFERROR(__xludf.DUMMYFUNCTION("""COMPUTED_VALUE"""),"H1_B10_VD_4.mp3")</f>
        <v>H1_B10_VD_4.mp3</v>
      </c>
    </row>
    <row r="115" spans="1:13">
      <c r="A115" s="13">
        <f ca="1">IFERROR(__xludf.DUMMYFUNCTION("""COMPUTED_VALUE"""),5)</f>
        <v>5</v>
      </c>
      <c r="B115" s="13"/>
      <c r="C115" s="13" t="str">
        <f ca="1">IFERROR(__xludf.DUMMYFUNCTION("""COMPUTED_VALUE"""),"现在")</f>
        <v>现在</v>
      </c>
      <c r="D115" s="13" t="str">
        <f ca="1">IFERROR(__xludf.DUMMYFUNCTION("""COMPUTED_VALUE"""),"&lt;ruby&gt;现在&lt;rt&gt;xiàn zài&lt;/rt&gt;&lt;/ruby&gt;")</f>
        <v>&lt;ruby&gt;现在&lt;rt&gt;xiàn zài&lt;/rt&gt;&lt;/ruby&gt;</v>
      </c>
      <c r="E115" s="13" t="str">
        <f ca="1">IFERROR(__xludf.DUMMYFUNCTION("""COMPUTED_VALUE"""),"xiàn zài")</f>
        <v>xiàn zài</v>
      </c>
      <c r="F115" s="13" t="str">
        <f ca="1">IFERROR(__xludf.DUMMYFUNCTION("""COMPUTED_VALUE"""),"Danh từ")</f>
        <v>Danh từ</v>
      </c>
      <c r="G115" s="13" t="str">
        <f ca="1">IFERROR(__xludf.DUMMYFUNCTION("""COMPUTED_VALUE"""),"Bây giờ, hiện tại ")</f>
        <v xml:space="preserve">Bây giờ, hiện tại </v>
      </c>
      <c r="H115" s="13" t="str">
        <f ca="1">IFERROR(__xludf.DUMMYFUNCTION("""COMPUTED_VALUE"""),"现在几点了？")</f>
        <v>现在几点了？</v>
      </c>
      <c r="I115" s="13" t="str">
        <f ca="1">IFERROR(__xludf.DUMMYFUNCTION("""COMPUTED_VALUE"""),"Xiànzài jǐ diǎn le?")</f>
        <v>Xiànzài jǐ diǎn le?</v>
      </c>
      <c r="J115" s="13" t="str">
        <f ca="1">IFERROR(__xludf.DUMMYFUNCTION("""COMPUTED_VALUE"""),"Bây giờ là mấy giờ?")</f>
        <v>Bây giờ là mấy giờ?</v>
      </c>
      <c r="K115" s="13" t="str">
        <f ca="1">IFERROR(__xludf.DUMMYFUNCTION("""COMPUTED_VALUE"""),"H1_B10_BG-05.gif")</f>
        <v>H1_B10_BG-05.gif</v>
      </c>
      <c r="L115" s="13" t="str">
        <f ca="1">IFERROR(__xludf.DUMMYFUNCTION("""COMPUTED_VALUE"""),"H1_B10_5.mp3")</f>
        <v>H1_B10_5.mp3</v>
      </c>
      <c r="M115" s="13" t="str">
        <f ca="1">IFERROR(__xludf.DUMMYFUNCTION("""COMPUTED_VALUE"""),"H1_B10_VD_5.mp3")</f>
        <v>H1_B10_VD_5.mp3</v>
      </c>
    </row>
    <row r="116" spans="1:13">
      <c r="A116" s="13">
        <f ca="1">IFERROR(__xludf.DUMMYFUNCTION("""COMPUTED_VALUE"""),6)</f>
        <v>6</v>
      </c>
      <c r="B116" s="13"/>
      <c r="C116" s="13" t="str">
        <f ca="1">IFERROR(__xludf.DUMMYFUNCTION("""COMPUTED_VALUE"""),"时候")</f>
        <v>时候</v>
      </c>
      <c r="D116" s="13" t="str">
        <f ca="1">IFERROR(__xludf.DUMMYFUNCTION("""COMPUTED_VALUE"""),"&lt;ruby&gt;时候&lt;rt&gt;shí hou&lt;/rt&gt;&lt;/ruby&gt;")</f>
        <v>&lt;ruby&gt;时候&lt;rt&gt;shí hou&lt;/rt&gt;&lt;/ruby&gt;</v>
      </c>
      <c r="E116" s="13" t="str">
        <f ca="1">IFERROR(__xludf.DUMMYFUNCTION("""COMPUTED_VALUE"""),"shí hou")</f>
        <v>shí hou</v>
      </c>
      <c r="F116" s="13" t="str">
        <f ca="1">IFERROR(__xludf.DUMMYFUNCTION("""COMPUTED_VALUE"""),"Danh từ")</f>
        <v>Danh từ</v>
      </c>
      <c r="G116" s="13" t="str">
        <f ca="1">IFERROR(__xludf.DUMMYFUNCTION("""COMPUTED_VALUE"""),"Lúc, khi")</f>
        <v>Lúc, khi</v>
      </c>
      <c r="H116" s="13" t="str">
        <f ca="1">IFERROR(__xludf.DUMMYFUNCTION("""COMPUTED_VALUE"""),"你什么时候起床？")</f>
        <v>你什么时候起床？</v>
      </c>
      <c r="I116" s="13" t="str">
        <f ca="1">IFERROR(__xludf.DUMMYFUNCTION("""COMPUTED_VALUE"""),"Nǐ shénme shíhou qǐchuáng?")</f>
        <v>Nǐ shénme shíhou qǐchuáng?</v>
      </c>
      <c r="J116" s="13" t="str">
        <f ca="1">IFERROR(__xludf.DUMMYFUNCTION("""COMPUTED_VALUE"""),"Bạn ngủ dậy lúc mấy giờ?")</f>
        <v>Bạn ngủ dậy lúc mấy giờ?</v>
      </c>
      <c r="K116" s="13" t="str">
        <f ca="1">IFERROR(__xludf.DUMMYFUNCTION("""COMPUTED_VALUE"""),"H1_B10_BG-06.gif")</f>
        <v>H1_B10_BG-06.gif</v>
      </c>
      <c r="L116" s="13" t="str">
        <f ca="1">IFERROR(__xludf.DUMMYFUNCTION("""COMPUTED_VALUE"""),"H1_B10_6.mp3")</f>
        <v>H1_B10_6.mp3</v>
      </c>
      <c r="M116" s="13" t="str">
        <f ca="1">IFERROR(__xludf.DUMMYFUNCTION("""COMPUTED_VALUE"""),"H1_B10_VD_6.mp3")</f>
        <v>H1_B10_VD_6.mp3</v>
      </c>
    </row>
    <row r="117" spans="1:13">
      <c r="A117" s="13">
        <f ca="1">IFERROR(__xludf.DUMMYFUNCTION("""COMPUTED_VALUE"""),7)</f>
        <v>7</v>
      </c>
      <c r="B117" s="13"/>
      <c r="C117" s="13" t="str">
        <f ca="1">IFERROR(__xludf.DUMMYFUNCTION("""COMPUTED_VALUE"""),"吃饭")</f>
        <v>吃饭</v>
      </c>
      <c r="D117" s="13" t="str">
        <f ca="1">IFERROR(__xludf.DUMMYFUNCTION("""COMPUTED_VALUE"""),"&lt;ruby&gt;吃饭&lt;rt&gt;chī fàn&lt;/rt&gt;&lt;/ruby&gt;")</f>
        <v>&lt;ruby&gt;吃饭&lt;rt&gt;chī fàn&lt;/rt&gt;&lt;/ruby&gt;</v>
      </c>
      <c r="E117" s="13" t="str">
        <f ca="1">IFERROR(__xludf.DUMMYFUNCTION("""COMPUTED_VALUE"""),"chī fàn")</f>
        <v>chī fàn</v>
      </c>
      <c r="F117" s="13" t="str">
        <f ca="1">IFERROR(__xludf.DUMMYFUNCTION("""COMPUTED_VALUE"""),"Động từ")</f>
        <v>Động từ</v>
      </c>
      <c r="G117" s="13" t="str">
        <f ca="1">IFERROR(__xludf.DUMMYFUNCTION("""COMPUTED_VALUE"""),"Ăn cơm")</f>
        <v>Ăn cơm</v>
      </c>
      <c r="H117" s="13" t="str">
        <f ca="1">IFERROR(__xludf.DUMMYFUNCTION("""COMPUTED_VALUE"""),"她正在吃饭。")</f>
        <v>她正在吃饭。</v>
      </c>
      <c r="I117" s="13" t="str">
        <f ca="1">IFERROR(__xludf.DUMMYFUNCTION("""COMPUTED_VALUE"""),"Tā zhèngzài chīfàn.")</f>
        <v>Tā zhèngzài chīfàn.</v>
      </c>
      <c r="J117" s="13" t="str">
        <f ca="1">IFERROR(__xludf.DUMMYFUNCTION("""COMPUTED_VALUE"""),"Cô ấy đang ăn cơm.")</f>
        <v>Cô ấy đang ăn cơm.</v>
      </c>
      <c r="K117" s="13" t="str">
        <f ca="1">IFERROR(__xludf.DUMMYFUNCTION("""COMPUTED_VALUE"""),"H1_B10_BG-07.gif")</f>
        <v>H1_B10_BG-07.gif</v>
      </c>
      <c r="L117" s="13" t="str">
        <f ca="1">IFERROR(__xludf.DUMMYFUNCTION("""COMPUTED_VALUE"""),"H1_B10_7.mp3")</f>
        <v>H1_B10_7.mp3</v>
      </c>
      <c r="M117" s="13" t="str">
        <f ca="1">IFERROR(__xludf.DUMMYFUNCTION("""COMPUTED_VALUE"""),"H1_B10_VD_7.mp3")</f>
        <v>H1_B10_VD_7.mp3</v>
      </c>
    </row>
    <row r="118" spans="1:13">
      <c r="A118" s="13">
        <f ca="1">IFERROR(__xludf.DUMMYFUNCTION("""COMPUTED_VALUE"""),8)</f>
        <v>8</v>
      </c>
      <c r="B118" s="13"/>
      <c r="C118" s="13" t="str">
        <f ca="1">IFERROR(__xludf.DUMMYFUNCTION("""COMPUTED_VALUE"""),"回")</f>
        <v>回</v>
      </c>
      <c r="D118" s="13" t="str">
        <f ca="1">IFERROR(__xludf.DUMMYFUNCTION("""COMPUTED_VALUE"""),"&lt;ruby&gt;回&lt;rt&gt;huí&lt;/rt&gt;&lt;/ruby&gt;")</f>
        <v>&lt;ruby&gt;回&lt;rt&gt;huí&lt;/rt&gt;&lt;/ruby&gt;</v>
      </c>
      <c r="E118" s="13" t="str">
        <f ca="1">IFERROR(__xludf.DUMMYFUNCTION("""COMPUTED_VALUE"""),"huí")</f>
        <v>huí</v>
      </c>
      <c r="F118" s="13" t="str">
        <f ca="1">IFERROR(__xludf.DUMMYFUNCTION("""COMPUTED_VALUE"""),"Động từ")</f>
        <v>Động từ</v>
      </c>
      <c r="G118" s="13" t="str">
        <f ca="1">IFERROR(__xludf.DUMMYFUNCTION("""COMPUTED_VALUE"""),"Về, trở về")</f>
        <v>Về, trở về</v>
      </c>
      <c r="H118" s="13" t="str">
        <f ca="1">IFERROR(__xludf.DUMMYFUNCTION("""COMPUTED_VALUE"""),"我晚上八点回家。")</f>
        <v>我晚上八点回家。</v>
      </c>
      <c r="I118" s="13" t="str">
        <f ca="1">IFERROR(__xludf.DUMMYFUNCTION("""COMPUTED_VALUE"""),"Wǒ wǎnshang bā diǎn huíjiā.")</f>
        <v>Wǒ wǎnshang bā diǎn huíjiā.</v>
      </c>
      <c r="J118" s="13" t="str">
        <f ca="1">IFERROR(__xludf.DUMMYFUNCTION("""COMPUTED_VALUE"""),"Tôi về nhà lúc 8 giờ tối.")</f>
        <v>Tôi về nhà lúc 8 giờ tối.</v>
      </c>
      <c r="K118" s="13" t="str">
        <f ca="1">IFERROR(__xludf.DUMMYFUNCTION("""COMPUTED_VALUE"""),"H1_B10_BG-08.gif")</f>
        <v>H1_B10_BG-08.gif</v>
      </c>
      <c r="L118" s="13" t="str">
        <f ca="1">IFERROR(__xludf.DUMMYFUNCTION("""COMPUTED_VALUE"""),"H1_B10_8.mp3")</f>
        <v>H1_B10_8.mp3</v>
      </c>
      <c r="M118" s="13" t="str">
        <f ca="1">IFERROR(__xludf.DUMMYFUNCTION("""COMPUTED_VALUE"""),"H1_B10_VD_8.mp3")</f>
        <v>H1_B10_VD_8.mp3</v>
      </c>
    </row>
    <row r="119" spans="1:13">
      <c r="A119" s="13">
        <f ca="1">IFERROR(__xludf.DUMMYFUNCTION("""COMPUTED_VALUE"""),9)</f>
        <v>9</v>
      </c>
      <c r="B119" s="13"/>
      <c r="C119" s="13" t="str">
        <f ca="1">IFERROR(__xludf.DUMMYFUNCTION("""COMPUTED_VALUE"""),"住")</f>
        <v>住</v>
      </c>
      <c r="D119" s="13" t="str">
        <f ca="1">IFERROR(__xludf.DUMMYFUNCTION("""COMPUTED_VALUE"""),"&lt;ruby&gt;住&lt;rt&gt;zhù&lt;/rt&gt;&lt;/ruby&gt;")</f>
        <v>&lt;ruby&gt;住&lt;rt&gt;zhù&lt;/rt&gt;&lt;/ruby&gt;</v>
      </c>
      <c r="E119" s="13" t="str">
        <f ca="1">IFERROR(__xludf.DUMMYFUNCTION("""COMPUTED_VALUE"""),"zhù")</f>
        <v>zhù</v>
      </c>
      <c r="F119" s="13" t="str">
        <f ca="1">IFERROR(__xludf.DUMMYFUNCTION("""COMPUTED_VALUE"""),"Động từ")</f>
        <v>Động từ</v>
      </c>
      <c r="G119" s="13" t="str">
        <f ca="1">IFERROR(__xludf.DUMMYFUNCTION("""COMPUTED_VALUE"""),"Ở, sống")</f>
        <v>Ở, sống</v>
      </c>
      <c r="H119" s="13" t="str">
        <f ca="1">IFERROR(__xludf.DUMMYFUNCTION("""COMPUTED_VALUE"""),"她住在这儿。")</f>
        <v>她住在这儿。</v>
      </c>
      <c r="I119" s="13" t="str">
        <f ca="1">IFERROR(__xludf.DUMMYFUNCTION("""COMPUTED_VALUE"""),"Tā zhù zài zhèr.")</f>
        <v>Tā zhù zài zhèr.</v>
      </c>
      <c r="J119" s="13" t="str">
        <f ca="1">IFERROR(__xludf.DUMMYFUNCTION("""COMPUTED_VALUE"""),"Cô ấy sống ở đây.")</f>
        <v>Cô ấy sống ở đây.</v>
      </c>
      <c r="K119" s="13" t="str">
        <f ca="1">IFERROR(__xludf.DUMMYFUNCTION("""COMPUTED_VALUE"""),"H1_B10_BG-09.gif")</f>
        <v>H1_B10_BG-09.gif</v>
      </c>
      <c r="L119" s="13" t="str">
        <f ca="1">IFERROR(__xludf.DUMMYFUNCTION("""COMPUTED_VALUE"""),"H1_B10_9.mp3")</f>
        <v>H1_B10_9.mp3</v>
      </c>
      <c r="M119" s="13" t="str">
        <f ca="1">IFERROR(__xludf.DUMMYFUNCTION("""COMPUTED_VALUE"""),"H1_B10_VD_9.mp3")</f>
        <v>H1_B10_VD_9.mp3</v>
      </c>
    </row>
    <row r="120" spans="1:13">
      <c r="A120" s="13">
        <f ca="1">IFERROR(__xludf.DUMMYFUNCTION("""COMPUTED_VALUE"""),10)</f>
        <v>10</v>
      </c>
      <c r="B120" s="13"/>
      <c r="C120" s="13" t="str">
        <f ca="1">IFERROR(__xludf.DUMMYFUNCTION("""COMPUTED_VALUE"""),"我们")</f>
        <v>我们</v>
      </c>
      <c r="D120" s="13" t="str">
        <f ca="1">IFERROR(__xludf.DUMMYFUNCTION("""COMPUTED_VALUE"""),"&lt;ruby&gt;我们&lt;rt&gt;wǒ men&lt;/rt&gt;&lt;/ruby&gt;")</f>
        <v>&lt;ruby&gt;我们&lt;rt&gt;wǒ men&lt;/rt&gt;&lt;/ruby&gt;</v>
      </c>
      <c r="E120" s="13" t="str">
        <f ca="1">IFERROR(__xludf.DUMMYFUNCTION("""COMPUTED_VALUE"""),"wǒ men")</f>
        <v>wǒ men</v>
      </c>
      <c r="F120" s="13" t="str">
        <f ca="1">IFERROR(__xludf.DUMMYFUNCTION("""COMPUTED_VALUE"""),"Đại từ")</f>
        <v>Đại từ</v>
      </c>
      <c r="G120" s="13" t="str">
        <f ca="1">IFERROR(__xludf.DUMMYFUNCTION("""COMPUTED_VALUE"""),"Chúng tôi")</f>
        <v>Chúng tôi</v>
      </c>
      <c r="H120" s="13" t="str">
        <f ca="1">IFERROR(__xludf.DUMMYFUNCTION("""COMPUTED_VALUE"""),"我们是一个幸福的家庭。")</f>
        <v>我们是一个幸福的家庭。</v>
      </c>
      <c r="I120" s="13" t="str">
        <f ca="1">IFERROR(__xludf.DUMMYFUNCTION("""COMPUTED_VALUE"""),"Wǒmen shì yīgè xìngfú de jiātíng.")</f>
        <v>Wǒmen shì yīgè xìngfú de jiātíng.</v>
      </c>
      <c r="J120" s="13" t="str">
        <f ca="1">IFERROR(__xludf.DUMMYFUNCTION("""COMPUTED_VALUE"""),"Chúng tôi là một gia đình hạnh phúc.")</f>
        <v>Chúng tôi là một gia đình hạnh phúc.</v>
      </c>
      <c r="K120" s="13" t="str">
        <f ca="1">IFERROR(__xludf.DUMMYFUNCTION("""COMPUTED_VALUE"""),"H1_B10_BG-10.gif")</f>
        <v>H1_B10_BG-10.gif</v>
      </c>
      <c r="L120" s="13" t="str">
        <f ca="1">IFERROR(__xludf.DUMMYFUNCTION("""COMPUTED_VALUE"""),"H1_B10_10.mp3")</f>
        <v>H1_B10_10.mp3</v>
      </c>
      <c r="M120" s="13" t="str">
        <f ca="1">IFERROR(__xludf.DUMMYFUNCTION("""COMPUTED_VALUE"""),"H1_B10_VD_10.mp3")</f>
        <v>H1_B10_VD_10.mp3</v>
      </c>
    </row>
    <row r="121" spans="1:13">
      <c r="A121" s="13">
        <f ca="1">IFERROR(__xludf.DUMMYFUNCTION("""COMPUTED_VALUE"""),11)</f>
        <v>11</v>
      </c>
      <c r="B121" s="13"/>
      <c r="C121" s="13" t="str">
        <f ca="1">IFERROR(__xludf.DUMMYFUNCTION("""COMPUTED_VALUE"""),"电影")</f>
        <v>电影</v>
      </c>
      <c r="D121" s="13" t="str">
        <f ca="1">IFERROR(__xludf.DUMMYFUNCTION("""COMPUTED_VALUE"""),"&lt;ruby&gt;电影&lt;rt&gt;diàn yǐng&lt;/rt&gt;&lt;/ruby&gt;")</f>
        <v>&lt;ruby&gt;电影&lt;rt&gt;diàn yǐng&lt;/rt&gt;&lt;/ruby&gt;</v>
      </c>
      <c r="E121" s="13" t="str">
        <f ca="1">IFERROR(__xludf.DUMMYFUNCTION("""COMPUTED_VALUE"""),"diàn yǐng")</f>
        <v>diàn yǐng</v>
      </c>
      <c r="F121" s="13" t="str">
        <f ca="1">IFERROR(__xludf.DUMMYFUNCTION("""COMPUTED_VALUE"""),"Danh từ")</f>
        <v>Danh từ</v>
      </c>
      <c r="G121" s="13" t="str">
        <f ca="1">IFERROR(__xludf.DUMMYFUNCTION("""COMPUTED_VALUE"""),"Phim ")</f>
        <v xml:space="preserve">Phim </v>
      </c>
      <c r="H121" s="13" t="str">
        <f ca="1">IFERROR(__xludf.DUMMYFUNCTION("""COMPUTED_VALUE"""),"这部电影很好看。")</f>
        <v>这部电影很好看。</v>
      </c>
      <c r="I121" s="13" t="str">
        <f ca="1">IFERROR(__xludf.DUMMYFUNCTION("""COMPUTED_VALUE"""),"Zhè bù diànyǐng hěn hǎokàn.")</f>
        <v>Zhè bù diànyǐng hěn hǎokàn.</v>
      </c>
      <c r="J121" s="13" t="str">
        <f ca="1">IFERROR(__xludf.DUMMYFUNCTION("""COMPUTED_VALUE"""),"Bộ phim này rất hay.")</f>
        <v>Bộ phim này rất hay.</v>
      </c>
      <c r="K121" s="13" t="str">
        <f ca="1">IFERROR(__xludf.DUMMYFUNCTION("""COMPUTED_VALUE"""),"H1_B10_BG-11.gif")</f>
        <v>H1_B10_BG-11.gif</v>
      </c>
      <c r="L121" s="13" t="str">
        <f ca="1">IFERROR(__xludf.DUMMYFUNCTION("""COMPUTED_VALUE"""),"H1_B10_11.mp3")</f>
        <v>H1_B10_11.mp3</v>
      </c>
      <c r="M121" s="13" t="str">
        <f ca="1">IFERROR(__xludf.DUMMYFUNCTION("""COMPUTED_VALUE"""),"H1_B10_VD_11.mp3")</f>
        <v>H1_B10_VD_11.mp3</v>
      </c>
    </row>
    <row r="122" spans="1:13">
      <c r="A122" s="13">
        <f ca="1">IFERROR(__xludf.DUMMYFUNCTION("""COMPUTED_VALUE"""),1)</f>
        <v>1</v>
      </c>
      <c r="B122" s="13"/>
      <c r="C122" s="13" t="str">
        <f ca="1">IFERROR(__xludf.DUMMYFUNCTION("""COMPUTED_VALUE"""),"下")</f>
        <v>下</v>
      </c>
      <c r="D122" s="13" t="str">
        <f ca="1">IFERROR(__xludf.DUMMYFUNCTION("""COMPUTED_VALUE"""),"&lt;ruby&gt;下&lt;rt&gt;xià&lt;/rt&gt;&lt;/ruby&gt;")</f>
        <v>&lt;ruby&gt;下&lt;rt&gt;xià&lt;/rt&gt;&lt;/ruby&gt;</v>
      </c>
      <c r="E122" s="13" t="str">
        <f ca="1">IFERROR(__xludf.DUMMYFUNCTION("""COMPUTED_VALUE"""),"xià")</f>
        <v>xià</v>
      </c>
      <c r="F122" s="13" t="str">
        <f ca="1">IFERROR(__xludf.DUMMYFUNCTION("""COMPUTED_VALUE"""),"Động từ/Danh từ")</f>
        <v>Động từ/Danh từ</v>
      </c>
      <c r="G122" s="13" t="str">
        <f ca="1">IFERROR(__xludf.DUMMYFUNCTION("""COMPUTED_VALUE"""),"Rơi (Tuyết, mưa) hoặc dưới, bên dưới (danh từ)")</f>
        <v>Rơi (Tuyết, mưa) hoặc dưới, bên dưới (danh từ)</v>
      </c>
      <c r="H122" s="13" t="str">
        <f ca="1">IFERROR(__xludf.DUMMYFUNCTION("""COMPUTED_VALUE"""),"冬天常常下雪。")</f>
        <v>冬天常常下雪。</v>
      </c>
      <c r="I122" s="13" t="str">
        <f ca="1">IFERROR(__xludf.DUMMYFUNCTION("""COMPUTED_VALUE"""),"Dōngtiān chángcháng xià xuě.")</f>
        <v>Dōngtiān chángcháng xià xuě.</v>
      </c>
      <c r="J122" s="13" t="str">
        <f ca="1">IFERROR(__xludf.DUMMYFUNCTION("""COMPUTED_VALUE"""),"Mùa đông thường có tuyết rơi.")</f>
        <v>Mùa đông thường có tuyết rơi.</v>
      </c>
      <c r="K122" s="13" t="str">
        <f ca="1">IFERROR(__xludf.DUMMYFUNCTION("""COMPUTED_VALUE"""),"H1_B11_BG-01.gif")</f>
        <v>H1_B11_BG-01.gif</v>
      </c>
      <c r="L122" s="13" t="str">
        <f ca="1">IFERROR(__xludf.DUMMYFUNCTION("""COMPUTED_VALUE"""),"H1_B11_1.mp3")</f>
        <v>H1_B11_1.mp3</v>
      </c>
      <c r="M122" s="13" t="str">
        <f ca="1">IFERROR(__xludf.DUMMYFUNCTION("""COMPUTED_VALUE"""),"H1_B11_VD_1.mp3")</f>
        <v>H1_B11_VD_1.mp3</v>
      </c>
    </row>
    <row r="123" spans="1:13">
      <c r="A123" s="13">
        <f ca="1">IFERROR(__xludf.DUMMYFUNCTION("""COMPUTED_VALUE"""),2)</f>
        <v>2</v>
      </c>
      <c r="B123" s="13"/>
      <c r="C123" s="13" t="str">
        <f ca="1">IFERROR(__xludf.DUMMYFUNCTION("""COMPUTED_VALUE"""),"下雨")</f>
        <v>下雨</v>
      </c>
      <c r="D123" s="13" t="str">
        <f ca="1">IFERROR(__xludf.DUMMYFUNCTION("""COMPUTED_VALUE"""),"&lt;ruby&gt;下雨&lt;rt&gt;xià yǔ&lt;/rt&gt;&lt;/ruby&gt;")</f>
        <v>&lt;ruby&gt;下雨&lt;rt&gt;xià yǔ&lt;/rt&gt;&lt;/ruby&gt;</v>
      </c>
      <c r="E123" s="13" t="str">
        <f ca="1">IFERROR(__xludf.DUMMYFUNCTION("""COMPUTED_VALUE"""),"xià yǔ")</f>
        <v>xià yǔ</v>
      </c>
      <c r="F123" s="13" t="str">
        <f ca="1">IFERROR(__xludf.DUMMYFUNCTION("""COMPUTED_VALUE"""),"Động từ")</f>
        <v>Động từ</v>
      </c>
      <c r="G123" s="13" t="str">
        <f ca="1">IFERROR(__xludf.DUMMYFUNCTION("""COMPUTED_VALUE"""),"Có mưa, đổ mưa")</f>
        <v>Có mưa, đổ mưa</v>
      </c>
      <c r="H123" s="13" t="str">
        <f ca="1">IFERROR(__xludf.DUMMYFUNCTION("""COMPUTED_VALUE"""),"今天下午可能下雨。")</f>
        <v>今天下午可能下雨。</v>
      </c>
      <c r="I123" s="13" t="str">
        <f ca="1">IFERROR(__xludf.DUMMYFUNCTION("""COMPUTED_VALUE"""),"Jīntiān xiàwǔ kěnéng xiàyǔ.")</f>
        <v>Jīntiān xiàwǔ kěnéng xiàyǔ.</v>
      </c>
      <c r="J123" s="13" t="str">
        <f ca="1">IFERROR(__xludf.DUMMYFUNCTION("""COMPUTED_VALUE"""),"Chiều nay có thể sẽ mưa.")</f>
        <v>Chiều nay có thể sẽ mưa.</v>
      </c>
      <c r="K123" s="13" t="str">
        <f ca="1">IFERROR(__xludf.DUMMYFUNCTION("""COMPUTED_VALUE"""),"H1_B11_BG-02.gif")</f>
        <v>H1_B11_BG-02.gif</v>
      </c>
      <c r="L123" s="13" t="str">
        <f ca="1">IFERROR(__xludf.DUMMYFUNCTION("""COMPUTED_VALUE"""),"H1_B11_2.mp3")</f>
        <v>H1_B11_2.mp3</v>
      </c>
      <c r="M123" s="13" t="str">
        <f ca="1">IFERROR(__xludf.DUMMYFUNCTION("""COMPUTED_VALUE"""),"H1_B11_VD_2.mp3")</f>
        <v>H1_B11_VD_2.mp3</v>
      </c>
    </row>
    <row r="124" spans="1:13">
      <c r="A124" s="13">
        <f ca="1">IFERROR(__xludf.DUMMYFUNCTION("""COMPUTED_VALUE"""),3)</f>
        <v>3</v>
      </c>
      <c r="B124" s="13"/>
      <c r="C124" s="13" t="str">
        <f ca="1">IFERROR(__xludf.DUMMYFUNCTION("""COMPUTED_VALUE"""),"雨")</f>
        <v>雨</v>
      </c>
      <c r="D124" s="13" t="str">
        <f ca="1">IFERROR(__xludf.DUMMYFUNCTION("""COMPUTED_VALUE"""),"&lt;ruby&gt;雨&lt;rt&gt;yǔ&lt;/rt&gt;&lt;/ruby&gt;")</f>
        <v>&lt;ruby&gt;雨&lt;rt&gt;yǔ&lt;/rt&gt;&lt;/ruby&gt;</v>
      </c>
      <c r="E124" s="13" t="str">
        <f ca="1">IFERROR(__xludf.DUMMYFUNCTION("""COMPUTED_VALUE"""),"yǔ")</f>
        <v>yǔ</v>
      </c>
      <c r="F124" s="13" t="str">
        <f ca="1">IFERROR(__xludf.DUMMYFUNCTION("""COMPUTED_VALUE"""),"Danh từ")</f>
        <v>Danh từ</v>
      </c>
      <c r="G124" s="13" t="str">
        <f ca="1">IFERROR(__xludf.DUMMYFUNCTION("""COMPUTED_VALUE"""),"Mưa")</f>
        <v>Mưa</v>
      </c>
      <c r="H124" s="13" t="str">
        <f ca="1">IFERROR(__xludf.DUMMYFUNCTION("""COMPUTED_VALUE"""),"雨下得很大。")</f>
        <v>雨下得很大。</v>
      </c>
      <c r="I124" s="13" t="str">
        <f ca="1">IFERROR(__xludf.DUMMYFUNCTION("""COMPUTED_VALUE"""),"Yǔ xià de hěn dà.")</f>
        <v>Yǔ xià de hěn dà.</v>
      </c>
      <c r="J124" s="13" t="str">
        <f ca="1">IFERROR(__xludf.DUMMYFUNCTION("""COMPUTED_VALUE"""),"Mưa rơi rất to.")</f>
        <v>Mưa rơi rất to.</v>
      </c>
      <c r="K124" s="13" t="str">
        <f ca="1">IFERROR(__xludf.DUMMYFUNCTION("""COMPUTED_VALUE"""),"H1_B11_BG-03.gif")</f>
        <v>H1_B11_BG-03.gif</v>
      </c>
      <c r="L124" s="13" t="str">
        <f ca="1">IFERROR(__xludf.DUMMYFUNCTION("""COMPUTED_VALUE"""),"H1_B11_3.mp3")</f>
        <v>H1_B11_3.mp3</v>
      </c>
      <c r="M124" s="13" t="str">
        <f ca="1">IFERROR(__xludf.DUMMYFUNCTION("""COMPUTED_VALUE"""),"H1_B11_VD_3.mp3")</f>
        <v>H1_B11_VD_3.mp3</v>
      </c>
    </row>
    <row r="125" spans="1:13">
      <c r="A125" s="13">
        <f ca="1">IFERROR(__xludf.DUMMYFUNCTION("""COMPUTED_VALUE"""),4)</f>
        <v>4</v>
      </c>
      <c r="B125" s="13"/>
      <c r="C125" s="13" t="str">
        <f ca="1">IFERROR(__xludf.DUMMYFUNCTION("""COMPUTED_VALUE"""),"天气")</f>
        <v>天气</v>
      </c>
      <c r="D125" s="13" t="str">
        <f ca="1">IFERROR(__xludf.DUMMYFUNCTION("""COMPUTED_VALUE"""),"&lt;ruby&gt;天气&lt;rt&gt;tiānqì&lt;/rt&gt;&lt;/ruby&gt;")</f>
        <v>&lt;ruby&gt;天气&lt;rt&gt;tiānqì&lt;/rt&gt;&lt;/ruby&gt;</v>
      </c>
      <c r="E125" s="13" t="str">
        <f ca="1">IFERROR(__xludf.DUMMYFUNCTION("""COMPUTED_VALUE"""),"tiānqì")</f>
        <v>tiānqì</v>
      </c>
      <c r="F125" s="13" t="str">
        <f ca="1">IFERROR(__xludf.DUMMYFUNCTION("""COMPUTED_VALUE"""),"Danh từ")</f>
        <v>Danh từ</v>
      </c>
      <c r="G125" s="13" t="str">
        <f ca="1">IFERROR(__xludf.DUMMYFUNCTION("""COMPUTED_VALUE"""),"Thời tiết")</f>
        <v>Thời tiết</v>
      </c>
      <c r="H125" s="13" t="str">
        <f ca="1">IFERROR(__xludf.DUMMYFUNCTION("""COMPUTED_VALUE"""),"今天的天气很好。")</f>
        <v>今天的天气很好。</v>
      </c>
      <c r="I125" s="13" t="str">
        <f ca="1">IFERROR(__xludf.DUMMYFUNCTION("""COMPUTED_VALUE"""),"Jīntiān de tiānqì hěn hǎo.")</f>
        <v>Jīntiān de tiānqì hěn hǎo.</v>
      </c>
      <c r="J125" s="13" t="str">
        <f ca="1">IFERROR(__xludf.DUMMYFUNCTION("""COMPUTED_VALUE"""),"Thời tiết hôm nay rất đẹp.")</f>
        <v>Thời tiết hôm nay rất đẹp.</v>
      </c>
      <c r="K125" s="13" t="str">
        <f ca="1">IFERROR(__xludf.DUMMYFUNCTION("""COMPUTED_VALUE"""),"H1_B11_BG-04.gif")</f>
        <v>H1_B11_BG-04.gif</v>
      </c>
      <c r="L125" s="13" t="str">
        <f ca="1">IFERROR(__xludf.DUMMYFUNCTION("""COMPUTED_VALUE"""),"H1_B11_4.mp3")</f>
        <v>H1_B11_4.mp3</v>
      </c>
      <c r="M125" s="13" t="str">
        <f ca="1">IFERROR(__xludf.DUMMYFUNCTION("""COMPUTED_VALUE"""),"H1_B11_VD_4.mp3")</f>
        <v>H1_B11_VD_4.mp3</v>
      </c>
    </row>
    <row r="126" spans="1:13">
      <c r="A126" s="13">
        <f ca="1">IFERROR(__xludf.DUMMYFUNCTION("""COMPUTED_VALUE"""),5)</f>
        <v>5</v>
      </c>
      <c r="B126" s="13"/>
      <c r="C126" s="13" t="str">
        <f ca="1">IFERROR(__xludf.DUMMYFUNCTION("""COMPUTED_VALUE"""),"冷")</f>
        <v>冷</v>
      </c>
      <c r="D126" s="13" t="str">
        <f ca="1">IFERROR(__xludf.DUMMYFUNCTION("""COMPUTED_VALUE"""),"&lt;ruby&gt;冷&lt;rt&gt;lěng&lt;/rt&gt;&lt;/ruby&gt;")</f>
        <v>&lt;ruby&gt;冷&lt;rt&gt;lěng&lt;/rt&gt;&lt;/ruby&gt;</v>
      </c>
      <c r="E126" s="13" t="str">
        <f ca="1">IFERROR(__xludf.DUMMYFUNCTION("""COMPUTED_VALUE"""),"lěng")</f>
        <v>lěng</v>
      </c>
      <c r="F126" s="13" t="str">
        <f ca="1">IFERROR(__xludf.DUMMYFUNCTION("""COMPUTED_VALUE"""),"Tính từ")</f>
        <v>Tính từ</v>
      </c>
      <c r="G126" s="13" t="str">
        <f ca="1">IFERROR(__xludf.DUMMYFUNCTION("""COMPUTED_VALUE"""),"Lạnh")</f>
        <v>Lạnh</v>
      </c>
      <c r="H126" s="13" t="str">
        <f ca="1">IFERROR(__xludf.DUMMYFUNCTION("""COMPUTED_VALUE"""),"北方的冬天很冷。")</f>
        <v>北方的冬天很冷。</v>
      </c>
      <c r="I126" s="13" t="str">
        <f ca="1">IFERROR(__xludf.DUMMYFUNCTION("""COMPUTED_VALUE"""),"Běifāng de dōngtiān hěn lěng.")</f>
        <v>Běifāng de dōngtiān hěn lěng.</v>
      </c>
      <c r="J126" s="13" t="str">
        <f ca="1">IFERROR(__xludf.DUMMYFUNCTION("""COMPUTED_VALUE"""),"Mùa đông ở miền Bắc rất lạnh.")</f>
        <v>Mùa đông ở miền Bắc rất lạnh.</v>
      </c>
      <c r="K126" s="13" t="str">
        <f ca="1">IFERROR(__xludf.DUMMYFUNCTION("""COMPUTED_VALUE"""),"H1_B11_BG-05.gif")</f>
        <v>H1_B11_BG-05.gif</v>
      </c>
      <c r="L126" s="13" t="str">
        <f ca="1">IFERROR(__xludf.DUMMYFUNCTION("""COMPUTED_VALUE"""),"H1_B11_5.mp3")</f>
        <v>H1_B11_5.mp3</v>
      </c>
      <c r="M126" s="13" t="str">
        <f ca="1">IFERROR(__xludf.DUMMYFUNCTION("""COMPUTED_VALUE"""),"H1_B11_VD_5.mp3")</f>
        <v>H1_B11_VD_5.mp3</v>
      </c>
    </row>
    <row r="127" spans="1:13">
      <c r="A127" s="13">
        <f ca="1">IFERROR(__xludf.DUMMYFUNCTION("""COMPUTED_VALUE"""),6)</f>
        <v>6</v>
      </c>
      <c r="B127" s="13"/>
      <c r="C127" s="13" t="str">
        <f ca="1">IFERROR(__xludf.DUMMYFUNCTION("""COMPUTED_VALUE"""),"热")</f>
        <v>热</v>
      </c>
      <c r="D127" s="13" t="str">
        <f ca="1">IFERROR(__xludf.DUMMYFUNCTION("""COMPUTED_VALUE"""),"&lt;ruby&gt;热&lt;rt&gt;rè&lt;/rt&gt;&lt;/ruby&gt;")</f>
        <v>&lt;ruby&gt;热&lt;rt&gt;rè&lt;/rt&gt;&lt;/ruby&gt;</v>
      </c>
      <c r="E127" s="13" t="str">
        <f ca="1">IFERROR(__xludf.DUMMYFUNCTION("""COMPUTED_VALUE"""),"rè")</f>
        <v>rè</v>
      </c>
      <c r="F127" s="13" t="str">
        <f ca="1">IFERROR(__xludf.DUMMYFUNCTION("""COMPUTED_VALUE"""),"Tính từ")</f>
        <v>Tính từ</v>
      </c>
      <c r="G127" s="13" t="str">
        <f ca="1">IFERROR(__xludf.DUMMYFUNCTION("""COMPUTED_VALUE"""),"Nóng")</f>
        <v>Nóng</v>
      </c>
      <c r="H127" s="13" t="str">
        <f ca="1">IFERROR(__xludf.DUMMYFUNCTION("""COMPUTED_VALUE"""),"夏天这里很热。")</f>
        <v>夏天这里很热。</v>
      </c>
      <c r="I127" s="13" t="str">
        <f ca="1">IFERROR(__xludf.DUMMYFUNCTION("""COMPUTED_VALUE"""),"Xiàtiān zhèlǐ hěn rè.")</f>
        <v>Xiàtiān zhèlǐ hěn rè.</v>
      </c>
      <c r="J127" s="13" t="str">
        <f ca="1">IFERROR(__xludf.DUMMYFUNCTION("""COMPUTED_VALUE"""),"Mùa hè ở đây rất nóng.")</f>
        <v>Mùa hè ở đây rất nóng.</v>
      </c>
      <c r="K127" s="13" t="str">
        <f ca="1">IFERROR(__xludf.DUMMYFUNCTION("""COMPUTED_VALUE"""),"H1_B11_BG-06.gif")</f>
        <v>H1_B11_BG-06.gif</v>
      </c>
      <c r="L127" s="13" t="str">
        <f ca="1">IFERROR(__xludf.DUMMYFUNCTION("""COMPUTED_VALUE"""),"H1_B11_6.mp3")</f>
        <v>H1_B11_6.mp3</v>
      </c>
      <c r="M127" s="13" t="str">
        <f ca="1">IFERROR(__xludf.DUMMYFUNCTION("""COMPUTED_VALUE"""),"H1_B11_VD_6.mp3")</f>
        <v>H1_B11_VD_6.mp3</v>
      </c>
    </row>
    <row r="128" spans="1:13">
      <c r="A128" s="13">
        <f ca="1">IFERROR(__xludf.DUMMYFUNCTION("""COMPUTED_VALUE"""),7)</f>
        <v>7</v>
      </c>
      <c r="B128" s="13"/>
      <c r="C128" s="13" t="str">
        <f ca="1">IFERROR(__xludf.DUMMYFUNCTION("""COMPUTED_VALUE"""),"太")</f>
        <v>太</v>
      </c>
      <c r="D128" s="13" t="str">
        <f ca="1">IFERROR(__xludf.DUMMYFUNCTION("""COMPUTED_VALUE"""),"&lt;ruby&gt;太&lt;rt&gt;tài&lt;/rt&gt;&lt;/ruby&gt;")</f>
        <v>&lt;ruby&gt;太&lt;rt&gt;tài&lt;/rt&gt;&lt;/ruby&gt;</v>
      </c>
      <c r="E128" s="13" t="str">
        <f ca="1">IFERROR(__xludf.DUMMYFUNCTION("""COMPUTED_VALUE"""),"tài")</f>
        <v>tài</v>
      </c>
      <c r="F128" s="13" t="str">
        <f ca="1">IFERROR(__xludf.DUMMYFUNCTION("""COMPUTED_VALUE"""),"Phó từ ")</f>
        <v xml:space="preserve">Phó từ </v>
      </c>
      <c r="G128" s="13" t="str">
        <f ca="1">IFERROR(__xludf.DUMMYFUNCTION("""COMPUTED_VALUE"""),"Quá")</f>
        <v>Quá</v>
      </c>
      <c r="H128" s="13" t="str">
        <f ca="1">IFERROR(__xludf.DUMMYFUNCTION("""COMPUTED_VALUE"""),"这条裙子太漂亮。")</f>
        <v>这条裙子太漂亮。</v>
      </c>
      <c r="I128" s="13" t="str">
        <f ca="1">IFERROR(__xludf.DUMMYFUNCTION("""COMPUTED_VALUE"""),"Zhè tiáo qúnzi tài piàoliang.")</f>
        <v>Zhè tiáo qúnzi tài piàoliang.</v>
      </c>
      <c r="J128" s="13" t="str">
        <f ca="1">IFERROR(__xludf.DUMMYFUNCTION("""COMPUTED_VALUE"""),"Chiếc váy này quá đẹp.")</f>
        <v>Chiếc váy này quá đẹp.</v>
      </c>
      <c r="K128" s="13" t="str">
        <f ca="1">IFERROR(__xludf.DUMMYFUNCTION("""COMPUTED_VALUE"""),"H1_B11_BG-07.gif")</f>
        <v>H1_B11_BG-07.gif</v>
      </c>
      <c r="L128" s="13" t="str">
        <f ca="1">IFERROR(__xludf.DUMMYFUNCTION("""COMPUTED_VALUE"""),"H1_B11_7.mp3")</f>
        <v>H1_B11_7.mp3</v>
      </c>
      <c r="M128" s="13" t="str">
        <f ca="1">IFERROR(__xludf.DUMMYFUNCTION("""COMPUTED_VALUE"""),"H1_B11_VD_7.mp3")</f>
        <v>H1_B11_VD_7.mp3</v>
      </c>
    </row>
    <row r="129" spans="1:13">
      <c r="A129" s="13">
        <f ca="1">IFERROR(__xludf.DUMMYFUNCTION("""COMPUTED_VALUE"""),8)</f>
        <v>8</v>
      </c>
      <c r="B129" s="13"/>
      <c r="C129" s="13" t="str">
        <f ca="1">IFERROR(__xludf.DUMMYFUNCTION("""COMPUTED_VALUE"""),"怎么样")</f>
        <v>怎么样</v>
      </c>
      <c r="D129" s="13" t="str">
        <f ca="1">IFERROR(__xludf.DUMMYFUNCTION("""COMPUTED_VALUE"""),"&lt;ruby&gt;怎么样&lt;rt&gt;zěnmeyàng&lt;/rt&gt;&lt;/ruby&gt;")</f>
        <v>&lt;ruby&gt;怎么样&lt;rt&gt;zěnmeyàng&lt;/rt&gt;&lt;/ruby&gt;</v>
      </c>
      <c r="E129" s="13" t="str">
        <f ca="1">IFERROR(__xludf.DUMMYFUNCTION("""COMPUTED_VALUE"""),"zěnmeyàng")</f>
        <v>zěnmeyàng</v>
      </c>
      <c r="F129" s="13" t="str">
        <f ca="1">IFERROR(__xludf.DUMMYFUNCTION("""COMPUTED_VALUE"""),"Đại từ")</f>
        <v>Đại từ</v>
      </c>
      <c r="G129" s="13" t="str">
        <f ca="1">IFERROR(__xludf.DUMMYFUNCTION("""COMPUTED_VALUE"""),"Như thế nào")</f>
        <v>Như thế nào</v>
      </c>
      <c r="H129" s="13" t="str">
        <f ca="1">IFERROR(__xludf.DUMMYFUNCTION("""COMPUTED_VALUE"""),"今天天气怎么样？")</f>
        <v>今天天气怎么样？</v>
      </c>
      <c r="I129" s="13" t="str">
        <f ca="1">IFERROR(__xludf.DUMMYFUNCTION("""COMPUTED_VALUE"""),"Jīntiān tiānqì zěnme yàng?")</f>
        <v>Jīntiān tiānqì zěnme yàng?</v>
      </c>
      <c r="J129" s="13" t="str">
        <f ca="1">IFERROR(__xludf.DUMMYFUNCTION("""COMPUTED_VALUE"""),"Thời tiết hôm nay như thế nào?")</f>
        <v>Thời tiết hôm nay như thế nào?</v>
      </c>
      <c r="K129" s="13" t="str">
        <f ca="1">IFERROR(__xludf.DUMMYFUNCTION("""COMPUTED_VALUE"""),"H1_B11_BG-08.gif")</f>
        <v>H1_B11_BG-08.gif</v>
      </c>
      <c r="L129" s="13" t="str">
        <f ca="1">IFERROR(__xludf.DUMMYFUNCTION("""COMPUTED_VALUE"""),"H1_B11_8.mp3")</f>
        <v>H1_B11_8.mp3</v>
      </c>
      <c r="M129" s="13" t="str">
        <f ca="1">IFERROR(__xludf.DUMMYFUNCTION("""COMPUTED_VALUE"""),"H1_B11_VD_8.mp3")</f>
        <v>H1_B11_VD_8.mp3</v>
      </c>
    </row>
    <row r="130" spans="1:13">
      <c r="A130" s="13">
        <f ca="1">IFERROR(__xludf.DUMMYFUNCTION("""COMPUTED_VALUE"""),9)</f>
        <v>9</v>
      </c>
      <c r="B130" s="13"/>
      <c r="C130" s="13" t="str">
        <f ca="1">IFERROR(__xludf.DUMMYFUNCTION("""COMPUTED_VALUE"""),"爱")</f>
        <v>爱</v>
      </c>
      <c r="D130" s="13" t="str">
        <f ca="1">IFERROR(__xludf.DUMMYFUNCTION("""COMPUTED_VALUE"""),"&lt;ruby&gt;爱&lt;rt&gt;ài&lt;/rt&gt;&lt;/ruby&gt;")</f>
        <v>&lt;ruby&gt;爱&lt;rt&gt;ài&lt;/rt&gt;&lt;/ruby&gt;</v>
      </c>
      <c r="E130" s="13" t="str">
        <f ca="1">IFERROR(__xludf.DUMMYFUNCTION("""COMPUTED_VALUE"""),"ài")</f>
        <v>ài</v>
      </c>
      <c r="F130" s="13" t="str">
        <f ca="1">IFERROR(__xludf.DUMMYFUNCTION("""COMPUTED_VALUE"""),"Động từ")</f>
        <v>Động từ</v>
      </c>
      <c r="G130" s="13" t="str">
        <f ca="1">IFERROR(__xludf.DUMMYFUNCTION("""COMPUTED_VALUE"""),"Yêu, thích")</f>
        <v>Yêu, thích</v>
      </c>
      <c r="H130" s="13" t="str">
        <f ca="1">IFERROR(__xludf.DUMMYFUNCTION("""COMPUTED_VALUE"""),"她很爱她的妈妈。")</f>
        <v>她很爱她的妈妈。</v>
      </c>
      <c r="I130" s="13" t="str">
        <f ca="1">IFERROR(__xludf.DUMMYFUNCTION("""COMPUTED_VALUE"""),"Tā hěn ài tā de māma.")</f>
        <v>Tā hěn ài tā de māma.</v>
      </c>
      <c r="J130" s="13" t="str">
        <f ca="1">IFERROR(__xludf.DUMMYFUNCTION("""COMPUTED_VALUE"""),"Cô ấy rất yêu mẹ của mình.")</f>
        <v>Cô ấy rất yêu mẹ của mình.</v>
      </c>
      <c r="K130" s="13" t="str">
        <f ca="1">IFERROR(__xludf.DUMMYFUNCTION("""COMPUTED_VALUE"""),"H1_B11_BG-09.gif")</f>
        <v>H1_B11_BG-09.gif</v>
      </c>
      <c r="L130" s="13" t="str">
        <f ca="1">IFERROR(__xludf.DUMMYFUNCTION("""COMPUTED_VALUE"""),"H1_B11_9.mp3")</f>
        <v>H1_B11_9.mp3</v>
      </c>
      <c r="M130" s="13" t="str">
        <f ca="1">IFERROR(__xludf.DUMMYFUNCTION("""COMPUTED_VALUE"""),"H1_B11_VD_9.mp3")</f>
        <v>H1_B11_VD_9.mp3</v>
      </c>
    </row>
    <row r="131" spans="1:13">
      <c r="A131" s="13">
        <f ca="1">IFERROR(__xludf.DUMMYFUNCTION("""COMPUTED_VALUE"""),10)</f>
        <v>10</v>
      </c>
      <c r="B131" s="13"/>
      <c r="C131" s="13" t="str">
        <f ca="1">IFERROR(__xludf.DUMMYFUNCTION("""COMPUTED_VALUE"""),"身体")</f>
        <v>身体</v>
      </c>
      <c r="D131" s="13" t="str">
        <f ca="1">IFERROR(__xludf.DUMMYFUNCTION("""COMPUTED_VALUE"""),"&lt;ruby&gt;身体&lt;rt&gt;shēntǐ&lt;/rt&gt;&lt;/ruby&gt;")</f>
        <v>&lt;ruby&gt;身体&lt;rt&gt;shēntǐ&lt;/rt&gt;&lt;/ruby&gt;</v>
      </c>
      <c r="E131" s="13" t="str">
        <f ca="1">IFERROR(__xludf.DUMMYFUNCTION("""COMPUTED_VALUE"""),"shēntǐ")</f>
        <v>shēntǐ</v>
      </c>
      <c r="F131" s="13" t="str">
        <f ca="1">IFERROR(__xludf.DUMMYFUNCTION("""COMPUTED_VALUE"""),"Danh từ")</f>
        <v>Danh từ</v>
      </c>
      <c r="G131" s="13" t="str">
        <f ca="1">IFERROR(__xludf.DUMMYFUNCTION("""COMPUTED_VALUE"""),"Sức khỏe, cơ thể")</f>
        <v>Sức khỏe, cơ thể</v>
      </c>
      <c r="H131" s="13" t="str">
        <f ca="1">IFERROR(__xludf.DUMMYFUNCTION("""COMPUTED_VALUE"""),"你的身体怎么样？")</f>
        <v>你的身体怎么样？</v>
      </c>
      <c r="I131" s="13" t="str">
        <f ca="1">IFERROR(__xludf.DUMMYFUNCTION("""COMPUTED_VALUE"""),"Nǐ de shēntǐ zěnme yàng?")</f>
        <v>Nǐ de shēntǐ zěnme yàng?</v>
      </c>
      <c r="J131" s="13" t="str">
        <f ca="1">IFERROR(__xludf.DUMMYFUNCTION("""COMPUTED_VALUE"""),"Sức khỏe của bạn thế nào?")</f>
        <v>Sức khỏe của bạn thế nào?</v>
      </c>
      <c r="K131" s="13" t="str">
        <f ca="1">IFERROR(__xludf.DUMMYFUNCTION("""COMPUTED_VALUE"""),"H1_B11_BG-10.gif")</f>
        <v>H1_B11_BG-10.gif</v>
      </c>
      <c r="L131" s="13" t="str">
        <f ca="1">IFERROR(__xludf.DUMMYFUNCTION("""COMPUTED_VALUE"""),"H1_B11_10.mp3")</f>
        <v>H1_B11_10.mp3</v>
      </c>
      <c r="M131" s="13" t="str">
        <f ca="1">IFERROR(__xludf.DUMMYFUNCTION("""COMPUTED_VALUE"""),"H1_B11_VD_10.mp3")</f>
        <v>H1_B11_VD_10.mp3</v>
      </c>
    </row>
    <row r="132" spans="1:13">
      <c r="A132" s="13">
        <f ca="1">IFERROR(__xludf.DUMMYFUNCTION("""COMPUTED_VALUE"""),11)</f>
        <v>11</v>
      </c>
      <c r="B132" s="13"/>
      <c r="C132" s="13" t="str">
        <f ca="1">IFERROR(__xludf.DUMMYFUNCTION("""COMPUTED_VALUE"""),"小姐")</f>
        <v>小姐</v>
      </c>
      <c r="D132" s="13" t="str">
        <f ca="1">IFERROR(__xludf.DUMMYFUNCTION("""COMPUTED_VALUE"""),"&lt;ruby&gt;小姐&lt;rt&gt;xiǎojiě&lt;/rt&gt;&lt;/ruby&gt;")</f>
        <v>&lt;ruby&gt;小姐&lt;rt&gt;xiǎojiě&lt;/rt&gt;&lt;/ruby&gt;</v>
      </c>
      <c r="E132" s="13" t="str">
        <f ca="1">IFERROR(__xludf.DUMMYFUNCTION("""COMPUTED_VALUE"""),"xiǎojiě")</f>
        <v>xiǎojiě</v>
      </c>
      <c r="F132" s="13" t="str">
        <f ca="1">IFERROR(__xludf.DUMMYFUNCTION("""COMPUTED_VALUE"""),"Danh từ")</f>
        <v>Danh từ</v>
      </c>
      <c r="G132" s="13" t="str">
        <f ca="1">IFERROR(__xludf.DUMMYFUNCTION("""COMPUTED_VALUE"""),"Tiểu thư")</f>
        <v>Tiểu thư</v>
      </c>
      <c r="H132" s="13" t="str">
        <f ca="1">IFERROR(__xludf.DUMMYFUNCTION("""COMPUTED_VALUE"""),"那位小姐很漂亮。")</f>
        <v>那位小姐很漂亮。</v>
      </c>
      <c r="I132" s="13" t="str">
        <f ca="1">IFERROR(__xludf.DUMMYFUNCTION("""COMPUTED_VALUE"""),"Nà wèi xiǎojiě hěn piàoliang.")</f>
        <v>Nà wèi xiǎojiě hěn piàoliang.</v>
      </c>
      <c r="J132" s="13" t="str">
        <f ca="1">IFERROR(__xludf.DUMMYFUNCTION("""COMPUTED_VALUE"""),"Vị tiểu thư kia rất xinh đẹp.")</f>
        <v>Vị tiểu thư kia rất xinh đẹp.</v>
      </c>
      <c r="K132" s="13" t="str">
        <f ca="1">IFERROR(__xludf.DUMMYFUNCTION("""COMPUTED_VALUE"""),"H1_B11_BG-11.gif")</f>
        <v>H1_B11_BG-11.gif</v>
      </c>
      <c r="L132" s="13" t="str">
        <f ca="1">IFERROR(__xludf.DUMMYFUNCTION("""COMPUTED_VALUE"""),"H1_B11_11.mp3")</f>
        <v>H1_B11_11.mp3</v>
      </c>
      <c r="M132" s="13" t="str">
        <f ca="1">IFERROR(__xludf.DUMMYFUNCTION("""COMPUTED_VALUE"""),"H1_B11_VD_11.mp3")</f>
        <v>H1_B11_VD_11.mp3</v>
      </c>
    </row>
    <row r="133" spans="1:13">
      <c r="A133" s="13">
        <f ca="1">IFERROR(__xludf.DUMMYFUNCTION("""COMPUTED_VALUE"""),12)</f>
        <v>12</v>
      </c>
      <c r="B133" s="13"/>
      <c r="C133" s="13" t="str">
        <f ca="1">IFERROR(__xludf.DUMMYFUNCTION("""COMPUTED_VALUE"""),"来")</f>
        <v>来</v>
      </c>
      <c r="D133" s="13" t="str">
        <f ca="1">IFERROR(__xludf.DUMMYFUNCTION("""COMPUTED_VALUE"""),"&lt;ruby&gt;来&lt;rt&gt;lái&lt;/rt&gt;&lt;/ruby&gt;")</f>
        <v>&lt;ruby&gt;来&lt;rt&gt;lái&lt;/rt&gt;&lt;/ruby&gt;</v>
      </c>
      <c r="E133" s="13" t="str">
        <f ca="1">IFERROR(__xludf.DUMMYFUNCTION("""COMPUTED_VALUE"""),"lái")</f>
        <v>lái</v>
      </c>
      <c r="F133" s="13" t="str">
        <f ca="1">IFERROR(__xludf.DUMMYFUNCTION("""COMPUTED_VALUE"""),"Động từ")</f>
        <v>Động từ</v>
      </c>
      <c r="G133" s="13" t="str">
        <f ca="1">IFERROR(__xludf.DUMMYFUNCTION("""COMPUTED_VALUE"""),"Đến, tới")</f>
        <v>Đến, tới</v>
      </c>
      <c r="H133" s="13" t="str">
        <f ca="1">IFERROR(__xludf.DUMMYFUNCTION("""COMPUTED_VALUE"""),"她来了。")</f>
        <v>她来了。</v>
      </c>
      <c r="I133" s="13" t="str">
        <f ca="1">IFERROR(__xludf.DUMMYFUNCTION("""COMPUTED_VALUE"""),"Tā lái le.")</f>
        <v>Tā lái le.</v>
      </c>
      <c r="J133" s="13" t="str">
        <f ca="1">IFERROR(__xludf.DUMMYFUNCTION("""COMPUTED_VALUE"""),"Cô ấy đã đến.")</f>
        <v>Cô ấy đã đến.</v>
      </c>
      <c r="K133" s="13" t="str">
        <f ca="1">IFERROR(__xludf.DUMMYFUNCTION("""COMPUTED_VALUE"""),"H1_B11_BG-12.gif")</f>
        <v>H1_B11_BG-12.gif</v>
      </c>
      <c r="L133" s="13" t="str">
        <f ca="1">IFERROR(__xludf.DUMMYFUNCTION("""COMPUTED_VALUE"""),"H1_B11_12.mp3")</f>
        <v>H1_B11_12.mp3</v>
      </c>
      <c r="M133" s="13" t="str">
        <f ca="1">IFERROR(__xludf.DUMMYFUNCTION("""COMPUTED_VALUE"""),"H1_B11_VD_12.mp3")</f>
        <v>H1_B11_VD_12.mp3</v>
      </c>
    </row>
    <row r="134" spans="1:13">
      <c r="A134" s="13">
        <f ca="1">IFERROR(__xludf.DUMMYFUNCTION("""COMPUTED_VALUE"""),13)</f>
        <v>13</v>
      </c>
      <c r="B134" s="13"/>
      <c r="C134" s="13" t="str">
        <f ca="1">IFERROR(__xludf.DUMMYFUNCTION("""COMPUTED_VALUE"""),"水")</f>
        <v>水</v>
      </c>
      <c r="D134" s="13" t="str">
        <f ca="1">IFERROR(__xludf.DUMMYFUNCTION("""COMPUTED_VALUE"""),"&lt;ruby&gt;水&lt;rt&gt;shuǐ&lt;/rt&gt;&lt;/ruby&gt;")</f>
        <v>&lt;ruby&gt;水&lt;rt&gt;shuǐ&lt;/rt&gt;&lt;/ruby&gt;</v>
      </c>
      <c r="E134" s="13" t="str">
        <f ca="1">IFERROR(__xludf.DUMMYFUNCTION("""COMPUTED_VALUE"""),"shuǐ")</f>
        <v>shuǐ</v>
      </c>
      <c r="F134" s="13" t="str">
        <f ca="1">IFERROR(__xludf.DUMMYFUNCTION("""COMPUTED_VALUE"""),"Danh từ")</f>
        <v>Danh từ</v>
      </c>
      <c r="G134" s="13" t="str">
        <f ca="1">IFERROR(__xludf.DUMMYFUNCTION("""COMPUTED_VALUE"""),"Nước")</f>
        <v>Nước</v>
      </c>
      <c r="H134" s="13" t="str">
        <f ca="1">IFERROR(__xludf.DUMMYFUNCTION("""COMPUTED_VALUE"""),"请给我一杯水。")</f>
        <v>请给我一杯水。</v>
      </c>
      <c r="I134" s="13" t="str">
        <f ca="1">IFERROR(__xludf.DUMMYFUNCTION("""COMPUTED_VALUE"""),"Qǐng gěi wǒ yī bēi shuǐ.")</f>
        <v>Qǐng gěi wǒ yī bēi shuǐ.</v>
      </c>
      <c r="J134" s="13" t="str">
        <f ca="1">IFERROR(__xludf.DUMMYFUNCTION("""COMPUTED_VALUE"""),"Làm ơn cho tôi một cốc nước.")</f>
        <v>Làm ơn cho tôi một cốc nước.</v>
      </c>
      <c r="K134" s="13" t="str">
        <f ca="1">IFERROR(__xludf.DUMMYFUNCTION("""COMPUTED_VALUE"""),"H1_B11_BG-13.gif")</f>
        <v>H1_B11_BG-13.gif</v>
      </c>
      <c r="L134" s="13" t="str">
        <f ca="1">IFERROR(__xludf.DUMMYFUNCTION("""COMPUTED_VALUE"""),"H1_B11_13.mp3")</f>
        <v>H1_B11_13.mp3</v>
      </c>
      <c r="M134" s="13" t="str">
        <f ca="1">IFERROR(__xludf.DUMMYFUNCTION("""COMPUTED_VALUE"""),"H1_B11_VD_13.mp3")</f>
        <v>H1_B11_VD_13.mp3</v>
      </c>
    </row>
    <row r="135" spans="1:13">
      <c r="A135" s="13">
        <f ca="1">IFERROR(__xludf.DUMMYFUNCTION("""COMPUTED_VALUE"""),14)</f>
        <v>14</v>
      </c>
      <c r="B135" s="13"/>
      <c r="C135" s="13" t="str">
        <f ca="1">IFERROR(__xludf.DUMMYFUNCTION("""COMPUTED_VALUE"""),"水果")</f>
        <v>水果</v>
      </c>
      <c r="D135" s="13" t="str">
        <f ca="1">IFERROR(__xludf.DUMMYFUNCTION("""COMPUTED_VALUE"""),"&lt;ruby&gt;水果&lt;rt&gt;shuǐguǒ&lt;/rt&gt;&lt;/ruby&gt;")</f>
        <v>&lt;ruby&gt;水果&lt;rt&gt;shuǐguǒ&lt;/rt&gt;&lt;/ruby&gt;</v>
      </c>
      <c r="E135" s="13" t="str">
        <f ca="1">IFERROR(__xludf.DUMMYFUNCTION("""COMPUTED_VALUE"""),"shuǐguǒ")</f>
        <v>shuǐguǒ</v>
      </c>
      <c r="F135" s="13" t="str">
        <f ca="1">IFERROR(__xludf.DUMMYFUNCTION("""COMPUTED_VALUE"""),"Danh từ")</f>
        <v>Danh từ</v>
      </c>
      <c r="G135" s="13" t="str">
        <f ca="1">IFERROR(__xludf.DUMMYFUNCTION("""COMPUTED_VALUE"""),"Trái cây")</f>
        <v>Trái cây</v>
      </c>
      <c r="H135" s="13" t="str">
        <f ca="1">IFERROR(__xludf.DUMMYFUNCTION("""COMPUTED_VALUE"""),"我买了一些水果。")</f>
        <v>我买了一些水果。</v>
      </c>
      <c r="I135" s="13" t="str">
        <f ca="1">IFERROR(__xludf.DUMMYFUNCTION("""COMPUTED_VALUE"""),"Wǒ mǎi le yīxiē shuǐguǒ.")</f>
        <v>Wǒ mǎi le yīxiē shuǐguǒ.</v>
      </c>
      <c r="J135" s="13" t="str">
        <f ca="1">IFERROR(__xludf.DUMMYFUNCTION("""COMPUTED_VALUE"""),"Tôi đã mua một ít trái cây.")</f>
        <v>Tôi đã mua một ít trái cây.</v>
      </c>
      <c r="K135" s="13" t="str">
        <f ca="1">IFERROR(__xludf.DUMMYFUNCTION("""COMPUTED_VALUE"""),"H1_B11_BG-14.gif")</f>
        <v>H1_B11_BG-14.gif</v>
      </c>
      <c r="L135" s="13" t="str">
        <f ca="1">IFERROR(__xludf.DUMMYFUNCTION("""COMPUTED_VALUE"""),"H1_B11_14.mp3")</f>
        <v>H1_B11_14.mp3</v>
      </c>
      <c r="M135" s="13" t="str">
        <f ca="1">IFERROR(__xludf.DUMMYFUNCTION("""COMPUTED_VALUE"""),"H1_B11_VD_14.mp3")</f>
        <v>H1_B11_VD_14.mp3</v>
      </c>
    </row>
    <row r="136" spans="1:13">
      <c r="A136" s="13">
        <f ca="1">IFERROR(__xludf.DUMMYFUNCTION("""COMPUTED_VALUE"""),15)</f>
        <v>15</v>
      </c>
      <c r="B136" s="13"/>
      <c r="C136" s="13" t="str">
        <f ca="1">IFERROR(__xludf.DUMMYFUNCTION("""COMPUTED_VALUE"""),"些")</f>
        <v>些</v>
      </c>
      <c r="D136" s="13" t="str">
        <f ca="1">IFERROR(__xludf.DUMMYFUNCTION("""COMPUTED_VALUE"""),"&lt;ruby&gt;些&lt;rt&gt;xiē&lt;/rt&gt;&lt;/ruby&gt;")</f>
        <v>&lt;ruby&gt;些&lt;rt&gt;xiē&lt;/rt&gt;&lt;/ruby&gt;</v>
      </c>
      <c r="E136" s="13" t="str">
        <f ca="1">IFERROR(__xludf.DUMMYFUNCTION("""COMPUTED_VALUE"""),"xiē")</f>
        <v>xiē</v>
      </c>
      <c r="F136" s="13" t="str">
        <f ca="1">IFERROR(__xludf.DUMMYFUNCTION("""COMPUTED_VALUE"""),"Lượng từ")</f>
        <v>Lượng từ</v>
      </c>
      <c r="G136" s="13" t="str">
        <f ca="1">IFERROR(__xludf.DUMMYFUNCTION("""COMPUTED_VALUE"""),"Một ít, một số, một vài ")</f>
        <v xml:space="preserve">Một ít, một số, một vài </v>
      </c>
      <c r="H136" s="13" t="str">
        <f ca="1">IFERROR(__xludf.DUMMYFUNCTION("""COMPUTED_VALUE"""),"我买了些苹果。")</f>
        <v>我买了些苹果。</v>
      </c>
      <c r="I136" s="13" t="str">
        <f ca="1">IFERROR(__xludf.DUMMYFUNCTION("""COMPUTED_VALUE"""),"Wǒ mǎi le xiē píngguǒ.")</f>
        <v>Wǒ mǎi le xiē píngguǒ.</v>
      </c>
      <c r="J136" s="13" t="str">
        <f ca="1">IFERROR(__xludf.DUMMYFUNCTION("""COMPUTED_VALUE"""),"Tôi đã mua một ít táo.")</f>
        <v>Tôi đã mua một ít táo.</v>
      </c>
      <c r="K136" s="13" t="str">
        <f ca="1">IFERROR(__xludf.DUMMYFUNCTION("""COMPUTED_VALUE"""),"H1_B11_BG-15.gif")</f>
        <v>H1_B11_BG-15.gif</v>
      </c>
      <c r="L136" s="13" t="str">
        <f ca="1">IFERROR(__xludf.DUMMYFUNCTION("""COMPUTED_VALUE"""),"H1_B11_15.mp3")</f>
        <v>H1_B11_15.mp3</v>
      </c>
      <c r="M136" s="13" t="str">
        <f ca="1">IFERROR(__xludf.DUMMYFUNCTION("""COMPUTED_VALUE"""),"H1_B11_VD_15.mp3")</f>
        <v>H1_B11_VD_15.mp3</v>
      </c>
    </row>
    <row r="137" spans="1:13">
      <c r="A137" s="13">
        <f ca="1">IFERROR(__xludf.DUMMYFUNCTION("""COMPUTED_VALUE"""),1)</f>
        <v>1</v>
      </c>
      <c r="B137" s="13"/>
      <c r="C137" s="13" t="str">
        <f ca="1">IFERROR(__xludf.DUMMYFUNCTION("""COMPUTED_VALUE"""),"上午")</f>
        <v>上午</v>
      </c>
      <c r="D137" s="13" t="str">
        <f ca="1">IFERROR(__xludf.DUMMYFUNCTION("""COMPUTED_VALUE"""),"&lt;ruby&gt;上午&lt;rt&gt;shàngwǔ&lt;/rt&gt;&lt;/ruby&gt;")</f>
        <v>&lt;ruby&gt;上午&lt;rt&gt;shàngwǔ&lt;/rt&gt;&lt;/ruby&gt;</v>
      </c>
      <c r="E137" s="13" t="str">
        <f ca="1">IFERROR(__xludf.DUMMYFUNCTION("""COMPUTED_VALUE"""),"shàngwǔ")</f>
        <v>shàngwǔ</v>
      </c>
      <c r="F137" s="13" t="str">
        <f ca="1">IFERROR(__xludf.DUMMYFUNCTION("""COMPUTED_VALUE"""),"Danh từ")</f>
        <v>Danh từ</v>
      </c>
      <c r="G137" s="13" t="str">
        <f ca="1">IFERROR(__xludf.DUMMYFUNCTION("""COMPUTED_VALUE"""),"Buổi sáng")</f>
        <v>Buổi sáng</v>
      </c>
      <c r="H137" s="13" t="str">
        <f ca="1">IFERROR(__xludf.DUMMYFUNCTION("""COMPUTED_VALUE"""),"每个上午我都喝一杯咖啡。")</f>
        <v>每个上午我都喝一杯咖啡。</v>
      </c>
      <c r="I137" s="13" t="str">
        <f ca="1">IFERROR(__xludf.DUMMYFUNCTION("""COMPUTED_VALUE"""),"Měi gè shàngwǔ wǒ dōu hē yī bēi kāfēi.")</f>
        <v>Měi gè shàngwǔ wǒ dōu hē yī bēi kāfēi.</v>
      </c>
      <c r="J137" s="13" t="str">
        <f ca="1">IFERROR(__xludf.DUMMYFUNCTION("""COMPUTED_VALUE"""),"Mỗi buổi sáng, tôi đều uống một cốc cà phê lạnh.")</f>
        <v>Mỗi buổi sáng, tôi đều uống một cốc cà phê lạnh.</v>
      </c>
      <c r="K137" s="13" t="str">
        <f ca="1">IFERROR(__xludf.DUMMYFUNCTION("""COMPUTED_VALUE"""),"H1_B12_BG-01.gif")</f>
        <v>H1_B12_BG-01.gif</v>
      </c>
      <c r="L137" s="13" t="str">
        <f ca="1">IFERROR(__xludf.DUMMYFUNCTION("""COMPUTED_VALUE"""),"H1_B12_1.mp3")</f>
        <v>H1_B12_1.mp3</v>
      </c>
      <c r="M137" s="13" t="str">
        <f ca="1">IFERROR(__xludf.DUMMYFUNCTION("""COMPUTED_VALUE"""),"H1_B12_VD_1.mp3")</f>
        <v>H1_B12_VD_1.mp3</v>
      </c>
    </row>
    <row r="138" spans="1:13">
      <c r="A138" s="13">
        <f ca="1">IFERROR(__xludf.DUMMYFUNCTION("""COMPUTED_VALUE"""),2)</f>
        <v>2</v>
      </c>
      <c r="B138" s="13"/>
      <c r="C138" s="13" t="str">
        <f ca="1">IFERROR(__xludf.DUMMYFUNCTION("""COMPUTED_VALUE"""),"睡觉")</f>
        <v>睡觉</v>
      </c>
      <c r="D138" s="13" t="str">
        <f ca="1">IFERROR(__xludf.DUMMYFUNCTION("""COMPUTED_VALUE"""),"&lt;ruby&gt;睡觉&lt;rt&gt;shuìjiào&lt;/rt&gt;&lt;/ruby&gt;")</f>
        <v>&lt;ruby&gt;睡觉&lt;rt&gt;shuìjiào&lt;/rt&gt;&lt;/ruby&gt;</v>
      </c>
      <c r="E138" s="13" t="str">
        <f ca="1">IFERROR(__xludf.DUMMYFUNCTION("""COMPUTED_VALUE"""),"shuìjiào")</f>
        <v>shuìjiào</v>
      </c>
      <c r="F138" s="13" t="str">
        <f ca="1">IFERROR(__xludf.DUMMYFUNCTION("""COMPUTED_VALUE"""),"Động từ")</f>
        <v>Động từ</v>
      </c>
      <c r="G138" s="13" t="str">
        <f ca="1">IFERROR(__xludf.DUMMYFUNCTION("""COMPUTED_VALUE"""),"Ngủ, đi ngủ")</f>
        <v>Ngủ, đi ngủ</v>
      </c>
      <c r="H138" s="13" t="str">
        <f ca="1">IFERROR(__xludf.DUMMYFUNCTION("""COMPUTED_VALUE"""),"女儿在睡觉。")</f>
        <v>女儿在睡觉。</v>
      </c>
      <c r="I138" s="13" t="str">
        <f ca="1">IFERROR(__xludf.DUMMYFUNCTION("""COMPUTED_VALUE"""),"Nǚ'ér zài shuìjiào.")</f>
        <v>Nǚ'ér zài shuìjiào.</v>
      </c>
      <c r="J138" s="13" t="str">
        <f ca="1">IFERROR(__xludf.DUMMYFUNCTION("""COMPUTED_VALUE"""),"Con gái đang ngủ. ")</f>
        <v xml:space="preserve">Con gái đang ngủ. </v>
      </c>
      <c r="K138" s="13" t="str">
        <f ca="1">IFERROR(__xludf.DUMMYFUNCTION("""COMPUTED_VALUE"""),"H1_B12_BG-02.gif")</f>
        <v>H1_B12_BG-02.gif</v>
      </c>
      <c r="L138" s="13" t="str">
        <f ca="1">IFERROR(__xludf.DUMMYFUNCTION("""COMPUTED_VALUE"""),"H1_B12_2.mp3")</f>
        <v>H1_B12_2.mp3</v>
      </c>
      <c r="M138" s="13" t="str">
        <f ca="1">IFERROR(__xludf.DUMMYFUNCTION("""COMPUTED_VALUE"""),"H1_B12_VD_2.mp3")</f>
        <v>H1_B12_VD_2.mp3</v>
      </c>
    </row>
    <row r="139" spans="1:13">
      <c r="A139" s="13">
        <f ca="1">IFERROR(__xludf.DUMMYFUNCTION("""COMPUTED_VALUE"""),3)</f>
        <v>3</v>
      </c>
      <c r="B139" s="13"/>
      <c r="C139" s="13" t="str">
        <f ca="1">IFERROR(__xludf.DUMMYFUNCTION("""COMPUTED_VALUE"""),"学习")</f>
        <v>学习</v>
      </c>
      <c r="D139" s="13" t="str">
        <f ca="1">IFERROR(__xludf.DUMMYFUNCTION("""COMPUTED_VALUE"""),"&lt;ruby&gt;学习&lt;rt&gt;xuéxí&lt;/rt&gt;&lt;/ruby&gt;")</f>
        <v>&lt;ruby&gt;学习&lt;rt&gt;xuéxí&lt;/rt&gt;&lt;/ruby&gt;</v>
      </c>
      <c r="E139" s="13" t="str">
        <f ca="1">IFERROR(__xludf.DUMMYFUNCTION("""COMPUTED_VALUE"""),"xuéxí")</f>
        <v>xuéxí</v>
      </c>
      <c r="F139" s="13" t="str">
        <f ca="1">IFERROR(__xludf.DUMMYFUNCTION("""COMPUTED_VALUE"""),"Động từ")</f>
        <v>Động từ</v>
      </c>
      <c r="G139" s="13" t="str">
        <f ca="1">IFERROR(__xludf.DUMMYFUNCTION("""COMPUTED_VALUE"""),"Học tập")</f>
        <v>Học tập</v>
      </c>
      <c r="H139" s="13" t="str">
        <f ca="1">IFERROR(__xludf.DUMMYFUNCTION("""COMPUTED_VALUE"""),"小明在学习。")</f>
        <v>小明在学习。</v>
      </c>
      <c r="I139" s="13" t="str">
        <f ca="1">IFERROR(__xludf.DUMMYFUNCTION("""COMPUTED_VALUE"""),"Xiǎo Míng zài xuéxí.")</f>
        <v>Xiǎo Míng zài xuéxí.</v>
      </c>
      <c r="J139" s="13" t="str">
        <f ca="1">IFERROR(__xludf.DUMMYFUNCTION("""COMPUTED_VALUE"""),"Tiểu Minh đang học bài. ")</f>
        <v xml:space="preserve">Tiểu Minh đang học bài. </v>
      </c>
      <c r="K139" s="13" t="str">
        <f ca="1">IFERROR(__xludf.DUMMYFUNCTION("""COMPUTED_VALUE"""),"H1_B12_BG-03.gif")</f>
        <v>H1_B12_BG-03.gif</v>
      </c>
      <c r="L139" s="13" t="str">
        <f ca="1">IFERROR(__xludf.DUMMYFUNCTION("""COMPUTED_VALUE"""),"H1_B12_3.mp3")</f>
        <v>H1_B12_3.mp3</v>
      </c>
      <c r="M139" s="13" t="str">
        <f ca="1">IFERROR(__xludf.DUMMYFUNCTION("""COMPUTED_VALUE"""),"H1_B12_VD_3.mp3")</f>
        <v>H1_B12_VD_3.mp3</v>
      </c>
    </row>
    <row r="140" spans="1:13">
      <c r="A140" s="13">
        <f ca="1">IFERROR(__xludf.DUMMYFUNCTION("""COMPUTED_VALUE"""),4)</f>
        <v>4</v>
      </c>
      <c r="B140" s="13"/>
      <c r="C140" s="13" t="str">
        <f ca="1">IFERROR(__xludf.DUMMYFUNCTION("""COMPUTED_VALUE"""),"打电话")</f>
        <v>打电话</v>
      </c>
      <c r="D140" s="13" t="str">
        <f ca="1">IFERROR(__xludf.DUMMYFUNCTION("""COMPUTED_VALUE"""),"&lt;ruby&gt;打电话&lt;rt&gt;dǎ diànhuà&lt;/rt&gt;&lt;/ruby&gt;")</f>
        <v>&lt;ruby&gt;打电话&lt;rt&gt;dǎ diànhuà&lt;/rt&gt;&lt;/ruby&gt;</v>
      </c>
      <c r="E140" s="13" t="str">
        <f ca="1">IFERROR(__xludf.DUMMYFUNCTION("""COMPUTED_VALUE"""),"dǎ diànhuà")</f>
        <v>dǎ diànhuà</v>
      </c>
      <c r="F140" s="13" t="str">
        <f ca="1">IFERROR(__xludf.DUMMYFUNCTION("""COMPUTED_VALUE"""),"Động từ")</f>
        <v>Động từ</v>
      </c>
      <c r="G140" s="13" t="str">
        <f ca="1">IFERROR(__xludf.DUMMYFUNCTION("""COMPUTED_VALUE"""),"Gọi điện thoại")</f>
        <v>Gọi điện thoại</v>
      </c>
      <c r="H140" s="13" t="str">
        <f ca="1">IFERROR(__xludf.DUMMYFUNCTION("""COMPUTED_VALUE"""),"他正在给妈妈打电话。 ")</f>
        <v xml:space="preserve">他正在给妈妈打电话。 </v>
      </c>
      <c r="I140" s="13" t="str">
        <f ca="1">IFERROR(__xludf.DUMMYFUNCTION("""COMPUTED_VALUE"""),"Tā zhèngzài gěi māma dǎ diànhuà.")</f>
        <v>Tā zhèngzài gěi māma dǎ diànhuà.</v>
      </c>
      <c r="J140" s="13" t="str">
        <f ca="1">IFERROR(__xludf.DUMMYFUNCTION("""COMPUTED_VALUE"""),"Anh ấy đang gọi điện thoại cho mẹ. ")</f>
        <v xml:space="preserve">Anh ấy đang gọi điện thoại cho mẹ. </v>
      </c>
      <c r="K140" s="13" t="str">
        <f ca="1">IFERROR(__xludf.DUMMYFUNCTION("""COMPUTED_VALUE"""),"H1_B12_BG-04.gif")</f>
        <v>H1_B12_BG-04.gif</v>
      </c>
      <c r="L140" s="13" t="str">
        <f ca="1">IFERROR(__xludf.DUMMYFUNCTION("""COMPUTED_VALUE"""),"H1_B12_4.mp3")</f>
        <v>H1_B12_4.mp3</v>
      </c>
      <c r="M140" s="13" t="str">
        <f ca="1">IFERROR(__xludf.DUMMYFUNCTION("""COMPUTED_VALUE"""),"H1_B12_VD_4.mp3")</f>
        <v>H1_B12_VD_4.mp3</v>
      </c>
    </row>
    <row r="141" spans="1:13">
      <c r="A141" s="13">
        <f ca="1">IFERROR(__xludf.DUMMYFUNCTION("""COMPUTED_VALUE"""),5)</f>
        <v>5</v>
      </c>
      <c r="B141" s="13"/>
      <c r="C141" s="13" t="str">
        <f ca="1">IFERROR(__xludf.DUMMYFUNCTION("""COMPUTED_VALUE"""),"电视")</f>
        <v>电视</v>
      </c>
      <c r="D141" s="13" t="str">
        <f ca="1">IFERROR(__xludf.DUMMYFUNCTION("""COMPUTED_VALUE"""),"&lt;ruby&gt;电视&lt;rt&gt;diànshì&lt;/rt&gt;&lt;/ruby&gt;")</f>
        <v>&lt;ruby&gt;电视&lt;rt&gt;diànshì&lt;/rt&gt;&lt;/ruby&gt;</v>
      </c>
      <c r="E141" s="13" t="str">
        <f ca="1">IFERROR(__xludf.DUMMYFUNCTION("""COMPUTED_VALUE"""),"diànshì")</f>
        <v>diànshì</v>
      </c>
      <c r="F141" s="13" t="str">
        <f ca="1">IFERROR(__xludf.DUMMYFUNCTION("""COMPUTED_VALUE"""),"Danh từ")</f>
        <v>Danh từ</v>
      </c>
      <c r="G141" s="13" t="str">
        <f ca="1">IFERROR(__xludf.DUMMYFUNCTION("""COMPUTED_VALUE"""),"Tivi")</f>
        <v>Tivi</v>
      </c>
      <c r="H141" s="13" t="str">
        <f ca="1">IFERROR(__xludf.DUMMYFUNCTION("""COMPUTED_VALUE"""),"这台电视真大。")</f>
        <v>这台电视真大。</v>
      </c>
      <c r="I141" s="13" t="str">
        <f ca="1">IFERROR(__xludf.DUMMYFUNCTION("""COMPUTED_VALUE"""),"Zhè tái diànshì zhēn dà.")</f>
        <v>Zhè tái diànshì zhēn dà.</v>
      </c>
      <c r="J141" s="13" t="str">
        <f ca="1">IFERROR(__xludf.DUMMYFUNCTION("""COMPUTED_VALUE"""),"Cái tivi này thật to.")</f>
        <v>Cái tivi này thật to.</v>
      </c>
      <c r="K141" s="13" t="str">
        <f ca="1">IFERROR(__xludf.DUMMYFUNCTION("""COMPUTED_VALUE"""),"H1_B12_BG-05.gif")</f>
        <v>H1_B12_BG-05.gif</v>
      </c>
      <c r="L141" s="13" t="str">
        <f ca="1">IFERROR(__xludf.DUMMYFUNCTION("""COMPUTED_VALUE"""),"H1_B12_5.mp3")</f>
        <v>H1_B12_5.mp3</v>
      </c>
      <c r="M141" s="13" t="str">
        <f ca="1">IFERROR(__xludf.DUMMYFUNCTION("""COMPUTED_VALUE"""),"H1_B12_VD_5.mp3")</f>
        <v>H1_B12_VD_5.mp3</v>
      </c>
    </row>
    <row r="142" spans="1:13">
      <c r="A142" s="13">
        <f ca="1">IFERROR(__xludf.DUMMYFUNCTION("""COMPUTED_VALUE"""),6)</f>
        <v>6</v>
      </c>
      <c r="B142" s="13"/>
      <c r="C142" s="13" t="str">
        <f ca="1">IFERROR(__xludf.DUMMYFUNCTION("""COMPUTED_VALUE"""),"给")</f>
        <v>给</v>
      </c>
      <c r="D142" s="13" t="str">
        <f ca="1">IFERROR(__xludf.DUMMYFUNCTION("""COMPUTED_VALUE"""),"&lt;ruby&gt;给&lt;rt&gt;gěi&lt;/rt&gt;&lt;/ruby&gt;")</f>
        <v>&lt;ruby&gt;给&lt;rt&gt;gěi&lt;/rt&gt;&lt;/ruby&gt;</v>
      </c>
      <c r="E142" s="13" t="str">
        <f ca="1">IFERROR(__xludf.DUMMYFUNCTION("""COMPUTED_VALUE"""),"gěi")</f>
        <v>gěi</v>
      </c>
      <c r="F142" s="13" t="str">
        <f ca="1">IFERROR(__xludf.DUMMYFUNCTION("""COMPUTED_VALUE"""),"Giới từ")</f>
        <v>Giới từ</v>
      </c>
      <c r="G142" s="13" t="str">
        <f ca="1">IFERROR(__xludf.DUMMYFUNCTION("""COMPUTED_VALUE"""),"Cho, đưa")</f>
        <v>Cho, đưa</v>
      </c>
      <c r="H142" s="13" t="str">
        <f ca="1">IFERROR(__xludf.DUMMYFUNCTION("""COMPUTED_VALUE"""),"他给我一本书。")</f>
        <v>他给我一本书。</v>
      </c>
      <c r="I142" s="13" t="str">
        <f ca="1">IFERROR(__xludf.DUMMYFUNCTION("""COMPUTED_VALUE"""),"Tā gěi wǒ yī běn shū.")</f>
        <v>Tā gěi wǒ yī běn shū.</v>
      </c>
      <c r="J142" s="13" t="str">
        <f ca="1">IFERROR(__xludf.DUMMYFUNCTION("""COMPUTED_VALUE"""),"Anh ấy cho tôi một quyển sách.")</f>
        <v>Anh ấy cho tôi một quyển sách.</v>
      </c>
      <c r="K142" s="13" t="str">
        <f ca="1">IFERROR(__xludf.DUMMYFUNCTION("""COMPUTED_VALUE"""),"H1_B12_BG-06.gif")</f>
        <v>H1_B12_BG-06.gif</v>
      </c>
      <c r="L142" s="13" t="str">
        <f ca="1">IFERROR(__xludf.DUMMYFUNCTION("""COMPUTED_VALUE"""),"H1_B12_6.mp3")</f>
        <v>H1_B12_6.mp3</v>
      </c>
      <c r="M142" s="13" t="str">
        <f ca="1">IFERROR(__xludf.DUMMYFUNCTION("""COMPUTED_VALUE"""),"H1_B12_VD_6.mp3")</f>
        <v>H1_B12_VD_6.mp3</v>
      </c>
    </row>
    <row r="143" spans="1:13">
      <c r="A143" s="13">
        <f ca="1">IFERROR(__xludf.DUMMYFUNCTION("""COMPUTED_VALUE"""),7)</f>
        <v>7</v>
      </c>
      <c r="B143" s="13"/>
      <c r="C143" s="13" t="str">
        <f ca="1">IFERROR(__xludf.DUMMYFUNCTION("""COMPUTED_VALUE"""),"喂")</f>
        <v>喂</v>
      </c>
      <c r="D143" s="13" t="str">
        <f ca="1">IFERROR(__xludf.DUMMYFUNCTION("""COMPUTED_VALUE"""),"&lt;ruby&gt;喂&lt;rt&gt;wèi&lt;/rt&gt;&lt;/ruby&gt;")</f>
        <v>&lt;ruby&gt;喂&lt;rt&gt;wèi&lt;/rt&gt;&lt;/ruby&gt;</v>
      </c>
      <c r="E143" s="13" t="str">
        <f ca="1">IFERROR(__xludf.DUMMYFUNCTION("""COMPUTED_VALUE"""),"wèi")</f>
        <v>wèi</v>
      </c>
      <c r="F143" s="13" t="str">
        <f ca="1">IFERROR(__xludf.DUMMYFUNCTION("""COMPUTED_VALUE"""),"Thán từ")</f>
        <v>Thán từ</v>
      </c>
      <c r="G143" s="13" t="str">
        <f ca="1">IFERROR(__xludf.DUMMYFUNCTION("""COMPUTED_VALUE"""),"Alo, này (khi gọi điện)")</f>
        <v>Alo, này (khi gọi điện)</v>
      </c>
      <c r="H143" s="13" t="str">
        <f ca="1">IFERROR(__xludf.DUMMYFUNCTION("""COMPUTED_VALUE"""),"喂! 你在做什么呢？")</f>
        <v>喂! 你在做什么呢？</v>
      </c>
      <c r="I143" s="13" t="str">
        <f ca="1">IFERROR(__xludf.DUMMYFUNCTION("""COMPUTED_VALUE"""),"Wéi! Nǐ zài zuò shénme ne?")</f>
        <v>Wéi! Nǐ zài zuò shénme ne?</v>
      </c>
      <c r="J143" s="13" t="str">
        <f ca="1">IFERROR(__xludf.DUMMYFUNCTION("""COMPUTED_VALUE"""),"Alo! Bạn đang làm gì đấy?")</f>
        <v>Alo! Bạn đang làm gì đấy?</v>
      </c>
      <c r="K143" s="13" t="str">
        <f ca="1">IFERROR(__xludf.DUMMYFUNCTION("""COMPUTED_VALUE"""),"H1_B12_BG-07.gif")</f>
        <v>H1_B12_BG-07.gif</v>
      </c>
      <c r="L143" s="13" t="str">
        <f ca="1">IFERROR(__xludf.DUMMYFUNCTION("""COMPUTED_VALUE"""),"H1_B12_7.mp3")</f>
        <v>H1_B12_7.mp3</v>
      </c>
      <c r="M143" s="13" t="str">
        <f ca="1">IFERROR(__xludf.DUMMYFUNCTION("""COMPUTED_VALUE"""),"H1_B12_VD_7.mp3")</f>
        <v>H1_B12_VD_7.mp3</v>
      </c>
    </row>
    <row r="144" spans="1:13">
      <c r="A144" s="13">
        <f ca="1">IFERROR(__xludf.DUMMYFUNCTION("""COMPUTED_VALUE"""),8)</f>
        <v>8</v>
      </c>
      <c r="B144" s="13"/>
      <c r="C144" s="13" t="str">
        <f ca="1">IFERROR(__xludf.DUMMYFUNCTION("""COMPUTED_VALUE"""),"也")</f>
        <v>也</v>
      </c>
      <c r="D144" s="13" t="str">
        <f ca="1">IFERROR(__xludf.DUMMYFUNCTION("""COMPUTED_VALUE"""),"&lt;ruby&gt;也&lt;rt&gt;yě&lt;/rt&gt;&lt;/ruby&gt;")</f>
        <v>&lt;ruby&gt;也&lt;rt&gt;yě&lt;/rt&gt;&lt;/ruby&gt;</v>
      </c>
      <c r="E144" s="13" t="str">
        <f ca="1">IFERROR(__xludf.DUMMYFUNCTION("""COMPUTED_VALUE"""),"yě")</f>
        <v>yě</v>
      </c>
      <c r="F144" s="13" t="str">
        <f ca="1">IFERROR(__xludf.DUMMYFUNCTION("""COMPUTED_VALUE"""),"Phó từ")</f>
        <v>Phó từ</v>
      </c>
      <c r="G144" s="13" t="str">
        <f ca="1">IFERROR(__xludf.DUMMYFUNCTION("""COMPUTED_VALUE"""),"Cũng")</f>
        <v>Cũng</v>
      </c>
      <c r="H144" s="13" t="str">
        <f ca="1">IFERROR(__xludf.DUMMYFUNCTION("""COMPUTED_VALUE"""),"我也喜欢看书。 ")</f>
        <v xml:space="preserve">我也喜欢看书。 </v>
      </c>
      <c r="I144" s="13" t="str">
        <f ca="1">IFERROR(__xludf.DUMMYFUNCTION("""COMPUTED_VALUE"""),"Wǒ yě xǐhuan kàn shū.")</f>
        <v>Wǒ yě xǐhuan kàn shū.</v>
      </c>
      <c r="J144" s="13" t="str">
        <f ca="1">IFERROR(__xludf.DUMMYFUNCTION("""COMPUTED_VALUE"""),"Tôi cũng thích đọc sách. ")</f>
        <v xml:space="preserve">Tôi cũng thích đọc sách. </v>
      </c>
      <c r="K144" s="13" t="str">
        <f ca="1">IFERROR(__xludf.DUMMYFUNCTION("""COMPUTED_VALUE"""),"H1_B12_BG-08.gif")</f>
        <v>H1_B12_BG-08.gif</v>
      </c>
      <c r="L144" s="13" t="str">
        <f ca="1">IFERROR(__xludf.DUMMYFUNCTION("""COMPUTED_VALUE"""),"H1_B12_8.mp3")</f>
        <v>H1_B12_8.mp3</v>
      </c>
      <c r="M144" s="13" t="str">
        <f ca="1">IFERROR(__xludf.DUMMYFUNCTION("""COMPUTED_VALUE"""),"H1_B12_VD_8.mp3")</f>
        <v>H1_B12_VD_8.mp3</v>
      </c>
    </row>
    <row r="145" spans="1:13">
      <c r="A145" s="13">
        <f ca="1">IFERROR(__xludf.DUMMYFUNCTION("""COMPUTED_VALUE"""),9)</f>
        <v>9</v>
      </c>
      <c r="B145" s="13"/>
      <c r="C145" s="13" t="str">
        <f ca="1">IFERROR(__xludf.DUMMYFUNCTION("""COMPUTED_VALUE"""),"吧")</f>
        <v>吧</v>
      </c>
      <c r="D145" s="13" t="str">
        <f ca="1">IFERROR(__xludf.DUMMYFUNCTION("""COMPUTED_VALUE"""),"&lt;ruby&gt;吧&lt;rt&gt;ba&lt;/rt&gt;&lt;/ruby&gt;")</f>
        <v>&lt;ruby&gt;吧&lt;rt&gt;ba&lt;/rt&gt;&lt;/ruby&gt;</v>
      </c>
      <c r="E145" s="13" t="str">
        <f ca="1">IFERROR(__xludf.DUMMYFUNCTION("""COMPUTED_VALUE"""),"ba")</f>
        <v>ba</v>
      </c>
      <c r="F145" s="13" t="str">
        <f ca="1">IFERROR(__xludf.DUMMYFUNCTION("""COMPUTED_VALUE"""),"Trợ từ")</f>
        <v>Trợ từ</v>
      </c>
      <c r="G145" s="13" t="str">
        <f ca="1">IFERROR(__xludf.DUMMYFUNCTION("""COMPUTED_VALUE"""),"Nhé, nha, đi")</f>
        <v>Nhé, nha, đi</v>
      </c>
      <c r="H145" s="13" t="str">
        <f ca="1">IFERROR(__xludf.DUMMYFUNCTION("""COMPUTED_VALUE"""),"我们一起打篮球吧！")</f>
        <v>我们一起打篮球吧！</v>
      </c>
      <c r="I145" s="13" t="str">
        <f ca="1">IFERROR(__xludf.DUMMYFUNCTION("""COMPUTED_VALUE"""),"Wǒmen yīqǐ dǎ lánqiú ba!")</f>
        <v>Wǒmen yīqǐ dǎ lánqiú ba!</v>
      </c>
      <c r="J145" s="13" t="str">
        <f ca="1">IFERROR(__xludf.DUMMYFUNCTION("""COMPUTED_VALUE"""),"Chúng ta cùng chơi bóng rổ nhé!")</f>
        <v>Chúng ta cùng chơi bóng rổ nhé!</v>
      </c>
      <c r="K145" s="13" t="str">
        <f ca="1">IFERROR(__xludf.DUMMYFUNCTION("""COMPUTED_VALUE"""),"H1_B12_BG-09.gif")</f>
        <v>H1_B12_BG-09.gif</v>
      </c>
      <c r="L145" s="13" t="str">
        <f ca="1">IFERROR(__xludf.DUMMYFUNCTION("""COMPUTED_VALUE"""),"H1_B12_9.mp3")</f>
        <v>H1_B12_9.mp3</v>
      </c>
      <c r="M145" s="13" t="str">
        <f ca="1">IFERROR(__xludf.DUMMYFUNCTION("""COMPUTED_VALUE"""),"H1_B12_VD_9.mp3")</f>
        <v>H1_B12_VD_9.mp3</v>
      </c>
    </row>
    <row r="146" spans="1:13">
      <c r="A146" s="13">
        <f ca="1">IFERROR(__xludf.DUMMYFUNCTION("""COMPUTED_VALUE"""),10)</f>
        <v>10</v>
      </c>
      <c r="B146" s="13"/>
      <c r="C146" s="13" t="str">
        <f ca="1">IFERROR(__xludf.DUMMYFUNCTION("""COMPUTED_VALUE"""),"喜欢")</f>
        <v>喜欢</v>
      </c>
      <c r="D146" s="13" t="str">
        <f ca="1">IFERROR(__xludf.DUMMYFUNCTION("""COMPUTED_VALUE"""),"&lt;ruby&gt;喜欢&lt;rt&gt;xǐhuān&lt;/rt&gt;&lt;/ruby&gt;")</f>
        <v>&lt;ruby&gt;喜欢&lt;rt&gt;xǐhuān&lt;/rt&gt;&lt;/ruby&gt;</v>
      </c>
      <c r="E146" s="13" t="str">
        <f ca="1">IFERROR(__xludf.DUMMYFUNCTION("""COMPUTED_VALUE"""),"xǐhuān")</f>
        <v>xǐhuān</v>
      </c>
      <c r="F146" s="13" t="str">
        <f ca="1">IFERROR(__xludf.DUMMYFUNCTION("""COMPUTED_VALUE"""),"Động từ")</f>
        <v>Động từ</v>
      </c>
      <c r="G146" s="13" t="str">
        <f ca="1">IFERROR(__xludf.DUMMYFUNCTION("""COMPUTED_VALUE"""),"Thích")</f>
        <v>Thích</v>
      </c>
      <c r="H146" s="13" t="str">
        <f ca="1">IFERROR(__xludf.DUMMYFUNCTION("""COMPUTED_VALUE"""),"他喜欢做饭。")</f>
        <v>他喜欢做饭。</v>
      </c>
      <c r="I146" s="13" t="str">
        <f ca="1">IFERROR(__xludf.DUMMYFUNCTION("""COMPUTED_VALUE"""),"Tā xǐhuan zuò fàn.")</f>
        <v>Tā xǐhuan zuò fàn.</v>
      </c>
      <c r="J146" s="13" t="str">
        <f ca="1">IFERROR(__xludf.DUMMYFUNCTION("""COMPUTED_VALUE"""),"Anh ấy thích nấu ăn. ")</f>
        <v xml:space="preserve">Anh ấy thích nấu ăn. </v>
      </c>
      <c r="K146" s="13" t="str">
        <f ca="1">IFERROR(__xludf.DUMMYFUNCTION("""COMPUTED_VALUE"""),"H1_B12_BG-10.gif")</f>
        <v>H1_B12_BG-10.gif</v>
      </c>
      <c r="L146" s="13" t="str">
        <f ca="1">IFERROR(__xludf.DUMMYFUNCTION("""COMPUTED_VALUE"""),"H1_B12_10.mp3")</f>
        <v>H1_B12_10.mp3</v>
      </c>
      <c r="M146" s="13" t="str">
        <f ca="1">IFERROR(__xludf.DUMMYFUNCTION("""COMPUTED_VALUE"""),"H1_B12_VD_10.mp3")</f>
        <v>H1_B12_VD_10.mp3</v>
      </c>
    </row>
    <row r="147" spans="1:13">
      <c r="A147" s="13">
        <f ca="1">IFERROR(__xludf.DUMMYFUNCTION("""COMPUTED_VALUE"""),1)</f>
        <v>1</v>
      </c>
      <c r="B147" s="13"/>
      <c r="C147" s="13" t="str">
        <f ca="1">IFERROR(__xludf.DUMMYFUNCTION("""COMPUTED_VALUE"""),"一点儿")</f>
        <v>一点儿</v>
      </c>
      <c r="D147" s="13" t="str">
        <f ca="1">IFERROR(__xludf.DUMMYFUNCTION("""COMPUTED_VALUE"""),"&lt;ruby&gt;一点儿&lt;rt&gt;yīdiǎnr&lt;/rt&gt;&lt;/ruby&gt;")</f>
        <v>&lt;ruby&gt;一点儿&lt;rt&gt;yīdiǎnr&lt;/rt&gt;&lt;/ruby&gt;</v>
      </c>
      <c r="E147" s="13" t="str">
        <f ca="1">IFERROR(__xludf.DUMMYFUNCTION("""COMPUTED_VALUE"""),"yīdiǎnr")</f>
        <v>yīdiǎnr</v>
      </c>
      <c r="F147" s="13" t="str">
        <f ca="1">IFERROR(__xludf.DUMMYFUNCTION("""COMPUTED_VALUE"""),"Số lượng")</f>
        <v>Số lượng</v>
      </c>
      <c r="G147" s="13" t="str">
        <f ca="1">IFERROR(__xludf.DUMMYFUNCTION("""COMPUTED_VALUE"""),"Một chút, một ít")</f>
        <v>Một chút, một ít</v>
      </c>
      <c r="H147" s="13" t="str">
        <f ca="1">IFERROR(__xludf.DUMMYFUNCTION("""COMPUTED_VALUE"""),"这辆车有一点儿旧。")</f>
        <v>这辆车有一点儿旧。</v>
      </c>
      <c r="I147" s="13" t="str">
        <f ca="1">IFERROR(__xludf.DUMMYFUNCTION("""COMPUTED_VALUE"""),"Zhè liàng chē yǒu yīdiǎnr jiù.")</f>
        <v>Zhè liàng chē yǒu yīdiǎnr jiù.</v>
      </c>
      <c r="J147" s="13" t="str">
        <f ca="1">IFERROR(__xludf.DUMMYFUNCTION("""COMPUTED_VALUE"""),"Chiếc xe này hơi cũ một chút.")</f>
        <v>Chiếc xe này hơi cũ một chút.</v>
      </c>
      <c r="K147" s="13" t="str">
        <f ca="1">IFERROR(__xludf.DUMMYFUNCTION("""COMPUTED_VALUE"""),"H1_B13_BG-01.gif")</f>
        <v>H1_B13_BG-01.gif</v>
      </c>
      <c r="L147" s="13" t="str">
        <f ca="1">IFERROR(__xludf.DUMMYFUNCTION("""COMPUTED_VALUE"""),"H1_B13_1.mp3")</f>
        <v>H1_B13_1.mp3</v>
      </c>
      <c r="M147" s="13" t="str">
        <f ca="1">IFERROR(__xludf.DUMMYFUNCTION("""COMPUTED_VALUE"""),"H1_B13_VD_1.mp3")</f>
        <v>H1_B13_VD_1.mp3</v>
      </c>
    </row>
    <row r="148" spans="1:13">
      <c r="A148" s="13">
        <f ca="1">IFERROR(__xludf.DUMMYFUNCTION("""COMPUTED_VALUE"""),2)</f>
        <v>2</v>
      </c>
      <c r="B148" s="13"/>
      <c r="C148" s="13" t="str">
        <f ca="1">IFERROR(__xludf.DUMMYFUNCTION("""COMPUTED_VALUE"""),"不少")</f>
        <v>不少</v>
      </c>
      <c r="D148" s="13" t="str">
        <f ca="1">IFERROR(__xludf.DUMMYFUNCTION("""COMPUTED_VALUE"""),"&lt;ruby&gt;不少&lt;rt&gt;bùshǎo&lt;/rt&gt;&lt;/ruby&gt;")</f>
        <v>&lt;ruby&gt;不少&lt;rt&gt;bùshǎo&lt;/rt&gt;&lt;/ruby&gt;</v>
      </c>
      <c r="E148" s="13" t="str">
        <f ca="1">IFERROR(__xludf.DUMMYFUNCTION("""COMPUTED_VALUE"""),"bùshǎo")</f>
        <v>bùshǎo</v>
      </c>
      <c r="F148" s="13" t="str">
        <f ca="1">IFERROR(__xludf.DUMMYFUNCTION("""COMPUTED_VALUE"""),"Tính từ")</f>
        <v>Tính từ</v>
      </c>
      <c r="G148" s="13" t="str">
        <f ca="1">IFERROR(__xludf.DUMMYFUNCTION("""COMPUTED_VALUE"""),"Không ít")</f>
        <v>Không ít</v>
      </c>
      <c r="H148" s="13" t="str">
        <f ca="1">IFERROR(__xludf.DUMMYFUNCTION("""COMPUTED_VALUE"""),"今天的菜不少，都很美味。")</f>
        <v>今天的菜不少，都很美味。</v>
      </c>
      <c r="I148" s="13" t="str">
        <f ca="1">IFERROR(__xludf.DUMMYFUNCTION("""COMPUTED_VALUE"""),"Jīntiān de cài bù shǎo, dōu hěn měiwèi.")</f>
        <v>Jīntiān de cài bù shǎo, dōu hěn měiwèi.</v>
      </c>
      <c r="J148" s="13" t="str">
        <f ca="1">IFERROR(__xludf.DUMMYFUNCTION("""COMPUTED_VALUE"""),"Các món ăn hôm nay không ít, món nào cũng rất ngon.")</f>
        <v>Các món ăn hôm nay không ít, món nào cũng rất ngon.</v>
      </c>
      <c r="K148" s="13" t="str">
        <f ca="1">IFERROR(__xludf.DUMMYFUNCTION("""COMPUTED_VALUE"""),"H1_B13_BG-02.gif")</f>
        <v>H1_B13_BG-02.gif</v>
      </c>
      <c r="L148" s="13" t="str">
        <f ca="1">IFERROR(__xludf.DUMMYFUNCTION("""COMPUTED_VALUE"""),"H1_B13_2.mp3")</f>
        <v>H1_B13_2.mp3</v>
      </c>
      <c r="M148" s="13" t="str">
        <f ca="1">IFERROR(__xludf.DUMMYFUNCTION("""COMPUTED_VALUE"""),"H1_B13_VD_2.mp3")</f>
        <v>H1_B13_VD_2.mp3</v>
      </c>
    </row>
    <row r="149" spans="1:13">
      <c r="A149" s="13">
        <f ca="1">IFERROR(__xludf.DUMMYFUNCTION("""COMPUTED_VALUE"""),3)</f>
        <v>3</v>
      </c>
      <c r="B149" s="13"/>
      <c r="C149" s="13" t="str">
        <f ca="1">IFERROR(__xludf.DUMMYFUNCTION("""COMPUTED_VALUE"""),"少")</f>
        <v>少</v>
      </c>
      <c r="D149" s="13" t="str">
        <f ca="1">IFERROR(__xludf.DUMMYFUNCTION("""COMPUTED_VALUE"""),"&lt;ruby&gt;少&lt;rt&gt;shǎo&lt;/rt&gt;&lt;/ruby&gt;")</f>
        <v>&lt;ruby&gt;少&lt;rt&gt;shǎo&lt;/rt&gt;&lt;/ruby&gt;</v>
      </c>
      <c r="E149" s="13" t="str">
        <f ca="1">IFERROR(__xludf.DUMMYFUNCTION("""COMPUTED_VALUE"""),"shǎo")</f>
        <v>shǎo</v>
      </c>
      <c r="F149" s="13" t="str">
        <f ca="1">IFERROR(__xludf.DUMMYFUNCTION("""COMPUTED_VALUE"""),"Tính từ")</f>
        <v>Tính từ</v>
      </c>
      <c r="G149" s="13" t="str">
        <f ca="1">IFERROR(__xludf.DUMMYFUNCTION("""COMPUTED_VALUE"""),"Ít, thiếu")</f>
        <v>Ít, thiếu</v>
      </c>
      <c r="H149" s="13" t="str">
        <f ca="1">IFERROR(__xludf.DUMMYFUNCTION("""COMPUTED_VALUE"""),"请少放一点儿糖。")</f>
        <v>请少放一点儿糖。</v>
      </c>
      <c r="I149" s="13" t="str">
        <f ca="1">IFERROR(__xludf.DUMMYFUNCTION("""COMPUTED_VALUE"""),"Qǐng shǎo fàng yīdiǎnr táng.")</f>
        <v>Qǐng shǎo fàng yīdiǎnr táng.</v>
      </c>
      <c r="J149" s="13" t="str">
        <f ca="1">IFERROR(__xludf.DUMMYFUNCTION("""COMPUTED_VALUE"""),"Hãy cho ít đường một chút. ")</f>
        <v xml:space="preserve">Hãy cho ít đường một chút. </v>
      </c>
      <c r="K149" s="13" t="str">
        <f ca="1">IFERROR(__xludf.DUMMYFUNCTION("""COMPUTED_VALUE"""),"H1_B13_BG-03.gif")</f>
        <v>H1_B13_BG-03.gif</v>
      </c>
      <c r="L149" s="13" t="str">
        <f ca="1">IFERROR(__xludf.DUMMYFUNCTION("""COMPUTED_VALUE"""),"H1_B13_3.mp3")</f>
        <v>H1_B13_3.mp3</v>
      </c>
      <c r="M149" s="13" t="str">
        <f ca="1">IFERROR(__xludf.DUMMYFUNCTION("""COMPUTED_VALUE"""),"H1_B13_VD_3.mp3")</f>
        <v>H1_B13_VD_3.mp3</v>
      </c>
    </row>
    <row r="150" spans="1:13">
      <c r="A150" s="13">
        <f ca="1">IFERROR(__xludf.DUMMYFUNCTION("""COMPUTED_VALUE"""),4)</f>
        <v>4</v>
      </c>
      <c r="B150" s="13"/>
      <c r="C150" s="13" t="str">
        <f ca="1">IFERROR(__xludf.DUMMYFUNCTION("""COMPUTED_VALUE"""),"东西")</f>
        <v>东西</v>
      </c>
      <c r="D150" s="13" t="str">
        <f ca="1">IFERROR(__xludf.DUMMYFUNCTION("""COMPUTED_VALUE"""),"&lt;ruby&gt;东西&lt;rt&gt;dōngxī&lt;/rt&gt;&lt;/ruby&gt;")</f>
        <v>&lt;ruby&gt;东西&lt;rt&gt;dōngxī&lt;/rt&gt;&lt;/ruby&gt;</v>
      </c>
      <c r="E150" s="13" t="str">
        <f ca="1">IFERROR(__xludf.DUMMYFUNCTION("""COMPUTED_VALUE"""),"dōngxī")</f>
        <v>dōngxī</v>
      </c>
      <c r="F150" s="13" t="str">
        <f ca="1">IFERROR(__xludf.DUMMYFUNCTION("""COMPUTED_VALUE"""),"Danh từ")</f>
        <v>Danh từ</v>
      </c>
      <c r="G150" s="13" t="str">
        <f ca="1">IFERROR(__xludf.DUMMYFUNCTION("""COMPUTED_VALUE"""),"Đồ, đồ đạc, thứ")</f>
        <v>Đồ, đồ đạc, thứ</v>
      </c>
      <c r="H150" s="13" t="str">
        <f ca="1">IFERROR(__xludf.DUMMYFUNCTION("""COMPUTED_VALUE"""),"我想买一些厨房的东西。")</f>
        <v>我想买一些厨房的东西。</v>
      </c>
      <c r="I150" s="13" t="str">
        <f ca="1">IFERROR(__xludf.DUMMYFUNCTION("""COMPUTED_VALUE"""),"Wǒ xiǎng mǎi yīxiē chúfáng de dōngxi.")</f>
        <v>Wǒ xiǎng mǎi yīxiē chúfáng de dōngxi.</v>
      </c>
      <c r="J150" s="13" t="str">
        <f ca="1">IFERROR(__xludf.DUMMYFUNCTION("""COMPUTED_VALUE"""),"Tôi muốn mua một vài đồ dùng phòng bếp. ")</f>
        <v xml:space="preserve">Tôi muốn mua một vài đồ dùng phòng bếp. </v>
      </c>
      <c r="K150" s="13" t="str">
        <f ca="1">IFERROR(__xludf.DUMMYFUNCTION("""COMPUTED_VALUE"""),"H1_B13_BG-04.gif")</f>
        <v>H1_B13_BG-04.gif</v>
      </c>
      <c r="L150" s="13" t="str">
        <f ca="1">IFERROR(__xludf.DUMMYFUNCTION("""COMPUTED_VALUE"""),"H1_B13_4.mp3")</f>
        <v>H1_B13_4.mp3</v>
      </c>
      <c r="M150" s="13" t="str">
        <f ca="1">IFERROR(__xludf.DUMMYFUNCTION("""COMPUTED_VALUE"""),"H1_B13_VD_4.mp3")</f>
        <v>H1_B13_VD_4.mp3</v>
      </c>
    </row>
    <row r="151" spans="1:13">
      <c r="A151" s="13">
        <f ca="1">IFERROR(__xludf.DUMMYFUNCTION("""COMPUTED_VALUE"""),5)</f>
        <v>5</v>
      </c>
      <c r="B151" s="13"/>
      <c r="C151" s="13" t="str">
        <f ca="1">IFERROR(__xludf.DUMMYFUNCTION("""COMPUTED_VALUE"""),"苹果")</f>
        <v>苹果</v>
      </c>
      <c r="D151" s="13" t="str">
        <f ca="1">IFERROR(__xludf.DUMMYFUNCTION("""COMPUTED_VALUE"""),"&lt;ruby&gt;苹果&lt;rt&gt;píngguǒ&lt;/rt&gt;&lt;/ruby&gt;")</f>
        <v>&lt;ruby&gt;苹果&lt;rt&gt;píngguǒ&lt;/rt&gt;&lt;/ruby&gt;</v>
      </c>
      <c r="E151" s="13" t="str">
        <f ca="1">IFERROR(__xludf.DUMMYFUNCTION("""COMPUTED_VALUE"""),"píngguǒ")</f>
        <v>píngguǒ</v>
      </c>
      <c r="F151" s="13" t="str">
        <f ca="1">IFERROR(__xludf.DUMMYFUNCTION("""COMPUTED_VALUE"""),"Danh từ")</f>
        <v>Danh từ</v>
      </c>
      <c r="G151" s="13" t="str">
        <f ca="1">IFERROR(__xludf.DUMMYFUNCTION("""COMPUTED_VALUE"""),"Táo")</f>
        <v>Táo</v>
      </c>
      <c r="H151" s="13" t="str">
        <f ca="1">IFERROR(__xludf.DUMMYFUNCTION("""COMPUTED_VALUE"""),"我买了一斤苹果。")</f>
        <v>我买了一斤苹果。</v>
      </c>
      <c r="I151" s="13" t="str">
        <f ca="1">IFERROR(__xludf.DUMMYFUNCTION("""COMPUTED_VALUE"""),"Wǒ mǎi le yī jīn píngguǒ.")</f>
        <v>Wǒ mǎi le yī jīn píngguǒ.</v>
      </c>
      <c r="J151" s="13" t="str">
        <f ca="1">IFERROR(__xludf.DUMMYFUNCTION("""COMPUTED_VALUE"""),"Tôi mua nửa cân táo. ")</f>
        <v xml:space="preserve">Tôi mua nửa cân táo. </v>
      </c>
      <c r="K151" s="13" t="str">
        <f ca="1">IFERROR(__xludf.DUMMYFUNCTION("""COMPUTED_VALUE"""),"H1_B13_BG-05.gif")</f>
        <v>H1_B13_BG-05.gif</v>
      </c>
      <c r="L151" s="13" t="str">
        <f ca="1">IFERROR(__xludf.DUMMYFUNCTION("""COMPUTED_VALUE"""),"H1_B13_5.mp3")</f>
        <v>H1_B13_5.mp3</v>
      </c>
      <c r="M151" s="13" t="str">
        <f ca="1">IFERROR(__xludf.DUMMYFUNCTION("""COMPUTED_VALUE"""),"H1_B13_VD_5.mp3")</f>
        <v>H1_B13_VD_5.mp3</v>
      </c>
    </row>
    <row r="152" spans="1:13">
      <c r="A152" s="13">
        <f ca="1">IFERROR(__xludf.DUMMYFUNCTION("""COMPUTED_VALUE"""),6)</f>
        <v>6</v>
      </c>
      <c r="B152" s="13"/>
      <c r="C152" s="13" t="str">
        <f ca="1">IFERROR(__xludf.DUMMYFUNCTION("""COMPUTED_VALUE"""),"衣服")</f>
        <v>衣服</v>
      </c>
      <c r="D152" s="13" t="str">
        <f ca="1">IFERROR(__xludf.DUMMYFUNCTION("""COMPUTED_VALUE"""),"&lt;ruby&gt;衣服&lt;rt&gt;yīfú&lt;/rt&gt;&lt;/ruby&gt;")</f>
        <v>&lt;ruby&gt;衣服&lt;rt&gt;yīfú&lt;/rt&gt;&lt;/ruby&gt;</v>
      </c>
      <c r="E152" s="13" t="str">
        <f ca="1">IFERROR(__xludf.DUMMYFUNCTION("""COMPUTED_VALUE"""),"yīfú")</f>
        <v>yīfú</v>
      </c>
      <c r="F152" s="13" t="str">
        <f ca="1">IFERROR(__xludf.DUMMYFUNCTION("""COMPUTED_VALUE"""),"Danh từ")</f>
        <v>Danh từ</v>
      </c>
      <c r="G152" s="13" t="str">
        <f ca="1">IFERROR(__xludf.DUMMYFUNCTION("""COMPUTED_VALUE"""),"Quần áo")</f>
        <v>Quần áo</v>
      </c>
      <c r="H152" s="13" t="str">
        <f ca="1">IFERROR(__xludf.DUMMYFUNCTION("""COMPUTED_VALUE"""),"这是中国传统衣服。")</f>
        <v>这是中国传统衣服。</v>
      </c>
      <c r="I152" s="13" t="str">
        <f ca="1">IFERROR(__xludf.DUMMYFUNCTION("""COMPUTED_VALUE"""),"Zhè shì Zhōngguó chuántǒng yīfu.")</f>
        <v>Zhè shì Zhōngguó chuántǒng yīfu.</v>
      </c>
      <c r="J152" s="13" t="str">
        <f ca="1">IFERROR(__xludf.DUMMYFUNCTION("""COMPUTED_VALUE"""),"Đây là quần áo truyền thống của Trung Quốc ")</f>
        <v xml:space="preserve">Đây là quần áo truyền thống của Trung Quốc </v>
      </c>
      <c r="K152" s="13" t="str">
        <f ca="1">IFERROR(__xludf.DUMMYFUNCTION("""COMPUTED_VALUE"""),"H1_B13_BG-06.gif")</f>
        <v>H1_B13_BG-06.gif</v>
      </c>
      <c r="L152" s="13" t="str">
        <f ca="1">IFERROR(__xludf.DUMMYFUNCTION("""COMPUTED_VALUE"""),"H1_B13_6.mp3")</f>
        <v>H1_B13_6.mp3</v>
      </c>
      <c r="M152" s="13" t="str">
        <f ca="1">IFERROR(__xludf.DUMMYFUNCTION("""COMPUTED_VALUE"""),"H1_B13_VD_6.mp3")</f>
        <v>H1_B13_VD_6.mp3</v>
      </c>
    </row>
    <row r="153" spans="1:13">
      <c r="A153" s="13">
        <f ca="1">IFERROR(__xludf.DUMMYFUNCTION("""COMPUTED_VALUE"""),7)</f>
        <v>7</v>
      </c>
      <c r="B153" s="13"/>
      <c r="C153" s="13" t="str">
        <f ca="1">IFERROR(__xludf.DUMMYFUNCTION("""COMPUTED_VALUE"""),"车")</f>
        <v>车</v>
      </c>
      <c r="D153" s="13" t="str">
        <f ca="1">IFERROR(__xludf.DUMMYFUNCTION("""COMPUTED_VALUE"""),"&lt;ruby&gt;车&lt;rt&gt;chē&lt;/rt&gt;&lt;/ruby&gt;")</f>
        <v>&lt;ruby&gt;车&lt;rt&gt;chē&lt;/rt&gt;&lt;/ruby&gt;</v>
      </c>
      <c r="E153" s="13" t="str">
        <f ca="1">IFERROR(__xludf.DUMMYFUNCTION("""COMPUTED_VALUE"""),"chē")</f>
        <v>chē</v>
      </c>
      <c r="F153" s="13" t="str">
        <f ca="1">IFERROR(__xludf.DUMMYFUNCTION("""COMPUTED_VALUE"""),"Danh từ")</f>
        <v>Danh từ</v>
      </c>
      <c r="G153" s="13" t="str">
        <f ca="1">IFERROR(__xludf.DUMMYFUNCTION("""COMPUTED_VALUE"""),"Xe")</f>
        <v>Xe</v>
      </c>
      <c r="H153" s="13" t="str">
        <f ca="1">IFERROR(__xludf.DUMMYFUNCTION("""COMPUTED_VALUE"""),"我喜欢这辆车。")</f>
        <v>我喜欢这辆车。</v>
      </c>
      <c r="I153" s="13" t="str">
        <f ca="1">IFERROR(__xludf.DUMMYFUNCTION("""COMPUTED_VALUE"""),"Wǒ xǐhuan zhè liàng chē.")</f>
        <v>Wǒ xǐhuan zhè liàng chē.</v>
      </c>
      <c r="J153" s="13" t="str">
        <f ca="1">IFERROR(__xludf.DUMMYFUNCTION("""COMPUTED_VALUE"""),"Tôi thích chiếc xe này. ")</f>
        <v xml:space="preserve">Tôi thích chiếc xe này. </v>
      </c>
      <c r="K153" s="13" t="str">
        <f ca="1">IFERROR(__xludf.DUMMYFUNCTION("""COMPUTED_VALUE"""),"H1_B13_BG-07.gif")</f>
        <v>H1_B13_BG-07.gif</v>
      </c>
      <c r="L153" s="13" t="str">
        <f ca="1">IFERROR(__xludf.DUMMYFUNCTION("""COMPUTED_VALUE"""),"H1_B13_7.mp3")</f>
        <v>H1_B13_7.mp3</v>
      </c>
      <c r="M153" s="13" t="str">
        <f ca="1">IFERROR(__xludf.DUMMYFUNCTION("""COMPUTED_VALUE"""),"H1_B13_VD_7.mp3")</f>
        <v>H1_B13_VD_7.mp3</v>
      </c>
    </row>
    <row r="154" spans="1:13">
      <c r="A154" s="13">
        <f ca="1">IFERROR(__xludf.DUMMYFUNCTION("""COMPUTED_VALUE"""),8)</f>
        <v>8</v>
      </c>
      <c r="B154" s="13"/>
      <c r="C154" s="13" t="str">
        <f ca="1">IFERROR(__xludf.DUMMYFUNCTION("""COMPUTED_VALUE"""),"先生")</f>
        <v>先生</v>
      </c>
      <c r="D154" s="13" t="str">
        <f ca="1">IFERROR(__xludf.DUMMYFUNCTION("""COMPUTED_VALUE"""),"&lt;ruby&gt;先生&lt;rt&gt;xiānsheng&lt;/rt&gt;&lt;/ruby&gt;")</f>
        <v>&lt;ruby&gt;先生&lt;rt&gt;xiānsheng&lt;/rt&gt;&lt;/ruby&gt;</v>
      </c>
      <c r="E154" s="13" t="str">
        <f ca="1">IFERROR(__xludf.DUMMYFUNCTION("""COMPUTED_VALUE"""),"xiānsheng")</f>
        <v>xiānsheng</v>
      </c>
      <c r="F154" s="13" t="str">
        <f ca="1">IFERROR(__xludf.DUMMYFUNCTION("""COMPUTED_VALUE"""),"Danh từ")</f>
        <v>Danh từ</v>
      </c>
      <c r="G154" s="13" t="str">
        <f ca="1">IFERROR(__xludf.DUMMYFUNCTION("""COMPUTED_VALUE"""),"Ông, ngài")</f>
        <v>Ông, ngài</v>
      </c>
      <c r="H154" s="13" t="str">
        <f ca="1">IFERROR(__xludf.DUMMYFUNCTION("""COMPUTED_VALUE"""),"李先生！请上车。")</f>
        <v>李先生！请上车。</v>
      </c>
      <c r="I154" s="13" t="str">
        <f ca="1">IFERROR(__xludf.DUMMYFUNCTION("""COMPUTED_VALUE"""),"Lǐ xiānshēng! Qǐng shàng chē.")</f>
        <v>Lǐ xiānshēng! Qǐng shàng chē.</v>
      </c>
      <c r="J154" s="13" t="str">
        <f ca="1">IFERROR(__xludf.DUMMYFUNCTION("""COMPUTED_VALUE"""),"Ngài Lý! Xin mời lên xe. ")</f>
        <v xml:space="preserve">Ngài Lý! Xin mời lên xe. </v>
      </c>
      <c r="K154" s="13" t="str">
        <f ca="1">IFERROR(__xludf.DUMMYFUNCTION("""COMPUTED_VALUE"""),"H1_B13_BG-08.gif")</f>
        <v>H1_B13_BG-08.gif</v>
      </c>
      <c r="L154" s="13" t="str">
        <f ca="1">IFERROR(__xludf.DUMMYFUNCTION("""COMPUTED_VALUE"""),"H1_B13_8.mp3")</f>
        <v>H1_B13_8.mp3</v>
      </c>
      <c r="M154" s="13" t="str">
        <f ca="1">IFERROR(__xludf.DUMMYFUNCTION("""COMPUTED_VALUE"""),"H1_B13_VD_8.mp3")</f>
        <v>H1_B13_VD_8.mp3</v>
      </c>
    </row>
    <row r="155" spans="1:13">
      <c r="A155" s="13">
        <f ca="1">IFERROR(__xludf.DUMMYFUNCTION("""COMPUTED_VALUE"""),9)</f>
        <v>9</v>
      </c>
      <c r="B155" s="13"/>
      <c r="C155" s="13" t="str">
        <f ca="1">IFERROR(__xludf.DUMMYFUNCTION("""COMPUTED_VALUE"""),"啊")</f>
        <v>啊</v>
      </c>
      <c r="D155" s="13" t="str">
        <f ca="1">IFERROR(__xludf.DUMMYFUNCTION("""COMPUTED_VALUE"""),"&lt;ruby&gt;啊&lt;rt&gt;a&lt;/rt&gt;&lt;/ruby&gt;")</f>
        <v>&lt;ruby&gt;啊&lt;rt&gt;a&lt;/rt&gt;&lt;/ruby&gt;</v>
      </c>
      <c r="E155" s="13" t="str">
        <f ca="1">IFERROR(__xludf.DUMMYFUNCTION("""COMPUTED_VALUE"""),"a")</f>
        <v>a</v>
      </c>
      <c r="F155" s="13" t="str">
        <f ca="1">IFERROR(__xludf.DUMMYFUNCTION("""COMPUTED_VALUE"""),"Thán từ")</f>
        <v>Thán từ</v>
      </c>
      <c r="G155" s="13" t="str">
        <f ca="1">IFERROR(__xludf.DUMMYFUNCTION("""COMPUTED_VALUE"""),"A, ồ (thán từ)")</f>
        <v>A, ồ (thán từ)</v>
      </c>
      <c r="H155" s="13" t="str">
        <f ca="1">IFERROR(__xludf.DUMMYFUNCTION("""COMPUTED_VALUE"""),"啊！有一只猫在树上！")</f>
        <v>啊！有一只猫在树上！</v>
      </c>
      <c r="I155" s="13" t="str">
        <f ca="1">IFERROR(__xludf.DUMMYFUNCTION("""COMPUTED_VALUE"""),"A! Yǒu yī zhī māo zài shù shàng!")</f>
        <v>A! Yǒu yī zhī māo zài shù shàng!</v>
      </c>
      <c r="J155" s="13" t="str">
        <f ca="1">IFERROR(__xludf.DUMMYFUNCTION("""COMPUTED_VALUE"""),"A! Có một con mèo trên cây!")</f>
        <v>A! Có một con mèo trên cây!</v>
      </c>
      <c r="K155" s="13" t="str">
        <f ca="1">IFERROR(__xludf.DUMMYFUNCTION("""COMPUTED_VALUE"""),"H1_B13_BG-09.gif")</f>
        <v>H1_B13_BG-09.gif</v>
      </c>
      <c r="L155" s="13" t="str">
        <f ca="1">IFERROR(__xludf.DUMMYFUNCTION("""COMPUTED_VALUE"""),"H1_B13_9.mp3")</f>
        <v>H1_B13_9.mp3</v>
      </c>
      <c r="M155" s="13" t="str">
        <f ca="1">IFERROR(__xludf.DUMMYFUNCTION("""COMPUTED_VALUE"""),"H1_B13_VD_9.mp3")</f>
        <v>H1_B13_VD_9.mp3</v>
      </c>
    </row>
    <row r="156" spans="1:13">
      <c r="A156" s="13">
        <f ca="1">IFERROR(__xludf.DUMMYFUNCTION("""COMPUTED_VALUE"""),10)</f>
        <v>10</v>
      </c>
      <c r="B156" s="13"/>
      <c r="C156" s="13" t="str">
        <f ca="1">IFERROR(__xludf.DUMMYFUNCTION("""COMPUTED_VALUE"""),"后")</f>
        <v>后</v>
      </c>
      <c r="D156" s="13" t="str">
        <f ca="1">IFERROR(__xludf.DUMMYFUNCTION("""COMPUTED_VALUE"""),"&lt;ruby&gt;后&lt;rt&gt;hòu&lt;/rt&gt;&lt;/ruby&gt;")</f>
        <v>&lt;ruby&gt;后&lt;rt&gt;hòu&lt;/rt&gt;&lt;/ruby&gt;</v>
      </c>
      <c r="E156" s="13" t="str">
        <f ca="1">IFERROR(__xludf.DUMMYFUNCTION("""COMPUTED_VALUE"""),"hòu")</f>
        <v>hòu</v>
      </c>
      <c r="F156" s="13" t="str">
        <f ca="1">IFERROR(__xludf.DUMMYFUNCTION("""COMPUTED_VALUE"""),"Trạng từ")</f>
        <v>Trạng từ</v>
      </c>
      <c r="G156" s="13" t="str">
        <f ca="1">IFERROR(__xludf.DUMMYFUNCTION("""COMPUTED_VALUE"""),"Sau")</f>
        <v>Sau</v>
      </c>
      <c r="H156" s="13" t="str">
        <f ca="1">IFERROR(__xludf.DUMMYFUNCTION("""COMPUTED_VALUE"""),"学校后有一家饭店。 ")</f>
        <v xml:space="preserve">学校后有一家饭店。 </v>
      </c>
      <c r="I156" s="13" t="str">
        <f ca="1">IFERROR(__xludf.DUMMYFUNCTION("""COMPUTED_VALUE"""),"Xuéxiào hòu yǒu yī jiā fàndiàn.")</f>
        <v>Xuéxiào hòu yǒu yī jiā fàndiàn.</v>
      </c>
      <c r="J156" s="13" t="str">
        <f ca="1">IFERROR(__xludf.DUMMYFUNCTION("""COMPUTED_VALUE"""),"Phía sau trường có một quán ăn. ")</f>
        <v xml:space="preserve">Phía sau trường có một quán ăn. </v>
      </c>
      <c r="K156" s="13" t="str">
        <f ca="1">IFERROR(__xludf.DUMMYFUNCTION("""COMPUTED_VALUE"""),"H1_B13_BG-10.gif")</f>
        <v>H1_B13_BG-10.gif</v>
      </c>
      <c r="L156" s="13" t="str">
        <f ca="1">IFERROR(__xludf.DUMMYFUNCTION("""COMPUTED_VALUE"""),"H1_B13_10.mp3")</f>
        <v>H1_B13_10.mp3</v>
      </c>
      <c r="M156" s="13" t="str">
        <f ca="1">IFERROR(__xludf.DUMMYFUNCTION("""COMPUTED_VALUE"""),"H1_B13_VD_10.mp3")</f>
        <v>H1_B13_VD_10.mp3</v>
      </c>
    </row>
    <row r="157" spans="1:13">
      <c r="A157" s="13">
        <f ca="1">IFERROR(__xludf.DUMMYFUNCTION("""COMPUTED_VALUE"""),11)</f>
        <v>11</v>
      </c>
      <c r="B157" s="13"/>
      <c r="C157" s="13" t="str">
        <f ca="1">IFERROR(__xludf.DUMMYFUNCTION("""COMPUTED_VALUE"""),"分钟")</f>
        <v>分钟</v>
      </c>
      <c r="D157" s="13" t="str">
        <f ca="1">IFERROR(__xludf.DUMMYFUNCTION("""COMPUTED_VALUE"""),"&lt;ruby&gt;分钟&lt;rt&gt;fēnzhōng&lt;/rt&gt;&lt;/ruby&gt;")</f>
        <v>&lt;ruby&gt;分钟&lt;rt&gt;fēnzhōng&lt;/rt&gt;&lt;/ruby&gt;</v>
      </c>
      <c r="E157" s="13" t="str">
        <f ca="1">IFERROR(__xludf.DUMMYFUNCTION("""COMPUTED_VALUE"""),"fēnzhōng")</f>
        <v>fēnzhōng</v>
      </c>
      <c r="F157" s="13" t="str">
        <f ca="1">IFERROR(__xludf.DUMMYFUNCTION("""COMPUTED_VALUE"""),"Danh từ")</f>
        <v>Danh từ</v>
      </c>
      <c r="G157" s="13" t="str">
        <f ca="1">IFERROR(__xludf.DUMMYFUNCTION("""COMPUTED_VALUE"""),"Phút")</f>
        <v>Phút</v>
      </c>
      <c r="H157" s="13" t="str">
        <f ca="1">IFERROR(__xludf.DUMMYFUNCTION("""COMPUTED_VALUE"""),"电影8点开始，我们还有十分钟。")</f>
        <v>电影8点开始，我们还有十分钟。</v>
      </c>
      <c r="I157" s="13" t="str">
        <f ca="1">IFERROR(__xludf.DUMMYFUNCTION("""COMPUTED_VALUE"""),"Diànyǐng bā diǎn kāishǐ, wǒmen hái yǒu shí fēnzhōng.")</f>
        <v>Diànyǐng bā diǎn kāishǐ, wǒmen hái yǒu shí fēnzhōng.</v>
      </c>
      <c r="J157" s="13" t="str">
        <f ca="1">IFERROR(__xludf.DUMMYFUNCTION("""COMPUTED_VALUE"""),"Phim bắt đầu lúc 8 giờ, chúng ta còn 10 phút.")</f>
        <v>Phim bắt đầu lúc 8 giờ, chúng ta còn 10 phút.</v>
      </c>
      <c r="K157" s="13" t="str">
        <f ca="1">IFERROR(__xludf.DUMMYFUNCTION("""COMPUTED_VALUE"""),"H1_B13_BG-11.gif")</f>
        <v>H1_B13_BG-11.gif</v>
      </c>
      <c r="L157" s="13" t="str">
        <f ca="1">IFERROR(__xludf.DUMMYFUNCTION("""COMPUTED_VALUE"""),"H1_B13_11.mp3")</f>
        <v>H1_B13_11.mp3</v>
      </c>
      <c r="M157" s="13" t="str">
        <f ca="1">IFERROR(__xludf.DUMMYFUNCTION("""COMPUTED_VALUE"""),"H1_B13_VD_11.mp3")</f>
        <v>H1_B13_VD_11.mp3</v>
      </c>
    </row>
    <row r="158" spans="1:13">
      <c r="A158" s="13">
        <f ca="1">IFERROR(__xludf.DUMMYFUNCTION("""COMPUTED_VALUE"""),12)</f>
        <v>12</v>
      </c>
      <c r="B158" s="13"/>
      <c r="C158" s="13" t="str">
        <f ca="1">IFERROR(__xludf.DUMMYFUNCTION("""COMPUTED_VALUE"""),"开")</f>
        <v>开</v>
      </c>
      <c r="D158" s="13" t="str">
        <f ca="1">IFERROR(__xludf.DUMMYFUNCTION("""COMPUTED_VALUE"""),"&lt;ruby&gt;开&lt;rt&gt;kāi&lt;/rt&gt;&lt;/ruby&gt;")</f>
        <v>&lt;ruby&gt;开&lt;rt&gt;kāi&lt;/rt&gt;&lt;/ruby&gt;</v>
      </c>
      <c r="E158" s="13" t="str">
        <f ca="1">IFERROR(__xludf.DUMMYFUNCTION("""COMPUTED_VALUE"""),"kāi")</f>
        <v>kāi</v>
      </c>
      <c r="F158" s="13" t="str">
        <f ca="1">IFERROR(__xludf.DUMMYFUNCTION("""COMPUTED_VALUE"""),"Động từ")</f>
        <v>Động từ</v>
      </c>
      <c r="G158" s="13" t="str">
        <f ca="1">IFERROR(__xludf.DUMMYFUNCTION("""COMPUTED_VALUE"""),"Lái (xe), Mở ")</f>
        <v xml:space="preserve">Lái (xe), Mở </v>
      </c>
      <c r="H158" s="13" t="str">
        <f ca="1">IFERROR(__xludf.DUMMYFUNCTION("""COMPUTED_VALUE"""),"早上应该打开窗户。")</f>
        <v>早上应该打开窗户。</v>
      </c>
      <c r="I158" s="13" t="str">
        <f ca="1">IFERROR(__xludf.DUMMYFUNCTION("""COMPUTED_VALUE"""),"Zǎoshang yīnggāi dǎkāi chuānghu.")</f>
        <v>Zǎoshang yīnggāi dǎkāi chuānghu.</v>
      </c>
      <c r="J158" s="13" t="str">
        <f ca="1">IFERROR(__xludf.DUMMYFUNCTION("""COMPUTED_VALUE"""),"Buổi sáng nên mở cửa sổ ra.")</f>
        <v>Buổi sáng nên mở cửa sổ ra.</v>
      </c>
      <c r="K158" s="13" t="str">
        <f ca="1">IFERROR(__xludf.DUMMYFUNCTION("""COMPUTED_VALUE"""),"H1_B13_BG-12.gif")</f>
        <v>H1_B13_BG-12.gif</v>
      </c>
      <c r="L158" s="13" t="str">
        <f ca="1">IFERROR(__xludf.DUMMYFUNCTION("""COMPUTED_VALUE"""),"H1_B13_12.mp3")</f>
        <v>H1_B13_12.mp3</v>
      </c>
      <c r="M158" s="13" t="str">
        <f ca="1">IFERROR(__xludf.DUMMYFUNCTION("""COMPUTED_VALUE"""),"H1_B13_VD_12.mp3")</f>
        <v>H1_B13_VD_12.mp3</v>
      </c>
    </row>
    <row r="159" spans="1:13">
      <c r="A159" s="13"/>
      <c r="B159" s="13"/>
      <c r="C159" s="13" t="str">
        <f ca="1">IFERROR(__xludf.DUMMYFUNCTION("""COMPUTED_VALUE"""),"回来")</f>
        <v>回来</v>
      </c>
      <c r="D159" s="13" t="str">
        <f ca="1">IFERROR(__xludf.DUMMYFUNCTION("""COMPUTED_VALUE"""),"&lt;ruby&gt;回来&lt;rt&gt;huílái&lt;/rt&gt;&lt;/ruby&gt;")</f>
        <v>&lt;ruby&gt;回来&lt;rt&gt;huílái&lt;/rt&gt;&lt;/ruby&gt;</v>
      </c>
      <c r="E159" s="13" t="str">
        <f ca="1">IFERROR(__xludf.DUMMYFUNCTION("""COMPUTED_VALUE"""),"huílái")</f>
        <v>huílái</v>
      </c>
      <c r="F159" s="13" t="str">
        <f ca="1">IFERROR(__xludf.DUMMYFUNCTION("""COMPUTED_VALUE"""),"Động từ")</f>
        <v>Động từ</v>
      </c>
      <c r="G159" s="13" t="str">
        <f ca="1">IFERROR(__xludf.DUMMYFUNCTION("""COMPUTED_VALUE"""),"Quay lại, trở về")</f>
        <v>Quay lại, trở về</v>
      </c>
      <c r="H159" s="13" t="str">
        <f ca="1">IFERROR(__xludf.DUMMYFUNCTION("""COMPUTED_VALUE"""),"你去旅游什么时候回来?")</f>
        <v>你去旅游什么时候回来?</v>
      </c>
      <c r="I159" s="13" t="str">
        <f ca="1">IFERROR(__xludf.DUMMYFUNCTION("""COMPUTED_VALUE"""),"Nǐ qù lǚyóu shénme shíhou huílái?")</f>
        <v>Nǐ qù lǚyóu shénme shíhou huílái?</v>
      </c>
      <c r="J159" s="13" t="str">
        <f ca="1">IFERROR(__xludf.DUMMYFUNCTION("""COMPUTED_VALUE"""),"Bạn đi du lịch khi nào về?")</f>
        <v>Bạn đi du lịch khi nào về?</v>
      </c>
      <c r="K159" s="13" t="str">
        <f ca="1">IFERROR(__xludf.DUMMYFUNCTION("""COMPUTED_VALUE"""),"H1_B13_BG-13.gif")</f>
        <v>H1_B13_BG-13.gif</v>
      </c>
      <c r="L159" s="13" t="str">
        <f ca="1">IFERROR(__xludf.DUMMYFUNCTION("""COMPUTED_VALUE"""),"H1_B13_13.mp3")</f>
        <v>H1_B13_13.mp3</v>
      </c>
      <c r="M159" s="13" t="str">
        <f ca="1">IFERROR(__xludf.DUMMYFUNCTION("""COMPUTED_VALUE"""),"H1_B13_VD_13.mp3")</f>
        <v>H1_B13_VD_13.mp3</v>
      </c>
    </row>
    <row r="160" spans="1:13">
      <c r="A160" s="13">
        <f ca="1">IFERROR(__xludf.DUMMYFUNCTION("""COMPUTED_VALUE"""),14)</f>
        <v>14</v>
      </c>
      <c r="B160" s="13"/>
      <c r="C160" s="13" t="str">
        <f ca="1">IFERROR(__xludf.DUMMYFUNCTION("""COMPUTED_VALUE"""),"看见")</f>
        <v>看见</v>
      </c>
      <c r="D160" s="13" t="str">
        <f ca="1">IFERROR(__xludf.DUMMYFUNCTION("""COMPUTED_VALUE"""),"&lt;ruby&gt;看见&lt;rt&gt;kànjiàn&lt;/rt&gt;&lt;/ruby&gt;")</f>
        <v>&lt;ruby&gt;看见&lt;rt&gt;kànjiàn&lt;/rt&gt;&lt;/ruby&gt;</v>
      </c>
      <c r="E160" s="13" t="str">
        <f ca="1">IFERROR(__xludf.DUMMYFUNCTION("""COMPUTED_VALUE"""),"kànjiàn")</f>
        <v>kànjiàn</v>
      </c>
      <c r="F160" s="13" t="str">
        <f ca="1">IFERROR(__xludf.DUMMYFUNCTION("""COMPUTED_VALUE"""),"Động từ")</f>
        <v>Động từ</v>
      </c>
      <c r="G160" s="13" t="str">
        <f ca="1">IFERROR(__xludf.DUMMYFUNCTION("""COMPUTED_VALUE"""),"Nhìn thấy")</f>
        <v>Nhìn thấy</v>
      </c>
      <c r="H160" s="13" t="str">
        <f ca="1">IFERROR(__xludf.DUMMYFUNCTION("""COMPUTED_VALUE"""),"我看见了很多玩具")</f>
        <v>我看见了很多玩具</v>
      </c>
      <c r="I160" s="13" t="str">
        <f ca="1">IFERROR(__xludf.DUMMYFUNCTION("""COMPUTED_VALUE"""),"Wǒ kànjiàn le hěn duō wánjù.")</f>
        <v>Wǒ kànjiàn le hěn duō wánjù.</v>
      </c>
      <c r="J160" s="13" t="str">
        <f ca="1">IFERROR(__xludf.DUMMYFUNCTION("""COMPUTED_VALUE"""),"Tôi nhìn thấy rất nhiều món đồ chơi.")</f>
        <v>Tôi nhìn thấy rất nhiều món đồ chơi.</v>
      </c>
      <c r="K160" s="13" t="str">
        <f ca="1">IFERROR(__xludf.DUMMYFUNCTION("""COMPUTED_VALUE"""),"H1_B13_BG-14.gif")</f>
        <v>H1_B13_BG-14.gif</v>
      </c>
      <c r="L160" s="13" t="str">
        <f ca="1">IFERROR(__xludf.DUMMYFUNCTION("""COMPUTED_VALUE"""),"H1_B13_14.mp3")</f>
        <v>H1_B13_14.mp3</v>
      </c>
      <c r="M160" s="13" t="str">
        <f ca="1">IFERROR(__xludf.DUMMYFUNCTION("""COMPUTED_VALUE"""),"H1_B13_VD_14.mp3")</f>
        <v>H1_B13_VD_14.mp3</v>
      </c>
    </row>
    <row r="161" spans="1:13">
      <c r="A161" s="13">
        <f ca="1">IFERROR(__xludf.DUMMYFUNCTION("""COMPUTED_VALUE"""),15)</f>
        <v>15</v>
      </c>
      <c r="B161" s="13"/>
      <c r="C161" s="13" t="str">
        <f ca="1">IFERROR(__xludf.DUMMYFUNCTION("""COMPUTED_VALUE"""),"漂亮")</f>
        <v>漂亮</v>
      </c>
      <c r="D161" s="13" t="str">
        <f ca="1">IFERROR(__xludf.DUMMYFUNCTION("""COMPUTED_VALUE"""),"&lt;ruby&gt;漂亮&lt;rt&gt;piàoliang&lt;/rt&gt;&lt;/ruby&gt;")</f>
        <v>&lt;ruby&gt;漂亮&lt;rt&gt;piàoliang&lt;/rt&gt;&lt;/ruby&gt;</v>
      </c>
      <c r="E161" s="13" t="str">
        <f ca="1">IFERROR(__xludf.DUMMYFUNCTION("""COMPUTED_VALUE"""),"piàoliang")</f>
        <v>piàoliang</v>
      </c>
      <c r="F161" s="13" t="str">
        <f ca="1">IFERROR(__xludf.DUMMYFUNCTION("""COMPUTED_VALUE"""),"Tính từ")</f>
        <v>Tính từ</v>
      </c>
      <c r="G161" s="13" t="str">
        <f ca="1">IFERROR(__xludf.DUMMYFUNCTION("""COMPUTED_VALUE"""),"Đẹp, xinh xắn")</f>
        <v>Đẹp, xinh xắn</v>
      </c>
      <c r="H161" s="13" t="str">
        <f ca="1">IFERROR(__xludf.DUMMYFUNCTION("""COMPUTED_VALUE"""),"你的花盆真漂亮！")</f>
        <v>你的花盆真漂亮！</v>
      </c>
      <c r="I161" s="13" t="str">
        <f ca="1">IFERROR(__xludf.DUMMYFUNCTION("""COMPUTED_VALUE"""),"Nǐ de huāpén zhēn piàoliang!")</f>
        <v>Nǐ de huāpén zhēn piàoliang!</v>
      </c>
      <c r="J161" s="13" t="str">
        <f ca="1">IFERROR(__xludf.DUMMYFUNCTION("""COMPUTED_VALUE"""),"Chậu hoa của cậu thật xinh đẹp!")</f>
        <v>Chậu hoa của cậu thật xinh đẹp!</v>
      </c>
      <c r="K161" s="13" t="str">
        <f ca="1">IFERROR(__xludf.DUMMYFUNCTION("""COMPUTED_VALUE"""),"H1_B13_BG-15.gif")</f>
        <v>H1_B13_BG-15.gif</v>
      </c>
      <c r="L161" s="13" t="str">
        <f ca="1">IFERROR(__xludf.DUMMYFUNCTION("""COMPUTED_VALUE"""),"H1_B13_15.mp3")</f>
        <v>H1_B13_15.mp3</v>
      </c>
      <c r="M161" s="13" t="str">
        <f ca="1">IFERROR(__xludf.DUMMYFUNCTION("""COMPUTED_VALUE"""),"H1_B13_VD_15.mp3")</f>
        <v>H1_B13_VD_15.mp3</v>
      </c>
    </row>
    <row r="162" spans="1:13">
      <c r="A162" s="13">
        <f ca="1">IFERROR(__xludf.DUMMYFUNCTION("""COMPUTED_VALUE"""),16)</f>
        <v>16</v>
      </c>
      <c r="B162" s="13"/>
      <c r="C162" s="13" t="str">
        <f ca="1">IFERROR(__xludf.DUMMYFUNCTION("""COMPUTED_VALUE"""),"这些")</f>
        <v>这些</v>
      </c>
      <c r="D162" s="13" t="str">
        <f ca="1">IFERROR(__xludf.DUMMYFUNCTION("""COMPUTED_VALUE"""),"&lt;ruby&gt;这些&lt;rt&gt;zhèxiē&lt;/rt&gt;&lt;/ruby&gt;")</f>
        <v>&lt;ruby&gt;这些&lt;rt&gt;zhèxiē&lt;/rt&gt;&lt;/ruby&gt;</v>
      </c>
      <c r="E162" s="13" t="str">
        <f ca="1">IFERROR(__xludf.DUMMYFUNCTION("""COMPUTED_VALUE"""),"zhèxiē")</f>
        <v>zhèxiē</v>
      </c>
      <c r="F162" s="13" t="str">
        <f ca="1">IFERROR(__xludf.DUMMYFUNCTION("""COMPUTED_VALUE"""),"Đại từ")</f>
        <v>Đại từ</v>
      </c>
      <c r="G162" s="13" t="str">
        <f ca="1">IFERROR(__xludf.DUMMYFUNCTION("""COMPUTED_VALUE"""),"Những... này")</f>
        <v>Những... này</v>
      </c>
      <c r="H162" s="13" t="str">
        <f ca="1">IFERROR(__xludf.DUMMYFUNCTION("""COMPUTED_VALUE"""),"这些书很好看。")</f>
        <v>这些书很好看。</v>
      </c>
      <c r="I162" s="13" t="str">
        <f ca="1">IFERROR(__xludf.DUMMYFUNCTION("""COMPUTED_VALUE"""),"Zhèxiē shū hěn hǎokàn.")</f>
        <v>Zhèxiē shū hěn hǎokàn.</v>
      </c>
      <c r="J162" s="13" t="str">
        <f ca="1">IFERROR(__xludf.DUMMYFUNCTION("""COMPUTED_VALUE"""),"Những cuốn sách này rất hay.")</f>
        <v>Những cuốn sách này rất hay.</v>
      </c>
      <c r="K162" s="13" t="str">
        <f ca="1">IFERROR(__xludf.DUMMYFUNCTION("""COMPUTED_VALUE"""),"H1_B13_BG-16.gif")</f>
        <v>H1_B13_BG-16.gif</v>
      </c>
      <c r="L162" s="13" t="str">
        <f ca="1">IFERROR(__xludf.DUMMYFUNCTION("""COMPUTED_VALUE"""),"H1_B13_16.mp3")</f>
        <v>H1_B13_16.mp3</v>
      </c>
      <c r="M162" s="13" t="str">
        <f ca="1">IFERROR(__xludf.DUMMYFUNCTION("""COMPUTED_VALUE"""),"H1_B13_VD_16.mp3")</f>
        <v>H1_B13_VD_16.mp3</v>
      </c>
    </row>
    <row r="163" spans="1:13">
      <c r="A163" s="13">
        <f ca="1">IFERROR(__xludf.DUMMYFUNCTION("""COMPUTED_VALUE"""),17)</f>
        <v>17</v>
      </c>
      <c r="B163" s="13"/>
      <c r="C163" s="13" t="str">
        <f ca="1">IFERROR(__xludf.DUMMYFUNCTION("""COMPUTED_VALUE"""),"都")</f>
        <v>都</v>
      </c>
      <c r="D163" s="13" t="str">
        <f ca="1">IFERROR(__xludf.DUMMYFUNCTION("""COMPUTED_VALUE"""),"&lt;ruby&gt;都&lt;rt&gt;dōu&lt;/rt&gt;&lt;/ruby&gt;")</f>
        <v>&lt;ruby&gt;都&lt;rt&gt;dōu&lt;/rt&gt;&lt;/ruby&gt;</v>
      </c>
      <c r="E163" s="13" t="str">
        <f ca="1">IFERROR(__xludf.DUMMYFUNCTION("""COMPUTED_VALUE"""),"dōu")</f>
        <v>dōu</v>
      </c>
      <c r="F163" s="13" t="str">
        <f ca="1">IFERROR(__xludf.DUMMYFUNCTION("""COMPUTED_VALUE"""),"Phó từ")</f>
        <v>Phó từ</v>
      </c>
      <c r="G163" s="13" t="str">
        <f ca="1">IFERROR(__xludf.DUMMYFUNCTION("""COMPUTED_VALUE"""),"Đều")</f>
        <v>Đều</v>
      </c>
      <c r="H163" s="13" t="str">
        <f ca="1">IFERROR(__xludf.DUMMYFUNCTION("""COMPUTED_VALUE"""),"我们都喜欢红色。")</f>
        <v>我们都喜欢红色。</v>
      </c>
      <c r="I163" s="13" t="str">
        <f ca="1">IFERROR(__xludf.DUMMYFUNCTION("""COMPUTED_VALUE"""),"Wǒmen dōu xǐhuan hóngsè.")</f>
        <v>Wǒmen dōu xǐhuan hóngsè.</v>
      </c>
      <c r="J163" s="13" t="str">
        <f ca="1">IFERROR(__xludf.DUMMYFUNCTION("""COMPUTED_VALUE"""),"Chúng tôi đều thích màu đỏ. ")</f>
        <v xml:space="preserve">Chúng tôi đều thích màu đỏ. </v>
      </c>
      <c r="K163" s="13" t="str">
        <f ca="1">IFERROR(__xludf.DUMMYFUNCTION("""COMPUTED_VALUE"""),"H1_B13_BG-17.gif")</f>
        <v>H1_B13_BG-17.gif</v>
      </c>
      <c r="L163" s="13" t="str">
        <f ca="1">IFERROR(__xludf.DUMMYFUNCTION("""COMPUTED_VALUE"""),"H1_B13_17.mp3")</f>
        <v>H1_B13_17.mp3</v>
      </c>
      <c r="M163" s="13" t="str">
        <f ca="1">IFERROR(__xludf.DUMMYFUNCTION("""COMPUTED_VALUE"""),"H1_B13_VD_17.mp3")</f>
        <v>H1_B13_VD_17.mp3</v>
      </c>
    </row>
    <row r="164" spans="1:13">
      <c r="A164" s="13">
        <f ca="1">IFERROR(__xludf.DUMMYFUNCTION("""COMPUTED_VALUE"""),1)</f>
        <v>1</v>
      </c>
      <c r="B164" s="13"/>
      <c r="C164" s="13" t="str">
        <f ca="1">IFERROR(__xludf.DUMMYFUNCTION("""COMPUTED_VALUE"""),"出租车")</f>
        <v>出租车</v>
      </c>
      <c r="D164" s="13" t="str">
        <f ca="1">IFERROR(__xludf.DUMMYFUNCTION("""COMPUTED_VALUE"""),"&lt;ruby&gt;出租车&lt;rt&gt;chūzūchē&lt;/rt&gt;&lt;/ruby&gt;")</f>
        <v>&lt;ruby&gt;出租车&lt;rt&gt;chūzūchē&lt;/rt&gt;&lt;/ruby&gt;</v>
      </c>
      <c r="E164" s="13" t="str">
        <f ca="1">IFERROR(__xludf.DUMMYFUNCTION("""COMPUTED_VALUE"""),"chūzūchē")</f>
        <v>chūzūchē</v>
      </c>
      <c r="F164" s="13" t="str">
        <f ca="1">IFERROR(__xludf.DUMMYFUNCTION("""COMPUTED_VALUE"""),"Danh từ")</f>
        <v>Danh từ</v>
      </c>
      <c r="G164" s="13" t="str">
        <f ca="1">IFERROR(__xludf.DUMMYFUNCTION("""COMPUTED_VALUE"""),"Taxi")</f>
        <v>Taxi</v>
      </c>
      <c r="H164" s="13" t="str">
        <f ca="1">IFERROR(__xludf.DUMMYFUNCTION("""COMPUTED_VALUE"""),"我们坐出租车回去。")</f>
        <v>我们坐出租车回去。</v>
      </c>
      <c r="I164" s="13" t="str">
        <f ca="1">IFERROR(__xludf.DUMMYFUNCTION("""COMPUTED_VALUE"""),"Wǒmen zuò chūzūchē huíqù.")</f>
        <v>Wǒmen zuò chūzūchē huíqù.</v>
      </c>
      <c r="J164" s="13" t="str">
        <f ca="1">IFERROR(__xludf.DUMMYFUNCTION("""COMPUTED_VALUE"""),"Chúng tôi đi taxi về. ")</f>
        <v xml:space="preserve">Chúng tôi đi taxi về. </v>
      </c>
      <c r="K164" s="13" t="str">
        <f ca="1">IFERROR(__xludf.DUMMYFUNCTION("""COMPUTED_VALUE"""),"H1_B14_BG-01.gif")</f>
        <v>H1_B14_BG-01.gif</v>
      </c>
      <c r="L164" s="13" t="str">
        <f ca="1">IFERROR(__xludf.DUMMYFUNCTION("""COMPUTED_VALUE"""),"H1_B14_1.mp3")</f>
        <v>H1_B14_1.mp3</v>
      </c>
      <c r="M164" s="13" t="str">
        <f ca="1">IFERROR(__xludf.DUMMYFUNCTION("""COMPUTED_VALUE"""),"H1_B14_VD_1.mp3")</f>
        <v>H1_B14_VD_1.mp3</v>
      </c>
    </row>
    <row r="165" spans="1:13">
      <c r="A165" s="13">
        <f ca="1">IFERROR(__xludf.DUMMYFUNCTION("""COMPUTED_VALUE"""),2)</f>
        <v>2</v>
      </c>
      <c r="B165" s="13"/>
      <c r="C165" s="13" t="str">
        <f ca="1">IFERROR(__xludf.DUMMYFUNCTION("""COMPUTED_VALUE"""),"飞机")</f>
        <v>飞机</v>
      </c>
      <c r="D165" s="13" t="str">
        <f ca="1">IFERROR(__xludf.DUMMYFUNCTION("""COMPUTED_VALUE"""),"&lt;ruby&gt;飞机&lt;rt&gt;fēijī&lt;/rt&gt;&lt;/ruby&gt;")</f>
        <v>&lt;ruby&gt;飞机&lt;rt&gt;fēijī&lt;/rt&gt;&lt;/ruby&gt;</v>
      </c>
      <c r="E165" s="13" t="str">
        <f ca="1">IFERROR(__xludf.DUMMYFUNCTION("""COMPUTED_VALUE"""),"fēijī")</f>
        <v>fēijī</v>
      </c>
      <c r="F165" s="13" t="str">
        <f ca="1">IFERROR(__xludf.DUMMYFUNCTION("""COMPUTED_VALUE"""),"Danh từ")</f>
        <v>Danh từ</v>
      </c>
      <c r="G165" s="13" t="str">
        <f ca="1">IFERROR(__xludf.DUMMYFUNCTION("""COMPUTED_VALUE"""),"Máy bay")</f>
        <v>Máy bay</v>
      </c>
      <c r="H165" s="13" t="str">
        <f ca="1">IFERROR(__xludf.DUMMYFUNCTION("""COMPUTED_VALUE"""),"我坐飞机去上海。")</f>
        <v>我坐飞机去上海。</v>
      </c>
      <c r="I165" s="13" t="str">
        <f ca="1">IFERROR(__xludf.DUMMYFUNCTION("""COMPUTED_VALUE"""),"Wǒ zuò fēijī qù Shànghǎi.")</f>
        <v>Wǒ zuò fēijī qù Shànghǎi.</v>
      </c>
      <c r="J165" s="13" t="str">
        <f ca="1">IFERROR(__xludf.DUMMYFUNCTION("""COMPUTED_VALUE"""),"Tôi đi máy bay đến Thượng Hải. ")</f>
        <v xml:space="preserve">Tôi đi máy bay đến Thượng Hải. </v>
      </c>
      <c r="K165" s="13" t="str">
        <f ca="1">IFERROR(__xludf.DUMMYFUNCTION("""COMPUTED_VALUE"""),"H1_B14_BG-02.gif")</f>
        <v>H1_B14_BG-02.gif</v>
      </c>
      <c r="L165" s="13" t="str">
        <f ca="1">IFERROR(__xludf.DUMMYFUNCTION("""COMPUTED_VALUE"""),"H1_B14_2.mp3")</f>
        <v>H1_B14_2.mp3</v>
      </c>
      <c r="M165" s="13" t="str">
        <f ca="1">IFERROR(__xludf.DUMMYFUNCTION("""COMPUTED_VALUE"""),"H1_B14_VD_2.mp3")</f>
        <v>H1_B14_VD_2.mp3</v>
      </c>
    </row>
    <row r="166" spans="1:13">
      <c r="A166" s="13">
        <f ca="1">IFERROR(__xludf.DUMMYFUNCTION("""COMPUTED_VALUE"""),3)</f>
        <v>3</v>
      </c>
      <c r="B166" s="13"/>
      <c r="C166" s="13" t="str">
        <f ca="1">IFERROR(__xludf.DUMMYFUNCTION("""COMPUTED_VALUE"""),"大学")</f>
        <v>大学</v>
      </c>
      <c r="D166" s="13" t="str">
        <f ca="1">IFERROR(__xludf.DUMMYFUNCTION("""COMPUTED_VALUE"""),"&lt;ruby&gt;大学&lt;rt&gt;dàxué&lt;/rt&gt;&lt;/ruby&gt;")</f>
        <v>&lt;ruby&gt;大学&lt;rt&gt;dàxué&lt;/rt&gt;&lt;/ruby&gt;</v>
      </c>
      <c r="E166" s="13" t="str">
        <f ca="1">IFERROR(__xludf.DUMMYFUNCTION("""COMPUTED_VALUE"""),"dàxué")</f>
        <v>dàxué</v>
      </c>
      <c r="F166" s="13" t="str">
        <f ca="1">IFERROR(__xludf.DUMMYFUNCTION("""COMPUTED_VALUE"""),"Danh từ")</f>
        <v>Danh từ</v>
      </c>
      <c r="G166" s="13" t="str">
        <f ca="1">IFERROR(__xludf.DUMMYFUNCTION("""COMPUTED_VALUE"""),"Đại học")</f>
        <v>Đại học</v>
      </c>
      <c r="H166" s="13" t="str">
        <f ca="1">IFERROR(__xludf.DUMMYFUNCTION("""COMPUTED_VALUE"""),"我在中国读大学。 ")</f>
        <v xml:space="preserve">我在中国读大学。 </v>
      </c>
      <c r="I166" s="13" t="str">
        <f ca="1">IFERROR(__xludf.DUMMYFUNCTION("""COMPUTED_VALUE"""),"Wǒ zài Zhōngguó dú dàxué.")</f>
        <v>Wǒ zài Zhōngguó dú dàxué.</v>
      </c>
      <c r="J166" s="13" t="str">
        <f ca="1">IFERROR(__xludf.DUMMYFUNCTION("""COMPUTED_VALUE"""),"Tôi học đại học ở Trung Quốc. ")</f>
        <v xml:space="preserve">Tôi học đại học ở Trung Quốc. </v>
      </c>
      <c r="K166" s="13" t="str">
        <f ca="1">IFERROR(__xludf.DUMMYFUNCTION("""COMPUTED_VALUE"""),"H1_B14_BG-03.gif")</f>
        <v>H1_B14_BG-03.gif</v>
      </c>
      <c r="L166" s="13" t="str">
        <f ca="1">IFERROR(__xludf.DUMMYFUNCTION("""COMPUTED_VALUE"""),"H1_B14_3.mp3")</f>
        <v>H1_B14_3.mp3</v>
      </c>
      <c r="M166" s="13" t="str">
        <f ca="1">IFERROR(__xludf.DUMMYFUNCTION("""COMPUTED_VALUE"""),"H1_B14_VD_3.mp3")</f>
        <v>H1_B14_VD_3.mp3</v>
      </c>
    </row>
    <row r="167" spans="1:13">
      <c r="A167" s="13">
        <f ca="1">IFERROR(__xludf.DUMMYFUNCTION("""COMPUTED_VALUE"""),4)</f>
        <v>4</v>
      </c>
      <c r="B167" s="13"/>
      <c r="C167" s="13" t="str">
        <f ca="1">IFERROR(__xludf.DUMMYFUNCTION("""COMPUTED_VALUE"""),"年")</f>
        <v>年</v>
      </c>
      <c r="D167" s="13" t="str">
        <f ca="1">IFERROR(__xludf.DUMMYFUNCTION("""COMPUTED_VALUE"""),"&lt;ruby&gt;年&lt;rt&gt;nián&lt;/rt&gt;&lt;/ruby&gt;")</f>
        <v>&lt;ruby&gt;年&lt;rt&gt;nián&lt;/rt&gt;&lt;/ruby&gt;</v>
      </c>
      <c r="E167" s="13" t="str">
        <f ca="1">IFERROR(__xludf.DUMMYFUNCTION("""COMPUTED_VALUE"""),"nián")</f>
        <v>nián</v>
      </c>
      <c r="F167" s="13" t="str">
        <f ca="1">IFERROR(__xludf.DUMMYFUNCTION("""COMPUTED_VALUE"""),"Danh từ")</f>
        <v>Danh từ</v>
      </c>
      <c r="G167" s="13" t="str">
        <f ca="1">IFERROR(__xludf.DUMMYFUNCTION("""COMPUTED_VALUE"""),"Năm")</f>
        <v>Năm</v>
      </c>
      <c r="H167" s="13" t="str">
        <f ca="1">IFERROR(__xludf.DUMMYFUNCTION("""COMPUTED_VALUE"""),"新年快乐！")</f>
        <v>新年快乐！</v>
      </c>
      <c r="I167" s="13" t="str">
        <f ca="1">IFERROR(__xludf.DUMMYFUNCTION("""COMPUTED_VALUE"""),"Xīnnián kuàilè!")</f>
        <v>Xīnnián kuàilè!</v>
      </c>
      <c r="J167" s="13" t="str">
        <f ca="1">IFERROR(__xludf.DUMMYFUNCTION("""COMPUTED_VALUE"""),"Năm mới vui vẻ!")</f>
        <v>Năm mới vui vẻ!</v>
      </c>
      <c r="K167" s="13" t="str">
        <f ca="1">IFERROR(__xludf.DUMMYFUNCTION("""COMPUTED_VALUE"""),"H1_B14_BG-04.gif")</f>
        <v>H1_B14_BG-04.gif</v>
      </c>
      <c r="L167" s="13" t="str">
        <f ca="1">IFERROR(__xludf.DUMMYFUNCTION("""COMPUTED_VALUE"""),"H1_B14_4.mp3")</f>
        <v>H1_B14_4.mp3</v>
      </c>
      <c r="M167" s="13" t="str">
        <f ca="1">IFERROR(__xludf.DUMMYFUNCTION("""COMPUTED_VALUE"""),"H1_B14_VD_4.mp3")</f>
        <v>H1_B14_VD_4.mp3</v>
      </c>
    </row>
    <row r="168" spans="1:13">
      <c r="A168" s="13">
        <f ca="1">IFERROR(__xludf.DUMMYFUNCTION("""COMPUTED_VALUE"""),5)</f>
        <v>5</v>
      </c>
      <c r="B168" s="13"/>
      <c r="C168" s="13" t="str">
        <f ca="1">IFERROR(__xludf.DUMMYFUNCTION("""COMPUTED_VALUE"""),"饭店")</f>
        <v>饭店</v>
      </c>
      <c r="D168" s="13" t="str">
        <f ca="1">IFERROR(__xludf.DUMMYFUNCTION("""COMPUTED_VALUE"""),"&lt;ruby&gt;饭店&lt;rt&gt;fàndiàn&lt;/rt&gt;&lt;/ruby&gt;")</f>
        <v>&lt;ruby&gt;饭店&lt;rt&gt;fàndiàn&lt;/rt&gt;&lt;/ruby&gt;</v>
      </c>
      <c r="E168" s="13" t="str">
        <f ca="1">IFERROR(__xludf.DUMMYFUNCTION("""COMPUTED_VALUE"""),"fàndiàn")</f>
        <v>fàndiàn</v>
      </c>
      <c r="F168" s="13" t="str">
        <f ca="1">IFERROR(__xludf.DUMMYFUNCTION("""COMPUTED_VALUE"""),"Danh từ")</f>
        <v>Danh từ</v>
      </c>
      <c r="G168" s="13" t="str">
        <f ca="1">IFERROR(__xludf.DUMMYFUNCTION("""COMPUTED_VALUE"""),"Nhà hàng, khách sạn")</f>
        <v>Nhà hàng, khách sạn</v>
      </c>
      <c r="H168" s="13" t="str">
        <f ca="1">IFERROR(__xludf.DUMMYFUNCTION("""COMPUTED_VALUE"""),"这家饭店很大。")</f>
        <v>这家饭店很大。</v>
      </c>
      <c r="I168" s="13" t="str">
        <f ca="1">IFERROR(__xludf.DUMMYFUNCTION("""COMPUTED_VALUE"""),"Zhè jiā fàndiàn hěn dà.")</f>
        <v>Zhè jiā fàndiàn hěn dà.</v>
      </c>
      <c r="J168" s="13" t="str">
        <f ca="1">IFERROR(__xludf.DUMMYFUNCTION("""COMPUTED_VALUE"""),"Khách sạn này thật lớn. ")</f>
        <v xml:space="preserve">Khách sạn này thật lớn. </v>
      </c>
      <c r="K168" s="13" t="str">
        <f ca="1">IFERROR(__xludf.DUMMYFUNCTION("""COMPUTED_VALUE"""),"H1_B14_BG-05.gif")</f>
        <v>H1_B14_BG-05.gif</v>
      </c>
      <c r="L168" s="13" t="str">
        <f ca="1">IFERROR(__xludf.DUMMYFUNCTION("""COMPUTED_VALUE"""),"H1_B14_5.mp3")</f>
        <v>H1_B14_5.mp3</v>
      </c>
      <c r="M168" s="13" t="str">
        <f ca="1">IFERROR(__xludf.DUMMYFUNCTION("""COMPUTED_VALUE"""),"H1_B14_VD_5.mp3")</f>
        <v>H1_B14_VD_5.mp3</v>
      </c>
    </row>
    <row r="169" spans="1:13">
      <c r="A169" s="13">
        <f ca="1">IFERROR(__xludf.DUMMYFUNCTION("""COMPUTED_VALUE"""),6)</f>
        <v>6</v>
      </c>
      <c r="B169" s="13"/>
      <c r="C169" s="13" t="str">
        <f ca="1">IFERROR(__xludf.DUMMYFUNCTION("""COMPUTED_VALUE"""),"听")</f>
        <v>听</v>
      </c>
      <c r="D169" s="13" t="str">
        <f ca="1">IFERROR(__xludf.DUMMYFUNCTION("""COMPUTED_VALUE"""),"&lt;ruby&gt;听&lt;rt&gt;tīng&lt;/rt&gt;&lt;/ruby&gt;")</f>
        <v>&lt;ruby&gt;听&lt;rt&gt;tīng&lt;/rt&gt;&lt;/ruby&gt;</v>
      </c>
      <c r="E169" s="13" t="str">
        <f ca="1">IFERROR(__xludf.DUMMYFUNCTION("""COMPUTED_VALUE"""),"tīng")</f>
        <v>tīng</v>
      </c>
      <c r="F169" s="13" t="str">
        <f ca="1">IFERROR(__xludf.DUMMYFUNCTION("""COMPUTED_VALUE"""),"Động từ")</f>
        <v>Động từ</v>
      </c>
      <c r="G169" s="13" t="str">
        <f ca="1">IFERROR(__xludf.DUMMYFUNCTION("""COMPUTED_VALUE"""),"Nghe")</f>
        <v>Nghe</v>
      </c>
      <c r="H169" s="13" t="str">
        <f ca="1">IFERROR(__xludf.DUMMYFUNCTION("""COMPUTED_VALUE"""),"每天我都听音乐。 ")</f>
        <v xml:space="preserve">每天我都听音乐。 </v>
      </c>
      <c r="I169" s="13" t="str">
        <f ca="1">IFERROR(__xludf.DUMMYFUNCTION("""COMPUTED_VALUE"""),"Měitiān wǒ dōu tīng yīnyuè.")</f>
        <v>Měitiān wǒ dōu tīng yīnyuè.</v>
      </c>
      <c r="J169" s="13" t="str">
        <f ca="1">IFERROR(__xludf.DUMMYFUNCTION("""COMPUTED_VALUE"""),"Tôi nghe nhạc mỗi ngày. ")</f>
        <v xml:space="preserve">Tôi nghe nhạc mỗi ngày. </v>
      </c>
      <c r="K169" s="13" t="str">
        <f ca="1">IFERROR(__xludf.DUMMYFUNCTION("""COMPUTED_VALUE"""),"H1_B14_BG-06.gif")</f>
        <v>H1_B14_BG-06.gif</v>
      </c>
      <c r="L169" s="13" t="str">
        <f ca="1">IFERROR(__xludf.DUMMYFUNCTION("""COMPUTED_VALUE"""),"H1_B14_6.mp3")</f>
        <v>H1_B14_6.mp3</v>
      </c>
      <c r="M169" s="13" t="str">
        <f ca="1">IFERROR(__xludf.DUMMYFUNCTION("""COMPUTED_VALUE"""),"H1_B14_VD_6.mp3")</f>
        <v>H1_B14_VD_6.mp3</v>
      </c>
    </row>
    <row r="170" spans="1:13">
      <c r="A170" s="13">
        <f ca="1">IFERROR(__xludf.DUMMYFUNCTION("""COMPUTED_VALUE"""),7)</f>
        <v>7</v>
      </c>
      <c r="B170" s="13"/>
      <c r="C170" s="13" t="str">
        <f ca="1">IFERROR(__xludf.DUMMYFUNCTION("""COMPUTED_VALUE"""),"认识")</f>
        <v>认识</v>
      </c>
      <c r="D170" s="13" t="str">
        <f ca="1">IFERROR(__xludf.DUMMYFUNCTION("""COMPUTED_VALUE"""),"&lt;ruby&gt;认识&lt;rt&gt;rènshi&lt;/rt&gt;&lt;/ruby&gt;")</f>
        <v>&lt;ruby&gt;认识&lt;rt&gt;rènshi&lt;/rt&gt;&lt;/ruby&gt;</v>
      </c>
      <c r="E170" s="13" t="str">
        <f ca="1">IFERROR(__xludf.DUMMYFUNCTION("""COMPUTED_VALUE"""),"rènshi")</f>
        <v>rènshi</v>
      </c>
      <c r="F170" s="13" t="str">
        <f ca="1">IFERROR(__xludf.DUMMYFUNCTION("""COMPUTED_VALUE"""),"Động từ")</f>
        <v>Động từ</v>
      </c>
      <c r="G170" s="13" t="str">
        <f ca="1">IFERROR(__xludf.DUMMYFUNCTION("""COMPUTED_VALUE"""),"Quen, biết")</f>
        <v>Quen, biết</v>
      </c>
      <c r="H170" s="13" t="str">
        <f ca="1">IFERROR(__xludf.DUMMYFUNCTION("""COMPUTED_VALUE"""),"我认识他很久了。")</f>
        <v>我认识他很久了。</v>
      </c>
      <c r="I170" s="13" t="str">
        <f ca="1">IFERROR(__xludf.DUMMYFUNCTION("""COMPUTED_VALUE"""),"Wǒ rènshi tā hěn jiǔ le.")</f>
        <v>Wǒ rènshi tā hěn jiǔ le.</v>
      </c>
      <c r="J170" s="13" t="str">
        <f ca="1">IFERROR(__xludf.DUMMYFUNCTION("""COMPUTED_VALUE"""),"Tôi quen anh ấy rất lâu rồi. ")</f>
        <v xml:space="preserve">Tôi quen anh ấy rất lâu rồi. </v>
      </c>
      <c r="K170" s="13" t="str">
        <f ca="1">IFERROR(__xludf.DUMMYFUNCTION("""COMPUTED_VALUE"""),"H1_B14_BG-07.gif")</f>
        <v>H1_B14_BG-07.gif</v>
      </c>
      <c r="L170" s="13" t="str">
        <f ca="1">IFERROR(__xludf.DUMMYFUNCTION("""COMPUTED_VALUE"""),"H1_B14_7.mp3")</f>
        <v>H1_B14_7.mp3</v>
      </c>
      <c r="M170" s="13" t="str">
        <f ca="1">IFERROR(__xludf.DUMMYFUNCTION("""COMPUTED_VALUE"""),"H1_B14_VD_7.mp3")</f>
        <v>H1_B14_VD_7.mp3</v>
      </c>
    </row>
    <row r="171" spans="1:13">
      <c r="A171" s="13">
        <f ca="1">IFERROR(__xludf.DUMMYFUNCTION("""COMPUTED_VALUE"""),8)</f>
        <v>8</v>
      </c>
      <c r="B171" s="13"/>
      <c r="C171" s="13" t="str">
        <f ca="1">IFERROR(__xludf.DUMMYFUNCTION("""COMPUTED_VALUE"""),"一起")</f>
        <v>一起</v>
      </c>
      <c r="D171" s="13" t="str">
        <f ca="1">IFERROR(__xludf.DUMMYFUNCTION("""COMPUTED_VALUE"""),"&lt;ruby&gt;一起&lt;rt&gt;yīqǐ&lt;/rt&gt;&lt;/ruby&gt;")</f>
        <v>&lt;ruby&gt;一起&lt;rt&gt;yīqǐ&lt;/rt&gt;&lt;/ruby&gt;</v>
      </c>
      <c r="E171" s="13" t="str">
        <f ca="1">IFERROR(__xludf.DUMMYFUNCTION("""COMPUTED_VALUE"""),"yīqǐ")</f>
        <v>yīqǐ</v>
      </c>
      <c r="F171" s="13" t="str">
        <f ca="1">IFERROR(__xludf.DUMMYFUNCTION("""COMPUTED_VALUE"""),"Phó từ")</f>
        <v>Phó từ</v>
      </c>
      <c r="G171" s="13" t="str">
        <f ca="1">IFERROR(__xludf.DUMMYFUNCTION("""COMPUTED_VALUE"""),"Cùng nhau")</f>
        <v>Cùng nhau</v>
      </c>
      <c r="H171" s="13" t="str">
        <f ca="1">IFERROR(__xludf.DUMMYFUNCTION("""COMPUTED_VALUE"""),"我们一起种花。")</f>
        <v>我们一起种花。</v>
      </c>
      <c r="I171" s="13" t="str">
        <f ca="1">IFERROR(__xludf.DUMMYFUNCTION("""COMPUTED_VALUE"""),"Wǒmen yīqǐ zhòng huā.")</f>
        <v>Wǒmen yīqǐ zhòng huā.</v>
      </c>
      <c r="J171" s="13" t="str">
        <f ca="1">IFERROR(__xludf.DUMMYFUNCTION("""COMPUTED_VALUE"""),"Chúng tôi cùng nhau trồng hoa. ")</f>
        <v xml:space="preserve">Chúng tôi cùng nhau trồng hoa. </v>
      </c>
      <c r="K171" s="13" t="str">
        <f ca="1">IFERROR(__xludf.DUMMYFUNCTION("""COMPUTED_VALUE"""),"H1_B14_BG-08.gif")</f>
        <v>H1_B14_BG-08.gif</v>
      </c>
      <c r="L171" s="13" t="str">
        <f ca="1">IFERROR(__xludf.DUMMYFUNCTION("""COMPUTED_VALUE"""),"H1_B14_8.mp3")</f>
        <v>H1_B14_8.mp3</v>
      </c>
      <c r="M171" s="13" t="str">
        <f ca="1">IFERROR(__xludf.DUMMYFUNCTION("""COMPUTED_VALUE"""),"H1_B14_VD_8.mp3")</f>
        <v>H1_B14_VD_8.mp3</v>
      </c>
    </row>
    <row r="172" spans="1:13">
      <c r="A172" s="13">
        <f ca="1">IFERROR(__xludf.DUMMYFUNCTION("""COMPUTED_VALUE"""),9)</f>
        <v>9</v>
      </c>
      <c r="B172" s="13"/>
      <c r="C172" s="13" t="str">
        <f ca="1">IFERROR(__xludf.DUMMYFUNCTION("""COMPUTED_VALUE"""),"高兴")</f>
        <v>高兴</v>
      </c>
      <c r="D172" s="13" t="str">
        <f ca="1">IFERROR(__xludf.DUMMYFUNCTION("""COMPUTED_VALUE"""),"&lt;ruby&gt;高兴&lt;rt&gt;gāoxìng&lt;/rt&gt;&lt;/ruby&gt;")</f>
        <v>&lt;ruby&gt;高兴&lt;rt&gt;gāoxìng&lt;/rt&gt;&lt;/ruby&gt;</v>
      </c>
      <c r="E172" s="13" t="str">
        <f ca="1">IFERROR(__xludf.DUMMYFUNCTION("""COMPUTED_VALUE"""),"gāoxìng")</f>
        <v>gāoxìng</v>
      </c>
      <c r="F172" s="13" t="str">
        <f ca="1">IFERROR(__xludf.DUMMYFUNCTION("""COMPUTED_VALUE"""),"Tính từ")</f>
        <v>Tính từ</v>
      </c>
      <c r="G172" s="13" t="str">
        <f ca="1">IFERROR(__xludf.DUMMYFUNCTION("""COMPUTED_VALUE"""),"Vui, phấn khởi ")</f>
        <v xml:space="preserve">Vui, phấn khởi </v>
      </c>
      <c r="H172" s="13" t="str">
        <f ca="1">IFERROR(__xludf.DUMMYFUNCTION("""COMPUTED_VALUE"""),"出去玩，她很高兴。")</f>
        <v>出去玩，她很高兴。</v>
      </c>
      <c r="I172" s="13" t="str">
        <f ca="1">IFERROR(__xludf.DUMMYFUNCTION("""COMPUTED_VALUE"""),"Chūqù wán, tā hěn gāoxìng.")</f>
        <v>Chūqù wán, tā hěn gāoxìng.</v>
      </c>
      <c r="J172" s="13" t="str">
        <f ca="1">IFERROR(__xludf.DUMMYFUNCTION("""COMPUTED_VALUE"""),"Cô ấy rất vui khi ra ngoài chơi.")</f>
        <v>Cô ấy rất vui khi ra ngoài chơi.</v>
      </c>
      <c r="K172" s="13" t="str">
        <f ca="1">IFERROR(__xludf.DUMMYFUNCTION("""COMPUTED_VALUE"""),"H1_B14_BG-09.gif")</f>
        <v>H1_B14_BG-09.gif</v>
      </c>
      <c r="L172" s="13" t="str">
        <f ca="1">IFERROR(__xludf.DUMMYFUNCTION("""COMPUTED_VALUE"""),"H1_B14_9.mp3")</f>
        <v>H1_B14_9.mp3</v>
      </c>
      <c r="M172" s="13" t="str">
        <f ca="1">IFERROR(__xludf.DUMMYFUNCTION("""COMPUTED_VALUE"""),"H1_B14_VD_9.mp3")</f>
        <v>H1_B14_VD_9.mp3</v>
      </c>
    </row>
    <row r="173" spans="1:13">
      <c r="A173" s="13"/>
      <c r="B173" s="13" t="str">
        <f ca="1">IFERROR(__xludf.DUMMYFUNCTION("""COMPUTED_VALUE"""),"Tên chủ đề")</f>
        <v>Tên chủ đề</v>
      </c>
      <c r="C173" s="13" t="str">
        <f ca="1">IFERROR(__xludf.DUMMYFUNCTION("""COMPUTED_VALUE"""),"Từ vựng")</f>
        <v>Từ vựng</v>
      </c>
      <c r="D173" s="13" t="str">
        <f ca="1">IFERROR(__xludf.DUMMYFUNCTION("""COMPUTED_VALUE"""),"HTML")</f>
        <v>HTML</v>
      </c>
      <c r="E173" s="13" t="str">
        <f ca="1">IFERROR(__xludf.DUMMYFUNCTION("""COMPUTED_VALUE"""),"Phiên âm")</f>
        <v>Phiên âm</v>
      </c>
      <c r="F173" s="13" t="str">
        <f ca="1">IFERROR(__xludf.DUMMYFUNCTION("""COMPUTED_VALUE"""),"Loại từ")</f>
        <v>Loại từ</v>
      </c>
      <c r="G173" s="13" t="str">
        <f ca="1">IFERROR(__xludf.DUMMYFUNCTION("""COMPUTED_VALUE"""),"Nghĩa")</f>
        <v>Nghĩa</v>
      </c>
      <c r="H173" s="13" t="str">
        <f ca="1">IFERROR(__xludf.DUMMYFUNCTION("""COMPUTED_VALUE"""),"Ví dụ")</f>
        <v>Ví dụ</v>
      </c>
      <c r="I173" s="13" t="str">
        <f ca="1">IFERROR(__xludf.DUMMYFUNCTION("""COMPUTED_VALUE"""),"Pinyin")</f>
        <v>Pinyin</v>
      </c>
      <c r="J173" s="13" t="str">
        <f ca="1">IFERROR(__xludf.DUMMYFUNCTION("""COMPUTED_VALUE"""),"Nghĩa ví dụ")</f>
        <v>Nghĩa ví dụ</v>
      </c>
      <c r="K173" s="13" t="str">
        <f ca="1">IFERROR(__xludf.DUMMYFUNCTION("""COMPUTED_VALUE"""),"Tên ảnh/Gif flashcard")</f>
        <v>Tên ảnh/Gif flashcard</v>
      </c>
      <c r="L173" s="13" t="str">
        <f ca="1">IFERROR(__xludf.DUMMYFUNCTION("""COMPUTED_VALUE"""),"Tên audio từ vựng")</f>
        <v>Tên audio từ vựng</v>
      </c>
      <c r="M173" s="13" t="str">
        <f ca="1">IFERROR(__xludf.DUMMYFUNCTION("""COMPUTED_VALUE"""),"Tên audio ví dụ")</f>
        <v>Tên audio ví dụ</v>
      </c>
    </row>
    <row r="174" spans="1:13">
      <c r="A174" s="13">
        <f ca="1">IFERROR(__xludf.DUMMYFUNCTION("""COMPUTED_VALUE"""),1)</f>
        <v>1</v>
      </c>
      <c r="B174" s="13"/>
      <c r="C174" s="13" t="str">
        <f ca="1">IFERROR(__xludf.DUMMYFUNCTION("""COMPUTED_VALUE"""),"旅游")</f>
        <v>旅游</v>
      </c>
      <c r="D174" s="13" t="str">
        <f ca="1">IFERROR(__xludf.DUMMYFUNCTION("""COMPUTED_VALUE"""),"&lt;ruby&gt;旅游&lt;rt&gt;lǚyóu&lt;/rt&gt;&lt;/ruby&gt;")</f>
        <v>&lt;ruby&gt;旅游&lt;rt&gt;lǚyóu&lt;/rt&gt;&lt;/ruby&gt;</v>
      </c>
      <c r="E174" s="13" t="str">
        <f ca="1">IFERROR(__xludf.DUMMYFUNCTION("""COMPUTED_VALUE"""),"lǚyóu")</f>
        <v>lǚyóu</v>
      </c>
      <c r="F174" s="13" t="str">
        <f ca="1">IFERROR(__xludf.DUMMYFUNCTION("""COMPUTED_VALUE"""),"Động từ")</f>
        <v>Động từ</v>
      </c>
      <c r="G174" s="13" t="str">
        <f ca="1">IFERROR(__xludf.DUMMYFUNCTION("""COMPUTED_VALUE"""),"du lịch")</f>
        <v>du lịch</v>
      </c>
      <c r="H174" s="13" t="str">
        <f ca="1">IFERROR(__xludf.DUMMYFUNCTION("""COMPUTED_VALUE""")," 他们一家准备去旅游。")</f>
        <v xml:space="preserve"> 他们一家准备去旅游。</v>
      </c>
      <c r="I174" s="13" t="str">
        <f ca="1">IFERROR(__xludf.DUMMYFUNCTION("""COMPUTED_VALUE"""),"Tāmen yìjiā zhǔnbèi qù lǚyóu.")</f>
        <v>Tāmen yìjiā zhǔnbèi qù lǚyóu.</v>
      </c>
      <c r="J174" s="13" t="str">
        <f ca="1">IFERROR(__xludf.DUMMYFUNCTION("""COMPUTED_VALUE"""),"Gia đình họ chuẩn bị đi du lịch.")</f>
        <v>Gia đình họ chuẩn bị đi du lịch.</v>
      </c>
      <c r="K174" s="13" t="str">
        <f ca="1">IFERROR(__xludf.DUMMYFUNCTION("""COMPUTED_VALUE"""),"H2_B1_BG-01.gif")</f>
        <v>H2_B1_BG-01.gif</v>
      </c>
      <c r="L174" s="13" t="str">
        <f ca="1">IFERROR(__xludf.DUMMYFUNCTION("""COMPUTED_VALUE"""),"H2_B1_1.mp3")</f>
        <v>H2_B1_1.mp3</v>
      </c>
      <c r="M174" s="13" t="str">
        <f ca="1">IFERROR(__xludf.DUMMYFUNCTION("""COMPUTED_VALUE"""),"H2_B1_VD_1.mp3")</f>
        <v>H2_B1_VD_1.mp3</v>
      </c>
    </row>
    <row r="175" spans="1:13">
      <c r="A175" s="13">
        <f ca="1">IFERROR(__xludf.DUMMYFUNCTION("""COMPUTED_VALUE"""),2)</f>
        <v>2</v>
      </c>
      <c r="B175" s="13"/>
      <c r="C175" s="13" t="str">
        <f ca="1">IFERROR(__xludf.DUMMYFUNCTION("""COMPUTED_VALUE"""),"觉得")</f>
        <v>觉得</v>
      </c>
      <c r="D175" s="13" t="str">
        <f ca="1">IFERROR(__xludf.DUMMYFUNCTION("""COMPUTED_VALUE"""),"&lt;ruby&gt;觉得&lt;rt&gt;juéde&lt;/rt&gt;&lt;/ruby&gt;")</f>
        <v>&lt;ruby&gt;觉得&lt;rt&gt;juéde&lt;/rt&gt;&lt;/ruby&gt;</v>
      </c>
      <c r="E175" s="13" t="str">
        <f ca="1">IFERROR(__xludf.DUMMYFUNCTION("""COMPUTED_VALUE"""),"juéde")</f>
        <v>juéde</v>
      </c>
      <c r="F175" s="13" t="str">
        <f ca="1">IFERROR(__xludf.DUMMYFUNCTION("""COMPUTED_VALUE"""),"Động từ")</f>
        <v>Động từ</v>
      </c>
      <c r="G175" s="13" t="str">
        <f ca="1">IFERROR(__xludf.DUMMYFUNCTION("""COMPUTED_VALUE"""),"cho rằng, nghĩ rằng")</f>
        <v>cho rằng, nghĩ rằng</v>
      </c>
      <c r="H175" s="13" t="str">
        <f ca="1">IFERROR(__xludf.DUMMYFUNCTION("""COMPUTED_VALUE"""),"她觉得很难理解。")</f>
        <v>她觉得很难理解。</v>
      </c>
      <c r="I175" s="13" t="str">
        <f ca="1">IFERROR(__xludf.DUMMYFUNCTION("""COMPUTED_VALUE"""),"Tā juéde hěn nán lǐjiě.")</f>
        <v>Tā juéde hěn nán lǐjiě.</v>
      </c>
      <c r="J175" s="13" t="str">
        <f ca="1">IFERROR(__xludf.DUMMYFUNCTION("""COMPUTED_VALUE"""),"Cô ấy cảm thấy khó hiểu.")</f>
        <v>Cô ấy cảm thấy khó hiểu.</v>
      </c>
      <c r="K175" s="13" t="str">
        <f ca="1">IFERROR(__xludf.DUMMYFUNCTION("""COMPUTED_VALUE"""),"H2_B1_BG-02.gif")</f>
        <v>H2_B1_BG-02.gif</v>
      </c>
      <c r="L175" s="13" t="str">
        <f ca="1">IFERROR(__xludf.DUMMYFUNCTION("""COMPUTED_VALUE"""),"H2_B1_2.mp3")</f>
        <v>H2_B1_2.mp3</v>
      </c>
      <c r="M175" s="13" t="str">
        <f ca="1">IFERROR(__xludf.DUMMYFUNCTION("""COMPUTED_VALUE"""),"H2_B1_VD_2.mp3")</f>
        <v>H2_B1_VD_2.mp3</v>
      </c>
    </row>
    <row r="176" spans="1:13">
      <c r="A176" s="13">
        <f ca="1">IFERROR(__xludf.DUMMYFUNCTION("""COMPUTED_VALUE"""),3)</f>
        <v>3</v>
      </c>
      <c r="B176" s="13"/>
      <c r="C176" s="13" t="str">
        <f ca="1">IFERROR(__xludf.DUMMYFUNCTION("""COMPUTED_VALUE"""),"最")</f>
        <v>最</v>
      </c>
      <c r="D176" s="13" t="str">
        <f ca="1">IFERROR(__xludf.DUMMYFUNCTION("""COMPUTED_VALUE"""),"&lt;ruby&gt;最&lt;rt&gt;zuì&lt;/rt&gt;&lt;/ruby&gt;")</f>
        <v>&lt;ruby&gt;最&lt;rt&gt;zuì&lt;/rt&gt;&lt;/ruby&gt;</v>
      </c>
      <c r="E176" s="13" t="str">
        <f ca="1">IFERROR(__xludf.DUMMYFUNCTION("""COMPUTED_VALUE"""),"zuì")</f>
        <v>zuì</v>
      </c>
      <c r="F176" s="13" t="str">
        <f ca="1">IFERROR(__xludf.DUMMYFUNCTION("""COMPUTED_VALUE"""),"Phó từ")</f>
        <v>Phó từ</v>
      </c>
      <c r="G176" s="13" t="str">
        <f ca="1">IFERROR(__xludf.DUMMYFUNCTION("""COMPUTED_VALUE"""),"nhất")</f>
        <v>nhất</v>
      </c>
      <c r="H176" s="13" t="str">
        <f ca="1">IFERROR(__xludf.DUMMYFUNCTION("""COMPUTED_VALUE"""),"这个苹果最大。")</f>
        <v>这个苹果最大。</v>
      </c>
      <c r="I176" s="13" t="str">
        <f ca="1">IFERROR(__xludf.DUMMYFUNCTION("""COMPUTED_VALUE"""),"Zhège píngguǒ zuì dà.")</f>
        <v>Zhège píngguǒ zuì dà.</v>
      </c>
      <c r="J176" s="13" t="str">
        <f ca="1">IFERROR(__xludf.DUMMYFUNCTION("""COMPUTED_VALUE"""),"Quả táo này to nhất. ")</f>
        <v xml:space="preserve">Quả táo này to nhất. </v>
      </c>
      <c r="K176" s="13" t="str">
        <f ca="1">IFERROR(__xludf.DUMMYFUNCTION("""COMPUTED_VALUE"""),"H2_B1_BG-03.gif")</f>
        <v>H2_B1_BG-03.gif</v>
      </c>
      <c r="L176" s="13" t="str">
        <f ca="1">IFERROR(__xludf.DUMMYFUNCTION("""COMPUTED_VALUE"""),"H2_B1_3.mp3")</f>
        <v>H2_B1_3.mp3</v>
      </c>
      <c r="M176" s="13" t="str">
        <f ca="1">IFERROR(__xludf.DUMMYFUNCTION("""COMPUTED_VALUE"""),"H2_B1_VD_3.mp3")</f>
        <v>H2_B1_VD_3.mp3</v>
      </c>
    </row>
    <row r="177" spans="1:13">
      <c r="A177" s="13">
        <f ca="1">IFERROR(__xludf.DUMMYFUNCTION("""COMPUTED_VALUE"""),4)</f>
        <v>4</v>
      </c>
      <c r="B177" s="13"/>
      <c r="C177" s="13" t="str">
        <f ca="1">IFERROR(__xludf.DUMMYFUNCTION("""COMPUTED_VALUE"""),"为什么")</f>
        <v>为什么</v>
      </c>
      <c r="D177" s="13" t="str">
        <f ca="1">IFERROR(__xludf.DUMMYFUNCTION("""COMPUTED_VALUE"""),"&lt;ruby&gt;为什么&lt;rt&gt;wèishénme&lt;/rt&gt;&lt;/ruby&gt;")</f>
        <v>&lt;ruby&gt;为什么&lt;rt&gt;wèishénme&lt;/rt&gt;&lt;/ruby&gt;</v>
      </c>
      <c r="E177" s="13" t="str">
        <f ca="1">IFERROR(__xludf.DUMMYFUNCTION("""COMPUTED_VALUE"""),"wèishénme")</f>
        <v>wèishénme</v>
      </c>
      <c r="F177" s="13"/>
      <c r="G177" s="13" t="str">
        <f ca="1">IFERROR(__xludf.DUMMYFUNCTION("""COMPUTED_VALUE"""),"tại sao")</f>
        <v>tại sao</v>
      </c>
      <c r="H177" s="13" t="str">
        <f ca="1">IFERROR(__xludf.DUMMYFUNCTION("""COMPUTED_VALUE"""),"为什么他们笑得这么开心？")</f>
        <v>为什么他们笑得这么开心？</v>
      </c>
      <c r="I177" s="13" t="str">
        <f ca="1">IFERROR(__xludf.DUMMYFUNCTION("""COMPUTED_VALUE"""),"Wèishéme tāmen xiào de zhème kāixīn?")</f>
        <v>Wèishéme tāmen xiào de zhème kāixīn?</v>
      </c>
      <c r="J177" s="13" t="str">
        <f ca="1">IFERROR(__xludf.DUMMYFUNCTION("""COMPUTED_VALUE"""),"Tại sao bọn họ cười vui như vậy?")</f>
        <v>Tại sao bọn họ cười vui như vậy?</v>
      </c>
      <c r="K177" s="13" t="str">
        <f ca="1">IFERROR(__xludf.DUMMYFUNCTION("""COMPUTED_VALUE"""),"H2_B1_BG-04.gif")</f>
        <v>H2_B1_BG-04.gif</v>
      </c>
      <c r="L177" s="13" t="str">
        <f ca="1">IFERROR(__xludf.DUMMYFUNCTION("""COMPUTED_VALUE"""),"H2_B1_4.mp3")</f>
        <v>H2_B1_4.mp3</v>
      </c>
      <c r="M177" s="13" t="str">
        <f ca="1">IFERROR(__xludf.DUMMYFUNCTION("""COMPUTED_VALUE"""),"H2_B1_VD_4.mp3")</f>
        <v>H2_B1_VD_4.mp3</v>
      </c>
    </row>
    <row r="178" spans="1:13">
      <c r="A178" s="13">
        <f ca="1">IFERROR(__xludf.DUMMYFUNCTION("""COMPUTED_VALUE"""),5)</f>
        <v>5</v>
      </c>
      <c r="B178" s="13"/>
      <c r="C178" s="13" t="str">
        <f ca="1">IFERROR(__xludf.DUMMYFUNCTION("""COMPUTED_VALUE"""),"也")</f>
        <v>也</v>
      </c>
      <c r="D178" s="13" t="str">
        <f ca="1">IFERROR(__xludf.DUMMYFUNCTION("""COMPUTED_VALUE"""),"&lt;ruby&gt;也&lt;rt&gt;yě&lt;/rt&gt;&lt;/ruby&gt;")</f>
        <v>&lt;ruby&gt;也&lt;rt&gt;yě&lt;/rt&gt;&lt;/ruby&gt;</v>
      </c>
      <c r="E178" s="13" t="str">
        <f ca="1">IFERROR(__xludf.DUMMYFUNCTION("""COMPUTED_VALUE"""),"yě")</f>
        <v>yě</v>
      </c>
      <c r="F178" s="13" t="str">
        <f ca="1">IFERROR(__xludf.DUMMYFUNCTION("""COMPUTED_VALUE"""),"Phó từ")</f>
        <v>Phó từ</v>
      </c>
      <c r="G178" s="13" t="str">
        <f ca="1">IFERROR(__xludf.DUMMYFUNCTION("""COMPUTED_VALUE"""),"cũng")</f>
        <v>cũng</v>
      </c>
      <c r="H178" s="13" t="str">
        <f ca="1">IFERROR(__xludf.DUMMYFUNCTION("""COMPUTED_VALUE"""),"我也有跟你一样的玩具。")</f>
        <v>我也有跟你一样的玩具。</v>
      </c>
      <c r="I178" s="13" t="str">
        <f ca="1">IFERROR(__xludf.DUMMYFUNCTION("""COMPUTED_VALUE"""),"Wǒ yě yǒu gēn nǐ yíyàng de wánjù.")</f>
        <v>Wǒ yě yǒu gēn nǐ yíyàng de wánjù.</v>
      </c>
      <c r="J178" s="13" t="str">
        <f ca="1">IFERROR(__xludf.DUMMYFUNCTION("""COMPUTED_VALUE"""),"Tôi cũng có đồ chơi giống của bạn.")</f>
        <v>Tôi cũng có đồ chơi giống của bạn.</v>
      </c>
      <c r="K178" s="13" t="str">
        <f ca="1">IFERROR(__xludf.DUMMYFUNCTION("""COMPUTED_VALUE"""),"H2_B1_BG-05.gif")</f>
        <v>H2_B1_BG-05.gif</v>
      </c>
      <c r="L178" s="13" t="str">
        <f ca="1">IFERROR(__xludf.DUMMYFUNCTION("""COMPUTED_VALUE"""),"H2_B1_5.mp3")</f>
        <v>H2_B1_5.mp3</v>
      </c>
      <c r="M178" s="13" t="str">
        <f ca="1">IFERROR(__xludf.DUMMYFUNCTION("""COMPUTED_VALUE"""),"H2_B1_VD_5.mp3")</f>
        <v>H2_B1_VD_5.mp3</v>
      </c>
    </row>
    <row r="179" spans="1:13">
      <c r="A179" s="13">
        <f ca="1">IFERROR(__xludf.DUMMYFUNCTION("""COMPUTED_VALUE"""),6)</f>
        <v>6</v>
      </c>
      <c r="B179" s="13"/>
      <c r="C179" s="13" t="str">
        <f ca="1">IFERROR(__xludf.DUMMYFUNCTION("""COMPUTED_VALUE"""),"运动")</f>
        <v>运动</v>
      </c>
      <c r="D179" s="13" t="str">
        <f ca="1">IFERROR(__xludf.DUMMYFUNCTION("""COMPUTED_VALUE"""),"&lt;ruby&gt;运动&lt;rt&gt;yùndòng&lt;/rt&gt;&lt;/ruby&gt;")</f>
        <v>&lt;ruby&gt;运动&lt;rt&gt;yùndòng&lt;/rt&gt;&lt;/ruby&gt;</v>
      </c>
      <c r="E179" s="13" t="str">
        <f ca="1">IFERROR(__xludf.DUMMYFUNCTION("""COMPUTED_VALUE"""),"yùndòng")</f>
        <v>yùndòng</v>
      </c>
      <c r="F179" s="13" t="str">
        <f ca="1">IFERROR(__xludf.DUMMYFUNCTION("""COMPUTED_VALUE"""),"Danh từ/ Động từ")</f>
        <v>Danh từ/ Động từ</v>
      </c>
      <c r="G179" s="13" t="str">
        <f ca="1">IFERROR(__xludf.DUMMYFUNCTION("""COMPUTED_VALUE"""),"môn thể thao; tập thể dục/thể thao")</f>
        <v>môn thể thao; tập thể dục/thể thao</v>
      </c>
      <c r="H179" s="13" t="str">
        <f ca="1">IFERROR(__xludf.DUMMYFUNCTION("""COMPUTED_VALUE"""),"他每天都运动。")</f>
        <v>他每天都运动。</v>
      </c>
      <c r="I179" s="13" t="str">
        <f ca="1">IFERROR(__xludf.DUMMYFUNCTION("""COMPUTED_VALUE"""),"Tā měitiān dōu yùndòng.")</f>
        <v>Tā měitiān dōu yùndòng.</v>
      </c>
      <c r="J179" s="13" t="str">
        <f ca="1">IFERROR(__xludf.DUMMYFUNCTION("""COMPUTED_VALUE"""),"Anh ấy tập thể dục mỗi ngày.")</f>
        <v>Anh ấy tập thể dục mỗi ngày.</v>
      </c>
      <c r="K179" s="13" t="str">
        <f ca="1">IFERROR(__xludf.DUMMYFUNCTION("""COMPUTED_VALUE"""),"H2_B1_BG-06.gif")</f>
        <v>H2_B1_BG-06.gif</v>
      </c>
      <c r="L179" s="13" t="str">
        <f ca="1">IFERROR(__xludf.DUMMYFUNCTION("""COMPUTED_VALUE"""),"H2_B1_6.mp3")</f>
        <v>H2_B1_6.mp3</v>
      </c>
      <c r="M179" s="13" t="str">
        <f ca="1">IFERROR(__xludf.DUMMYFUNCTION("""COMPUTED_VALUE"""),"H2_B1_VD_6.mp3")</f>
        <v>H2_B1_VD_6.mp3</v>
      </c>
    </row>
    <row r="180" spans="1:13">
      <c r="A180" s="13">
        <f ca="1">IFERROR(__xludf.DUMMYFUNCTION("""COMPUTED_VALUE"""),7)</f>
        <v>7</v>
      </c>
      <c r="B180" s="13"/>
      <c r="C180" s="13" t="str">
        <f ca="1">IFERROR(__xludf.DUMMYFUNCTION("""COMPUTED_VALUE"""),"踢足球")</f>
        <v>踢足球</v>
      </c>
      <c r="D180" s="13" t="str">
        <f ca="1">IFERROR(__xludf.DUMMYFUNCTION("""COMPUTED_VALUE"""),"&lt;ruby&gt;踢足球&lt;rt&gt;tī zúqiú&lt;/rt&gt;&lt;/ruby&gt;")</f>
        <v>&lt;ruby&gt;踢足球&lt;rt&gt;tī zúqiú&lt;/rt&gt;&lt;/ruby&gt;</v>
      </c>
      <c r="E180" s="13" t="str">
        <f ca="1">IFERROR(__xludf.DUMMYFUNCTION("""COMPUTED_VALUE"""),"tī zúqiú")</f>
        <v>tī zúqiú</v>
      </c>
      <c r="F180" s="13"/>
      <c r="G180" s="13" t="str">
        <f ca="1">IFERROR(__xludf.DUMMYFUNCTION("""COMPUTED_VALUE"""),"đá bóng")</f>
        <v>đá bóng</v>
      </c>
      <c r="H180" s="13" t="str">
        <f ca="1">IFERROR(__xludf.DUMMYFUNCTION("""COMPUTED_VALUE"""),"他喜欢踢足球。")</f>
        <v>他喜欢踢足球。</v>
      </c>
      <c r="I180" s="13" t="str">
        <f ca="1">IFERROR(__xludf.DUMMYFUNCTION("""COMPUTED_VALUE"""),"Tā xǐhuan tī zúqiú.")</f>
        <v>Tā xǐhuan tī zúqiú.</v>
      </c>
      <c r="J180" s="13" t="str">
        <f ca="1">IFERROR(__xludf.DUMMYFUNCTION("""COMPUTED_VALUE"""),"Anh ấy thích chơi đá bóng.")</f>
        <v>Anh ấy thích chơi đá bóng.</v>
      </c>
      <c r="K180" s="13" t="str">
        <f ca="1">IFERROR(__xludf.DUMMYFUNCTION("""COMPUTED_VALUE"""),"H2_B1_BG-07.gif")</f>
        <v>H2_B1_BG-07.gif</v>
      </c>
      <c r="L180" s="13" t="str">
        <f ca="1">IFERROR(__xludf.DUMMYFUNCTION("""COMPUTED_VALUE"""),"H2_B1_7.mp3")</f>
        <v>H2_B1_7.mp3</v>
      </c>
      <c r="M180" s="13" t="str">
        <f ca="1">IFERROR(__xludf.DUMMYFUNCTION("""COMPUTED_VALUE"""),"H2_B1_VD_7.mp3")</f>
        <v>H2_B1_VD_7.mp3</v>
      </c>
    </row>
    <row r="181" spans="1:13">
      <c r="A181" s="13">
        <f ca="1">IFERROR(__xludf.DUMMYFUNCTION("""COMPUTED_VALUE"""),8)</f>
        <v>8</v>
      </c>
      <c r="B181" s="13"/>
      <c r="C181" s="13" t="str">
        <f ca="1">IFERROR(__xludf.DUMMYFUNCTION("""COMPUTED_VALUE"""),"一起")</f>
        <v>一起</v>
      </c>
      <c r="D181" s="13" t="str">
        <f ca="1">IFERROR(__xludf.DUMMYFUNCTION("""COMPUTED_VALUE"""),"&lt;ruby&gt;一起&lt;rt&gt;yìqǐ&lt;/rt&gt;&lt;/ruby&gt;")</f>
        <v>&lt;ruby&gt;一起&lt;rt&gt;yìqǐ&lt;/rt&gt;&lt;/ruby&gt;</v>
      </c>
      <c r="E181" s="13" t="str">
        <f ca="1">IFERROR(__xludf.DUMMYFUNCTION("""COMPUTED_VALUE"""),"yìqǐ")</f>
        <v>yìqǐ</v>
      </c>
      <c r="F181" s="13" t="str">
        <f ca="1">IFERROR(__xludf.DUMMYFUNCTION("""COMPUTED_VALUE"""),"Phó từ")</f>
        <v>Phó từ</v>
      </c>
      <c r="G181" s="13" t="str">
        <f ca="1">IFERROR(__xludf.DUMMYFUNCTION("""COMPUTED_VALUE"""),"cùng")</f>
        <v>cùng</v>
      </c>
      <c r="H181" s="13" t="str">
        <f ca="1">IFERROR(__xludf.DUMMYFUNCTION("""COMPUTED_VALUE""")," 我们一起洗碗。")</f>
        <v xml:space="preserve"> 我们一起洗碗。</v>
      </c>
      <c r="I181" s="13" t="str">
        <f ca="1">IFERROR(__xludf.DUMMYFUNCTION("""COMPUTED_VALUE"""),"Wǒmen yìqǐ xǐ wǎn.")</f>
        <v>Wǒmen yìqǐ xǐ wǎn.</v>
      </c>
      <c r="J181" s="13" t="str">
        <f ca="1">IFERROR(__xludf.DUMMYFUNCTION("""COMPUTED_VALUE"""),"Chúng tôi cùng nhau rửa bát.")</f>
        <v>Chúng tôi cùng nhau rửa bát.</v>
      </c>
      <c r="K181" s="13" t="str">
        <f ca="1">IFERROR(__xludf.DUMMYFUNCTION("""COMPUTED_VALUE"""),"H2_B1_BG-08.gif")</f>
        <v>H2_B1_BG-08.gif</v>
      </c>
      <c r="L181" s="13" t="str">
        <f ca="1">IFERROR(__xludf.DUMMYFUNCTION("""COMPUTED_VALUE"""),"H2_B1_8.mp3")</f>
        <v>H2_B1_8.mp3</v>
      </c>
      <c r="M181" s="13" t="str">
        <f ca="1">IFERROR(__xludf.DUMMYFUNCTION("""COMPUTED_VALUE"""),"H2_B1_VD_8.mp3")</f>
        <v>H2_B1_VD_8.mp3</v>
      </c>
    </row>
    <row r="182" spans="1:13">
      <c r="A182" s="13">
        <f ca="1">IFERROR(__xludf.DUMMYFUNCTION("""COMPUTED_VALUE"""),9)</f>
        <v>9</v>
      </c>
      <c r="B182" s="13"/>
      <c r="C182" s="13" t="str">
        <f ca="1">IFERROR(__xludf.DUMMYFUNCTION("""COMPUTED_VALUE"""),"要")</f>
        <v>要</v>
      </c>
      <c r="D182" s="13" t="str">
        <f ca="1">IFERROR(__xludf.DUMMYFUNCTION("""COMPUTED_VALUE"""),"&lt;ruby&gt;要&lt;rt&gt;yào&lt;/rt&gt;&lt;/ruby&gt;")</f>
        <v>&lt;ruby&gt;要&lt;rt&gt;yào&lt;/rt&gt;&lt;/ruby&gt;</v>
      </c>
      <c r="E182" s="13" t="str">
        <f ca="1">IFERROR(__xludf.DUMMYFUNCTION("""COMPUTED_VALUE"""),"yào")</f>
        <v>yào</v>
      </c>
      <c r="F182" s="13" t="str">
        <f ca="1">IFERROR(__xludf.DUMMYFUNCTION("""COMPUTED_VALUE"""),"Trợ động từ ")</f>
        <v xml:space="preserve">Trợ động từ </v>
      </c>
      <c r="G182" s="13" t="str">
        <f ca="1">IFERROR(__xludf.DUMMYFUNCTION("""COMPUTED_VALUE"""),"muốn, cần")</f>
        <v>muốn, cần</v>
      </c>
      <c r="H182" s="13" t="str">
        <f ca="1">IFERROR(__xludf.DUMMYFUNCTION("""COMPUTED_VALUE"""),"我要吃这个菜。")</f>
        <v>我要吃这个菜。</v>
      </c>
      <c r="I182" s="13" t="str">
        <f ca="1">IFERROR(__xludf.DUMMYFUNCTION("""COMPUTED_VALUE"""),"Wǒ yào chī zhège cài.")</f>
        <v>Wǒ yào chī zhège cài.</v>
      </c>
      <c r="J182" s="13" t="str">
        <f ca="1">IFERROR(__xludf.DUMMYFUNCTION("""COMPUTED_VALUE"""),"Tôi muốn ăn món này.")</f>
        <v>Tôi muốn ăn món này.</v>
      </c>
      <c r="K182" s="13" t="str">
        <f ca="1">IFERROR(__xludf.DUMMYFUNCTION("""COMPUTED_VALUE"""),"H2_B1_BG-09.gif")</f>
        <v>H2_B1_BG-09.gif</v>
      </c>
      <c r="L182" s="13" t="str">
        <f ca="1">IFERROR(__xludf.DUMMYFUNCTION("""COMPUTED_VALUE"""),"H2_B1_9.mp3")</f>
        <v>H2_B1_9.mp3</v>
      </c>
      <c r="M182" s="13" t="str">
        <f ca="1">IFERROR(__xludf.DUMMYFUNCTION("""COMPUTED_VALUE"""),"H2_B1_VD_9.mp3")</f>
        <v>H2_B1_VD_9.mp3</v>
      </c>
    </row>
    <row r="183" spans="1:13">
      <c r="A183" s="13">
        <f ca="1">IFERROR(__xludf.DUMMYFUNCTION("""COMPUTED_VALUE"""),10)</f>
        <v>10</v>
      </c>
      <c r="B183" s="13"/>
      <c r="C183" s="13" t="str">
        <f ca="1">IFERROR(__xludf.DUMMYFUNCTION("""COMPUTED_VALUE"""),"新")</f>
        <v>新</v>
      </c>
      <c r="D183" s="13" t="str">
        <f ca="1">IFERROR(__xludf.DUMMYFUNCTION("""COMPUTED_VALUE"""),"&lt;ruby&gt;新&lt;rt&gt;xīn&lt;/rt&gt;&lt;/ruby&gt;")</f>
        <v>&lt;ruby&gt;新&lt;rt&gt;xīn&lt;/rt&gt;&lt;/ruby&gt;</v>
      </c>
      <c r="E183" s="13" t="str">
        <f ca="1">IFERROR(__xludf.DUMMYFUNCTION("""COMPUTED_VALUE"""),"xīn")</f>
        <v>xīn</v>
      </c>
      <c r="F183" s="13" t="str">
        <f ca="1">IFERROR(__xludf.DUMMYFUNCTION("""COMPUTED_VALUE"""),"Tính từ")</f>
        <v>Tính từ</v>
      </c>
      <c r="G183" s="13" t="str">
        <f ca="1">IFERROR(__xludf.DUMMYFUNCTION("""COMPUTED_VALUE"""),"mới")</f>
        <v>mới</v>
      </c>
      <c r="H183" s="13" t="str">
        <f ca="1">IFERROR(__xludf.DUMMYFUNCTION("""COMPUTED_VALUE"""),"我刚买了一条新裙子。")</f>
        <v>我刚买了一条新裙子。</v>
      </c>
      <c r="I183" s="13" t="str">
        <f ca="1">IFERROR(__xludf.DUMMYFUNCTION("""COMPUTED_VALUE"""),"Wǒ gāng mǎi le yì tiáo xīn qúnzi.")</f>
        <v>Wǒ gāng mǎi le yì tiáo xīn qúnzi.</v>
      </c>
      <c r="J183" s="13" t="str">
        <f ca="1">IFERROR(__xludf.DUMMYFUNCTION("""COMPUTED_VALUE"""),"Tôi vừa mua một chiếc váy mới.")</f>
        <v>Tôi vừa mua một chiếc váy mới.</v>
      </c>
      <c r="K183" s="13" t="str">
        <f ca="1">IFERROR(__xludf.DUMMYFUNCTION("""COMPUTED_VALUE"""),"H2_B1_BG-10.gif")</f>
        <v>H2_B1_BG-10.gif</v>
      </c>
      <c r="L183" s="13" t="str">
        <f ca="1">IFERROR(__xludf.DUMMYFUNCTION("""COMPUTED_VALUE"""),"H2_B1_10.mp3")</f>
        <v>H2_B1_10.mp3</v>
      </c>
      <c r="M183" s="13" t="str">
        <f ca="1">IFERROR(__xludf.DUMMYFUNCTION("""COMPUTED_VALUE"""),"H2_B1_VD_10.mp3")</f>
        <v>H2_B1_VD_10.mp3</v>
      </c>
    </row>
    <row r="184" spans="1:13">
      <c r="A184" s="13">
        <f ca="1">IFERROR(__xludf.DUMMYFUNCTION("""COMPUTED_VALUE"""),11)</f>
        <v>11</v>
      </c>
      <c r="B184" s="13"/>
      <c r="C184" s="13" t="str">
        <f ca="1">IFERROR(__xludf.DUMMYFUNCTION("""COMPUTED_VALUE"""),"它")</f>
        <v>它</v>
      </c>
      <c r="D184" s="13" t="str">
        <f ca="1">IFERROR(__xludf.DUMMYFUNCTION("""COMPUTED_VALUE"""),"&lt;ruby&gt;它&lt;rt&gt;tā&lt;/rt&gt;&lt;/ruby&gt;")</f>
        <v>&lt;ruby&gt;它&lt;rt&gt;tā&lt;/rt&gt;&lt;/ruby&gt;</v>
      </c>
      <c r="E184" s="13" t="str">
        <f ca="1">IFERROR(__xludf.DUMMYFUNCTION("""COMPUTED_VALUE"""),"tā")</f>
        <v>tā</v>
      </c>
      <c r="F184" s="13" t="str">
        <f ca="1">IFERROR(__xludf.DUMMYFUNCTION("""COMPUTED_VALUE"""),"Đại từ")</f>
        <v>Đại từ</v>
      </c>
      <c r="G184" s="13" t="str">
        <f ca="1">IFERROR(__xludf.DUMMYFUNCTION("""COMPUTED_VALUE"""),"nó")</f>
        <v>nó</v>
      </c>
      <c r="H184" s="13" t="str">
        <f ca="1">IFERROR(__xludf.DUMMYFUNCTION("""COMPUTED_VALUE"""),"它看起来很可怕。")</f>
        <v>它看起来很可怕。</v>
      </c>
      <c r="I184" s="13" t="str">
        <f ca="1">IFERROR(__xludf.DUMMYFUNCTION("""COMPUTED_VALUE"""),"Tā kàn qǐlái hěn kěpà.")</f>
        <v>Tā kàn qǐlái hěn kěpà.</v>
      </c>
      <c r="J184" s="13" t="str">
        <f ca="1">IFERROR(__xludf.DUMMYFUNCTION("""COMPUTED_VALUE"""),"Nó trông đáng sợ quá.")</f>
        <v>Nó trông đáng sợ quá.</v>
      </c>
      <c r="K184" s="13" t="str">
        <f ca="1">IFERROR(__xludf.DUMMYFUNCTION("""COMPUTED_VALUE"""),"H2_B1_BG-11.gif")</f>
        <v>H2_B1_BG-11.gif</v>
      </c>
      <c r="L184" s="13" t="str">
        <f ca="1">IFERROR(__xludf.DUMMYFUNCTION("""COMPUTED_VALUE"""),"H2_B1_11.mp3")</f>
        <v>H2_B1_11.mp3</v>
      </c>
      <c r="M184" s="13" t="str">
        <f ca="1">IFERROR(__xludf.DUMMYFUNCTION("""COMPUTED_VALUE"""),"H2_B1_VD_11.mp3")</f>
        <v>H2_B1_VD_11.mp3</v>
      </c>
    </row>
    <row r="185" spans="1:13">
      <c r="A185" s="13">
        <f ca="1">IFERROR(__xludf.DUMMYFUNCTION("""COMPUTED_VALUE"""),12)</f>
        <v>12</v>
      </c>
      <c r="B185" s="13"/>
      <c r="C185" s="13" t="str">
        <f ca="1">IFERROR(__xludf.DUMMYFUNCTION("""COMPUTED_VALUE"""),"眼睛")</f>
        <v>眼睛</v>
      </c>
      <c r="D185" s="13" t="str">
        <f ca="1">IFERROR(__xludf.DUMMYFUNCTION("""COMPUTED_VALUE"""),"&lt;ruby&gt;眼睛&lt;rt&gt;yǎnjing&lt;/rt&gt;&lt;/ruby&gt;")</f>
        <v>&lt;ruby&gt;眼睛&lt;rt&gt;yǎnjing&lt;/rt&gt;&lt;/ruby&gt;</v>
      </c>
      <c r="E185" s="13" t="str">
        <f ca="1">IFERROR(__xludf.DUMMYFUNCTION("""COMPUTED_VALUE"""),"yǎnjing")</f>
        <v>yǎnjing</v>
      </c>
      <c r="F185" s="13" t="str">
        <f ca="1">IFERROR(__xludf.DUMMYFUNCTION("""COMPUTED_VALUE"""),"Danh từ")</f>
        <v>Danh từ</v>
      </c>
      <c r="G185" s="13" t="str">
        <f ca="1">IFERROR(__xludf.DUMMYFUNCTION("""COMPUTED_VALUE"""),"mắt")</f>
        <v>mắt</v>
      </c>
      <c r="H185" s="13" t="str">
        <f ca="1">IFERROR(__xludf.DUMMYFUNCTION("""COMPUTED_VALUE""")," 她的眼睛很漂亮。")</f>
        <v xml:space="preserve"> 她的眼睛很漂亮。</v>
      </c>
      <c r="I185" s="13" t="str">
        <f ca="1">IFERROR(__xludf.DUMMYFUNCTION("""COMPUTED_VALUE"""),"Tā de yǎnjing hěn piàoliang.")</f>
        <v>Tā de yǎnjing hěn piàoliang.</v>
      </c>
      <c r="J185" s="13" t="str">
        <f ca="1">IFERROR(__xludf.DUMMYFUNCTION("""COMPUTED_VALUE"""),"Đôi mắt của cô ấy rất đẹp.")</f>
        <v>Đôi mắt của cô ấy rất đẹp.</v>
      </c>
      <c r="K185" s="13" t="str">
        <f ca="1">IFERROR(__xludf.DUMMYFUNCTION("""COMPUTED_VALUE"""),"H2_B1_BG-12.gif")</f>
        <v>H2_B1_BG-12.gif</v>
      </c>
      <c r="L185" s="13" t="str">
        <f ca="1">IFERROR(__xludf.DUMMYFUNCTION("""COMPUTED_VALUE"""),"H2_B1_12.mp3")</f>
        <v>H2_B1_12.mp3</v>
      </c>
      <c r="M185" s="13" t="str">
        <f ca="1">IFERROR(__xludf.DUMMYFUNCTION("""COMPUTED_VALUE"""),"H2_B1_VD_12.mp3")</f>
        <v>H2_B1_VD_12.mp3</v>
      </c>
    </row>
    <row r="186" spans="1:13">
      <c r="A186" s="13">
        <f ca="1">IFERROR(__xludf.DUMMYFUNCTION("""COMPUTED_VALUE"""),1)</f>
        <v>1</v>
      </c>
      <c r="B186" s="13"/>
      <c r="C186" s="13" t="str">
        <f ca="1">IFERROR(__xludf.DUMMYFUNCTION("""COMPUTED_VALUE"""),"生病")</f>
        <v>生病</v>
      </c>
      <c r="D186" s="13" t="str">
        <f ca="1">IFERROR(__xludf.DUMMYFUNCTION("""COMPUTED_VALUE"""),"&lt;ruby&gt;生病&lt;rt&gt;shēng bìng&lt;/rt&gt;&lt;/ruby&gt;")</f>
        <v>&lt;ruby&gt;生病&lt;rt&gt;shēng bìng&lt;/rt&gt;&lt;/ruby&gt;</v>
      </c>
      <c r="E186" s="13" t="str">
        <f ca="1">IFERROR(__xludf.DUMMYFUNCTION("""COMPUTED_VALUE"""),"shēng bìng")</f>
        <v>shēng bìng</v>
      </c>
      <c r="F186" s="13" t="str">
        <f ca="1">IFERROR(__xludf.DUMMYFUNCTION("""COMPUTED_VALUE"""),"Động từ")</f>
        <v>Động từ</v>
      </c>
      <c r="G186" s="13" t="str">
        <f ca="1">IFERROR(__xludf.DUMMYFUNCTION("""COMPUTED_VALUE"""),"bị bệnh, bị ốm")</f>
        <v>bị bệnh, bị ốm</v>
      </c>
      <c r="H186" s="13" t="str">
        <f ca="1">IFERROR(__xludf.DUMMYFUNCTION("""COMPUTED_VALUE"""),"她生病了。")</f>
        <v>她生病了。</v>
      </c>
      <c r="I186" s="13" t="str">
        <f ca="1">IFERROR(__xludf.DUMMYFUNCTION("""COMPUTED_VALUE"""),"Tā shēngbìng le.")</f>
        <v>Tā shēngbìng le.</v>
      </c>
      <c r="J186" s="13" t="str">
        <f ca="1">IFERROR(__xludf.DUMMYFUNCTION("""COMPUTED_VALUE"""),"Cô ấy bị ốm rồi.")</f>
        <v>Cô ấy bị ốm rồi.</v>
      </c>
      <c r="K186" s="13" t="str">
        <f ca="1">IFERROR(__xludf.DUMMYFUNCTION("""COMPUTED_VALUE"""),"H2_B2_BG-01.gif")</f>
        <v>H2_B2_BG-01.gif</v>
      </c>
      <c r="L186" s="13" t="str">
        <f ca="1">IFERROR(__xludf.DUMMYFUNCTION("""COMPUTED_VALUE"""),"H2_B2_1.mp3")</f>
        <v>H2_B2_1.mp3</v>
      </c>
      <c r="M186" s="13" t="str">
        <f ca="1">IFERROR(__xludf.DUMMYFUNCTION("""COMPUTED_VALUE"""),"H2_B2_VD_1.mp3")</f>
        <v>H2_B2_VD_1.mp3</v>
      </c>
    </row>
    <row r="187" spans="1:13">
      <c r="A187" s="13">
        <f ca="1">IFERROR(__xludf.DUMMYFUNCTION("""COMPUTED_VALUE"""),2)</f>
        <v>2</v>
      </c>
      <c r="B187" s="13"/>
      <c r="C187" s="13" t="str">
        <f ca="1">IFERROR(__xludf.DUMMYFUNCTION("""COMPUTED_VALUE"""),"药")</f>
        <v>药</v>
      </c>
      <c r="D187" s="13" t="str">
        <f ca="1">IFERROR(__xludf.DUMMYFUNCTION("""COMPUTED_VALUE"""),"&lt;ruby&gt;药&lt;rt&gt;yào&lt;/rt&gt;&lt;/ruby&gt;")</f>
        <v>&lt;ruby&gt;药&lt;rt&gt;yào&lt;/rt&gt;&lt;/ruby&gt;</v>
      </c>
      <c r="E187" s="13" t="str">
        <f ca="1">IFERROR(__xludf.DUMMYFUNCTION("""COMPUTED_VALUE"""),"yào")</f>
        <v>yào</v>
      </c>
      <c r="F187" s="13" t="str">
        <f ca="1">IFERROR(__xludf.DUMMYFUNCTION("""COMPUTED_VALUE"""),"Danh từ")</f>
        <v>Danh từ</v>
      </c>
      <c r="G187" s="13" t="str">
        <f ca="1">IFERROR(__xludf.DUMMYFUNCTION("""COMPUTED_VALUE"""),"thuốc")</f>
        <v>thuốc</v>
      </c>
      <c r="H187" s="13" t="str">
        <f ca="1">IFERROR(__xludf.DUMMYFUNCTION("""COMPUTED_VALUE"""),"我要吃药才能快点好起来。")</f>
        <v>我要吃药才能快点好起来。</v>
      </c>
      <c r="I187" s="13" t="str">
        <f ca="1">IFERROR(__xludf.DUMMYFUNCTION("""COMPUTED_VALUE"""),"Wǒ yào chī yào cáinéng kuài diǎn hǎo qǐlái.")</f>
        <v>Wǒ yào chī yào cáinéng kuài diǎn hǎo qǐlái.</v>
      </c>
      <c r="J187" s="13" t="str">
        <f ca="1">IFERROR(__xludf.DUMMYFUNCTION("""COMPUTED_VALUE"""),"Tôi phải uống thuốc để mau khỏi bệnh.")</f>
        <v>Tôi phải uống thuốc để mau khỏi bệnh.</v>
      </c>
      <c r="K187" s="13" t="str">
        <f ca="1">IFERROR(__xludf.DUMMYFUNCTION("""COMPUTED_VALUE"""),"H2_B2_BG-02.gif")</f>
        <v>H2_B2_BG-02.gif</v>
      </c>
      <c r="L187" s="13" t="str">
        <f ca="1">IFERROR(__xludf.DUMMYFUNCTION("""COMPUTED_VALUE"""),"H2_B2_2.mp3")</f>
        <v>H2_B2_2.mp3</v>
      </c>
      <c r="M187" s="13" t="str">
        <f ca="1">IFERROR(__xludf.DUMMYFUNCTION("""COMPUTED_VALUE"""),"H2_B2_VD_2.mp3")</f>
        <v>H2_B2_VD_2.mp3</v>
      </c>
    </row>
    <row r="188" spans="1:13">
      <c r="A188" s="13">
        <f ca="1">IFERROR(__xludf.DUMMYFUNCTION("""COMPUTED_VALUE"""),3)</f>
        <v>3</v>
      </c>
      <c r="B188" s="13"/>
      <c r="C188" s="13" t="str">
        <f ca="1">IFERROR(__xludf.DUMMYFUNCTION("""COMPUTED_VALUE"""),"身体")</f>
        <v>身体</v>
      </c>
      <c r="D188" s="13" t="str">
        <f ca="1">IFERROR(__xludf.DUMMYFUNCTION("""COMPUTED_VALUE"""),"&lt;ruby&gt;身体&lt;rt&gt;shēntǐ&lt;/rt&gt;&lt;/ruby&gt;")</f>
        <v>&lt;ruby&gt;身体&lt;rt&gt;shēntǐ&lt;/rt&gt;&lt;/ruby&gt;</v>
      </c>
      <c r="E188" s="13" t="str">
        <f ca="1">IFERROR(__xludf.DUMMYFUNCTION("""COMPUTED_VALUE"""),"shēntǐ")</f>
        <v>shēntǐ</v>
      </c>
      <c r="F188" s="13" t="str">
        <f ca="1">IFERROR(__xludf.DUMMYFUNCTION("""COMPUTED_VALUE"""),"Danh từ")</f>
        <v>Danh từ</v>
      </c>
      <c r="G188" s="13" t="str">
        <f ca="1">IFERROR(__xludf.DUMMYFUNCTION("""COMPUTED_VALUE"""),"sức khỏe, cơ thể")</f>
        <v>sức khỏe, cơ thể</v>
      </c>
      <c r="H188" s="13" t="str">
        <f ca="1">IFERROR(__xludf.DUMMYFUNCTION("""COMPUTED_VALUE""")," 她的身体很好。")</f>
        <v xml:space="preserve"> 她的身体很好。</v>
      </c>
      <c r="I188" s="13" t="str">
        <f ca="1">IFERROR(__xludf.DUMMYFUNCTION("""COMPUTED_VALUE"""),"Tā de shēntǐ hěn hǎo.")</f>
        <v>Tā de shēntǐ hěn hǎo.</v>
      </c>
      <c r="J188" s="13" t="str">
        <f ca="1">IFERROR(__xludf.DUMMYFUNCTION("""COMPUTED_VALUE"""),"Sức khỏe của cô ấy rất tốt.")</f>
        <v>Sức khỏe của cô ấy rất tốt.</v>
      </c>
      <c r="K188" s="13" t="str">
        <f ca="1">IFERROR(__xludf.DUMMYFUNCTION("""COMPUTED_VALUE"""),"H2_B2_BG-03.gif")</f>
        <v>H2_B2_BG-03.gif</v>
      </c>
      <c r="L188" s="13" t="str">
        <f ca="1">IFERROR(__xludf.DUMMYFUNCTION("""COMPUTED_VALUE"""),"H2_B2_3.mp3")</f>
        <v>H2_B2_3.mp3</v>
      </c>
      <c r="M188" s="13" t="str">
        <f ca="1">IFERROR(__xludf.DUMMYFUNCTION("""COMPUTED_VALUE"""),"H2_B2_VD_3.mp3")</f>
        <v>H2_B2_VD_3.mp3</v>
      </c>
    </row>
    <row r="189" spans="1:13">
      <c r="A189" s="13">
        <f ca="1">IFERROR(__xludf.DUMMYFUNCTION("""COMPUTED_VALUE"""),4)</f>
        <v>4</v>
      </c>
      <c r="B189" s="13"/>
      <c r="C189" s="13" t="str">
        <f ca="1">IFERROR(__xludf.DUMMYFUNCTION("""COMPUTED_VALUE"""),"出院")</f>
        <v>出院</v>
      </c>
      <c r="D189" s="13" t="str">
        <f ca="1">IFERROR(__xludf.DUMMYFUNCTION("""COMPUTED_VALUE"""),"&lt;ruby&gt;出院&lt;rt&gt;chū yuàn&lt;/rt&gt;&lt;/ruby&gt;")</f>
        <v>&lt;ruby&gt;出院&lt;rt&gt;chū yuàn&lt;/rt&gt;&lt;/ruby&gt;</v>
      </c>
      <c r="E189" s="13" t="str">
        <f ca="1">IFERROR(__xludf.DUMMYFUNCTION("""COMPUTED_VALUE"""),"chū yuàn")</f>
        <v>chū yuàn</v>
      </c>
      <c r="F189" s="13"/>
      <c r="G189" s="13" t="str">
        <f ca="1">IFERROR(__xludf.DUMMYFUNCTION("""COMPUTED_VALUE"""),"xuất viện")</f>
        <v>xuất viện</v>
      </c>
      <c r="H189" s="13" t="str">
        <f ca="1">IFERROR(__xludf.DUMMYFUNCTION("""COMPUTED_VALUE"""),"他的手还没好，所以还不能出院。")</f>
        <v>他的手还没好，所以还不能出院。</v>
      </c>
      <c r="I189" s="13" t="str">
        <f ca="1">IFERROR(__xludf.DUMMYFUNCTION("""COMPUTED_VALUE"""),"Tā de shǒu hái méi hǎo, suǒyǐ hái bùnéng chūyuàn.")</f>
        <v>Tā de shǒu hái méi hǎo, suǒyǐ hái bùnéng chūyuàn.</v>
      </c>
      <c r="J189" s="13" t="str">
        <f ca="1">IFERROR(__xludf.DUMMYFUNCTION("""COMPUTED_VALUE"""),"Tay anh ấy vẫn chưa khỏi nên chưa thể xuất viện.")</f>
        <v>Tay anh ấy vẫn chưa khỏi nên chưa thể xuất viện.</v>
      </c>
      <c r="K189" s="13" t="str">
        <f ca="1">IFERROR(__xludf.DUMMYFUNCTION("""COMPUTED_VALUE"""),"H2_B2_BG-04.gif")</f>
        <v>H2_B2_BG-04.gif</v>
      </c>
      <c r="L189" s="13" t="str">
        <f ca="1">IFERROR(__xludf.DUMMYFUNCTION("""COMPUTED_VALUE"""),"H2_B2_4.mp3")</f>
        <v>H2_B2_4.mp3</v>
      </c>
      <c r="M189" s="13" t="str">
        <f ca="1">IFERROR(__xludf.DUMMYFUNCTION("""COMPUTED_VALUE"""),"H2_B2_VD_4.mp3")</f>
        <v>H2_B2_VD_4.mp3</v>
      </c>
    </row>
    <row r="190" spans="1:13">
      <c r="A190" s="13">
        <f ca="1">IFERROR(__xludf.DUMMYFUNCTION("""COMPUTED_VALUE"""),5)</f>
        <v>5</v>
      </c>
      <c r="B190" s="13"/>
      <c r="C190" s="13" t="str">
        <f ca="1">IFERROR(__xludf.DUMMYFUNCTION("""COMPUTED_VALUE"""),"高")</f>
        <v>高</v>
      </c>
      <c r="D190" s="13" t="str">
        <f ca="1">IFERROR(__xludf.DUMMYFUNCTION("""COMPUTED_VALUE"""),"&lt;ruby&gt;高&lt;rt&gt;gāo&lt;/rt&gt;&lt;/ruby&gt;")</f>
        <v>&lt;ruby&gt;高&lt;rt&gt;gāo&lt;/rt&gt;&lt;/ruby&gt;</v>
      </c>
      <c r="E190" s="13" t="str">
        <f ca="1">IFERROR(__xludf.DUMMYFUNCTION("""COMPUTED_VALUE"""),"gāo")</f>
        <v>gāo</v>
      </c>
      <c r="F190" s="13" t="str">
        <f ca="1">IFERROR(__xludf.DUMMYFUNCTION("""COMPUTED_VALUE"""),"Tính từ")</f>
        <v>Tính từ</v>
      </c>
      <c r="G190" s="13" t="str">
        <f ca="1">IFERROR(__xludf.DUMMYFUNCTION("""COMPUTED_VALUE"""),"cao")</f>
        <v>cao</v>
      </c>
      <c r="H190" s="13" t="str">
        <f ca="1">IFERROR(__xludf.DUMMYFUNCTION("""COMPUTED_VALUE""")," 这座楼太高了！")</f>
        <v xml:space="preserve"> 这座楼太高了！</v>
      </c>
      <c r="I190" s="13" t="str">
        <f ca="1">IFERROR(__xludf.DUMMYFUNCTION("""COMPUTED_VALUE"""),"Zhè zuò lóu tài gāo le!")</f>
        <v>Zhè zuò lóu tài gāo le!</v>
      </c>
      <c r="J190" s="13" t="str">
        <f ca="1">IFERROR(__xludf.DUMMYFUNCTION("""COMPUTED_VALUE"""),"Tòa nhà này cao quá!")</f>
        <v>Tòa nhà này cao quá!</v>
      </c>
      <c r="K190" s="13" t="str">
        <f ca="1">IFERROR(__xludf.DUMMYFUNCTION("""COMPUTED_VALUE"""),"H2_B2_BG-05.gif")</f>
        <v>H2_B2_BG-05.gif</v>
      </c>
      <c r="L190" s="13" t="str">
        <f ca="1">IFERROR(__xludf.DUMMYFUNCTION("""COMPUTED_VALUE"""),"H2_B2_5.mp3")</f>
        <v>H2_B2_5.mp3</v>
      </c>
      <c r="M190" s="13" t="str">
        <f ca="1">IFERROR(__xludf.DUMMYFUNCTION("""COMPUTED_VALUE"""),"H2_B2_VD_5.mp3")</f>
        <v>H2_B2_VD_5.mp3</v>
      </c>
    </row>
    <row r="191" spans="1:13">
      <c r="A191" s="13">
        <f ca="1">IFERROR(__xludf.DUMMYFUNCTION("""COMPUTED_VALUE"""),6)</f>
        <v>6</v>
      </c>
      <c r="B191" s="13"/>
      <c r="C191" s="13" t="str">
        <f ca="1">IFERROR(__xludf.DUMMYFUNCTION("""COMPUTED_VALUE"""),"米")</f>
        <v>米</v>
      </c>
      <c r="D191" s="13" t="str">
        <f ca="1">IFERROR(__xludf.DUMMYFUNCTION("""COMPUTED_VALUE"""),"&lt;ruby&gt;米&lt;rt&gt;mǐ&lt;/rt&gt;&lt;/ruby&gt;")</f>
        <v>&lt;ruby&gt;米&lt;rt&gt;mǐ&lt;/rt&gt;&lt;/ruby&gt;</v>
      </c>
      <c r="E191" s="13" t="str">
        <f ca="1">IFERROR(__xludf.DUMMYFUNCTION("""COMPUTED_VALUE"""),"mǐ")</f>
        <v>mǐ</v>
      </c>
      <c r="F191" s="13" t="str">
        <f ca="1">IFERROR(__xludf.DUMMYFUNCTION("""COMPUTED_VALUE"""),"Lượng từ")</f>
        <v>Lượng từ</v>
      </c>
      <c r="G191" s="13" t="str">
        <f ca="1">IFERROR(__xludf.DUMMYFUNCTION("""COMPUTED_VALUE"""),"mét")</f>
        <v>mét</v>
      </c>
      <c r="H191" s="13" t="str">
        <f ca="1">IFERROR(__xludf.DUMMYFUNCTION("""COMPUTED_VALUE"""),"东方明珠塔的高度是468米。")</f>
        <v>东方明珠塔的高度是468米。</v>
      </c>
      <c r="I191" s="13" t="str">
        <f ca="1">IFERROR(__xludf.DUMMYFUNCTION("""COMPUTED_VALUE"""),"Dōngfāng Míngzhūtǎ de gāodù shì 468 mǐ.")</f>
        <v>Dōngfāng Míngzhūtǎ de gāodù shì 468 mǐ.</v>
      </c>
      <c r="J191" s="13" t="str">
        <f ca="1">IFERROR(__xludf.DUMMYFUNCTION("""COMPUTED_VALUE"""),"Tháp Đông Phương Minh Châu cao 468 mét.")</f>
        <v>Tháp Đông Phương Minh Châu cao 468 mét.</v>
      </c>
      <c r="K191" s="13" t="str">
        <f ca="1">IFERROR(__xludf.DUMMYFUNCTION("""COMPUTED_VALUE"""),"H2_B2_BG-06.gif")</f>
        <v>H2_B2_BG-06.gif</v>
      </c>
      <c r="L191" s="13" t="str">
        <f ca="1">IFERROR(__xludf.DUMMYFUNCTION("""COMPUTED_VALUE"""),"H2_B2_6.mp3")</f>
        <v>H2_B2_6.mp3</v>
      </c>
      <c r="M191" s="13" t="str">
        <f ca="1">IFERROR(__xludf.DUMMYFUNCTION("""COMPUTED_VALUE"""),"H2_B2_VD_6.mp3")</f>
        <v>H2_B2_VD_6.mp3</v>
      </c>
    </row>
    <row r="192" spans="1:13">
      <c r="A192" s="13">
        <f ca="1">IFERROR(__xludf.DUMMYFUNCTION("""COMPUTED_VALUE"""),7)</f>
        <v>7</v>
      </c>
      <c r="B192" s="13"/>
      <c r="C192" s="13" t="str">
        <f ca="1">IFERROR(__xludf.DUMMYFUNCTION("""COMPUTED_VALUE"""),"休息")</f>
        <v>休息</v>
      </c>
      <c r="D192" s="13" t="str">
        <f ca="1">IFERROR(__xludf.DUMMYFUNCTION("""COMPUTED_VALUE"""),"&lt;ruby&gt;休息&lt;rt&gt;xiūxi&lt;/rt&gt;&lt;/ruby&gt;")</f>
        <v>&lt;ruby&gt;休息&lt;rt&gt;xiūxi&lt;/rt&gt;&lt;/ruby&gt;</v>
      </c>
      <c r="E192" s="13" t="str">
        <f ca="1">IFERROR(__xludf.DUMMYFUNCTION("""COMPUTED_VALUE"""),"xiūxi")</f>
        <v>xiūxi</v>
      </c>
      <c r="F192" s="13" t="str">
        <f ca="1">IFERROR(__xludf.DUMMYFUNCTION("""COMPUTED_VALUE"""),"Động từ")</f>
        <v>Động từ</v>
      </c>
      <c r="G192" s="13" t="str">
        <f ca="1">IFERROR(__xludf.DUMMYFUNCTION("""COMPUTED_VALUE"""),"nghỉ ngơi")</f>
        <v>nghỉ ngơi</v>
      </c>
      <c r="H192" s="13" t="str">
        <f ca="1">IFERROR(__xludf.DUMMYFUNCTION("""COMPUTED_VALUE"""),"我打算去海边旅行，好好休息一下。")</f>
        <v>我打算去海边旅行，好好休息一下。</v>
      </c>
      <c r="I192" s="13" t="str">
        <f ca="1">IFERROR(__xludf.DUMMYFUNCTION("""COMPUTED_VALUE"""),"Wǒ dǎsuàn qù hǎibiān lǚxíng, hǎohǎo xiūxi yíxià.")</f>
        <v>Wǒ dǎsuàn qù hǎibiān lǚxíng, hǎohǎo xiūxi yíxià.</v>
      </c>
      <c r="J192" s="13" t="str">
        <f ca="1">IFERROR(__xludf.DUMMYFUNCTION("""COMPUTED_VALUE"""),"Tôi dự định đi du lịch ở bãi biển để nghỉ ngơi thật tốt.")</f>
        <v>Tôi dự định đi du lịch ở bãi biển để nghỉ ngơi thật tốt.</v>
      </c>
      <c r="K192" s="13" t="str">
        <f ca="1">IFERROR(__xludf.DUMMYFUNCTION("""COMPUTED_VALUE"""),"H2_B2_BG-07.gif")</f>
        <v>H2_B2_BG-07.gif</v>
      </c>
      <c r="L192" s="13" t="str">
        <f ca="1">IFERROR(__xludf.DUMMYFUNCTION("""COMPUTED_VALUE"""),"H2_B2_7.mp3")</f>
        <v>H2_B2_7.mp3</v>
      </c>
      <c r="M192" s="13" t="str">
        <f ca="1">IFERROR(__xludf.DUMMYFUNCTION("""COMPUTED_VALUE"""),"H2_B2_VD_7.mp3")</f>
        <v>H2_B2_VD_7.mp3</v>
      </c>
    </row>
    <row r="193" spans="1:13">
      <c r="A193" s="13">
        <f ca="1">IFERROR(__xludf.DUMMYFUNCTION("""COMPUTED_VALUE"""),8)</f>
        <v>8</v>
      </c>
      <c r="B193" s="13"/>
      <c r="C193" s="13" t="str">
        <f ca="1">IFERROR(__xludf.DUMMYFUNCTION("""COMPUTED_VALUE"""),"忙")</f>
        <v>忙</v>
      </c>
      <c r="D193" s="13" t="str">
        <f ca="1">IFERROR(__xludf.DUMMYFUNCTION("""COMPUTED_VALUE"""),"&lt;ruby&gt;忙&lt;rt&gt;máng&lt;/rt&gt;&lt;/ruby&gt;")</f>
        <v>&lt;ruby&gt;忙&lt;rt&gt;máng&lt;/rt&gt;&lt;/ruby&gt;</v>
      </c>
      <c r="E193" s="13" t="str">
        <f ca="1">IFERROR(__xludf.DUMMYFUNCTION("""COMPUTED_VALUE"""),"máng")</f>
        <v>máng</v>
      </c>
      <c r="F193" s="13" t="str">
        <f ca="1">IFERROR(__xludf.DUMMYFUNCTION("""COMPUTED_VALUE"""),"Tính từ")</f>
        <v>Tính từ</v>
      </c>
      <c r="G193" s="13" t="str">
        <f ca="1">IFERROR(__xludf.DUMMYFUNCTION("""COMPUTED_VALUE"""),"bận")</f>
        <v>bận</v>
      </c>
      <c r="H193" s="13" t="str">
        <f ca="1">IFERROR(__xludf.DUMMYFUNCTION("""COMPUTED_VALUE"""),"他今天很忙。")</f>
        <v>他今天很忙。</v>
      </c>
      <c r="I193" s="13" t="str">
        <f ca="1">IFERROR(__xludf.DUMMYFUNCTION("""COMPUTED_VALUE"""),"Tā jīntiān hěn máng.")</f>
        <v>Tā jīntiān hěn máng.</v>
      </c>
      <c r="J193" s="13" t="str">
        <f ca="1">IFERROR(__xludf.DUMMYFUNCTION("""COMPUTED_VALUE"""),"Hôm nay anh ấy rất bận rộn.")</f>
        <v>Hôm nay anh ấy rất bận rộn.</v>
      </c>
      <c r="K193" s="13" t="str">
        <f ca="1">IFERROR(__xludf.DUMMYFUNCTION("""COMPUTED_VALUE"""),"H2_B2_BG-08.gif")</f>
        <v>H2_B2_BG-08.gif</v>
      </c>
      <c r="L193" s="13" t="str">
        <f ca="1">IFERROR(__xludf.DUMMYFUNCTION("""COMPUTED_VALUE"""),"H2_B2_8.mp3")</f>
        <v>H2_B2_8.mp3</v>
      </c>
      <c r="M193" s="13" t="str">
        <f ca="1">IFERROR(__xludf.DUMMYFUNCTION("""COMPUTED_VALUE"""),"H2_B2_VD_8.mp3")</f>
        <v>H2_B2_VD_8.mp3</v>
      </c>
    </row>
    <row r="194" spans="1:13">
      <c r="A194" s="13">
        <f ca="1">IFERROR(__xludf.DUMMYFUNCTION("""COMPUTED_VALUE"""),9)</f>
        <v>9</v>
      </c>
      <c r="B194" s="13"/>
      <c r="C194" s="13" t="str">
        <f ca="1">IFERROR(__xludf.DUMMYFUNCTION("""COMPUTED_VALUE"""),"每")</f>
        <v>每</v>
      </c>
      <c r="D194" s="13" t="str">
        <f ca="1">IFERROR(__xludf.DUMMYFUNCTION("""COMPUTED_VALUE"""),"&lt;ruby&gt;每&lt;rt&gt;měi&lt;/rt&gt;&lt;/ruby&gt;")</f>
        <v>&lt;ruby&gt;每&lt;rt&gt;měi&lt;/rt&gt;&lt;/ruby&gt;</v>
      </c>
      <c r="E194" s="13" t="str">
        <f ca="1">IFERROR(__xludf.DUMMYFUNCTION("""COMPUTED_VALUE"""),"měi")</f>
        <v>měi</v>
      </c>
      <c r="F194" s="13" t="str">
        <f ca="1">IFERROR(__xludf.DUMMYFUNCTION("""COMPUTED_VALUE"""),"Đại từ")</f>
        <v>Đại từ</v>
      </c>
      <c r="G194" s="13" t="str">
        <f ca="1">IFERROR(__xludf.DUMMYFUNCTION("""COMPUTED_VALUE"""),"mỗi")</f>
        <v>mỗi</v>
      </c>
      <c r="H194" s="13" t="str">
        <f ca="1">IFERROR(__xludf.DUMMYFUNCTION("""COMPUTED_VALUE"""),"我每天都运动。")</f>
        <v>我每天都运动。</v>
      </c>
      <c r="I194" s="13" t="str">
        <f ca="1">IFERROR(__xludf.DUMMYFUNCTION("""COMPUTED_VALUE"""),"Wǒ měitiān dōu yùndòng.")</f>
        <v>Wǒ měitiān dōu yùndòng.</v>
      </c>
      <c r="J194" s="13" t="str">
        <f ca="1">IFERROR(__xludf.DUMMYFUNCTION("""COMPUTED_VALUE"""),"Mỗi ngày tôi đều tập thể dục.")</f>
        <v>Mỗi ngày tôi đều tập thể dục.</v>
      </c>
      <c r="K194" s="13" t="str">
        <f ca="1">IFERROR(__xludf.DUMMYFUNCTION("""COMPUTED_VALUE"""),"H2_B2_BG-09.gif")</f>
        <v>H2_B2_BG-09.gif</v>
      </c>
      <c r="L194" s="13" t="str">
        <f ca="1">IFERROR(__xludf.DUMMYFUNCTION("""COMPUTED_VALUE"""),"H2_B2_9.mp3")</f>
        <v>H2_B2_9.mp3</v>
      </c>
      <c r="M194" s="13" t="str">
        <f ca="1">IFERROR(__xludf.DUMMYFUNCTION("""COMPUTED_VALUE"""),"H2_B2_VD_9.mp3")</f>
        <v>H2_B2_VD_9.mp3</v>
      </c>
    </row>
    <row r="195" spans="1:13">
      <c r="A195" s="13">
        <f ca="1">IFERROR(__xludf.DUMMYFUNCTION("""COMPUTED_VALUE"""),10)</f>
        <v>10</v>
      </c>
      <c r="B195" s="13"/>
      <c r="C195" s="13" t="str">
        <f ca="1">IFERROR(__xludf.DUMMYFUNCTION("""COMPUTED_VALUE"""),"早上")</f>
        <v>早上</v>
      </c>
      <c r="D195" s="13" t="str">
        <f ca="1">IFERROR(__xludf.DUMMYFUNCTION("""COMPUTED_VALUE"""),"&lt;ruby&gt;早上&lt;rt&gt;zǎoshang&lt;/rt&gt;&lt;/ruby&gt;")</f>
        <v>&lt;ruby&gt;早上&lt;rt&gt;zǎoshang&lt;/rt&gt;&lt;/ruby&gt;</v>
      </c>
      <c r="E195" s="13" t="str">
        <f ca="1">IFERROR(__xludf.DUMMYFUNCTION("""COMPUTED_VALUE"""),"zǎoshang")</f>
        <v>zǎoshang</v>
      </c>
      <c r="F195" s="13" t="str">
        <f ca="1">IFERROR(__xludf.DUMMYFUNCTION("""COMPUTED_VALUE"""),"Danh từ")</f>
        <v>Danh từ</v>
      </c>
      <c r="G195" s="13" t="str">
        <f ca="1">IFERROR(__xludf.DUMMYFUNCTION("""COMPUTED_VALUE"""),"buổi sáng")</f>
        <v>buổi sáng</v>
      </c>
      <c r="H195" s="13" t="str">
        <f ca="1">IFERROR(__xludf.DUMMYFUNCTION("""COMPUTED_VALUE"""),"她早上经常煮粥。")</f>
        <v>她早上经常煮粥。</v>
      </c>
      <c r="I195" s="13" t="str">
        <f ca="1">IFERROR(__xludf.DUMMYFUNCTION("""COMPUTED_VALUE"""),"Tā zǎoshang jīngcháng zhǔ zhōu.")</f>
        <v>Tā zǎoshang jīngcháng zhǔ zhōu.</v>
      </c>
      <c r="J195" s="13" t="str">
        <f ca="1">IFERROR(__xludf.DUMMYFUNCTION("""COMPUTED_VALUE"""),"Cô ấy thường nấu cháo vào buổi sáng.")</f>
        <v>Cô ấy thường nấu cháo vào buổi sáng.</v>
      </c>
      <c r="K195" s="13" t="str">
        <f ca="1">IFERROR(__xludf.DUMMYFUNCTION("""COMPUTED_VALUE"""),"H2_B2_BG-10.gif")</f>
        <v>H2_B2_BG-10.gif</v>
      </c>
      <c r="L195" s="13" t="str">
        <f ca="1">IFERROR(__xludf.DUMMYFUNCTION("""COMPUTED_VALUE"""),"H2_B2_10.mp3")</f>
        <v>H2_B2_10.mp3</v>
      </c>
      <c r="M195" s="13" t="str">
        <f ca="1">IFERROR(__xludf.DUMMYFUNCTION("""COMPUTED_VALUE"""),"H2_B2_VD_10.mp3")</f>
        <v>H2_B2_VD_10.mp3</v>
      </c>
    </row>
    <row r="196" spans="1:13">
      <c r="A196" s="13">
        <f ca="1">IFERROR(__xludf.DUMMYFUNCTION("""COMPUTED_VALUE"""),11)</f>
        <v>11</v>
      </c>
      <c r="B196" s="13"/>
      <c r="C196" s="13" t="str">
        <f ca="1">IFERROR(__xludf.DUMMYFUNCTION("""COMPUTED_VALUE"""),"跑步")</f>
        <v>跑步</v>
      </c>
      <c r="D196" s="13" t="str">
        <f ca="1">IFERROR(__xludf.DUMMYFUNCTION("""COMPUTED_VALUE"""),"&lt;ruby&gt;跑步&lt;rt&gt;pǎo bù&lt;/rt&gt;&lt;/ruby&gt;")</f>
        <v>&lt;ruby&gt;跑步&lt;rt&gt;pǎo bù&lt;/rt&gt;&lt;/ruby&gt;</v>
      </c>
      <c r="E196" s="13" t="str">
        <f ca="1">IFERROR(__xludf.DUMMYFUNCTION("""COMPUTED_VALUE"""),"pǎo bù")</f>
        <v>pǎo bù</v>
      </c>
      <c r="F196" s="13" t="str">
        <f ca="1">IFERROR(__xludf.DUMMYFUNCTION("""COMPUTED_VALUE"""),"Động từ")</f>
        <v>Động từ</v>
      </c>
      <c r="G196" s="13" t="str">
        <f ca="1">IFERROR(__xludf.DUMMYFUNCTION("""COMPUTED_VALUE"""),"chạy bộ")</f>
        <v>chạy bộ</v>
      </c>
      <c r="H196" s="13" t="str">
        <f ca="1">IFERROR(__xludf.DUMMYFUNCTION("""COMPUTED_VALUE"""),"他跑步跑得很快。")</f>
        <v>他跑步跑得很快。</v>
      </c>
      <c r="I196" s="13" t="str">
        <f ca="1">IFERROR(__xludf.DUMMYFUNCTION("""COMPUTED_VALUE"""),"Tā pǎobù pǎo de hěn kuài.")</f>
        <v>Tā pǎobù pǎo de hěn kuài.</v>
      </c>
      <c r="J196" s="13" t="str">
        <f ca="1">IFERROR(__xludf.DUMMYFUNCTION("""COMPUTED_VALUE"""),"Anh ấy chạy rất nhanh.")</f>
        <v>Anh ấy chạy rất nhanh.</v>
      </c>
      <c r="K196" s="13" t="str">
        <f ca="1">IFERROR(__xludf.DUMMYFUNCTION("""COMPUTED_VALUE"""),"H2_B2_BG-11.gif")</f>
        <v>H2_B2_BG-11.gif</v>
      </c>
      <c r="L196" s="13" t="str">
        <f ca="1">IFERROR(__xludf.DUMMYFUNCTION("""COMPUTED_VALUE"""),"H2_B2_11.mp3")</f>
        <v>H2_B2_11.mp3</v>
      </c>
      <c r="M196" s="13" t="str">
        <f ca="1">IFERROR(__xludf.DUMMYFUNCTION("""COMPUTED_VALUE"""),"H2_B2_VD_11.mp3")</f>
        <v>H2_B2_VD_11.mp3</v>
      </c>
    </row>
    <row r="197" spans="1:13">
      <c r="A197" s="13">
        <f ca="1">IFERROR(__xludf.DUMMYFUNCTION("""COMPUTED_VALUE"""),12)</f>
        <v>12</v>
      </c>
      <c r="B197" s="13"/>
      <c r="C197" s="13" t="str">
        <f ca="1">IFERROR(__xludf.DUMMYFUNCTION("""COMPUTED_VALUE"""),"起床")</f>
        <v>起床</v>
      </c>
      <c r="D197" s="13" t="str">
        <f ca="1">IFERROR(__xludf.DUMMYFUNCTION("""COMPUTED_VALUE"""),"&lt;ruby&gt;起床&lt;rt&gt;qǐ chuáng&lt;/rt&gt;&lt;/ruby&gt;")</f>
        <v>&lt;ruby&gt;起床&lt;rt&gt;qǐ chuáng&lt;/rt&gt;&lt;/ruby&gt;</v>
      </c>
      <c r="E197" s="13" t="str">
        <f ca="1">IFERROR(__xludf.DUMMYFUNCTION("""COMPUTED_VALUE"""),"qǐ chuáng")</f>
        <v>qǐ chuáng</v>
      </c>
      <c r="F197" s="13" t="str">
        <f ca="1">IFERROR(__xludf.DUMMYFUNCTION("""COMPUTED_VALUE"""),"Động từ")</f>
        <v>Động từ</v>
      </c>
      <c r="G197" s="13" t="str">
        <f ca="1">IFERROR(__xludf.DUMMYFUNCTION("""COMPUTED_VALUE"""),"thức dậy")</f>
        <v>thức dậy</v>
      </c>
      <c r="H197" s="13" t="str">
        <f ca="1">IFERROR(__xludf.DUMMYFUNCTION("""COMPUTED_VALUE"""),"我今天起床很早。")</f>
        <v>我今天起床很早。</v>
      </c>
      <c r="I197" s="13" t="str">
        <f ca="1">IFERROR(__xludf.DUMMYFUNCTION("""COMPUTED_VALUE"""),"Wǒ jīntiān qǐchuáng hěn zǎo.")</f>
        <v>Wǒ jīntiān qǐchuáng hěn zǎo.</v>
      </c>
      <c r="J197" s="13" t="str">
        <f ca="1">IFERROR(__xludf.DUMMYFUNCTION("""COMPUTED_VALUE"""),"Hôm nay tôi dậy rất sớm.")</f>
        <v>Hôm nay tôi dậy rất sớm.</v>
      </c>
      <c r="K197" s="13" t="str">
        <f ca="1">IFERROR(__xludf.DUMMYFUNCTION("""COMPUTED_VALUE"""),"H2_B2_BG-12.gif")</f>
        <v>H2_B2_BG-12.gif</v>
      </c>
      <c r="L197" s="13" t="str">
        <f ca="1">IFERROR(__xludf.DUMMYFUNCTION("""COMPUTED_VALUE"""),"H2_B2_12.mp3")</f>
        <v>H2_B2_12.mp3</v>
      </c>
      <c r="M197" s="13" t="str">
        <f ca="1">IFERROR(__xludf.DUMMYFUNCTION("""COMPUTED_VALUE"""),"H2_B2_VD_12.mp3")</f>
        <v>H2_B2_VD_12.mp3</v>
      </c>
    </row>
    <row r="198" spans="1:13">
      <c r="A198" s="13">
        <f ca="1">IFERROR(__xludf.DUMMYFUNCTION("""COMPUTED_VALUE"""),13)</f>
        <v>13</v>
      </c>
      <c r="B198" s="13"/>
      <c r="C198" s="13" t="str">
        <f ca="1">IFERROR(__xludf.DUMMYFUNCTION("""COMPUTED_VALUE"""),"出")</f>
        <v>出</v>
      </c>
      <c r="D198" s="13" t="str">
        <f ca="1">IFERROR(__xludf.DUMMYFUNCTION("""COMPUTED_VALUE"""),"&lt;ruby&gt;出&lt;rt&gt;chū&lt;/rt&gt;&lt;/ruby&gt;")</f>
        <v>&lt;ruby&gt;出&lt;rt&gt;chū&lt;/rt&gt;&lt;/ruby&gt;</v>
      </c>
      <c r="E198" s="13" t="str">
        <f ca="1">IFERROR(__xludf.DUMMYFUNCTION("""COMPUTED_VALUE"""),"chū")</f>
        <v>chū</v>
      </c>
      <c r="F198" s="13" t="str">
        <f ca="1">IFERROR(__xludf.DUMMYFUNCTION("""COMPUTED_VALUE"""),"Động từ")</f>
        <v>Động từ</v>
      </c>
      <c r="G198" s="13" t="str">
        <f ca="1">IFERROR(__xludf.DUMMYFUNCTION("""COMPUTED_VALUE"""),"ra, ra ngoài")</f>
        <v>ra, ra ngoài</v>
      </c>
      <c r="H198" s="13" t="str">
        <f ca="1">IFERROR(__xludf.DUMMYFUNCTION("""COMPUTED_VALUE""")," 她刚出门，天就下雨了。")</f>
        <v xml:space="preserve"> 她刚出门，天就下雨了。</v>
      </c>
      <c r="I198" s="13" t="str">
        <f ca="1">IFERROR(__xludf.DUMMYFUNCTION("""COMPUTED_VALUE"""),"Tā gāng chūmén, tiān jiù xiàyǔ le.")</f>
        <v>Tā gāng chūmén, tiān jiù xiàyǔ le.</v>
      </c>
      <c r="J198" s="13" t="str">
        <f ca="1">IFERROR(__xludf.DUMMYFUNCTION("""COMPUTED_VALUE"""),"Cô ấy vừa ra ngoài thì trời mưa.")</f>
        <v>Cô ấy vừa ra ngoài thì trời mưa.</v>
      </c>
      <c r="K198" s="13" t="str">
        <f ca="1">IFERROR(__xludf.DUMMYFUNCTION("""COMPUTED_VALUE"""),"H2_B2_BG-13.gif")</f>
        <v>H2_B2_BG-13.gif</v>
      </c>
      <c r="L198" s="13" t="str">
        <f ca="1">IFERROR(__xludf.DUMMYFUNCTION("""COMPUTED_VALUE"""),"H2_B2_13.mp3")</f>
        <v>H2_B2_13.mp3</v>
      </c>
      <c r="M198" s="13" t="str">
        <f ca="1">IFERROR(__xludf.DUMMYFUNCTION("""COMPUTED_VALUE"""),"H2_B2_VD_13.mp3")</f>
        <v>H2_B2_VD_13.mp3</v>
      </c>
    </row>
    <row r="199" spans="1:13">
      <c r="A199" s="13">
        <f ca="1">IFERROR(__xludf.DUMMYFUNCTION("""COMPUTED_VALUE"""),14)</f>
        <v>14</v>
      </c>
      <c r="B199" s="13"/>
      <c r="C199" s="13" t="str">
        <f ca="1">IFERROR(__xludf.DUMMYFUNCTION("""COMPUTED_VALUE"""),"知道")</f>
        <v>知道</v>
      </c>
      <c r="D199" s="13" t="str">
        <f ca="1">IFERROR(__xludf.DUMMYFUNCTION("""COMPUTED_VALUE"""),"&lt;ruby&gt;知道&lt;rt&gt;zhīdào&lt;/rt&gt;&lt;/ruby&gt;")</f>
        <v>&lt;ruby&gt;知道&lt;rt&gt;zhīdào&lt;/rt&gt;&lt;/ruby&gt;</v>
      </c>
      <c r="E199" s="13" t="str">
        <f ca="1">IFERROR(__xludf.DUMMYFUNCTION("""COMPUTED_VALUE"""),"zhīdào")</f>
        <v>zhīdào</v>
      </c>
      <c r="F199" s="13" t="str">
        <f ca="1">IFERROR(__xludf.DUMMYFUNCTION("""COMPUTED_VALUE"""),"Động từ")</f>
        <v>Động từ</v>
      </c>
      <c r="G199" s="13" t="str">
        <f ca="1">IFERROR(__xludf.DUMMYFUNCTION("""COMPUTED_VALUE"""),"biết")</f>
        <v>biết</v>
      </c>
      <c r="H199" s="13" t="str">
        <f ca="1">IFERROR(__xludf.DUMMYFUNCTION("""COMPUTED_VALUE"""),"我不知道她们在说什么。")</f>
        <v>我不知道她们在说什么。</v>
      </c>
      <c r="I199" s="13" t="str">
        <f ca="1">IFERROR(__xludf.DUMMYFUNCTION("""COMPUTED_VALUE"""),"Wǒ bù zhīdào tāmen zài shuō shénme.")</f>
        <v>Wǒ bù zhīdào tāmen zài shuō shénme.</v>
      </c>
      <c r="J199" s="13" t="str">
        <f ca="1">IFERROR(__xludf.DUMMYFUNCTION("""COMPUTED_VALUE"""),"Tôi không biết bọn họ đang nói về cái gì.")</f>
        <v>Tôi không biết bọn họ đang nói về cái gì.</v>
      </c>
      <c r="K199" s="13" t="str">
        <f ca="1">IFERROR(__xludf.DUMMYFUNCTION("""COMPUTED_VALUE"""),"H2_B2_BG-14.gif")</f>
        <v>H2_B2_BG-14.gif</v>
      </c>
      <c r="L199" s="13" t="str">
        <f ca="1">IFERROR(__xludf.DUMMYFUNCTION("""COMPUTED_VALUE"""),"H2_B2_14.mp3")</f>
        <v>H2_B2_14.mp3</v>
      </c>
      <c r="M199" s="13" t="str">
        <f ca="1">IFERROR(__xludf.DUMMYFUNCTION("""COMPUTED_VALUE"""),"H2_B2_VD_14.mp3")</f>
        <v>H2_B2_VD_14.mp3</v>
      </c>
    </row>
    <row r="200" spans="1:13">
      <c r="A200" s="13">
        <f ca="1">IFERROR(__xludf.DUMMYFUNCTION("""COMPUTED_VALUE"""),15)</f>
        <v>15</v>
      </c>
      <c r="B200" s="13"/>
      <c r="C200" s="13" t="str">
        <f ca="1">IFERROR(__xludf.DUMMYFUNCTION("""COMPUTED_VALUE"""),"时间")</f>
        <v>时间</v>
      </c>
      <c r="D200" s="13" t="str">
        <f ca="1">IFERROR(__xludf.DUMMYFUNCTION("""COMPUTED_VALUE"""),"&lt;ruby&gt;时间&lt;rt&gt;shíjiān&lt;/rt&gt;&lt;/ruby&gt;")</f>
        <v>&lt;ruby&gt;时间&lt;rt&gt;shíjiān&lt;/rt&gt;&lt;/ruby&gt;</v>
      </c>
      <c r="E200" s="13" t="str">
        <f ca="1">IFERROR(__xludf.DUMMYFUNCTION("""COMPUTED_VALUE"""),"shíjiān")</f>
        <v>shíjiān</v>
      </c>
      <c r="F200" s="13" t="str">
        <f ca="1">IFERROR(__xludf.DUMMYFUNCTION("""COMPUTED_VALUE"""),"Danh từ")</f>
        <v>Danh từ</v>
      </c>
      <c r="G200" s="13" t="str">
        <f ca="1">IFERROR(__xludf.DUMMYFUNCTION("""COMPUTED_VALUE"""),"thời gian")</f>
        <v>thời gian</v>
      </c>
      <c r="H200" s="13" t="str">
        <f ca="1">IFERROR(__xludf.DUMMYFUNCTION("""COMPUTED_VALUE"""),"你有时间陪我去图书馆吗？")</f>
        <v>你有时间陪我去图书馆吗？</v>
      </c>
      <c r="I200" s="13" t="str">
        <f ca="1">IFERROR(__xludf.DUMMYFUNCTION("""COMPUTED_VALUE"""),"Nǐ yǒu shíjiān péi wǒ qù túshūguǎn ma?")</f>
        <v>Nǐ yǒu shíjiān péi wǒ qù túshūguǎn ma?</v>
      </c>
      <c r="J200" s="13" t="str">
        <f ca="1">IFERROR(__xludf.DUMMYFUNCTION("""COMPUTED_VALUE"""),"Bạn có thời gian để đi thư viện với tôi không?")</f>
        <v>Bạn có thời gian để đi thư viện với tôi không?</v>
      </c>
      <c r="K200" s="13" t="str">
        <f ca="1">IFERROR(__xludf.DUMMYFUNCTION("""COMPUTED_VALUE"""),"H2_B2_BG-15.gif")</f>
        <v>H2_B2_BG-15.gif</v>
      </c>
      <c r="L200" s="13" t="str">
        <f ca="1">IFERROR(__xludf.DUMMYFUNCTION("""COMPUTED_VALUE"""),"H2_B2_15.mp3")</f>
        <v>H2_B2_15.mp3</v>
      </c>
      <c r="M200" s="13" t="str">
        <f ca="1">IFERROR(__xludf.DUMMYFUNCTION("""COMPUTED_VALUE"""),"H2_B2_VD_15.mp3")</f>
        <v>H2_B2_VD_15.mp3</v>
      </c>
    </row>
    <row r="201" spans="1:13">
      <c r="A201" s="13">
        <f ca="1">IFERROR(__xludf.DUMMYFUNCTION("""COMPUTED_VALUE"""),1)</f>
        <v>1</v>
      </c>
      <c r="B201" s="13"/>
      <c r="C201" s="13" t="str">
        <f ca="1">IFERROR(__xludf.DUMMYFUNCTION("""COMPUTED_VALUE"""),"手表")</f>
        <v>手表</v>
      </c>
      <c r="D201" s="13" t="str">
        <f ca="1">IFERROR(__xludf.DUMMYFUNCTION("""COMPUTED_VALUE"""),"&lt;ruby&gt;手表&lt;rt&gt;shǒubiǎo&lt;/rt&gt;&lt;/ruby&gt;")</f>
        <v>&lt;ruby&gt;手表&lt;rt&gt;shǒubiǎo&lt;/rt&gt;&lt;/ruby&gt;</v>
      </c>
      <c r="E201" s="13" t="str">
        <f ca="1">IFERROR(__xludf.DUMMYFUNCTION("""COMPUTED_VALUE"""),"shǒubiǎo")</f>
        <v>shǒubiǎo</v>
      </c>
      <c r="F201" s="13" t="str">
        <f ca="1">IFERROR(__xludf.DUMMYFUNCTION("""COMPUTED_VALUE"""),"Danh từ")</f>
        <v>Danh từ</v>
      </c>
      <c r="G201" s="13" t="str">
        <f ca="1">IFERROR(__xludf.DUMMYFUNCTION("""COMPUTED_VALUE"""),"đồng hồ đeo tay")</f>
        <v>đồng hồ đeo tay</v>
      </c>
      <c r="H201" s="13" t="str">
        <f ca="1">IFERROR(__xludf.DUMMYFUNCTION("""COMPUTED_VALUE"""),"这块手表非常贵。")</f>
        <v>这块手表非常贵。</v>
      </c>
      <c r="I201" s="13" t="str">
        <f ca="1">IFERROR(__xludf.DUMMYFUNCTION("""COMPUTED_VALUE"""),"Zhè kuài shǒubiǎo fēicháng guì.")</f>
        <v>Zhè kuài shǒubiǎo fēicháng guì.</v>
      </c>
      <c r="J201" s="13" t="str">
        <f ca="1">IFERROR(__xludf.DUMMYFUNCTION("""COMPUTED_VALUE"""),"Chiếc đồng hồ này rất đắt.")</f>
        <v>Chiếc đồng hồ này rất đắt.</v>
      </c>
      <c r="K201" s="13" t="str">
        <f ca="1">IFERROR(__xludf.DUMMYFUNCTION("""COMPUTED_VALUE"""),"H2_B3_BG-01.gif")</f>
        <v>H2_B3_BG-01.gif</v>
      </c>
      <c r="L201" s="13" t="str">
        <f ca="1">IFERROR(__xludf.DUMMYFUNCTION("""COMPUTED_VALUE"""),"H2_B3_1.mp3")</f>
        <v>H2_B3_1.mp3</v>
      </c>
      <c r="M201" s="13" t="str">
        <f ca="1">IFERROR(__xludf.DUMMYFUNCTION("""COMPUTED_VALUE"""),"H2_B3_VD_1.mp3")</f>
        <v>H2_B3_VD_1.mp3</v>
      </c>
    </row>
    <row r="202" spans="1:13">
      <c r="A202" s="13">
        <f ca="1">IFERROR(__xludf.DUMMYFUNCTION("""COMPUTED_VALUE"""),2)</f>
        <v>2</v>
      </c>
      <c r="B202" s="13"/>
      <c r="C202" s="13" t="str">
        <f ca="1">IFERROR(__xludf.DUMMYFUNCTION("""COMPUTED_VALUE"""),"报纸")</f>
        <v>报纸</v>
      </c>
      <c r="D202" s="13" t="str">
        <f ca="1">IFERROR(__xludf.DUMMYFUNCTION("""COMPUTED_VALUE"""),"&lt;ruby&gt;报纸&lt;rt&gt;bàozhǐ&lt;/rt&gt;&lt;/ruby&gt;")</f>
        <v>&lt;ruby&gt;报纸&lt;rt&gt;bàozhǐ&lt;/rt&gt;&lt;/ruby&gt;</v>
      </c>
      <c r="E202" s="13" t="str">
        <f ca="1">IFERROR(__xludf.DUMMYFUNCTION("""COMPUTED_VALUE"""),"bàozhǐ")</f>
        <v>bàozhǐ</v>
      </c>
      <c r="F202" s="13" t="str">
        <f ca="1">IFERROR(__xludf.DUMMYFUNCTION("""COMPUTED_VALUE"""),"Danh từ")</f>
        <v>Danh từ</v>
      </c>
      <c r="G202" s="13" t="str">
        <f ca="1">IFERROR(__xludf.DUMMYFUNCTION("""COMPUTED_VALUE"""),"báo")</f>
        <v>báo</v>
      </c>
      <c r="H202" s="13" t="str">
        <f ca="1">IFERROR(__xludf.DUMMYFUNCTION("""COMPUTED_VALUE"""),"我刚买了今天早上的报纸。")</f>
        <v>我刚买了今天早上的报纸。</v>
      </c>
      <c r="I202" s="13" t="str">
        <f ca="1">IFERROR(__xludf.DUMMYFUNCTION("""COMPUTED_VALUE"""),"Wǒ gāng mǎi le jīntiān zǎoshang de bàozhǐ.")</f>
        <v>Wǒ gāng mǎi le jīntiān zǎoshang de bàozhǐ.</v>
      </c>
      <c r="J202" s="13" t="str">
        <f ca="1">IFERROR(__xludf.DUMMYFUNCTION("""COMPUTED_VALUE"""),"Tôi vừa mua tờ báo sáng nay.")</f>
        <v>Tôi vừa mua tờ báo sáng nay.</v>
      </c>
      <c r="K202" s="13" t="str">
        <f ca="1">IFERROR(__xludf.DUMMYFUNCTION("""COMPUTED_VALUE"""),"H2_B3_BG-02.gif")</f>
        <v>H2_B3_BG-02.gif</v>
      </c>
      <c r="L202" s="13" t="str">
        <f ca="1">IFERROR(__xludf.DUMMYFUNCTION("""COMPUTED_VALUE"""),"H2_B3_2.mp3")</f>
        <v>H2_B3_2.mp3</v>
      </c>
      <c r="M202" s="13" t="str">
        <f ca="1">IFERROR(__xludf.DUMMYFUNCTION("""COMPUTED_VALUE"""),"H2_B3_VD_2.mp3")</f>
        <v>H2_B3_VD_2.mp3</v>
      </c>
    </row>
    <row r="203" spans="1:13">
      <c r="A203" s="13">
        <f ca="1">IFERROR(__xludf.DUMMYFUNCTION("""COMPUTED_VALUE"""),3)</f>
        <v>3</v>
      </c>
      <c r="B203" s="13"/>
      <c r="C203" s="13" t="str">
        <f ca="1">IFERROR(__xludf.DUMMYFUNCTION("""COMPUTED_VALUE"""),"一下")</f>
        <v>一下</v>
      </c>
      <c r="D203" s="13" t="str">
        <f ca="1">IFERROR(__xludf.DUMMYFUNCTION("""COMPUTED_VALUE"""),"&lt;ruby&gt;一下&lt;rt&gt;yíxià&lt;/rt&gt;&lt;/ruby&gt;")</f>
        <v>&lt;ruby&gt;一下&lt;rt&gt;yíxià&lt;/rt&gt;&lt;/ruby&gt;</v>
      </c>
      <c r="E203" s="13" t="str">
        <f ca="1">IFERROR(__xludf.DUMMYFUNCTION("""COMPUTED_VALUE"""),"yíxià")</f>
        <v>yíxià</v>
      </c>
      <c r="F203" s="13" t="str">
        <f ca="1">IFERROR(__xludf.DUMMYFUNCTION("""COMPUTED_VALUE"""),"Số lượng")</f>
        <v>Số lượng</v>
      </c>
      <c r="G203" s="13" t="str">
        <f ca="1">IFERROR(__xludf.DUMMYFUNCTION("""COMPUTED_VALUE"""),"được dùng sau động từ để diễn tả rằng người nào đó thực hiện việc gì trong thời gian ngắn/thử làm việc gì")</f>
        <v>được dùng sau động từ để diễn tả rằng người nào đó thực hiện việc gì trong thời gian ngắn/thử làm việc gì</v>
      </c>
      <c r="H203" s="13" t="str">
        <f ca="1">IFERROR(__xludf.DUMMYFUNCTION("""COMPUTED_VALUE"""),"我想尝一下这个菜。")</f>
        <v>我想尝一下这个菜。</v>
      </c>
      <c r="I203" s="13" t="str">
        <f ca="1">IFERROR(__xludf.DUMMYFUNCTION("""COMPUTED_VALUE"""),"Wǒ xiǎng cháng yíxià zhège cài.")</f>
        <v>Wǒ xiǎng cháng yíxià zhège cài.</v>
      </c>
      <c r="J203" s="13" t="str">
        <f ca="1">IFERROR(__xludf.DUMMYFUNCTION("""COMPUTED_VALUE"""),"Tôi muốn thử món này một chút.")</f>
        <v>Tôi muốn thử món này một chút.</v>
      </c>
      <c r="K203" s="13" t="str">
        <f ca="1">IFERROR(__xludf.DUMMYFUNCTION("""COMPUTED_VALUE"""),"H2_B3_BG-03.gif")</f>
        <v>H2_B3_BG-03.gif</v>
      </c>
      <c r="L203" s="13" t="str">
        <f ca="1">IFERROR(__xludf.DUMMYFUNCTION("""COMPUTED_VALUE"""),"H2_B3_3.mp3")</f>
        <v>H2_B3_3.mp3</v>
      </c>
      <c r="M203" s="13" t="str">
        <f ca="1">IFERROR(__xludf.DUMMYFUNCTION("""COMPUTED_VALUE"""),"H2_B3_VD_3.mp3")</f>
        <v>H2_B3_VD_3.mp3</v>
      </c>
    </row>
    <row r="204" spans="1:13">
      <c r="A204" s="13">
        <f ca="1">IFERROR(__xludf.DUMMYFUNCTION("""COMPUTED_VALUE"""),4)</f>
        <v>4</v>
      </c>
      <c r="B204" s="13"/>
      <c r="C204" s="13" t="str">
        <f ca="1">IFERROR(__xludf.DUMMYFUNCTION("""COMPUTED_VALUE"""),"牛奶")</f>
        <v>牛奶</v>
      </c>
      <c r="D204" s="13" t="str">
        <f ca="1">IFERROR(__xludf.DUMMYFUNCTION("""COMPUTED_VALUE"""),"&lt;ruby&gt;牛奶&lt;rt&gt;niúnǎi&lt;/rt&gt;&lt;/ruby&gt;")</f>
        <v>&lt;ruby&gt;牛奶&lt;rt&gt;niúnǎi&lt;/rt&gt;&lt;/ruby&gt;</v>
      </c>
      <c r="E204" s="13" t="str">
        <f ca="1">IFERROR(__xludf.DUMMYFUNCTION("""COMPUTED_VALUE"""),"niúnǎi")</f>
        <v>niúnǎi</v>
      </c>
      <c r="F204" s="13" t="str">
        <f ca="1">IFERROR(__xludf.DUMMYFUNCTION("""COMPUTED_VALUE"""),"Danh từ")</f>
        <v>Danh từ</v>
      </c>
      <c r="G204" s="13" t="str">
        <f ca="1">IFERROR(__xludf.DUMMYFUNCTION("""COMPUTED_VALUE"""),"sữa bò")</f>
        <v>sữa bò</v>
      </c>
      <c r="H204" s="13" t="str">
        <f ca="1">IFERROR(__xludf.DUMMYFUNCTION("""COMPUTED_VALUE"""),"我每天早上都会喝牛奶。")</f>
        <v>我每天早上都会喝牛奶。</v>
      </c>
      <c r="I204" s="13" t="str">
        <f ca="1">IFERROR(__xludf.DUMMYFUNCTION("""COMPUTED_VALUE"""),"Wǒ měitiān zǎoshang dōu huì hē niúnǎi.")</f>
        <v>Wǒ měitiān zǎoshang dōu huì hē niúnǎi.</v>
      </c>
      <c r="J204" s="13" t="str">
        <f ca="1">IFERROR(__xludf.DUMMYFUNCTION("""COMPUTED_VALUE"""),"Tôi thường uống sữa vào mỗi sáng.")</f>
        <v>Tôi thường uống sữa vào mỗi sáng.</v>
      </c>
      <c r="K204" s="13" t="str">
        <f ca="1">IFERROR(__xludf.DUMMYFUNCTION("""COMPUTED_VALUE"""),"H2_B3_BG-04.gif")</f>
        <v>H2_B3_BG-04.gif</v>
      </c>
      <c r="L204" s="13" t="str">
        <f ca="1">IFERROR(__xludf.DUMMYFUNCTION("""COMPUTED_VALUE"""),"H2_B3_4.mp3")</f>
        <v>H2_B3_4.mp3</v>
      </c>
      <c r="M204" s="13" t="str">
        <f ca="1">IFERROR(__xludf.DUMMYFUNCTION("""COMPUTED_VALUE"""),"H2_B3_VD_4.mp3")</f>
        <v>H2_B3_VD_4.mp3</v>
      </c>
    </row>
    <row r="205" spans="1:13">
      <c r="A205" s="13">
        <f ca="1">IFERROR(__xludf.DUMMYFUNCTION("""COMPUTED_VALUE"""),5)</f>
        <v>5</v>
      </c>
      <c r="B205" s="13"/>
      <c r="C205" s="13" t="str">
        <f ca="1">IFERROR(__xludf.DUMMYFUNCTION("""COMPUTED_VALUE"""),"粉色")</f>
        <v>粉色</v>
      </c>
      <c r="D205" s="13" t="str">
        <f ca="1">IFERROR(__xludf.DUMMYFUNCTION("""COMPUTED_VALUE"""),"&lt;ruby&gt;粉色&lt;rt&gt;fěnsè&lt;/rt&gt;&lt;/ruby&gt;")</f>
        <v>&lt;ruby&gt;粉色&lt;rt&gt;fěnsè&lt;/rt&gt;&lt;/ruby&gt;</v>
      </c>
      <c r="E205" s="13" t="str">
        <f ca="1">IFERROR(__xludf.DUMMYFUNCTION("""COMPUTED_VALUE"""),"fěnsè")</f>
        <v>fěnsè</v>
      </c>
      <c r="F205" s="13" t="str">
        <f ca="1">IFERROR(__xludf.DUMMYFUNCTION("""COMPUTED_VALUE"""),"Danh từ")</f>
        <v>Danh từ</v>
      </c>
      <c r="G205" s="13" t="str">
        <f ca="1">IFERROR(__xludf.DUMMYFUNCTION("""COMPUTED_VALUE"""),"màu hồng")</f>
        <v>màu hồng</v>
      </c>
      <c r="H205" s="13" t="str">
        <f ca="1">IFERROR(__xludf.DUMMYFUNCTION("""COMPUTED_VALUE"""),"我打算送给她这件粉色的衣服。")</f>
        <v>我打算送给她这件粉色的衣服。</v>
      </c>
      <c r="I205" s="13" t="str">
        <f ca="1">IFERROR(__xludf.DUMMYFUNCTION("""COMPUTED_VALUE"""),"Wǒ dǎsuàn sòng gěi tā zhè jiàn fěnsè de yīfu.")</f>
        <v>Wǒ dǎsuàn sòng gěi tā zhè jiàn fěnsè de yīfu.</v>
      </c>
      <c r="J205" s="13" t="str">
        <f ca="1">IFERROR(__xludf.DUMMYFUNCTION("""COMPUTED_VALUE"""),"Tôi định tặng cho cô ấy chiếc áo màu hồng này.")</f>
        <v>Tôi định tặng cho cô ấy chiếc áo màu hồng này.</v>
      </c>
      <c r="K205" s="13" t="str">
        <f ca="1">IFERROR(__xludf.DUMMYFUNCTION("""COMPUTED_VALUE"""),"H2_B3_BG-05.gif")</f>
        <v>H2_B3_BG-05.gif</v>
      </c>
      <c r="L205" s="13" t="str">
        <f ca="1">IFERROR(__xludf.DUMMYFUNCTION("""COMPUTED_VALUE"""),"H2_B3_5.mp3")</f>
        <v>H2_B3_5.mp3</v>
      </c>
      <c r="M205" s="13" t="str">
        <f ca="1">IFERROR(__xludf.DUMMYFUNCTION("""COMPUTED_VALUE"""),"H2_B3_VD_5.mp3")</f>
        <v>H2_B3_VD_5.mp3</v>
      </c>
    </row>
    <row r="206" spans="1:13">
      <c r="A206" s="13">
        <f ca="1">IFERROR(__xludf.DUMMYFUNCTION("""COMPUTED_VALUE"""),6)</f>
        <v>6</v>
      </c>
      <c r="B206" s="13"/>
      <c r="C206" s="13" t="str">
        <f ca="1">IFERROR(__xludf.DUMMYFUNCTION("""COMPUTED_VALUE"""),"粉")</f>
        <v>粉</v>
      </c>
      <c r="D206" s="13" t="str">
        <f ca="1">IFERROR(__xludf.DUMMYFUNCTION("""COMPUTED_VALUE"""),"&lt;ruby&gt;粉&lt;rt&gt;fěn&lt;/rt&gt;&lt;/ruby&gt;")</f>
        <v>&lt;ruby&gt;粉&lt;rt&gt;fěn&lt;/rt&gt;&lt;/ruby&gt;</v>
      </c>
      <c r="E206" s="13" t="str">
        <f ca="1">IFERROR(__xludf.DUMMYFUNCTION("""COMPUTED_VALUE"""),"fěn")</f>
        <v>fěn</v>
      </c>
      <c r="F206" s="13" t="str">
        <f ca="1">IFERROR(__xludf.DUMMYFUNCTION("""COMPUTED_VALUE"""),"Tính từ")</f>
        <v>Tính từ</v>
      </c>
      <c r="G206" s="13" t="str">
        <f ca="1">IFERROR(__xludf.DUMMYFUNCTION("""COMPUTED_VALUE"""),"có màu hồng")</f>
        <v>có màu hồng</v>
      </c>
      <c r="H206" s="13" t="str">
        <f ca="1">IFERROR(__xludf.DUMMYFUNCTION("""COMPUTED_VALUE"""),"那片粉红色的云真的很漂亮。")</f>
        <v>那片粉红色的云真的很漂亮。</v>
      </c>
      <c r="I206" s="13" t="str">
        <f ca="1">IFERROR(__xludf.DUMMYFUNCTION("""COMPUTED_VALUE"""),"Nà piàn fěnhóngsè de yún zhēn de hěn piàoliang.")</f>
        <v>Nà piàn fěnhóngsè de yún zhēn de hěn piàoliang.</v>
      </c>
      <c r="J206" s="13" t="str">
        <f ca="1">IFERROR(__xludf.DUMMYFUNCTION("""COMPUTED_VALUE"""),"Đám mây hồng phấn đó thật đẹp.")</f>
        <v>Đám mây hồng phấn đó thật đẹp.</v>
      </c>
      <c r="K206" s="13" t="str">
        <f ca="1">IFERROR(__xludf.DUMMYFUNCTION("""COMPUTED_VALUE"""),"H2_B3_BG-06.gif")</f>
        <v>H2_B3_BG-06.gif</v>
      </c>
      <c r="L206" s="13" t="str">
        <f ca="1">IFERROR(__xludf.DUMMYFUNCTION("""COMPUTED_VALUE"""),"H2_B3_6.mp3")</f>
        <v>H2_B3_6.mp3</v>
      </c>
      <c r="M206" s="13" t="str">
        <f ca="1">IFERROR(__xludf.DUMMYFUNCTION("""COMPUTED_VALUE"""),"H2_B3_VD_6.mp3")</f>
        <v>H2_B3_VD_6.mp3</v>
      </c>
    </row>
    <row r="207" spans="1:13">
      <c r="A207" s="13">
        <f ca="1">IFERROR(__xludf.DUMMYFUNCTION("""COMPUTED_VALUE"""),7)</f>
        <v>7</v>
      </c>
      <c r="B207" s="13"/>
      <c r="C207" s="13" t="str">
        <f ca="1">IFERROR(__xludf.DUMMYFUNCTION("""COMPUTED_VALUE"""),"颜色")</f>
        <v>颜色</v>
      </c>
      <c r="D207" s="13" t="str">
        <f ca="1">IFERROR(__xludf.DUMMYFUNCTION("""COMPUTED_VALUE"""),"&lt;ruby&gt;颜色&lt;rt&gt;yánsè&lt;/rt&gt;&lt;/ruby&gt;")</f>
        <v>&lt;ruby&gt;颜色&lt;rt&gt;yánsè&lt;/rt&gt;&lt;/ruby&gt;</v>
      </c>
      <c r="E207" s="13" t="str">
        <f ca="1">IFERROR(__xludf.DUMMYFUNCTION("""COMPUTED_VALUE"""),"yánsè")</f>
        <v>yánsè</v>
      </c>
      <c r="F207" s="13" t="str">
        <f ca="1">IFERROR(__xludf.DUMMYFUNCTION("""COMPUTED_VALUE"""),"Danh từ")</f>
        <v>Danh từ</v>
      </c>
      <c r="G207" s="13" t="str">
        <f ca="1">IFERROR(__xludf.DUMMYFUNCTION("""COMPUTED_VALUE"""),"màu, màu sắc")</f>
        <v>màu, màu sắc</v>
      </c>
      <c r="H207" s="13" t="str">
        <f ca="1">IFERROR(__xludf.DUMMYFUNCTION("""COMPUTED_VALUE"""),"那些灯笼有很多不同的颜色。")</f>
        <v>那些灯笼有很多不同的颜色。</v>
      </c>
      <c r="I207" s="13" t="str">
        <f ca="1">IFERROR(__xludf.DUMMYFUNCTION("""COMPUTED_VALUE"""),"Nàxiē dēnglóng yǒu hěn duō bùtóng de yánsè.")</f>
        <v>Nàxiē dēnglóng yǒu hěn duō bùtóng de yánsè.</v>
      </c>
      <c r="J207" s="13" t="str">
        <f ca="1">IFERROR(__xludf.DUMMYFUNCTION("""COMPUTED_VALUE"""),"Những cái đèn lồng đó có nhiều màu sắc khác nhau.")</f>
        <v>Những cái đèn lồng đó có nhiều màu sắc khác nhau.</v>
      </c>
      <c r="K207" s="13" t="str">
        <f ca="1">IFERROR(__xludf.DUMMYFUNCTION("""COMPUTED_VALUE"""),"H2_B3_BG-07.gif")</f>
        <v>H2_B3_BG-07.gif</v>
      </c>
      <c r="L207" s="13" t="str">
        <f ca="1">IFERROR(__xludf.DUMMYFUNCTION("""COMPUTED_VALUE"""),"H2_B3_7.mp3")</f>
        <v>H2_B3_7.mp3</v>
      </c>
      <c r="M207" s="13" t="str">
        <f ca="1">IFERROR(__xludf.DUMMYFUNCTION("""COMPUTED_VALUE"""),"H2_B3_VD_7.mp3")</f>
        <v>H2_B3_VD_7.mp3</v>
      </c>
    </row>
    <row r="208" spans="1:13">
      <c r="A208" s="13">
        <f ca="1">IFERROR(__xludf.DUMMYFUNCTION("""COMPUTED_VALUE"""),8)</f>
        <v>8</v>
      </c>
      <c r="B208" s="13"/>
      <c r="C208" s="13" t="str">
        <f ca="1">IFERROR(__xludf.DUMMYFUNCTION("""COMPUTED_VALUE"""),"红色")</f>
        <v>红色</v>
      </c>
      <c r="D208" s="13" t="str">
        <f ca="1">IFERROR(__xludf.DUMMYFUNCTION("""COMPUTED_VALUE"""),"&lt;ruby&gt;红色&lt;rt&gt;hóngsè&lt;/rt&gt;&lt;/ruby&gt;")</f>
        <v>&lt;ruby&gt;红色&lt;rt&gt;hóngsè&lt;/rt&gt;&lt;/ruby&gt;</v>
      </c>
      <c r="E208" s="13" t="str">
        <f ca="1">IFERROR(__xludf.DUMMYFUNCTION("""COMPUTED_VALUE"""),"hóngsè")</f>
        <v>hóngsè</v>
      </c>
      <c r="F208" s="13" t="str">
        <f ca="1">IFERROR(__xludf.DUMMYFUNCTION("""COMPUTED_VALUE"""),"Danh từ")</f>
        <v>Danh từ</v>
      </c>
      <c r="G208" s="13" t="str">
        <f ca="1">IFERROR(__xludf.DUMMYFUNCTION("""COMPUTED_VALUE"""),"màu đỏ")</f>
        <v>màu đỏ</v>
      </c>
      <c r="H208" s="13" t="str">
        <f ca="1">IFERROR(__xludf.DUMMYFUNCTION("""COMPUTED_VALUE"""),"这朵花是鲜艳的红色。")</f>
        <v>这朵花是鲜艳的红色。</v>
      </c>
      <c r="I208" s="13" t="str">
        <f ca="1">IFERROR(__xludf.DUMMYFUNCTION("""COMPUTED_VALUE"""),"Zhè duǒ huā shì xiānyàn de hóngsè.")</f>
        <v>Zhè duǒ huā shì xiānyàn de hóngsè.</v>
      </c>
      <c r="J208" s="13" t="str">
        <f ca="1">IFERROR(__xludf.DUMMYFUNCTION("""COMPUTED_VALUE"""),"Đóa hoa này có màu đỏ rực.")</f>
        <v>Đóa hoa này có màu đỏ rực.</v>
      </c>
      <c r="K208" s="13" t="str">
        <f ca="1">IFERROR(__xludf.DUMMYFUNCTION("""COMPUTED_VALUE"""),"H2_B3_BG-08.gif")</f>
        <v>H2_B3_BG-08.gif</v>
      </c>
      <c r="L208" s="13" t="str">
        <f ca="1">IFERROR(__xludf.DUMMYFUNCTION("""COMPUTED_VALUE"""),"H2_B3_8.mp3")</f>
        <v>H2_B3_8.mp3</v>
      </c>
      <c r="M208" s="13" t="str">
        <f ca="1">IFERROR(__xludf.DUMMYFUNCTION("""COMPUTED_VALUE"""),"H2_B3_VD_8.mp3")</f>
        <v>H2_B3_VD_8.mp3</v>
      </c>
    </row>
    <row r="209" spans="1:13">
      <c r="A209" s="13">
        <f ca="1">IFERROR(__xludf.DUMMYFUNCTION("""COMPUTED_VALUE"""),9)</f>
        <v>9</v>
      </c>
      <c r="B209" s="13"/>
      <c r="C209" s="13" t="str">
        <f ca="1">IFERROR(__xludf.DUMMYFUNCTION("""COMPUTED_VALUE"""),"红")</f>
        <v>红</v>
      </c>
      <c r="D209" s="13" t="str">
        <f ca="1">IFERROR(__xludf.DUMMYFUNCTION("""COMPUTED_VALUE"""),"&lt;ruby&gt;红&lt;rt&gt;hóng&lt;/rt&gt;&lt;/ruby&gt;")</f>
        <v>&lt;ruby&gt;红&lt;rt&gt;hóng&lt;/rt&gt;&lt;/ruby&gt;</v>
      </c>
      <c r="E209" s="13" t="str">
        <f ca="1">IFERROR(__xludf.DUMMYFUNCTION("""COMPUTED_VALUE"""),"hóng")</f>
        <v>hóng</v>
      </c>
      <c r="F209" s="13" t="str">
        <f ca="1">IFERROR(__xludf.DUMMYFUNCTION("""COMPUTED_VALUE"""),"Tính từ")</f>
        <v>Tính từ</v>
      </c>
      <c r="G209" s="13" t="str">
        <f ca="1">IFERROR(__xludf.DUMMYFUNCTION("""COMPUTED_VALUE"""),"có màu đỏ")</f>
        <v>có màu đỏ</v>
      </c>
      <c r="H209" s="13" t="str">
        <f ca="1">IFERROR(__xludf.DUMMYFUNCTION("""COMPUTED_VALUE"""),"红色的水果可以增强免疫力")</f>
        <v>红色的水果可以增强免疫力</v>
      </c>
      <c r="I209" s="13" t="str">
        <f ca="1">IFERROR(__xludf.DUMMYFUNCTION("""COMPUTED_VALUE"""),"Hóngsè de shuǐguǒ kěyǐ zēngqiáng miǎnyìlì.")</f>
        <v>Hóngsè de shuǐguǒ kěyǐ zēngqiáng miǎnyìlì.</v>
      </c>
      <c r="J209" s="13" t="str">
        <f ca="1">IFERROR(__xludf.DUMMYFUNCTION("""COMPUTED_VALUE"""),"Những loại trái cây màu đỏ giúp tăng cường miễn dịch.")</f>
        <v>Những loại trái cây màu đỏ giúp tăng cường miễn dịch.</v>
      </c>
      <c r="K209" s="13" t="str">
        <f ca="1">IFERROR(__xludf.DUMMYFUNCTION("""COMPUTED_VALUE"""),"H2_B3_BG-09.gif")</f>
        <v>H2_B3_BG-09.gif</v>
      </c>
      <c r="L209" s="13" t="str">
        <f ca="1">IFERROR(__xludf.DUMMYFUNCTION("""COMPUTED_VALUE"""),"H2_B3_9.mp3")</f>
        <v>H2_B3_9.mp3</v>
      </c>
      <c r="M209" s="13" t="str">
        <f ca="1">IFERROR(__xludf.DUMMYFUNCTION("""COMPUTED_VALUE"""),"H2_B3_VD_9.mp3")</f>
        <v>H2_B3_VD_9.mp3</v>
      </c>
    </row>
    <row r="210" spans="1:13">
      <c r="A210" s="13">
        <f ca="1">IFERROR(__xludf.DUMMYFUNCTION("""COMPUTED_VALUE"""),10)</f>
        <v>10</v>
      </c>
      <c r="B210" s="13"/>
      <c r="C210" s="13" t="str">
        <f ca="1">IFERROR(__xludf.DUMMYFUNCTION("""COMPUTED_VALUE"""),"千")</f>
        <v>千</v>
      </c>
      <c r="D210" s="13" t="str">
        <f ca="1">IFERROR(__xludf.DUMMYFUNCTION("""COMPUTED_VALUE"""),"&lt;ruby&gt;千&lt;rt&gt;qiān&lt;/rt&gt;&lt;/ruby&gt;")</f>
        <v>&lt;ruby&gt;千&lt;rt&gt;qiān&lt;/rt&gt;&lt;/ruby&gt;</v>
      </c>
      <c r="E210" s="13" t="str">
        <f ca="1">IFERROR(__xludf.DUMMYFUNCTION("""COMPUTED_VALUE"""),"qiān")</f>
        <v>qiān</v>
      </c>
      <c r="F210" s="13" t="str">
        <f ca="1">IFERROR(__xludf.DUMMYFUNCTION("""COMPUTED_VALUE"""),"Số từ")</f>
        <v>Số từ</v>
      </c>
      <c r="G210" s="13" t="str">
        <f ca="1">IFERROR(__xludf.DUMMYFUNCTION("""COMPUTED_VALUE"""),"nghìn")</f>
        <v>nghìn</v>
      </c>
      <c r="H210" s="13" t="str">
        <f ca="1">IFERROR(__xludf.DUMMYFUNCTION("""COMPUTED_VALUE"""),"这块手表的价格是一千元。")</f>
        <v>这块手表的价格是一千元。</v>
      </c>
      <c r="I210" s="13" t="str">
        <f ca="1">IFERROR(__xludf.DUMMYFUNCTION("""COMPUTED_VALUE"""),"Zhè kuài shǒubiǎo de jiàgé shì yìqiān yuán.")</f>
        <v>Zhè kuài shǒubiǎo de jiàgé shì yìqiān yuán.</v>
      </c>
      <c r="J210" s="13" t="str">
        <f ca="1">IFERROR(__xludf.DUMMYFUNCTION("""COMPUTED_VALUE"""),"Chiếc đồng hồ này có giá 1 nghìn tệ.")</f>
        <v>Chiếc đồng hồ này có giá 1 nghìn tệ.</v>
      </c>
      <c r="K210" s="13" t="str">
        <f ca="1">IFERROR(__xludf.DUMMYFUNCTION("""COMPUTED_VALUE"""),"H2_B3_BG-10.gif")</f>
        <v>H2_B3_BG-10.gif</v>
      </c>
      <c r="L210" s="13" t="str">
        <f ca="1">IFERROR(__xludf.DUMMYFUNCTION("""COMPUTED_VALUE"""),"H2_B3_10.mp3")</f>
        <v>H2_B3_10.mp3</v>
      </c>
      <c r="M210" s="13" t="str">
        <f ca="1">IFERROR(__xludf.DUMMYFUNCTION("""COMPUTED_VALUE"""),"H2_B3_VD_10.mp3")</f>
        <v>H2_B3_VD_10.mp3</v>
      </c>
    </row>
    <row r="211" spans="1:13">
      <c r="A211" s="13">
        <f ca="1">IFERROR(__xludf.DUMMYFUNCTION("""COMPUTED_VALUE"""),11)</f>
        <v>11</v>
      </c>
      <c r="B211" s="13"/>
      <c r="C211" s="13" t="str">
        <f ca="1">IFERROR(__xludf.DUMMYFUNCTION("""COMPUTED_VALUE"""),"送")</f>
        <v>送</v>
      </c>
      <c r="D211" s="13" t="str">
        <f ca="1">IFERROR(__xludf.DUMMYFUNCTION("""COMPUTED_VALUE"""),"&lt;ruby&gt;送&lt;rt&gt;sòng&lt;/rt&gt;&lt;/ruby&gt;")</f>
        <v>&lt;ruby&gt;送&lt;rt&gt;sòng&lt;/rt&gt;&lt;/ruby&gt;</v>
      </c>
      <c r="E211" s="13" t="str">
        <f ca="1">IFERROR(__xludf.DUMMYFUNCTION("""COMPUTED_VALUE"""),"sòng")</f>
        <v>sòng</v>
      </c>
      <c r="F211" s="13" t="str">
        <f ca="1">IFERROR(__xludf.DUMMYFUNCTION("""COMPUTED_VALUE"""),"Động từ")</f>
        <v>Động từ</v>
      </c>
      <c r="G211" s="13" t="str">
        <f ca="1">IFERROR(__xludf.DUMMYFUNCTION("""COMPUTED_VALUE"""),"giao, đưa")</f>
        <v>giao, đưa</v>
      </c>
      <c r="H211" s="13" t="str">
        <f ca="1">IFERROR(__xludf.DUMMYFUNCTION("""COMPUTED_VALUE"""),"他们都是送快递的人员。")</f>
        <v>他们都是送快递的人员。</v>
      </c>
      <c r="I211" s="13" t="str">
        <f ca="1">IFERROR(__xludf.DUMMYFUNCTION("""COMPUTED_VALUE"""),"Tāmen dōu shì sòng kuàidì de rényuán.")</f>
        <v>Tāmen dōu shì sòng kuàidì de rényuán.</v>
      </c>
      <c r="J211" s="13" t="str">
        <f ca="1">IFERROR(__xludf.DUMMYFUNCTION("""COMPUTED_VALUE"""),"Họ đều là nhân viên giao hàng.")</f>
        <v>Họ đều là nhân viên giao hàng.</v>
      </c>
      <c r="K211" s="13" t="str">
        <f ca="1">IFERROR(__xludf.DUMMYFUNCTION("""COMPUTED_VALUE"""),"H2_B3_BG-11.gif")</f>
        <v>H2_B3_BG-11.gif</v>
      </c>
      <c r="L211" s="13" t="str">
        <f ca="1">IFERROR(__xludf.DUMMYFUNCTION("""COMPUTED_VALUE"""),"H2_B3_11.mp3")</f>
        <v>H2_B3_11.mp3</v>
      </c>
      <c r="M211" s="13" t="str">
        <f ca="1">IFERROR(__xludf.DUMMYFUNCTION("""COMPUTED_VALUE"""),"H2_B3_VD_11.mp3")</f>
        <v>H2_B3_VD_11.mp3</v>
      </c>
    </row>
    <row r="212" spans="1:13">
      <c r="A212" s="13">
        <f ca="1">IFERROR(__xludf.DUMMYFUNCTION("""COMPUTED_VALUE"""),12)</f>
        <v>12</v>
      </c>
      <c r="B212" s="13"/>
      <c r="C212" s="13" t="str">
        <f ca="1">IFERROR(__xludf.DUMMYFUNCTION("""COMPUTED_VALUE"""),"房间")</f>
        <v>房间</v>
      </c>
      <c r="D212" s="13" t="str">
        <f ca="1">IFERROR(__xludf.DUMMYFUNCTION("""COMPUTED_VALUE"""),"&lt;ruby&gt;房间&lt;rt&gt;fángjiān&lt;/rt&gt;&lt;/ruby&gt;")</f>
        <v>&lt;ruby&gt;房间&lt;rt&gt;fángjiān&lt;/rt&gt;&lt;/ruby&gt;</v>
      </c>
      <c r="E212" s="13" t="str">
        <f ca="1">IFERROR(__xludf.DUMMYFUNCTION("""COMPUTED_VALUE"""),"fángjiān")</f>
        <v>fángjiān</v>
      </c>
      <c r="F212" s="13" t="str">
        <f ca="1">IFERROR(__xludf.DUMMYFUNCTION("""COMPUTED_VALUE"""),"Danh từ")</f>
        <v>Danh từ</v>
      </c>
      <c r="G212" s="13" t="str">
        <f ca="1">IFERROR(__xludf.DUMMYFUNCTION("""COMPUTED_VALUE"""),"phòng")</f>
        <v>phòng</v>
      </c>
      <c r="H212" s="13" t="str">
        <f ca="1">IFERROR(__xludf.DUMMYFUNCTION("""COMPUTED_VALUE"""),"这个房间非常整洁。")</f>
        <v>这个房间非常整洁。</v>
      </c>
      <c r="I212" s="13" t="str">
        <f ca="1">IFERROR(__xludf.DUMMYFUNCTION("""COMPUTED_VALUE"""),"Zhège fángjiān fēicháng zhěngjié.")</f>
        <v>Zhège fángjiān fēicháng zhěngjié.</v>
      </c>
      <c r="J212" s="13" t="str">
        <f ca="1">IFERROR(__xludf.DUMMYFUNCTION("""COMPUTED_VALUE"""),"Căn phòng này rất ngăn nắp.")</f>
        <v>Căn phòng này rất ngăn nắp.</v>
      </c>
      <c r="K212" s="13" t="str">
        <f ca="1">IFERROR(__xludf.DUMMYFUNCTION("""COMPUTED_VALUE"""),"H2_B3_BG-12.gif")</f>
        <v>H2_B3_BG-12.gif</v>
      </c>
      <c r="L212" s="13" t="str">
        <f ca="1">IFERROR(__xludf.DUMMYFUNCTION("""COMPUTED_VALUE"""),"H2_B3_12.mp3")</f>
        <v>H2_B3_12.mp3</v>
      </c>
      <c r="M212" s="13" t="str">
        <f ca="1">IFERROR(__xludf.DUMMYFUNCTION("""COMPUTED_VALUE"""),"H2_B3_VD_12.mp3")</f>
        <v>H2_B3_VD_12.mp3</v>
      </c>
    </row>
    <row r="213" spans="1:13">
      <c r="A213" s="13">
        <f ca="1">IFERROR(__xludf.DUMMYFUNCTION("""COMPUTED_VALUE"""),13)</f>
        <v>13</v>
      </c>
      <c r="B213" s="13"/>
      <c r="C213" s="13" t="str">
        <f ca="1">IFERROR(__xludf.DUMMYFUNCTION("""COMPUTED_VALUE"""),"丈夫")</f>
        <v>丈夫</v>
      </c>
      <c r="D213" s="13" t="str">
        <f ca="1">IFERROR(__xludf.DUMMYFUNCTION("""COMPUTED_VALUE"""),"&lt;ruby&gt;丈夫&lt;rt&gt;zhàngfu&lt;/rt&gt;&lt;/ruby&gt;")</f>
        <v>&lt;ruby&gt;丈夫&lt;rt&gt;zhàngfu&lt;/rt&gt;&lt;/ruby&gt;</v>
      </c>
      <c r="E213" s="13" t="str">
        <f ca="1">IFERROR(__xludf.DUMMYFUNCTION("""COMPUTED_VALUE"""),"zhàngfu")</f>
        <v>zhàngfu</v>
      </c>
      <c r="F213" s="13" t="str">
        <f ca="1">IFERROR(__xludf.DUMMYFUNCTION("""COMPUTED_VALUE"""),"Danh từ")</f>
        <v>Danh từ</v>
      </c>
      <c r="G213" s="13" t="str">
        <f ca="1">IFERROR(__xludf.DUMMYFUNCTION("""COMPUTED_VALUE"""),"chồng")</f>
        <v>chồng</v>
      </c>
      <c r="H213" s="13" t="str">
        <f ca="1">IFERROR(__xludf.DUMMYFUNCTION("""COMPUTED_VALUE"""),"这是我的丈夫。")</f>
        <v>这是我的丈夫。</v>
      </c>
      <c r="I213" s="13" t="str">
        <f ca="1">IFERROR(__xludf.DUMMYFUNCTION("""COMPUTED_VALUE"""),"Zhè shì wǒ de zhàngfu.")</f>
        <v>Zhè shì wǒ de zhàngfu.</v>
      </c>
      <c r="J213" s="13" t="str">
        <f ca="1">IFERROR(__xludf.DUMMYFUNCTION("""COMPUTED_VALUE"""),"Đây là chồng của tôi.")</f>
        <v>Đây là chồng của tôi.</v>
      </c>
      <c r="K213" s="13" t="str">
        <f ca="1">IFERROR(__xludf.DUMMYFUNCTION("""COMPUTED_VALUE"""),"H2_B3_BG-13.gif")</f>
        <v>H2_B3_BG-13.gif</v>
      </c>
      <c r="L213" s="13" t="str">
        <f ca="1">IFERROR(__xludf.DUMMYFUNCTION("""COMPUTED_VALUE"""),"H2_B3_13.mp3")</f>
        <v>H2_B3_13.mp3</v>
      </c>
      <c r="M213" s="13" t="str">
        <f ca="1">IFERROR(__xludf.DUMMYFUNCTION("""COMPUTED_VALUE"""),"H2_B3_VD_13.mp3")</f>
        <v>H2_B3_VD_13.mp3</v>
      </c>
    </row>
    <row r="214" spans="1:13">
      <c r="A214" s="13">
        <f ca="1">IFERROR(__xludf.DUMMYFUNCTION("""COMPUTED_VALUE"""),14)</f>
        <v>14</v>
      </c>
      <c r="B214" s="13"/>
      <c r="C214" s="13" t="str">
        <f ca="1">IFERROR(__xludf.DUMMYFUNCTION("""COMPUTED_VALUE"""),"旁边")</f>
        <v>旁边</v>
      </c>
      <c r="D214" s="13" t="str">
        <f ca="1">IFERROR(__xludf.DUMMYFUNCTION("""COMPUTED_VALUE"""),"&lt;ruby&gt;旁边&lt;rt&gt;pángbiān&lt;/rt&gt;&lt;/ruby&gt;")</f>
        <v>&lt;ruby&gt;旁边&lt;rt&gt;pángbiān&lt;/rt&gt;&lt;/ruby&gt;</v>
      </c>
      <c r="E214" s="13" t="str">
        <f ca="1">IFERROR(__xludf.DUMMYFUNCTION("""COMPUTED_VALUE"""),"pángbiān")</f>
        <v>pángbiān</v>
      </c>
      <c r="F214" s="13" t="str">
        <f ca="1">IFERROR(__xludf.DUMMYFUNCTION("""COMPUTED_VALUE"""),"Danh từ")</f>
        <v>Danh từ</v>
      </c>
      <c r="G214" s="13" t="str">
        <f ca="1">IFERROR(__xludf.DUMMYFUNCTION("""COMPUTED_VALUE"""),"bên cạnh")</f>
        <v>bên cạnh</v>
      </c>
      <c r="H214" s="13" t="str">
        <f ca="1">IFERROR(__xludf.DUMMYFUNCTION("""COMPUTED_VALUE"""),"我坐在他旁边。")</f>
        <v>我坐在他旁边。</v>
      </c>
      <c r="I214" s="13" t="str">
        <f ca="1">IFERROR(__xludf.DUMMYFUNCTION("""COMPUTED_VALUE"""),"Wǒ zuò zài tā pángbiān.")</f>
        <v>Wǒ zuò zài tā pángbiān.</v>
      </c>
      <c r="J214" s="13" t="str">
        <f ca="1">IFERROR(__xludf.DUMMYFUNCTION("""COMPUTED_VALUE"""),"Tôi ngồi cạnh anh ấy.")</f>
        <v>Tôi ngồi cạnh anh ấy.</v>
      </c>
      <c r="K214" s="13" t="str">
        <f ca="1">IFERROR(__xludf.DUMMYFUNCTION("""COMPUTED_VALUE"""),"H2_B3_BG-14.gif")</f>
        <v>H2_B3_BG-14.gif</v>
      </c>
      <c r="L214" s="13" t="str">
        <f ca="1">IFERROR(__xludf.DUMMYFUNCTION("""COMPUTED_VALUE"""),"H2_B3_14.mp3")</f>
        <v>H2_B3_14.mp3</v>
      </c>
      <c r="M214" s="13" t="str">
        <f ca="1">IFERROR(__xludf.DUMMYFUNCTION("""COMPUTED_VALUE"""),"H2_B3_VD_14.mp3")</f>
        <v>H2_B3_VD_14.mp3</v>
      </c>
    </row>
    <row r="215" spans="1:13">
      <c r="A215" s="13">
        <f ca="1">IFERROR(__xludf.DUMMYFUNCTION("""COMPUTED_VALUE"""),15)</f>
        <v>15</v>
      </c>
      <c r="B215" s="13"/>
      <c r="C215" s="13" t="str">
        <f ca="1">IFERROR(__xludf.DUMMYFUNCTION("""COMPUTED_VALUE"""),"真")</f>
        <v>真</v>
      </c>
      <c r="D215" s="13" t="str">
        <f ca="1">IFERROR(__xludf.DUMMYFUNCTION("""COMPUTED_VALUE"""),"&lt;ruby&gt;真&lt;rt&gt;zhēn&lt;/rt&gt;&lt;/ruby&gt;")</f>
        <v>&lt;ruby&gt;真&lt;rt&gt;zhēn&lt;/rt&gt;&lt;/ruby&gt;</v>
      </c>
      <c r="E215" s="13" t="str">
        <f ca="1">IFERROR(__xludf.DUMMYFUNCTION("""COMPUTED_VALUE"""),"zhēn")</f>
        <v>zhēn</v>
      </c>
      <c r="F215" s="13" t="str">
        <f ca="1">IFERROR(__xludf.DUMMYFUNCTION("""COMPUTED_VALUE"""),"Phó từ")</f>
        <v>Phó từ</v>
      </c>
      <c r="G215" s="13" t="str">
        <f ca="1">IFERROR(__xludf.DUMMYFUNCTION("""COMPUTED_VALUE"""),"thật, quả là")</f>
        <v>thật, quả là</v>
      </c>
      <c r="H215" s="13" t="str">
        <f ca="1">IFERROR(__xludf.DUMMYFUNCTION("""COMPUTED_VALUE"""),"这颗钻石真漂亮。")</f>
        <v>这颗钻石真漂亮。</v>
      </c>
      <c r="I215" s="13" t="str">
        <f ca="1">IFERROR(__xludf.DUMMYFUNCTION("""COMPUTED_VALUE"""),"Zhè kē zuànshí zhēn piàoliang.")</f>
        <v>Zhè kē zuànshí zhēn piàoliang.</v>
      </c>
      <c r="J215" s="13" t="str">
        <f ca="1">IFERROR(__xludf.DUMMYFUNCTION("""COMPUTED_VALUE"""),"Viên kim cương này thật đẹp.")</f>
        <v>Viên kim cương này thật đẹp.</v>
      </c>
      <c r="K215" s="13" t="str">
        <f ca="1">IFERROR(__xludf.DUMMYFUNCTION("""COMPUTED_VALUE"""),"H2_B3_BG-15.gif")</f>
        <v>H2_B3_BG-15.gif</v>
      </c>
      <c r="L215" s="13" t="str">
        <f ca="1">IFERROR(__xludf.DUMMYFUNCTION("""COMPUTED_VALUE"""),"H2_B3_15.mp3")</f>
        <v>H2_B3_15.mp3</v>
      </c>
      <c r="M215" s="13" t="str">
        <f ca="1">IFERROR(__xludf.DUMMYFUNCTION("""COMPUTED_VALUE"""),"H2_B3_VD_15.mp3")</f>
        <v>H2_B3_VD_15.mp3</v>
      </c>
    </row>
    <row r="216" spans="1:13">
      <c r="A216" s="13">
        <f ca="1">IFERROR(__xludf.DUMMYFUNCTION("""COMPUTED_VALUE"""),16)</f>
        <v>16</v>
      </c>
      <c r="B216" s="13"/>
      <c r="C216" s="13" t="str">
        <f ca="1">IFERROR(__xludf.DUMMYFUNCTION("""COMPUTED_VALUE"""),"左边")</f>
        <v>左边</v>
      </c>
      <c r="D216" s="13" t="str">
        <f ca="1">IFERROR(__xludf.DUMMYFUNCTION("""COMPUTED_VALUE"""),"&lt;ruby&gt;左边&lt;rt&gt;zuǒbiān&lt;/rt&gt;&lt;/ruby&gt;")</f>
        <v>&lt;ruby&gt;左边&lt;rt&gt;zuǒbiān&lt;/rt&gt;&lt;/ruby&gt;</v>
      </c>
      <c r="E216" s="13" t="str">
        <f ca="1">IFERROR(__xludf.DUMMYFUNCTION("""COMPUTED_VALUE"""),"zuǒbiān")</f>
        <v>zuǒbiān</v>
      </c>
      <c r="F216" s="13" t="str">
        <f ca="1">IFERROR(__xludf.DUMMYFUNCTION("""COMPUTED_VALUE"""),"Danh từ")</f>
        <v>Danh từ</v>
      </c>
      <c r="G216" s="13" t="str">
        <f ca="1">IFERROR(__xludf.DUMMYFUNCTION("""COMPUTED_VALUE"""),"bên trái")</f>
        <v>bên trái</v>
      </c>
      <c r="H216" s="13" t="str">
        <f ca="1">IFERROR(__xludf.DUMMYFUNCTION("""COMPUTED_VALUE"""),"他左边就是超市。")</f>
        <v>他左边就是超市。</v>
      </c>
      <c r="I216" s="13" t="str">
        <f ca="1">IFERROR(__xludf.DUMMYFUNCTION("""COMPUTED_VALUE"""),"Tā zuǒbiān jiù shì chāoshì.")</f>
        <v>Tā zuǒbiān jiù shì chāoshì.</v>
      </c>
      <c r="J216" s="13" t="str">
        <f ca="1">IFERROR(__xludf.DUMMYFUNCTION("""COMPUTED_VALUE"""),"Bên trái anh ấy chính là siêu thị.")</f>
        <v>Bên trái anh ấy chính là siêu thị.</v>
      </c>
      <c r="K216" s="13" t="str">
        <f ca="1">IFERROR(__xludf.DUMMYFUNCTION("""COMPUTED_VALUE"""),"H2_B3_BG-16.gif")</f>
        <v>H2_B3_BG-16.gif</v>
      </c>
      <c r="L216" s="13" t="str">
        <f ca="1">IFERROR(__xludf.DUMMYFUNCTION("""COMPUTED_VALUE"""),"H2_B3_16.mp3")</f>
        <v>H2_B3_16.mp3</v>
      </c>
      <c r="M216" s="13" t="str">
        <f ca="1">IFERROR(__xludf.DUMMYFUNCTION("""COMPUTED_VALUE"""),"H2_B3_VD_16.mp3")</f>
        <v>H2_B3_VD_16.mp3</v>
      </c>
    </row>
    <row r="217" spans="1:13">
      <c r="A217" s="13">
        <f ca="1">IFERROR(__xludf.DUMMYFUNCTION("""COMPUTED_VALUE"""),1)</f>
        <v>1</v>
      </c>
      <c r="B217" s="13"/>
      <c r="C217" s="13" t="str">
        <f ca="1">IFERROR(__xludf.DUMMYFUNCTION("""COMPUTED_VALUE"""),"生日")</f>
        <v>生日</v>
      </c>
      <c r="D217" s="13" t="str">
        <f ca="1">IFERROR(__xludf.DUMMYFUNCTION("""COMPUTED_VALUE"""),"&lt;ruby&gt;生日&lt;rt&gt;shēngrì&lt;/rt&gt;&lt;/ruby&gt;")</f>
        <v>&lt;ruby&gt;生日&lt;rt&gt;shēngrì&lt;/rt&gt;&lt;/ruby&gt;</v>
      </c>
      <c r="E217" s="13" t="str">
        <f ca="1">IFERROR(__xludf.DUMMYFUNCTION("""COMPUTED_VALUE"""),"shēngrì")</f>
        <v>shēngrì</v>
      </c>
      <c r="F217" s="13" t="str">
        <f ca="1">IFERROR(__xludf.DUMMYFUNCTION("""COMPUTED_VALUE"""),"Danh từ")</f>
        <v>Danh từ</v>
      </c>
      <c r="G217" s="13" t="str">
        <f ca="1">IFERROR(__xludf.DUMMYFUNCTION("""COMPUTED_VALUE"""),"sinh nhật")</f>
        <v>sinh nhật</v>
      </c>
      <c r="H217" s="13" t="str">
        <f ca="1">IFERROR(__xludf.DUMMYFUNCTION("""COMPUTED_VALUE"""),"这个生日蛋糕又漂亮又好吃。")</f>
        <v>这个生日蛋糕又漂亮又好吃。</v>
      </c>
      <c r="I217" s="13" t="str">
        <f ca="1">IFERROR(__xludf.DUMMYFUNCTION("""COMPUTED_VALUE"""),"Zhège shēngrì dàngāo yòu piàoliang yòu hǎochī.")</f>
        <v>Zhège shēngrì dàngāo yòu piàoliang yòu hǎochī.</v>
      </c>
      <c r="J217" s="13" t="str">
        <f ca="1">IFERROR(__xludf.DUMMYFUNCTION("""COMPUTED_VALUE"""),"Chiếc bánh sinh nhật này vừa đẹp vừa ngon.")</f>
        <v>Chiếc bánh sinh nhật này vừa đẹp vừa ngon.</v>
      </c>
      <c r="K217" s="13" t="str">
        <f ca="1">IFERROR(__xludf.DUMMYFUNCTION("""COMPUTED_VALUE"""),"H2_B4_BG-01.gif")</f>
        <v>H2_B4_BG-01.gif</v>
      </c>
      <c r="L217" s="13" t="str">
        <f ca="1">IFERROR(__xludf.DUMMYFUNCTION("""COMPUTED_VALUE"""),"H2_B4_1.mp3")</f>
        <v>H2_B4_1.mp3</v>
      </c>
      <c r="M217" s="13" t="str">
        <f ca="1">IFERROR(__xludf.DUMMYFUNCTION("""COMPUTED_VALUE"""),"H2_B4_VD_1.mp3")</f>
        <v>H2_B4_VD_1.mp3</v>
      </c>
    </row>
    <row r="218" spans="1:13">
      <c r="A218" s="13">
        <f ca="1">IFERROR(__xludf.DUMMYFUNCTION("""COMPUTED_VALUE"""),2)</f>
        <v>2</v>
      </c>
      <c r="B218" s="13"/>
      <c r="C218" s="13" t="str">
        <f ca="1">IFERROR(__xludf.DUMMYFUNCTION("""COMPUTED_VALUE"""),"快乐")</f>
        <v>快乐</v>
      </c>
      <c r="D218" s="13" t="str">
        <f ca="1">IFERROR(__xludf.DUMMYFUNCTION("""COMPUTED_VALUE"""),"&lt;ruby&gt;快乐&lt;rt&gt;kuàilè&lt;/rt&gt;&lt;/ruby&gt;")</f>
        <v>&lt;ruby&gt;快乐&lt;rt&gt;kuàilè&lt;/rt&gt;&lt;/ruby&gt;</v>
      </c>
      <c r="E218" s="13" t="str">
        <f ca="1">IFERROR(__xludf.DUMMYFUNCTION("""COMPUTED_VALUE"""),"kuàilè")</f>
        <v>kuàilè</v>
      </c>
      <c r="F218" s="13" t="str">
        <f ca="1">IFERROR(__xludf.DUMMYFUNCTION("""COMPUTED_VALUE"""),"Tính từ")</f>
        <v>Tính từ</v>
      </c>
      <c r="G218" s="13" t="str">
        <f ca="1">IFERROR(__xludf.DUMMYFUNCTION("""COMPUTED_VALUE"""),"vui vẻ")</f>
        <v>vui vẻ</v>
      </c>
      <c r="H218" s="13" t="str">
        <f ca="1">IFERROR(__xludf.DUMMYFUNCTION("""COMPUTED_VALUE"""),"祝你生日快乐！")</f>
        <v>祝你生日快乐！</v>
      </c>
      <c r="I218" s="13" t="str">
        <f ca="1">IFERROR(__xludf.DUMMYFUNCTION("""COMPUTED_VALUE"""),"Zhù nǐ shēngrì kuàilè!")</f>
        <v>Zhù nǐ shēngrì kuàilè!</v>
      </c>
      <c r="J218" s="13" t="str">
        <f ca="1">IFERROR(__xludf.DUMMYFUNCTION("""COMPUTED_VALUE"""),"Chúc cậu sinh nhật vui vẻ!")</f>
        <v>Chúc cậu sinh nhật vui vẻ!</v>
      </c>
      <c r="K218" s="13" t="str">
        <f ca="1">IFERROR(__xludf.DUMMYFUNCTION("""COMPUTED_VALUE"""),"H2_B4_BG-02.gif")</f>
        <v>H2_B4_BG-02.gif</v>
      </c>
      <c r="L218" s="13" t="str">
        <f ca="1">IFERROR(__xludf.DUMMYFUNCTION("""COMPUTED_VALUE"""),"H2_B4_2.mp3")</f>
        <v>H2_B4_2.mp3</v>
      </c>
      <c r="M218" s="13" t="str">
        <f ca="1">IFERROR(__xludf.DUMMYFUNCTION("""COMPUTED_VALUE"""),"H2_B4_VD_2.mp3")</f>
        <v>H2_B4_VD_2.mp3</v>
      </c>
    </row>
    <row r="219" spans="1:13">
      <c r="A219" s="13">
        <f ca="1">IFERROR(__xludf.DUMMYFUNCTION("""COMPUTED_VALUE"""),3)</f>
        <v>3</v>
      </c>
      <c r="B219" s="13"/>
      <c r="C219" s="13" t="str">
        <f ca="1">IFERROR(__xludf.DUMMYFUNCTION("""COMPUTED_VALUE"""),"给")</f>
        <v>给</v>
      </c>
      <c r="D219" s="13" t="str">
        <f ca="1">IFERROR(__xludf.DUMMYFUNCTION("""COMPUTED_VALUE"""),"&lt;ruby&gt;给&lt;rt&gt;gěi&lt;/rt&gt;&lt;/ruby&gt;")</f>
        <v>&lt;ruby&gt;给&lt;rt&gt;gěi&lt;/rt&gt;&lt;/ruby&gt;</v>
      </c>
      <c r="E219" s="13" t="str">
        <f ca="1">IFERROR(__xludf.DUMMYFUNCTION("""COMPUTED_VALUE"""),"gěi")</f>
        <v>gěi</v>
      </c>
      <c r="F219" s="13" t="str">
        <f ca="1">IFERROR(__xludf.DUMMYFUNCTION("""COMPUTED_VALUE"""),"Giới từ")</f>
        <v>Giới từ</v>
      </c>
      <c r="G219" s="13" t="str">
        <f ca="1">IFERROR(__xludf.DUMMYFUNCTION("""COMPUTED_VALUE"""),"(được dùng sau động từ) cho")</f>
        <v>(được dùng sau động từ) cho</v>
      </c>
      <c r="H219" s="13" t="str">
        <f ca="1">IFERROR(__xludf.DUMMYFUNCTION("""COMPUTED_VALUE"""),"他给了我一个梨。")</f>
        <v>他给了我一个梨。</v>
      </c>
      <c r="I219" s="13" t="str">
        <f ca="1">IFERROR(__xludf.DUMMYFUNCTION("""COMPUTED_VALUE"""),"Tā gěi le wǒ yí gè lí.")</f>
        <v>Tā gěi le wǒ yí gè lí.</v>
      </c>
      <c r="J219" s="13" t="str">
        <f ca="1">IFERROR(__xludf.DUMMYFUNCTION("""COMPUTED_VALUE"""),"Anh ấy cho tôi một quả lê.")</f>
        <v>Anh ấy cho tôi một quả lê.</v>
      </c>
      <c r="K219" s="13" t="str">
        <f ca="1">IFERROR(__xludf.DUMMYFUNCTION("""COMPUTED_VALUE"""),"H2_B4_BG-03.gif")</f>
        <v>H2_B4_BG-03.gif</v>
      </c>
      <c r="L219" s="13" t="str">
        <f ca="1">IFERROR(__xludf.DUMMYFUNCTION("""COMPUTED_VALUE"""),"H2_B4_3.mp3")</f>
        <v>H2_B4_3.mp3</v>
      </c>
      <c r="M219" s="13" t="str">
        <f ca="1">IFERROR(__xludf.DUMMYFUNCTION("""COMPUTED_VALUE"""),"H2_B4_VD_3.mp3")</f>
        <v>H2_B4_VD_3.mp3</v>
      </c>
    </row>
    <row r="220" spans="1:13">
      <c r="A220" s="13">
        <f ca="1">IFERROR(__xludf.DUMMYFUNCTION("""COMPUTED_VALUE"""),4)</f>
        <v>4</v>
      </c>
      <c r="B220" s="13"/>
      <c r="C220" s="13" t="str">
        <f ca="1">IFERROR(__xludf.DUMMYFUNCTION("""COMPUTED_VALUE"""),"接")</f>
        <v>接</v>
      </c>
      <c r="D220" s="13" t="str">
        <f ca="1">IFERROR(__xludf.DUMMYFUNCTION("""COMPUTED_VALUE"""),"&lt;ruby&gt;接&lt;rt&gt;jiē&lt;/rt&gt;&lt;/ruby&gt;")</f>
        <v>&lt;ruby&gt;接&lt;rt&gt;jiē&lt;/rt&gt;&lt;/ruby&gt;</v>
      </c>
      <c r="E220" s="13" t="str">
        <f ca="1">IFERROR(__xludf.DUMMYFUNCTION("""COMPUTED_VALUE"""),"jiē")</f>
        <v>jiē</v>
      </c>
      <c r="F220" s="13" t="str">
        <f ca="1">IFERROR(__xludf.DUMMYFUNCTION("""COMPUTED_VALUE"""),"Động từ")</f>
        <v>Động từ</v>
      </c>
      <c r="G220" s="13" t="str">
        <f ca="1">IFERROR(__xludf.DUMMYFUNCTION("""COMPUTED_VALUE"""),"nhận, nghe/trả lời (điện thoại)")</f>
        <v>nhận, nghe/trả lời (điện thoại)</v>
      </c>
      <c r="H220" s="13" t="str">
        <f ca="1">IFERROR(__xludf.DUMMYFUNCTION("""COMPUTED_VALUE"""),"等一下，我接个电话。")</f>
        <v>等一下，我接个电话。</v>
      </c>
      <c r="I220" s="13" t="str">
        <f ca="1">IFERROR(__xludf.DUMMYFUNCTION("""COMPUTED_VALUE"""),"Děng yíxià, wǒ jiē gè diànhuà.")</f>
        <v>Děng yíxià, wǒ jiē gè diànhuà.</v>
      </c>
      <c r="J220" s="13" t="str">
        <f ca="1">IFERROR(__xludf.DUMMYFUNCTION("""COMPUTED_VALUE"""),"Đợi một chút, tôi nghe điện thoại đã.")</f>
        <v>Đợi một chút, tôi nghe điện thoại đã.</v>
      </c>
      <c r="K220" s="13" t="str">
        <f ca="1">IFERROR(__xludf.DUMMYFUNCTION("""COMPUTED_VALUE"""),"H2_B4_BG-04.gif")</f>
        <v>H2_B4_BG-04.gif</v>
      </c>
      <c r="L220" s="13" t="str">
        <f ca="1">IFERROR(__xludf.DUMMYFUNCTION("""COMPUTED_VALUE"""),"H2_B4_4.mp3")</f>
        <v>H2_B4_4.mp3</v>
      </c>
      <c r="M220" s="13" t="str">
        <f ca="1">IFERROR(__xludf.DUMMYFUNCTION("""COMPUTED_VALUE"""),"H2_B4_VD_4.mp3")</f>
        <v>H2_B4_VD_4.mp3</v>
      </c>
    </row>
    <row r="221" spans="1:13">
      <c r="A221" s="13">
        <f ca="1">IFERROR(__xludf.DUMMYFUNCTION("""COMPUTED_VALUE"""),5)</f>
        <v>5</v>
      </c>
      <c r="B221" s="13"/>
      <c r="C221" s="13" t="str">
        <f ca="1">IFERROR(__xludf.DUMMYFUNCTION("""COMPUTED_VALUE"""),"晚上")</f>
        <v>晚上</v>
      </c>
      <c r="D221" s="13" t="str">
        <f ca="1">IFERROR(__xludf.DUMMYFUNCTION("""COMPUTED_VALUE"""),"&lt;ruby&gt;晚上&lt;rt&gt;wǎnshang&lt;/rt&gt;&lt;/ruby&gt;")</f>
        <v>&lt;ruby&gt;晚上&lt;rt&gt;wǎnshang&lt;/rt&gt;&lt;/ruby&gt;</v>
      </c>
      <c r="E221" s="13" t="str">
        <f ca="1">IFERROR(__xludf.DUMMYFUNCTION("""COMPUTED_VALUE"""),"wǎnshang")</f>
        <v>wǎnshang</v>
      </c>
      <c r="F221" s="13" t="str">
        <f ca="1">IFERROR(__xludf.DUMMYFUNCTION("""COMPUTED_VALUE"""),"Danh từ")</f>
        <v>Danh từ</v>
      </c>
      <c r="G221" s="13" t="str">
        <f ca="1">IFERROR(__xludf.DUMMYFUNCTION("""COMPUTED_VALUE"""),"buổi tối")</f>
        <v>buổi tối</v>
      </c>
      <c r="H221" s="13" t="str">
        <f ca="1">IFERROR(__xludf.DUMMYFUNCTION("""COMPUTED_VALUE"""),"晚上的星星特别亮。")</f>
        <v>晚上的星星特别亮。</v>
      </c>
      <c r="I221" s="13" t="str">
        <f ca="1">IFERROR(__xludf.DUMMYFUNCTION("""COMPUTED_VALUE"""),"Wǎnshang de xīngxing tèbié liàng.")</f>
        <v>Wǎnshang de xīngxing tèbié liàng.</v>
      </c>
      <c r="J221" s="13" t="str">
        <f ca="1">IFERROR(__xludf.DUMMYFUNCTION("""COMPUTED_VALUE"""),"Sao buổi tối rất sáng.")</f>
        <v>Sao buổi tối rất sáng.</v>
      </c>
      <c r="K221" s="13" t="str">
        <f ca="1">IFERROR(__xludf.DUMMYFUNCTION("""COMPUTED_VALUE"""),"H2_B4_BG-05.gif")</f>
        <v>H2_B4_BG-05.gif</v>
      </c>
      <c r="L221" s="13" t="str">
        <f ca="1">IFERROR(__xludf.DUMMYFUNCTION("""COMPUTED_VALUE"""),"H2_B4_5.mp3")</f>
        <v>H2_B4_5.mp3</v>
      </c>
      <c r="M221" s="13" t="str">
        <f ca="1">IFERROR(__xludf.DUMMYFUNCTION("""COMPUTED_VALUE"""),"H2_B4_VD_5.mp3")</f>
        <v>H2_B4_VD_5.mp3</v>
      </c>
    </row>
    <row r="222" spans="1:13">
      <c r="A222" s="13">
        <f ca="1">IFERROR(__xludf.DUMMYFUNCTION("""COMPUTED_VALUE"""),6)</f>
        <v>6</v>
      </c>
      <c r="B222" s="13"/>
      <c r="C222" s="13" t="str">
        <f ca="1">IFERROR(__xludf.DUMMYFUNCTION("""COMPUTED_VALUE"""),"问")</f>
        <v>问</v>
      </c>
      <c r="D222" s="13" t="str">
        <f ca="1">IFERROR(__xludf.DUMMYFUNCTION("""COMPUTED_VALUE"""),"&lt;ruby&gt;问&lt;rt&gt;wèn&lt;/rt&gt;&lt;/ruby&gt;")</f>
        <v>&lt;ruby&gt;问&lt;rt&gt;wèn&lt;/rt&gt;&lt;/ruby&gt;</v>
      </c>
      <c r="E222" s="13" t="str">
        <f ca="1">IFERROR(__xludf.DUMMYFUNCTION("""COMPUTED_VALUE"""),"wèn")</f>
        <v>wèn</v>
      </c>
      <c r="F222" s="13" t="str">
        <f ca="1">IFERROR(__xludf.DUMMYFUNCTION("""COMPUTED_VALUE"""),"Động từ")</f>
        <v>Động từ</v>
      </c>
      <c r="G222" s="13" t="str">
        <f ca="1">IFERROR(__xludf.DUMMYFUNCTION("""COMPUTED_VALUE"""),"hỏi")</f>
        <v>hỏi</v>
      </c>
      <c r="H222" s="13" t="str">
        <f ca="1">IFERROR(__xludf.DUMMYFUNCTION("""COMPUTED_VALUE"""),"如果不明白，就问老师吧。")</f>
        <v>如果不明白，就问老师吧。</v>
      </c>
      <c r="I222" s="13" t="str">
        <f ca="1">IFERROR(__xludf.DUMMYFUNCTION("""COMPUTED_VALUE"""),"Rúguǒ bù míngbai, jiù wèn lǎoshī ba.")</f>
        <v>Rúguǒ bù míngbai, jiù wèn lǎoshī ba.</v>
      </c>
      <c r="J222" s="13" t="str">
        <f ca="1">IFERROR(__xludf.DUMMYFUNCTION("""COMPUTED_VALUE"""),"Nếu không hiểu, hãy hỏi giáo viên.")</f>
        <v>Nếu không hiểu, hãy hỏi giáo viên.</v>
      </c>
      <c r="K222" s="13" t="str">
        <f ca="1">IFERROR(__xludf.DUMMYFUNCTION("""COMPUTED_VALUE"""),"H2_B4_BG-06.gif")</f>
        <v>H2_B4_BG-06.gif</v>
      </c>
      <c r="L222" s="13" t="str">
        <f ca="1">IFERROR(__xludf.DUMMYFUNCTION("""COMPUTED_VALUE"""),"H2_B4_6.mp3")</f>
        <v>H2_B4_6.mp3</v>
      </c>
      <c r="M222" s="13" t="str">
        <f ca="1">IFERROR(__xludf.DUMMYFUNCTION("""COMPUTED_VALUE"""),"H2_B4_VD_6.mp3")</f>
        <v>H2_B4_VD_6.mp3</v>
      </c>
    </row>
    <row r="223" spans="1:13">
      <c r="A223" s="13">
        <f ca="1">IFERROR(__xludf.DUMMYFUNCTION("""COMPUTED_VALUE"""),7)</f>
        <v>7</v>
      </c>
      <c r="B223" s="13"/>
      <c r="C223" s="13" t="str">
        <f ca="1">IFERROR(__xludf.DUMMYFUNCTION("""COMPUTED_VALUE"""),"非常")</f>
        <v>非常</v>
      </c>
      <c r="D223" s="13" t="str">
        <f ca="1">IFERROR(__xludf.DUMMYFUNCTION("""COMPUTED_VALUE"""),"&lt;ruby&gt;非常&lt;rt&gt;fēicháng&lt;/rt&gt;&lt;/ruby&gt;")</f>
        <v>&lt;ruby&gt;非常&lt;rt&gt;fēicháng&lt;/rt&gt;&lt;/ruby&gt;</v>
      </c>
      <c r="E223" s="13" t="str">
        <f ca="1">IFERROR(__xludf.DUMMYFUNCTION("""COMPUTED_VALUE"""),"fēicháng")</f>
        <v>fēicháng</v>
      </c>
      <c r="F223" s="13" t="str">
        <f ca="1">IFERROR(__xludf.DUMMYFUNCTION("""COMPUTED_VALUE"""),"Phó từ")</f>
        <v>Phó từ</v>
      </c>
      <c r="G223" s="13" t="str">
        <f ca="1">IFERROR(__xludf.DUMMYFUNCTION("""COMPUTED_VALUE"""),"rất, vô cùng")</f>
        <v>rất, vô cùng</v>
      </c>
      <c r="H223" s="13" t="str">
        <f ca="1">IFERROR(__xludf.DUMMYFUNCTION("""COMPUTED_VALUE"""),"这件衣服非常漂亮。")</f>
        <v>这件衣服非常漂亮。</v>
      </c>
      <c r="I223" s="13" t="str">
        <f ca="1">IFERROR(__xludf.DUMMYFUNCTION("""COMPUTED_VALUE"""),"Zhè jiàn yīfu fēicháng piàoliang.")</f>
        <v>Zhè jiàn yīfu fēicháng piàoliang.</v>
      </c>
      <c r="J223" s="13" t="str">
        <f ca="1">IFERROR(__xludf.DUMMYFUNCTION("""COMPUTED_VALUE"""),"Bộ quần áo này vô cùng đẹp.")</f>
        <v>Bộ quần áo này vô cùng đẹp.</v>
      </c>
      <c r="K223" s="13" t="str">
        <f ca="1">IFERROR(__xludf.DUMMYFUNCTION("""COMPUTED_VALUE"""),"H2_B4_BG-07.gif")</f>
        <v>H2_B4_BG-07.gif</v>
      </c>
      <c r="L223" s="13" t="str">
        <f ca="1">IFERROR(__xludf.DUMMYFUNCTION("""COMPUTED_VALUE"""),"H2_B4_7.mp3")</f>
        <v>H2_B4_7.mp3</v>
      </c>
      <c r="M223" s="13" t="str">
        <f ca="1">IFERROR(__xludf.DUMMYFUNCTION("""COMPUTED_VALUE"""),"H2_B4_VD_7.mp3")</f>
        <v>H2_B4_VD_7.mp3</v>
      </c>
    </row>
    <row r="224" spans="1:13">
      <c r="A224" s="13">
        <f ca="1">IFERROR(__xludf.DUMMYFUNCTION("""COMPUTED_VALUE"""),8)</f>
        <v>8</v>
      </c>
      <c r="B224" s="13"/>
      <c r="C224" s="13" t="str">
        <f ca="1">IFERROR(__xludf.DUMMYFUNCTION("""COMPUTED_VALUE"""),"开始")</f>
        <v>开始</v>
      </c>
      <c r="D224" s="13" t="str">
        <f ca="1">IFERROR(__xludf.DUMMYFUNCTION("""COMPUTED_VALUE"""),"&lt;ruby&gt;开始&lt;rt&gt;kāishǐ&lt;/rt&gt;&lt;/ruby&gt;")</f>
        <v>&lt;ruby&gt;开始&lt;rt&gt;kāishǐ&lt;/rt&gt;&lt;/ruby&gt;</v>
      </c>
      <c r="E224" s="13" t="str">
        <f ca="1">IFERROR(__xludf.DUMMYFUNCTION("""COMPUTED_VALUE"""),"kāishǐ")</f>
        <v>kāishǐ</v>
      </c>
      <c r="F224" s="13" t="str">
        <f ca="1">IFERROR(__xludf.DUMMYFUNCTION("""COMPUTED_VALUE"""),"Động từ")</f>
        <v>Động từ</v>
      </c>
      <c r="G224" s="13" t="str">
        <f ca="1">IFERROR(__xludf.DUMMYFUNCTION("""COMPUTED_VALUE"""),"bắt đầu")</f>
        <v>bắt đầu</v>
      </c>
      <c r="H224" s="13" t="str">
        <f ca="1">IFERROR(__xludf.DUMMYFUNCTION("""COMPUTED_VALUE"""),"他开始准备晚饭了。")</f>
        <v>他开始准备晚饭了。</v>
      </c>
      <c r="I224" s="13" t="str">
        <f ca="1">IFERROR(__xludf.DUMMYFUNCTION("""COMPUTED_VALUE"""),"Tā kāishǐ zhǔnbèi wǎnfàn le.")</f>
        <v>Tā kāishǐ zhǔnbèi wǎnfàn le.</v>
      </c>
      <c r="J224" s="13" t="str">
        <f ca="1">IFERROR(__xludf.DUMMYFUNCTION("""COMPUTED_VALUE"""),"Anh ấy bắt đầu chuẩn bị bữa tối.")</f>
        <v>Anh ấy bắt đầu chuẩn bị bữa tối.</v>
      </c>
      <c r="K224" s="13" t="str">
        <f ca="1">IFERROR(__xludf.DUMMYFUNCTION("""COMPUTED_VALUE"""),"H2_B4_BG-08.gif")</f>
        <v>H2_B4_BG-08.gif</v>
      </c>
      <c r="L224" s="13" t="str">
        <f ca="1">IFERROR(__xludf.DUMMYFUNCTION("""COMPUTED_VALUE"""),"H2_B4_8.mp3")</f>
        <v>H2_B4_8.mp3</v>
      </c>
      <c r="M224" s="13" t="str">
        <f ca="1">IFERROR(__xludf.DUMMYFUNCTION("""COMPUTED_VALUE"""),"H2_B4_VD_8.mp3")</f>
        <v>H2_B4_VD_8.mp3</v>
      </c>
    </row>
    <row r="225" spans="1:13">
      <c r="A225" s="13">
        <f ca="1">IFERROR(__xludf.DUMMYFUNCTION("""COMPUTED_VALUE"""),9)</f>
        <v>9</v>
      </c>
      <c r="B225" s="13"/>
      <c r="C225" s="13" t="str">
        <f ca="1">IFERROR(__xludf.DUMMYFUNCTION("""COMPUTED_VALUE"""),"已经")</f>
        <v>已经</v>
      </c>
      <c r="D225" s="13" t="str">
        <f ca="1">IFERROR(__xludf.DUMMYFUNCTION("""COMPUTED_VALUE"""),"&lt;ruby&gt;已经&lt;rt&gt;yǐjīng&lt;/rt&gt;&lt;/ruby&gt;")</f>
        <v>&lt;ruby&gt;已经&lt;rt&gt;yǐjīng&lt;/rt&gt;&lt;/ruby&gt;</v>
      </c>
      <c r="E225" s="13" t="str">
        <f ca="1">IFERROR(__xludf.DUMMYFUNCTION("""COMPUTED_VALUE"""),"yǐjīng")</f>
        <v>yǐjīng</v>
      </c>
      <c r="F225" s="13" t="str">
        <f ca="1">IFERROR(__xludf.DUMMYFUNCTION("""COMPUTED_VALUE"""),"Phó từ")</f>
        <v>Phó từ</v>
      </c>
      <c r="G225" s="13" t="str">
        <f ca="1">IFERROR(__xludf.DUMMYFUNCTION("""COMPUTED_VALUE"""),"đã")</f>
        <v>đã</v>
      </c>
      <c r="H225" s="13" t="str">
        <f ca="1">IFERROR(__xludf.DUMMYFUNCTION("""COMPUTED_VALUE"""),"太阳已经下山了。")</f>
        <v>太阳已经下山了。</v>
      </c>
      <c r="I225" s="13" t="str">
        <f ca="1">IFERROR(__xludf.DUMMYFUNCTION("""COMPUTED_VALUE"""),"Tàiyáng yǐjīng xiàshān le.")</f>
        <v>Tàiyáng yǐjīng xiàshān le.</v>
      </c>
      <c r="J225" s="13" t="str">
        <f ca="1">IFERROR(__xludf.DUMMYFUNCTION("""COMPUTED_VALUE"""),"Mặt trời đã lặn rồi.")</f>
        <v>Mặt trời đã lặn rồi.</v>
      </c>
      <c r="K225" s="13" t="str">
        <f ca="1">IFERROR(__xludf.DUMMYFUNCTION("""COMPUTED_VALUE"""),"H2_B4_BG-09.gif")</f>
        <v>H2_B4_BG-09.gif</v>
      </c>
      <c r="L225" s="13" t="str">
        <f ca="1">IFERROR(__xludf.DUMMYFUNCTION("""COMPUTED_VALUE"""),"H2_B4_9.mp3")</f>
        <v>H2_B4_9.mp3</v>
      </c>
      <c r="M225" s="13" t="str">
        <f ca="1">IFERROR(__xludf.DUMMYFUNCTION("""COMPUTED_VALUE"""),"H2_B4_VD_9.mp3")</f>
        <v>H2_B4_VD_9.mp3</v>
      </c>
    </row>
    <row r="226" spans="1:13">
      <c r="A226" s="13">
        <f ca="1">IFERROR(__xludf.DUMMYFUNCTION("""COMPUTED_VALUE"""),10)</f>
        <v>10</v>
      </c>
      <c r="B226" s="13"/>
      <c r="C226" s="13" t="str">
        <f ca="1">IFERROR(__xludf.DUMMYFUNCTION("""COMPUTED_VALUE"""),"长")</f>
        <v>长</v>
      </c>
      <c r="D226" s="13" t="str">
        <f ca="1">IFERROR(__xludf.DUMMYFUNCTION("""COMPUTED_VALUE"""),"&lt;ruby&gt;长&lt;rt&gt;cháng&lt;/rt&gt;&lt;/ruby&gt;")</f>
        <v>&lt;ruby&gt;长&lt;rt&gt;cháng&lt;/rt&gt;&lt;/ruby&gt;</v>
      </c>
      <c r="E226" s="13" t="str">
        <f ca="1">IFERROR(__xludf.DUMMYFUNCTION("""COMPUTED_VALUE"""),"cháng")</f>
        <v>cháng</v>
      </c>
      <c r="F226" s="13" t="str">
        <f ca="1">IFERROR(__xludf.DUMMYFUNCTION("""COMPUTED_VALUE"""),"Tính từ")</f>
        <v>Tính từ</v>
      </c>
      <c r="G226" s="13" t="str">
        <f ca="1">IFERROR(__xludf.DUMMYFUNCTION("""COMPUTED_VALUE"""),"dài, lâu")</f>
        <v>dài, lâu</v>
      </c>
      <c r="H226" s="13" t="str">
        <f ca="1">IFERROR(__xludf.DUMMYFUNCTION("""COMPUTED_VALUE"""),"这条围巾很长。")</f>
        <v>这条围巾很长。</v>
      </c>
      <c r="I226" s="13" t="str">
        <f ca="1">IFERROR(__xludf.DUMMYFUNCTION("""COMPUTED_VALUE"""),"Zhè tiáo wéijīn hěn cháng.")</f>
        <v>Zhè tiáo wéijīn hěn cháng.</v>
      </c>
      <c r="J226" s="13" t="str">
        <f ca="1">IFERROR(__xludf.DUMMYFUNCTION("""COMPUTED_VALUE"""),"Chiếc khăn này rất dài.")</f>
        <v>Chiếc khăn này rất dài.</v>
      </c>
      <c r="K226" s="13" t="str">
        <f ca="1">IFERROR(__xludf.DUMMYFUNCTION("""COMPUTED_VALUE"""),"H2_B4_BG-10.gif")</f>
        <v>H2_B4_BG-10.gif</v>
      </c>
      <c r="L226" s="13" t="str">
        <f ca="1">IFERROR(__xludf.DUMMYFUNCTION("""COMPUTED_VALUE"""),"H2_B4_10.mp3")</f>
        <v>H2_B4_10.mp3</v>
      </c>
      <c r="M226" s="13" t="str">
        <f ca="1">IFERROR(__xludf.DUMMYFUNCTION("""COMPUTED_VALUE"""),"H2_B4_VD_10.mp3")</f>
        <v>H2_B4_VD_10.mp3</v>
      </c>
    </row>
    <row r="227" spans="1:13">
      <c r="A227" s="13">
        <f ca="1">IFERROR(__xludf.DUMMYFUNCTION("""COMPUTED_VALUE"""),11)</f>
        <v>11</v>
      </c>
      <c r="B227" s="13"/>
      <c r="C227" s="13" t="str">
        <f ca="1">IFERROR(__xludf.DUMMYFUNCTION("""COMPUTED_VALUE"""),"两")</f>
        <v>两</v>
      </c>
      <c r="D227" s="13" t="str">
        <f ca="1">IFERROR(__xludf.DUMMYFUNCTION("""COMPUTED_VALUE"""),"&lt;ruby&gt;两&lt;rt&gt;liǎng&lt;/rt&gt;&lt;/ruby&gt;")</f>
        <v>&lt;ruby&gt;两&lt;rt&gt;liǎng&lt;/rt&gt;&lt;/ruby&gt;</v>
      </c>
      <c r="E227" s="13" t="str">
        <f ca="1">IFERROR(__xludf.DUMMYFUNCTION("""COMPUTED_VALUE"""),"liǎng")</f>
        <v>liǎng</v>
      </c>
      <c r="F227" s="13" t="str">
        <f ca="1">IFERROR(__xludf.DUMMYFUNCTION("""COMPUTED_VALUE"""),"Số từ")</f>
        <v>Số từ</v>
      </c>
      <c r="G227" s="13" t="str">
        <f ca="1">IFERROR(__xludf.DUMMYFUNCTION("""COMPUTED_VALUE"""),"hai")</f>
        <v>hai</v>
      </c>
      <c r="H227" s="13" t="str">
        <f ca="1">IFERROR(__xludf.DUMMYFUNCTION("""COMPUTED_VALUE"""),"我有两个哥哥。")</f>
        <v>我有两个哥哥。</v>
      </c>
      <c r="I227" s="13" t="str">
        <f ca="1">IFERROR(__xludf.DUMMYFUNCTION("""COMPUTED_VALUE"""),"Wǒ yǒu liǎng gè gēge.")</f>
        <v>Wǒ yǒu liǎng gè gēge.</v>
      </c>
      <c r="J227" s="13" t="str">
        <f ca="1">IFERROR(__xludf.DUMMYFUNCTION("""COMPUTED_VALUE"""),"Tôi có hai anh trai.")</f>
        <v>Tôi có hai anh trai.</v>
      </c>
      <c r="K227" s="13" t="str">
        <f ca="1">IFERROR(__xludf.DUMMYFUNCTION("""COMPUTED_VALUE"""),"H2_B4_BG-11.gif")</f>
        <v>H2_B4_BG-11.gif</v>
      </c>
      <c r="L227" s="13" t="str">
        <f ca="1">IFERROR(__xludf.DUMMYFUNCTION("""COMPUTED_VALUE"""),"H2_B4_11.mp3")</f>
        <v>H2_B4_11.mp3</v>
      </c>
      <c r="M227" s="13" t="str">
        <f ca="1">IFERROR(__xludf.DUMMYFUNCTION("""COMPUTED_VALUE"""),"H2_B4_VD_11.mp3")</f>
        <v>H2_B4_VD_11.mp3</v>
      </c>
    </row>
    <row r="228" spans="1:13">
      <c r="A228" s="13">
        <f ca="1">IFERROR(__xludf.DUMMYFUNCTION("""COMPUTED_VALUE"""),12)</f>
        <v>12</v>
      </c>
      <c r="B228" s="13"/>
      <c r="C228" s="13" t="str">
        <f ca="1">IFERROR(__xludf.DUMMYFUNCTION("""COMPUTED_VALUE"""),"帮")</f>
        <v>帮</v>
      </c>
      <c r="D228" s="13" t="str">
        <f ca="1">IFERROR(__xludf.DUMMYFUNCTION("""COMPUTED_VALUE"""),"&lt;ruby&gt;帮&lt;rt&gt;bāng&lt;/rt&gt;&lt;/ruby&gt;")</f>
        <v>&lt;ruby&gt;帮&lt;rt&gt;bāng&lt;/rt&gt;&lt;/ruby&gt;</v>
      </c>
      <c r="E228" s="13" t="str">
        <f ca="1">IFERROR(__xludf.DUMMYFUNCTION("""COMPUTED_VALUE"""),"bāng")</f>
        <v>bāng</v>
      </c>
      <c r="F228" s="13" t="str">
        <f ca="1">IFERROR(__xludf.DUMMYFUNCTION("""COMPUTED_VALUE"""),"Động từ")</f>
        <v>Động từ</v>
      </c>
      <c r="G228" s="13" t="str">
        <f ca="1">IFERROR(__xludf.DUMMYFUNCTION("""COMPUTED_VALUE"""),"giúp, giúp đỡ")</f>
        <v>giúp, giúp đỡ</v>
      </c>
      <c r="H228" s="13" t="str">
        <f ca="1">IFERROR(__xludf.DUMMYFUNCTION("""COMPUTED_VALUE"""),"她在帮老太太过马路。")</f>
        <v>她在帮老太太过马路。</v>
      </c>
      <c r="I228" s="13" t="str">
        <f ca="1">IFERROR(__xludf.DUMMYFUNCTION("""COMPUTED_VALUE"""),"Tā zài bāng lǎo tàitai guò mǎlù.")</f>
        <v>Tā zài bāng lǎo tàitai guò mǎlù.</v>
      </c>
      <c r="J228" s="13" t="str">
        <f ca="1">IFERROR(__xludf.DUMMYFUNCTION("""COMPUTED_VALUE"""),"Cô ấy đang giúp bà cụ qua đường.")</f>
        <v>Cô ấy đang giúp bà cụ qua đường.</v>
      </c>
      <c r="K228" s="13" t="str">
        <f ca="1">IFERROR(__xludf.DUMMYFUNCTION("""COMPUTED_VALUE"""),"H2_B4_BG-12.gif")</f>
        <v>H2_B4_BG-12.gif</v>
      </c>
      <c r="L228" s="13" t="str">
        <f ca="1">IFERROR(__xludf.DUMMYFUNCTION("""COMPUTED_VALUE"""),"H2_B4_12.mp3")</f>
        <v>H2_B4_12.mp3</v>
      </c>
      <c r="M228" s="13" t="str">
        <f ca="1">IFERROR(__xludf.DUMMYFUNCTION("""COMPUTED_VALUE"""),"H2_B4_VD_12.mp3")</f>
        <v>H2_B4_VD_12.mp3</v>
      </c>
    </row>
    <row r="229" spans="1:13">
      <c r="A229" s="13">
        <f ca="1">IFERROR(__xludf.DUMMYFUNCTION("""COMPUTED_VALUE"""),13)</f>
        <v>13</v>
      </c>
      <c r="B229" s="13"/>
      <c r="C229" s="13" t="str">
        <f ca="1">IFERROR(__xludf.DUMMYFUNCTION("""COMPUTED_VALUE"""),"介绍")</f>
        <v>介绍</v>
      </c>
      <c r="D229" s="13" t="str">
        <f ca="1">IFERROR(__xludf.DUMMYFUNCTION("""COMPUTED_VALUE"""),"&lt;ruby&gt;介绍&lt;rt&gt;jièshào&lt;/rt&gt;&lt;/ruby&gt;")</f>
        <v>&lt;ruby&gt;介绍&lt;rt&gt;jièshào&lt;/rt&gt;&lt;/ruby&gt;</v>
      </c>
      <c r="E229" s="13" t="str">
        <f ca="1">IFERROR(__xludf.DUMMYFUNCTION("""COMPUTED_VALUE"""),"jièshào")</f>
        <v>jièshào</v>
      </c>
      <c r="F229" s="13" t="str">
        <f ca="1">IFERROR(__xludf.DUMMYFUNCTION("""COMPUTED_VALUE"""),"Động từ")</f>
        <v>Động từ</v>
      </c>
      <c r="G229" s="13" t="str">
        <f ca="1">IFERROR(__xludf.DUMMYFUNCTION("""COMPUTED_VALUE"""),"giới thiệu")</f>
        <v>giới thiệu</v>
      </c>
      <c r="H229" s="13" t="str">
        <f ca="1">IFERROR(__xludf.DUMMYFUNCTION("""COMPUTED_VALUE"""),"我来介绍一下我的朋友吧。")</f>
        <v>我来介绍一下我的朋友吧。</v>
      </c>
      <c r="I229" s="13" t="str">
        <f ca="1">IFERROR(__xludf.DUMMYFUNCTION("""COMPUTED_VALUE"""),"Wǒ lái jièshào yíxià wǒ de péngyǒu ba.")</f>
        <v>Wǒ lái jièshào yíxià wǒ de péngyǒu ba.</v>
      </c>
      <c r="J229" s="13" t="str">
        <f ca="1">IFERROR(__xludf.DUMMYFUNCTION("""COMPUTED_VALUE"""),"Tôi giới thiệu chút về bạn của tôi.")</f>
        <v>Tôi giới thiệu chút về bạn của tôi.</v>
      </c>
      <c r="K229" s="13" t="str">
        <f ca="1">IFERROR(__xludf.DUMMYFUNCTION("""COMPUTED_VALUE"""),"H2_B4_BG-13.gif")</f>
        <v>H2_B4_BG-13.gif</v>
      </c>
      <c r="L229" s="13" t="str">
        <f ca="1">IFERROR(__xludf.DUMMYFUNCTION("""COMPUTED_VALUE"""),"H2_B4_13.mp3")</f>
        <v>H2_B4_13.mp3</v>
      </c>
      <c r="M229" s="13" t="str">
        <f ca="1">IFERROR(__xludf.DUMMYFUNCTION("""COMPUTED_VALUE"""),"H2_B4_VD_13.mp3")</f>
        <v>H2_B4_VD_13.mp3</v>
      </c>
    </row>
    <row r="230" spans="1:13">
      <c r="A230" s="13">
        <f ca="1">IFERROR(__xludf.DUMMYFUNCTION("""COMPUTED_VALUE"""),1)</f>
        <v>1</v>
      </c>
      <c r="B230" s="13"/>
      <c r="C230" s="13" t="str">
        <f ca="1">IFERROR(__xludf.DUMMYFUNCTION("""COMPUTED_VALUE"""),"外面")</f>
        <v>外面</v>
      </c>
      <c r="D230" s="13" t="str">
        <f ca="1">IFERROR(__xludf.DUMMYFUNCTION("""COMPUTED_VALUE"""),"&lt;ruby&gt;外面&lt;rt&gt;wàimiàn&lt;/rt&gt;&lt;/ruby&gt;")</f>
        <v>&lt;ruby&gt;外面&lt;rt&gt;wàimiàn&lt;/rt&gt;&lt;/ruby&gt;</v>
      </c>
      <c r="E230" s="13" t="str">
        <f ca="1">IFERROR(__xludf.DUMMYFUNCTION("""COMPUTED_VALUE"""),"wàimiàn")</f>
        <v>wàimiàn</v>
      </c>
      <c r="F230" s="13" t="str">
        <f ca="1">IFERROR(__xludf.DUMMYFUNCTION("""COMPUTED_VALUE"""),"Danh từ")</f>
        <v>Danh từ</v>
      </c>
      <c r="G230" s="13" t="str">
        <f ca="1">IFERROR(__xludf.DUMMYFUNCTION("""COMPUTED_VALUE"""),"bên ngoài")</f>
        <v>bên ngoài</v>
      </c>
      <c r="H230" s="13" t="str">
        <f ca="1">IFERROR(__xludf.DUMMYFUNCTION("""COMPUTED_VALUE"""),"这个公寓从外面看起来非常坚固。")</f>
        <v>这个公寓从外面看起来非常坚固。</v>
      </c>
      <c r="I230" s="13" t="str">
        <f ca="1">IFERROR(__xludf.DUMMYFUNCTION("""COMPUTED_VALUE"""),"Zhège gōngyù cóng wàimiàn kàn qǐlái fēicháng jiāngù.")</f>
        <v>Zhège gōngyù cóng wàimiàn kàn qǐlái fēicháng jiāngù.</v>
      </c>
      <c r="J230" s="13" t="str">
        <f ca="1">IFERROR(__xludf.DUMMYFUNCTION("""COMPUTED_VALUE"""),"Chung cư này nhìn bên ngoài rất kiên cố.")</f>
        <v>Chung cư này nhìn bên ngoài rất kiên cố.</v>
      </c>
      <c r="K230" s="13" t="str">
        <f ca="1">IFERROR(__xludf.DUMMYFUNCTION("""COMPUTED_VALUE"""),"H2_B5_BG-01.gif")</f>
        <v>H2_B5_BG-01.gif</v>
      </c>
      <c r="L230" s="13" t="str">
        <f ca="1">IFERROR(__xludf.DUMMYFUNCTION("""COMPUTED_VALUE"""),"H2_B5_1.mp3")</f>
        <v>H2_B5_1.mp3</v>
      </c>
      <c r="M230" s="13" t="str">
        <f ca="1">IFERROR(__xludf.DUMMYFUNCTION("""COMPUTED_VALUE"""),"H2_B5_VD_1.mp3")</f>
        <v>H2_B5_VD_1.mp3</v>
      </c>
    </row>
    <row r="231" spans="1:13">
      <c r="A231" s="13">
        <f ca="1">IFERROR(__xludf.DUMMYFUNCTION("""COMPUTED_VALUE"""),2)</f>
        <v>2</v>
      </c>
      <c r="B231" s="13"/>
      <c r="C231" s="13" t="str">
        <f ca="1">IFERROR(__xludf.DUMMYFUNCTION("""COMPUTED_VALUE"""),"准备")</f>
        <v>准备</v>
      </c>
      <c r="D231" s="13" t="str">
        <f ca="1">IFERROR(__xludf.DUMMYFUNCTION("""COMPUTED_VALUE"""),"&lt;ruby&gt;准备&lt;rt&gt;zhǔnbèi&lt;/rt&gt;&lt;/ruby&gt;")</f>
        <v>&lt;ruby&gt;准备&lt;rt&gt;zhǔnbèi&lt;/rt&gt;&lt;/ruby&gt;</v>
      </c>
      <c r="E231" s="13" t="str">
        <f ca="1">IFERROR(__xludf.DUMMYFUNCTION("""COMPUTED_VALUE"""),"zhǔnbèi")</f>
        <v>zhǔnbèi</v>
      </c>
      <c r="F231" s="13" t="str">
        <f ca="1">IFERROR(__xludf.DUMMYFUNCTION("""COMPUTED_VALUE"""),"Động từ")</f>
        <v>Động từ</v>
      </c>
      <c r="G231" s="13" t="str">
        <f ca="1">IFERROR(__xludf.DUMMYFUNCTION("""COMPUTED_VALUE"""),"định, dự định")</f>
        <v>định, dự định</v>
      </c>
      <c r="H231" s="13" t="str">
        <f ca="1">IFERROR(__xludf.DUMMYFUNCTION("""COMPUTED_VALUE"""),"我正在准备明天的考试。")</f>
        <v>我正在准备明天的考试。</v>
      </c>
      <c r="I231" s="13" t="str">
        <f ca="1">IFERROR(__xludf.DUMMYFUNCTION("""COMPUTED_VALUE"""),"Wǒ zhèngzài zhǔnbèi míngtiān de kǎoshì.")</f>
        <v>Wǒ zhèngzài zhǔnbèi míngtiān de kǎoshì.</v>
      </c>
      <c r="J231" s="13" t="str">
        <f ca="1">IFERROR(__xludf.DUMMYFUNCTION("""COMPUTED_VALUE"""),"Tôi đang chuẩn bị cho kỳ thi ngày mai.")</f>
        <v>Tôi đang chuẩn bị cho kỳ thi ngày mai.</v>
      </c>
      <c r="K231" s="13" t="str">
        <f ca="1">IFERROR(__xludf.DUMMYFUNCTION("""COMPUTED_VALUE"""),"H2_B5_BG-02.gif")</f>
        <v>H2_B5_BG-02.gif</v>
      </c>
      <c r="L231" s="13" t="str">
        <f ca="1">IFERROR(__xludf.DUMMYFUNCTION("""COMPUTED_VALUE"""),"H2_B5_2.mp3")</f>
        <v>H2_B5_2.mp3</v>
      </c>
      <c r="M231" s="13" t="str">
        <f ca="1">IFERROR(__xludf.DUMMYFUNCTION("""COMPUTED_VALUE"""),"H2_B5_VD_2.mp3")</f>
        <v>H2_B5_VD_2.mp3</v>
      </c>
    </row>
    <row r="232" spans="1:13">
      <c r="A232" s="13">
        <f ca="1">IFERROR(__xludf.DUMMYFUNCTION("""COMPUTED_VALUE"""),3)</f>
        <v>3</v>
      </c>
      <c r="B232" s="13"/>
      <c r="C232" s="13" t="str">
        <f ca="1">IFERROR(__xludf.DUMMYFUNCTION("""COMPUTED_VALUE"""),"就")</f>
        <v>就</v>
      </c>
      <c r="D232" s="13" t="str">
        <f ca="1">IFERROR(__xludf.DUMMYFUNCTION("""COMPUTED_VALUE"""),"&lt;ruby&gt;就&lt;rt&gt;jiù&lt;/rt&gt;&lt;/ruby&gt;")</f>
        <v>&lt;ruby&gt;就&lt;rt&gt;jiù&lt;/rt&gt;&lt;/ruby&gt;</v>
      </c>
      <c r="E232" s="13" t="str">
        <f ca="1">IFERROR(__xludf.DUMMYFUNCTION("""COMPUTED_VALUE"""),"jiù")</f>
        <v>jiù</v>
      </c>
      <c r="F232" s="13" t="str">
        <f ca="1">IFERROR(__xludf.DUMMYFUNCTION("""COMPUTED_VALUE"""),"Phó từ")</f>
        <v>Phó từ</v>
      </c>
      <c r="G232" s="13" t="str">
        <f ca="1">IFERROR(__xludf.DUMMYFUNCTION("""COMPUTED_VALUE"""),"được dùng để chỉ một kết luận hay sự kiên quyết")</f>
        <v>được dùng để chỉ một kết luận hay sự kiên quyết</v>
      </c>
      <c r="H232" s="13" t="str">
        <f ca="1">IFERROR(__xludf.DUMMYFUNCTION("""COMPUTED_VALUE"""),"电影马上就要开始了。")</f>
        <v>电影马上就要开始了。</v>
      </c>
      <c r="I232" s="13" t="str">
        <f ca="1">IFERROR(__xludf.DUMMYFUNCTION("""COMPUTED_VALUE"""),"Diànyǐng mǎshàng jiù yào kāishǐ le.")</f>
        <v>Diànyǐng mǎshàng jiù yào kāishǐ le.</v>
      </c>
      <c r="J232" s="13" t="str">
        <f ca="1">IFERROR(__xludf.DUMMYFUNCTION("""COMPUTED_VALUE"""),"Bộ phim sắp bắt đầu ngay bây giờ.")</f>
        <v>Bộ phim sắp bắt đầu ngay bây giờ.</v>
      </c>
      <c r="K232" s="13" t="str">
        <f ca="1">IFERROR(__xludf.DUMMYFUNCTION("""COMPUTED_VALUE"""),"H2_B5_BG-03.gif")</f>
        <v>H2_B5_BG-03.gif</v>
      </c>
      <c r="L232" s="13" t="str">
        <f ca="1">IFERROR(__xludf.DUMMYFUNCTION("""COMPUTED_VALUE"""),"H2_B5_3.mp3")</f>
        <v>H2_B5_3.mp3</v>
      </c>
      <c r="M232" s="13" t="str">
        <f ca="1">IFERROR(__xludf.DUMMYFUNCTION("""COMPUTED_VALUE"""),"H2_B5_VD_3.mp3")</f>
        <v>H2_B5_VD_3.mp3</v>
      </c>
    </row>
    <row r="233" spans="1:13">
      <c r="A233" s="13">
        <f ca="1">IFERROR(__xludf.DUMMYFUNCTION("""COMPUTED_VALUE"""),4)</f>
        <v>4</v>
      </c>
      <c r="B233" s="13"/>
      <c r="C233" s="13" t="str">
        <f ca="1">IFERROR(__xludf.DUMMYFUNCTION("""COMPUTED_VALUE"""),"吧")</f>
        <v>吧</v>
      </c>
      <c r="D233" s="13" t="str">
        <f ca="1">IFERROR(__xludf.DUMMYFUNCTION("""COMPUTED_VALUE"""),"&lt;ruby&gt;吧&lt;rt&gt;ba&lt;/rt&gt;&lt;/ruby&gt;")</f>
        <v>&lt;ruby&gt;吧&lt;rt&gt;ba&lt;/rt&gt;&lt;/ruby&gt;</v>
      </c>
      <c r="E233" s="13" t="str">
        <f ca="1">IFERROR(__xludf.DUMMYFUNCTION("""COMPUTED_VALUE"""),"ba")</f>
        <v>ba</v>
      </c>
      <c r="F233" s="13" t="str">
        <f ca="1">IFERROR(__xludf.DUMMYFUNCTION("""COMPUTED_VALUE"""),"Trợ từ")</f>
        <v>Trợ từ</v>
      </c>
      <c r="G233" s="13" t="str">
        <f ca="1">IFERROR(__xludf.DUMMYFUNCTION("""COMPUTED_VALUE"""),"được dùng ở cuối câu để chỉ sự thương lượng, lời đề nghị, thỉnh cầu hay mệnh lệnh")</f>
        <v>được dùng ở cuối câu để chỉ sự thương lượng, lời đề nghị, thỉnh cầu hay mệnh lệnh</v>
      </c>
      <c r="H233" s="13" t="str">
        <f ca="1">IFERROR(__xludf.DUMMYFUNCTION("""COMPUTED_VALUE"""),"我们早点出发吧。")</f>
        <v>我们早点出发吧。</v>
      </c>
      <c r="I233" s="13" t="str">
        <f ca="1">IFERROR(__xludf.DUMMYFUNCTION("""COMPUTED_VALUE"""),"Wǒmen zǎodiǎn chūfā ba.")</f>
        <v>Wǒmen zǎodiǎn chūfā ba.</v>
      </c>
      <c r="J233" s="13" t="str">
        <f ca="1">IFERROR(__xludf.DUMMYFUNCTION("""COMPUTED_VALUE"""),"Chúng ta xuất phát sớm một chút nhé.")</f>
        <v>Chúng ta xuất phát sớm một chút nhé.</v>
      </c>
      <c r="K233" s="13" t="str">
        <f ca="1">IFERROR(__xludf.DUMMYFUNCTION("""COMPUTED_VALUE"""),"H2_B5_BG-04.gif")</f>
        <v>H2_B5_BG-04.gif</v>
      </c>
      <c r="L233" s="13" t="str">
        <f ca="1">IFERROR(__xludf.DUMMYFUNCTION("""COMPUTED_VALUE"""),"H2_B5_4.mp3")</f>
        <v>H2_B5_4.mp3</v>
      </c>
      <c r="M233" s="13" t="str">
        <f ca="1">IFERROR(__xludf.DUMMYFUNCTION("""COMPUTED_VALUE"""),"H2_B5_VD_4.mp3")</f>
        <v>H2_B5_VD_4.mp3</v>
      </c>
    </row>
    <row r="234" spans="1:13">
      <c r="A234" s="13">
        <f ca="1">IFERROR(__xludf.DUMMYFUNCTION("""COMPUTED_VALUE"""),5)</f>
        <v>5</v>
      </c>
      <c r="B234" s="13"/>
      <c r="C234" s="13" t="str">
        <f ca="1">IFERROR(__xludf.DUMMYFUNCTION("""COMPUTED_VALUE"""),"对")</f>
        <v>对</v>
      </c>
      <c r="D234" s="13" t="str">
        <f ca="1">IFERROR(__xludf.DUMMYFUNCTION("""COMPUTED_VALUE"""),"&lt;ruby&gt;对&lt;rt&gt;duì&lt;/rt&gt;&lt;/ruby&gt;")</f>
        <v>&lt;ruby&gt;对&lt;rt&gt;duì&lt;/rt&gt;&lt;/ruby&gt;</v>
      </c>
      <c r="E234" s="13" t="str">
        <f ca="1">IFERROR(__xludf.DUMMYFUNCTION("""COMPUTED_VALUE"""),"duì")</f>
        <v>duì</v>
      </c>
      <c r="F234" s="13" t="str">
        <f ca="1">IFERROR(__xludf.DUMMYFUNCTION("""COMPUTED_VALUE"""),"Giới từ")</f>
        <v>Giới từ</v>
      </c>
      <c r="G234" s="13" t="str">
        <f ca="1">IFERROR(__xludf.DUMMYFUNCTION("""COMPUTED_VALUE"""),"(được dùng trước danh từ hay đại từ) đối với, cho")</f>
        <v>(được dùng trước danh từ hay đại từ) đối với, cho</v>
      </c>
      <c r="H234" s="13" t="str">
        <f ca="1">IFERROR(__xludf.DUMMYFUNCTION("""COMPUTED_VALUE"""),"他对这份工作很有信心。")</f>
        <v>他对这份工作很有信心。</v>
      </c>
      <c r="I234" s="13" t="str">
        <f ca="1">IFERROR(__xludf.DUMMYFUNCTION("""COMPUTED_VALUE"""),"Tā duì zhè fèn gōngzuò hěn yǒu xìnxīn.")</f>
        <v>Tā duì zhè fèn gōngzuò hěn yǒu xìnxīn.</v>
      </c>
      <c r="J234" s="13" t="str">
        <f ca="1">IFERROR(__xludf.DUMMYFUNCTION("""COMPUTED_VALUE"""),"Anh ấy tự tin về công việc này.")</f>
        <v>Anh ấy tự tin về công việc này.</v>
      </c>
      <c r="K234" s="13" t="str">
        <f ca="1">IFERROR(__xludf.DUMMYFUNCTION("""COMPUTED_VALUE"""),"H2_B5_BG-05.gif")</f>
        <v>H2_B5_BG-05.gif</v>
      </c>
      <c r="L234" s="13" t="str">
        <f ca="1">IFERROR(__xludf.DUMMYFUNCTION("""COMPUTED_VALUE"""),"H2_B5_5.mp3")</f>
        <v>H2_B5_5.mp3</v>
      </c>
      <c r="M234" s="13" t="str">
        <f ca="1">IFERROR(__xludf.DUMMYFUNCTION("""COMPUTED_VALUE"""),"H2_B5_VD_5.mp3")</f>
        <v>H2_B5_VD_5.mp3</v>
      </c>
    </row>
    <row r="235" spans="1:13">
      <c r="A235" s="13">
        <f ca="1">IFERROR(__xludf.DUMMYFUNCTION("""COMPUTED_VALUE"""),6)</f>
        <v>6</v>
      </c>
      <c r="B235" s="13"/>
      <c r="C235" s="13" t="str">
        <f ca="1">IFERROR(__xludf.DUMMYFUNCTION("""COMPUTED_VALUE"""),"以后")</f>
        <v>以后</v>
      </c>
      <c r="D235" s="13" t="str">
        <f ca="1">IFERROR(__xludf.DUMMYFUNCTION("""COMPUTED_VALUE"""),"&lt;ruby&gt;以后&lt;rt&gt;yǐhòu&lt;/rt&gt;&lt;/ruby&gt;")</f>
        <v>&lt;ruby&gt;以后&lt;rt&gt;yǐhòu&lt;/rt&gt;&lt;/ruby&gt;</v>
      </c>
      <c r="E235" s="13" t="str">
        <f ca="1">IFERROR(__xludf.DUMMYFUNCTION("""COMPUTED_VALUE"""),"yǐhòu")</f>
        <v>yǐhòu</v>
      </c>
      <c r="F235" s="13" t="str">
        <f ca="1">IFERROR(__xludf.DUMMYFUNCTION("""COMPUTED_VALUE"""),"Danh từ")</f>
        <v>Danh từ</v>
      </c>
      <c r="G235" s="13" t="str">
        <f ca="1">IFERROR(__xludf.DUMMYFUNCTION("""COMPUTED_VALUE"""),"sau này")</f>
        <v>sau này</v>
      </c>
      <c r="H235" s="13" t="str">
        <f ca="1">IFERROR(__xludf.DUMMYFUNCTION("""COMPUTED_VALUE"""),"以后我想成为一名医生。")</f>
        <v>以后我想成为一名医生。</v>
      </c>
      <c r="I235" s="13" t="str">
        <f ca="1">IFERROR(__xludf.DUMMYFUNCTION("""COMPUTED_VALUE"""),"Yǐhòu wǒ xiǎng chéngwéi yì míng yīshēng.")</f>
        <v>Yǐhòu wǒ xiǎng chéngwéi yì míng yīshēng.</v>
      </c>
      <c r="J235" s="13" t="str">
        <f ca="1">IFERROR(__xludf.DUMMYFUNCTION("""COMPUTED_VALUE"""),"Về sau mình muốn trở thành bác sĩ.")</f>
        <v>Về sau mình muốn trở thành bác sĩ.</v>
      </c>
      <c r="K235" s="13" t="str">
        <f ca="1">IFERROR(__xludf.DUMMYFUNCTION("""COMPUTED_VALUE"""),"H2_B5_BG-06.gif")</f>
        <v>H2_B5_BG-06.gif</v>
      </c>
      <c r="L235" s="13" t="str">
        <f ca="1">IFERROR(__xludf.DUMMYFUNCTION("""COMPUTED_VALUE"""),"H2_B5_6.mp3")</f>
        <v>H2_B5_6.mp3</v>
      </c>
      <c r="M235" s="13" t="str">
        <f ca="1">IFERROR(__xludf.DUMMYFUNCTION("""COMPUTED_VALUE"""),"H2_B5_VD_6.mp3")</f>
        <v>H2_B5_VD_6.mp3</v>
      </c>
    </row>
    <row r="236" spans="1:13">
      <c r="A236" s="13">
        <f ca="1">IFERROR(__xludf.DUMMYFUNCTION("""COMPUTED_VALUE"""),7)</f>
        <v>7</v>
      </c>
      <c r="B236" s="13"/>
      <c r="C236" s="13" t="str">
        <f ca="1">IFERROR(__xludf.DUMMYFUNCTION("""COMPUTED_VALUE"""),"考试")</f>
        <v>考试</v>
      </c>
      <c r="D236" s="13" t="str">
        <f ca="1">IFERROR(__xludf.DUMMYFUNCTION("""COMPUTED_VALUE"""),"&lt;ruby&gt;考试&lt;rt&gt;kǎoshì&lt;/rt&gt;&lt;/ruby&gt;")</f>
        <v>&lt;ruby&gt;考试&lt;rt&gt;kǎoshì&lt;/rt&gt;&lt;/ruby&gt;</v>
      </c>
      <c r="E236" s="13" t="str">
        <f ca="1">IFERROR(__xludf.DUMMYFUNCTION("""COMPUTED_VALUE"""),"kǎoshì")</f>
        <v>kǎoshì</v>
      </c>
      <c r="F236" s="13" t="str">
        <f ca="1">IFERROR(__xludf.DUMMYFUNCTION("""COMPUTED_VALUE"""),"Danh từ")</f>
        <v>Danh từ</v>
      </c>
      <c r="G236" s="13" t="str">
        <f ca="1">IFERROR(__xludf.DUMMYFUNCTION("""COMPUTED_VALUE"""),"cuộc thi, bài kiểm tra")</f>
        <v>cuộc thi, bài kiểm tra</v>
      </c>
      <c r="H236" s="13" t="str">
        <f ca="1">IFERROR(__xludf.DUMMYFUNCTION("""COMPUTED_VALUE"""),"我期中考试没考好。")</f>
        <v>我期中考试没考好。</v>
      </c>
      <c r="I236" s="13" t="str">
        <f ca="1">IFERROR(__xludf.DUMMYFUNCTION("""COMPUTED_VALUE"""),"Wǒ qīzhōng kǎoshì méi kǎo hǎo.")</f>
        <v>Wǒ qīzhōng kǎoshì méi kǎo hǎo.</v>
      </c>
      <c r="J236" s="13" t="str">
        <f ca="1">IFERROR(__xludf.DUMMYFUNCTION("""COMPUTED_VALUE"""),"Tôi đã không làm tốt bài kiểm tra giữa kỳ.")</f>
        <v>Tôi đã không làm tốt bài kiểm tra giữa kỳ.</v>
      </c>
      <c r="K236" s="13" t="str">
        <f ca="1">IFERROR(__xludf.DUMMYFUNCTION("""COMPUTED_VALUE"""),"H2_B5_BG-07.gif")</f>
        <v>H2_B5_BG-07.gif</v>
      </c>
      <c r="L236" s="13" t="str">
        <f ca="1">IFERROR(__xludf.DUMMYFUNCTION("""COMPUTED_VALUE"""),"H2_B5_7.mp3")</f>
        <v>H2_B5_7.mp3</v>
      </c>
      <c r="M236" s="13" t="str">
        <f ca="1">IFERROR(__xludf.DUMMYFUNCTION("""COMPUTED_VALUE"""),"H2_B5_VD_7.mp3")</f>
        <v>H2_B5_VD_7.mp3</v>
      </c>
    </row>
    <row r="237" spans="1:13">
      <c r="A237" s="13">
        <f ca="1">IFERROR(__xludf.DUMMYFUNCTION("""COMPUTED_VALUE"""),8)</f>
        <v>8</v>
      </c>
      <c r="B237" s="13"/>
      <c r="C237" s="13" t="str">
        <f ca="1">IFERROR(__xludf.DUMMYFUNCTION("""COMPUTED_VALUE"""),"鱼")</f>
        <v>鱼</v>
      </c>
      <c r="D237" s="13" t="str">
        <f ca="1">IFERROR(__xludf.DUMMYFUNCTION("""COMPUTED_VALUE"""),"&lt;ruby&gt;鱼&lt;rt&gt;yú&lt;/rt&gt;&lt;/ruby&gt;")</f>
        <v>&lt;ruby&gt;鱼&lt;rt&gt;yú&lt;/rt&gt;&lt;/ruby&gt;</v>
      </c>
      <c r="E237" s="13" t="str">
        <f ca="1">IFERROR(__xludf.DUMMYFUNCTION("""COMPUTED_VALUE"""),"yú")</f>
        <v>yú</v>
      </c>
      <c r="F237" s="13" t="str">
        <f ca="1">IFERROR(__xludf.DUMMYFUNCTION("""COMPUTED_VALUE"""),"Danh từ")</f>
        <v>Danh từ</v>
      </c>
      <c r="G237" s="13" t="str">
        <f ca="1">IFERROR(__xludf.DUMMYFUNCTION("""COMPUTED_VALUE"""),"cá, món cá")</f>
        <v>cá, món cá</v>
      </c>
      <c r="H237" s="13" t="str">
        <f ca="1">IFERROR(__xludf.DUMMYFUNCTION("""COMPUTED_VALUE"""),"我不太喜欢吃鱼。")</f>
        <v>我不太喜欢吃鱼。</v>
      </c>
      <c r="I237" s="13" t="str">
        <f ca="1">IFERROR(__xludf.DUMMYFUNCTION("""COMPUTED_VALUE"""),"Wǒ bú tài xǐhuan chī yú.")</f>
        <v>Wǒ bú tài xǐhuan chī yú.</v>
      </c>
      <c r="J237" s="13" t="str">
        <f ca="1">IFERROR(__xludf.DUMMYFUNCTION("""COMPUTED_VALUE"""),"Tôi không thích ăn cá.")</f>
        <v>Tôi không thích ăn cá.</v>
      </c>
      <c r="K237" s="13" t="str">
        <f ca="1">IFERROR(__xludf.DUMMYFUNCTION("""COMPUTED_VALUE"""),"H2_B5_BG-08.gif")</f>
        <v>H2_B5_BG-08.gif</v>
      </c>
      <c r="L237" s="13" t="str">
        <f ca="1">IFERROR(__xludf.DUMMYFUNCTION("""COMPUTED_VALUE"""),"H2_B5_8.mp3")</f>
        <v>H2_B5_8.mp3</v>
      </c>
      <c r="M237" s="13" t="str">
        <f ca="1">IFERROR(__xludf.DUMMYFUNCTION("""COMPUTED_VALUE"""),"H2_B5_VD_8.mp3")</f>
        <v>H2_B5_VD_8.mp3</v>
      </c>
    </row>
    <row r="238" spans="1:13">
      <c r="A238" s="13">
        <f ca="1">IFERROR(__xludf.DUMMYFUNCTION("""COMPUTED_VALUE"""),9)</f>
        <v>9</v>
      </c>
      <c r="B238" s="13"/>
      <c r="C238" s="13" t="str">
        <f ca="1">IFERROR(__xludf.DUMMYFUNCTION("""COMPUTED_VALUE"""),"件")</f>
        <v>件</v>
      </c>
      <c r="D238" s="13" t="str">
        <f ca="1">IFERROR(__xludf.DUMMYFUNCTION("""COMPUTED_VALUE"""),"&lt;ruby&gt;件&lt;rt&gt;jiàn&lt;/rt&gt;&lt;/ruby&gt;")</f>
        <v>&lt;ruby&gt;件&lt;rt&gt;jiàn&lt;/rt&gt;&lt;/ruby&gt;</v>
      </c>
      <c r="E238" s="13" t="str">
        <f ca="1">IFERROR(__xludf.DUMMYFUNCTION("""COMPUTED_VALUE"""),"jiàn")</f>
        <v>jiàn</v>
      </c>
      <c r="F238" s="13" t="str">
        <f ca="1">IFERROR(__xludf.DUMMYFUNCTION("""COMPUTED_VALUE"""),"Lượng từ")</f>
        <v>Lượng từ</v>
      </c>
      <c r="G238" s="13" t="str">
        <f ca="1">IFERROR(__xludf.DUMMYFUNCTION("""COMPUTED_VALUE"""),"(được dùng cho áo) cái, chiếc")</f>
        <v>(được dùng cho áo) cái, chiếc</v>
      </c>
      <c r="H238" s="13" t="str">
        <f ca="1">IFERROR(__xludf.DUMMYFUNCTION("""COMPUTED_VALUE"""),"那件衣服有点宽。")</f>
        <v>那件衣服有点宽。</v>
      </c>
      <c r="I238" s="13" t="str">
        <f ca="1">IFERROR(__xludf.DUMMYFUNCTION("""COMPUTED_VALUE"""),"Nà jiàn yīfu yǒudiǎn kuān.")</f>
        <v>Nà jiàn yīfu yǒudiǎn kuān.</v>
      </c>
      <c r="J238" s="13" t="str">
        <f ca="1">IFERROR(__xludf.DUMMYFUNCTION("""COMPUTED_VALUE"""),"Bộ đồ đó hơi rộng.")</f>
        <v>Bộ đồ đó hơi rộng.</v>
      </c>
      <c r="K238" s="13" t="str">
        <f ca="1">IFERROR(__xludf.DUMMYFUNCTION("""COMPUTED_VALUE"""),"H2_B5_BG-09.gif")</f>
        <v>H2_B5_BG-09.gif</v>
      </c>
      <c r="L238" s="13" t="str">
        <f ca="1">IFERROR(__xludf.DUMMYFUNCTION("""COMPUTED_VALUE"""),"H2_B5_9.mp3")</f>
        <v>H2_B5_9.mp3</v>
      </c>
      <c r="M238" s="13" t="str">
        <f ca="1">IFERROR(__xludf.DUMMYFUNCTION("""COMPUTED_VALUE"""),"H2_B5_VD_9.mp3")</f>
        <v>H2_B5_VD_9.mp3</v>
      </c>
    </row>
    <row r="239" spans="1:13">
      <c r="A239" s="13">
        <f ca="1">IFERROR(__xludf.DUMMYFUNCTION("""COMPUTED_VALUE"""),10)</f>
        <v>10</v>
      </c>
      <c r="B239" s="13"/>
      <c r="C239" s="13" t="str">
        <f ca="1">IFERROR(__xludf.DUMMYFUNCTION("""COMPUTED_VALUE"""),"还")</f>
        <v>还</v>
      </c>
      <c r="D239" s="13" t="str">
        <f ca="1">IFERROR(__xludf.DUMMYFUNCTION("""COMPUTED_VALUE"""),"&lt;ruby&gt;还&lt;rt&gt;hái&lt;/rt&gt;&lt;/ruby&gt;")</f>
        <v>&lt;ruby&gt;还&lt;rt&gt;hái&lt;/rt&gt;&lt;/ruby&gt;</v>
      </c>
      <c r="E239" s="13" t="str">
        <f ca="1">IFERROR(__xludf.DUMMYFUNCTION("""COMPUTED_VALUE"""),"hái")</f>
        <v>hái</v>
      </c>
      <c r="F239" s="13" t="str">
        <f ca="1">IFERROR(__xludf.DUMMYFUNCTION("""COMPUTED_VALUE"""),"Phó từ")</f>
        <v>Phó từ</v>
      </c>
      <c r="G239" s="13" t="str">
        <f ca="1">IFERROR(__xludf.DUMMYFUNCTION("""COMPUTED_VALUE"""),"cũng, khá")</f>
        <v>cũng, khá</v>
      </c>
      <c r="H239" s="13" t="str">
        <f ca="1">IFERROR(__xludf.DUMMYFUNCTION("""COMPUTED_VALUE"""),"这顿饭做得还可以。")</f>
        <v>这顿饭做得还可以。</v>
      </c>
      <c r="I239" s="13" t="str">
        <f ca="1">IFERROR(__xludf.DUMMYFUNCTION("""COMPUTED_VALUE"""),"Zhè dùn fàn zuò de hái kěyǐ.")</f>
        <v>Zhè dùn fàn zuò de hái kěyǐ.</v>
      </c>
      <c r="J239" s="13" t="str">
        <f ca="1">IFERROR(__xludf.DUMMYFUNCTION("""COMPUTED_VALUE"""),"Bữa ăn này nấu cũng tạm ổn.")</f>
        <v>Bữa ăn này nấu cũng tạm ổn.</v>
      </c>
      <c r="K239" s="13" t="str">
        <f ca="1">IFERROR(__xludf.DUMMYFUNCTION("""COMPUTED_VALUE"""),"H2_B5_BG-10.gif")</f>
        <v>H2_B5_BG-10.gif</v>
      </c>
      <c r="L239" s="13" t="str">
        <f ca="1">IFERROR(__xludf.DUMMYFUNCTION("""COMPUTED_VALUE"""),"H2_B5_10.mp3")</f>
        <v>H2_B5_10.mp3</v>
      </c>
      <c r="M239" s="13" t="str">
        <f ca="1">IFERROR(__xludf.DUMMYFUNCTION("""COMPUTED_VALUE"""),"H2_B5_VD_10.mp3")</f>
        <v>H2_B5_VD_10.mp3</v>
      </c>
    </row>
    <row r="240" spans="1:13">
      <c r="A240" s="13">
        <f ca="1">IFERROR(__xludf.DUMMYFUNCTION("""COMPUTED_VALUE"""),11)</f>
        <v>11</v>
      </c>
      <c r="B240" s="13"/>
      <c r="C240" s="13" t="str">
        <f ca="1">IFERROR(__xludf.DUMMYFUNCTION("""COMPUTED_VALUE"""),"可以")</f>
        <v>可以</v>
      </c>
      <c r="D240" s="13" t="str">
        <f ca="1">IFERROR(__xludf.DUMMYFUNCTION("""COMPUTED_VALUE"""),"&lt;ruby&gt;可以&lt;rt&gt;kěyǐ&lt;/rt&gt;&lt;/ruby&gt;")</f>
        <v>&lt;ruby&gt;可以&lt;rt&gt;kěyǐ&lt;/rt&gt;&lt;/ruby&gt;</v>
      </c>
      <c r="E240" s="13" t="str">
        <f ca="1">IFERROR(__xludf.DUMMYFUNCTION("""COMPUTED_VALUE"""),"kěyǐ")</f>
        <v>kěyǐ</v>
      </c>
      <c r="F240" s="13" t="str">
        <f ca="1">IFERROR(__xludf.DUMMYFUNCTION("""COMPUTED_VALUE"""),"Tính từ")</f>
        <v>Tính từ</v>
      </c>
      <c r="G240" s="13" t="str">
        <f ca="1">IFERROR(__xludf.DUMMYFUNCTION("""COMPUTED_VALUE"""),"không tệ, tạm được")</f>
        <v>không tệ, tạm được</v>
      </c>
      <c r="H240" s="13" t="str">
        <f ca="1">IFERROR(__xludf.DUMMYFUNCTION("""COMPUTED_VALUE"""),"他说他可以帮忙。")</f>
        <v>他说他可以帮忙。</v>
      </c>
      <c r="I240" s="13" t="str">
        <f ca="1">IFERROR(__xludf.DUMMYFUNCTION("""COMPUTED_VALUE"""),"Tā shuō tā kěyǐ bāngmáng.")</f>
        <v>Tā shuō tā kěyǐ bāngmáng.</v>
      </c>
      <c r="J240" s="13" t="str">
        <f ca="1">IFERROR(__xludf.DUMMYFUNCTION("""COMPUTED_VALUE"""),"Anh ấy nói anh ấy có thể giúp đỡ.")</f>
        <v>Anh ấy nói anh ấy có thể giúp đỡ.</v>
      </c>
      <c r="K240" s="13" t="str">
        <f ca="1">IFERROR(__xludf.DUMMYFUNCTION("""COMPUTED_VALUE"""),"H2_B5_BG-11.gif")</f>
        <v>H2_B5_BG-11.gif</v>
      </c>
      <c r="L240" s="13" t="str">
        <f ca="1">IFERROR(__xludf.DUMMYFUNCTION("""COMPUTED_VALUE"""),"H2_B5_11.mp3")</f>
        <v>H2_B5_11.mp3</v>
      </c>
      <c r="M240" s="13" t="str">
        <f ca="1">IFERROR(__xludf.DUMMYFUNCTION("""COMPUTED_VALUE"""),"H2_B5_VD_11.mp3")</f>
        <v>H2_B5_VD_11.mp3</v>
      </c>
    </row>
    <row r="241" spans="1:13">
      <c r="A241" s="13">
        <f ca="1">IFERROR(__xludf.DUMMYFUNCTION("""COMPUTED_VALUE"""),12)</f>
        <v>12</v>
      </c>
      <c r="B241" s="13"/>
      <c r="C241" s="13" t="str">
        <f ca="1">IFERROR(__xludf.DUMMYFUNCTION("""COMPUTED_VALUE"""),"不错")</f>
        <v>不错</v>
      </c>
      <c r="D241" s="13" t="str">
        <f ca="1">IFERROR(__xludf.DUMMYFUNCTION("""COMPUTED_VALUE"""),"&lt;ruby&gt;不错&lt;rt&gt;bùcuò&lt;/rt&gt;&lt;/ruby&gt;")</f>
        <v>&lt;ruby&gt;不错&lt;rt&gt;bùcuò&lt;/rt&gt;&lt;/ruby&gt;</v>
      </c>
      <c r="E241" s="13" t="str">
        <f ca="1">IFERROR(__xludf.DUMMYFUNCTION("""COMPUTED_VALUE"""),"bùcuò")</f>
        <v>bùcuò</v>
      </c>
      <c r="F241" s="13" t="str">
        <f ca="1">IFERROR(__xludf.DUMMYFUNCTION("""COMPUTED_VALUE"""),"Tính từ")</f>
        <v>Tính từ</v>
      </c>
      <c r="G241" s="13" t="str">
        <f ca="1">IFERROR(__xludf.DUMMYFUNCTION("""COMPUTED_VALUE"""),"tuyệt, khá tốt")</f>
        <v>tuyệt, khá tốt</v>
      </c>
      <c r="H241" s="13" t="str">
        <f ca="1">IFERROR(__xludf.DUMMYFUNCTION("""COMPUTED_VALUE"""),"你做得不错！")</f>
        <v>你做得不错！</v>
      </c>
      <c r="I241" s="13" t="str">
        <f ca="1">IFERROR(__xludf.DUMMYFUNCTION("""COMPUTED_VALUE"""),"Nǐ zuò de búcuò!")</f>
        <v>Nǐ zuò de búcuò!</v>
      </c>
      <c r="J241" s="13" t="str">
        <f ca="1">IFERROR(__xludf.DUMMYFUNCTION("""COMPUTED_VALUE"""),"Cậu làm tốt lắm.")</f>
        <v>Cậu làm tốt lắm.</v>
      </c>
      <c r="K241" s="13" t="str">
        <f ca="1">IFERROR(__xludf.DUMMYFUNCTION("""COMPUTED_VALUE"""),"H2_B5_BG-12.gif")</f>
        <v>H2_B5_BG-12.gif</v>
      </c>
      <c r="L241" s="13" t="str">
        <f ca="1">IFERROR(__xludf.DUMMYFUNCTION("""COMPUTED_VALUE"""),"H2_B5_12.mp3")</f>
        <v>H2_B5_12.mp3</v>
      </c>
      <c r="M241" s="13" t="str">
        <f ca="1">IFERROR(__xludf.DUMMYFUNCTION("""COMPUTED_VALUE"""),"H2_B5_VD_12.mp3")</f>
        <v>H2_B5_VD_12.mp3</v>
      </c>
    </row>
    <row r="242" spans="1:13">
      <c r="A242" s="13">
        <f ca="1">IFERROR(__xludf.DUMMYFUNCTION("""COMPUTED_VALUE"""),13)</f>
        <v>13</v>
      </c>
      <c r="B242" s="13"/>
      <c r="C242" s="13" t="str">
        <f ca="1">IFERROR(__xludf.DUMMYFUNCTION("""COMPUTED_VALUE"""),"咖啡")</f>
        <v>咖啡</v>
      </c>
      <c r="D242" s="13" t="str">
        <f ca="1">IFERROR(__xludf.DUMMYFUNCTION("""COMPUTED_VALUE"""),"&lt;ruby&gt;咖啡&lt;rt&gt;kāfēi&lt;/rt&gt;&lt;/ruby&gt;")</f>
        <v>&lt;ruby&gt;咖啡&lt;rt&gt;kāfēi&lt;/rt&gt;&lt;/ruby&gt;</v>
      </c>
      <c r="E242" s="13" t="str">
        <f ca="1">IFERROR(__xludf.DUMMYFUNCTION("""COMPUTED_VALUE"""),"kāfēi")</f>
        <v>kāfēi</v>
      </c>
      <c r="F242" s="13" t="str">
        <f ca="1">IFERROR(__xludf.DUMMYFUNCTION("""COMPUTED_VALUE"""),"Danh từ")</f>
        <v>Danh từ</v>
      </c>
      <c r="G242" s="13" t="str">
        <f ca="1">IFERROR(__xludf.DUMMYFUNCTION("""COMPUTED_VALUE"""),"cà phê")</f>
        <v>cà phê</v>
      </c>
      <c r="H242" s="13" t="str">
        <f ca="1">IFERROR(__xludf.DUMMYFUNCTION("""COMPUTED_VALUE"""),"我早上经常喝咖啡。")</f>
        <v>我早上经常喝咖啡。</v>
      </c>
      <c r="I242" s="13" t="str">
        <f ca="1">IFERROR(__xludf.DUMMYFUNCTION("""COMPUTED_VALUE"""),"Wǒ zǎoshang jīngcháng hē kāfēi.")</f>
        <v>Wǒ zǎoshang jīngcháng hē kāfēi.</v>
      </c>
      <c r="J242" s="13" t="str">
        <f ca="1">IFERROR(__xludf.DUMMYFUNCTION("""COMPUTED_VALUE"""),"Tôi thường uống cà phê vào mỗi sáng.")</f>
        <v>Tôi thường uống cà phê vào mỗi sáng.</v>
      </c>
      <c r="K242" s="13" t="str">
        <f ca="1">IFERROR(__xludf.DUMMYFUNCTION("""COMPUTED_VALUE"""),"H2_B5_BG-13.gif")</f>
        <v>H2_B5_BG-13.gif</v>
      </c>
      <c r="L242" s="13" t="str">
        <f ca="1">IFERROR(__xludf.DUMMYFUNCTION("""COMPUTED_VALUE"""),"H2_B5_13.mp3")</f>
        <v>H2_B5_13.mp3</v>
      </c>
      <c r="M242" s="13" t="str">
        <f ca="1">IFERROR(__xludf.DUMMYFUNCTION("""COMPUTED_VALUE"""),"H2_B5_VD_13.mp3")</f>
        <v>H2_B5_VD_13.mp3</v>
      </c>
    </row>
    <row r="243" spans="1:13">
      <c r="A243" s="13">
        <f ca="1">IFERROR(__xludf.DUMMYFUNCTION("""COMPUTED_VALUE"""),14)</f>
        <v>14</v>
      </c>
      <c r="B243" s="13"/>
      <c r="C243" s="13" t="str">
        <f ca="1">IFERROR(__xludf.DUMMYFUNCTION("""COMPUTED_VALUE"""),"意思")</f>
        <v>意思</v>
      </c>
      <c r="D243" s="13" t="str">
        <f ca="1">IFERROR(__xludf.DUMMYFUNCTION("""COMPUTED_VALUE"""),"&lt;ruby&gt;意思&lt;rt&gt;yìsi&lt;/rt&gt;&lt;/ruby&gt;")</f>
        <v>&lt;ruby&gt;意思&lt;rt&gt;yìsi&lt;/rt&gt;&lt;/ruby&gt;</v>
      </c>
      <c r="E243" s="13" t="str">
        <f ca="1">IFERROR(__xludf.DUMMYFUNCTION("""COMPUTED_VALUE"""),"yìsi")</f>
        <v>yìsi</v>
      </c>
      <c r="F243" s="13" t="str">
        <f ca="1">IFERROR(__xludf.DUMMYFUNCTION("""COMPUTED_VALUE"""),"Danh từ")</f>
        <v>Danh từ</v>
      </c>
      <c r="G243" s="13" t="str">
        <f ca="1">IFERROR(__xludf.DUMMYFUNCTION("""COMPUTED_VALUE"""),"nghĩa, ý nghĩa")</f>
        <v>nghĩa, ý nghĩa</v>
      </c>
      <c r="H243" s="13" t="str">
        <f ca="1">IFERROR(__xludf.DUMMYFUNCTION("""COMPUTED_VALUE"""),"这个汉字的意思是什么？")</f>
        <v>这个汉字的意思是什么？</v>
      </c>
      <c r="I243" s="13" t="str">
        <f ca="1">IFERROR(__xludf.DUMMYFUNCTION("""COMPUTED_VALUE"""),"Zhège hànzì de yìsi shì shénme?")</f>
        <v>Zhège hànzì de yìsi shì shénme?</v>
      </c>
      <c r="J243" s="13" t="str">
        <f ca="1">IFERROR(__xludf.DUMMYFUNCTION("""COMPUTED_VALUE"""),"Nghĩa của chữ hán này là gì?")</f>
        <v>Nghĩa của chữ hán này là gì?</v>
      </c>
      <c r="K243" s="13" t="str">
        <f ca="1">IFERROR(__xludf.DUMMYFUNCTION("""COMPUTED_VALUE"""),"H2_B5_BG-14.gif")</f>
        <v>H2_B5_BG-14.gif</v>
      </c>
      <c r="L243" s="13" t="str">
        <f ca="1">IFERROR(__xludf.DUMMYFUNCTION("""COMPUTED_VALUE"""),"H2_B5_14.mp3")</f>
        <v>H2_B5_14.mp3</v>
      </c>
      <c r="M243" s="13" t="str">
        <f ca="1">IFERROR(__xludf.DUMMYFUNCTION("""COMPUTED_VALUE"""),"H2_B5_VD_14.mp3")</f>
        <v>H2_B5_VD_14.mp3</v>
      </c>
    </row>
    <row r="244" spans="1:13">
      <c r="A244" s="13">
        <f ca="1">IFERROR(__xludf.DUMMYFUNCTION("""COMPUTED_VALUE"""),1)</f>
        <v>1</v>
      </c>
      <c r="B244" s="13"/>
      <c r="C244" s="13" t="str">
        <f ca="1">IFERROR(__xludf.DUMMYFUNCTION("""COMPUTED_VALUE"""),"门")</f>
        <v>门</v>
      </c>
      <c r="D244" s="13" t="str">
        <f ca="1">IFERROR(__xludf.DUMMYFUNCTION("""COMPUTED_VALUE"""),"&lt;ruby&gt;门&lt;rt&gt;mén&lt;/rt&gt;&lt;/ruby&gt;")</f>
        <v>&lt;ruby&gt;门&lt;rt&gt;mén&lt;/rt&gt;&lt;/ruby&gt;</v>
      </c>
      <c r="E244" s="13" t="str">
        <f ca="1">IFERROR(__xludf.DUMMYFUNCTION("""COMPUTED_VALUE"""),"mén")</f>
        <v>mén</v>
      </c>
      <c r="F244" s="13" t="str">
        <f ca="1">IFERROR(__xludf.DUMMYFUNCTION("""COMPUTED_VALUE"""),"Danh từ")</f>
        <v>Danh từ</v>
      </c>
      <c r="G244" s="13" t="str">
        <f ca="1">IFERROR(__xludf.DUMMYFUNCTION("""COMPUTED_VALUE"""),"cửa, cổng")</f>
        <v>cửa, cổng</v>
      </c>
      <c r="H244" s="13" t="str">
        <f ca="1">IFERROR(__xludf.DUMMYFUNCTION("""COMPUTED_VALUE"""),"我已经把门关上了。")</f>
        <v>我已经把门关上了。</v>
      </c>
      <c r="I244" s="13" t="str">
        <f ca="1">IFERROR(__xludf.DUMMYFUNCTION("""COMPUTED_VALUE"""),"Wǒ yǐjīng bǎ mén guān shàng le.")</f>
        <v>Wǒ yǐjīng bǎ mén guān shàng le.</v>
      </c>
      <c r="J244" s="13" t="str">
        <f ca="1">IFERROR(__xludf.DUMMYFUNCTION("""COMPUTED_VALUE"""),"Tôi đã đóng cửa lại.")</f>
        <v>Tôi đã đóng cửa lại.</v>
      </c>
      <c r="K244" s="13" t="str">
        <f ca="1">IFERROR(__xludf.DUMMYFUNCTION("""COMPUTED_VALUE"""),"H2_B6_BG-01.gif")</f>
        <v>H2_B6_BG-01.gif</v>
      </c>
      <c r="L244" s="13" t="str">
        <f ca="1">IFERROR(__xludf.DUMMYFUNCTION("""COMPUTED_VALUE"""),"H2_B6_1.mp3")</f>
        <v>H2_B6_1.mp3</v>
      </c>
      <c r="M244" s="13" t="str">
        <f ca="1">IFERROR(__xludf.DUMMYFUNCTION("""COMPUTED_VALUE"""),"H2_B6_VD_1.mp3")</f>
        <v>H2_B6_VD_1.mp3</v>
      </c>
    </row>
    <row r="245" spans="1:13">
      <c r="A245" s="13">
        <f ca="1">IFERROR(__xludf.DUMMYFUNCTION("""COMPUTED_VALUE"""),2)</f>
        <v>2</v>
      </c>
      <c r="B245" s="13"/>
      <c r="C245" s="13" t="str">
        <f ca="1">IFERROR(__xludf.DUMMYFUNCTION("""COMPUTED_VALUE"""),"外")</f>
        <v>外</v>
      </c>
      <c r="D245" s="13" t="str">
        <f ca="1">IFERROR(__xludf.DUMMYFUNCTION("""COMPUTED_VALUE"""),"&lt;ruby&gt;外&lt;rt&gt;wài&lt;/rt&gt;&lt;/ruby&gt;")</f>
        <v>&lt;ruby&gt;外&lt;rt&gt;wài&lt;/rt&gt;&lt;/ruby&gt;</v>
      </c>
      <c r="E245" s="13" t="str">
        <f ca="1">IFERROR(__xludf.DUMMYFUNCTION("""COMPUTED_VALUE"""),"wài")</f>
        <v>wài</v>
      </c>
      <c r="F245" s="13" t="str">
        <f ca="1">IFERROR(__xludf.DUMMYFUNCTION("""COMPUTED_VALUE"""),"Danh từ")</f>
        <v>Danh từ</v>
      </c>
      <c r="G245" s="13" t="str">
        <f ca="1">IFERROR(__xludf.DUMMYFUNCTION("""COMPUTED_VALUE"""),"bên ngoài")</f>
        <v>bên ngoài</v>
      </c>
      <c r="H245" s="13" t="str">
        <f ca="1">IFERROR(__xludf.DUMMYFUNCTION("""COMPUTED_VALUE"""),"我们在室外运动。")</f>
        <v>我们在室外运动。</v>
      </c>
      <c r="I245" s="13" t="str">
        <f ca="1">IFERROR(__xludf.DUMMYFUNCTION("""COMPUTED_VALUE"""),"Wǒmen zài shìwài yùndòng.")</f>
        <v>Wǒmen zài shìwài yùndòng.</v>
      </c>
      <c r="J245" s="13" t="str">
        <f ca="1">IFERROR(__xludf.DUMMYFUNCTION("""COMPUTED_VALUE"""),"Chúng tôi tập thể dục ngoài trời.")</f>
        <v>Chúng tôi tập thể dục ngoài trời.</v>
      </c>
      <c r="K245" s="13" t="str">
        <f ca="1">IFERROR(__xludf.DUMMYFUNCTION("""COMPUTED_VALUE"""),"H2_B6_BG-02.gif")</f>
        <v>H2_B6_BG-02.gif</v>
      </c>
      <c r="L245" s="13" t="str">
        <f ca="1">IFERROR(__xludf.DUMMYFUNCTION("""COMPUTED_VALUE"""),"H2_B6_2.mp3")</f>
        <v>H2_B6_2.mp3</v>
      </c>
      <c r="M245" s="13" t="str">
        <f ca="1">IFERROR(__xludf.DUMMYFUNCTION("""COMPUTED_VALUE"""),"H2_B6_VD_2.mp3")</f>
        <v>H2_B6_VD_2.mp3</v>
      </c>
    </row>
    <row r="246" spans="1:13">
      <c r="A246" s="13">
        <f ca="1">IFERROR(__xludf.DUMMYFUNCTION("""COMPUTED_VALUE"""),3)</f>
        <v>3</v>
      </c>
      <c r="B246" s="13"/>
      <c r="C246" s="13" t="str">
        <f ca="1">IFERROR(__xludf.DUMMYFUNCTION("""COMPUTED_VALUE"""),"自行车")</f>
        <v>自行车</v>
      </c>
      <c r="D246" s="13" t="str">
        <f ca="1">IFERROR(__xludf.DUMMYFUNCTION("""COMPUTED_VALUE"""),"&lt;ruby&gt;自行车&lt;rt&gt;zìxíngchē&lt;/rt&gt;&lt;/ruby&gt;")</f>
        <v>&lt;ruby&gt;自行车&lt;rt&gt;zìxíngchē&lt;/rt&gt;&lt;/ruby&gt;</v>
      </c>
      <c r="E246" s="13" t="str">
        <f ca="1">IFERROR(__xludf.DUMMYFUNCTION("""COMPUTED_VALUE"""),"zìxíngchē")</f>
        <v>zìxíngchē</v>
      </c>
      <c r="F246" s="13" t="str">
        <f ca="1">IFERROR(__xludf.DUMMYFUNCTION("""COMPUTED_VALUE"""),"Danh từ")</f>
        <v>Danh từ</v>
      </c>
      <c r="G246" s="13" t="str">
        <f ca="1">IFERROR(__xludf.DUMMYFUNCTION("""COMPUTED_VALUE"""),"xe đạp")</f>
        <v>xe đạp</v>
      </c>
      <c r="H246" s="13" t="str">
        <f ca="1">IFERROR(__xludf.DUMMYFUNCTION("""COMPUTED_VALUE"""),"妈妈送给我一辆新自行车。")</f>
        <v>妈妈送给我一辆新自行车。</v>
      </c>
      <c r="I246" s="13" t="str">
        <f ca="1">IFERROR(__xludf.DUMMYFUNCTION("""COMPUTED_VALUE"""),"Māma sòng gěi wǒ yí liàng xīn zìxíngchē.")</f>
        <v>Māma sòng gěi wǒ yí liàng xīn zìxíngchē.</v>
      </c>
      <c r="J246" s="13" t="str">
        <f ca="1">IFERROR(__xludf.DUMMYFUNCTION("""COMPUTED_VALUE"""),"Mẹ tôi tặng cho tôi một chiếc xe đẹp mới.")</f>
        <v>Mẹ tôi tặng cho tôi một chiếc xe đẹp mới.</v>
      </c>
      <c r="K246" s="13" t="str">
        <f ca="1">IFERROR(__xludf.DUMMYFUNCTION("""COMPUTED_VALUE"""),"H2_B6_BG-03.gif")</f>
        <v>H2_B6_BG-03.gif</v>
      </c>
      <c r="L246" s="13" t="str">
        <f ca="1">IFERROR(__xludf.DUMMYFUNCTION("""COMPUTED_VALUE"""),"H2_B6_3.mp3")</f>
        <v>H2_B6_3.mp3</v>
      </c>
      <c r="M246" s="13" t="str">
        <f ca="1">IFERROR(__xludf.DUMMYFUNCTION("""COMPUTED_VALUE"""),"H2_B6_VD_3.mp3")</f>
        <v>H2_B6_VD_3.mp3</v>
      </c>
    </row>
    <row r="247" spans="1:13">
      <c r="A247" s="13">
        <f ca="1">IFERROR(__xludf.DUMMYFUNCTION("""COMPUTED_VALUE"""),4)</f>
        <v>4</v>
      </c>
      <c r="B247" s="13"/>
      <c r="C247" s="13" t="str">
        <f ca="1">IFERROR(__xludf.DUMMYFUNCTION("""COMPUTED_VALUE"""),"公斤")</f>
        <v>公斤</v>
      </c>
      <c r="D247" s="13" t="str">
        <f ca="1">IFERROR(__xludf.DUMMYFUNCTION("""COMPUTED_VALUE"""),"&lt;ruby&gt;公斤&lt;rt&gt;gōngjīn&lt;/rt&gt;&lt;/ruby&gt;")</f>
        <v>&lt;ruby&gt;公斤&lt;rt&gt;gōngjīn&lt;/rt&gt;&lt;/ruby&gt;</v>
      </c>
      <c r="E247" s="13" t="str">
        <f ca="1">IFERROR(__xludf.DUMMYFUNCTION("""COMPUTED_VALUE"""),"gōngjīn")</f>
        <v>gōngjīn</v>
      </c>
      <c r="F247" s="13" t="str">
        <f ca="1">IFERROR(__xludf.DUMMYFUNCTION("""COMPUTED_VALUE"""),"Lượng từ")</f>
        <v>Lượng từ</v>
      </c>
      <c r="G247" s="13" t="str">
        <f ca="1">IFERROR(__xludf.DUMMYFUNCTION("""COMPUTED_VALUE"""),"kilôgram")</f>
        <v>kilôgram</v>
      </c>
      <c r="H247" s="13" t="str">
        <f ca="1">IFERROR(__xludf.DUMMYFUNCTION("""COMPUTED_VALUE"""),"这袋蔬菜重1公斤。")</f>
        <v>这袋蔬菜重1公斤。</v>
      </c>
      <c r="I247" s="13" t="str">
        <f ca="1">IFERROR(__xludf.DUMMYFUNCTION("""COMPUTED_VALUE"""),"Zhè dài shūcài zhòng 1 gōngjīn.")</f>
        <v>Zhè dài shūcài zhòng 1 gōngjīn.</v>
      </c>
      <c r="J247" s="13" t="str">
        <f ca="1">IFERROR(__xludf.DUMMYFUNCTION("""COMPUTED_VALUE"""),"Túi rau củ này nặng 1kg.")</f>
        <v>Túi rau củ này nặng 1kg.</v>
      </c>
      <c r="K247" s="13" t="str">
        <f ca="1">IFERROR(__xludf.DUMMYFUNCTION("""COMPUTED_VALUE"""),"H2_B6_BG-04.gif")</f>
        <v>H2_B6_BG-04.gif</v>
      </c>
      <c r="L247" s="13" t="str">
        <f ca="1">IFERROR(__xludf.DUMMYFUNCTION("""COMPUTED_VALUE"""),"H2_B6_4.mp3")</f>
        <v>H2_B6_4.mp3</v>
      </c>
      <c r="M247" s="13" t="str">
        <f ca="1">IFERROR(__xludf.DUMMYFUNCTION("""COMPUTED_VALUE"""),"H2_B6_VD_4.mp3")</f>
        <v>H2_B6_VD_4.mp3</v>
      </c>
    </row>
    <row r="248" spans="1:13">
      <c r="A248" s="13">
        <f ca="1">IFERROR(__xludf.DUMMYFUNCTION("""COMPUTED_VALUE"""),5)</f>
        <v>5</v>
      </c>
      <c r="B248" s="13"/>
      <c r="C248" s="13" t="str">
        <f ca="1">IFERROR(__xludf.DUMMYFUNCTION("""COMPUTED_VALUE"""),"姐姐")</f>
        <v>姐姐</v>
      </c>
      <c r="D248" s="13" t="str">
        <f ca="1">IFERROR(__xludf.DUMMYFUNCTION("""COMPUTED_VALUE"""),"&lt;ruby&gt;姐姐&lt;rt&gt;jiějie&lt;/rt&gt;&lt;/ruby&gt;")</f>
        <v>&lt;ruby&gt;姐姐&lt;rt&gt;jiějie&lt;/rt&gt;&lt;/ruby&gt;</v>
      </c>
      <c r="E248" s="13" t="str">
        <f ca="1">IFERROR(__xludf.DUMMYFUNCTION("""COMPUTED_VALUE"""),"jiějie")</f>
        <v>jiějie</v>
      </c>
      <c r="F248" s="13" t="str">
        <f ca="1">IFERROR(__xludf.DUMMYFUNCTION("""COMPUTED_VALUE"""),"Danh từ")</f>
        <v>Danh từ</v>
      </c>
      <c r="G248" s="13" t="str">
        <f ca="1">IFERROR(__xludf.DUMMYFUNCTION("""COMPUTED_VALUE"""),"chị gái")</f>
        <v>chị gái</v>
      </c>
      <c r="H248" s="13" t="str">
        <f ca="1">IFERROR(__xludf.DUMMYFUNCTION("""COMPUTED_VALUE"""),"我很喜欢和姐姐聊天。")</f>
        <v>我很喜欢和姐姐聊天。</v>
      </c>
      <c r="I248" s="13" t="str">
        <f ca="1">IFERROR(__xludf.DUMMYFUNCTION("""COMPUTED_VALUE"""),"Wǒ hěn xǐhuan hé jiějie liáotiān.")</f>
        <v>Wǒ hěn xǐhuan hé jiějie liáotiān.</v>
      </c>
      <c r="J248" s="13" t="str">
        <f ca="1">IFERROR(__xludf.DUMMYFUNCTION("""COMPUTED_VALUE"""),"Tôi rất thích nói chuyện với chị gái của mình.")</f>
        <v>Tôi rất thích nói chuyện với chị gái của mình.</v>
      </c>
      <c r="K248" s="13" t="str">
        <f ca="1">IFERROR(__xludf.DUMMYFUNCTION("""COMPUTED_VALUE"""),"H2_B6_BG-05.gif")</f>
        <v>H2_B6_BG-05.gif</v>
      </c>
      <c r="L248" s="13" t="str">
        <f ca="1">IFERROR(__xludf.DUMMYFUNCTION("""COMPUTED_VALUE"""),"H2_B6_5.mp3")</f>
        <v>H2_B6_5.mp3</v>
      </c>
      <c r="M248" s="13" t="str">
        <f ca="1">IFERROR(__xludf.DUMMYFUNCTION("""COMPUTED_VALUE"""),"H2_B6_VD_5.mp3")</f>
        <v>H2_B6_VD_5.mp3</v>
      </c>
    </row>
    <row r="249" spans="1:13">
      <c r="A249" s="13">
        <f ca="1">IFERROR(__xludf.DUMMYFUNCTION("""COMPUTED_VALUE"""),6)</f>
        <v>6</v>
      </c>
      <c r="B249" s="13"/>
      <c r="C249" s="13" t="str">
        <f ca="1">IFERROR(__xludf.DUMMYFUNCTION("""COMPUTED_VALUE"""),"羊肉")</f>
        <v>羊肉</v>
      </c>
      <c r="D249" s="13" t="str">
        <f ca="1">IFERROR(__xludf.DUMMYFUNCTION("""COMPUTED_VALUE"""),"&lt;ruby&gt;羊肉&lt;rt&gt;yángròu&lt;/rt&gt;&lt;/ruby&gt;")</f>
        <v>&lt;ruby&gt;羊肉&lt;rt&gt;yángròu&lt;/rt&gt;&lt;/ruby&gt;</v>
      </c>
      <c r="E249" s="13" t="str">
        <f ca="1">IFERROR(__xludf.DUMMYFUNCTION("""COMPUTED_VALUE"""),"yángròu")</f>
        <v>yángròu</v>
      </c>
      <c r="F249" s="13" t="str">
        <f ca="1">IFERROR(__xludf.DUMMYFUNCTION("""COMPUTED_VALUE"""),"Danh từ")</f>
        <v>Danh từ</v>
      </c>
      <c r="G249" s="13" t="str">
        <f ca="1">IFERROR(__xludf.DUMMYFUNCTION("""COMPUTED_VALUE"""),"thịt dê/cừu")</f>
        <v>thịt dê/cừu</v>
      </c>
      <c r="H249" s="13" t="str">
        <f ca="1">IFERROR(__xludf.DUMMYFUNCTION("""COMPUTED_VALUE"""),"我从来没吃过羊肉。")</f>
        <v>我从来没吃过羊肉。</v>
      </c>
      <c r="I249" s="13" t="str">
        <f ca="1">IFERROR(__xludf.DUMMYFUNCTION("""COMPUTED_VALUE"""),"Wǒ cónglái méi chī guò yángròu.")</f>
        <v>Wǒ cónglái méi chī guò yángròu.</v>
      </c>
      <c r="J249" s="13" t="str">
        <f ca="1">IFERROR(__xludf.DUMMYFUNCTION("""COMPUTED_VALUE"""),"Tôi chưa ăn thịt dê bao giờ.")</f>
        <v>Tôi chưa ăn thịt dê bao giờ.</v>
      </c>
      <c r="K249" s="13" t="str">
        <f ca="1">IFERROR(__xludf.DUMMYFUNCTION("""COMPUTED_VALUE"""),"H2_B6_BG-06.gif")</f>
        <v>H2_B6_BG-06.gif</v>
      </c>
      <c r="L249" s="13" t="str">
        <f ca="1">IFERROR(__xludf.DUMMYFUNCTION("""COMPUTED_VALUE"""),"H2_B6_6.mp3")</f>
        <v>H2_B6_6.mp3</v>
      </c>
      <c r="M249" s="13" t="str">
        <f ca="1">IFERROR(__xludf.DUMMYFUNCTION("""COMPUTED_VALUE"""),"H2_B6_VD_6.mp3")</f>
        <v>H2_B6_VD_6.mp3</v>
      </c>
    </row>
    <row r="250" spans="1:13">
      <c r="A250" s="13">
        <f ca="1">IFERROR(__xludf.DUMMYFUNCTION("""COMPUTED_VALUE"""),7)</f>
        <v>7</v>
      </c>
      <c r="B250" s="13"/>
      <c r="C250" s="13" t="str">
        <f ca="1">IFERROR(__xludf.DUMMYFUNCTION("""COMPUTED_VALUE"""),"好吃")</f>
        <v>好吃</v>
      </c>
      <c r="D250" s="13" t="str">
        <f ca="1">IFERROR(__xludf.DUMMYFUNCTION("""COMPUTED_VALUE"""),"&lt;ruby&gt;好吃&lt;rt&gt;hǎochī&lt;/rt&gt;&lt;/ruby&gt;")</f>
        <v>&lt;ruby&gt;好吃&lt;rt&gt;hǎochī&lt;/rt&gt;&lt;/ruby&gt;</v>
      </c>
      <c r="E250" s="13" t="str">
        <f ca="1">IFERROR(__xludf.DUMMYFUNCTION("""COMPUTED_VALUE"""),"hǎochī")</f>
        <v>hǎochī</v>
      </c>
      <c r="F250" s="13" t="str">
        <f ca="1">IFERROR(__xludf.DUMMYFUNCTION("""COMPUTED_VALUE"""),"Tính từ")</f>
        <v>Tính từ</v>
      </c>
      <c r="G250" s="13" t="str">
        <f ca="1">IFERROR(__xludf.DUMMYFUNCTION("""COMPUTED_VALUE"""),"ngon")</f>
        <v>ngon</v>
      </c>
      <c r="H250" s="13" t="str">
        <f ca="1">IFERROR(__xludf.DUMMYFUNCTION("""COMPUTED_VALUE"""),"这碗面条真好吃！")</f>
        <v>这碗面条真好吃！</v>
      </c>
      <c r="I250" s="13" t="str">
        <f ca="1">IFERROR(__xludf.DUMMYFUNCTION("""COMPUTED_VALUE"""),"Zhè wǎn miàntiáo zhēn hǎochī!")</f>
        <v>Zhè wǎn miàntiáo zhēn hǎochī!</v>
      </c>
      <c r="J250" s="13" t="str">
        <f ca="1">IFERROR(__xludf.DUMMYFUNCTION("""COMPUTED_VALUE"""),"Món mì này rất ngon.")</f>
        <v>Món mì này rất ngon.</v>
      </c>
      <c r="K250" s="13" t="str">
        <f ca="1">IFERROR(__xludf.DUMMYFUNCTION("""COMPUTED_VALUE"""),"H2_B6_BG-07.gif")</f>
        <v>H2_B6_BG-07.gif</v>
      </c>
      <c r="L250" s="13" t="str">
        <f ca="1">IFERROR(__xludf.DUMMYFUNCTION("""COMPUTED_VALUE"""),"H2_B6_7.mp3")</f>
        <v>H2_B6_7.mp3</v>
      </c>
      <c r="M250" s="13" t="str">
        <f ca="1">IFERROR(__xludf.DUMMYFUNCTION("""COMPUTED_VALUE"""),"H2_B6_VD_7.mp3")</f>
        <v>H2_B6_VD_7.mp3</v>
      </c>
    </row>
    <row r="251" spans="1:13">
      <c r="A251" s="13">
        <f ca="1">IFERROR(__xludf.DUMMYFUNCTION("""COMPUTED_VALUE"""),8)</f>
        <v>8</v>
      </c>
      <c r="B251" s="13"/>
      <c r="C251" s="13" t="str">
        <f ca="1">IFERROR(__xludf.DUMMYFUNCTION("""COMPUTED_VALUE"""),"面条")</f>
        <v>面条</v>
      </c>
      <c r="D251" s="13" t="str">
        <f ca="1">IFERROR(__xludf.DUMMYFUNCTION("""COMPUTED_VALUE"""),"&lt;ruby&gt;面条&lt;rt&gt;miàntiáo&lt;/rt&gt;&lt;/ruby&gt;")</f>
        <v>&lt;ruby&gt;面条&lt;rt&gt;miàntiáo&lt;/rt&gt;&lt;/ruby&gt;</v>
      </c>
      <c r="E251" s="13" t="str">
        <f ca="1">IFERROR(__xludf.DUMMYFUNCTION("""COMPUTED_VALUE"""),"miàntiáo")</f>
        <v>miàntiáo</v>
      </c>
      <c r="F251" s="13" t="str">
        <f ca="1">IFERROR(__xludf.DUMMYFUNCTION("""COMPUTED_VALUE"""),"Danh từ")</f>
        <v>Danh từ</v>
      </c>
      <c r="G251" s="13" t="str">
        <f ca="1">IFERROR(__xludf.DUMMYFUNCTION("""COMPUTED_VALUE"""),"mì sợi")</f>
        <v>mì sợi</v>
      </c>
      <c r="H251" s="13" t="str">
        <f ca="1">IFERROR(__xludf.DUMMYFUNCTION("""COMPUTED_VALUE"""),"我喜欢吃面条。")</f>
        <v>我喜欢吃面条。</v>
      </c>
      <c r="I251" s="13" t="str">
        <f ca="1">IFERROR(__xludf.DUMMYFUNCTION("""COMPUTED_VALUE"""),"Wǒ xǐhuan chī miàntiáo.")</f>
        <v>Wǒ xǐhuan chī miàntiáo.</v>
      </c>
      <c r="J251" s="13" t="str">
        <f ca="1">IFERROR(__xludf.DUMMYFUNCTION("""COMPUTED_VALUE"""),"Tôi thích ăn mì.")</f>
        <v>Tôi thích ăn mì.</v>
      </c>
      <c r="K251" s="13" t="str">
        <f ca="1">IFERROR(__xludf.DUMMYFUNCTION("""COMPUTED_VALUE"""),"H2_B6_BG-08.gif")</f>
        <v>H2_B6_BG-08.gif</v>
      </c>
      <c r="L251" s="13" t="str">
        <f ca="1">IFERROR(__xludf.DUMMYFUNCTION("""COMPUTED_VALUE"""),"H2_B6_8.mp3")</f>
        <v>H2_B6_8.mp3</v>
      </c>
      <c r="M251" s="13" t="str">
        <f ca="1">IFERROR(__xludf.DUMMYFUNCTION("""COMPUTED_VALUE"""),"H2_B6_VD_8.mp3")</f>
        <v>H2_B6_VD_8.mp3</v>
      </c>
    </row>
    <row r="252" spans="1:13">
      <c r="A252" s="13">
        <f ca="1">IFERROR(__xludf.DUMMYFUNCTION("""COMPUTED_VALUE"""),9)</f>
        <v>9</v>
      </c>
      <c r="B252" s="13"/>
      <c r="C252" s="13" t="str">
        <f ca="1">IFERROR(__xludf.DUMMYFUNCTION("""COMPUTED_VALUE"""),"打篮球")</f>
        <v>打篮球</v>
      </c>
      <c r="D252" s="13" t="str">
        <f ca="1">IFERROR(__xludf.DUMMYFUNCTION("""COMPUTED_VALUE"""),"&lt;ruby&gt;打篮球&lt;rt&gt;dǎ lánqiú&lt;/rt&gt;&lt;/ruby&gt;")</f>
        <v>&lt;ruby&gt;打篮球&lt;rt&gt;dǎ lánqiú&lt;/rt&gt;&lt;/ruby&gt;</v>
      </c>
      <c r="E252" s="13" t="str">
        <f ca="1">IFERROR(__xludf.DUMMYFUNCTION("""COMPUTED_VALUE"""),"dǎ lánqiú")</f>
        <v>dǎ lánqiú</v>
      </c>
      <c r="F252" s="13"/>
      <c r="G252" s="13" t="str">
        <f ca="1">IFERROR(__xludf.DUMMYFUNCTION("""COMPUTED_VALUE"""),"chơi bóng rổ")</f>
        <v>chơi bóng rổ</v>
      </c>
      <c r="H252" s="13" t="str">
        <f ca="1">IFERROR(__xludf.DUMMYFUNCTION("""COMPUTED_VALUE"""),"他放学后喜欢打篮球。")</f>
        <v>他放学后喜欢打篮球。</v>
      </c>
      <c r="I252" s="13" t="str">
        <f ca="1">IFERROR(__xludf.DUMMYFUNCTION("""COMPUTED_VALUE"""),"Tā fàngxué hòu xǐhuan dǎ lánqiú.")</f>
        <v>Tā fàngxué hòu xǐhuan dǎ lánqiú.</v>
      </c>
      <c r="J252" s="13" t="str">
        <f ca="1">IFERROR(__xludf.DUMMYFUNCTION("""COMPUTED_VALUE"""),"Anh ấy thích chơi bóng rổ sau giờ học.")</f>
        <v>Anh ấy thích chơi bóng rổ sau giờ học.</v>
      </c>
      <c r="K252" s="13" t="str">
        <f ca="1">IFERROR(__xludf.DUMMYFUNCTION("""COMPUTED_VALUE"""),"H2_B6_BG-09.gif")</f>
        <v>H2_B6_BG-09.gif</v>
      </c>
      <c r="L252" s="13" t="str">
        <f ca="1">IFERROR(__xludf.DUMMYFUNCTION("""COMPUTED_VALUE"""),"H2_B6_9.mp3")</f>
        <v>H2_B6_9.mp3</v>
      </c>
      <c r="M252" s="13" t="str">
        <f ca="1">IFERROR(__xludf.DUMMYFUNCTION("""COMPUTED_VALUE"""),"H2_B6_VD_9.mp3")</f>
        <v>H2_B6_VD_9.mp3</v>
      </c>
    </row>
    <row r="253" spans="1:13">
      <c r="A253" s="13">
        <f ca="1">IFERROR(__xludf.DUMMYFUNCTION("""COMPUTED_VALUE"""),10)</f>
        <v>10</v>
      </c>
      <c r="B253" s="13"/>
      <c r="C253" s="13" t="str">
        <f ca="1">IFERROR(__xludf.DUMMYFUNCTION("""COMPUTED_VALUE"""),"游泳")</f>
        <v>游泳</v>
      </c>
      <c r="D253" s="13" t="str">
        <f ca="1">IFERROR(__xludf.DUMMYFUNCTION("""COMPUTED_VALUE"""),"&lt;ruby&gt;游泳&lt;rt&gt;yóu yǒng&lt;/rt&gt;&lt;/ruby&gt;")</f>
        <v>&lt;ruby&gt;游泳&lt;rt&gt;yóu yǒng&lt;/rt&gt;&lt;/ruby&gt;</v>
      </c>
      <c r="E253" s="13" t="str">
        <f ca="1">IFERROR(__xludf.DUMMYFUNCTION("""COMPUTED_VALUE"""),"yóu yǒng")</f>
        <v>yóu yǒng</v>
      </c>
      <c r="F253" s="13" t="str">
        <f ca="1">IFERROR(__xludf.DUMMYFUNCTION("""COMPUTED_VALUE"""),"Động từ")</f>
        <v>Động từ</v>
      </c>
      <c r="G253" s="13" t="str">
        <f ca="1">IFERROR(__xludf.DUMMYFUNCTION("""COMPUTED_VALUE"""),"bơi")</f>
        <v>bơi</v>
      </c>
      <c r="H253" s="13" t="str">
        <f ca="1">IFERROR(__xludf.DUMMYFUNCTION("""COMPUTED_VALUE"""),"我周末经常去游泳。")</f>
        <v>我周末经常去游泳。</v>
      </c>
      <c r="I253" s="13" t="str">
        <f ca="1">IFERROR(__xludf.DUMMYFUNCTION("""COMPUTED_VALUE"""),"Wǒ zhōumò jīngcháng qù yóuyǒng.")</f>
        <v>Wǒ zhōumò jīngcháng qù yóuyǒng.</v>
      </c>
      <c r="J253" s="13" t="str">
        <f ca="1">IFERROR(__xludf.DUMMYFUNCTION("""COMPUTED_VALUE"""),"Tôi thường đi bơi vào cuối tuần.")</f>
        <v>Tôi thường đi bơi vào cuối tuần.</v>
      </c>
      <c r="K253" s="13" t="str">
        <f ca="1">IFERROR(__xludf.DUMMYFUNCTION("""COMPUTED_VALUE"""),"H2_B6_BG-10.gif")</f>
        <v>H2_B6_BG-10.gif</v>
      </c>
      <c r="L253" s="13" t="str">
        <f ca="1">IFERROR(__xludf.DUMMYFUNCTION("""COMPUTED_VALUE"""),"H2_B6_10.mp3")</f>
        <v>H2_B6_10.mp3</v>
      </c>
      <c r="M253" s="13" t="str">
        <f ca="1">IFERROR(__xludf.DUMMYFUNCTION("""COMPUTED_VALUE"""),"H2_B6_VD_10.mp3")</f>
        <v>H2_B6_VD_10.mp3</v>
      </c>
    </row>
    <row r="254" spans="1:13">
      <c r="A254" s="13">
        <f ca="1">IFERROR(__xludf.DUMMYFUNCTION("""COMPUTED_VALUE"""),11)</f>
        <v>11</v>
      </c>
      <c r="B254" s="13"/>
      <c r="C254" s="13" t="str">
        <f ca="1">IFERROR(__xludf.DUMMYFUNCTION("""COMPUTED_VALUE"""),"因为")</f>
        <v>因为</v>
      </c>
      <c r="D254" s="13" t="str">
        <f ca="1">IFERROR(__xludf.DUMMYFUNCTION("""COMPUTED_VALUE"""),"&lt;ruby&gt;因为&lt;rt&gt;yīnwèi&lt;/rt&gt;&lt;/ruby&gt;")</f>
        <v>&lt;ruby&gt;因为&lt;rt&gt;yīnwèi&lt;/rt&gt;&lt;/ruby&gt;</v>
      </c>
      <c r="E254" s="13" t="str">
        <f ca="1">IFERROR(__xludf.DUMMYFUNCTION("""COMPUTED_VALUE"""),"yīnwèi")</f>
        <v>yīnwèi</v>
      </c>
      <c r="F254" s="13" t="str">
        <f ca="1">IFERROR(__xludf.DUMMYFUNCTION("""COMPUTED_VALUE"""),"Liên từ")</f>
        <v>Liên từ</v>
      </c>
      <c r="G254" s="13" t="str">
        <f ca="1">IFERROR(__xludf.DUMMYFUNCTION("""COMPUTED_VALUE"""),"bởi vì")</f>
        <v>bởi vì</v>
      </c>
      <c r="H254" s="13" t="str">
        <f ca="1">IFERROR(__xludf.DUMMYFUNCTION("""COMPUTED_VALUE"""),"她因为生病，所以没去上班。")</f>
        <v>她因为生病，所以没去上班。</v>
      </c>
      <c r="I254" s="13" t="str">
        <f ca="1">IFERROR(__xludf.DUMMYFUNCTION("""COMPUTED_VALUE"""),"Tā yīnwèi shēngbìng, suǒyǐ méi qù shàngbān.")</f>
        <v>Tā yīnwèi shēngbìng, suǒyǐ méi qù shàngbān.</v>
      </c>
      <c r="J254" s="13" t="str">
        <f ca="1">IFERROR(__xludf.DUMMYFUNCTION("""COMPUTED_VALUE"""),"Cô ấy không đi làm vì bị ốm.")</f>
        <v>Cô ấy không đi làm vì bị ốm.</v>
      </c>
      <c r="K254" s="13" t="str">
        <f ca="1">IFERROR(__xludf.DUMMYFUNCTION("""COMPUTED_VALUE"""),"H2_B6_BG-11.gif")</f>
        <v>H2_B6_BG-11.gif</v>
      </c>
      <c r="L254" s="13" t="str">
        <f ca="1">IFERROR(__xludf.DUMMYFUNCTION("""COMPUTED_VALUE"""),"H2_B6_11.mp3")</f>
        <v>H2_B6_11.mp3</v>
      </c>
      <c r="M254" s="13" t="str">
        <f ca="1">IFERROR(__xludf.DUMMYFUNCTION("""COMPUTED_VALUE"""),"H2_B6_VD_11.mp3")</f>
        <v>H2_B6_VD_11.mp3</v>
      </c>
    </row>
    <row r="255" spans="1:13">
      <c r="A255" s="13">
        <f ca="1">IFERROR(__xludf.DUMMYFUNCTION("""COMPUTED_VALUE"""),12)</f>
        <v>12</v>
      </c>
      <c r="B255" s="13"/>
      <c r="C255" s="13" t="str">
        <f ca="1">IFERROR(__xludf.DUMMYFUNCTION("""COMPUTED_VALUE"""),"所以")</f>
        <v>所以</v>
      </c>
      <c r="D255" s="13" t="str">
        <f ca="1">IFERROR(__xludf.DUMMYFUNCTION("""COMPUTED_VALUE"""),"&lt;ruby&gt;所以&lt;rt&gt;suǒyǐ&lt;/rt&gt;&lt;/ruby&gt;")</f>
        <v>&lt;ruby&gt;所以&lt;rt&gt;suǒyǐ&lt;/rt&gt;&lt;/ruby&gt;</v>
      </c>
      <c r="E255" s="13" t="str">
        <f ca="1">IFERROR(__xludf.DUMMYFUNCTION("""COMPUTED_VALUE"""),"suǒyǐ")</f>
        <v>suǒyǐ</v>
      </c>
      <c r="F255" s="13" t="str">
        <f ca="1">IFERROR(__xludf.DUMMYFUNCTION("""COMPUTED_VALUE"""),"Liên từ")</f>
        <v>Liên từ</v>
      </c>
      <c r="G255" s="13" t="str">
        <f ca="1">IFERROR(__xludf.DUMMYFUNCTION("""COMPUTED_VALUE"""),"cho nên")</f>
        <v>cho nên</v>
      </c>
      <c r="H255" s="13" t="str">
        <f ca="1">IFERROR(__xludf.DUMMYFUNCTION("""COMPUTED_VALUE"""),"我喜欢看书，所以去了图书馆。")</f>
        <v>我喜欢看书，所以去了图书馆。</v>
      </c>
      <c r="I255" s="13" t="str">
        <f ca="1">IFERROR(__xludf.DUMMYFUNCTION("""COMPUTED_VALUE"""),"Wǒ xǐhuan kàn shū, suǒyǐ qù le túshūguǎn.")</f>
        <v>Wǒ xǐhuan kàn shū, suǒyǐ qù le túshūguǎn.</v>
      </c>
      <c r="J255" s="13" t="str">
        <f ca="1">IFERROR(__xludf.DUMMYFUNCTION("""COMPUTED_VALUE"""),"Tôi thích đọc sách nên tôi đến thư viện.")</f>
        <v>Tôi thích đọc sách nên tôi đến thư viện.</v>
      </c>
      <c r="K255" s="13" t="str">
        <f ca="1">IFERROR(__xludf.DUMMYFUNCTION("""COMPUTED_VALUE"""),"H2_B6_BG-12.gif")</f>
        <v>H2_B6_BG-12.gif</v>
      </c>
      <c r="L255" s="13" t="str">
        <f ca="1">IFERROR(__xludf.DUMMYFUNCTION("""COMPUTED_VALUE"""),"H2_B6_12.mp3")</f>
        <v>H2_B6_12.mp3</v>
      </c>
      <c r="M255" s="13" t="str">
        <f ca="1">IFERROR(__xludf.DUMMYFUNCTION("""COMPUTED_VALUE"""),"H2_B6_VD_12.mp3")</f>
        <v>H2_B6_VD_12.mp3</v>
      </c>
    </row>
    <row r="256" spans="1:13">
      <c r="A256" s="13">
        <f ca="1">IFERROR(__xludf.DUMMYFUNCTION("""COMPUTED_VALUE"""),13)</f>
        <v>13</v>
      </c>
      <c r="B256" s="13"/>
      <c r="C256" s="13" t="str">
        <f ca="1">IFERROR(__xludf.DUMMYFUNCTION("""COMPUTED_VALUE"""),"经常")</f>
        <v>经常</v>
      </c>
      <c r="D256" s="13" t="str">
        <f ca="1">IFERROR(__xludf.DUMMYFUNCTION("""COMPUTED_VALUE"""),"&lt;ruby&gt;经常&lt;rt&gt;jīngcháng&lt;/rt&gt;&lt;/ruby&gt;")</f>
        <v>&lt;ruby&gt;经常&lt;rt&gt;jīngcháng&lt;/rt&gt;&lt;/ruby&gt;</v>
      </c>
      <c r="E256" s="13" t="str">
        <f ca="1">IFERROR(__xludf.DUMMYFUNCTION("""COMPUTED_VALUE"""),"jīngcháng")</f>
        <v>jīngcháng</v>
      </c>
      <c r="F256" s="13" t="str">
        <f ca="1">IFERROR(__xludf.DUMMYFUNCTION("""COMPUTED_VALUE"""),"Phó từ")</f>
        <v>Phó từ</v>
      </c>
      <c r="G256" s="13" t="str">
        <f ca="1">IFERROR(__xludf.DUMMYFUNCTION("""COMPUTED_VALUE"""),"thường xuyên")</f>
        <v>thường xuyên</v>
      </c>
      <c r="H256" s="13" t="str">
        <f ca="1">IFERROR(__xludf.DUMMYFUNCTION("""COMPUTED_VALUE"""),"你经常打羽毛球吗？")</f>
        <v>你经常打羽毛球吗？</v>
      </c>
      <c r="I256" s="13" t="str">
        <f ca="1">IFERROR(__xludf.DUMMYFUNCTION("""COMPUTED_VALUE"""),"Nǐ jīngcháng dǎ yǔmáoqiú ma?")</f>
        <v>Nǐ jīngcháng dǎ yǔmáoqiú ma?</v>
      </c>
      <c r="J256" s="13" t="str">
        <f ca="1">IFERROR(__xludf.DUMMYFUNCTION("""COMPUTED_VALUE"""),"Bạn có hay đánh cầu lông không?")</f>
        <v>Bạn có hay đánh cầu lông không?</v>
      </c>
      <c r="K256" s="13" t="str">
        <f ca="1">IFERROR(__xludf.DUMMYFUNCTION("""COMPUTED_VALUE"""),"H2_B6_BG-13.gif")</f>
        <v>H2_B6_BG-13.gif</v>
      </c>
      <c r="L256" s="13" t="str">
        <f ca="1">IFERROR(__xludf.DUMMYFUNCTION("""COMPUTED_VALUE"""),"H2_B6_13.mp3")</f>
        <v>H2_B6_13.mp3</v>
      </c>
      <c r="M256" s="13" t="str">
        <f ca="1">IFERROR(__xludf.DUMMYFUNCTION("""COMPUTED_VALUE"""),"H2_B6_VD_13.mp3")</f>
        <v>H2_B6_VD_13.mp3</v>
      </c>
    </row>
    <row r="257" spans="1:13">
      <c r="A257" s="13">
        <f ca="1">IFERROR(__xludf.DUMMYFUNCTION("""COMPUTED_VALUE"""),1)</f>
        <v>1</v>
      </c>
      <c r="B257" s="13"/>
      <c r="C257" s="13" t="str">
        <f ca="1">IFERROR(__xludf.DUMMYFUNCTION("""COMPUTED_VALUE"""),"教室")</f>
        <v>教室</v>
      </c>
      <c r="D257" s="13" t="str">
        <f ca="1">IFERROR(__xludf.DUMMYFUNCTION("""COMPUTED_VALUE"""),"&lt;ruby&gt;教室&lt;rt&gt;jiàoshì&lt;/rt&gt;&lt;/ruby&gt;")</f>
        <v>&lt;ruby&gt;教室&lt;rt&gt;jiàoshì&lt;/rt&gt;&lt;/ruby&gt;</v>
      </c>
      <c r="E257" s="13" t="str">
        <f ca="1">IFERROR(__xludf.DUMMYFUNCTION("""COMPUTED_VALUE"""),"jiàoshì")</f>
        <v>jiàoshì</v>
      </c>
      <c r="F257" s="13" t="str">
        <f ca="1">IFERROR(__xludf.DUMMYFUNCTION("""COMPUTED_VALUE"""),"Danh từ")</f>
        <v>Danh từ</v>
      </c>
      <c r="G257" s="13" t="str">
        <f ca="1">IFERROR(__xludf.DUMMYFUNCTION("""COMPUTED_VALUE"""),"lớp học")</f>
        <v>lớp học</v>
      </c>
      <c r="H257" s="13" t="str">
        <f ca="1">IFERROR(__xludf.DUMMYFUNCTION("""COMPUTED_VALUE"""),"学生们已经离开了教室。")</f>
        <v>学生们已经离开了教室。</v>
      </c>
      <c r="I257" s="13" t="str">
        <f ca="1">IFERROR(__xludf.DUMMYFUNCTION("""COMPUTED_VALUE"""),"Xuéshēngmen yǐjīng líkāi le jiàoshì.")</f>
        <v>Xuéshēngmen yǐjīng líkāi le jiàoshì.</v>
      </c>
      <c r="J257" s="13" t="str">
        <f ca="1">IFERROR(__xludf.DUMMYFUNCTION("""COMPUTED_VALUE"""),"Các học sinh đã rời khỏi phòng học rồi.")</f>
        <v>Các học sinh đã rời khỏi phòng học rồi.</v>
      </c>
      <c r="K257" s="13" t="str">
        <f ca="1">IFERROR(__xludf.DUMMYFUNCTION("""COMPUTED_VALUE"""),"H2_B7_BG-01.gif")</f>
        <v>H2_B7_BG-01.gif</v>
      </c>
      <c r="L257" s="13" t="str">
        <f ca="1">IFERROR(__xludf.DUMMYFUNCTION("""COMPUTED_VALUE"""),"H2_B7_1.mp3")</f>
        <v>H2_B7_1.mp3</v>
      </c>
      <c r="M257" s="13" t="str">
        <f ca="1">IFERROR(__xludf.DUMMYFUNCTION("""COMPUTED_VALUE"""),"H2_B7_VD_1.mp3")</f>
        <v>H2_B7_VD_1.mp3</v>
      </c>
    </row>
    <row r="258" spans="1:13">
      <c r="A258" s="13">
        <f ca="1">IFERROR(__xludf.DUMMYFUNCTION("""COMPUTED_VALUE"""),2)</f>
        <v>2</v>
      </c>
      <c r="B258" s="13"/>
      <c r="C258" s="13" t="str">
        <f ca="1">IFERROR(__xludf.DUMMYFUNCTION("""COMPUTED_VALUE"""),"机场")</f>
        <v>机场</v>
      </c>
      <c r="D258" s="13" t="str">
        <f ca="1">IFERROR(__xludf.DUMMYFUNCTION("""COMPUTED_VALUE"""),"&lt;ruby&gt;机场&lt;rt&gt;jīchǎng&lt;/rt&gt;&lt;/ruby&gt;")</f>
        <v>&lt;ruby&gt;机场&lt;rt&gt;jīchǎng&lt;/rt&gt;&lt;/ruby&gt;</v>
      </c>
      <c r="E258" s="13" t="str">
        <f ca="1">IFERROR(__xludf.DUMMYFUNCTION("""COMPUTED_VALUE"""),"jīchǎng")</f>
        <v>jīchǎng</v>
      </c>
      <c r="F258" s="13" t="str">
        <f ca="1">IFERROR(__xludf.DUMMYFUNCTION("""COMPUTED_VALUE"""),"Danh từ")</f>
        <v>Danh từ</v>
      </c>
      <c r="G258" s="13" t="str">
        <f ca="1">IFERROR(__xludf.DUMMYFUNCTION("""COMPUTED_VALUE"""),"sân bay")</f>
        <v>sân bay</v>
      </c>
      <c r="H258" s="13" t="str">
        <f ca="1">IFERROR(__xludf.DUMMYFUNCTION("""COMPUTED_VALUE"""),"我及时到达了机场办理手续。")</f>
        <v>我及时到达了机场办理手续。</v>
      </c>
      <c r="I258" s="13" t="str">
        <f ca="1">IFERROR(__xludf.DUMMYFUNCTION("""COMPUTED_VALUE"""),"Wǒ jíshí dàodá le jīchǎng bànlǐ shǒuxù.")</f>
        <v>Wǒ jíshí dàodá le jīchǎng bànlǐ shǒuxù.</v>
      </c>
      <c r="J258" s="13" t="str">
        <f ca="1">IFERROR(__xludf.DUMMYFUNCTION("""COMPUTED_VALUE"""),"Tôi đã đến sân bay kịp giờ để xử lý thủ tục.")</f>
        <v>Tôi đã đến sân bay kịp giờ để xử lý thủ tục.</v>
      </c>
      <c r="K258" s="13" t="str">
        <f ca="1">IFERROR(__xludf.DUMMYFUNCTION("""COMPUTED_VALUE"""),"H2_B7_BG-02.gif")</f>
        <v>H2_B7_BG-02.gif</v>
      </c>
      <c r="L258" s="13" t="str">
        <f ca="1">IFERROR(__xludf.DUMMYFUNCTION("""COMPUTED_VALUE"""),"H2_B7_2.mp3")</f>
        <v>H2_B7_2.mp3</v>
      </c>
      <c r="M258" s="13" t="str">
        <f ca="1">IFERROR(__xludf.DUMMYFUNCTION("""COMPUTED_VALUE"""),"H2_B7_VD_2.mp3")</f>
        <v>H2_B7_VD_2.mp3</v>
      </c>
    </row>
    <row r="259" spans="1:13">
      <c r="A259" s="13">
        <f ca="1">IFERROR(__xludf.DUMMYFUNCTION("""COMPUTED_VALUE"""),3)</f>
        <v>3</v>
      </c>
      <c r="B259" s="13"/>
      <c r="C259" s="13" t="str">
        <f ca="1">IFERROR(__xludf.DUMMYFUNCTION("""COMPUTED_VALUE"""),"路")</f>
        <v>路</v>
      </c>
      <c r="D259" s="13" t="str">
        <f ca="1">IFERROR(__xludf.DUMMYFUNCTION("""COMPUTED_VALUE"""),"&lt;ruby&gt;路&lt;rt&gt;lù&lt;/rt&gt;&lt;/ruby&gt;")</f>
        <v>&lt;ruby&gt;路&lt;rt&gt;lù&lt;/rt&gt;&lt;/ruby&gt;</v>
      </c>
      <c r="E259" s="13" t="str">
        <f ca="1">IFERROR(__xludf.DUMMYFUNCTION("""COMPUTED_VALUE"""),"lù")</f>
        <v>lù</v>
      </c>
      <c r="F259" s="13" t="str">
        <f ca="1">IFERROR(__xludf.DUMMYFUNCTION("""COMPUTED_VALUE"""),"Danh từ")</f>
        <v>Danh từ</v>
      </c>
      <c r="G259" s="13" t="str">
        <f ca="1">IFERROR(__xludf.DUMMYFUNCTION("""COMPUTED_VALUE"""),"đường, lối đi")</f>
        <v>đường, lối đi</v>
      </c>
      <c r="H259" s="13" t="str">
        <f ca="1">IFERROR(__xludf.DUMMYFUNCTION("""COMPUTED_VALUE"""),"这条路很宽。")</f>
        <v>这条路很宽。</v>
      </c>
      <c r="I259" s="13" t="str">
        <f ca="1">IFERROR(__xludf.DUMMYFUNCTION("""COMPUTED_VALUE"""),"Zhè tiáo lù hěn kuān.")</f>
        <v>Zhè tiáo lù hěn kuān.</v>
      </c>
      <c r="J259" s="13" t="str">
        <f ca="1">IFERROR(__xludf.DUMMYFUNCTION("""COMPUTED_VALUE"""),"Con đường này rộng quá.")</f>
        <v>Con đường này rộng quá.</v>
      </c>
      <c r="K259" s="13" t="str">
        <f ca="1">IFERROR(__xludf.DUMMYFUNCTION("""COMPUTED_VALUE"""),"H2_B7_BG-03.gif")</f>
        <v>H2_B7_BG-03.gif</v>
      </c>
      <c r="L259" s="13" t="str">
        <f ca="1">IFERROR(__xludf.DUMMYFUNCTION("""COMPUTED_VALUE"""),"H2_B7_3.mp3")</f>
        <v>H2_B7_3.mp3</v>
      </c>
      <c r="M259" s="13" t="str">
        <f ca="1">IFERROR(__xludf.DUMMYFUNCTION("""COMPUTED_VALUE"""),"H2_B7_VD_3.mp3")</f>
        <v>H2_B7_VD_3.mp3</v>
      </c>
    </row>
    <row r="260" spans="1:13">
      <c r="A260" s="13">
        <f ca="1">IFERROR(__xludf.DUMMYFUNCTION("""COMPUTED_VALUE"""),4)</f>
        <v>4</v>
      </c>
      <c r="B260" s="13"/>
      <c r="C260" s="13" t="str">
        <f ca="1">IFERROR(__xludf.DUMMYFUNCTION("""COMPUTED_VALUE"""),"公司")</f>
        <v>公司</v>
      </c>
      <c r="D260" s="13" t="str">
        <f ca="1">IFERROR(__xludf.DUMMYFUNCTION("""COMPUTED_VALUE"""),"&lt;ruby&gt;公司&lt;rt&gt;gōngsī&lt;/rt&gt;&lt;/ruby&gt;")</f>
        <v>&lt;ruby&gt;公司&lt;rt&gt;gōngsī&lt;/rt&gt;&lt;/ruby&gt;</v>
      </c>
      <c r="E260" s="13" t="str">
        <f ca="1">IFERROR(__xludf.DUMMYFUNCTION("""COMPUTED_VALUE"""),"gōngsī")</f>
        <v>gōngsī</v>
      </c>
      <c r="F260" s="13" t="str">
        <f ca="1">IFERROR(__xludf.DUMMYFUNCTION("""COMPUTED_VALUE"""),"Danh từ")</f>
        <v>Danh từ</v>
      </c>
      <c r="G260" s="13" t="str">
        <f ca="1">IFERROR(__xludf.DUMMYFUNCTION("""COMPUTED_VALUE"""),"công ty")</f>
        <v>công ty</v>
      </c>
      <c r="H260" s="13" t="str">
        <f ca="1">IFERROR(__xludf.DUMMYFUNCTION("""COMPUTED_VALUE"""),"那栋大楼是我的公司。")</f>
        <v>那栋大楼是我的公司。</v>
      </c>
      <c r="I260" s="13" t="str">
        <f ca="1">IFERROR(__xludf.DUMMYFUNCTION("""COMPUTED_VALUE"""),"Nà dòng dàlóu shì wǒ de gōngsī.")</f>
        <v>Nà dòng dàlóu shì wǒ de gōngsī.</v>
      </c>
      <c r="J260" s="13" t="str">
        <f ca="1">IFERROR(__xludf.DUMMYFUNCTION("""COMPUTED_VALUE"""),"Tòa nhà đằng kia là công ty của tôi.")</f>
        <v>Tòa nhà đằng kia là công ty của tôi.</v>
      </c>
      <c r="K260" s="13" t="str">
        <f ca="1">IFERROR(__xludf.DUMMYFUNCTION("""COMPUTED_VALUE"""),"H2_B7_BG-04.gif")</f>
        <v>H2_B7_BG-04.gif</v>
      </c>
      <c r="L260" s="13" t="str">
        <f ca="1">IFERROR(__xludf.DUMMYFUNCTION("""COMPUTED_VALUE"""),"H2_B7_4.mp3")</f>
        <v>H2_B7_4.mp3</v>
      </c>
      <c r="M260" s="13" t="str">
        <f ca="1">IFERROR(__xludf.DUMMYFUNCTION("""COMPUTED_VALUE"""),"H2_B7_VD_4.mp3")</f>
        <v>H2_B7_VD_4.mp3</v>
      </c>
    </row>
    <row r="261" spans="1:13">
      <c r="A261" s="13">
        <f ca="1">IFERROR(__xludf.DUMMYFUNCTION("""COMPUTED_VALUE"""),5)</f>
        <v>5</v>
      </c>
      <c r="B261" s="13"/>
      <c r="C261" s="13" t="str">
        <f ca="1">IFERROR(__xludf.DUMMYFUNCTION("""COMPUTED_VALUE"""),"公共汽车")</f>
        <v>公共汽车</v>
      </c>
      <c r="D261" s="13" t="str">
        <f ca="1">IFERROR(__xludf.DUMMYFUNCTION("""COMPUTED_VALUE"""),"&lt;ruby&gt;公共汽车&lt;rt&gt;gōnggòng qìchē&lt;/rt&gt;&lt;/ruby&gt;")</f>
        <v>&lt;ruby&gt;公共汽车&lt;rt&gt;gōnggòng qìchē&lt;/rt&gt;&lt;/ruby&gt;</v>
      </c>
      <c r="E261" s="13" t="str">
        <f ca="1">IFERROR(__xludf.DUMMYFUNCTION("""COMPUTED_VALUE"""),"gōnggòng qìchē")</f>
        <v>gōnggòng qìchē</v>
      </c>
      <c r="F261" s="13"/>
      <c r="G261" s="13" t="str">
        <f ca="1">IFERROR(__xludf.DUMMYFUNCTION("""COMPUTED_VALUE"""),"xe buýt")</f>
        <v>xe buýt</v>
      </c>
      <c r="H261" s="13" t="str">
        <f ca="1">IFERROR(__xludf.DUMMYFUNCTION("""COMPUTED_VALUE"""),"我经常坐公共汽车去上学。")</f>
        <v>我经常坐公共汽车去上学。</v>
      </c>
      <c r="I261" s="13" t="str">
        <f ca="1">IFERROR(__xludf.DUMMYFUNCTION("""COMPUTED_VALUE"""),"Wǒ jīngcháng zuò gōnggòng qìchē qù shàngxué.")</f>
        <v>Wǒ jīngcháng zuò gōnggòng qìchē qù shàngxué.</v>
      </c>
      <c r="J261" s="13" t="str">
        <f ca="1">IFERROR(__xludf.DUMMYFUNCTION("""COMPUTED_VALUE"""),"Tôi thường đi học bằng xe buýt.")</f>
        <v>Tôi thường đi học bằng xe buýt.</v>
      </c>
      <c r="K261" s="13" t="str">
        <f ca="1">IFERROR(__xludf.DUMMYFUNCTION("""COMPUTED_VALUE"""),"H2_B7_BG-05.gif")</f>
        <v>H2_B7_BG-05.gif</v>
      </c>
      <c r="L261" s="13" t="str">
        <f ca="1">IFERROR(__xludf.DUMMYFUNCTION("""COMPUTED_VALUE"""),"H2_B7_5.mp3")</f>
        <v>H2_B7_5.mp3</v>
      </c>
      <c r="M261" s="13" t="str">
        <f ca="1">IFERROR(__xludf.DUMMYFUNCTION("""COMPUTED_VALUE"""),"H2_B7_VD_5.mp3")</f>
        <v>H2_B7_VD_5.mp3</v>
      </c>
    </row>
    <row r="262" spans="1:13">
      <c r="A262" s="13">
        <f ca="1">IFERROR(__xludf.DUMMYFUNCTION("""COMPUTED_VALUE"""),6)</f>
        <v>6</v>
      </c>
      <c r="B262" s="13"/>
      <c r="C262" s="13" t="str">
        <f ca="1">IFERROR(__xludf.DUMMYFUNCTION("""COMPUTED_VALUE"""),"小时")</f>
        <v>小时</v>
      </c>
      <c r="D262" s="13" t="str">
        <f ca="1">IFERROR(__xludf.DUMMYFUNCTION("""COMPUTED_VALUE"""),"&lt;ruby&gt;小时&lt;rt&gt;xiǎoshí&lt;/rt&gt;&lt;/ruby&gt;")</f>
        <v>&lt;ruby&gt;小时&lt;rt&gt;xiǎoshí&lt;/rt&gt;&lt;/ruby&gt;</v>
      </c>
      <c r="E262" s="13" t="str">
        <f ca="1">IFERROR(__xludf.DUMMYFUNCTION("""COMPUTED_VALUE"""),"xiǎoshí")</f>
        <v>xiǎoshí</v>
      </c>
      <c r="F262" s="13" t="str">
        <f ca="1">IFERROR(__xludf.DUMMYFUNCTION("""COMPUTED_VALUE"""),"Danh từ")</f>
        <v>Danh từ</v>
      </c>
      <c r="G262" s="13" t="str">
        <f ca="1">IFERROR(__xludf.DUMMYFUNCTION("""COMPUTED_VALUE"""),"giờ (đồng hồ)")</f>
        <v>giờ (đồng hồ)</v>
      </c>
      <c r="H262" s="13" t="str">
        <f ca="1">IFERROR(__xludf.DUMMYFUNCTION("""COMPUTED_VALUE"""),"会议持续了一个小时。")</f>
        <v>会议持续了一个小时。</v>
      </c>
      <c r="I262" s="13" t="str">
        <f ca="1">IFERROR(__xludf.DUMMYFUNCTION("""COMPUTED_VALUE"""),"Huìyì chíxù le yī gè xiǎoshí.")</f>
        <v>Huìyì chíxù le yī gè xiǎoshí.</v>
      </c>
      <c r="J262" s="13" t="str">
        <f ca="1">IFERROR(__xludf.DUMMYFUNCTION("""COMPUTED_VALUE"""),"Cuộc họp kéo dài một tiếng đồng hồ.")</f>
        <v>Cuộc họp kéo dài một tiếng đồng hồ.</v>
      </c>
      <c r="K262" s="13" t="str">
        <f ca="1">IFERROR(__xludf.DUMMYFUNCTION("""COMPUTED_VALUE"""),"H2_B7_BG-06.gif")</f>
        <v>H2_B7_BG-06.gif</v>
      </c>
      <c r="L262" s="13" t="str">
        <f ca="1">IFERROR(__xludf.DUMMYFUNCTION("""COMPUTED_VALUE"""),"H2_B7_6.mp3")</f>
        <v>H2_B7_6.mp3</v>
      </c>
      <c r="M262" s="13" t="str">
        <f ca="1">IFERROR(__xludf.DUMMYFUNCTION("""COMPUTED_VALUE"""),"H2_B7_VD_6.mp3")</f>
        <v>H2_B7_VD_6.mp3</v>
      </c>
    </row>
    <row r="263" spans="1:13">
      <c r="A263" s="13">
        <f ca="1">IFERROR(__xludf.DUMMYFUNCTION("""COMPUTED_VALUE"""),7)</f>
        <v>7</v>
      </c>
      <c r="B263" s="13"/>
      <c r="C263" s="13" t="str">
        <f ca="1">IFERROR(__xludf.DUMMYFUNCTION("""COMPUTED_VALUE"""),"慢")</f>
        <v>慢</v>
      </c>
      <c r="D263" s="13" t="str">
        <f ca="1">IFERROR(__xludf.DUMMYFUNCTION("""COMPUTED_VALUE"""),"&lt;ruby&gt;慢&lt;rt&gt;màn&lt;/rt&gt;&lt;/ruby&gt;")</f>
        <v>&lt;ruby&gt;慢&lt;rt&gt;màn&lt;/rt&gt;&lt;/ruby&gt;</v>
      </c>
      <c r="E263" s="13" t="str">
        <f ca="1">IFERROR(__xludf.DUMMYFUNCTION("""COMPUTED_VALUE"""),"màn")</f>
        <v>màn</v>
      </c>
      <c r="F263" s="13" t="str">
        <f ca="1">IFERROR(__xludf.DUMMYFUNCTION("""COMPUTED_VALUE"""),"Tính từ")</f>
        <v>Tính từ</v>
      </c>
      <c r="G263" s="13" t="str">
        <f ca="1">IFERROR(__xludf.DUMMYFUNCTION("""COMPUTED_VALUE"""),"chậm")</f>
        <v>chậm</v>
      </c>
      <c r="H263" s="13" t="str">
        <f ca="1">IFERROR(__xludf.DUMMYFUNCTION("""COMPUTED_VALUE"""),"这只蜗牛爬得很慢。")</f>
        <v>这只蜗牛爬得很慢。</v>
      </c>
      <c r="I263" s="13" t="str">
        <f ca="1">IFERROR(__xludf.DUMMYFUNCTION("""COMPUTED_VALUE"""),"Zhè zhī wōniú pá de hěn màn.")</f>
        <v>Zhè zhī wōniú pá de hěn màn.</v>
      </c>
      <c r="J263" s="13" t="str">
        <f ca="1">IFERROR(__xludf.DUMMYFUNCTION("""COMPUTED_VALUE"""),"Con ốc sên này bò thật chậm")</f>
        <v>Con ốc sên này bò thật chậm</v>
      </c>
      <c r="K263" s="13" t="str">
        <f ca="1">IFERROR(__xludf.DUMMYFUNCTION("""COMPUTED_VALUE"""),"H2_B7_BG-07.gif")</f>
        <v>H2_B7_BG-07.gif</v>
      </c>
      <c r="L263" s="13" t="str">
        <f ca="1">IFERROR(__xludf.DUMMYFUNCTION("""COMPUTED_VALUE"""),"H2_B7_7.mp3")</f>
        <v>H2_B7_7.mp3</v>
      </c>
      <c r="M263" s="13" t="str">
        <f ca="1">IFERROR(__xludf.DUMMYFUNCTION("""COMPUTED_VALUE"""),"H2_B7_VD_7.mp3")</f>
        <v>H2_B7_VD_7.mp3</v>
      </c>
    </row>
    <row r="264" spans="1:13">
      <c r="A264" s="13">
        <f ca="1">IFERROR(__xludf.DUMMYFUNCTION("""COMPUTED_VALUE"""),8)</f>
        <v>8</v>
      </c>
      <c r="B264" s="13"/>
      <c r="C264" s="13" t="str">
        <f ca="1">IFERROR(__xludf.DUMMYFUNCTION("""COMPUTED_VALUE"""),"快")</f>
        <v>快</v>
      </c>
      <c r="D264" s="13" t="str">
        <f ca="1">IFERROR(__xludf.DUMMYFUNCTION("""COMPUTED_VALUE"""),"&lt;ruby&gt;快&lt;rt&gt;kuài&lt;/rt&gt;&lt;/ruby&gt;")</f>
        <v>&lt;ruby&gt;快&lt;rt&gt;kuài&lt;/rt&gt;&lt;/ruby&gt;</v>
      </c>
      <c r="E264" s="13" t="str">
        <f ca="1">IFERROR(__xludf.DUMMYFUNCTION("""COMPUTED_VALUE"""),"kuài")</f>
        <v>kuài</v>
      </c>
      <c r="F264" s="13" t="str">
        <f ca="1">IFERROR(__xludf.DUMMYFUNCTION("""COMPUTED_VALUE"""),"Tính từ")</f>
        <v>Tính từ</v>
      </c>
      <c r="G264" s="13" t="str">
        <f ca="1">IFERROR(__xludf.DUMMYFUNCTION("""COMPUTED_VALUE"""),"nhanh")</f>
        <v>nhanh</v>
      </c>
      <c r="H264" s="13" t="str">
        <f ca="1">IFERROR(__xludf.DUMMYFUNCTION("""COMPUTED_VALUE"""),"他跑得很快。")</f>
        <v>他跑得很快。</v>
      </c>
      <c r="I264" s="13" t="str">
        <f ca="1">IFERROR(__xludf.DUMMYFUNCTION("""COMPUTED_VALUE"""),"Tā pǎo de hěn kuài.")</f>
        <v>Tā pǎo de hěn kuài.</v>
      </c>
      <c r="J264" s="13" t="str">
        <f ca="1">IFERROR(__xludf.DUMMYFUNCTION("""COMPUTED_VALUE"""),"Anh ấy chạy rất nhanh")</f>
        <v>Anh ấy chạy rất nhanh</v>
      </c>
      <c r="K264" s="13" t="str">
        <f ca="1">IFERROR(__xludf.DUMMYFUNCTION("""COMPUTED_VALUE"""),"H2_B7_BG-08.gif")</f>
        <v>H2_B7_BG-08.gif</v>
      </c>
      <c r="L264" s="13" t="str">
        <f ca="1">IFERROR(__xludf.DUMMYFUNCTION("""COMPUTED_VALUE"""),"H2_B7_8.mp3")</f>
        <v>H2_B7_8.mp3</v>
      </c>
      <c r="M264" s="13" t="str">
        <f ca="1">IFERROR(__xludf.DUMMYFUNCTION("""COMPUTED_VALUE"""),"H2_B7_VD_8.mp3")</f>
        <v>H2_B7_VD_8.mp3</v>
      </c>
    </row>
    <row r="265" spans="1:13">
      <c r="A265" s="13">
        <f ca="1">IFERROR(__xludf.DUMMYFUNCTION("""COMPUTED_VALUE"""),9)</f>
        <v>9</v>
      </c>
      <c r="B265" s="13"/>
      <c r="C265" s="13" t="str">
        <f ca="1">IFERROR(__xludf.DUMMYFUNCTION("""COMPUTED_VALUE"""),"过")</f>
        <v>过</v>
      </c>
      <c r="D265" s="13" t="str">
        <f ca="1">IFERROR(__xludf.DUMMYFUNCTION("""COMPUTED_VALUE"""),"&lt;ruby&gt;过&lt;rt&gt;guò&lt;/rt&gt;&lt;/ruby&gt;")</f>
        <v>&lt;ruby&gt;过&lt;rt&gt;guò&lt;/rt&gt;&lt;/ruby&gt;</v>
      </c>
      <c r="E265" s="13" t="str">
        <f ca="1">IFERROR(__xludf.DUMMYFUNCTION("""COMPUTED_VALUE"""),"guò")</f>
        <v>guò</v>
      </c>
      <c r="F265" s="13" t="str">
        <f ca="1">IFERROR(__xludf.DUMMYFUNCTION("""COMPUTED_VALUE"""),"Động từ")</f>
        <v>Động từ</v>
      </c>
      <c r="G265" s="13" t="str">
        <f ca="1">IFERROR(__xludf.DUMMYFUNCTION("""COMPUTED_VALUE"""),"ăn (mừng), trải qua")</f>
        <v>ăn (mừng), trải qua</v>
      </c>
      <c r="H265" s="13" t="str">
        <f ca="1">IFERROR(__xludf.DUMMYFUNCTION("""COMPUTED_VALUE"""),"我回老家过年，和家人一起庆祝。")</f>
        <v>我回老家过年，和家人一起庆祝。</v>
      </c>
      <c r="I265" s="13" t="str">
        <f ca="1">IFERROR(__xludf.DUMMYFUNCTION("""COMPUTED_VALUE"""),"Wǒ huí lǎojiā guònián, hé jiārén yīqǐ qìngzhù.")</f>
        <v>Wǒ huí lǎojiā guònián, hé jiārén yīqǐ qìngzhù.</v>
      </c>
      <c r="J265" s="13" t="str">
        <f ca="1">IFERROR(__xludf.DUMMYFUNCTION("""COMPUTED_VALUE"""),"Tôi về quê đón tết cùng gia đình.")</f>
        <v>Tôi về quê đón tết cùng gia đình.</v>
      </c>
      <c r="K265" s="13" t="str">
        <f ca="1">IFERROR(__xludf.DUMMYFUNCTION("""COMPUTED_VALUE"""),"H2_B7_BG-09.gif")</f>
        <v>H2_B7_BG-09.gif</v>
      </c>
      <c r="L265" s="13" t="str">
        <f ca="1">IFERROR(__xludf.DUMMYFUNCTION("""COMPUTED_VALUE"""),"H2_B7_9.mp3")</f>
        <v>H2_B7_9.mp3</v>
      </c>
      <c r="M265" s="13" t="str">
        <f ca="1">IFERROR(__xludf.DUMMYFUNCTION("""COMPUTED_VALUE"""),"H2_B7_VD_9.mp3")</f>
        <v>H2_B7_VD_9.mp3</v>
      </c>
    </row>
    <row r="266" spans="1:13">
      <c r="A266" s="13">
        <f ca="1">IFERROR(__xludf.DUMMYFUNCTION("""COMPUTED_VALUE"""),10)</f>
        <v>10</v>
      </c>
      <c r="B266" s="13"/>
      <c r="C266" s="13" t="str">
        <f ca="1">IFERROR(__xludf.DUMMYFUNCTION("""COMPUTED_VALUE"""),"走")</f>
        <v>走</v>
      </c>
      <c r="D266" s="13" t="str">
        <f ca="1">IFERROR(__xludf.DUMMYFUNCTION("""COMPUTED_VALUE"""),"&lt;ruby&gt;走&lt;rt&gt;zǒu&lt;/rt&gt;&lt;/ruby&gt;")</f>
        <v>&lt;ruby&gt;走&lt;rt&gt;zǒu&lt;/rt&gt;&lt;/ruby&gt;</v>
      </c>
      <c r="E266" s="13" t="str">
        <f ca="1">IFERROR(__xludf.DUMMYFUNCTION("""COMPUTED_VALUE"""),"zǒu")</f>
        <v>zǒu</v>
      </c>
      <c r="F266" s="13" t="str">
        <f ca="1">IFERROR(__xludf.DUMMYFUNCTION("""COMPUTED_VALUE"""),"Động từ")</f>
        <v>Động từ</v>
      </c>
      <c r="G266" s="13" t="str">
        <f ca="1">IFERROR(__xludf.DUMMYFUNCTION("""COMPUTED_VALUE"""),"đi, đi bộ")</f>
        <v>đi, đi bộ</v>
      </c>
      <c r="H266" s="13" t="str">
        <f ca="1">IFERROR(__xludf.DUMMYFUNCTION("""COMPUTED_VALUE"""),"我们走路去学校吧。")</f>
        <v>我们走路去学校吧。</v>
      </c>
      <c r="I266" s="13" t="str">
        <f ca="1">IFERROR(__xludf.DUMMYFUNCTION("""COMPUTED_VALUE"""),"Wǒmen zǒulù qù xuéxiào ba.")</f>
        <v>Wǒmen zǒulù qù xuéxiào ba.</v>
      </c>
      <c r="J266" s="13" t="str">
        <f ca="1">IFERROR(__xludf.DUMMYFUNCTION("""COMPUTED_VALUE"""),"Chúng ta đi bộ đến trường nhé.")</f>
        <v>Chúng ta đi bộ đến trường nhé.</v>
      </c>
      <c r="K266" s="13" t="str">
        <f ca="1">IFERROR(__xludf.DUMMYFUNCTION("""COMPUTED_VALUE"""),"H2_B7_BG-10.gif")</f>
        <v>H2_B7_BG-10.gif</v>
      </c>
      <c r="L266" s="13" t="str">
        <f ca="1">IFERROR(__xludf.DUMMYFUNCTION("""COMPUTED_VALUE"""),"H2_B7_10.mp3")</f>
        <v>H2_B7_10.mp3</v>
      </c>
      <c r="M266" s="13" t="str">
        <f ca="1">IFERROR(__xludf.DUMMYFUNCTION("""COMPUTED_VALUE"""),"H2_B7_VD_10.mp3")</f>
        <v>H2_B7_VD_10.mp3</v>
      </c>
    </row>
    <row r="267" spans="1:13">
      <c r="A267" s="13">
        <f ca="1">IFERROR(__xludf.DUMMYFUNCTION("""COMPUTED_VALUE"""),11)</f>
        <v>11</v>
      </c>
      <c r="B267" s="13"/>
      <c r="C267" s="13" t="str">
        <f ca="1">IFERROR(__xludf.DUMMYFUNCTION("""COMPUTED_VALUE"""),"到")</f>
        <v>到</v>
      </c>
      <c r="D267" s="13" t="str">
        <f ca="1">IFERROR(__xludf.DUMMYFUNCTION("""COMPUTED_VALUE"""),"&lt;ruby&gt;到&lt;rt&gt;dào&lt;/rt&gt;&lt;/ruby&gt;")</f>
        <v>&lt;ruby&gt;到&lt;rt&gt;dào&lt;/rt&gt;&lt;/ruby&gt;</v>
      </c>
      <c r="E267" s="13" t="str">
        <f ca="1">IFERROR(__xludf.DUMMYFUNCTION("""COMPUTED_VALUE"""),"dào")</f>
        <v>dào</v>
      </c>
      <c r="F267" s="13" t="str">
        <f ca="1">IFERROR(__xludf.DUMMYFUNCTION("""COMPUTED_VALUE"""),"Động từ")</f>
        <v>Động từ</v>
      </c>
      <c r="G267" s="13" t="str">
        <f ca="1">IFERROR(__xludf.DUMMYFUNCTION("""COMPUTED_VALUE"""),"đến, tới")</f>
        <v>đến, tới</v>
      </c>
      <c r="H267" s="13" t="str">
        <f ca="1">IFERROR(__xludf.DUMMYFUNCTION("""COMPUTED_VALUE"""),"他们到饭馆吃饭。")</f>
        <v>他们到饭馆吃饭。</v>
      </c>
      <c r="I267" s="13" t="str">
        <f ca="1">IFERROR(__xludf.DUMMYFUNCTION("""COMPUTED_VALUE"""),"Tāmen dào fànguǎn chīfàn.")</f>
        <v>Tāmen dào fànguǎn chīfàn.</v>
      </c>
      <c r="J267" s="13" t="str">
        <f ca="1">IFERROR(__xludf.DUMMYFUNCTION("""COMPUTED_VALUE"""),"Họ đến nhà hàng ăn cơm.")</f>
        <v>Họ đến nhà hàng ăn cơm.</v>
      </c>
      <c r="K267" s="13" t="str">
        <f ca="1">IFERROR(__xludf.DUMMYFUNCTION("""COMPUTED_VALUE"""),"H2_B7_BG-11.gif")</f>
        <v>H2_B7_BG-11.gif</v>
      </c>
      <c r="L267" s="13" t="str">
        <f ca="1">IFERROR(__xludf.DUMMYFUNCTION("""COMPUTED_VALUE"""),"H2_B7_11.mp3")</f>
        <v>H2_B7_11.mp3</v>
      </c>
      <c r="M267" s="13" t="str">
        <f ca="1">IFERROR(__xludf.DUMMYFUNCTION("""COMPUTED_VALUE"""),"H2_B7_VD_11.mp3")</f>
        <v>H2_B7_VD_11.mp3</v>
      </c>
    </row>
    <row r="268" spans="1:13">
      <c r="A268" s="13">
        <f ca="1">IFERROR(__xludf.DUMMYFUNCTION("""COMPUTED_VALUE"""),12)</f>
        <v>12</v>
      </c>
      <c r="B268" s="13"/>
      <c r="C268" s="13" t="str">
        <f ca="1">IFERROR(__xludf.DUMMYFUNCTION("""COMPUTED_VALUE"""),"离")</f>
        <v>离</v>
      </c>
      <c r="D268" s="13" t="str">
        <f ca="1">IFERROR(__xludf.DUMMYFUNCTION("""COMPUTED_VALUE"""),"&lt;ruby&gt;离&lt;rt&gt;lí&lt;/rt&gt;&lt;/ruby&gt;")</f>
        <v>&lt;ruby&gt;离&lt;rt&gt;lí&lt;/rt&gt;&lt;/ruby&gt;</v>
      </c>
      <c r="E268" s="13" t="str">
        <f ca="1">IFERROR(__xludf.DUMMYFUNCTION("""COMPUTED_VALUE"""),"lí")</f>
        <v>lí</v>
      </c>
      <c r="F268" s="13" t="str">
        <f ca="1">IFERROR(__xludf.DUMMYFUNCTION("""COMPUTED_VALUE"""),"Động từ")</f>
        <v>Động từ</v>
      </c>
      <c r="G268" s="13" t="str">
        <f ca="1">IFERROR(__xludf.DUMMYFUNCTION("""COMPUTED_VALUE"""),"cách")</f>
        <v>cách</v>
      </c>
      <c r="H268" s="13" t="str">
        <f ca="1">IFERROR(__xludf.DUMMYFUNCTION("""COMPUTED_VALUE"""),"公司离地铁站很近。")</f>
        <v>公司离地铁站很近。</v>
      </c>
      <c r="I268" s="13" t="str">
        <f ca="1">IFERROR(__xludf.DUMMYFUNCTION("""COMPUTED_VALUE"""),"Gōngsī lí dìtiě zhàn hěn jìn.")</f>
        <v>Gōngsī lí dìtiě zhàn hěn jìn.</v>
      </c>
      <c r="J268" s="13" t="str">
        <f ca="1">IFERROR(__xludf.DUMMYFUNCTION("""COMPUTED_VALUE"""),"Công ty cách ga tàu điện ngầm rất gần")</f>
        <v>Công ty cách ga tàu điện ngầm rất gần</v>
      </c>
      <c r="K268" s="13" t="str">
        <f ca="1">IFERROR(__xludf.DUMMYFUNCTION("""COMPUTED_VALUE"""),"H2_B7_BG-12.gif")</f>
        <v>H2_B7_BG-12.gif</v>
      </c>
      <c r="L268" s="13" t="str">
        <f ca="1">IFERROR(__xludf.DUMMYFUNCTION("""COMPUTED_VALUE"""),"H2_B7_12.mp3")</f>
        <v>H2_B7_12.mp3</v>
      </c>
      <c r="M268" s="13" t="str">
        <f ca="1">IFERROR(__xludf.DUMMYFUNCTION("""COMPUTED_VALUE"""),"H2_B7_VD_12.mp3")</f>
        <v>H2_B7_VD_12.mp3</v>
      </c>
    </row>
    <row r="269" spans="1:13">
      <c r="A269" s="13">
        <f ca="1">IFERROR(__xludf.DUMMYFUNCTION("""COMPUTED_VALUE"""),13)</f>
        <v>13</v>
      </c>
      <c r="B269" s="13"/>
      <c r="C269" s="13" t="str">
        <f ca="1">IFERROR(__xludf.DUMMYFUNCTION("""COMPUTED_VALUE"""),"远")</f>
        <v>远</v>
      </c>
      <c r="D269" s="13" t="str">
        <f ca="1">IFERROR(__xludf.DUMMYFUNCTION("""COMPUTED_VALUE"""),"&lt;ruby&gt;远&lt;rt&gt;yuǎn&lt;/rt&gt;&lt;/ruby&gt;")</f>
        <v>&lt;ruby&gt;远&lt;rt&gt;yuǎn&lt;/rt&gt;&lt;/ruby&gt;</v>
      </c>
      <c r="E269" s="13" t="str">
        <f ca="1">IFERROR(__xludf.DUMMYFUNCTION("""COMPUTED_VALUE"""),"yuǎn")</f>
        <v>yuǎn</v>
      </c>
      <c r="F269" s="13" t="str">
        <f ca="1">IFERROR(__xludf.DUMMYFUNCTION("""COMPUTED_VALUE"""),"Tính từ")</f>
        <v>Tính từ</v>
      </c>
      <c r="G269" s="13" t="str">
        <f ca="1">IFERROR(__xludf.DUMMYFUNCTION("""COMPUTED_VALUE"""),"xa")</f>
        <v>xa</v>
      </c>
      <c r="H269" s="13" t="str">
        <f ca="1">IFERROR(__xludf.DUMMYFUNCTION("""COMPUTED_VALUE"""),"我家离学校很远。")</f>
        <v>我家离学校很远。</v>
      </c>
      <c r="I269" s="13" t="str">
        <f ca="1">IFERROR(__xludf.DUMMYFUNCTION("""COMPUTED_VALUE"""),"Wǒ jiā lí xuéxiào hěn yuǎn.")</f>
        <v>Wǒ jiā lí xuéxiào hěn yuǎn.</v>
      </c>
      <c r="J269" s="13" t="str">
        <f ca="1">IFERROR(__xludf.DUMMYFUNCTION("""COMPUTED_VALUE"""),"Nhà tôi cách trường rất xa.")</f>
        <v>Nhà tôi cách trường rất xa.</v>
      </c>
      <c r="K269" s="13" t="str">
        <f ca="1">IFERROR(__xludf.DUMMYFUNCTION("""COMPUTED_VALUE"""),"H2_B7_BG-13.gif")</f>
        <v>H2_B7_BG-13.gif</v>
      </c>
      <c r="L269" s="13" t="str">
        <f ca="1">IFERROR(__xludf.DUMMYFUNCTION("""COMPUTED_VALUE"""),"H2_B7_13.mp3")</f>
        <v>H2_B7_13.mp3</v>
      </c>
      <c r="M269" s="13" t="str">
        <f ca="1">IFERROR(__xludf.DUMMYFUNCTION("""COMPUTED_VALUE"""),"H2_B7_VD_13.mp3")</f>
        <v>H2_B7_VD_13.mp3</v>
      </c>
    </row>
    <row r="270" spans="1:13">
      <c r="A270" s="13">
        <f ca="1">IFERROR(__xludf.DUMMYFUNCTION("""COMPUTED_VALUE"""),1)</f>
        <v>1</v>
      </c>
      <c r="B270" s="13"/>
      <c r="C270" s="13" t="str">
        <f ca="1">IFERROR(__xludf.DUMMYFUNCTION("""COMPUTED_VALUE"""),"再")</f>
        <v>再</v>
      </c>
      <c r="D270" s="13" t="str">
        <f ca="1">IFERROR(__xludf.DUMMYFUNCTION("""COMPUTED_VALUE"""),"&lt;ruby&gt;再&lt;rt&gt;zài&lt;/rt&gt;&lt;/ruby&gt;")</f>
        <v>&lt;ruby&gt;再&lt;rt&gt;zài&lt;/rt&gt;&lt;/ruby&gt;</v>
      </c>
      <c r="E270" s="13" t="str">
        <f ca="1">IFERROR(__xludf.DUMMYFUNCTION("""COMPUTED_VALUE"""),"zài")</f>
        <v>zài</v>
      </c>
      <c r="F270" s="13" t="str">
        <f ca="1">IFERROR(__xludf.DUMMYFUNCTION("""COMPUTED_VALUE"""),"Phó từ")</f>
        <v>Phó từ</v>
      </c>
      <c r="G270" s="13" t="str">
        <f ca="1">IFERROR(__xludf.DUMMYFUNCTION("""COMPUTED_VALUE"""),"lại, lần nữa, hẵng, hãy, sẽ")</f>
        <v>lại, lần nữa, hẵng, hãy, sẽ</v>
      </c>
      <c r="H270" s="13" t="str">
        <f ca="1">IFERROR(__xludf.DUMMYFUNCTION("""COMPUTED_VALUE"""),"我们再听一遍这首音乐。")</f>
        <v>我们再听一遍这首音乐。</v>
      </c>
      <c r="I270" s="13" t="str">
        <f ca="1">IFERROR(__xludf.DUMMYFUNCTION("""COMPUTED_VALUE"""),"Wǒmen zài tīng yī biàn zhè shǒu yīnyuè.")</f>
        <v>Wǒmen zài tīng yī biàn zhè shǒu yīnyuè.</v>
      </c>
      <c r="J270" s="13" t="str">
        <f ca="1">IFERROR(__xludf.DUMMYFUNCTION("""COMPUTED_VALUE"""),"Chúng ta nghe bản nhạc lại một lần nữa.")</f>
        <v>Chúng ta nghe bản nhạc lại một lần nữa.</v>
      </c>
      <c r="K270" s="13" t="str">
        <f ca="1">IFERROR(__xludf.DUMMYFUNCTION("""COMPUTED_VALUE"""),"H2_B8_BG-01.gif")</f>
        <v>H2_B8_BG-01.gif</v>
      </c>
      <c r="L270" s="13" t="str">
        <f ca="1">IFERROR(__xludf.DUMMYFUNCTION("""COMPUTED_VALUE"""),"H2_B8_1.mp3")</f>
        <v>H2_B8_1.mp3</v>
      </c>
      <c r="M270" s="13" t="str">
        <f ca="1">IFERROR(__xludf.DUMMYFUNCTION("""COMPUTED_VALUE"""),"H2_B8_VD_1.mp3")</f>
        <v>H2_B8_VD_1.mp3</v>
      </c>
    </row>
    <row r="271" spans="1:13">
      <c r="A271" s="13">
        <f ca="1">IFERROR(__xludf.DUMMYFUNCTION("""COMPUTED_VALUE"""),2)</f>
        <v>2</v>
      </c>
      <c r="B271" s="13"/>
      <c r="C271" s="13" t="str">
        <f ca="1">IFERROR(__xludf.DUMMYFUNCTION("""COMPUTED_VALUE"""),"让")</f>
        <v>让</v>
      </c>
      <c r="D271" s="13" t="str">
        <f ca="1">IFERROR(__xludf.DUMMYFUNCTION("""COMPUTED_VALUE"""),"&lt;ruby&gt;让&lt;rt&gt;ràng&lt;/rt&gt;&lt;/ruby&gt;")</f>
        <v>&lt;ruby&gt;让&lt;rt&gt;ràng&lt;/rt&gt;&lt;/ruby&gt;</v>
      </c>
      <c r="E271" s="13" t="str">
        <f ca="1">IFERROR(__xludf.DUMMYFUNCTION("""COMPUTED_VALUE"""),"ràng")</f>
        <v>ràng</v>
      </c>
      <c r="F271" s="13" t="str">
        <f ca="1">IFERROR(__xludf.DUMMYFUNCTION("""COMPUTED_VALUE"""),"Động từ")</f>
        <v>Động từ</v>
      </c>
      <c r="G271" s="13" t="str">
        <f ca="1">IFERROR(__xludf.DUMMYFUNCTION("""COMPUTED_VALUE"""),"để, bảo")</f>
        <v>để, bảo</v>
      </c>
      <c r="H271" s="13" t="str">
        <f ca="1">IFERROR(__xludf.DUMMYFUNCTION("""COMPUTED_VALUE"""),"老师让我去办公室。")</f>
        <v>老师让我去办公室。</v>
      </c>
      <c r="I271" s="13" t="str">
        <f ca="1">IFERROR(__xludf.DUMMYFUNCTION("""COMPUTED_VALUE"""),"Lǎoshī ràng wǒ qù bàngōngshì.")</f>
        <v>Lǎoshī ràng wǒ qù bàngōngshì.</v>
      </c>
      <c r="J271" s="13" t="str">
        <f ca="1">IFERROR(__xludf.DUMMYFUNCTION("""COMPUTED_VALUE"""),"Thầy giáo bảo tôi đến văn phòng.")</f>
        <v>Thầy giáo bảo tôi đến văn phòng.</v>
      </c>
      <c r="K271" s="13" t="str">
        <f ca="1">IFERROR(__xludf.DUMMYFUNCTION("""COMPUTED_VALUE"""),"H2_B8_BG-02.gif")</f>
        <v>H2_B8_BG-02.gif</v>
      </c>
      <c r="L271" s="13" t="str">
        <f ca="1">IFERROR(__xludf.DUMMYFUNCTION("""COMPUTED_VALUE"""),"H2_B8_2.mp3")</f>
        <v>H2_B8_2.mp3</v>
      </c>
      <c r="M271" s="13" t="str">
        <f ca="1">IFERROR(__xludf.DUMMYFUNCTION("""COMPUTED_VALUE"""),"H2_B8_VD_2.mp3")</f>
        <v>H2_B8_VD_2.mp3</v>
      </c>
    </row>
    <row r="272" spans="1:13">
      <c r="A272" s="13">
        <f ca="1">IFERROR(__xludf.DUMMYFUNCTION("""COMPUTED_VALUE"""),3)</f>
        <v>3</v>
      </c>
      <c r="B272" s="13"/>
      <c r="C272" s="13" t="str">
        <f ca="1">IFERROR(__xludf.DUMMYFUNCTION("""COMPUTED_VALUE"""),"告诉")</f>
        <v>告诉</v>
      </c>
      <c r="D272" s="13" t="str">
        <f ca="1">IFERROR(__xludf.DUMMYFUNCTION("""COMPUTED_VALUE"""),"&lt;ruby&gt;告诉&lt;rt&gt;gàosù&lt;/rt&gt;&lt;/ruby&gt;")</f>
        <v>&lt;ruby&gt;告诉&lt;rt&gt;gàosù&lt;/rt&gt;&lt;/ruby&gt;</v>
      </c>
      <c r="E272" s="13" t="str">
        <f ca="1">IFERROR(__xludf.DUMMYFUNCTION("""COMPUTED_VALUE"""),"gàosù")</f>
        <v>gàosù</v>
      </c>
      <c r="F272" s="13" t="str">
        <f ca="1">IFERROR(__xludf.DUMMYFUNCTION("""COMPUTED_VALUE"""),"Động từ")</f>
        <v>Động từ</v>
      </c>
      <c r="G272" s="13" t="str">
        <f ca="1">IFERROR(__xludf.DUMMYFUNCTION("""COMPUTED_VALUE"""),"nói cho biết")</f>
        <v>nói cho biết</v>
      </c>
      <c r="H272" s="13" t="str">
        <f ca="1">IFERROR(__xludf.DUMMYFUNCTION("""COMPUTED_VALUE"""),"告诉我你的地址。")</f>
        <v>告诉我你的地址。</v>
      </c>
      <c r="I272" s="13" t="str">
        <f ca="1">IFERROR(__xludf.DUMMYFUNCTION("""COMPUTED_VALUE"""),"Gàosu wǒ nǐ de dìzhǐ.")</f>
        <v>Gàosu wǒ nǐ de dìzhǐ.</v>
      </c>
      <c r="J272" s="13" t="str">
        <f ca="1">IFERROR(__xludf.DUMMYFUNCTION("""COMPUTED_VALUE"""),"Nói với tôi địa chỉ của cậu.")</f>
        <v>Nói với tôi địa chỉ của cậu.</v>
      </c>
      <c r="K272" s="13" t="str">
        <f ca="1">IFERROR(__xludf.DUMMYFUNCTION("""COMPUTED_VALUE"""),"H2_B8_BG-03.gif")</f>
        <v>H2_B8_BG-03.gif</v>
      </c>
      <c r="L272" s="13" t="str">
        <f ca="1">IFERROR(__xludf.DUMMYFUNCTION("""COMPUTED_VALUE"""),"H2_B8_3.mp3")</f>
        <v>H2_B8_3.mp3</v>
      </c>
      <c r="M272" s="13" t="str">
        <f ca="1">IFERROR(__xludf.DUMMYFUNCTION("""COMPUTED_VALUE"""),"H2_B8_VD_3.mp3")</f>
        <v>H2_B8_VD_3.mp3</v>
      </c>
    </row>
    <row r="273" spans="1:13">
      <c r="A273" s="13">
        <f ca="1">IFERROR(__xludf.DUMMYFUNCTION("""COMPUTED_VALUE"""),4)</f>
        <v>4</v>
      </c>
      <c r="B273" s="13"/>
      <c r="C273" s="13" t="str">
        <f ca="1">IFERROR(__xludf.DUMMYFUNCTION("""COMPUTED_VALUE"""),"等")</f>
        <v>等</v>
      </c>
      <c r="D273" s="13" t="str">
        <f ca="1">IFERROR(__xludf.DUMMYFUNCTION("""COMPUTED_VALUE"""),"&lt;ruby&gt;等&lt;rt&gt;děng&lt;/rt&gt;&lt;/ruby&gt;")</f>
        <v>&lt;ruby&gt;等&lt;rt&gt;děng&lt;/rt&gt;&lt;/ruby&gt;</v>
      </c>
      <c r="E273" s="13" t="str">
        <f ca="1">IFERROR(__xludf.DUMMYFUNCTION("""COMPUTED_VALUE"""),"děng")</f>
        <v>děng</v>
      </c>
      <c r="F273" s="13" t="str">
        <f ca="1">IFERROR(__xludf.DUMMYFUNCTION("""COMPUTED_VALUE"""),"Động từ")</f>
        <v>Động từ</v>
      </c>
      <c r="G273" s="13" t="str">
        <f ca="1">IFERROR(__xludf.DUMMYFUNCTION("""COMPUTED_VALUE"""),"đợi")</f>
        <v>đợi</v>
      </c>
      <c r="H273" s="13" t="str">
        <f ca="1">IFERROR(__xludf.DUMMYFUNCTION("""COMPUTED_VALUE"""),"我在车站等车。")</f>
        <v>我在车站等车。</v>
      </c>
      <c r="I273" s="13" t="str">
        <f ca="1">IFERROR(__xludf.DUMMYFUNCTION("""COMPUTED_VALUE"""),"Wǒ zài chēzhàn děng chē.")</f>
        <v>Wǒ zài chēzhàn děng chē.</v>
      </c>
      <c r="J273" s="13" t="str">
        <f ca="1">IFERROR(__xludf.DUMMYFUNCTION("""COMPUTED_VALUE"""),"Tôi đang đợi xe ở bến đây.")</f>
        <v>Tôi đang đợi xe ở bến đây.</v>
      </c>
      <c r="K273" s="13" t="str">
        <f ca="1">IFERROR(__xludf.DUMMYFUNCTION("""COMPUTED_VALUE"""),"H2_B8_BG-04.gif")</f>
        <v>H2_B8_BG-04.gif</v>
      </c>
      <c r="L273" s="13" t="str">
        <f ca="1">IFERROR(__xludf.DUMMYFUNCTION("""COMPUTED_VALUE"""),"H2_B8_4.mp3")</f>
        <v>H2_B8_4.mp3</v>
      </c>
      <c r="M273" s="13" t="str">
        <f ca="1">IFERROR(__xludf.DUMMYFUNCTION("""COMPUTED_VALUE"""),"H2_B8_VD_4.mp3")</f>
        <v>H2_B8_VD_4.mp3</v>
      </c>
    </row>
    <row r="274" spans="1:13">
      <c r="A274" s="13">
        <f ca="1">IFERROR(__xludf.DUMMYFUNCTION("""COMPUTED_VALUE"""),5)</f>
        <v>5</v>
      </c>
      <c r="B274" s="13"/>
      <c r="C274" s="13" t="str">
        <f ca="1">IFERROR(__xludf.DUMMYFUNCTION("""COMPUTED_VALUE"""),"找")</f>
        <v>找</v>
      </c>
      <c r="D274" s="13" t="str">
        <f ca="1">IFERROR(__xludf.DUMMYFUNCTION("""COMPUTED_VALUE"""),"&lt;ruby&gt;找&lt;rt&gt;zhǎo&lt;/rt&gt;&lt;/ruby&gt;")</f>
        <v>&lt;ruby&gt;找&lt;rt&gt;zhǎo&lt;/rt&gt;&lt;/ruby&gt;</v>
      </c>
      <c r="E274" s="13" t="str">
        <f ca="1">IFERROR(__xludf.DUMMYFUNCTION("""COMPUTED_VALUE"""),"zhǎo")</f>
        <v>zhǎo</v>
      </c>
      <c r="F274" s="13" t="str">
        <f ca="1">IFERROR(__xludf.DUMMYFUNCTION("""COMPUTED_VALUE"""),"Động từ")</f>
        <v>Động từ</v>
      </c>
      <c r="G274" s="13" t="str">
        <f ca="1">IFERROR(__xludf.DUMMYFUNCTION("""COMPUTED_VALUE"""),"tìm")</f>
        <v>tìm</v>
      </c>
      <c r="H274" s="13" t="str">
        <f ca="1">IFERROR(__xludf.DUMMYFUNCTION("""COMPUTED_VALUE"""),"我正在找钥匙。")</f>
        <v>我正在找钥匙。</v>
      </c>
      <c r="I274" s="13" t="str">
        <f ca="1">IFERROR(__xludf.DUMMYFUNCTION("""COMPUTED_VALUE"""),"Wǒ zhèngzài zhǎo yàoshi.")</f>
        <v>Wǒ zhèngzài zhǎo yàoshi.</v>
      </c>
      <c r="J274" s="13" t="str">
        <f ca="1">IFERROR(__xludf.DUMMYFUNCTION("""COMPUTED_VALUE"""),"Tôi đang đi tìm chìa khóa")</f>
        <v>Tôi đang đi tìm chìa khóa</v>
      </c>
      <c r="K274" s="13" t="str">
        <f ca="1">IFERROR(__xludf.DUMMYFUNCTION("""COMPUTED_VALUE"""),"H2_B8_BG-05.gif")</f>
        <v>H2_B8_BG-05.gif</v>
      </c>
      <c r="L274" s="13" t="str">
        <f ca="1">IFERROR(__xludf.DUMMYFUNCTION("""COMPUTED_VALUE"""),"H2_B8_5.mp3")</f>
        <v>H2_B8_5.mp3</v>
      </c>
      <c r="M274" s="13" t="str">
        <f ca="1">IFERROR(__xludf.DUMMYFUNCTION("""COMPUTED_VALUE"""),"H2_B8_VD_5.mp3")</f>
        <v>H2_B8_VD_5.mp3</v>
      </c>
    </row>
    <row r="275" spans="1:13">
      <c r="A275" s="13">
        <f ca="1">IFERROR(__xludf.DUMMYFUNCTION("""COMPUTED_VALUE"""),6)</f>
        <v>6</v>
      </c>
      <c r="B275" s="13"/>
      <c r="C275" s="13" t="str">
        <f ca="1">IFERROR(__xludf.DUMMYFUNCTION("""COMPUTED_VALUE"""),"事情")</f>
        <v>事情</v>
      </c>
      <c r="D275" s="13" t="str">
        <f ca="1">IFERROR(__xludf.DUMMYFUNCTION("""COMPUTED_VALUE"""),"&lt;ruby&gt;事情&lt;rt&gt;shìqing&lt;/rt&gt;&lt;/ruby&gt;")</f>
        <v>&lt;ruby&gt;事情&lt;rt&gt;shìqing&lt;/rt&gt;&lt;/ruby&gt;</v>
      </c>
      <c r="E275" s="13" t="str">
        <f ca="1">IFERROR(__xludf.DUMMYFUNCTION("""COMPUTED_VALUE"""),"shìqing")</f>
        <v>shìqing</v>
      </c>
      <c r="F275" s="13" t="str">
        <f ca="1">IFERROR(__xludf.DUMMYFUNCTION("""COMPUTED_VALUE"""),"Danh từ")</f>
        <v>Danh từ</v>
      </c>
      <c r="G275" s="13" t="str">
        <f ca="1">IFERROR(__xludf.DUMMYFUNCTION("""COMPUTED_VALUE"""),"sự việc")</f>
        <v>sự việc</v>
      </c>
      <c r="H275" s="13" t="str">
        <f ca="1">IFERROR(__xludf.DUMMYFUNCTION("""COMPUTED_VALUE"""),"他讲述了事情的经过。")</f>
        <v>他讲述了事情的经过。</v>
      </c>
      <c r="I275" s="13" t="str">
        <f ca="1">IFERROR(__xludf.DUMMYFUNCTION("""COMPUTED_VALUE"""),"Tā jiǎngshù le shìqíng de jīngguò.")</f>
        <v>Tā jiǎngshù le shìqíng de jīngguò.</v>
      </c>
      <c r="J275" s="13" t="str">
        <f ca="1">IFERROR(__xludf.DUMMYFUNCTION("""COMPUTED_VALUE"""),"Anh ấy kể lại quá trình sự việc.")</f>
        <v>Anh ấy kể lại quá trình sự việc.</v>
      </c>
      <c r="K275" s="13" t="str">
        <f ca="1">IFERROR(__xludf.DUMMYFUNCTION("""COMPUTED_VALUE"""),"H2_B8_BG-06.gif")</f>
        <v>H2_B8_BG-06.gif</v>
      </c>
      <c r="L275" s="13" t="str">
        <f ca="1">IFERROR(__xludf.DUMMYFUNCTION("""COMPUTED_VALUE"""),"H2_B8_6.mp3")</f>
        <v>H2_B8_6.mp3</v>
      </c>
      <c r="M275" s="13" t="str">
        <f ca="1">IFERROR(__xludf.DUMMYFUNCTION("""COMPUTED_VALUE"""),"H2_B8_VD_6.mp3")</f>
        <v>H2_B8_VD_6.mp3</v>
      </c>
    </row>
    <row r="276" spans="1:13">
      <c r="A276" s="13">
        <f ca="1">IFERROR(__xludf.DUMMYFUNCTION("""COMPUTED_VALUE"""),7)</f>
        <v>7</v>
      </c>
      <c r="B276" s="13"/>
      <c r="C276" s="13" t="str">
        <f ca="1">IFERROR(__xludf.DUMMYFUNCTION("""COMPUTED_VALUE"""),"服务员")</f>
        <v>服务员</v>
      </c>
      <c r="D276" s="13" t="str">
        <f ca="1">IFERROR(__xludf.DUMMYFUNCTION("""COMPUTED_VALUE"""),"&lt;ruby&gt;服务员&lt;rt&gt;fúwùyuán&lt;/rt&gt;&lt;/ruby&gt;")</f>
        <v>&lt;ruby&gt;服务员&lt;rt&gt;fúwùyuán&lt;/rt&gt;&lt;/ruby&gt;</v>
      </c>
      <c r="E276" s="13" t="str">
        <f ca="1">IFERROR(__xludf.DUMMYFUNCTION("""COMPUTED_VALUE"""),"fúwùyuán")</f>
        <v>fúwùyuán</v>
      </c>
      <c r="F276" s="13" t="str">
        <f ca="1">IFERROR(__xludf.DUMMYFUNCTION("""COMPUTED_VALUE"""),"Danh từ")</f>
        <v>Danh từ</v>
      </c>
      <c r="G276" s="13" t="str">
        <f ca="1">IFERROR(__xludf.DUMMYFUNCTION("""COMPUTED_VALUE"""),"nhân viên phục vụ")</f>
        <v>nhân viên phục vụ</v>
      </c>
      <c r="H276" s="13" t="str">
        <f ca="1">IFERROR(__xludf.DUMMYFUNCTION("""COMPUTED_VALUE"""),"服务员给我们上菜。")</f>
        <v>服务员给我们上菜。</v>
      </c>
      <c r="I276" s="13" t="str">
        <f ca="1">IFERROR(__xludf.DUMMYFUNCTION("""COMPUTED_VALUE"""),"Fúwùyuán gěi wǒmen shàng cài.")</f>
        <v>Fúwùyuán gěi wǒmen shàng cài.</v>
      </c>
      <c r="J276" s="13" t="str">
        <f ca="1">IFERROR(__xludf.DUMMYFUNCTION("""COMPUTED_VALUE"""),"Phục vụ mang món ăn lên cho chúng tôi")</f>
        <v>Phục vụ mang món ăn lên cho chúng tôi</v>
      </c>
      <c r="K276" s="13" t="str">
        <f ca="1">IFERROR(__xludf.DUMMYFUNCTION("""COMPUTED_VALUE"""),"H2_B8_BG-07.gif")</f>
        <v>H2_B8_BG-07.gif</v>
      </c>
      <c r="L276" s="13" t="str">
        <f ca="1">IFERROR(__xludf.DUMMYFUNCTION("""COMPUTED_VALUE"""),"H2_B8_7.mp3")</f>
        <v>H2_B8_7.mp3</v>
      </c>
      <c r="M276" s="13" t="str">
        <f ca="1">IFERROR(__xludf.DUMMYFUNCTION("""COMPUTED_VALUE"""),"H2_B8_VD_7.mp3")</f>
        <v>H2_B8_VD_7.mp3</v>
      </c>
    </row>
    <row r="277" spans="1:13">
      <c r="A277" s="13">
        <f ca="1">IFERROR(__xludf.DUMMYFUNCTION("""COMPUTED_VALUE"""),8)</f>
        <v>8</v>
      </c>
      <c r="B277" s="13"/>
      <c r="C277" s="13" t="str">
        <f ca="1">IFERROR(__xludf.DUMMYFUNCTION("""COMPUTED_VALUE"""),"白")</f>
        <v>白</v>
      </c>
      <c r="D277" s="13" t="str">
        <f ca="1">IFERROR(__xludf.DUMMYFUNCTION("""COMPUTED_VALUE"""),"&lt;ruby&gt;白&lt;rt&gt;bái&lt;/rt&gt;&lt;/ruby&gt;")</f>
        <v>&lt;ruby&gt;白&lt;rt&gt;bái&lt;/rt&gt;&lt;/ruby&gt;</v>
      </c>
      <c r="E277" s="13" t="str">
        <f ca="1">IFERROR(__xludf.DUMMYFUNCTION("""COMPUTED_VALUE"""),"bái")</f>
        <v>bái</v>
      </c>
      <c r="F277" s="13" t="str">
        <f ca="1">IFERROR(__xludf.DUMMYFUNCTION("""COMPUTED_VALUE"""),"Tính từ")</f>
        <v>Tính từ</v>
      </c>
      <c r="G277" s="13" t="str">
        <f ca="1">IFERROR(__xludf.DUMMYFUNCTION("""COMPUTED_VALUE"""),"có màu trắng")</f>
        <v>có màu trắng</v>
      </c>
      <c r="H277" s="13" t="str">
        <f ca="1">IFERROR(__xludf.DUMMYFUNCTION("""COMPUTED_VALUE"""),"屋顶上铺满了白色的雪。")</f>
        <v>屋顶上铺满了白色的雪。</v>
      </c>
      <c r="I277" s="13" t="str">
        <f ca="1">IFERROR(__xludf.DUMMYFUNCTION("""COMPUTED_VALUE"""),"Wūdǐng shàng pūmǎn le báisè de xuě.")</f>
        <v>Wūdǐng shàng pūmǎn le báisè de xuě.</v>
      </c>
      <c r="J277" s="13" t="str">
        <f ca="1">IFERROR(__xludf.DUMMYFUNCTION("""COMPUTED_VALUE"""),"Mái nhà phủ đầy tuyết trắng.")</f>
        <v>Mái nhà phủ đầy tuyết trắng.</v>
      </c>
      <c r="K277" s="13" t="str">
        <f ca="1">IFERROR(__xludf.DUMMYFUNCTION("""COMPUTED_VALUE"""),"H2_B8_BG-08.gif")</f>
        <v>H2_B8_BG-08.gif</v>
      </c>
      <c r="L277" s="13" t="str">
        <f ca="1">IFERROR(__xludf.DUMMYFUNCTION("""COMPUTED_VALUE"""),"H2_B8_8.mp3")</f>
        <v>H2_B8_8.mp3</v>
      </c>
      <c r="M277" s="13" t="str">
        <f ca="1">IFERROR(__xludf.DUMMYFUNCTION("""COMPUTED_VALUE"""),"H2_B8_VD_8.mp3")</f>
        <v>H2_B8_VD_8.mp3</v>
      </c>
    </row>
    <row r="278" spans="1:13">
      <c r="A278" s="13">
        <f ca="1">IFERROR(__xludf.DUMMYFUNCTION("""COMPUTED_VALUE"""),9)</f>
        <v>9</v>
      </c>
      <c r="B278" s="13"/>
      <c r="C278" s="13" t="str">
        <f ca="1">IFERROR(__xludf.DUMMYFUNCTION("""COMPUTED_VALUE"""),"黑")</f>
        <v>黑</v>
      </c>
      <c r="D278" s="13" t="str">
        <f ca="1">IFERROR(__xludf.DUMMYFUNCTION("""COMPUTED_VALUE"""),"&lt;ruby&gt;黑&lt;rt&gt;hēi&lt;/rt&gt;&lt;/ruby&gt;")</f>
        <v>&lt;ruby&gt;黑&lt;rt&gt;hēi&lt;/rt&gt;&lt;/ruby&gt;</v>
      </c>
      <c r="E278" s="13" t="str">
        <f ca="1">IFERROR(__xludf.DUMMYFUNCTION("""COMPUTED_VALUE"""),"hēi")</f>
        <v>hēi</v>
      </c>
      <c r="F278" s="13" t="str">
        <f ca="1">IFERROR(__xludf.DUMMYFUNCTION("""COMPUTED_VALUE"""),"Tính từ")</f>
        <v>Tính từ</v>
      </c>
      <c r="G278" s="13" t="str">
        <f ca="1">IFERROR(__xludf.DUMMYFUNCTION("""COMPUTED_VALUE"""),"có màu đen")</f>
        <v>có màu đen</v>
      </c>
      <c r="H278" s="13" t="str">
        <f ca="1">IFERROR(__xludf.DUMMYFUNCTION("""COMPUTED_VALUE"""),"烧过的木头变黑了。")</f>
        <v>烧过的木头变黑了。</v>
      </c>
      <c r="I278" s="13" t="str">
        <f ca="1">IFERROR(__xludf.DUMMYFUNCTION("""COMPUTED_VALUE"""),"Shāo guò de mùtou biàn hēi le.")</f>
        <v>Shāo guò de mùtou biàn hēi le.</v>
      </c>
      <c r="J278" s="13" t="str">
        <f ca="1">IFERROR(__xludf.DUMMYFUNCTION("""COMPUTED_VALUE"""),"Củi cháy rồi trở nên đen.")</f>
        <v>Củi cháy rồi trở nên đen.</v>
      </c>
      <c r="K278" s="13" t="str">
        <f ca="1">IFERROR(__xludf.DUMMYFUNCTION("""COMPUTED_VALUE"""),"H2_B8_BG-09.gif")</f>
        <v>H2_B8_BG-09.gif</v>
      </c>
      <c r="L278" s="13" t="str">
        <f ca="1">IFERROR(__xludf.DUMMYFUNCTION("""COMPUTED_VALUE"""),"H2_B8_9.mp3")</f>
        <v>H2_B8_9.mp3</v>
      </c>
      <c r="M278" s="13" t="str">
        <f ca="1">IFERROR(__xludf.DUMMYFUNCTION("""COMPUTED_VALUE"""),"H2_B8_VD_9.mp3")</f>
        <v>H2_B8_VD_9.mp3</v>
      </c>
    </row>
    <row r="279" spans="1:13">
      <c r="A279" s="13">
        <f ca="1">IFERROR(__xludf.DUMMYFUNCTION("""COMPUTED_VALUE"""),10)</f>
        <v>10</v>
      </c>
      <c r="B279" s="13"/>
      <c r="C279" s="13" t="str">
        <f ca="1">IFERROR(__xludf.DUMMYFUNCTION("""COMPUTED_VALUE"""),"贵")</f>
        <v>贵</v>
      </c>
      <c r="D279" s="13" t="str">
        <f ca="1">IFERROR(__xludf.DUMMYFUNCTION("""COMPUTED_VALUE"""),"&lt;ruby&gt;贵&lt;rt&gt;guì&lt;/rt&gt;&lt;/ruby&gt;")</f>
        <v>&lt;ruby&gt;贵&lt;rt&gt;guì&lt;/rt&gt;&lt;/ruby&gt;</v>
      </c>
      <c r="E279" s="13" t="str">
        <f ca="1">IFERROR(__xludf.DUMMYFUNCTION("""COMPUTED_VALUE"""),"guì")</f>
        <v>guì</v>
      </c>
      <c r="F279" s="13" t="str">
        <f ca="1">IFERROR(__xludf.DUMMYFUNCTION("""COMPUTED_VALUE"""),"Tính từ")</f>
        <v>Tính từ</v>
      </c>
      <c r="G279" s="13" t="str">
        <f ca="1">IFERROR(__xludf.DUMMYFUNCTION("""COMPUTED_VALUE"""),"đắt")</f>
        <v>đắt</v>
      </c>
      <c r="H279" s="13" t="str">
        <f ca="1">IFERROR(__xludf.DUMMYFUNCTION("""COMPUTED_VALUE"""),"那颗宝石非常贵。")</f>
        <v>那颗宝石非常贵。</v>
      </c>
      <c r="I279" s="13" t="str">
        <f ca="1">IFERROR(__xludf.DUMMYFUNCTION("""COMPUTED_VALUE"""),"Nà kē bǎoshí fēicháng guì.")</f>
        <v>Nà kē bǎoshí fēicháng guì.</v>
      </c>
      <c r="J279" s="13" t="str">
        <f ca="1">IFERROR(__xludf.DUMMYFUNCTION("""COMPUTED_VALUE"""),"Viên ngọc đó rất đắt.")</f>
        <v>Viên ngọc đó rất đắt.</v>
      </c>
      <c r="K279" s="13" t="str">
        <f ca="1">IFERROR(__xludf.DUMMYFUNCTION("""COMPUTED_VALUE"""),"H2_B8_BG-10.gif")</f>
        <v>H2_B8_BG-10.gif</v>
      </c>
      <c r="L279" s="13" t="str">
        <f ca="1">IFERROR(__xludf.DUMMYFUNCTION("""COMPUTED_VALUE"""),"H2_B8_10.mp3")</f>
        <v>H2_B8_10.mp3</v>
      </c>
      <c r="M279" s="13" t="str">
        <f ca="1">IFERROR(__xludf.DUMMYFUNCTION("""COMPUTED_VALUE"""),"H2_B8_VD_10.mp3")</f>
        <v>H2_B8_VD_10.mp3</v>
      </c>
    </row>
    <row r="280" spans="1:13">
      <c r="A280" s="13">
        <f ca="1">IFERROR(__xludf.DUMMYFUNCTION("""COMPUTED_VALUE"""),1)</f>
        <v>1</v>
      </c>
      <c r="B280" s="13"/>
      <c r="C280" s="13" t="str">
        <f ca="1">IFERROR(__xludf.DUMMYFUNCTION("""COMPUTED_VALUE"""),"错")</f>
        <v>错</v>
      </c>
      <c r="D280" s="13" t="str">
        <f ca="1">IFERROR(__xludf.DUMMYFUNCTION("""COMPUTED_VALUE"""),"&lt;ruby&gt;错&lt;rt&gt;cuò&lt;/rt&gt;&lt;/ruby&gt;")</f>
        <v>&lt;ruby&gt;错&lt;rt&gt;cuò&lt;/rt&gt;&lt;/ruby&gt;</v>
      </c>
      <c r="E280" s="13" t="str">
        <f ca="1">IFERROR(__xludf.DUMMYFUNCTION("""COMPUTED_VALUE"""),"cuò")</f>
        <v>cuò</v>
      </c>
      <c r="F280" s="13" t="str">
        <f ca="1">IFERROR(__xludf.DUMMYFUNCTION("""COMPUTED_VALUE"""),"Tính từ")</f>
        <v>Tính từ</v>
      </c>
      <c r="G280" s="13" t="str">
        <f ca="1">IFERROR(__xludf.DUMMYFUNCTION("""COMPUTED_VALUE"""),"sai, nhầm")</f>
        <v>sai, nhầm</v>
      </c>
      <c r="H280" s="13" t="str">
        <f ca="1">IFERROR(__xludf.DUMMYFUNCTION("""COMPUTED_VALUE"""),"这道题做错了。")</f>
        <v>这道题做错了。</v>
      </c>
      <c r="I280" s="13" t="str">
        <f ca="1">IFERROR(__xludf.DUMMYFUNCTION("""COMPUTED_VALUE"""),"Zhè dào tí zuò cuò le.")</f>
        <v>Zhè dào tí zuò cuò le.</v>
      </c>
      <c r="J280" s="13" t="str">
        <f ca="1">IFERROR(__xludf.DUMMYFUNCTION("""COMPUTED_VALUE"""),"Câu này làm sai rồi")</f>
        <v>Câu này làm sai rồi</v>
      </c>
      <c r="K280" s="13" t="str">
        <f ca="1">IFERROR(__xludf.DUMMYFUNCTION("""COMPUTED_VALUE"""),"H2_B9_BG-01.gif")</f>
        <v>H2_B9_BG-01.gif</v>
      </c>
      <c r="L280" s="13" t="str">
        <f ca="1">IFERROR(__xludf.DUMMYFUNCTION("""COMPUTED_VALUE"""),"H2_B9_1.mp3")</f>
        <v>H2_B9_1.mp3</v>
      </c>
      <c r="M280" s="13" t="str">
        <f ca="1">IFERROR(__xludf.DUMMYFUNCTION("""COMPUTED_VALUE"""),"H2_B9_VD_1.mp3")</f>
        <v>H2_B9_VD_1.mp3</v>
      </c>
    </row>
    <row r="281" spans="1:13">
      <c r="A281" s="13">
        <f ca="1">IFERROR(__xludf.DUMMYFUNCTION("""COMPUTED_VALUE"""),2)</f>
        <v>2</v>
      </c>
      <c r="B281" s="13"/>
      <c r="C281" s="13" t="str">
        <f ca="1">IFERROR(__xludf.DUMMYFUNCTION("""COMPUTED_VALUE"""),"从")</f>
        <v>从</v>
      </c>
      <c r="D281" s="13" t="str">
        <f ca="1">IFERROR(__xludf.DUMMYFUNCTION("""COMPUTED_VALUE"""),"&lt;ruby&gt;从&lt;rt&gt;cóng&lt;/rt&gt;&lt;/ruby&gt;")</f>
        <v>&lt;ruby&gt;从&lt;rt&gt;cóng&lt;/rt&gt;&lt;/ruby&gt;</v>
      </c>
      <c r="E281" s="13" t="str">
        <f ca="1">IFERROR(__xludf.DUMMYFUNCTION("""COMPUTED_VALUE"""),"cóng")</f>
        <v>cóng</v>
      </c>
      <c r="F281" s="13" t="str">
        <f ca="1">IFERROR(__xludf.DUMMYFUNCTION("""COMPUTED_VALUE"""),"Giới từ")</f>
        <v>Giới từ</v>
      </c>
      <c r="G281" s="13" t="str">
        <f ca="1">IFERROR(__xludf.DUMMYFUNCTION("""COMPUTED_VALUE"""),"từ")</f>
        <v>từ</v>
      </c>
      <c r="H281" s="13" t="str">
        <f ca="1">IFERROR(__xludf.DUMMYFUNCTION("""COMPUTED_VALUE"""),"他从学校回家很快。")</f>
        <v>他从学校回家很快。</v>
      </c>
      <c r="I281" s="13" t="str">
        <f ca="1">IFERROR(__xludf.DUMMYFUNCTION("""COMPUTED_VALUE"""),"Tā cóng xuéxiào huíjiā hěn kuài.")</f>
        <v>Tā cóng xuéxiào huíjiā hěn kuài.</v>
      </c>
      <c r="J281" s="13" t="str">
        <f ca="1">IFERROR(__xludf.DUMMYFUNCTION("""COMPUTED_VALUE"""),"Anh ấy từ trường về nhà rất nhanh.")</f>
        <v>Anh ấy từ trường về nhà rất nhanh.</v>
      </c>
      <c r="K281" s="13" t="str">
        <f ca="1">IFERROR(__xludf.DUMMYFUNCTION("""COMPUTED_VALUE"""),"H2_B9_BG-02.gif")</f>
        <v>H2_B9_BG-02.gif</v>
      </c>
      <c r="L281" s="13" t="str">
        <f ca="1">IFERROR(__xludf.DUMMYFUNCTION("""COMPUTED_VALUE"""),"H2_B9_2.mp3")</f>
        <v>H2_B9_2.mp3</v>
      </c>
      <c r="M281" s="13" t="str">
        <f ca="1">IFERROR(__xludf.DUMMYFUNCTION("""COMPUTED_VALUE"""),"H2_B9_VD_2.mp3")</f>
        <v>H2_B9_VD_2.mp3</v>
      </c>
    </row>
    <row r="282" spans="1:13">
      <c r="A282" s="13">
        <f ca="1">IFERROR(__xludf.DUMMYFUNCTION("""COMPUTED_VALUE"""),3)</f>
        <v>3</v>
      </c>
      <c r="B282" s="13"/>
      <c r="C282" s="13" t="str">
        <f ca="1">IFERROR(__xludf.DUMMYFUNCTION("""COMPUTED_VALUE"""),"跳舞")</f>
        <v>跳舞</v>
      </c>
      <c r="D282" s="13" t="str">
        <f ca="1">IFERROR(__xludf.DUMMYFUNCTION("""COMPUTED_VALUE"""),"&lt;ruby&gt;跳舞&lt;rt&gt;tiào wǔ&lt;/rt&gt;&lt;/ruby&gt;")</f>
        <v>&lt;ruby&gt;跳舞&lt;rt&gt;tiào wǔ&lt;/rt&gt;&lt;/ruby&gt;</v>
      </c>
      <c r="E282" s="13" t="str">
        <f ca="1">IFERROR(__xludf.DUMMYFUNCTION("""COMPUTED_VALUE"""),"tiào wǔ")</f>
        <v>tiào wǔ</v>
      </c>
      <c r="F282" s="13" t="str">
        <f ca="1">IFERROR(__xludf.DUMMYFUNCTION("""COMPUTED_VALUE"""),"Động từ")</f>
        <v>Động từ</v>
      </c>
      <c r="G282" s="13" t="str">
        <f ca="1">IFERROR(__xludf.DUMMYFUNCTION("""COMPUTED_VALUE"""),"múa, khiêu vũ")</f>
        <v>múa, khiêu vũ</v>
      </c>
      <c r="H282" s="13" t="str">
        <f ca="1">IFERROR(__xludf.DUMMYFUNCTION("""COMPUTED_VALUE"""),"她跳舞跳得很漂亮。")</f>
        <v>她跳舞跳得很漂亮。</v>
      </c>
      <c r="I282" s="13" t="str">
        <f ca="1">IFERROR(__xludf.DUMMYFUNCTION("""COMPUTED_VALUE"""),"Tā tiàowǔ tiào de hěn piàoliang.")</f>
        <v>Tā tiàowǔ tiào de hěn piàoliang.</v>
      </c>
      <c r="J282" s="13" t="str">
        <f ca="1">IFERROR(__xludf.DUMMYFUNCTION("""COMPUTED_VALUE"""),"Cô ấy múa rất đẹp")</f>
        <v>Cô ấy múa rất đẹp</v>
      </c>
      <c r="K282" s="13" t="str">
        <f ca="1">IFERROR(__xludf.DUMMYFUNCTION("""COMPUTED_VALUE"""),"H2_B9_BG-03.gif")</f>
        <v>H2_B9_BG-03.gif</v>
      </c>
      <c r="L282" s="13" t="str">
        <f ca="1">IFERROR(__xludf.DUMMYFUNCTION("""COMPUTED_VALUE"""),"H2_B9_3.mp3")</f>
        <v>H2_B9_3.mp3</v>
      </c>
      <c r="M282" s="13" t="str">
        <f ca="1">IFERROR(__xludf.DUMMYFUNCTION("""COMPUTED_VALUE"""),"H2_B9_VD_3.mp3")</f>
        <v>H2_B9_VD_3.mp3</v>
      </c>
    </row>
    <row r="283" spans="1:13">
      <c r="A283" s="13">
        <f ca="1">IFERROR(__xludf.DUMMYFUNCTION("""COMPUTED_VALUE"""),4)</f>
        <v>4</v>
      </c>
      <c r="B283" s="13"/>
      <c r="C283" s="13" t="str">
        <f ca="1">IFERROR(__xludf.DUMMYFUNCTION("""COMPUTED_VALUE"""),"第一")</f>
        <v>第一</v>
      </c>
      <c r="D283" s="13" t="str">
        <f ca="1">IFERROR(__xludf.DUMMYFUNCTION("""COMPUTED_VALUE"""),"&lt;ruby&gt;第一&lt;rt&gt;dì yī&lt;/rt&gt;&lt;/ruby&gt;")</f>
        <v>&lt;ruby&gt;第一&lt;rt&gt;dì yī&lt;/rt&gt;&lt;/ruby&gt;</v>
      </c>
      <c r="E283" s="13" t="str">
        <f ca="1">IFERROR(__xludf.DUMMYFUNCTION("""COMPUTED_VALUE"""),"dì yī")</f>
        <v>dì yī</v>
      </c>
      <c r="F283" s="13" t="str">
        <f ca="1">IFERROR(__xludf.DUMMYFUNCTION("""COMPUTED_VALUE"""),"Số từ")</f>
        <v>Số từ</v>
      </c>
      <c r="G283" s="13" t="str">
        <f ca="1">IFERROR(__xludf.DUMMYFUNCTION("""COMPUTED_VALUE"""),"thứ nhất, đầu tiên")</f>
        <v>thứ nhất, đầu tiên</v>
      </c>
      <c r="H283" s="13" t="str">
        <f ca="1">IFERROR(__xludf.DUMMYFUNCTION("""COMPUTED_VALUE"""),"我是第一个到公司的。")</f>
        <v>我是第一个到公司的。</v>
      </c>
      <c r="I283" s="13" t="str">
        <f ca="1">IFERROR(__xludf.DUMMYFUNCTION("""COMPUTED_VALUE"""),"Wǒ shì dì yī gè dào gōngsī de.")</f>
        <v>Wǒ shì dì yī gè dào gōngsī de.</v>
      </c>
      <c r="J283" s="13" t="str">
        <f ca="1">IFERROR(__xludf.DUMMYFUNCTION("""COMPUTED_VALUE"""),"Tôi là người đến công ty đầu tiên.")</f>
        <v>Tôi là người đến công ty đầu tiên.</v>
      </c>
      <c r="K283" s="13" t="str">
        <f ca="1">IFERROR(__xludf.DUMMYFUNCTION("""COMPUTED_VALUE"""),"H2_B9_BG-04.gif")</f>
        <v>H2_B9_BG-04.gif</v>
      </c>
      <c r="L283" s="13" t="str">
        <f ca="1">IFERROR(__xludf.DUMMYFUNCTION("""COMPUTED_VALUE"""),"H2_B9_4.mp3")</f>
        <v>H2_B9_4.mp3</v>
      </c>
      <c r="M283" s="13" t="str">
        <f ca="1">IFERROR(__xludf.DUMMYFUNCTION("""COMPUTED_VALUE"""),"H2_B9_VD_4.mp3")</f>
        <v>H2_B9_VD_4.mp3</v>
      </c>
    </row>
    <row r="284" spans="1:13">
      <c r="A284" s="13">
        <f ca="1">IFERROR(__xludf.DUMMYFUNCTION("""COMPUTED_VALUE"""),5)</f>
        <v>5</v>
      </c>
      <c r="B284" s="13"/>
      <c r="C284" s="13" t="str">
        <f ca="1">IFERROR(__xludf.DUMMYFUNCTION("""COMPUTED_VALUE"""),"希望")</f>
        <v>希望</v>
      </c>
      <c r="D284" s="13" t="str">
        <f ca="1">IFERROR(__xludf.DUMMYFUNCTION("""COMPUTED_VALUE"""),"&lt;ruby&gt;希望&lt;rt&gt;xīwàng&lt;/rt&gt;&lt;/ruby&gt;")</f>
        <v>&lt;ruby&gt;希望&lt;rt&gt;xīwàng&lt;/rt&gt;&lt;/ruby&gt;</v>
      </c>
      <c r="E284" s="13" t="str">
        <f ca="1">IFERROR(__xludf.DUMMYFUNCTION("""COMPUTED_VALUE"""),"xīwàng")</f>
        <v>xīwàng</v>
      </c>
      <c r="F284" s="13" t="str">
        <f ca="1">IFERROR(__xludf.DUMMYFUNCTION("""COMPUTED_VALUE"""),"Động từ")</f>
        <v>Động từ</v>
      </c>
      <c r="G284" s="13" t="str">
        <f ca="1">IFERROR(__xludf.DUMMYFUNCTION("""COMPUTED_VALUE"""),"mong, hy vọng")</f>
        <v>mong, hy vọng</v>
      </c>
      <c r="H284" s="13" t="str">
        <f ca="1">IFERROR(__xludf.DUMMYFUNCTION("""COMPUTED_VALUE"""),"我希望成为优秀的学生。")</f>
        <v>我希望成为优秀的学生。</v>
      </c>
      <c r="I284" s="13" t="str">
        <f ca="1">IFERROR(__xludf.DUMMYFUNCTION("""COMPUTED_VALUE"""),"Wǒ xīwàng chéngwéi yōuxiù de xuéshēng.")</f>
        <v>Wǒ xīwàng chéngwéi yōuxiù de xuéshēng.</v>
      </c>
      <c r="J284" s="13" t="str">
        <f ca="1">IFERROR(__xludf.DUMMYFUNCTION("""COMPUTED_VALUE"""),"Tôi hy vọng trở thành học sinh giỏi.")</f>
        <v>Tôi hy vọng trở thành học sinh giỏi.</v>
      </c>
      <c r="K284" s="13" t="str">
        <f ca="1">IFERROR(__xludf.DUMMYFUNCTION("""COMPUTED_VALUE"""),"H2_B9_BG-05.gif")</f>
        <v>H2_B9_BG-05.gif</v>
      </c>
      <c r="L284" s="13" t="str">
        <f ca="1">IFERROR(__xludf.DUMMYFUNCTION("""COMPUTED_VALUE"""),"H2_B9_5.mp3")</f>
        <v>H2_B9_5.mp3</v>
      </c>
      <c r="M284" s="13" t="str">
        <f ca="1">IFERROR(__xludf.DUMMYFUNCTION("""COMPUTED_VALUE"""),"H2_B9_VD_5.mp3")</f>
        <v>H2_B9_VD_5.mp3</v>
      </c>
    </row>
    <row r="285" spans="1:13">
      <c r="A285" s="13">
        <f ca="1">IFERROR(__xludf.DUMMYFUNCTION("""COMPUTED_VALUE"""),6)</f>
        <v>6</v>
      </c>
      <c r="B285" s="13"/>
      <c r="C285" s="13" t="str">
        <f ca="1">IFERROR(__xludf.DUMMYFUNCTION("""COMPUTED_VALUE"""),"问题")</f>
        <v>问题</v>
      </c>
      <c r="D285" s="13" t="str">
        <f ca="1">IFERROR(__xludf.DUMMYFUNCTION("""COMPUTED_VALUE"""),"&lt;ruby&gt;问题&lt;rt&gt;wèntí&lt;/rt&gt;&lt;/ruby&gt;")</f>
        <v>&lt;ruby&gt;问题&lt;rt&gt;wèntí&lt;/rt&gt;&lt;/ruby&gt;</v>
      </c>
      <c r="E285" s="13" t="str">
        <f ca="1">IFERROR(__xludf.DUMMYFUNCTION("""COMPUTED_VALUE"""),"wèntí")</f>
        <v>wèntí</v>
      </c>
      <c r="F285" s="13" t="str">
        <f ca="1">IFERROR(__xludf.DUMMYFUNCTION("""COMPUTED_VALUE"""),"Danh từ")</f>
        <v>Danh từ</v>
      </c>
      <c r="G285" s="13" t="str">
        <f ca="1">IFERROR(__xludf.DUMMYFUNCTION("""COMPUTED_VALUE"""),"vấn đề, câu hỏi")</f>
        <v>vấn đề, câu hỏi</v>
      </c>
      <c r="H285" s="13" t="str">
        <f ca="1">IFERROR(__xludf.DUMMYFUNCTION("""COMPUTED_VALUE"""),"公司最近出现了一些经济问题。")</f>
        <v>公司最近出现了一些经济问题。</v>
      </c>
      <c r="I285" s="13" t="str">
        <f ca="1">IFERROR(__xludf.DUMMYFUNCTION("""COMPUTED_VALUE"""),"Gōngsī zuìjìn chūxiàn le yīxiē jīngjì wèntí.")</f>
        <v>Gōngsī zuìjìn chūxiàn le yīxiē jīngjì wèntí.</v>
      </c>
      <c r="J285" s="13" t="str">
        <f ca="1">IFERROR(__xludf.DUMMYFUNCTION("""COMPUTED_VALUE"""),"Công ty gần đây xuất hiện một số vấn đề kinh tế.")</f>
        <v>Công ty gần đây xuất hiện một số vấn đề kinh tế.</v>
      </c>
      <c r="K285" s="13" t="str">
        <f ca="1">IFERROR(__xludf.DUMMYFUNCTION("""COMPUTED_VALUE"""),"H2_B9_BG-06.gif")</f>
        <v>H2_B9_BG-06.gif</v>
      </c>
      <c r="L285" s="13" t="str">
        <f ca="1">IFERROR(__xludf.DUMMYFUNCTION("""COMPUTED_VALUE"""),"H2_B9_6.mp3")</f>
        <v>H2_B9_6.mp3</v>
      </c>
      <c r="M285" s="13" t="str">
        <f ca="1">IFERROR(__xludf.DUMMYFUNCTION("""COMPUTED_VALUE"""),"H2_B9_VD_6.mp3")</f>
        <v>H2_B9_VD_6.mp3</v>
      </c>
    </row>
    <row r="286" spans="1:13">
      <c r="A286" s="13">
        <f ca="1">IFERROR(__xludf.DUMMYFUNCTION("""COMPUTED_VALUE"""),7)</f>
        <v>7</v>
      </c>
      <c r="B286" s="13"/>
      <c r="C286" s="13" t="str">
        <f ca="1">IFERROR(__xludf.DUMMYFUNCTION("""COMPUTED_VALUE"""),"欢迎")</f>
        <v>欢迎</v>
      </c>
      <c r="D286" s="13" t="str">
        <f ca="1">IFERROR(__xludf.DUMMYFUNCTION("""COMPUTED_VALUE"""),"&lt;ruby&gt;欢迎&lt;rt&gt;huānyíng&lt;/rt&gt;&lt;/ruby&gt;")</f>
        <v>&lt;ruby&gt;欢迎&lt;rt&gt;huānyíng&lt;/rt&gt;&lt;/ruby&gt;</v>
      </c>
      <c r="E286" s="13" t="str">
        <f ca="1">IFERROR(__xludf.DUMMYFUNCTION("""COMPUTED_VALUE"""),"huānyíng")</f>
        <v>huānyíng</v>
      </c>
      <c r="F286" s="13" t="str">
        <f ca="1">IFERROR(__xludf.DUMMYFUNCTION("""COMPUTED_VALUE"""),"Động từ")</f>
        <v>Động từ</v>
      </c>
      <c r="G286" s="13" t="str">
        <f ca="1">IFERROR(__xludf.DUMMYFUNCTION("""COMPUTED_VALUE"""),"hoan nghênh")</f>
        <v>hoan nghênh</v>
      </c>
      <c r="H286" s="13" t="str">
        <f ca="1">IFERROR(__xludf.DUMMYFUNCTION("""COMPUTED_VALUE"""),"他们站在门口欢迎客人。")</f>
        <v>他们站在门口欢迎客人。</v>
      </c>
      <c r="I286" s="13" t="str">
        <f ca="1">IFERROR(__xludf.DUMMYFUNCTION("""COMPUTED_VALUE"""),"Tāmen zhàn zài ménkǒu huānyíng kèrén.")</f>
        <v>Tāmen zhàn zài ménkǒu huānyíng kèrén.</v>
      </c>
      <c r="J286" s="13" t="str">
        <f ca="1">IFERROR(__xludf.DUMMYFUNCTION("""COMPUTED_VALUE"""),"Họ đứng ở cửa đón khách.")</f>
        <v>Họ đứng ở cửa đón khách.</v>
      </c>
      <c r="K286" s="13" t="str">
        <f ca="1">IFERROR(__xludf.DUMMYFUNCTION("""COMPUTED_VALUE"""),"H2_B9_BG-07.gif")</f>
        <v>H2_B9_BG-07.gif</v>
      </c>
      <c r="L286" s="13" t="str">
        <f ca="1">IFERROR(__xludf.DUMMYFUNCTION("""COMPUTED_VALUE"""),"H2_B9_7.mp3")</f>
        <v>H2_B9_7.mp3</v>
      </c>
      <c r="M286" s="13" t="str">
        <f ca="1">IFERROR(__xludf.DUMMYFUNCTION("""COMPUTED_VALUE"""),"H2_B9_VD_7.mp3")</f>
        <v>H2_B9_VD_7.mp3</v>
      </c>
    </row>
    <row r="287" spans="1:13">
      <c r="A287" s="13">
        <f ca="1">IFERROR(__xludf.DUMMYFUNCTION("""COMPUTED_VALUE"""),8)</f>
        <v>8</v>
      </c>
      <c r="B287" s="13"/>
      <c r="C287" s="13" t="str">
        <f ca="1">IFERROR(__xludf.DUMMYFUNCTION("""COMPUTED_VALUE"""),"上班")</f>
        <v>上班</v>
      </c>
      <c r="D287" s="13" t="str">
        <f ca="1">IFERROR(__xludf.DUMMYFUNCTION("""COMPUTED_VALUE"""),"&lt;ruby&gt;上班&lt;rt&gt;shàng bān&lt;/rt&gt;&lt;/ruby&gt;")</f>
        <v>&lt;ruby&gt;上班&lt;rt&gt;shàng bān&lt;/rt&gt;&lt;/ruby&gt;</v>
      </c>
      <c r="E287" s="13" t="str">
        <f ca="1">IFERROR(__xludf.DUMMYFUNCTION("""COMPUTED_VALUE"""),"shàng bān")</f>
        <v>shàng bān</v>
      </c>
      <c r="F287" s="13" t="str">
        <f ca="1">IFERROR(__xludf.DUMMYFUNCTION("""COMPUTED_VALUE"""),"Động từ")</f>
        <v>Động từ</v>
      </c>
      <c r="G287" s="13" t="str">
        <f ca="1">IFERROR(__xludf.DUMMYFUNCTION("""COMPUTED_VALUE"""),"đi làm")</f>
        <v>đi làm</v>
      </c>
      <c r="H287" s="13" t="str">
        <f ca="1">IFERROR(__xludf.DUMMYFUNCTION("""COMPUTED_VALUE"""),"我从星期一到星期五都要上班。")</f>
        <v>我从星期一到星期五都要上班。</v>
      </c>
      <c r="I287" s="13" t="str">
        <f ca="1">IFERROR(__xludf.DUMMYFUNCTION("""COMPUTED_VALUE"""),"Wǒ cóng xīngqī yī dào xīngqī wǔ dōu yào shàngbān.")</f>
        <v>Wǒ cóng xīngqī yī dào xīngqī wǔ dōu yào shàngbān.</v>
      </c>
      <c r="J287" s="13" t="str">
        <f ca="1">IFERROR(__xludf.DUMMYFUNCTION("""COMPUTED_VALUE"""),"Tôi phải đi làm từ thứ hai đến thứ sáu.")</f>
        <v>Tôi phải đi làm từ thứ hai đến thứ sáu.</v>
      </c>
      <c r="K287" s="13" t="str">
        <f ca="1">IFERROR(__xludf.DUMMYFUNCTION("""COMPUTED_VALUE"""),"H2_B9_BG-08.gif")</f>
        <v>H2_B9_BG-08.gif</v>
      </c>
      <c r="L287" s="13" t="str">
        <f ca="1">IFERROR(__xludf.DUMMYFUNCTION("""COMPUTED_VALUE"""),"H2_B9_8.mp3")</f>
        <v>H2_B9_8.mp3</v>
      </c>
      <c r="M287" s="13" t="str">
        <f ca="1">IFERROR(__xludf.DUMMYFUNCTION("""COMPUTED_VALUE"""),"H2_B9_VD_8.mp3")</f>
        <v>H2_B9_VD_8.mp3</v>
      </c>
    </row>
    <row r="288" spans="1:13">
      <c r="A288" s="13">
        <f ca="1">IFERROR(__xludf.DUMMYFUNCTION("""COMPUTED_VALUE"""),9)</f>
        <v>9</v>
      </c>
      <c r="B288" s="13"/>
      <c r="C288" s="13" t="str">
        <f ca="1">IFERROR(__xludf.DUMMYFUNCTION("""COMPUTED_VALUE"""),"懂")</f>
        <v>懂</v>
      </c>
      <c r="D288" s="13" t="str">
        <f ca="1">IFERROR(__xludf.DUMMYFUNCTION("""COMPUTED_VALUE"""),"&lt;ruby&gt;懂&lt;rt&gt;dǒng&lt;/rt&gt;&lt;/ruby&gt;")</f>
        <v>&lt;ruby&gt;懂&lt;rt&gt;dǒng&lt;/rt&gt;&lt;/ruby&gt;</v>
      </c>
      <c r="E288" s="13" t="str">
        <f ca="1">IFERROR(__xludf.DUMMYFUNCTION("""COMPUTED_VALUE"""),"dǒng")</f>
        <v>dǒng</v>
      </c>
      <c r="F288" s="13" t="str">
        <f ca="1">IFERROR(__xludf.DUMMYFUNCTION("""COMPUTED_VALUE"""),"Động từ")</f>
        <v>Động từ</v>
      </c>
      <c r="G288" s="13" t="str">
        <f ca="1">IFERROR(__xludf.DUMMYFUNCTION("""COMPUTED_VALUE"""),"hiểu, biết")</f>
        <v>hiểu, biết</v>
      </c>
      <c r="H288" s="13" t="str">
        <f ca="1">IFERROR(__xludf.DUMMYFUNCTION("""COMPUTED_VALUE"""),"我懂老师说的话了。")</f>
        <v>我懂老师说的话了。</v>
      </c>
      <c r="I288" s="13" t="str">
        <f ca="1">IFERROR(__xludf.DUMMYFUNCTION("""COMPUTED_VALUE"""),"Wǒ dǒng lǎoshī shuō de huà le.")</f>
        <v>Wǒ dǒng lǎoshī shuō de huà le.</v>
      </c>
      <c r="J288" s="13" t="str">
        <f ca="1">IFERROR(__xludf.DUMMYFUNCTION("""COMPUTED_VALUE"""),"Tôi đã hiểu lời cô giáo nói.")</f>
        <v>Tôi đã hiểu lời cô giáo nói.</v>
      </c>
      <c r="K288" s="13" t="str">
        <f ca="1">IFERROR(__xludf.DUMMYFUNCTION("""COMPUTED_VALUE"""),"H2_B9_BG-09.gif")</f>
        <v>H2_B9_BG-09.gif</v>
      </c>
      <c r="L288" s="13" t="str">
        <f ca="1">IFERROR(__xludf.DUMMYFUNCTION("""COMPUTED_VALUE"""),"H2_B9_9.mp3")</f>
        <v>H2_B9_9.mp3</v>
      </c>
      <c r="M288" s="13" t="str">
        <f ca="1">IFERROR(__xludf.DUMMYFUNCTION("""COMPUTED_VALUE"""),"H2_B9_VD_9.mp3")</f>
        <v>H2_B9_VD_9.mp3</v>
      </c>
    </row>
    <row r="289" spans="1:13">
      <c r="A289" s="13">
        <f ca="1">IFERROR(__xludf.DUMMYFUNCTION("""COMPUTED_VALUE"""),10)</f>
        <v>10</v>
      </c>
      <c r="B289" s="13"/>
      <c r="C289" s="13" t="str">
        <f ca="1">IFERROR(__xludf.DUMMYFUNCTION("""COMPUTED_VALUE"""),"完")</f>
        <v>完</v>
      </c>
      <c r="D289" s="13" t="str">
        <f ca="1">IFERROR(__xludf.DUMMYFUNCTION("""COMPUTED_VALUE"""),"&lt;ruby&gt;完&lt;rt&gt;wán&lt;/rt&gt;&lt;/ruby&gt;")</f>
        <v>&lt;ruby&gt;完&lt;rt&gt;wán&lt;/rt&gt;&lt;/ruby&gt;</v>
      </c>
      <c r="E289" s="13" t="str">
        <f ca="1">IFERROR(__xludf.DUMMYFUNCTION("""COMPUTED_VALUE"""),"wán")</f>
        <v>wán</v>
      </c>
      <c r="F289" s="13" t="str">
        <f ca="1">IFERROR(__xludf.DUMMYFUNCTION("""COMPUTED_VALUE"""),"Động từ")</f>
        <v>Động từ</v>
      </c>
      <c r="G289" s="13" t="str">
        <f ca="1">IFERROR(__xludf.DUMMYFUNCTION("""COMPUTED_VALUE"""),"xong, hết")</f>
        <v>xong, hết</v>
      </c>
      <c r="H289" s="13" t="str">
        <f ca="1">IFERROR(__xludf.DUMMYFUNCTION("""COMPUTED_VALUE"""),"她已经吃完了。")</f>
        <v>她已经吃完了。</v>
      </c>
      <c r="I289" s="13" t="str">
        <f ca="1">IFERROR(__xludf.DUMMYFUNCTION("""COMPUTED_VALUE"""),"Tā yǐjīng chī wán le.")</f>
        <v>Tā yǐjīng chī wán le.</v>
      </c>
      <c r="J289" s="13" t="str">
        <f ca="1">IFERROR(__xludf.DUMMYFUNCTION("""COMPUTED_VALUE"""),"Cô ấy đã ăn xong rồi.")</f>
        <v>Cô ấy đã ăn xong rồi.</v>
      </c>
      <c r="K289" s="13" t="str">
        <f ca="1">IFERROR(__xludf.DUMMYFUNCTION("""COMPUTED_VALUE"""),"H2_B9_BG-10.gif")</f>
        <v>H2_B9_BG-10.gif</v>
      </c>
      <c r="L289" s="13" t="str">
        <f ca="1">IFERROR(__xludf.DUMMYFUNCTION("""COMPUTED_VALUE"""),"H2_B9_10.mp3")</f>
        <v>H2_B9_10.mp3</v>
      </c>
      <c r="M289" s="13" t="str">
        <f ca="1">IFERROR(__xludf.DUMMYFUNCTION("""COMPUTED_VALUE"""),"H2_B9_VD_10.mp3")</f>
        <v>H2_B9_VD_10.mp3</v>
      </c>
    </row>
    <row r="290" spans="1:13">
      <c r="A290" s="13">
        <f ca="1">IFERROR(__xludf.DUMMYFUNCTION("""COMPUTED_VALUE"""),11)</f>
        <v>11</v>
      </c>
      <c r="B290" s="13"/>
      <c r="C290" s="13" t="str">
        <f ca="1">IFERROR(__xludf.DUMMYFUNCTION("""COMPUTED_VALUE"""),"题")</f>
        <v>题</v>
      </c>
      <c r="D290" s="13" t="str">
        <f ca="1">IFERROR(__xludf.DUMMYFUNCTION("""COMPUTED_VALUE"""),"&lt;ruby&gt;题&lt;rt&gt;tí&lt;/rt&gt;&lt;/ruby&gt;")</f>
        <v>&lt;ruby&gt;题&lt;rt&gt;tí&lt;/rt&gt;&lt;/ruby&gt;</v>
      </c>
      <c r="E290" s="13" t="str">
        <f ca="1">IFERROR(__xludf.DUMMYFUNCTION("""COMPUTED_VALUE"""),"tí")</f>
        <v>tí</v>
      </c>
      <c r="F290" s="13" t="str">
        <f ca="1">IFERROR(__xludf.DUMMYFUNCTION("""COMPUTED_VALUE"""),"Danh từ")</f>
        <v>Danh từ</v>
      </c>
      <c r="G290" s="13" t="str">
        <f ca="1">IFERROR(__xludf.DUMMYFUNCTION("""COMPUTED_VALUE"""),"câu hỏi")</f>
        <v>câu hỏi</v>
      </c>
      <c r="H290" s="13" t="str">
        <f ca="1">IFERROR(__xludf.DUMMYFUNCTION("""COMPUTED_VALUE"""),"这道题的答案是什么？")</f>
        <v>这道题的答案是什么？</v>
      </c>
      <c r="I290" s="13" t="str">
        <f ca="1">IFERROR(__xludf.DUMMYFUNCTION("""COMPUTED_VALUE"""),"Zhè dào tí de dá’àn shì shénme?")</f>
        <v>Zhè dào tí de dá’àn shì shénme?</v>
      </c>
      <c r="J290" s="13" t="str">
        <f ca="1">IFERROR(__xludf.DUMMYFUNCTION("""COMPUTED_VALUE"""),"Đáp án của câu hỏi này là gì?")</f>
        <v>Đáp án của câu hỏi này là gì?</v>
      </c>
      <c r="K290" s="13" t="str">
        <f ca="1">IFERROR(__xludf.DUMMYFUNCTION("""COMPUTED_VALUE"""),"H2_B9_BG-11.gif")</f>
        <v>H2_B9_BG-11.gif</v>
      </c>
      <c r="L290" s="13" t="str">
        <f ca="1">IFERROR(__xludf.DUMMYFUNCTION("""COMPUTED_VALUE"""),"H2_B9_11.mp3")</f>
        <v>H2_B9_11.mp3</v>
      </c>
      <c r="M290" s="13" t="str">
        <f ca="1">IFERROR(__xludf.DUMMYFUNCTION("""COMPUTED_VALUE"""),"H2_B9_VD_11.mp3")</f>
        <v>H2_B9_VD_11.mp3</v>
      </c>
    </row>
    <row r="291" spans="1:13">
      <c r="A291" s="13">
        <f ca="1">IFERROR(__xludf.DUMMYFUNCTION("""COMPUTED_VALUE"""),1)</f>
        <v>1</v>
      </c>
      <c r="B291" s="13"/>
      <c r="C291" s="13" t="str">
        <f ca="1">IFERROR(__xludf.DUMMYFUNCTION("""COMPUTED_VALUE"""),"课")</f>
        <v>课</v>
      </c>
      <c r="D291" s="13" t="str">
        <f ca="1">IFERROR(__xludf.DUMMYFUNCTION("""COMPUTED_VALUE"""),"&lt;ruby&gt;课&lt;rt&gt;kè&lt;/rt&gt;&lt;/ruby&gt;")</f>
        <v>&lt;ruby&gt;课&lt;rt&gt;kè&lt;/rt&gt;&lt;/ruby&gt;</v>
      </c>
      <c r="E291" s="13" t="str">
        <f ca="1">IFERROR(__xludf.DUMMYFUNCTION("""COMPUTED_VALUE"""),"kè")</f>
        <v>kè</v>
      </c>
      <c r="F291" s="13" t="str">
        <f ca="1">IFERROR(__xludf.DUMMYFUNCTION("""COMPUTED_VALUE"""),"Danh từ")</f>
        <v>Danh từ</v>
      </c>
      <c r="G291" s="13" t="str">
        <f ca="1">IFERROR(__xludf.DUMMYFUNCTION("""COMPUTED_VALUE"""),"giờ học, môn, bài")</f>
        <v>giờ học, môn, bài</v>
      </c>
      <c r="H291" s="13" t="str">
        <f ca="1">IFERROR(__xludf.DUMMYFUNCTION("""COMPUTED_VALUE"""),"我最喜欢数学课。")</f>
        <v>我最喜欢数学课。</v>
      </c>
      <c r="I291" s="13" t="str">
        <f ca="1">IFERROR(__xludf.DUMMYFUNCTION("""COMPUTED_VALUE"""),"Wǒ zuì xǐhuan shùxué kè.")</f>
        <v>Wǒ zuì xǐhuan shùxué kè.</v>
      </c>
      <c r="J291" s="13" t="str">
        <f ca="1">IFERROR(__xludf.DUMMYFUNCTION("""COMPUTED_VALUE"""),"Tôi thích nhất môn Toán.")</f>
        <v>Tôi thích nhất môn Toán.</v>
      </c>
      <c r="K291" s="13" t="str">
        <f ca="1">IFERROR(__xludf.DUMMYFUNCTION("""COMPUTED_VALUE"""),"H2_B10_BG-01.gif")</f>
        <v>H2_B10_BG-01.gif</v>
      </c>
      <c r="L291" s="13" t="str">
        <f ca="1">IFERROR(__xludf.DUMMYFUNCTION("""COMPUTED_VALUE"""),"H2_B10_1.mp3")</f>
        <v>H2_B10_1.mp3</v>
      </c>
      <c r="M291" s="13" t="str">
        <f ca="1">IFERROR(__xludf.DUMMYFUNCTION("""COMPUTED_VALUE"""),"H2_B10_VD_1.mp3")</f>
        <v>H2_B10_VD_1.mp3</v>
      </c>
    </row>
    <row r="292" spans="1:13">
      <c r="A292" s="13">
        <f ca="1">IFERROR(__xludf.DUMMYFUNCTION("""COMPUTED_VALUE"""),2)</f>
        <v>2</v>
      </c>
      <c r="B292" s="13"/>
      <c r="C292" s="13" t="str">
        <f ca="1">IFERROR(__xludf.DUMMYFUNCTION("""COMPUTED_VALUE"""),"帮助")</f>
        <v>帮助</v>
      </c>
      <c r="D292" s="13" t="str">
        <f ca="1">IFERROR(__xludf.DUMMYFUNCTION("""COMPUTED_VALUE"""),"&lt;ruby&gt;帮助&lt;rt&gt;bāngzhù&lt;/rt&gt;&lt;/ruby&gt;")</f>
        <v>&lt;ruby&gt;帮助&lt;rt&gt;bāngzhù&lt;/rt&gt;&lt;/ruby&gt;</v>
      </c>
      <c r="E292" s="13" t="str">
        <f ca="1">IFERROR(__xludf.DUMMYFUNCTION("""COMPUTED_VALUE"""),"bāngzhù")</f>
        <v>bāngzhù</v>
      </c>
      <c r="F292" s="13" t="str">
        <f ca="1">IFERROR(__xludf.DUMMYFUNCTION("""COMPUTED_VALUE"""),"Động từ")</f>
        <v>Động từ</v>
      </c>
      <c r="G292" s="13" t="str">
        <f ca="1">IFERROR(__xludf.DUMMYFUNCTION("""COMPUTED_VALUE"""),"giúp ích, giúp đỡ")</f>
        <v>giúp ích, giúp đỡ</v>
      </c>
      <c r="H292" s="13" t="str">
        <f ca="1">IFERROR(__xludf.DUMMYFUNCTION("""COMPUTED_VALUE"""),"她帮助奶奶过马路。")</f>
        <v>她帮助奶奶过马路。</v>
      </c>
      <c r="I292" s="13" t="str">
        <f ca="1">IFERROR(__xludf.DUMMYFUNCTION("""COMPUTED_VALUE"""),"Tā bāngzhù nǎinai guò mǎlù.")</f>
        <v>Tā bāngzhù nǎinai guò mǎlù.</v>
      </c>
      <c r="J292" s="13" t="str">
        <f ca="1">IFERROR(__xludf.DUMMYFUNCTION("""COMPUTED_VALUE"""),"Cô ấy giúp bà đi qua đường.")</f>
        <v>Cô ấy giúp bà đi qua đường.</v>
      </c>
      <c r="K292" s="13" t="str">
        <f ca="1">IFERROR(__xludf.DUMMYFUNCTION("""COMPUTED_VALUE"""),"H2_B10_BG-02.gif")</f>
        <v>H2_B10_BG-02.gif</v>
      </c>
      <c r="L292" s="13" t="str">
        <f ca="1">IFERROR(__xludf.DUMMYFUNCTION("""COMPUTED_VALUE"""),"H2_B10_2.mp3")</f>
        <v>H2_B10_2.mp3</v>
      </c>
      <c r="M292" s="13" t="str">
        <f ca="1">IFERROR(__xludf.DUMMYFUNCTION("""COMPUTED_VALUE"""),"H2_B10_VD_2.mp3")</f>
        <v>H2_B10_VD_2.mp3</v>
      </c>
    </row>
    <row r="293" spans="1:13">
      <c r="A293" s="13">
        <f ca="1">IFERROR(__xludf.DUMMYFUNCTION("""COMPUTED_VALUE"""),3)</f>
        <v>3</v>
      </c>
      <c r="B293" s="13"/>
      <c r="C293" s="13" t="str">
        <f ca="1">IFERROR(__xludf.DUMMYFUNCTION("""COMPUTED_VALUE"""),"别")</f>
        <v>别</v>
      </c>
      <c r="D293" s="13" t="str">
        <f ca="1">IFERROR(__xludf.DUMMYFUNCTION("""COMPUTED_VALUE"""),"&lt;ruby&gt;别&lt;rt&gt;bié&lt;/rt&gt;&lt;/ruby&gt;")</f>
        <v>&lt;ruby&gt;别&lt;rt&gt;bié&lt;/rt&gt;&lt;/ruby&gt;</v>
      </c>
      <c r="E293" s="13" t="str">
        <f ca="1">IFERROR(__xludf.DUMMYFUNCTION("""COMPUTED_VALUE"""),"bié")</f>
        <v>bié</v>
      </c>
      <c r="F293" s="13" t="str">
        <f ca="1">IFERROR(__xludf.DUMMYFUNCTION("""COMPUTED_VALUE"""),"Phó từ")</f>
        <v>Phó từ</v>
      </c>
      <c r="G293" s="13" t="str">
        <f ca="1">IFERROR(__xludf.DUMMYFUNCTION("""COMPUTED_VALUE"""),"đừng")</f>
        <v>đừng</v>
      </c>
      <c r="H293" s="13" t="str">
        <f ca="1">IFERROR(__xludf.DUMMYFUNCTION("""COMPUTED_VALUE"""),"你别送花了，我不收。")</f>
        <v>你别送花了，我不收。</v>
      </c>
      <c r="I293" s="13" t="str">
        <f ca="1">IFERROR(__xludf.DUMMYFUNCTION("""COMPUTED_VALUE"""),"Nǐ bié sòng huā le, wǒ bù shōu.")</f>
        <v>Nǐ bié sòng huā le, wǒ bù shōu.</v>
      </c>
      <c r="J293" s="13" t="str">
        <f ca="1">IFERROR(__xludf.DUMMYFUNCTION("""COMPUTED_VALUE"""),"Anh đừng tặng hoa nữa, tôi không nhận đâu.")</f>
        <v>Anh đừng tặng hoa nữa, tôi không nhận đâu.</v>
      </c>
      <c r="K293" s="13" t="str">
        <f ca="1">IFERROR(__xludf.DUMMYFUNCTION("""COMPUTED_VALUE"""),"H2_B10_BG-03.gif")</f>
        <v>H2_B10_BG-03.gif</v>
      </c>
      <c r="L293" s="13" t="str">
        <f ca="1">IFERROR(__xludf.DUMMYFUNCTION("""COMPUTED_VALUE"""),"H2_B10_3.mp3")</f>
        <v>H2_B10_3.mp3</v>
      </c>
      <c r="M293" s="13" t="str">
        <f ca="1">IFERROR(__xludf.DUMMYFUNCTION("""COMPUTED_VALUE"""),"H2_B10_VD_3.mp3")</f>
        <v>H2_B10_VD_3.mp3</v>
      </c>
    </row>
    <row r="294" spans="1:13">
      <c r="A294" s="13">
        <f ca="1">IFERROR(__xludf.DUMMYFUNCTION("""COMPUTED_VALUE"""),4)</f>
        <v>4</v>
      </c>
      <c r="B294" s="13"/>
      <c r="C294" s="13" t="str">
        <f ca="1">IFERROR(__xludf.DUMMYFUNCTION("""COMPUTED_VALUE"""),"哥哥")</f>
        <v>哥哥</v>
      </c>
      <c r="D294" s="13" t="str">
        <f ca="1">IFERROR(__xludf.DUMMYFUNCTION("""COMPUTED_VALUE"""),"&lt;ruby&gt;哥哥&lt;rt&gt;gēge&lt;/rt&gt;&lt;/ruby&gt;")</f>
        <v>&lt;ruby&gt;哥哥&lt;rt&gt;gēge&lt;/rt&gt;&lt;/ruby&gt;</v>
      </c>
      <c r="E294" s="13" t="str">
        <f ca="1">IFERROR(__xludf.DUMMYFUNCTION("""COMPUTED_VALUE"""),"gēge")</f>
        <v>gēge</v>
      </c>
      <c r="F294" s="13" t="str">
        <f ca="1">IFERROR(__xludf.DUMMYFUNCTION("""COMPUTED_VALUE"""),"Danh từ")</f>
        <v>Danh từ</v>
      </c>
      <c r="G294" s="13" t="str">
        <f ca="1">IFERROR(__xludf.DUMMYFUNCTION("""COMPUTED_VALUE"""),"anh trai")</f>
        <v>anh trai</v>
      </c>
      <c r="H294" s="13" t="str">
        <f ca="1">IFERROR(__xludf.DUMMYFUNCTION("""COMPUTED_VALUE"""),"我很爱我的哥哥。")</f>
        <v>我很爱我的哥哥。</v>
      </c>
      <c r="I294" s="13" t="str">
        <f ca="1">IFERROR(__xludf.DUMMYFUNCTION("""COMPUTED_VALUE"""),"Wǒ hěn ài wǒ de gēge.")</f>
        <v>Wǒ hěn ài wǒ de gēge.</v>
      </c>
      <c r="J294" s="13" t="str">
        <f ca="1">IFERROR(__xludf.DUMMYFUNCTION("""COMPUTED_VALUE"""),"Tôi rất yêu quý anh trai của tôi.")</f>
        <v>Tôi rất yêu quý anh trai của tôi.</v>
      </c>
      <c r="K294" s="13" t="str">
        <f ca="1">IFERROR(__xludf.DUMMYFUNCTION("""COMPUTED_VALUE"""),"H2_B10_BG-04.gif")</f>
        <v>H2_B10_BG-04.gif</v>
      </c>
      <c r="L294" s="13" t="str">
        <f ca="1">IFERROR(__xludf.DUMMYFUNCTION("""COMPUTED_VALUE"""),"H2_B10_4.mp3")</f>
        <v>H2_B10_4.mp3</v>
      </c>
      <c r="M294" s="13" t="str">
        <f ca="1">IFERROR(__xludf.DUMMYFUNCTION("""COMPUTED_VALUE"""),"H2_B10_VD_4.mp3")</f>
        <v>H2_B10_VD_4.mp3</v>
      </c>
    </row>
    <row r="295" spans="1:13">
      <c r="A295" s="13">
        <f ca="1">IFERROR(__xludf.DUMMYFUNCTION("""COMPUTED_VALUE"""),5)</f>
        <v>5</v>
      </c>
      <c r="B295" s="13"/>
      <c r="C295" s="13" t="str">
        <f ca="1">IFERROR(__xludf.DUMMYFUNCTION("""COMPUTED_VALUE"""),"鸡蛋")</f>
        <v>鸡蛋</v>
      </c>
      <c r="D295" s="13" t="str">
        <f ca="1">IFERROR(__xludf.DUMMYFUNCTION("""COMPUTED_VALUE"""),"&lt;ruby&gt;鸡蛋&lt;rt&gt;jīdàn&lt;/rt&gt;&lt;/ruby&gt;")</f>
        <v>&lt;ruby&gt;鸡蛋&lt;rt&gt;jīdàn&lt;/rt&gt;&lt;/ruby&gt;</v>
      </c>
      <c r="E295" s="13" t="str">
        <f ca="1">IFERROR(__xludf.DUMMYFUNCTION("""COMPUTED_VALUE"""),"jīdàn")</f>
        <v>jīdàn</v>
      </c>
      <c r="F295" s="13" t="str">
        <f ca="1">IFERROR(__xludf.DUMMYFUNCTION("""COMPUTED_VALUE"""),"Danh từ")</f>
        <v>Danh từ</v>
      </c>
      <c r="G295" s="13" t="str">
        <f ca="1">IFERROR(__xludf.DUMMYFUNCTION("""COMPUTED_VALUE"""),"trứng gà")</f>
        <v>trứng gà</v>
      </c>
      <c r="H295" s="13" t="str">
        <f ca="1">IFERROR(__xludf.DUMMYFUNCTION("""COMPUTED_VALUE"""),"我刚买了六个鸡蛋。")</f>
        <v>我刚买了六个鸡蛋。</v>
      </c>
      <c r="I295" s="13" t="str">
        <f ca="1">IFERROR(__xludf.DUMMYFUNCTION("""COMPUTED_VALUE"""),"Wǒ gāng mǎi le liù gè jīdàn.")</f>
        <v>Wǒ gāng mǎi le liù gè jīdàn.</v>
      </c>
      <c r="J295" s="13" t="str">
        <f ca="1">IFERROR(__xludf.DUMMYFUNCTION("""COMPUTED_VALUE"""),"Tôi vừa mua 6 quả trứng gà.")</f>
        <v>Tôi vừa mua 6 quả trứng gà.</v>
      </c>
      <c r="K295" s="13" t="str">
        <f ca="1">IFERROR(__xludf.DUMMYFUNCTION("""COMPUTED_VALUE"""),"H2_B10_BG-05.gif")</f>
        <v>H2_B10_BG-05.gif</v>
      </c>
      <c r="L295" s="13" t="str">
        <f ca="1">IFERROR(__xludf.DUMMYFUNCTION("""COMPUTED_VALUE"""),"H2_B10_5.mp3")</f>
        <v>H2_B10_5.mp3</v>
      </c>
      <c r="M295" s="13" t="str">
        <f ca="1">IFERROR(__xludf.DUMMYFUNCTION("""COMPUTED_VALUE"""),"H2_B10_VD_5.mp3")</f>
        <v>H2_B10_VD_5.mp3</v>
      </c>
    </row>
    <row r="296" spans="1:13">
      <c r="A296" s="13">
        <f ca="1">IFERROR(__xludf.DUMMYFUNCTION("""COMPUTED_VALUE"""),6)</f>
        <v>6</v>
      </c>
      <c r="B296" s="13"/>
      <c r="C296" s="13" t="str">
        <f ca="1">IFERROR(__xludf.DUMMYFUNCTION("""COMPUTED_VALUE"""),"西瓜")</f>
        <v>西瓜</v>
      </c>
      <c r="D296" s="13" t="str">
        <f ca="1">IFERROR(__xludf.DUMMYFUNCTION("""COMPUTED_VALUE"""),"&lt;ruby&gt;西瓜&lt;rt&gt;xīguā&lt;/rt&gt;&lt;/ruby&gt;")</f>
        <v>&lt;ruby&gt;西瓜&lt;rt&gt;xīguā&lt;/rt&gt;&lt;/ruby&gt;</v>
      </c>
      <c r="E296" s="13" t="str">
        <f ca="1">IFERROR(__xludf.DUMMYFUNCTION("""COMPUTED_VALUE"""),"xīguā")</f>
        <v>xīguā</v>
      </c>
      <c r="F296" s="13" t="str">
        <f ca="1">IFERROR(__xludf.DUMMYFUNCTION("""COMPUTED_VALUE"""),"Danh từ")</f>
        <v>Danh từ</v>
      </c>
      <c r="G296" s="13" t="str">
        <f ca="1">IFERROR(__xludf.DUMMYFUNCTION("""COMPUTED_VALUE"""),"dưa hấu")</f>
        <v>dưa hấu</v>
      </c>
      <c r="H296" s="13" t="str">
        <f ca="1">IFERROR(__xludf.DUMMYFUNCTION("""COMPUTED_VALUE"""),"这个西瓜很甜。")</f>
        <v>这个西瓜很甜。</v>
      </c>
      <c r="I296" s="13" t="str">
        <f ca="1">IFERROR(__xludf.DUMMYFUNCTION("""COMPUTED_VALUE"""),"Zhège xīguā hěn tián.")</f>
        <v>Zhège xīguā hěn tián.</v>
      </c>
      <c r="J296" s="13" t="str">
        <f ca="1">IFERROR(__xludf.DUMMYFUNCTION("""COMPUTED_VALUE"""),"Quả dưa hấu này rất ngọt")</f>
        <v>Quả dưa hấu này rất ngọt</v>
      </c>
      <c r="K296" s="13" t="str">
        <f ca="1">IFERROR(__xludf.DUMMYFUNCTION("""COMPUTED_VALUE"""),"H2_B10_BG-06.gif")</f>
        <v>H2_B10_BG-06.gif</v>
      </c>
      <c r="L296" s="13" t="str">
        <f ca="1">IFERROR(__xludf.DUMMYFUNCTION("""COMPUTED_VALUE"""),"H2_B10_6.mp3")</f>
        <v>H2_B10_6.mp3</v>
      </c>
      <c r="M296" s="13" t="str">
        <f ca="1">IFERROR(__xludf.DUMMYFUNCTION("""COMPUTED_VALUE"""),"H2_B10_VD_6.mp3")</f>
        <v>H2_B10_VD_6.mp3</v>
      </c>
    </row>
    <row r="297" spans="1:13">
      <c r="A297" s="13">
        <f ca="1">IFERROR(__xludf.DUMMYFUNCTION("""COMPUTED_VALUE"""),7)</f>
        <v>7</v>
      </c>
      <c r="B297" s="13"/>
      <c r="C297" s="13" t="str">
        <f ca="1">IFERROR(__xludf.DUMMYFUNCTION("""COMPUTED_VALUE"""),"正在")</f>
        <v>正在</v>
      </c>
      <c r="D297" s="13" t="str">
        <f ca="1">IFERROR(__xludf.DUMMYFUNCTION("""COMPUTED_VALUE"""),"&lt;ruby&gt;正在&lt;rt&gt;zhèngzài&lt;/rt&gt;&lt;/ruby&gt;")</f>
        <v>&lt;ruby&gt;正在&lt;rt&gt;zhèngzài&lt;/rt&gt;&lt;/ruby&gt;</v>
      </c>
      <c r="E297" s="13" t="str">
        <f ca="1">IFERROR(__xludf.DUMMYFUNCTION("""COMPUTED_VALUE"""),"zhèngzài")</f>
        <v>zhèngzài</v>
      </c>
      <c r="F297" s="13" t="str">
        <f ca="1">IFERROR(__xludf.DUMMYFUNCTION("""COMPUTED_VALUE"""),"Phó từ")</f>
        <v>Phó từ</v>
      </c>
      <c r="G297" s="13" t="str">
        <f ca="1">IFERROR(__xludf.DUMMYFUNCTION("""COMPUTED_VALUE"""),"đang")</f>
        <v>đang</v>
      </c>
      <c r="H297" s="13" t="str">
        <f ca="1">IFERROR(__xludf.DUMMYFUNCTION("""COMPUTED_VALUE"""),"他正在做饭。")</f>
        <v>他正在做饭。</v>
      </c>
      <c r="I297" s="13" t="str">
        <f ca="1">IFERROR(__xludf.DUMMYFUNCTION("""COMPUTED_VALUE"""),"Tā zhèngzài zuò fàn.")</f>
        <v>Tā zhèngzài zuò fàn.</v>
      </c>
      <c r="J297" s="13" t="str">
        <f ca="1">IFERROR(__xludf.DUMMYFUNCTION("""COMPUTED_VALUE"""),"Anh ấy đang nấu ăn")</f>
        <v>Anh ấy đang nấu ăn</v>
      </c>
      <c r="K297" s="13" t="str">
        <f ca="1">IFERROR(__xludf.DUMMYFUNCTION("""COMPUTED_VALUE"""),"H2_B10_BG-07.gif")</f>
        <v>H2_B10_BG-07.gif</v>
      </c>
      <c r="L297" s="13" t="str">
        <f ca="1">IFERROR(__xludf.DUMMYFUNCTION("""COMPUTED_VALUE"""),"H2_B10_7.mp3")</f>
        <v>H2_B10_7.mp3</v>
      </c>
      <c r="M297" s="13" t="str">
        <f ca="1">IFERROR(__xludf.DUMMYFUNCTION("""COMPUTED_VALUE"""),"H2_B10_VD_7.mp3")</f>
        <v>H2_B10_VD_7.mp3</v>
      </c>
    </row>
    <row r="298" spans="1:13">
      <c r="A298" s="13">
        <f ca="1">IFERROR(__xludf.DUMMYFUNCTION("""COMPUTED_VALUE"""),8)</f>
        <v>8</v>
      </c>
      <c r="B298" s="13"/>
      <c r="C298" s="13" t="str">
        <f ca="1">IFERROR(__xludf.DUMMYFUNCTION("""COMPUTED_VALUE"""),"手机")</f>
        <v>手机</v>
      </c>
      <c r="D298" s="13" t="str">
        <f ca="1">IFERROR(__xludf.DUMMYFUNCTION("""COMPUTED_VALUE"""),"&lt;ruby&gt;手机&lt;rt&gt;shǒujī&lt;/rt&gt;&lt;/ruby&gt;")</f>
        <v>&lt;ruby&gt;手机&lt;rt&gt;shǒujī&lt;/rt&gt;&lt;/ruby&gt;</v>
      </c>
      <c r="E298" s="13" t="str">
        <f ca="1">IFERROR(__xludf.DUMMYFUNCTION("""COMPUTED_VALUE"""),"shǒujī")</f>
        <v>shǒujī</v>
      </c>
      <c r="F298" s="13" t="str">
        <f ca="1">IFERROR(__xludf.DUMMYFUNCTION("""COMPUTED_VALUE"""),"Danh từ")</f>
        <v>Danh từ</v>
      </c>
      <c r="G298" s="13" t="str">
        <f ca="1">IFERROR(__xludf.DUMMYFUNCTION("""COMPUTED_VALUE"""),"điện thoại di động")</f>
        <v>điện thoại di động</v>
      </c>
      <c r="H298" s="13" t="str">
        <f ca="1">IFERROR(__xludf.DUMMYFUNCTION("""COMPUTED_VALUE"""),"妈妈给我买了新手机。")</f>
        <v>妈妈给我买了新手机。</v>
      </c>
      <c r="I298" s="13" t="str">
        <f ca="1">IFERROR(__xludf.DUMMYFUNCTION("""COMPUTED_VALUE"""),"Māma gěi wǒ mǎi le xīn shǒujī.")</f>
        <v>Māma gěi wǒ mǎi le xīn shǒujī.</v>
      </c>
      <c r="J298" s="13" t="str">
        <f ca="1">IFERROR(__xludf.DUMMYFUNCTION("""COMPUTED_VALUE"""),"Mẹ tôi mua cho tôi điện thoại mới")</f>
        <v>Mẹ tôi mua cho tôi điện thoại mới</v>
      </c>
      <c r="K298" s="13" t="str">
        <f ca="1">IFERROR(__xludf.DUMMYFUNCTION("""COMPUTED_VALUE"""),"H2_B10_BG-08.gif")</f>
        <v>H2_B10_BG-08.gif</v>
      </c>
      <c r="L298" s="13" t="str">
        <f ca="1">IFERROR(__xludf.DUMMYFUNCTION("""COMPUTED_VALUE"""),"H2_B10_8.mp3")</f>
        <v>H2_B10_8.mp3</v>
      </c>
      <c r="M298" s="13" t="str">
        <f ca="1">IFERROR(__xludf.DUMMYFUNCTION("""COMPUTED_VALUE"""),"H2_B10_VD_8.mp3")</f>
        <v>H2_B10_VD_8.mp3</v>
      </c>
    </row>
    <row r="299" spans="1:13">
      <c r="A299" s="13">
        <f ca="1">IFERROR(__xludf.DUMMYFUNCTION("""COMPUTED_VALUE"""),9)</f>
        <v>9</v>
      </c>
      <c r="B299" s="13"/>
      <c r="C299" s="13" t="str">
        <f ca="1">IFERROR(__xludf.DUMMYFUNCTION("""COMPUTED_VALUE"""),"洗")</f>
        <v>洗</v>
      </c>
      <c r="D299" s="13" t="str">
        <f ca="1">IFERROR(__xludf.DUMMYFUNCTION("""COMPUTED_VALUE"""),"&lt;ruby&gt;洗&lt;rt&gt;xǐ&lt;/rt&gt;&lt;/ruby&gt;")</f>
        <v>&lt;ruby&gt;洗&lt;rt&gt;xǐ&lt;/rt&gt;&lt;/ruby&gt;</v>
      </c>
      <c r="E299" s="13" t="str">
        <f ca="1">IFERROR(__xludf.DUMMYFUNCTION("""COMPUTED_VALUE"""),"xǐ")</f>
        <v>xǐ</v>
      </c>
      <c r="F299" s="13" t="str">
        <f ca="1">IFERROR(__xludf.DUMMYFUNCTION("""COMPUTED_VALUE"""),"Động từ")</f>
        <v>Động từ</v>
      </c>
      <c r="G299" s="13" t="str">
        <f ca="1">IFERROR(__xludf.DUMMYFUNCTION("""COMPUTED_VALUE"""),"giặt, rửa")</f>
        <v>giặt, rửa</v>
      </c>
      <c r="H299" s="13" t="str">
        <f ca="1">IFERROR(__xludf.DUMMYFUNCTION("""COMPUTED_VALUE"""),"我每天洗衣服。")</f>
        <v>我每天洗衣服。</v>
      </c>
      <c r="I299" s="13" t="str">
        <f ca="1">IFERROR(__xludf.DUMMYFUNCTION("""COMPUTED_VALUE"""),"Wǒ měitiān xǐ yīfu.")</f>
        <v>Wǒ měitiān xǐ yīfu.</v>
      </c>
      <c r="J299" s="13" t="str">
        <f ca="1">IFERROR(__xludf.DUMMYFUNCTION("""COMPUTED_VALUE"""),"Tôi giặt quần áo mỗi ngày.")</f>
        <v>Tôi giặt quần áo mỗi ngày.</v>
      </c>
      <c r="K299" s="13" t="str">
        <f ca="1">IFERROR(__xludf.DUMMYFUNCTION("""COMPUTED_VALUE"""),"H2_B10_BG-09.gif")</f>
        <v>H2_B10_BG-09.gif</v>
      </c>
      <c r="L299" s="13" t="str">
        <f ca="1">IFERROR(__xludf.DUMMYFUNCTION("""COMPUTED_VALUE"""),"H2_B10_9.mp3")</f>
        <v>H2_B10_9.mp3</v>
      </c>
      <c r="M299" s="13" t="str">
        <f ca="1">IFERROR(__xludf.DUMMYFUNCTION("""COMPUTED_VALUE"""),"H2_B10_VD_9.mp3")</f>
        <v>H2_B10_VD_9.mp3</v>
      </c>
    </row>
    <row r="300" spans="1:13">
      <c r="A300" s="13">
        <f ca="1">IFERROR(__xludf.DUMMYFUNCTION("""COMPUTED_VALUE"""),1)</f>
        <v>1</v>
      </c>
      <c r="B300" s="13"/>
      <c r="C300" s="13" t="str">
        <f ca="1">IFERROR(__xludf.DUMMYFUNCTION("""COMPUTED_VALUE"""),"唱歌")</f>
        <v>唱歌</v>
      </c>
      <c r="D300" s="13" t="str">
        <f ca="1">IFERROR(__xludf.DUMMYFUNCTION("""COMPUTED_VALUE"""),"&lt;ruby&gt;唱歌&lt;rt&gt;chàng gē&lt;/rt&gt;&lt;/ruby&gt;")</f>
        <v>&lt;ruby&gt;唱歌&lt;rt&gt;chàng gē&lt;/rt&gt;&lt;/ruby&gt;</v>
      </c>
      <c r="E300" s="13" t="str">
        <f ca="1">IFERROR(__xludf.DUMMYFUNCTION("""COMPUTED_VALUE"""),"chàng gē")</f>
        <v>chàng gē</v>
      </c>
      <c r="F300" s="13" t="str">
        <f ca="1">IFERROR(__xludf.DUMMYFUNCTION("""COMPUTED_VALUE"""),"Động từ")</f>
        <v>Động từ</v>
      </c>
      <c r="G300" s="13" t="str">
        <f ca="1">IFERROR(__xludf.DUMMYFUNCTION("""COMPUTED_VALUE"""),"hát")</f>
        <v>hát</v>
      </c>
      <c r="H300" s="13" t="str">
        <f ca="1">IFERROR(__xludf.DUMMYFUNCTION("""COMPUTED_VALUE"""),"她唱歌唱得很好。")</f>
        <v>她唱歌唱得很好。</v>
      </c>
      <c r="I300" s="13" t="str">
        <f ca="1">IFERROR(__xludf.DUMMYFUNCTION("""COMPUTED_VALUE"""),"Tā chànggē chàng de hěn hǎo.")</f>
        <v>Tā chànggē chàng de hěn hǎo.</v>
      </c>
      <c r="J300" s="13" t="str">
        <f ca="1">IFERROR(__xludf.DUMMYFUNCTION("""COMPUTED_VALUE"""),"Cô ấy hát rất hay.")</f>
        <v>Cô ấy hát rất hay.</v>
      </c>
      <c r="K300" s="13" t="str">
        <f ca="1">IFERROR(__xludf.DUMMYFUNCTION("""COMPUTED_VALUE"""),"H2_B11_BG-01.gif")</f>
        <v>H2_B11_BG-01.gif</v>
      </c>
      <c r="L300" s="13" t="str">
        <f ca="1">IFERROR(__xludf.DUMMYFUNCTION("""COMPUTED_VALUE"""),"H2_B11_1.mp3")</f>
        <v>H2_B11_1.mp3</v>
      </c>
      <c r="M300" s="13" t="str">
        <f ca="1">IFERROR(__xludf.DUMMYFUNCTION("""COMPUTED_VALUE"""),"H2_B11_VD_1.mp3")</f>
        <v>H2_B11_VD_1.mp3</v>
      </c>
    </row>
    <row r="301" spans="1:13">
      <c r="A301" s="13">
        <f ca="1">IFERROR(__xludf.DUMMYFUNCTION("""COMPUTED_VALUE"""),2)</f>
        <v>2</v>
      </c>
      <c r="B301" s="13"/>
      <c r="C301" s="13" t="str">
        <f ca="1">IFERROR(__xludf.DUMMYFUNCTION("""COMPUTED_VALUE"""),"男")</f>
        <v>男</v>
      </c>
      <c r="D301" s="13" t="str">
        <f ca="1">IFERROR(__xludf.DUMMYFUNCTION("""COMPUTED_VALUE"""),"&lt;ruby&gt;男&lt;rt&gt;nán&lt;/rt&gt;&lt;/ruby&gt;")</f>
        <v>&lt;ruby&gt;男&lt;rt&gt;nán&lt;/rt&gt;&lt;/ruby&gt;</v>
      </c>
      <c r="E301" s="13" t="str">
        <f ca="1">IFERROR(__xludf.DUMMYFUNCTION("""COMPUTED_VALUE"""),"nán")</f>
        <v>nán</v>
      </c>
      <c r="F301" s="13" t="str">
        <f ca="1">IFERROR(__xludf.DUMMYFUNCTION("""COMPUTED_VALUE"""),"Tính từ")</f>
        <v>Tính từ</v>
      </c>
      <c r="G301" s="13" t="str">
        <f ca="1">IFERROR(__xludf.DUMMYFUNCTION("""COMPUTED_VALUE"""),"thuộc về nam giới")</f>
        <v>thuộc về nam giới</v>
      </c>
      <c r="H301" s="13" t="str">
        <f ca="1">IFERROR(__xludf.DUMMYFUNCTION("""COMPUTED_VALUE"""),"班里有很多男同学。")</f>
        <v>班里有很多男同学。</v>
      </c>
      <c r="I301" s="13" t="str">
        <f ca="1">IFERROR(__xludf.DUMMYFUNCTION("""COMPUTED_VALUE"""),"Bān lǐ yǒu hěn duō nán tóngxué.")</f>
        <v>Bān lǐ yǒu hěn duō nán tóngxué.</v>
      </c>
      <c r="J301" s="13" t="str">
        <f ca="1">IFERROR(__xludf.DUMMYFUNCTION("""COMPUTED_VALUE"""),"Trong lớp học có rất nhiều bạn học nam.")</f>
        <v>Trong lớp học có rất nhiều bạn học nam.</v>
      </c>
      <c r="K301" s="13" t="str">
        <f ca="1">IFERROR(__xludf.DUMMYFUNCTION("""COMPUTED_VALUE"""),"H2_B11_BG-02.gif")</f>
        <v>H2_B11_BG-02.gif</v>
      </c>
      <c r="L301" s="13" t="str">
        <f ca="1">IFERROR(__xludf.DUMMYFUNCTION("""COMPUTED_VALUE"""),"H2_B11_2.mp3")</f>
        <v>H2_B11_2.mp3</v>
      </c>
      <c r="M301" s="13" t="str">
        <f ca="1">IFERROR(__xludf.DUMMYFUNCTION("""COMPUTED_VALUE"""),"H2_B11_VD_2.mp3")</f>
        <v>H2_B11_VD_2.mp3</v>
      </c>
    </row>
    <row r="302" spans="1:13">
      <c r="A302" s="13">
        <f ca="1">IFERROR(__xludf.DUMMYFUNCTION("""COMPUTED_VALUE"""),3)</f>
        <v>3</v>
      </c>
      <c r="B302" s="13"/>
      <c r="C302" s="13" t="str">
        <f ca="1">IFERROR(__xludf.DUMMYFUNCTION("""COMPUTED_VALUE"""),"女")</f>
        <v>女</v>
      </c>
      <c r="D302" s="13" t="str">
        <f ca="1">IFERROR(__xludf.DUMMYFUNCTION("""COMPUTED_VALUE"""),"&lt;ruby&gt;女&lt;rt&gt;nǚ&lt;/rt&gt;&lt;/ruby&gt;")</f>
        <v>&lt;ruby&gt;女&lt;rt&gt;nǚ&lt;/rt&gt;&lt;/ruby&gt;</v>
      </c>
      <c r="E302" s="13" t="str">
        <f ca="1">IFERROR(__xludf.DUMMYFUNCTION("""COMPUTED_VALUE"""),"nǚ")</f>
        <v>nǚ</v>
      </c>
      <c r="F302" s="13" t="str">
        <f ca="1">IFERROR(__xludf.DUMMYFUNCTION("""COMPUTED_VALUE"""),"Tính từ")</f>
        <v>Tính từ</v>
      </c>
      <c r="G302" s="13" t="str">
        <f ca="1">IFERROR(__xludf.DUMMYFUNCTION("""COMPUTED_VALUE"""),"thuộc về nữ giới")</f>
        <v>thuộc về nữ giới</v>
      </c>
      <c r="H302" s="13" t="str">
        <f ca="1">IFERROR(__xludf.DUMMYFUNCTION("""COMPUTED_VALUE"""),"那个女孩子跳舞跳得很漂亮。")</f>
        <v>那个女孩子跳舞跳得很漂亮。</v>
      </c>
      <c r="I302" s="13" t="str">
        <f ca="1">IFERROR(__xludf.DUMMYFUNCTION("""COMPUTED_VALUE"""),"Nàge nǚ háizi tiàowǔ tiào de hěn piàoliang.")</f>
        <v>Nàge nǚ háizi tiàowǔ tiào de hěn piàoliang.</v>
      </c>
      <c r="J302" s="13" t="str">
        <f ca="1">IFERROR(__xludf.DUMMYFUNCTION("""COMPUTED_VALUE"""),"Cô gái đó nhảy rất đẹp.")</f>
        <v>Cô gái đó nhảy rất đẹp.</v>
      </c>
      <c r="K302" s="13" t="str">
        <f ca="1">IFERROR(__xludf.DUMMYFUNCTION("""COMPUTED_VALUE"""),"H2_B11_BG-03.gif")</f>
        <v>H2_B11_BG-03.gif</v>
      </c>
      <c r="L302" s="13" t="str">
        <f ca="1">IFERROR(__xludf.DUMMYFUNCTION("""COMPUTED_VALUE"""),"H2_B11_3.mp3")</f>
        <v>H2_B11_3.mp3</v>
      </c>
      <c r="M302" s="13" t="str">
        <f ca="1">IFERROR(__xludf.DUMMYFUNCTION("""COMPUTED_VALUE"""),"H2_B11_VD_3.mp3")</f>
        <v>H2_B11_VD_3.mp3</v>
      </c>
    </row>
    <row r="303" spans="1:13">
      <c r="A303" s="13">
        <f ca="1">IFERROR(__xludf.DUMMYFUNCTION("""COMPUTED_VALUE"""),4)</f>
        <v>4</v>
      </c>
      <c r="B303" s="13"/>
      <c r="C303" s="13" t="str">
        <f ca="1">IFERROR(__xludf.DUMMYFUNCTION("""COMPUTED_VALUE"""),"孩子")</f>
        <v>孩子</v>
      </c>
      <c r="D303" s="13" t="str">
        <f ca="1">IFERROR(__xludf.DUMMYFUNCTION("""COMPUTED_VALUE"""),"&lt;ruby&gt;孩子&lt;rt&gt;háizi&lt;/rt&gt;&lt;/ruby&gt;")</f>
        <v>&lt;ruby&gt;孩子&lt;rt&gt;háizi&lt;/rt&gt;&lt;/ruby&gt;</v>
      </c>
      <c r="E303" s="13" t="str">
        <f ca="1">IFERROR(__xludf.DUMMYFUNCTION("""COMPUTED_VALUE"""),"háizi")</f>
        <v>háizi</v>
      </c>
      <c r="F303" s="13" t="str">
        <f ca="1">IFERROR(__xludf.DUMMYFUNCTION("""COMPUTED_VALUE"""),"Danh từ")</f>
        <v>Danh từ</v>
      </c>
      <c r="G303" s="13" t="str">
        <f ca="1">IFERROR(__xludf.DUMMYFUNCTION("""COMPUTED_VALUE"""),"trẻ con, trẻ em")</f>
        <v>trẻ con, trẻ em</v>
      </c>
      <c r="H303" s="13" t="str">
        <f ca="1">IFERROR(__xludf.DUMMYFUNCTION("""COMPUTED_VALUE"""),"孩子们正在看电视。")</f>
        <v>孩子们正在看电视。</v>
      </c>
      <c r="I303" s="13" t="str">
        <f ca="1">IFERROR(__xludf.DUMMYFUNCTION("""COMPUTED_VALUE"""),"Háizimen zhèngzài kàn diànshì.")</f>
        <v>Háizimen zhèngzài kàn diànshì.</v>
      </c>
      <c r="J303" s="13" t="str">
        <f ca="1">IFERROR(__xludf.DUMMYFUNCTION("""COMPUTED_VALUE"""),"Bọn trẻ đang xem ti vi.")</f>
        <v>Bọn trẻ đang xem ti vi.</v>
      </c>
      <c r="K303" s="13" t="str">
        <f ca="1">IFERROR(__xludf.DUMMYFUNCTION("""COMPUTED_VALUE"""),"H2_B11_BG-04.gif")</f>
        <v>H2_B11_BG-04.gif</v>
      </c>
      <c r="L303" s="13" t="str">
        <f ca="1">IFERROR(__xludf.DUMMYFUNCTION("""COMPUTED_VALUE"""),"H2_B11_4.mp3")</f>
        <v>H2_B11_4.mp3</v>
      </c>
      <c r="M303" s="13" t="str">
        <f ca="1">IFERROR(__xludf.DUMMYFUNCTION("""COMPUTED_VALUE"""),"H2_B11_VD_4.mp3")</f>
        <v>H2_B11_VD_4.mp3</v>
      </c>
    </row>
    <row r="304" spans="1:13">
      <c r="A304" s="13">
        <f ca="1">IFERROR(__xludf.DUMMYFUNCTION("""COMPUTED_VALUE"""),5)</f>
        <v>5</v>
      </c>
      <c r="B304" s="13"/>
      <c r="C304" s="13" t="str">
        <f ca="1">IFERROR(__xludf.DUMMYFUNCTION("""COMPUTED_VALUE"""),"右边")</f>
        <v>右边</v>
      </c>
      <c r="D304" s="13" t="str">
        <f ca="1">IFERROR(__xludf.DUMMYFUNCTION("""COMPUTED_VALUE"""),"&lt;ruby&gt;右边&lt;rt&gt;yòubian&lt;/rt&gt;&lt;/ruby&gt;")</f>
        <v>&lt;ruby&gt;右边&lt;rt&gt;yòubian&lt;/rt&gt;&lt;/ruby&gt;</v>
      </c>
      <c r="E304" s="13" t="str">
        <f ca="1">IFERROR(__xludf.DUMMYFUNCTION("""COMPUTED_VALUE"""),"yòubian")</f>
        <v>yòubian</v>
      </c>
      <c r="F304" s="13" t="str">
        <f ca="1">IFERROR(__xludf.DUMMYFUNCTION("""COMPUTED_VALUE"""),"Danh từ")</f>
        <v>Danh từ</v>
      </c>
      <c r="G304" s="13" t="str">
        <f ca="1">IFERROR(__xludf.DUMMYFUNCTION("""COMPUTED_VALUE"""),"bên phải")</f>
        <v>bên phải</v>
      </c>
      <c r="H304" s="13" t="str">
        <f ca="1">IFERROR(__xludf.DUMMYFUNCTION("""COMPUTED_VALUE"""),"右边有声音。")</f>
        <v>右边有声音。</v>
      </c>
      <c r="I304" s="13" t="str">
        <f ca="1">IFERROR(__xludf.DUMMYFUNCTION("""COMPUTED_VALUE"""),"Yòubiān yǒu shēngyīn.")</f>
        <v>Yòubiān yǒu shēngyīn.</v>
      </c>
      <c r="J304" s="13" t="str">
        <f ca="1">IFERROR(__xludf.DUMMYFUNCTION("""COMPUTED_VALUE"""),"Bên phải có tiếng động")</f>
        <v>Bên phải có tiếng động</v>
      </c>
      <c r="K304" s="13" t="str">
        <f ca="1">IFERROR(__xludf.DUMMYFUNCTION("""COMPUTED_VALUE"""),"H2_B11_BG-05.gif")</f>
        <v>H2_B11_BG-05.gif</v>
      </c>
      <c r="L304" s="13" t="str">
        <f ca="1">IFERROR(__xludf.DUMMYFUNCTION("""COMPUTED_VALUE"""),"H2_B11_5.mp3")</f>
        <v>H2_B11_5.mp3</v>
      </c>
      <c r="M304" s="13" t="str">
        <f ca="1">IFERROR(__xludf.DUMMYFUNCTION("""COMPUTED_VALUE"""),"H2_B11_VD_5.mp3")</f>
        <v>H2_B11_VD_5.mp3</v>
      </c>
    </row>
    <row r="305" spans="1:13">
      <c r="A305" s="13">
        <f ca="1">IFERROR(__xludf.DUMMYFUNCTION("""COMPUTED_VALUE"""),6)</f>
        <v>6</v>
      </c>
      <c r="B305" s="13"/>
      <c r="C305" s="13" t="str">
        <f ca="1">IFERROR(__xludf.DUMMYFUNCTION("""COMPUTED_VALUE"""),"比")</f>
        <v>比</v>
      </c>
      <c r="D305" s="13" t="str">
        <f ca="1">IFERROR(__xludf.DUMMYFUNCTION("""COMPUTED_VALUE"""),"&lt;ruby&gt;比&lt;rt&gt;bǐ&lt;/rt&gt;&lt;/ruby&gt;")</f>
        <v>&lt;ruby&gt;比&lt;rt&gt;bǐ&lt;/rt&gt;&lt;/ruby&gt;</v>
      </c>
      <c r="E305" s="13" t="str">
        <f ca="1">IFERROR(__xludf.DUMMYFUNCTION("""COMPUTED_VALUE"""),"bǐ")</f>
        <v>bǐ</v>
      </c>
      <c r="F305" s="13" t="str">
        <f ca="1">IFERROR(__xludf.DUMMYFUNCTION("""COMPUTED_VALUE"""),"Giới từ")</f>
        <v>Giới từ</v>
      </c>
      <c r="G305" s="13" t="str">
        <f ca="1">IFERROR(__xludf.DUMMYFUNCTION("""COMPUTED_VALUE"""),"hơn (dùng trong cấu trúc so sánh)")</f>
        <v>hơn (dùng trong cấu trúc so sánh)</v>
      </c>
      <c r="H305" s="13" t="str">
        <f ca="1">IFERROR(__xludf.DUMMYFUNCTION("""COMPUTED_VALUE"""),"她比我画得好。")</f>
        <v>她比我画得好。</v>
      </c>
      <c r="I305" s="13" t="str">
        <f ca="1">IFERROR(__xludf.DUMMYFUNCTION("""COMPUTED_VALUE"""),"Tā bǐ wǒ huà de hǎo.")</f>
        <v>Tā bǐ wǒ huà de hǎo.</v>
      </c>
      <c r="J305" s="13" t="str">
        <f ca="1">IFERROR(__xludf.DUMMYFUNCTION("""COMPUTED_VALUE"""),"Cô ấy vẽ đẹp hơn tôi.")</f>
        <v>Cô ấy vẽ đẹp hơn tôi.</v>
      </c>
      <c r="K305" s="13" t="str">
        <f ca="1">IFERROR(__xludf.DUMMYFUNCTION("""COMPUTED_VALUE"""),"H2_B11_BG-06.gif")</f>
        <v>H2_B11_BG-06.gif</v>
      </c>
      <c r="L305" s="13" t="str">
        <f ca="1">IFERROR(__xludf.DUMMYFUNCTION("""COMPUTED_VALUE"""),"H2_B11_6.mp3")</f>
        <v>H2_B11_6.mp3</v>
      </c>
      <c r="M305" s="13" t="str">
        <f ca="1">IFERROR(__xludf.DUMMYFUNCTION("""COMPUTED_VALUE"""),"H2_B11_VD_6.mp3")</f>
        <v>H2_B11_VD_6.mp3</v>
      </c>
    </row>
    <row r="306" spans="1:13">
      <c r="A306" s="13">
        <f ca="1">IFERROR(__xludf.DUMMYFUNCTION("""COMPUTED_VALUE"""),7)</f>
        <v>7</v>
      </c>
      <c r="B306" s="13"/>
      <c r="C306" s="13" t="str">
        <f ca="1">IFERROR(__xludf.DUMMYFUNCTION("""COMPUTED_VALUE"""),"便宜")</f>
        <v>便宜</v>
      </c>
      <c r="D306" s="13" t="str">
        <f ca="1">IFERROR(__xludf.DUMMYFUNCTION("""COMPUTED_VALUE"""),"&lt;ruby&gt;便宜&lt;rt&gt;piányi&lt;/rt&gt;&lt;/ruby&gt;")</f>
        <v>&lt;ruby&gt;便宜&lt;rt&gt;piányi&lt;/rt&gt;&lt;/ruby&gt;</v>
      </c>
      <c r="E306" s="13" t="str">
        <f ca="1">IFERROR(__xludf.DUMMYFUNCTION("""COMPUTED_VALUE"""),"piányi")</f>
        <v>piányi</v>
      </c>
      <c r="F306" s="13" t="str">
        <f ca="1">IFERROR(__xludf.DUMMYFUNCTION("""COMPUTED_VALUE"""),"Tính từ")</f>
        <v>Tính từ</v>
      </c>
      <c r="G306" s="13" t="str">
        <f ca="1">IFERROR(__xludf.DUMMYFUNCTION("""COMPUTED_VALUE"""),"rẻ")</f>
        <v>rẻ</v>
      </c>
      <c r="H306" s="13" t="str">
        <f ca="1">IFERROR(__xludf.DUMMYFUNCTION("""COMPUTED_VALUE"""),"这件衣服很便宜。")</f>
        <v>这件衣服很便宜。</v>
      </c>
      <c r="I306" s="13" t="str">
        <f ca="1">IFERROR(__xludf.DUMMYFUNCTION("""COMPUTED_VALUE"""),"Zhè jiàn yīfu hěn piányi.")</f>
        <v>Zhè jiàn yīfu hěn piányi.</v>
      </c>
      <c r="J306" s="13" t="str">
        <f ca="1">IFERROR(__xludf.DUMMYFUNCTION("""COMPUTED_VALUE"""),"Bộ quần áo này rất rẻ.")</f>
        <v>Bộ quần áo này rất rẻ.</v>
      </c>
      <c r="K306" s="13" t="str">
        <f ca="1">IFERROR(__xludf.DUMMYFUNCTION("""COMPUTED_VALUE"""),"H2_B11_BG-07.gif")</f>
        <v>H2_B11_BG-07.gif</v>
      </c>
      <c r="L306" s="13" t="str">
        <f ca="1">IFERROR(__xludf.DUMMYFUNCTION("""COMPUTED_VALUE"""),"H2_B11_7.mp3")</f>
        <v>H2_B11_7.mp3</v>
      </c>
      <c r="M306" s="13" t="str">
        <f ca="1">IFERROR(__xludf.DUMMYFUNCTION("""COMPUTED_VALUE"""),"H2_B11_VD_7.mp3")</f>
        <v>H2_B11_VD_7.mp3</v>
      </c>
    </row>
    <row r="307" spans="1:13">
      <c r="A307" s="13">
        <f ca="1">IFERROR(__xludf.DUMMYFUNCTION("""COMPUTED_VALUE"""),8)</f>
        <v>8</v>
      </c>
      <c r="B307" s="13"/>
      <c r="C307" s="13" t="str">
        <f ca="1">IFERROR(__xludf.DUMMYFUNCTION("""COMPUTED_VALUE"""),"说话")</f>
        <v>说话</v>
      </c>
      <c r="D307" s="13" t="str">
        <f ca="1">IFERROR(__xludf.DUMMYFUNCTION("""COMPUTED_VALUE"""),"&lt;ruby&gt;说话&lt;rt&gt;shuō huà&lt;/rt&gt;&lt;/ruby&gt;")</f>
        <v>&lt;ruby&gt;说话&lt;rt&gt;shuō huà&lt;/rt&gt;&lt;/ruby&gt;</v>
      </c>
      <c r="E307" s="13" t="str">
        <f ca="1">IFERROR(__xludf.DUMMYFUNCTION("""COMPUTED_VALUE"""),"shuō huà")</f>
        <v>shuō huà</v>
      </c>
      <c r="F307" s="13" t="str">
        <f ca="1">IFERROR(__xludf.DUMMYFUNCTION("""COMPUTED_VALUE"""),"Động từ")</f>
        <v>Động từ</v>
      </c>
      <c r="G307" s="13" t="str">
        <f ca="1">IFERROR(__xludf.DUMMYFUNCTION("""COMPUTED_VALUE"""),"nói chuyện")</f>
        <v>nói chuyện</v>
      </c>
      <c r="H307" s="13" t="str">
        <f ca="1">IFERROR(__xludf.DUMMYFUNCTION("""COMPUTED_VALUE"""),"他们说话说得很开心。")</f>
        <v>他们说话说得很开心。</v>
      </c>
      <c r="I307" s="13" t="str">
        <f ca="1">IFERROR(__xludf.DUMMYFUNCTION("""COMPUTED_VALUE"""),"Tāmen shuōhuà shuō de hěn kāixīn.")</f>
        <v>Tāmen shuōhuà shuō de hěn kāixīn.</v>
      </c>
      <c r="J307" s="13" t="str">
        <f ca="1">IFERROR(__xludf.DUMMYFUNCTION("""COMPUTED_VALUE"""),"Bọn họ nói chuyện rất vui vẻ.")</f>
        <v>Bọn họ nói chuyện rất vui vẻ.</v>
      </c>
      <c r="K307" s="13" t="str">
        <f ca="1">IFERROR(__xludf.DUMMYFUNCTION("""COMPUTED_VALUE"""),"H2_B11_BG-08.gif")</f>
        <v>H2_B11_BG-08.gif</v>
      </c>
      <c r="L307" s="13" t="str">
        <f ca="1">IFERROR(__xludf.DUMMYFUNCTION("""COMPUTED_VALUE"""),"H2_B11_8.mp3")</f>
        <v>H2_B11_8.mp3</v>
      </c>
      <c r="M307" s="13" t="str">
        <f ca="1">IFERROR(__xludf.DUMMYFUNCTION("""COMPUTED_VALUE"""),"H2_B11_VD_8.mp3")</f>
        <v>H2_B11_VD_8.mp3</v>
      </c>
    </row>
    <row r="308" spans="1:13">
      <c r="A308" s="13">
        <f ca="1">IFERROR(__xludf.DUMMYFUNCTION("""COMPUTED_VALUE"""),9)</f>
        <v>9</v>
      </c>
      <c r="B308" s="13"/>
      <c r="C308" s="13" t="str">
        <f ca="1">IFERROR(__xludf.DUMMYFUNCTION("""COMPUTED_VALUE"""),"可能")</f>
        <v>可能</v>
      </c>
      <c r="D308" s="13" t="str">
        <f ca="1">IFERROR(__xludf.DUMMYFUNCTION("""COMPUTED_VALUE"""),"&lt;ruby&gt;可能&lt;rt&gt;kěnéng&lt;/rt&gt;&lt;/ruby&gt;")</f>
        <v>&lt;ruby&gt;可能&lt;rt&gt;kěnéng&lt;/rt&gt;&lt;/ruby&gt;</v>
      </c>
      <c r="E308" s="13" t="str">
        <f ca="1">IFERROR(__xludf.DUMMYFUNCTION("""COMPUTED_VALUE"""),"kěnéng")</f>
        <v>kěnéng</v>
      </c>
      <c r="F308" s="13" t="str">
        <f ca="1">IFERROR(__xludf.DUMMYFUNCTION("""COMPUTED_VALUE"""),"Trợ động từ")</f>
        <v>Trợ động từ</v>
      </c>
      <c r="G308" s="13" t="str">
        <f ca="1">IFERROR(__xludf.DUMMYFUNCTION("""COMPUTED_VALUE"""),"có thể, có lẽ")</f>
        <v>có thể, có lẽ</v>
      </c>
      <c r="H308" s="13" t="str">
        <f ca="1">IFERROR(__xludf.DUMMYFUNCTION("""COMPUTED_VALUE"""),"他可能受伤了，需要帮助。")</f>
        <v>他可能受伤了，需要帮助。</v>
      </c>
      <c r="I308" s="13" t="str">
        <f ca="1">IFERROR(__xludf.DUMMYFUNCTION("""COMPUTED_VALUE"""),"Tā kěnéng shòushāng le, xūyào bāngzhù.")</f>
        <v>Tā kěnéng shòushāng le, xūyào bāngzhù.</v>
      </c>
      <c r="J308" s="13" t="str">
        <f ca="1">IFERROR(__xludf.DUMMYFUNCTION("""COMPUTED_VALUE"""),"Anh ấy có lẽ đã bị thương, cần giúp đỡ.")</f>
        <v>Anh ấy có lẽ đã bị thương, cần giúp đỡ.</v>
      </c>
      <c r="K308" s="13" t="str">
        <f ca="1">IFERROR(__xludf.DUMMYFUNCTION("""COMPUTED_VALUE"""),"H2_B11_BG-09.gif")</f>
        <v>H2_B11_BG-09.gif</v>
      </c>
      <c r="L308" s="13" t="str">
        <f ca="1">IFERROR(__xludf.DUMMYFUNCTION("""COMPUTED_VALUE"""),"H2_B11_9.mp3")</f>
        <v>H2_B11_9.mp3</v>
      </c>
      <c r="M308" s="13" t="str">
        <f ca="1">IFERROR(__xludf.DUMMYFUNCTION("""COMPUTED_VALUE"""),"H2_B11_VD_9.mp3")</f>
        <v>H2_B11_VD_9.mp3</v>
      </c>
    </row>
    <row r="309" spans="1:13">
      <c r="A309" s="13">
        <f ca="1">IFERROR(__xludf.DUMMYFUNCTION("""COMPUTED_VALUE"""),10)</f>
        <v>10</v>
      </c>
      <c r="B309" s="13"/>
      <c r="C309" s="13" t="str">
        <f ca="1">IFERROR(__xludf.DUMMYFUNCTION("""COMPUTED_VALUE"""),"去年")</f>
        <v>去年</v>
      </c>
      <c r="D309" s="13" t="str">
        <f ca="1">IFERROR(__xludf.DUMMYFUNCTION("""COMPUTED_VALUE"""),"&lt;ruby&gt;去年&lt;rt&gt;qùnián&lt;/rt&gt;&lt;/ruby&gt;")</f>
        <v>&lt;ruby&gt;去年&lt;rt&gt;qùnián&lt;/rt&gt;&lt;/ruby&gt;</v>
      </c>
      <c r="E309" s="13" t="str">
        <f ca="1">IFERROR(__xludf.DUMMYFUNCTION("""COMPUTED_VALUE"""),"qùnián")</f>
        <v>qùnián</v>
      </c>
      <c r="F309" s="13" t="str">
        <f ca="1">IFERROR(__xludf.DUMMYFUNCTION("""COMPUTED_VALUE"""),"Danh từ")</f>
        <v>Danh từ</v>
      </c>
      <c r="G309" s="13" t="str">
        <f ca="1">IFERROR(__xludf.DUMMYFUNCTION("""COMPUTED_VALUE"""),"năm ngoái")</f>
        <v>năm ngoái</v>
      </c>
      <c r="H309" s="13" t="str">
        <f ca="1">IFERROR(__xludf.DUMMYFUNCTION("""COMPUTED_VALUE"""),"去年我家去旅游了。")</f>
        <v>去年我家去旅游了。</v>
      </c>
      <c r="I309" s="13" t="str">
        <f ca="1">IFERROR(__xludf.DUMMYFUNCTION("""COMPUTED_VALUE"""),"Qùnián wǒ jiā qù lǚyóu le.")</f>
        <v>Qùnián wǒ jiā qù lǚyóu le.</v>
      </c>
      <c r="J309" s="13" t="str">
        <f ca="1">IFERROR(__xludf.DUMMYFUNCTION("""COMPUTED_VALUE"""),"Năm ngoái gia đình tôi vừa đi du lịch")</f>
        <v>Năm ngoái gia đình tôi vừa đi du lịch</v>
      </c>
      <c r="K309" s="13" t="str">
        <f ca="1">IFERROR(__xludf.DUMMYFUNCTION("""COMPUTED_VALUE"""),"H2_B11_BG-10.gif")</f>
        <v>H2_B11_BG-10.gif</v>
      </c>
      <c r="L309" s="13" t="str">
        <f ca="1">IFERROR(__xludf.DUMMYFUNCTION("""COMPUTED_VALUE"""),"H2_B11_10.mp3")</f>
        <v>H2_B11_10.mp3</v>
      </c>
      <c r="M309" s="13" t="str">
        <f ca="1">IFERROR(__xludf.DUMMYFUNCTION("""COMPUTED_VALUE"""),"H2_B11_VD_10.mp3")</f>
        <v>H2_B11_VD_10.mp3</v>
      </c>
    </row>
    <row r="310" spans="1:13">
      <c r="A310" s="13">
        <f ca="1">IFERROR(__xludf.DUMMYFUNCTION("""COMPUTED_VALUE"""),11)</f>
        <v>11</v>
      </c>
      <c r="B310" s="13"/>
      <c r="C310" s="13" t="str">
        <f ca="1">IFERROR(__xludf.DUMMYFUNCTION("""COMPUTED_VALUE"""),"姓")</f>
        <v>姓</v>
      </c>
      <c r="D310" s="13" t="str">
        <f ca="1">IFERROR(__xludf.DUMMYFUNCTION("""COMPUTED_VALUE"""),"&lt;ruby&gt;姓&lt;rt&gt;xìng&lt;/rt&gt;&lt;/ruby&gt;")</f>
        <v>&lt;ruby&gt;姓&lt;rt&gt;xìng&lt;/rt&gt;&lt;/ruby&gt;</v>
      </c>
      <c r="E310" s="13" t="str">
        <f ca="1">IFERROR(__xludf.DUMMYFUNCTION("""COMPUTED_VALUE"""),"xìng")</f>
        <v>xìng</v>
      </c>
      <c r="F310" s="13" t="str">
        <f ca="1">IFERROR(__xludf.DUMMYFUNCTION("""COMPUTED_VALUE"""),"Động từ")</f>
        <v>Động từ</v>
      </c>
      <c r="G310" s="13" t="str">
        <f ca="1">IFERROR(__xludf.DUMMYFUNCTION("""COMPUTED_VALUE"""),"mang họ")</f>
        <v>mang họ</v>
      </c>
      <c r="H310" s="13" t="str">
        <f ca="1">IFERROR(__xludf.DUMMYFUNCTION("""COMPUTED_VALUE"""),"我姓王。")</f>
        <v>我姓王。</v>
      </c>
      <c r="I310" s="13" t="str">
        <f ca="1">IFERROR(__xludf.DUMMYFUNCTION("""COMPUTED_VALUE"""),"Wǒ xìng Wáng.")</f>
        <v>Wǒ xìng Wáng.</v>
      </c>
      <c r="J310" s="13" t="str">
        <f ca="1">IFERROR(__xludf.DUMMYFUNCTION("""COMPUTED_VALUE"""),"Tôi họ Vương.")</f>
        <v>Tôi họ Vương.</v>
      </c>
      <c r="K310" s="13" t="str">
        <f ca="1">IFERROR(__xludf.DUMMYFUNCTION("""COMPUTED_VALUE"""),"H2_B11_BG-11.gif")</f>
        <v>H2_B11_BG-11.gif</v>
      </c>
      <c r="L310" s="13" t="str">
        <f ca="1">IFERROR(__xludf.DUMMYFUNCTION("""COMPUTED_VALUE"""),"H2_B11_11.mp3")</f>
        <v>H2_B11_11.mp3</v>
      </c>
      <c r="M310" s="13" t="str">
        <f ca="1">IFERROR(__xludf.DUMMYFUNCTION("""COMPUTED_VALUE"""),"H2_B11_VD_11.mp3")</f>
        <v>H2_B11_VD_11.mp3</v>
      </c>
    </row>
    <row r="311" spans="1:13">
      <c r="A311" s="13">
        <f ca="1">IFERROR(__xludf.DUMMYFUNCTION("""COMPUTED_VALUE"""),1)</f>
        <v>1</v>
      </c>
      <c r="B311" s="13"/>
      <c r="C311" s="13" t="str">
        <f ca="1">IFERROR(__xludf.DUMMYFUNCTION("""COMPUTED_VALUE"""),"得")</f>
        <v>得</v>
      </c>
      <c r="D311" s="13" t="str">
        <f ca="1">IFERROR(__xludf.DUMMYFUNCTION("""COMPUTED_VALUE"""),"&lt;ruby&gt;得&lt;rt&gt;de&lt;/rt&gt;&lt;/ruby&gt;")</f>
        <v>&lt;ruby&gt;得&lt;rt&gt;de&lt;/rt&gt;&lt;/ruby&gt;</v>
      </c>
      <c r="E311" s="13" t="str">
        <f ca="1">IFERROR(__xludf.DUMMYFUNCTION("""COMPUTED_VALUE"""),"de")</f>
        <v>de</v>
      </c>
      <c r="F311" s="13" t="str">
        <f ca="1">IFERROR(__xludf.DUMMYFUNCTION("""COMPUTED_VALUE"""),"Trợ từ")</f>
        <v>Trợ từ</v>
      </c>
      <c r="G311" s="13" t="str">
        <f ca="1">IFERROR(__xludf.DUMMYFUNCTION("""COMPUTED_VALUE"""),"được dùng sau động từ hay tính từ, theo sau 得 là bổ ngữ chỉ kết quả hay mức độ")</f>
        <v>được dùng sau động từ hay tính từ, theo sau 得 là bổ ngữ chỉ kết quả hay mức độ</v>
      </c>
      <c r="H311" s="13" t="str">
        <f ca="1">IFERROR(__xludf.DUMMYFUNCTION("""COMPUTED_VALUE"""),"她能抬得起这个箱子。")</f>
        <v>她能抬得起这个箱子。</v>
      </c>
      <c r="I311" s="13" t="str">
        <f ca="1">IFERROR(__xludf.DUMMYFUNCTION("""COMPUTED_VALUE"""),"Tā néng tái de qǐ zhège xiāngzi.")</f>
        <v>Tā néng tái de qǐ zhège xiāngzi.</v>
      </c>
      <c r="J311" s="13" t="str">
        <f ca="1">IFERROR(__xludf.DUMMYFUNCTION("""COMPUTED_VALUE"""),"Cô ấy có thể nâng được chiếc hộp này.")</f>
        <v>Cô ấy có thể nâng được chiếc hộp này.</v>
      </c>
      <c r="K311" s="13" t="str">
        <f ca="1">IFERROR(__xludf.DUMMYFUNCTION("""COMPUTED_VALUE"""),"H2_B12_BG-01.gif")</f>
        <v>H2_B12_BG-01.gif</v>
      </c>
      <c r="L311" s="13" t="str">
        <f ca="1">IFERROR(__xludf.DUMMYFUNCTION("""COMPUTED_VALUE"""),"H2_B12_1.mp3")</f>
        <v>H2_B12_1.mp3</v>
      </c>
      <c r="M311" s="13" t="str">
        <f ca="1">IFERROR(__xludf.DUMMYFUNCTION("""COMPUTED_VALUE"""),"H2_B12_VD_1.mp3")</f>
        <v>H2_B12_VD_1.mp3</v>
      </c>
    </row>
    <row r="312" spans="1:13">
      <c r="A312" s="13">
        <f ca="1">IFERROR(__xludf.DUMMYFUNCTION("""COMPUTED_VALUE"""),2)</f>
        <v>2</v>
      </c>
      <c r="B312" s="13"/>
      <c r="C312" s="13" t="str">
        <f ca="1">IFERROR(__xludf.DUMMYFUNCTION("""COMPUTED_VALUE"""),"妻子")</f>
        <v>妻子</v>
      </c>
      <c r="D312" s="13" t="str">
        <f ca="1">IFERROR(__xludf.DUMMYFUNCTION("""COMPUTED_VALUE"""),"&lt;ruby&gt;妻子&lt;rt&gt;qīzi&lt;/rt&gt;&lt;/ruby&gt;")</f>
        <v>&lt;ruby&gt;妻子&lt;rt&gt;qīzi&lt;/rt&gt;&lt;/ruby&gt;</v>
      </c>
      <c r="E312" s="13" t="str">
        <f ca="1">IFERROR(__xludf.DUMMYFUNCTION("""COMPUTED_VALUE"""),"qīzi")</f>
        <v>qīzi</v>
      </c>
      <c r="F312" s="13" t="str">
        <f ca="1">IFERROR(__xludf.DUMMYFUNCTION("""COMPUTED_VALUE"""),"Danh từ")</f>
        <v>Danh từ</v>
      </c>
      <c r="G312" s="13" t="str">
        <f ca="1">IFERROR(__xludf.DUMMYFUNCTION("""COMPUTED_VALUE"""),"vợ")</f>
        <v>vợ</v>
      </c>
      <c r="H312" s="13" t="str">
        <f ca="1">IFERROR(__xludf.DUMMYFUNCTION("""COMPUTED_VALUE"""),"我妻子很喜欢做饭。")</f>
        <v>我妻子很喜欢做饭。</v>
      </c>
      <c r="I312" s="13" t="str">
        <f ca="1">IFERROR(__xludf.DUMMYFUNCTION("""COMPUTED_VALUE"""),"Wǒ qīzi hěn xǐhuan zuò fàn.")</f>
        <v>Wǒ qīzi hěn xǐhuan zuò fàn.</v>
      </c>
      <c r="J312" s="13" t="str">
        <f ca="1">IFERROR(__xludf.DUMMYFUNCTION("""COMPUTED_VALUE"""),"Vợ tôi rất thích nấu ăn.")</f>
        <v>Vợ tôi rất thích nấu ăn.</v>
      </c>
      <c r="K312" s="13" t="str">
        <f ca="1">IFERROR(__xludf.DUMMYFUNCTION("""COMPUTED_VALUE"""),"H2_B12_BG-02.gif")</f>
        <v>H2_B12_BG-02.gif</v>
      </c>
      <c r="L312" s="13" t="str">
        <f ca="1">IFERROR(__xludf.DUMMYFUNCTION("""COMPUTED_VALUE"""),"H2_B12_2.mp3")</f>
        <v>H2_B12_2.mp3</v>
      </c>
      <c r="M312" s="13" t="str">
        <f ca="1">IFERROR(__xludf.DUMMYFUNCTION("""COMPUTED_VALUE"""),"H2_B12_VD_2.mp3")</f>
        <v>H2_B12_VD_2.mp3</v>
      </c>
    </row>
    <row r="313" spans="1:13">
      <c r="A313" s="13">
        <f ca="1">IFERROR(__xludf.DUMMYFUNCTION("""COMPUTED_VALUE"""),3)</f>
        <v>3</v>
      </c>
      <c r="B313" s="13"/>
      <c r="C313" s="13" t="str">
        <f ca="1">IFERROR(__xludf.DUMMYFUNCTION("""COMPUTED_VALUE"""),"雪")</f>
        <v>雪</v>
      </c>
      <c r="D313" s="13" t="str">
        <f ca="1">IFERROR(__xludf.DUMMYFUNCTION("""COMPUTED_VALUE"""),"&lt;ruby&gt;雪&lt;rt&gt;xuě&lt;/rt&gt;&lt;/ruby&gt;")</f>
        <v>&lt;ruby&gt;雪&lt;rt&gt;xuě&lt;/rt&gt;&lt;/ruby&gt;</v>
      </c>
      <c r="E313" s="13" t="str">
        <f ca="1">IFERROR(__xludf.DUMMYFUNCTION("""COMPUTED_VALUE"""),"xuě")</f>
        <v>xuě</v>
      </c>
      <c r="F313" s="13" t="str">
        <f ca="1">IFERROR(__xludf.DUMMYFUNCTION("""COMPUTED_VALUE"""),"Danh từ")</f>
        <v>Danh từ</v>
      </c>
      <c r="G313" s="13" t="str">
        <f ca="1">IFERROR(__xludf.DUMMYFUNCTION("""COMPUTED_VALUE"""),"tuyết")</f>
        <v>tuyết</v>
      </c>
      <c r="H313" s="13" t="str">
        <f ca="1">IFERROR(__xludf.DUMMYFUNCTION("""COMPUTED_VALUE"""),"墙上有一层厚厚的雪。")</f>
        <v>墙上有一层厚厚的雪。</v>
      </c>
      <c r="I313" s="13" t="str">
        <f ca="1">IFERROR(__xludf.DUMMYFUNCTION("""COMPUTED_VALUE"""),"Qiáng shàng yǒu yī céng hòu hòu de xuě.")</f>
        <v>Qiáng shàng yǒu yī céng hòu hòu de xuě.</v>
      </c>
      <c r="J313" s="13" t="str">
        <f ca="1">IFERROR(__xludf.DUMMYFUNCTION("""COMPUTED_VALUE"""),"Trên tường có một lớp tuyết dày.")</f>
        <v>Trên tường có một lớp tuyết dày.</v>
      </c>
      <c r="K313" s="13" t="str">
        <f ca="1">IFERROR(__xludf.DUMMYFUNCTION("""COMPUTED_VALUE"""),"H2_B12_BG-03.gif")</f>
        <v>H2_B12_BG-03.gif</v>
      </c>
      <c r="L313" s="13" t="str">
        <f ca="1">IFERROR(__xludf.DUMMYFUNCTION("""COMPUTED_VALUE"""),"H2_B12_3.mp3")</f>
        <v>H2_B12_3.mp3</v>
      </c>
      <c r="M313" s="13" t="str">
        <f ca="1">IFERROR(__xludf.DUMMYFUNCTION("""COMPUTED_VALUE"""),"H2_B12_VD_3.mp3")</f>
        <v>H2_B12_VD_3.mp3</v>
      </c>
    </row>
    <row r="314" spans="1:13">
      <c r="A314" s="13">
        <f ca="1">IFERROR(__xludf.DUMMYFUNCTION("""COMPUTED_VALUE"""),4)</f>
        <v>4</v>
      </c>
      <c r="B314" s="13"/>
      <c r="C314" s="13" t="str">
        <f ca="1">IFERROR(__xludf.DUMMYFUNCTION("""COMPUTED_VALUE"""),"零")</f>
        <v>零</v>
      </c>
      <c r="D314" s="13" t="str">
        <f ca="1">IFERROR(__xludf.DUMMYFUNCTION("""COMPUTED_VALUE"""),"&lt;ruby&gt;零&lt;rt&gt;líng&lt;/rt&gt;&lt;/ruby&gt;")</f>
        <v>&lt;ruby&gt;零&lt;rt&gt;líng&lt;/rt&gt;&lt;/ruby&gt;</v>
      </c>
      <c r="E314" s="13" t="str">
        <f ca="1">IFERROR(__xludf.DUMMYFUNCTION("""COMPUTED_VALUE"""),"líng")</f>
        <v>líng</v>
      </c>
      <c r="F314" s="13" t="str">
        <f ca="1">IFERROR(__xludf.DUMMYFUNCTION("""COMPUTED_VALUE"""),"Số từ")</f>
        <v>Số từ</v>
      </c>
      <c r="G314" s="13" t="str">
        <f ca="1">IFERROR(__xludf.DUMMYFUNCTION("""COMPUTED_VALUE"""),"số không")</f>
        <v>số không</v>
      </c>
      <c r="H314" s="13" t="str">
        <f ca="1">IFERROR(__xludf.DUMMYFUNCTION("""COMPUTED_VALUE"""),"这次考试我得了零分。")</f>
        <v>这次考试我得了零分。</v>
      </c>
      <c r="I314" s="13" t="str">
        <f ca="1">IFERROR(__xludf.DUMMYFUNCTION("""COMPUTED_VALUE"""),"Zhè cì kǎoshì wǒ dé le líng fēn.")</f>
        <v>Zhè cì kǎoshì wǒ dé le líng fēn.</v>
      </c>
      <c r="J314" s="13" t="str">
        <f ca="1">IFERROR(__xludf.DUMMYFUNCTION("""COMPUTED_VALUE"""),"Bài kiểm tra lần này tôi được không điểm.")</f>
        <v>Bài kiểm tra lần này tôi được không điểm.</v>
      </c>
      <c r="K314" s="13" t="str">
        <f ca="1">IFERROR(__xludf.DUMMYFUNCTION("""COMPUTED_VALUE"""),"H2_B12_BG-04.gif")</f>
        <v>H2_B12_BG-04.gif</v>
      </c>
      <c r="L314" s="13" t="str">
        <f ca="1">IFERROR(__xludf.DUMMYFUNCTION("""COMPUTED_VALUE"""),"H2_B12_4.mp3")</f>
        <v>H2_B12_4.mp3</v>
      </c>
      <c r="M314" s="13" t="str">
        <f ca="1">IFERROR(__xludf.DUMMYFUNCTION("""COMPUTED_VALUE"""),"H2_B12_VD_4.mp3")</f>
        <v>H2_B12_VD_4.mp3</v>
      </c>
    </row>
    <row r="315" spans="1:13">
      <c r="A315" s="13">
        <f ca="1">IFERROR(__xludf.DUMMYFUNCTION("""COMPUTED_VALUE"""),5)</f>
        <v>5</v>
      </c>
      <c r="B315" s="13"/>
      <c r="C315" s="13" t="str">
        <f ca="1">IFERROR(__xludf.DUMMYFUNCTION("""COMPUTED_VALUE"""),"度")</f>
        <v>度</v>
      </c>
      <c r="D315" s="13" t="str">
        <f ca="1">IFERROR(__xludf.DUMMYFUNCTION("""COMPUTED_VALUE"""),"&lt;ruby&gt;度&lt;rt&gt;dù&lt;/rt&gt;&lt;/ruby&gt;")</f>
        <v>&lt;ruby&gt;度&lt;rt&gt;dù&lt;/rt&gt;&lt;/ruby&gt;</v>
      </c>
      <c r="E315" s="13" t="str">
        <f ca="1">IFERROR(__xludf.DUMMYFUNCTION("""COMPUTED_VALUE"""),"dù")</f>
        <v>dù</v>
      </c>
      <c r="F315" s="13" t="str">
        <f ca="1">IFERROR(__xludf.DUMMYFUNCTION("""COMPUTED_VALUE"""),"Danh từ")</f>
        <v>Danh từ</v>
      </c>
      <c r="G315" s="13" t="str">
        <f ca="1">IFERROR(__xludf.DUMMYFUNCTION("""COMPUTED_VALUE"""),"độ (đơn vị đo nhiệt độ)")</f>
        <v>độ (đơn vị đo nhiệt độ)</v>
      </c>
      <c r="H315" s="13" t="str">
        <f ca="1">IFERROR(__xludf.DUMMYFUNCTION("""COMPUTED_VALUE"""),"温度计显示零度。 ")</f>
        <v xml:space="preserve">温度计显示零度。 </v>
      </c>
      <c r="I315" s="13" t="str">
        <f ca="1">IFERROR(__xludf.DUMMYFUNCTION("""COMPUTED_VALUE"""),"Wēndùjì xiǎnshì líng dù.")</f>
        <v>Wēndùjì xiǎnshì líng dù.</v>
      </c>
      <c r="J315" s="13" t="str">
        <f ca="1">IFERROR(__xludf.DUMMYFUNCTION("""COMPUTED_VALUE"""),"Nhiệt kế hiển thị 0 độ.")</f>
        <v>Nhiệt kế hiển thị 0 độ.</v>
      </c>
      <c r="K315" s="13" t="str">
        <f ca="1">IFERROR(__xludf.DUMMYFUNCTION("""COMPUTED_VALUE"""),"H2_B12_BG-05.gif")</f>
        <v>H2_B12_BG-05.gif</v>
      </c>
      <c r="L315" s="13" t="str">
        <f ca="1">IFERROR(__xludf.DUMMYFUNCTION("""COMPUTED_VALUE"""),"H2_B12_5.mp3")</f>
        <v>H2_B12_5.mp3</v>
      </c>
      <c r="M315" s="13" t="str">
        <f ca="1">IFERROR(__xludf.DUMMYFUNCTION("""COMPUTED_VALUE"""),"H2_B12_VD_5.mp3")</f>
        <v>H2_B12_VD_5.mp3</v>
      </c>
    </row>
    <row r="316" spans="1:13">
      <c r="A316" s="13">
        <f ca="1">IFERROR(__xludf.DUMMYFUNCTION("""COMPUTED_VALUE"""),6)</f>
        <v>6</v>
      </c>
      <c r="B316" s="13"/>
      <c r="C316" s="13" t="str">
        <f ca="1">IFERROR(__xludf.DUMMYFUNCTION("""COMPUTED_VALUE"""),"穿")</f>
        <v>穿</v>
      </c>
      <c r="D316" s="13" t="str">
        <f ca="1">IFERROR(__xludf.DUMMYFUNCTION("""COMPUTED_VALUE"""),"&lt;ruby&gt;穿&lt;rt&gt;chuān&lt;/rt&gt;&lt;/ruby&gt;")</f>
        <v>&lt;ruby&gt;穿&lt;rt&gt;chuān&lt;/rt&gt;&lt;/ruby&gt;</v>
      </c>
      <c r="E316" s="13" t="str">
        <f ca="1">IFERROR(__xludf.DUMMYFUNCTION("""COMPUTED_VALUE"""),"chuān")</f>
        <v>chuān</v>
      </c>
      <c r="F316" s="13" t="str">
        <f ca="1">IFERROR(__xludf.DUMMYFUNCTION("""COMPUTED_VALUE"""),"Động từ")</f>
        <v>Động từ</v>
      </c>
      <c r="G316" s="13" t="str">
        <f ca="1">IFERROR(__xludf.DUMMYFUNCTION("""COMPUTED_VALUE"""),"mặc, mang")</f>
        <v>mặc, mang</v>
      </c>
      <c r="H316" s="13" t="str">
        <f ca="1">IFERROR(__xludf.DUMMYFUNCTION("""COMPUTED_VALUE"""),"他正在穿外套。")</f>
        <v>他正在穿外套。</v>
      </c>
      <c r="I316" s="13" t="str">
        <f ca="1">IFERROR(__xludf.DUMMYFUNCTION("""COMPUTED_VALUE"""),"Tā zhèngzài chuān wàitào.")</f>
        <v>Tā zhèngzài chuān wàitào.</v>
      </c>
      <c r="J316" s="13" t="str">
        <f ca="1">IFERROR(__xludf.DUMMYFUNCTION("""COMPUTED_VALUE"""),"Anh ấy đang mặc áo khoác.")</f>
        <v>Anh ấy đang mặc áo khoác.</v>
      </c>
      <c r="K316" s="13" t="str">
        <f ca="1">IFERROR(__xludf.DUMMYFUNCTION("""COMPUTED_VALUE"""),"H2_B12_BG-06.gif")</f>
        <v>H2_B12_BG-06.gif</v>
      </c>
      <c r="L316" s="13" t="str">
        <f ca="1">IFERROR(__xludf.DUMMYFUNCTION("""COMPUTED_VALUE"""),"H2_B12_6.mp3")</f>
        <v>H2_B12_6.mp3</v>
      </c>
      <c r="M316" s="13" t="str">
        <f ca="1">IFERROR(__xludf.DUMMYFUNCTION("""COMPUTED_VALUE"""),"H2_B12_VD_6.mp3")</f>
        <v>H2_B12_VD_6.mp3</v>
      </c>
    </row>
    <row r="317" spans="1:13">
      <c r="A317" s="13">
        <f ca="1">IFERROR(__xludf.DUMMYFUNCTION("""COMPUTED_VALUE"""),7)</f>
        <v>7</v>
      </c>
      <c r="B317" s="13"/>
      <c r="C317" s="13" t="str">
        <f ca="1">IFERROR(__xludf.DUMMYFUNCTION("""COMPUTED_VALUE"""),"进")</f>
        <v>进</v>
      </c>
      <c r="D317" s="13" t="str">
        <f ca="1">IFERROR(__xludf.DUMMYFUNCTION("""COMPUTED_VALUE"""),"&lt;ruby&gt;进&lt;rt&gt;jìn&lt;/rt&gt;&lt;/ruby&gt;")</f>
        <v>&lt;ruby&gt;进&lt;rt&gt;jìn&lt;/rt&gt;&lt;/ruby&gt;</v>
      </c>
      <c r="E317" s="13" t="str">
        <f ca="1">IFERROR(__xludf.DUMMYFUNCTION("""COMPUTED_VALUE"""),"jìn")</f>
        <v>jìn</v>
      </c>
      <c r="F317" s="13" t="str">
        <f ca="1">IFERROR(__xludf.DUMMYFUNCTION("""COMPUTED_VALUE"""),"Động từ")</f>
        <v>Động từ</v>
      </c>
      <c r="G317" s="13" t="str">
        <f ca="1">IFERROR(__xludf.DUMMYFUNCTION("""COMPUTED_VALUE"""),"vào")</f>
        <v>vào</v>
      </c>
      <c r="H317" s="13" t="str">
        <f ca="1">IFERROR(__xludf.DUMMYFUNCTION("""COMPUTED_VALUE"""),"他们已经进会议室了。")</f>
        <v>他们已经进会议室了。</v>
      </c>
      <c r="I317" s="13" t="str">
        <f ca="1">IFERROR(__xludf.DUMMYFUNCTION("""COMPUTED_VALUE"""),"Tāmen yǐjīng jìn huìyìshì le.")</f>
        <v>Tāmen yǐjīng jìn huìyìshì le.</v>
      </c>
      <c r="J317" s="13" t="str">
        <f ca="1">IFERROR(__xludf.DUMMYFUNCTION("""COMPUTED_VALUE"""),"Họ đã vào phòng họp.")</f>
        <v>Họ đã vào phòng họp.</v>
      </c>
      <c r="K317" s="13" t="str">
        <f ca="1">IFERROR(__xludf.DUMMYFUNCTION("""COMPUTED_VALUE"""),"H2_B12_BG-07.gif")</f>
        <v>H2_B12_BG-07.gif</v>
      </c>
      <c r="L317" s="13" t="str">
        <f ca="1">IFERROR(__xludf.DUMMYFUNCTION("""COMPUTED_VALUE"""),"H2_B12_7.mp3")</f>
        <v>H2_B12_7.mp3</v>
      </c>
      <c r="M317" s="13" t="str">
        <f ca="1">IFERROR(__xludf.DUMMYFUNCTION("""COMPUTED_VALUE"""),"H2_B12_VD_7.mp3")</f>
        <v>H2_B12_VD_7.mp3</v>
      </c>
    </row>
    <row r="318" spans="1:13">
      <c r="A318" s="13">
        <f ca="1">IFERROR(__xludf.DUMMYFUNCTION("""COMPUTED_VALUE"""),8)</f>
        <v>8</v>
      </c>
      <c r="B318" s="13"/>
      <c r="C318" s="13" t="str">
        <f ca="1">IFERROR(__xludf.DUMMYFUNCTION("""COMPUTED_VALUE"""),"弟弟")</f>
        <v>弟弟</v>
      </c>
      <c r="D318" s="13" t="str">
        <f ca="1">IFERROR(__xludf.DUMMYFUNCTION("""COMPUTED_VALUE"""),"&lt;ruby&gt;弟弟&lt;rt&gt;dìdi&lt;/rt&gt;&lt;/ruby&gt;")</f>
        <v>&lt;ruby&gt;弟弟&lt;rt&gt;dìdi&lt;/rt&gt;&lt;/ruby&gt;</v>
      </c>
      <c r="E318" s="13" t="str">
        <f ca="1">IFERROR(__xludf.DUMMYFUNCTION("""COMPUTED_VALUE"""),"dìdi")</f>
        <v>dìdi</v>
      </c>
      <c r="F318" s="13" t="str">
        <f ca="1">IFERROR(__xludf.DUMMYFUNCTION("""COMPUTED_VALUE"""),"Danh từ")</f>
        <v>Danh từ</v>
      </c>
      <c r="G318" s="13" t="str">
        <f ca="1">IFERROR(__xludf.DUMMYFUNCTION("""COMPUTED_VALUE"""),"em trai")</f>
        <v>em trai</v>
      </c>
      <c r="H318" s="13" t="str">
        <f ca="1">IFERROR(__xludf.DUMMYFUNCTION("""COMPUTED_VALUE"""),"我和弟弟经常一起打篮球。")</f>
        <v>我和弟弟经常一起打篮球。</v>
      </c>
      <c r="I318" s="13" t="str">
        <f ca="1">IFERROR(__xludf.DUMMYFUNCTION("""COMPUTED_VALUE"""),"Wǒ hé dìdi jīngcháng yīqǐ dǎ lánqiú.")</f>
        <v>Wǒ hé dìdi jīngcháng yīqǐ dǎ lánqiú.</v>
      </c>
      <c r="J318" s="13" t="str">
        <f ca="1">IFERROR(__xludf.DUMMYFUNCTION("""COMPUTED_VALUE"""),"Tôi và em trai thường chơi bóng rổ cùng nhau.")</f>
        <v>Tôi và em trai thường chơi bóng rổ cùng nhau.</v>
      </c>
      <c r="K318" s="13" t="str">
        <f ca="1">IFERROR(__xludf.DUMMYFUNCTION("""COMPUTED_VALUE"""),"H2_B12_BG-08.gif")</f>
        <v>H2_B12_BG-08.gif</v>
      </c>
      <c r="L318" s="13" t="str">
        <f ca="1">IFERROR(__xludf.DUMMYFUNCTION("""COMPUTED_VALUE"""),"H2_B12_8.mp3")</f>
        <v>H2_B12_8.mp3</v>
      </c>
      <c r="M318" s="13" t="str">
        <f ca="1">IFERROR(__xludf.DUMMYFUNCTION("""COMPUTED_VALUE"""),"H2_B12_VD_8.mp3")</f>
        <v>H2_B12_VD_8.mp3</v>
      </c>
    </row>
    <row r="319" spans="1:13">
      <c r="A319" s="13">
        <f ca="1">IFERROR(__xludf.DUMMYFUNCTION("""COMPUTED_VALUE"""),9)</f>
        <v>9</v>
      </c>
      <c r="B319" s="13"/>
      <c r="C319" s="13" t="str">
        <f ca="1">IFERROR(__xludf.DUMMYFUNCTION("""COMPUTED_VALUE"""),"近")</f>
        <v>近</v>
      </c>
      <c r="D319" s="13" t="str">
        <f ca="1">IFERROR(__xludf.DUMMYFUNCTION("""COMPUTED_VALUE"""),"&lt;ruby&gt;近&lt;rt&gt;jìn&lt;/rt&gt;&lt;/ruby&gt;")</f>
        <v>&lt;ruby&gt;近&lt;rt&gt;jìn&lt;/rt&gt;&lt;/ruby&gt;</v>
      </c>
      <c r="E319" s="13" t="str">
        <f ca="1">IFERROR(__xludf.DUMMYFUNCTION("""COMPUTED_VALUE"""),"jìn")</f>
        <v>jìn</v>
      </c>
      <c r="F319" s="13" t="str">
        <f ca="1">IFERROR(__xludf.DUMMYFUNCTION("""COMPUTED_VALUE"""),"Tính từ")</f>
        <v>Tính từ</v>
      </c>
      <c r="G319" s="13" t="str">
        <f ca="1">IFERROR(__xludf.DUMMYFUNCTION("""COMPUTED_VALUE"""),"gần")</f>
        <v>gần</v>
      </c>
      <c r="H319" s="13" t="str">
        <f ca="1">IFERROR(__xludf.DUMMYFUNCTION("""COMPUTED_VALUE"""),"老鼠离蛇很近。")</f>
        <v>老鼠离蛇很近。</v>
      </c>
      <c r="I319" s="13" t="str">
        <f ca="1">IFERROR(__xludf.DUMMYFUNCTION("""COMPUTED_VALUE"""),"Lǎoshǔ lí shé hěn jìn.")</f>
        <v>Lǎoshǔ lí shé hěn jìn.</v>
      </c>
      <c r="J319" s="13" t="str">
        <f ca="1">IFERROR(__xludf.DUMMYFUNCTION("""COMPUTED_VALUE"""),"Con chuột ở rất gần con rắn.")</f>
        <v>Con chuột ở rất gần con rắn.</v>
      </c>
      <c r="K319" s="13" t="str">
        <f ca="1">IFERROR(__xludf.DUMMYFUNCTION("""COMPUTED_VALUE"""),"H2_B12_BG-09.gif")</f>
        <v>H2_B12_BG-09.gif</v>
      </c>
      <c r="L319" s="13" t="str">
        <f ca="1">IFERROR(__xludf.DUMMYFUNCTION("""COMPUTED_VALUE"""),"H2_B12_9.mp3")</f>
        <v>H2_B12_9.mp3</v>
      </c>
      <c r="M319" s="13" t="str">
        <f ca="1">IFERROR(__xludf.DUMMYFUNCTION("""COMPUTED_VALUE"""),"H2_B12_VD_9.mp3")</f>
        <v>H2_B12_VD_9.mp3</v>
      </c>
    </row>
    <row r="320" spans="1:13">
      <c r="A320" s="13">
        <f ca="1">IFERROR(__xludf.DUMMYFUNCTION("""COMPUTED_VALUE"""),1)</f>
        <v>1</v>
      </c>
      <c r="B320" s="13"/>
      <c r="C320" s="13" t="str">
        <f ca="1">IFERROR(__xludf.DUMMYFUNCTION("""COMPUTED_VALUE"""),"着")</f>
        <v>着</v>
      </c>
      <c r="D320" s="13" t="str">
        <f ca="1">IFERROR(__xludf.DUMMYFUNCTION("""COMPUTED_VALUE"""),"&lt;ruby&gt;着&lt;rt&gt;zhe&lt;/rt&gt;&lt;/ruby&gt;")</f>
        <v>&lt;ruby&gt;着&lt;rt&gt;zhe&lt;/rt&gt;&lt;/ruby&gt;</v>
      </c>
      <c r="E320" s="13" t="str">
        <f ca="1">IFERROR(__xludf.DUMMYFUNCTION("""COMPUTED_VALUE"""),"zhe")</f>
        <v>zhe</v>
      </c>
      <c r="F320" s="13" t="str">
        <f ca="1">IFERROR(__xludf.DUMMYFUNCTION("""COMPUTED_VALUE"""),"Trợ từ")</f>
        <v>Trợ từ</v>
      </c>
      <c r="G320" s="13" t="str">
        <f ca="1">IFERROR(__xludf.DUMMYFUNCTION("""COMPUTED_VALUE"""),"được dùng để chỉ trạng thái")</f>
        <v>được dùng để chỉ trạng thái</v>
      </c>
      <c r="H320" s="13" t="str">
        <f ca="1">IFERROR(__xludf.DUMMYFUNCTION("""COMPUTED_VALUE"""),"他手里拿着两个苹果。")</f>
        <v>他手里拿着两个苹果。</v>
      </c>
      <c r="I320" s="13" t="str">
        <f ca="1">IFERROR(__xludf.DUMMYFUNCTION("""COMPUTED_VALUE"""),"Tā shǒu lǐ názhe liǎng gè píngguǒ.")</f>
        <v>Tā shǒu lǐ názhe liǎng gè píngguǒ.</v>
      </c>
      <c r="J320" s="13" t="str">
        <f ca="1">IFERROR(__xludf.DUMMYFUNCTION("""COMPUTED_VALUE"""),"Anh ấy cầm hai quả táo trong tay.")</f>
        <v>Anh ấy cầm hai quả táo trong tay.</v>
      </c>
      <c r="K320" s="13" t="str">
        <f ca="1">IFERROR(__xludf.DUMMYFUNCTION("""COMPUTED_VALUE"""),"H2_B13_BG-01.gif")</f>
        <v>H2_B13_BG-01.gif</v>
      </c>
      <c r="L320" s="13" t="str">
        <f ca="1">IFERROR(__xludf.DUMMYFUNCTION("""COMPUTED_VALUE"""),"H2_B13_1.mp3")</f>
        <v>H2_B13_1.mp3</v>
      </c>
      <c r="M320" s="13" t="str">
        <f ca="1">IFERROR(__xludf.DUMMYFUNCTION("""COMPUTED_VALUE"""),"H2_B13_VD_1.mp3")</f>
        <v>H2_B13_VD_1.mp3</v>
      </c>
    </row>
    <row r="321" spans="1:13">
      <c r="A321" s="13">
        <f ca="1">IFERROR(__xludf.DUMMYFUNCTION("""COMPUTED_VALUE"""),2)</f>
        <v>2</v>
      </c>
      <c r="B321" s="13"/>
      <c r="C321" s="13" t="str">
        <f ca="1">IFERROR(__xludf.DUMMYFUNCTION("""COMPUTED_VALUE"""),"手")</f>
        <v>手</v>
      </c>
      <c r="D321" s="13" t="str">
        <f ca="1">IFERROR(__xludf.DUMMYFUNCTION("""COMPUTED_VALUE"""),"&lt;ruby&gt;手&lt;rt&gt;shǒu&lt;/rt&gt;&lt;/ruby&gt;")</f>
        <v>&lt;ruby&gt;手&lt;rt&gt;shǒu&lt;/rt&gt;&lt;/ruby&gt;</v>
      </c>
      <c r="E321" s="13" t="str">
        <f ca="1">IFERROR(__xludf.DUMMYFUNCTION("""COMPUTED_VALUE"""),"shǒu")</f>
        <v>shǒu</v>
      </c>
      <c r="F321" s="13" t="str">
        <f ca="1">IFERROR(__xludf.DUMMYFUNCTION("""COMPUTED_VALUE"""),"Danh từ")</f>
        <v>Danh từ</v>
      </c>
      <c r="G321" s="13" t="str">
        <f ca="1">IFERROR(__xludf.DUMMYFUNCTION("""COMPUTED_VALUE"""),"tay")</f>
        <v>tay</v>
      </c>
      <c r="H321" s="13" t="str">
        <f ca="1">IFERROR(__xludf.DUMMYFUNCTION("""COMPUTED_VALUE"""),"他受伤了，手很疼。")</f>
        <v>他受伤了，手很疼。</v>
      </c>
      <c r="I321" s="13" t="str">
        <f ca="1">IFERROR(__xludf.DUMMYFUNCTION("""COMPUTED_VALUE"""),"Tā shòushāng le, shǒu hěn téng.")</f>
        <v>Tā shòushāng le, shǒu hěn téng.</v>
      </c>
      <c r="J321" s="13" t="str">
        <f ca="1">IFERROR(__xludf.DUMMYFUNCTION("""COMPUTED_VALUE"""),"Anh ấy bị thương, tay rất đau.")</f>
        <v>Anh ấy bị thương, tay rất đau.</v>
      </c>
      <c r="K321" s="13" t="str">
        <f ca="1">IFERROR(__xludf.DUMMYFUNCTION("""COMPUTED_VALUE"""),"H2_B13_BG-02.gif")</f>
        <v>H2_B13_BG-02.gif</v>
      </c>
      <c r="L321" s="13" t="str">
        <f ca="1">IFERROR(__xludf.DUMMYFUNCTION("""COMPUTED_VALUE"""),"H2_B13_2.mp3")</f>
        <v>H2_B13_2.mp3</v>
      </c>
      <c r="M321" s="13" t="str">
        <f ca="1">IFERROR(__xludf.DUMMYFUNCTION("""COMPUTED_VALUE"""),"H2_B13_VD_2.mp3")</f>
        <v>H2_B13_VD_2.mp3</v>
      </c>
    </row>
    <row r="322" spans="1:13">
      <c r="A322" s="13">
        <f ca="1">IFERROR(__xludf.DUMMYFUNCTION("""COMPUTED_VALUE"""),3)</f>
        <v>3</v>
      </c>
      <c r="B322" s="13"/>
      <c r="C322" s="13" t="str">
        <f ca="1">IFERROR(__xludf.DUMMYFUNCTION("""COMPUTED_VALUE"""),"拿")</f>
        <v>拿</v>
      </c>
      <c r="D322" s="13" t="str">
        <f ca="1">IFERROR(__xludf.DUMMYFUNCTION("""COMPUTED_VALUE"""),"&lt;ruby&gt;拿&lt;rt&gt;ná&lt;/rt&gt;&lt;/ruby&gt;")</f>
        <v>&lt;ruby&gt;拿&lt;rt&gt;ná&lt;/rt&gt;&lt;/ruby&gt;</v>
      </c>
      <c r="E322" s="13" t="str">
        <f ca="1">IFERROR(__xludf.DUMMYFUNCTION("""COMPUTED_VALUE"""),"ná")</f>
        <v>ná</v>
      </c>
      <c r="F322" s="13" t="str">
        <f ca="1">IFERROR(__xludf.DUMMYFUNCTION("""COMPUTED_VALUE"""),"Động từ")</f>
        <v>Động từ</v>
      </c>
      <c r="G322" s="13" t="str">
        <f ca="1">IFERROR(__xludf.DUMMYFUNCTION("""COMPUTED_VALUE"""),"cầm")</f>
        <v>cầm</v>
      </c>
      <c r="H322" s="13" t="str">
        <f ca="1">IFERROR(__xludf.DUMMYFUNCTION("""COMPUTED_VALUE"""),"小女孩拿着一串香肠。")</f>
        <v>小女孩拿着一串香肠。</v>
      </c>
      <c r="I322" s="13" t="str">
        <f ca="1">IFERROR(__xludf.DUMMYFUNCTION("""COMPUTED_VALUE"""),"Xiǎo nǚhái názhe yī chuàn xiāngcháng.")</f>
        <v>Xiǎo nǚhái názhe yī chuàn xiāngcháng.</v>
      </c>
      <c r="J322" s="13" t="str">
        <f ca="1">IFERROR(__xludf.DUMMYFUNCTION("""COMPUTED_VALUE"""),"Cô bé cầm một xiên xúc xích.")</f>
        <v>Cô bé cầm một xiên xúc xích.</v>
      </c>
      <c r="K322" s="13" t="str">
        <f ca="1">IFERROR(__xludf.DUMMYFUNCTION("""COMPUTED_VALUE"""),"H2_B13_BG-03.gif")</f>
        <v>H2_B13_BG-03.gif</v>
      </c>
      <c r="L322" s="13" t="str">
        <f ca="1">IFERROR(__xludf.DUMMYFUNCTION("""COMPUTED_VALUE"""),"H2_B13_3.mp3")</f>
        <v>H2_B13_3.mp3</v>
      </c>
      <c r="M322" s="13" t="str">
        <f ca="1">IFERROR(__xludf.DUMMYFUNCTION("""COMPUTED_VALUE"""),"H2_B13_VD_3.mp3")</f>
        <v>H2_B13_VD_3.mp3</v>
      </c>
    </row>
    <row r="323" spans="1:13">
      <c r="A323" s="13">
        <f ca="1">IFERROR(__xludf.DUMMYFUNCTION("""COMPUTED_VALUE"""),4)</f>
        <v>4</v>
      </c>
      <c r="B323" s="13"/>
      <c r="C323" s="13" t="str">
        <f ca="1">IFERROR(__xludf.DUMMYFUNCTION("""COMPUTED_VALUE"""),"铅笔")</f>
        <v>铅笔</v>
      </c>
      <c r="D323" s="13" t="str">
        <f ca="1">IFERROR(__xludf.DUMMYFUNCTION("""COMPUTED_VALUE"""),"&lt;ruby&gt;铅笔&lt;rt&gt;qiānbǐ&lt;/rt&gt;&lt;/ruby&gt;")</f>
        <v>&lt;ruby&gt;铅笔&lt;rt&gt;qiānbǐ&lt;/rt&gt;&lt;/ruby&gt;</v>
      </c>
      <c r="E323" s="13" t="str">
        <f ca="1">IFERROR(__xludf.DUMMYFUNCTION("""COMPUTED_VALUE"""),"qiānbǐ")</f>
        <v>qiānbǐ</v>
      </c>
      <c r="F323" s="13" t="str">
        <f ca="1">IFERROR(__xludf.DUMMYFUNCTION("""COMPUTED_VALUE"""),"Danh từ")</f>
        <v>Danh từ</v>
      </c>
      <c r="G323" s="13" t="str">
        <f ca="1">IFERROR(__xludf.DUMMYFUNCTION("""COMPUTED_VALUE"""),"bút chì")</f>
        <v>bút chì</v>
      </c>
      <c r="H323" s="13" t="str">
        <f ca="1">IFERROR(__xludf.DUMMYFUNCTION("""COMPUTED_VALUE"""),"妈妈刚给我买了这支铅笔。")</f>
        <v>妈妈刚给我买了这支铅笔。</v>
      </c>
      <c r="I323" s="13" t="str">
        <f ca="1">IFERROR(__xludf.DUMMYFUNCTION("""COMPUTED_VALUE"""),"Māma gāng gěi wǒ mǎi le zhè zhī qiānbǐ.")</f>
        <v>Māma gāng gěi wǒ mǎi le zhè zhī qiānbǐ.</v>
      </c>
      <c r="J323" s="13" t="str">
        <f ca="1">IFERROR(__xludf.DUMMYFUNCTION("""COMPUTED_VALUE"""),"Mẹ mới mua cho tôi cái bút chì này.")</f>
        <v>Mẹ mới mua cho tôi cái bút chì này.</v>
      </c>
      <c r="K323" s="13" t="str">
        <f ca="1">IFERROR(__xludf.DUMMYFUNCTION("""COMPUTED_VALUE"""),"H2_B13_BG-04.gif")</f>
        <v>H2_B13_BG-04.gif</v>
      </c>
      <c r="L323" s="13" t="str">
        <f ca="1">IFERROR(__xludf.DUMMYFUNCTION("""COMPUTED_VALUE"""),"H2_B13_4.mp3")</f>
        <v>H2_B13_4.mp3</v>
      </c>
      <c r="M323" s="13" t="str">
        <f ca="1">IFERROR(__xludf.DUMMYFUNCTION("""COMPUTED_VALUE"""),"H2_B13_VD_4.mp3")</f>
        <v>H2_B13_VD_4.mp3</v>
      </c>
    </row>
    <row r="324" spans="1:13">
      <c r="A324" s="13">
        <f ca="1">IFERROR(__xludf.DUMMYFUNCTION("""COMPUTED_VALUE"""),5)</f>
        <v>5</v>
      </c>
      <c r="B324" s="13"/>
      <c r="C324" s="13" t="str">
        <f ca="1">IFERROR(__xludf.DUMMYFUNCTION("""COMPUTED_VALUE"""),"班")</f>
        <v>班</v>
      </c>
      <c r="D324" s="13" t="str">
        <f ca="1">IFERROR(__xludf.DUMMYFUNCTION("""COMPUTED_VALUE"""),"&lt;ruby&gt;班&lt;rt&gt;bān&lt;/rt&gt;&lt;/ruby&gt;")</f>
        <v>&lt;ruby&gt;班&lt;rt&gt;bān&lt;/rt&gt;&lt;/ruby&gt;</v>
      </c>
      <c r="E324" s="13" t="str">
        <f ca="1">IFERROR(__xludf.DUMMYFUNCTION("""COMPUTED_VALUE"""),"bān")</f>
        <v>bān</v>
      </c>
      <c r="F324" s="13" t="str">
        <f ca="1">IFERROR(__xludf.DUMMYFUNCTION("""COMPUTED_VALUE"""),"Danh từ")</f>
        <v>Danh từ</v>
      </c>
      <c r="G324" s="13" t="str">
        <f ca="1">IFERROR(__xludf.DUMMYFUNCTION("""COMPUTED_VALUE"""),"lớp học")</f>
        <v>lớp học</v>
      </c>
      <c r="H324" s="13" t="str">
        <f ca="1">IFERROR(__xludf.DUMMYFUNCTION("""COMPUTED_VALUE"""),"我们班有十个人。")</f>
        <v>我们班有十个人。</v>
      </c>
      <c r="I324" s="13" t="str">
        <f ca="1">IFERROR(__xludf.DUMMYFUNCTION("""COMPUTED_VALUE"""),"Wǒmen bān yǒu shí gèrén.")</f>
        <v>Wǒmen bān yǒu shí gèrén.</v>
      </c>
      <c r="J324" s="13" t="str">
        <f ca="1">IFERROR(__xludf.DUMMYFUNCTION("""COMPUTED_VALUE"""),"Lớp chúng tôi có 10 người.")</f>
        <v>Lớp chúng tôi có 10 người.</v>
      </c>
      <c r="K324" s="13" t="str">
        <f ca="1">IFERROR(__xludf.DUMMYFUNCTION("""COMPUTED_VALUE"""),"H2_B13_BG-05.gif")</f>
        <v>H2_B13_BG-05.gif</v>
      </c>
      <c r="L324" s="13" t="str">
        <f ca="1">IFERROR(__xludf.DUMMYFUNCTION("""COMPUTED_VALUE"""),"H2_B13_5.mp3")</f>
        <v>H2_B13_5.mp3</v>
      </c>
      <c r="M324" s="13" t="str">
        <f ca="1">IFERROR(__xludf.DUMMYFUNCTION("""COMPUTED_VALUE"""),"H2_B13_VD_5.mp3")</f>
        <v>H2_B13_VD_5.mp3</v>
      </c>
    </row>
    <row r="325" spans="1:13">
      <c r="A325" s="13">
        <f ca="1">IFERROR(__xludf.DUMMYFUNCTION("""COMPUTED_VALUE"""),6)</f>
        <v>6</v>
      </c>
      <c r="B325" s="13"/>
      <c r="C325" s="13" t="str">
        <f ca="1">IFERROR(__xludf.DUMMYFUNCTION("""COMPUTED_VALUE"""),"长")</f>
        <v>长</v>
      </c>
      <c r="D325" s="13" t="str">
        <f ca="1">IFERROR(__xludf.DUMMYFUNCTION("""COMPUTED_VALUE"""),"&lt;ruby&gt;长&lt;rt&gt;zhǎng&lt;/rt&gt;&lt;/ruby&gt;")</f>
        <v>&lt;ruby&gt;长&lt;rt&gt;zhǎng&lt;/rt&gt;&lt;/ruby&gt;</v>
      </c>
      <c r="E325" s="13" t="str">
        <f ca="1">IFERROR(__xludf.DUMMYFUNCTION("""COMPUTED_VALUE"""),"zhǎng")</f>
        <v>zhǎng</v>
      </c>
      <c r="F325" s="13" t="str">
        <f ca="1">IFERROR(__xludf.DUMMYFUNCTION("""COMPUTED_VALUE"""),"Động từ")</f>
        <v>Động từ</v>
      </c>
      <c r="G325" s="13" t="str">
        <f ca="1">IFERROR(__xludf.DUMMYFUNCTION("""COMPUTED_VALUE"""),"sinh ra, mọc")</f>
        <v>sinh ra, mọc</v>
      </c>
      <c r="H325" s="13" t="str">
        <f ca="1">IFERROR(__xludf.DUMMYFUNCTION("""COMPUTED_VALUE"""),"那块地长出了很多奇特的花。")</f>
        <v>那块地长出了很多奇特的花。</v>
      </c>
      <c r="I325" s="13" t="str">
        <f ca="1">IFERROR(__xludf.DUMMYFUNCTION("""COMPUTED_VALUE"""),"Nà kuài dì zhǎng chū le hěn duō qítè de huā.")</f>
        <v>Nà kuài dì zhǎng chū le hěn duō qítè de huā.</v>
      </c>
      <c r="J325" s="13" t="str">
        <f ca="1">IFERROR(__xludf.DUMMYFUNCTION("""COMPUTED_VALUE"""),"Mảnh đất đó mọc lên rất nhiều loài hoa lạ.")</f>
        <v>Mảnh đất đó mọc lên rất nhiều loài hoa lạ.</v>
      </c>
      <c r="K325" s="13" t="str">
        <f ca="1">IFERROR(__xludf.DUMMYFUNCTION("""COMPUTED_VALUE"""),"H2_B13_BG-06.gif")</f>
        <v>H2_B13_BG-06.gif</v>
      </c>
      <c r="L325" s="13" t="str">
        <f ca="1">IFERROR(__xludf.DUMMYFUNCTION("""COMPUTED_VALUE"""),"H2_B13_6.mp3")</f>
        <v>H2_B13_6.mp3</v>
      </c>
      <c r="M325" s="13" t="str">
        <f ca="1">IFERROR(__xludf.DUMMYFUNCTION("""COMPUTED_VALUE"""),"H2_B13_VD_6.mp3")</f>
        <v>H2_B13_VD_6.mp3</v>
      </c>
    </row>
    <row r="326" spans="1:13">
      <c r="A326" s="13">
        <f ca="1">IFERROR(__xludf.DUMMYFUNCTION("""COMPUTED_VALUE"""),7)</f>
        <v>7</v>
      </c>
      <c r="B326" s="13"/>
      <c r="C326" s="13" t="str">
        <f ca="1">IFERROR(__xludf.DUMMYFUNCTION("""COMPUTED_VALUE"""),"笑")</f>
        <v>笑</v>
      </c>
      <c r="D326" s="13" t="str">
        <f ca="1">IFERROR(__xludf.DUMMYFUNCTION("""COMPUTED_VALUE"""),"&lt;ruby&gt;笑&lt;rt&gt;xiào&lt;/rt&gt;&lt;/ruby&gt;")</f>
        <v>&lt;ruby&gt;笑&lt;rt&gt;xiào&lt;/rt&gt;&lt;/ruby&gt;</v>
      </c>
      <c r="E326" s="13" t="str">
        <f ca="1">IFERROR(__xludf.DUMMYFUNCTION("""COMPUTED_VALUE"""),"xiào")</f>
        <v>xiào</v>
      </c>
      <c r="F326" s="13" t="str">
        <f ca="1">IFERROR(__xludf.DUMMYFUNCTION("""COMPUTED_VALUE"""),"Động từ")</f>
        <v>Động từ</v>
      </c>
      <c r="G326" s="13" t="str">
        <f ca="1">IFERROR(__xludf.DUMMYFUNCTION("""COMPUTED_VALUE"""),"cười")</f>
        <v>cười</v>
      </c>
      <c r="H326" s="13" t="str">
        <f ca="1">IFERROR(__xludf.DUMMYFUNCTION("""COMPUTED_VALUE"""),"她笑得很开心。")</f>
        <v>她笑得很开心。</v>
      </c>
      <c r="I326" s="13" t="str">
        <f ca="1">IFERROR(__xludf.DUMMYFUNCTION("""COMPUTED_VALUE"""),"Tā xiào de hěn kāixīn.")</f>
        <v>Tā xiào de hěn kāixīn.</v>
      </c>
      <c r="J326" s="13" t="str">
        <f ca="1">IFERROR(__xludf.DUMMYFUNCTION("""COMPUTED_VALUE"""),"Cô ấy cười rất hạnh phúc.")</f>
        <v>Cô ấy cười rất hạnh phúc.</v>
      </c>
      <c r="K326" s="13" t="str">
        <f ca="1">IFERROR(__xludf.DUMMYFUNCTION("""COMPUTED_VALUE"""),"H2_B13_BG-07.gif")</f>
        <v>H2_B13_BG-07.gif</v>
      </c>
      <c r="L326" s="13" t="str">
        <f ca="1">IFERROR(__xludf.DUMMYFUNCTION("""COMPUTED_VALUE"""),"H2_B13_7.mp3")</f>
        <v>H2_B13_7.mp3</v>
      </c>
      <c r="M326" s="13" t="str">
        <f ca="1">IFERROR(__xludf.DUMMYFUNCTION("""COMPUTED_VALUE"""),"H2_B13_VD_7.mp3")</f>
        <v>H2_B13_VD_7.mp3</v>
      </c>
    </row>
    <row r="327" spans="1:13">
      <c r="A327" s="13">
        <f ca="1">IFERROR(__xludf.DUMMYFUNCTION("""COMPUTED_VALUE"""),8)</f>
        <v>8</v>
      </c>
      <c r="B327" s="13"/>
      <c r="C327" s="13" t="str">
        <f ca="1">IFERROR(__xludf.DUMMYFUNCTION("""COMPUTED_VALUE"""),"宾馆")</f>
        <v>宾馆</v>
      </c>
      <c r="D327" s="13" t="str">
        <f ca="1">IFERROR(__xludf.DUMMYFUNCTION("""COMPUTED_VALUE"""),"&lt;ruby&gt;宾馆&lt;rt&gt;bīnguǎn&lt;/rt&gt;&lt;/ruby&gt;")</f>
        <v>&lt;ruby&gt;宾馆&lt;rt&gt;bīnguǎn&lt;/rt&gt;&lt;/ruby&gt;</v>
      </c>
      <c r="E327" s="13" t="str">
        <f ca="1">IFERROR(__xludf.DUMMYFUNCTION("""COMPUTED_VALUE"""),"bīnguǎn")</f>
        <v>bīnguǎn</v>
      </c>
      <c r="F327" s="13" t="str">
        <f ca="1">IFERROR(__xludf.DUMMYFUNCTION("""COMPUTED_VALUE"""),"Danh từ")</f>
        <v>Danh từ</v>
      </c>
      <c r="G327" s="13" t="str">
        <f ca="1">IFERROR(__xludf.DUMMYFUNCTION("""COMPUTED_VALUE"""),"khách sạn")</f>
        <v>khách sạn</v>
      </c>
      <c r="H327" s="13" t="str">
        <f ca="1">IFERROR(__xludf.DUMMYFUNCTION("""COMPUTED_VALUE"""),"我们住在市中心的一家宾馆。")</f>
        <v>我们住在市中心的一家宾馆。</v>
      </c>
      <c r="I327" s="13" t="str">
        <f ca="1">IFERROR(__xludf.DUMMYFUNCTION("""COMPUTED_VALUE"""),"Wǒmen zhù zài shì zhōngxīn de yī jiā bīnguǎn.")</f>
        <v>Wǒmen zhù zài shì zhōngxīn de yī jiā bīnguǎn.</v>
      </c>
      <c r="J327" s="13" t="str">
        <f ca="1">IFERROR(__xludf.DUMMYFUNCTION("""COMPUTED_VALUE"""),"Chúng tôi ở tại một khách sạn ở trung tâm thành phố.")</f>
        <v>Chúng tôi ở tại một khách sạn ở trung tâm thành phố.</v>
      </c>
      <c r="K327" s="13" t="str">
        <f ca="1">IFERROR(__xludf.DUMMYFUNCTION("""COMPUTED_VALUE"""),"H2_B13_BG-08.gif")</f>
        <v>H2_B13_BG-08.gif</v>
      </c>
      <c r="L327" s="13" t="str">
        <f ca="1">IFERROR(__xludf.DUMMYFUNCTION("""COMPUTED_VALUE"""),"H2_B13_8.mp3")</f>
        <v>H2_B13_8.mp3</v>
      </c>
      <c r="M327" s="13" t="str">
        <f ca="1">IFERROR(__xludf.DUMMYFUNCTION("""COMPUTED_VALUE"""),"H2_B13_VD_8.mp3")</f>
        <v>H2_B13_VD_8.mp3</v>
      </c>
    </row>
    <row r="328" spans="1:13">
      <c r="A328" s="13">
        <f ca="1">IFERROR(__xludf.DUMMYFUNCTION("""COMPUTED_VALUE"""),9)</f>
        <v>9</v>
      </c>
      <c r="B328" s="13"/>
      <c r="C328" s="13" t="str">
        <f ca="1">IFERROR(__xludf.DUMMYFUNCTION("""COMPUTED_VALUE"""),"一直")</f>
        <v>一直</v>
      </c>
      <c r="D328" s="13" t="str">
        <f ca="1">IFERROR(__xludf.DUMMYFUNCTION("""COMPUTED_VALUE"""),"&lt;ruby&gt;一直&lt;rt&gt;yìzhí&lt;/rt&gt;&lt;/ruby&gt;")</f>
        <v>&lt;ruby&gt;一直&lt;rt&gt;yìzhí&lt;/rt&gt;&lt;/ruby&gt;</v>
      </c>
      <c r="E328" s="13" t="str">
        <f ca="1">IFERROR(__xludf.DUMMYFUNCTION("""COMPUTED_VALUE"""),"yìzhí")</f>
        <v>yìzhí</v>
      </c>
      <c r="F328" s="13" t="str">
        <f ca="1">IFERROR(__xludf.DUMMYFUNCTION("""COMPUTED_VALUE"""),"Phó từ")</f>
        <v>Phó từ</v>
      </c>
      <c r="G328" s="13" t="str">
        <f ca="1">IFERROR(__xludf.DUMMYFUNCTION("""COMPUTED_VALUE"""),"thẳng")</f>
        <v>thẳng</v>
      </c>
      <c r="H328" s="13" t="str">
        <f ca="1">IFERROR(__xludf.DUMMYFUNCTION("""COMPUTED_VALUE"""),"这条路一直通向大海。")</f>
        <v>这条路一直通向大海。</v>
      </c>
      <c r="I328" s="13" t="str">
        <f ca="1">IFERROR(__xludf.DUMMYFUNCTION("""COMPUTED_VALUE"""),"Zhè tiáo lù yīzhí tōngxiàng dàhǎi.")</f>
        <v>Zhè tiáo lù yīzhí tōngxiàng dàhǎi.</v>
      </c>
      <c r="J328" s="13" t="str">
        <f ca="1">IFERROR(__xludf.DUMMYFUNCTION("""COMPUTED_VALUE"""),"Con đường này dẫn thẳng ra biển.")</f>
        <v>Con đường này dẫn thẳng ra biển.</v>
      </c>
      <c r="K328" s="13" t="str">
        <f ca="1">IFERROR(__xludf.DUMMYFUNCTION("""COMPUTED_VALUE"""),"H2_B13_BG-09.gif")</f>
        <v>H2_B13_BG-09.gif</v>
      </c>
      <c r="L328" s="13" t="str">
        <f ca="1">IFERROR(__xludf.DUMMYFUNCTION("""COMPUTED_VALUE"""),"H2_B13_9.mp3")</f>
        <v>H2_B13_9.mp3</v>
      </c>
      <c r="M328" s="13" t="str">
        <f ca="1">IFERROR(__xludf.DUMMYFUNCTION("""COMPUTED_VALUE"""),"H2_B13_VD_9.mp3")</f>
        <v>H2_B13_VD_9.mp3</v>
      </c>
    </row>
    <row r="329" spans="1:13">
      <c r="A329" s="13">
        <f ca="1">IFERROR(__xludf.DUMMYFUNCTION("""COMPUTED_VALUE"""),10)</f>
        <v>10</v>
      </c>
      <c r="B329" s="13"/>
      <c r="C329" s="13" t="str">
        <f ca="1">IFERROR(__xludf.DUMMYFUNCTION("""COMPUTED_VALUE"""),"往")</f>
        <v>往</v>
      </c>
      <c r="D329" s="13" t="str">
        <f ca="1">IFERROR(__xludf.DUMMYFUNCTION("""COMPUTED_VALUE"""),"&lt;ruby&gt;往&lt;rt&gt;wǎng&lt;/rt&gt;&lt;/ruby&gt;")</f>
        <v>&lt;ruby&gt;往&lt;rt&gt;wǎng&lt;/rt&gt;&lt;/ruby&gt;</v>
      </c>
      <c r="E329" s="13" t="str">
        <f ca="1">IFERROR(__xludf.DUMMYFUNCTION("""COMPUTED_VALUE"""),"wǎng")</f>
        <v>wǎng</v>
      </c>
      <c r="F329" s="13" t="str">
        <f ca="1">IFERROR(__xludf.DUMMYFUNCTION("""COMPUTED_VALUE"""),"Giới từ")</f>
        <v>Giới từ</v>
      </c>
      <c r="G329" s="13" t="str">
        <f ca="1">IFERROR(__xludf.DUMMYFUNCTION("""COMPUTED_VALUE"""),"về phía")</f>
        <v>về phía</v>
      </c>
      <c r="H329" s="13" t="str">
        <f ca="1">IFERROR(__xludf.DUMMYFUNCTION("""COMPUTED_VALUE"""),"你一直往前走就到了。")</f>
        <v>你一直往前走就到了。</v>
      </c>
      <c r="I329" s="13" t="str">
        <f ca="1">IFERROR(__xludf.DUMMYFUNCTION("""COMPUTED_VALUE"""),"Nǐ yīzhí wǎng qián zǒu jiù dào le.")</f>
        <v>Nǐ yīzhí wǎng qián zǒu jiù dào le.</v>
      </c>
      <c r="J329" s="13" t="str">
        <f ca="1">IFERROR(__xludf.DUMMYFUNCTION("""COMPUTED_VALUE"""),"Bạn cứ đi thẳng là đến.")</f>
        <v>Bạn cứ đi thẳng là đến.</v>
      </c>
      <c r="K329" s="13" t="str">
        <f ca="1">IFERROR(__xludf.DUMMYFUNCTION("""COMPUTED_VALUE"""),"H2_B13_BG-10.gif")</f>
        <v>H2_B13_BG-10.gif</v>
      </c>
      <c r="L329" s="13" t="str">
        <f ca="1">IFERROR(__xludf.DUMMYFUNCTION("""COMPUTED_VALUE"""),"H2_B13_10.mp3")</f>
        <v>H2_B13_10.mp3</v>
      </c>
      <c r="M329" s="13" t="str">
        <f ca="1">IFERROR(__xludf.DUMMYFUNCTION("""COMPUTED_VALUE"""),"H2_B13_VD_10.mp3")</f>
        <v>H2_B13_VD_10.mp3</v>
      </c>
    </row>
    <row r="330" spans="1:13">
      <c r="A330" s="13">
        <f ca="1">IFERROR(__xludf.DUMMYFUNCTION("""COMPUTED_VALUE"""),11)</f>
        <v>11</v>
      </c>
      <c r="B330" s="13"/>
      <c r="C330" s="13" t="str">
        <f ca="1">IFERROR(__xludf.DUMMYFUNCTION("""COMPUTED_VALUE"""),"路口")</f>
        <v>路口</v>
      </c>
      <c r="D330" s="13" t="str">
        <f ca="1">IFERROR(__xludf.DUMMYFUNCTION("""COMPUTED_VALUE"""),"&lt;ruby&gt;路口&lt;rt&gt;lùkǒu&lt;/rt&gt;&lt;/ruby&gt;")</f>
        <v>&lt;ruby&gt;路口&lt;rt&gt;lùkǒu&lt;/rt&gt;&lt;/ruby&gt;</v>
      </c>
      <c r="E330" s="13" t="str">
        <f ca="1">IFERROR(__xludf.DUMMYFUNCTION("""COMPUTED_VALUE"""),"lùkǒu")</f>
        <v>lùkǒu</v>
      </c>
      <c r="F330" s="13" t="str">
        <f ca="1">IFERROR(__xludf.DUMMYFUNCTION("""COMPUTED_VALUE"""),"Danh từ")</f>
        <v>Danh từ</v>
      </c>
      <c r="G330" s="13" t="str">
        <f ca="1">IFERROR(__xludf.DUMMYFUNCTION("""COMPUTED_VALUE"""),"giao lộ")</f>
        <v>giao lộ</v>
      </c>
      <c r="H330" s="13" t="str">
        <f ca="1">IFERROR(__xludf.DUMMYFUNCTION("""COMPUTED_VALUE"""),"咖啡店在路口。")</f>
        <v>咖啡店在路口。</v>
      </c>
      <c r="I330" s="13" t="str">
        <f ca="1">IFERROR(__xludf.DUMMYFUNCTION("""COMPUTED_VALUE"""),"Kāfēidiàn zài lùkǒu.")</f>
        <v>Kāfēidiàn zài lùkǒu.</v>
      </c>
      <c r="J330" s="13" t="str">
        <f ca="1">IFERROR(__xludf.DUMMYFUNCTION("""COMPUTED_VALUE"""),"Quán cà phê ở ngã tư. ")</f>
        <v xml:space="preserve">Quán cà phê ở ngã tư. </v>
      </c>
      <c r="K330" s="13" t="str">
        <f ca="1">IFERROR(__xludf.DUMMYFUNCTION("""COMPUTED_VALUE"""),"H2_B13_BG-11.gif")</f>
        <v>H2_B13_BG-11.gif</v>
      </c>
      <c r="L330" s="13" t="str">
        <f ca="1">IFERROR(__xludf.DUMMYFUNCTION("""COMPUTED_VALUE"""),"H2_B13_11.mp3")</f>
        <v>H2_B13_11.mp3</v>
      </c>
      <c r="M330" s="13" t="str">
        <f ca="1">IFERROR(__xludf.DUMMYFUNCTION("""COMPUTED_VALUE"""),"H2_B13_VD_11.mp3")</f>
        <v>H2_B13_VD_11.mp3</v>
      </c>
    </row>
    <row r="331" spans="1:13">
      <c r="A331" s="13">
        <f ca="1">IFERROR(__xludf.DUMMYFUNCTION("""COMPUTED_VALUE"""),1)</f>
        <v>1</v>
      </c>
      <c r="B331" s="13"/>
      <c r="C331" s="13" t="str">
        <f ca="1">IFERROR(__xludf.DUMMYFUNCTION("""COMPUTED_VALUE"""),"有意思")</f>
        <v>有意思</v>
      </c>
      <c r="D331" s="13" t="str">
        <f ca="1">IFERROR(__xludf.DUMMYFUNCTION("""COMPUTED_VALUE"""),"&lt;ruby&gt;有意思&lt;rt&gt;yǒuyìsi&lt;/rt&gt;&lt;/ruby&gt;")</f>
        <v>&lt;ruby&gt;有意思&lt;rt&gt;yǒuyìsi&lt;/rt&gt;&lt;/ruby&gt;</v>
      </c>
      <c r="E331" s="13" t="str">
        <f ca="1">IFERROR(__xludf.DUMMYFUNCTION("""COMPUTED_VALUE"""),"yǒuyìsi")</f>
        <v>yǒuyìsi</v>
      </c>
      <c r="F331" s="13"/>
      <c r="G331" s="13" t="str">
        <f ca="1">IFERROR(__xludf.DUMMYFUNCTION("""COMPUTED_VALUE"""),"thú vị")</f>
        <v>thú vị</v>
      </c>
      <c r="H331" s="13" t="str">
        <f ca="1">IFERROR(__xludf.DUMMYFUNCTION("""COMPUTED_VALUE"""),"妈妈讲的故事很有意思。")</f>
        <v>妈妈讲的故事很有意思。</v>
      </c>
      <c r="I331" s="13" t="str">
        <f ca="1">IFERROR(__xludf.DUMMYFUNCTION("""COMPUTED_VALUE"""),"Māma jiǎng de gùshì hěn yǒu yìsi.")</f>
        <v>Māma jiǎng de gùshì hěn yǒu yìsi.</v>
      </c>
      <c r="J331" s="13" t="str">
        <f ca="1">IFERROR(__xludf.DUMMYFUNCTION("""COMPUTED_VALUE"""),"Câu chuyện của mẹ kể rất hấp dẫn.")</f>
        <v>Câu chuyện của mẹ kể rất hấp dẫn.</v>
      </c>
      <c r="K331" s="13" t="str">
        <f ca="1">IFERROR(__xludf.DUMMYFUNCTION("""COMPUTED_VALUE"""),"H2_B14_BG-01.gif")</f>
        <v>H2_B14_BG-01.gif</v>
      </c>
      <c r="L331" s="13" t="str">
        <f ca="1">IFERROR(__xludf.DUMMYFUNCTION("""COMPUTED_VALUE"""),"H2_B14_1.mp3")</f>
        <v>H2_B14_1.mp3</v>
      </c>
      <c r="M331" s="13" t="str">
        <f ca="1">IFERROR(__xludf.DUMMYFUNCTION("""COMPUTED_VALUE"""),"H2_B14_VD_1.mp3")</f>
        <v>H2_B14_VD_1.mp3</v>
      </c>
    </row>
    <row r="332" spans="1:13">
      <c r="A332" s="13">
        <f ca="1">IFERROR(__xludf.DUMMYFUNCTION("""COMPUTED_VALUE"""),2)</f>
        <v>2</v>
      </c>
      <c r="B332" s="13"/>
      <c r="C332" s="13" t="str">
        <f ca="1">IFERROR(__xludf.DUMMYFUNCTION("""COMPUTED_VALUE"""),"但是")</f>
        <v>但是</v>
      </c>
      <c r="D332" s="13" t="str">
        <f ca="1">IFERROR(__xludf.DUMMYFUNCTION("""COMPUTED_VALUE"""),"&lt;ruby&gt;但是&lt;rt&gt;dànshì&lt;/rt&gt;&lt;/ruby&gt;")</f>
        <v>&lt;ruby&gt;但是&lt;rt&gt;dànshì&lt;/rt&gt;&lt;/ruby&gt;</v>
      </c>
      <c r="E332" s="13" t="str">
        <f ca="1">IFERROR(__xludf.DUMMYFUNCTION("""COMPUTED_VALUE"""),"dànshì")</f>
        <v>dànshì</v>
      </c>
      <c r="F332" s="13" t="str">
        <f ca="1">IFERROR(__xludf.DUMMYFUNCTION("""COMPUTED_VALUE"""),"Liên từ")</f>
        <v>Liên từ</v>
      </c>
      <c r="G332" s="13" t="str">
        <f ca="1">IFERROR(__xludf.DUMMYFUNCTION("""COMPUTED_VALUE"""),"nhưng")</f>
        <v>nhưng</v>
      </c>
      <c r="H332" s="13" t="str">
        <f ca="1">IFERROR(__xludf.DUMMYFUNCTION("""COMPUTED_VALUE"""),"我喜欢唱歌，但是唱得不好听。")</f>
        <v>我喜欢唱歌，但是唱得不好听。</v>
      </c>
      <c r="I332" s="13" t="str">
        <f ca="1">IFERROR(__xludf.DUMMYFUNCTION("""COMPUTED_VALUE"""),"Wǒ xǐhuan chànggē, dànshì chàng de bù hǎotīng.")</f>
        <v>Wǒ xǐhuan chànggē, dànshì chàng de bù hǎotīng.</v>
      </c>
      <c r="J332" s="13" t="str">
        <f ca="1">IFERROR(__xludf.DUMMYFUNCTION("""COMPUTED_VALUE"""),"Tôi thích hát nhưng hát không hay.")</f>
        <v>Tôi thích hát nhưng hát không hay.</v>
      </c>
      <c r="K332" s="13" t="str">
        <f ca="1">IFERROR(__xludf.DUMMYFUNCTION("""COMPUTED_VALUE"""),"H2_B14_BG-02.gif")</f>
        <v>H2_B14_BG-02.gif</v>
      </c>
      <c r="L332" s="13" t="str">
        <f ca="1">IFERROR(__xludf.DUMMYFUNCTION("""COMPUTED_VALUE"""),"H2_B14_2.mp3")</f>
        <v>H2_B14_2.mp3</v>
      </c>
      <c r="M332" s="13" t="str">
        <f ca="1">IFERROR(__xludf.DUMMYFUNCTION("""COMPUTED_VALUE"""),"H2_B14_VD_2.mp3")</f>
        <v>H2_B14_VD_2.mp3</v>
      </c>
    </row>
    <row r="333" spans="1:13">
      <c r="A333" s="13">
        <f ca="1">IFERROR(__xludf.DUMMYFUNCTION("""COMPUTED_VALUE"""),3)</f>
        <v>3</v>
      </c>
      <c r="B333" s="13"/>
      <c r="C333" s="13" t="str">
        <f ca="1">IFERROR(__xludf.DUMMYFUNCTION("""COMPUTED_VALUE"""),"虽然")</f>
        <v>虽然</v>
      </c>
      <c r="D333" s="13" t="str">
        <f ca="1">IFERROR(__xludf.DUMMYFUNCTION("""COMPUTED_VALUE"""),"&lt;ruby&gt;虽然&lt;rt&gt;suīrán&lt;/rt&gt;&lt;/ruby&gt;")</f>
        <v>&lt;ruby&gt;虽然&lt;rt&gt;suīrán&lt;/rt&gt;&lt;/ruby&gt;</v>
      </c>
      <c r="E333" s="13" t="str">
        <f ca="1">IFERROR(__xludf.DUMMYFUNCTION("""COMPUTED_VALUE"""),"suīrán")</f>
        <v>suīrán</v>
      </c>
      <c r="F333" s="13" t="str">
        <f ca="1">IFERROR(__xludf.DUMMYFUNCTION("""COMPUTED_VALUE"""),"Liên từ")</f>
        <v>Liên từ</v>
      </c>
      <c r="G333" s="13" t="str">
        <f ca="1">IFERROR(__xludf.DUMMYFUNCTION("""COMPUTED_VALUE"""),"mặc dù, tuy")</f>
        <v>mặc dù, tuy</v>
      </c>
      <c r="H333" s="13" t="str">
        <f ca="1">IFERROR(__xludf.DUMMYFUNCTION("""COMPUTED_VALUE"""),"虽然下雨了，但是我还是去上学。")</f>
        <v>虽然下雨了，但是我还是去上学。</v>
      </c>
      <c r="I333" s="13" t="str">
        <f ca="1">IFERROR(__xludf.DUMMYFUNCTION("""COMPUTED_VALUE"""),"Suīrán xiàyǔ le, dànshì wǒ háishì qù shàngxué.")</f>
        <v>Suīrán xiàyǔ le, dànshì wǒ háishì qù shàngxué.</v>
      </c>
      <c r="J333" s="13" t="str">
        <f ca="1">IFERROR(__xludf.DUMMYFUNCTION("""COMPUTED_VALUE"""),"Tuy trời mưa nhưng tôi vẫn đi học.")</f>
        <v>Tuy trời mưa nhưng tôi vẫn đi học.</v>
      </c>
      <c r="K333" s="13" t="str">
        <f ca="1">IFERROR(__xludf.DUMMYFUNCTION("""COMPUTED_VALUE"""),"H2_B14_BG-03.gif")</f>
        <v>H2_B14_BG-03.gif</v>
      </c>
      <c r="L333" s="13" t="str">
        <f ca="1">IFERROR(__xludf.DUMMYFUNCTION("""COMPUTED_VALUE"""),"H2_B14_3.mp3")</f>
        <v>H2_B14_3.mp3</v>
      </c>
      <c r="M333" s="13" t="str">
        <f ca="1">IFERROR(__xludf.DUMMYFUNCTION("""COMPUTED_VALUE"""),"H2_B14_VD_3.mp3")</f>
        <v>H2_B14_VD_3.mp3</v>
      </c>
    </row>
    <row r="334" spans="1:13">
      <c r="A334" s="13">
        <f ca="1">IFERROR(__xludf.DUMMYFUNCTION("""COMPUTED_VALUE"""),4)</f>
        <v>4</v>
      </c>
      <c r="B334" s="13"/>
      <c r="C334" s="13" t="str">
        <f ca="1">IFERROR(__xludf.DUMMYFUNCTION("""COMPUTED_VALUE"""),"次")</f>
        <v>次</v>
      </c>
      <c r="D334" s="13" t="str">
        <f ca="1">IFERROR(__xludf.DUMMYFUNCTION("""COMPUTED_VALUE"""),"&lt;ruby&gt;次&lt;rt&gt;cì&lt;/rt&gt;&lt;/ruby&gt;")</f>
        <v>&lt;ruby&gt;次&lt;rt&gt;cì&lt;/rt&gt;&lt;/ruby&gt;</v>
      </c>
      <c r="E334" s="13" t="str">
        <f ca="1">IFERROR(__xludf.DUMMYFUNCTION("""COMPUTED_VALUE"""),"cì")</f>
        <v>cì</v>
      </c>
      <c r="F334" s="13" t="str">
        <f ca="1">IFERROR(__xludf.DUMMYFUNCTION("""COMPUTED_VALUE"""),"Lượng từ")</f>
        <v>Lượng từ</v>
      </c>
      <c r="G334" s="13" t="str">
        <f ca="1">IFERROR(__xludf.DUMMYFUNCTION("""COMPUTED_VALUE"""),"lần")</f>
        <v>lần</v>
      </c>
      <c r="H334" s="13" t="str">
        <f ca="1">IFERROR(__xludf.DUMMYFUNCTION("""COMPUTED_VALUE"""),"这次考试，他是第一名。")</f>
        <v>这次考试，他是第一名。</v>
      </c>
      <c r="I334" s="13" t="str">
        <f ca="1">IFERROR(__xludf.DUMMYFUNCTION("""COMPUTED_VALUE"""),"Zhè cì kǎoshì, tā shì dì yī míng.")</f>
        <v>Zhè cì kǎoshì, tā shì dì yī míng.</v>
      </c>
      <c r="J334" s="13" t="str">
        <f ca="1">IFERROR(__xludf.DUMMYFUNCTION("""COMPUTED_VALUE"""),"Kỳ thi lần này, cậu ấy đứng thứ nhất.")</f>
        <v>Kỳ thi lần này, cậu ấy đứng thứ nhất.</v>
      </c>
      <c r="K334" s="13" t="str">
        <f ca="1">IFERROR(__xludf.DUMMYFUNCTION("""COMPUTED_VALUE"""),"H2_B14_BG-04.gif")</f>
        <v>H2_B14_BG-04.gif</v>
      </c>
      <c r="L334" s="13" t="str">
        <f ca="1">IFERROR(__xludf.DUMMYFUNCTION("""COMPUTED_VALUE"""),"H2_B14_4.mp3")</f>
        <v>H2_B14_4.mp3</v>
      </c>
      <c r="M334" s="13" t="str">
        <f ca="1">IFERROR(__xludf.DUMMYFUNCTION("""COMPUTED_VALUE"""),"H2_B14_VD_4.mp3")</f>
        <v>H2_B14_VD_4.mp3</v>
      </c>
    </row>
    <row r="335" spans="1:13">
      <c r="A335" s="13">
        <f ca="1">IFERROR(__xludf.DUMMYFUNCTION("""COMPUTED_VALUE"""),5)</f>
        <v>5</v>
      </c>
      <c r="B335" s="13"/>
      <c r="C335" s="13" t="str">
        <f ca="1">IFERROR(__xludf.DUMMYFUNCTION("""COMPUTED_VALUE"""),"玩儿")</f>
        <v>玩儿</v>
      </c>
      <c r="D335" s="13" t="str">
        <f ca="1">IFERROR(__xludf.DUMMYFUNCTION("""COMPUTED_VALUE"""),"&lt;ruby&gt;玩儿&lt;rt&gt;wánr&lt;/rt&gt;&lt;/ruby&gt;")</f>
        <v>&lt;ruby&gt;玩儿&lt;rt&gt;wánr&lt;/rt&gt;&lt;/ruby&gt;</v>
      </c>
      <c r="E335" s="13" t="str">
        <f ca="1">IFERROR(__xludf.DUMMYFUNCTION("""COMPUTED_VALUE"""),"wánr")</f>
        <v>wánr</v>
      </c>
      <c r="F335" s="13" t="str">
        <f ca="1">IFERROR(__xludf.DUMMYFUNCTION("""COMPUTED_VALUE"""),"Động từ")</f>
        <v>Động từ</v>
      </c>
      <c r="G335" s="13" t="str">
        <f ca="1">IFERROR(__xludf.DUMMYFUNCTION("""COMPUTED_VALUE"""),"chơi, chơi đùa")</f>
        <v>chơi, chơi đùa</v>
      </c>
      <c r="H335" s="13" t="str">
        <f ca="1">IFERROR(__xludf.DUMMYFUNCTION("""COMPUTED_VALUE"""),"孩子们喜欢玩儿跷跷板。")</f>
        <v>孩子们喜欢玩儿跷跷板。</v>
      </c>
      <c r="I335" s="13" t="str">
        <f ca="1">IFERROR(__xludf.DUMMYFUNCTION("""COMPUTED_VALUE"""),"Háizimen xǐhuan wánr qiàoqiàobǎn.")</f>
        <v>Háizimen xǐhuan wánr qiàoqiàobǎn.</v>
      </c>
      <c r="J335" s="13" t="str">
        <f ca="1">IFERROR(__xludf.DUMMYFUNCTION("""COMPUTED_VALUE"""),"Trẻ em thích chơi bập bênh.")</f>
        <v>Trẻ em thích chơi bập bênh.</v>
      </c>
      <c r="K335" s="13" t="str">
        <f ca="1">IFERROR(__xludf.DUMMYFUNCTION("""COMPUTED_VALUE"""),"H2_B14_BG-05.gif")</f>
        <v>H2_B14_BG-05.gif</v>
      </c>
      <c r="L335" s="13" t="str">
        <f ca="1">IFERROR(__xludf.DUMMYFUNCTION("""COMPUTED_VALUE"""),"H2_B14_5.mp3")</f>
        <v>H2_B14_5.mp3</v>
      </c>
      <c r="M335" s="13" t="str">
        <f ca="1">IFERROR(__xludf.DUMMYFUNCTION("""COMPUTED_VALUE"""),"H2_B14_VD_5.mp3")</f>
        <v>H2_B14_VD_5.mp3</v>
      </c>
    </row>
    <row r="336" spans="1:13">
      <c r="A336" s="13">
        <f ca="1">IFERROR(__xludf.DUMMYFUNCTION("""COMPUTED_VALUE"""),6)</f>
        <v>6</v>
      </c>
      <c r="B336" s="13"/>
      <c r="C336" s="13" t="str">
        <f ca="1">IFERROR(__xludf.DUMMYFUNCTION("""COMPUTED_VALUE"""),"晴")</f>
        <v>晴</v>
      </c>
      <c r="D336" s="13" t="str">
        <f ca="1">IFERROR(__xludf.DUMMYFUNCTION("""COMPUTED_VALUE"""),"&lt;ruby&gt;晴&lt;rt&gt;qíng&lt;/rt&gt;&lt;/ruby&gt;")</f>
        <v>&lt;ruby&gt;晴&lt;rt&gt;qíng&lt;/rt&gt;&lt;/ruby&gt;</v>
      </c>
      <c r="E336" s="13" t="str">
        <f ca="1">IFERROR(__xludf.DUMMYFUNCTION("""COMPUTED_VALUE"""),"qíng")</f>
        <v>qíng</v>
      </c>
      <c r="F336" s="13" t="str">
        <f ca="1">IFERROR(__xludf.DUMMYFUNCTION("""COMPUTED_VALUE"""),"Tính từ")</f>
        <v>Tính từ</v>
      </c>
      <c r="G336" s="13" t="str">
        <f ca="1">IFERROR(__xludf.DUMMYFUNCTION("""COMPUTED_VALUE"""),"có nắng, nắng ráo")</f>
        <v>có nắng, nắng ráo</v>
      </c>
      <c r="H336" s="13" t="str">
        <f ca="1">IFERROR(__xludf.DUMMYFUNCTION("""COMPUTED_VALUE"""),"天气终于晴了。")</f>
        <v>天气终于晴了。</v>
      </c>
      <c r="I336" s="13" t="str">
        <f ca="1">IFERROR(__xludf.DUMMYFUNCTION("""COMPUTED_VALUE"""),"Tiānqì zhōngyú qíng le.")</f>
        <v>Tiānqì zhōngyú qíng le.</v>
      </c>
      <c r="J336" s="13" t="str">
        <f ca="1">IFERROR(__xludf.DUMMYFUNCTION("""COMPUTED_VALUE"""),"Thời tiết cuối cùng đã quang đãng.")</f>
        <v>Thời tiết cuối cùng đã quang đãng.</v>
      </c>
      <c r="K336" s="13" t="str">
        <f ca="1">IFERROR(__xludf.DUMMYFUNCTION("""COMPUTED_VALUE"""),"H2_B14_BG-06.gif")</f>
        <v>H2_B14_BG-06.gif</v>
      </c>
      <c r="L336" s="13" t="str">
        <f ca="1">IFERROR(__xludf.DUMMYFUNCTION("""COMPUTED_VALUE"""),"H2_B14_6.mp3")</f>
        <v>H2_B14_6.mp3</v>
      </c>
      <c r="M336" s="13" t="str">
        <f ca="1">IFERROR(__xludf.DUMMYFUNCTION("""COMPUTED_VALUE"""),"H2_B14_VD_6.mp3")</f>
        <v>H2_B14_VD_6.mp3</v>
      </c>
    </row>
    <row r="337" spans="1:13">
      <c r="A337" s="13">
        <f ca="1">IFERROR(__xludf.DUMMYFUNCTION("""COMPUTED_VALUE"""),7)</f>
        <v>7</v>
      </c>
      <c r="B337" s="13"/>
      <c r="C337" s="13" t="str">
        <f ca="1">IFERROR(__xludf.DUMMYFUNCTION("""COMPUTED_VALUE"""),"百")</f>
        <v>百</v>
      </c>
      <c r="D337" s="13" t="str">
        <f ca="1">IFERROR(__xludf.DUMMYFUNCTION("""COMPUTED_VALUE"""),"&lt;ruby&gt;百&lt;rt&gt;bǎi&lt;/rt&gt;&lt;/ruby&gt;")</f>
        <v>&lt;ruby&gt;百&lt;rt&gt;bǎi&lt;/rt&gt;&lt;/ruby&gt;</v>
      </c>
      <c r="E337" s="13" t="str">
        <f ca="1">IFERROR(__xludf.DUMMYFUNCTION("""COMPUTED_VALUE"""),"bǎi")</f>
        <v>bǎi</v>
      </c>
      <c r="F337" s="13" t="str">
        <f ca="1">IFERROR(__xludf.DUMMYFUNCTION("""COMPUTED_VALUE"""),"Số từ")</f>
        <v>Số từ</v>
      </c>
      <c r="G337" s="13" t="str">
        <f ca="1">IFERROR(__xludf.DUMMYFUNCTION("""COMPUTED_VALUE"""),"một trăm, trăm")</f>
        <v>một trăm, trăm</v>
      </c>
      <c r="H337" s="13" t="str">
        <f ca="1">IFERROR(__xludf.DUMMYFUNCTION("""COMPUTED_VALUE"""),"这是一百块钱。")</f>
        <v>这是一百块钱。</v>
      </c>
      <c r="I337" s="13" t="str">
        <f ca="1">IFERROR(__xludf.DUMMYFUNCTION("""COMPUTED_VALUE"""),"Zhè shì yìbǎi kuài qián.")</f>
        <v>Zhè shì yìbǎi kuài qián.</v>
      </c>
      <c r="J337" s="13" t="str">
        <f ca="1">IFERROR(__xludf.DUMMYFUNCTION("""COMPUTED_VALUE"""),"Đây là 100 tệ.")</f>
        <v>Đây là 100 tệ.</v>
      </c>
      <c r="K337" s="13" t="str">
        <f ca="1">IFERROR(__xludf.DUMMYFUNCTION("""COMPUTED_VALUE"""),"H2_B14_BG-07.gif")</f>
        <v>H2_B14_BG-07.gif</v>
      </c>
      <c r="L337" s="13" t="str">
        <f ca="1">IFERROR(__xludf.DUMMYFUNCTION("""COMPUTED_VALUE"""),"H2_B14_7.mp3")</f>
        <v>H2_B14_7.mp3</v>
      </c>
      <c r="M337" s="13" t="str">
        <f ca="1">IFERROR(__xludf.DUMMYFUNCTION("""COMPUTED_VALUE"""),"H2_B14_VD_7.mp3")</f>
        <v>H2_B14_VD_7.mp3</v>
      </c>
    </row>
    <row r="338" spans="1:13">
      <c r="A338" s="13">
        <f ca="1">IFERROR(__xludf.DUMMYFUNCTION("""COMPUTED_VALUE"""),1)</f>
        <v>1</v>
      </c>
      <c r="B338" s="13"/>
      <c r="C338" s="13" t="str">
        <f ca="1">IFERROR(__xludf.DUMMYFUNCTION("""COMPUTED_VALUE"""),"日")</f>
        <v>日</v>
      </c>
      <c r="D338" s="13" t="str">
        <f ca="1">IFERROR(__xludf.DUMMYFUNCTION("""COMPUTED_VALUE"""),"&lt;ruby&gt;日&lt;rt&gt;rì&lt;/rt&gt;&lt;/ruby&gt;")</f>
        <v>&lt;ruby&gt;日&lt;rt&gt;rì&lt;/rt&gt;&lt;/ruby&gt;</v>
      </c>
      <c r="E338" s="13" t="str">
        <f ca="1">IFERROR(__xludf.DUMMYFUNCTION("""COMPUTED_VALUE"""),"rì")</f>
        <v>rì</v>
      </c>
      <c r="F338" s="13" t="str">
        <f ca="1">IFERROR(__xludf.DUMMYFUNCTION("""COMPUTED_VALUE"""),"Danh từ")</f>
        <v>Danh từ</v>
      </c>
      <c r="G338" s="13" t="str">
        <f ca="1">IFERROR(__xludf.DUMMYFUNCTION("""COMPUTED_VALUE"""),"ngày")</f>
        <v>ngày</v>
      </c>
      <c r="H338" s="13" t="str">
        <f ca="1">IFERROR(__xludf.DUMMYFUNCTION("""COMPUTED_VALUE"""),"今天是二月十日。")</f>
        <v>今天是二月十日。</v>
      </c>
      <c r="I338" s="13" t="str">
        <f ca="1">IFERROR(__xludf.DUMMYFUNCTION("""COMPUTED_VALUE"""),"Jīntiān shì èr yuè shí rì.")</f>
        <v>Jīntiān shì èr yuè shí rì.</v>
      </c>
      <c r="J338" s="13" t="str">
        <f ca="1">IFERROR(__xludf.DUMMYFUNCTION("""COMPUTED_VALUE"""),"Hôm nay là ngày 10 tháng 2.")</f>
        <v>Hôm nay là ngày 10 tháng 2.</v>
      </c>
      <c r="K338" s="13" t="str">
        <f ca="1">IFERROR(__xludf.DUMMYFUNCTION("""COMPUTED_VALUE"""),"H2_B15_BG-01.gif")</f>
        <v>H2_B15_BG-01.gif</v>
      </c>
      <c r="L338" s="13" t="str">
        <f ca="1">IFERROR(__xludf.DUMMYFUNCTION("""COMPUTED_VALUE"""),"H2_B15_1.mp3")</f>
        <v>H2_B15_1.mp3</v>
      </c>
      <c r="M338" s="13" t="str">
        <f ca="1">IFERROR(__xludf.DUMMYFUNCTION("""COMPUTED_VALUE"""),"H2_B15_VD_1.mp3")</f>
        <v>H2_B15_VD_1.mp3</v>
      </c>
    </row>
    <row r="339" spans="1:13">
      <c r="A339" s="13">
        <f ca="1">IFERROR(__xludf.DUMMYFUNCTION("""COMPUTED_VALUE"""),2)</f>
        <v>2</v>
      </c>
      <c r="B339" s="13"/>
      <c r="C339" s="13" t="str">
        <f ca="1">IFERROR(__xludf.DUMMYFUNCTION("""COMPUTED_VALUE"""),"新年")</f>
        <v>新年</v>
      </c>
      <c r="D339" s="13" t="str">
        <f ca="1">IFERROR(__xludf.DUMMYFUNCTION("""COMPUTED_VALUE"""),"&lt;ruby&gt;新年&lt;rt&gt;xīnnián&lt;/rt&gt;&lt;/ruby&gt;")</f>
        <v>&lt;ruby&gt;新年&lt;rt&gt;xīnnián&lt;/rt&gt;&lt;/ruby&gt;</v>
      </c>
      <c r="E339" s="13" t="str">
        <f ca="1">IFERROR(__xludf.DUMMYFUNCTION("""COMPUTED_VALUE"""),"xīnnián")</f>
        <v>xīnnián</v>
      </c>
      <c r="F339" s="13" t="str">
        <f ca="1">IFERROR(__xludf.DUMMYFUNCTION("""COMPUTED_VALUE"""),"Danh từ")</f>
        <v>Danh từ</v>
      </c>
      <c r="G339" s="13" t="str">
        <f ca="1">IFERROR(__xludf.DUMMYFUNCTION("""COMPUTED_VALUE"""),"năm mới, Tết")</f>
        <v>năm mới, Tết</v>
      </c>
      <c r="H339" s="13" t="str">
        <f ca="1">IFERROR(__xludf.DUMMYFUNCTION("""COMPUTED_VALUE"""),"新年快乐！")</f>
        <v>新年快乐！</v>
      </c>
      <c r="I339" s="13" t="str">
        <f ca="1">IFERROR(__xludf.DUMMYFUNCTION("""COMPUTED_VALUE"""),"Xīnnián kuàilè!")</f>
        <v>Xīnnián kuàilè!</v>
      </c>
      <c r="J339" s="13" t="str">
        <f ca="1">IFERROR(__xludf.DUMMYFUNCTION("""COMPUTED_VALUE"""),"Chúc mừng năm mới!")</f>
        <v>Chúc mừng năm mới!</v>
      </c>
      <c r="K339" s="13" t="str">
        <f ca="1">IFERROR(__xludf.DUMMYFUNCTION("""COMPUTED_VALUE"""),"H2_B15_BG-02.gif")</f>
        <v>H2_B15_BG-02.gif</v>
      </c>
      <c r="L339" s="13" t="str">
        <f ca="1">IFERROR(__xludf.DUMMYFUNCTION("""COMPUTED_VALUE"""),"H2_B15_2.mp3")</f>
        <v>H2_B15_2.mp3</v>
      </c>
      <c r="M339" s="13" t="str">
        <f ca="1">IFERROR(__xludf.DUMMYFUNCTION("""COMPUTED_VALUE"""),"H2_B15_VD_2.mp3")</f>
        <v>H2_B15_VD_2.mp3</v>
      </c>
    </row>
    <row r="340" spans="1:13">
      <c r="A340" s="13">
        <f ca="1">IFERROR(__xludf.DUMMYFUNCTION("""COMPUTED_VALUE"""),3)</f>
        <v>3</v>
      </c>
      <c r="B340" s="13"/>
      <c r="C340" s="13" t="str">
        <f ca="1">IFERROR(__xludf.DUMMYFUNCTION("""COMPUTED_VALUE"""),"票")</f>
        <v>票</v>
      </c>
      <c r="D340" s="13" t="str">
        <f ca="1">IFERROR(__xludf.DUMMYFUNCTION("""COMPUTED_VALUE"""),"&lt;ruby&gt;票&lt;rt&gt;piào&lt;/rt&gt;&lt;/ruby&gt;")</f>
        <v>&lt;ruby&gt;票&lt;rt&gt;piào&lt;/rt&gt;&lt;/ruby&gt;</v>
      </c>
      <c r="E340" s="13" t="str">
        <f ca="1">IFERROR(__xludf.DUMMYFUNCTION("""COMPUTED_VALUE"""),"piào")</f>
        <v>piào</v>
      </c>
      <c r="F340" s="13" t="str">
        <f ca="1">IFERROR(__xludf.DUMMYFUNCTION("""COMPUTED_VALUE"""),"Danh từ")</f>
        <v>Danh từ</v>
      </c>
      <c r="G340" s="13" t="str">
        <f ca="1">IFERROR(__xludf.DUMMYFUNCTION("""COMPUTED_VALUE"""),"vé")</f>
        <v>vé</v>
      </c>
      <c r="H340" s="13" t="str">
        <f ca="1">IFERROR(__xludf.DUMMYFUNCTION("""COMPUTED_VALUE"""),"我买了两张今晚的电影票。")</f>
        <v>我买了两张今晚的电影票。</v>
      </c>
      <c r="I340" s="13" t="str">
        <f ca="1">IFERROR(__xludf.DUMMYFUNCTION("""COMPUTED_VALUE"""),"Wǒ mǎi le liǎng zhāng jīnwǎn de diànyǐng piào.")</f>
        <v>Wǒ mǎi le liǎng zhāng jīnwǎn de diànyǐng piào.</v>
      </c>
      <c r="J340" s="13" t="str">
        <f ca="1">IFERROR(__xludf.DUMMYFUNCTION("""COMPUTED_VALUE"""),"Tôi mua 2 vé xem phim tối nay rồi.")</f>
        <v>Tôi mua 2 vé xem phim tối nay rồi.</v>
      </c>
      <c r="K340" s="13" t="str">
        <f ca="1">IFERROR(__xludf.DUMMYFUNCTION("""COMPUTED_VALUE"""),"H2_B15_BG-03.gif")</f>
        <v>H2_B15_BG-03.gif</v>
      </c>
      <c r="L340" s="13" t="str">
        <f ca="1">IFERROR(__xludf.DUMMYFUNCTION("""COMPUTED_VALUE"""),"H2_B15_3.mp3")</f>
        <v>H2_B15_3.mp3</v>
      </c>
      <c r="M340" s="13" t="str">
        <f ca="1">IFERROR(__xludf.DUMMYFUNCTION("""COMPUTED_VALUE"""),"H2_B15_VD_3.mp3")</f>
        <v>H2_B15_VD_3.mp3</v>
      </c>
    </row>
    <row r="341" spans="1:13">
      <c r="A341" s="13">
        <f ca="1">IFERROR(__xludf.DUMMYFUNCTION("""COMPUTED_VALUE"""),4)</f>
        <v>4</v>
      </c>
      <c r="B341" s="13"/>
      <c r="C341" s="13" t="str">
        <f ca="1">IFERROR(__xludf.DUMMYFUNCTION("""COMPUTED_VALUE"""),"火车站")</f>
        <v>火车站</v>
      </c>
      <c r="D341" s="13" t="str">
        <f ca="1">IFERROR(__xludf.DUMMYFUNCTION("""COMPUTED_VALUE"""),"&lt;ruby&gt;火车站&lt;rt&gt;huǒchēzhàn&lt;/rt&gt;&lt;/ruby&gt;")</f>
        <v>&lt;ruby&gt;火车站&lt;rt&gt;huǒchēzhàn&lt;/rt&gt;&lt;/ruby&gt;</v>
      </c>
      <c r="E341" s="13" t="str">
        <f ca="1">IFERROR(__xludf.DUMMYFUNCTION("""COMPUTED_VALUE"""),"huǒchēzhàn")</f>
        <v>huǒchēzhàn</v>
      </c>
      <c r="F341" s="13" t="str">
        <f ca="1">IFERROR(__xludf.DUMMYFUNCTION("""COMPUTED_VALUE"""),"Danh từ")</f>
        <v>Danh từ</v>
      </c>
      <c r="G341" s="13" t="str">
        <f ca="1">IFERROR(__xludf.DUMMYFUNCTION("""COMPUTED_VALUE"""),"ga tàu hỏa")</f>
        <v>ga tàu hỏa</v>
      </c>
      <c r="H341" s="13" t="str">
        <f ca="1">IFERROR(__xludf.DUMMYFUNCTION("""COMPUTED_VALUE"""),"我刚到火车站。")</f>
        <v>我刚到火车站。</v>
      </c>
      <c r="I341" s="13" t="str">
        <f ca="1">IFERROR(__xludf.DUMMYFUNCTION("""COMPUTED_VALUE"""),"Wǒ gāng dào huǒchēzhàn.")</f>
        <v>Wǒ gāng dào huǒchēzhàn.</v>
      </c>
      <c r="J341" s="13" t="str">
        <f ca="1">IFERROR(__xludf.DUMMYFUNCTION("""COMPUTED_VALUE"""),"Tôi vừa đến ga tàu hỏa rồi.")</f>
        <v>Tôi vừa đến ga tàu hỏa rồi.</v>
      </c>
      <c r="K341" s="13" t="str">
        <f ca="1">IFERROR(__xludf.DUMMYFUNCTION("""COMPUTED_VALUE"""),"H2_B15_BG-04.gif")</f>
        <v>H2_B15_BG-04.gif</v>
      </c>
      <c r="L341" s="13" t="str">
        <f ca="1">IFERROR(__xludf.DUMMYFUNCTION("""COMPUTED_VALUE"""),"H2_B15_4.mp3")</f>
        <v>H2_B15_4.mp3</v>
      </c>
      <c r="M341" s="13" t="str">
        <f ca="1">IFERROR(__xludf.DUMMYFUNCTION("""COMPUTED_VALUE"""),"H2_B15_VD_4.mp3")</f>
        <v>H2_B15_VD_4.mp3</v>
      </c>
    </row>
    <row r="342" spans="1:13">
      <c r="A342" s="13">
        <f ca="1">IFERROR(__xludf.DUMMYFUNCTION("""COMPUTED_VALUE"""),5)</f>
        <v>5</v>
      </c>
      <c r="B342" s="13"/>
      <c r="C342" s="13" t="str">
        <f ca="1">IFERROR(__xludf.DUMMYFUNCTION("""COMPUTED_VALUE"""),"大家")</f>
        <v>大家</v>
      </c>
      <c r="D342" s="13" t="str">
        <f ca="1">IFERROR(__xludf.DUMMYFUNCTION("""COMPUTED_VALUE"""),"&lt;ruby&gt;大家&lt;rt&gt;dàjiā&lt;/rt&gt;&lt;/ruby&gt;")</f>
        <v>&lt;ruby&gt;大家&lt;rt&gt;dàjiā&lt;/rt&gt;&lt;/ruby&gt;</v>
      </c>
      <c r="E342" s="13" t="str">
        <f ca="1">IFERROR(__xludf.DUMMYFUNCTION("""COMPUTED_VALUE"""),"dàjiā")</f>
        <v>dàjiā</v>
      </c>
      <c r="F342" s="13" t="str">
        <f ca="1">IFERROR(__xludf.DUMMYFUNCTION("""COMPUTED_VALUE"""),"Đại từ")</f>
        <v>Đại từ</v>
      </c>
      <c r="G342" s="13" t="str">
        <f ca="1">IFERROR(__xludf.DUMMYFUNCTION("""COMPUTED_VALUE"""),"mọi người")</f>
        <v>mọi người</v>
      </c>
      <c r="H342" s="13" t="str">
        <f ca="1">IFERROR(__xludf.DUMMYFUNCTION("""COMPUTED_VALUE"""),"大家一起看电视，很开心。")</f>
        <v>大家一起看电视，很开心。</v>
      </c>
      <c r="I342" s="13" t="str">
        <f ca="1">IFERROR(__xludf.DUMMYFUNCTION("""COMPUTED_VALUE"""),"Dàjiā yīqǐ kàn diànshì, hěn kāixīn.")</f>
        <v>Dàjiā yīqǐ kàn diànshì, hěn kāixīn.</v>
      </c>
      <c r="J342" s="13" t="str">
        <f ca="1">IFERROR(__xludf.DUMMYFUNCTION("""COMPUTED_VALUE"""),"Cả nhà cùng nhau xem ti vi rất vui vẻ.")</f>
        <v>Cả nhà cùng nhau xem ti vi rất vui vẻ.</v>
      </c>
      <c r="K342" s="13" t="str">
        <f ca="1">IFERROR(__xludf.DUMMYFUNCTION("""COMPUTED_VALUE"""),"H2_B15_BG-05.gif")</f>
        <v>H2_B15_BG-05.gif</v>
      </c>
      <c r="L342" s="13" t="str">
        <f ca="1">IFERROR(__xludf.DUMMYFUNCTION("""COMPUTED_VALUE"""),"H2_B15_5.mp3")</f>
        <v>H2_B15_5.mp3</v>
      </c>
      <c r="M342" s="13" t="str">
        <f ca="1">IFERROR(__xludf.DUMMYFUNCTION("""COMPUTED_VALUE"""),"H2_B15_VD_5.mp3")</f>
        <v>H2_B15_VD_5.mp3</v>
      </c>
    </row>
    <row r="343" spans="1:13">
      <c r="A343" s="13">
        <f ca="1">IFERROR(__xludf.DUMMYFUNCTION("""COMPUTED_VALUE"""),6)</f>
        <v>6</v>
      </c>
      <c r="B343" s="13"/>
      <c r="C343" s="13" t="str">
        <f ca="1">IFERROR(__xludf.DUMMYFUNCTION("""COMPUTED_VALUE"""),"更")</f>
        <v>更</v>
      </c>
      <c r="D343" s="13" t="str">
        <f ca="1">IFERROR(__xludf.DUMMYFUNCTION("""COMPUTED_VALUE"""),"&lt;ruby&gt;更&lt;rt&gt;gèng&lt;/rt&gt;&lt;/ruby&gt;")</f>
        <v>&lt;ruby&gt;更&lt;rt&gt;gèng&lt;/rt&gt;&lt;/ruby&gt;</v>
      </c>
      <c r="E343" s="13" t="str">
        <f ca="1">IFERROR(__xludf.DUMMYFUNCTION("""COMPUTED_VALUE"""),"gèng")</f>
        <v>gèng</v>
      </c>
      <c r="F343" s="13" t="str">
        <f ca="1">IFERROR(__xludf.DUMMYFUNCTION("""COMPUTED_VALUE"""),"Phó từ")</f>
        <v>Phó từ</v>
      </c>
      <c r="G343" s="13" t="str">
        <f ca="1">IFERROR(__xludf.DUMMYFUNCTION("""COMPUTED_VALUE"""),"càng, hơn nữa")</f>
        <v>càng, hơn nữa</v>
      </c>
      <c r="H343" s="13" t="str">
        <f ca="1">IFERROR(__xludf.DUMMYFUNCTION("""COMPUTED_VALUE"""),"他比我，谁更厉害？")</f>
        <v>他比我，谁更厉害？</v>
      </c>
      <c r="I343" s="13" t="str">
        <f ca="1">IFERROR(__xludf.DUMMYFUNCTION("""COMPUTED_VALUE"""),"Tā bǐ wǒ, shéi gèng lìhài?")</f>
        <v>Tā bǐ wǒ, shéi gèng lìhài?</v>
      </c>
      <c r="J343" s="13" t="str">
        <f ca="1">IFERROR(__xludf.DUMMYFUNCTION("""COMPUTED_VALUE"""),"Anh ta so với tôi ai giỏi hơn?")</f>
        <v>Anh ta so với tôi ai giỏi hơn?</v>
      </c>
      <c r="K343" s="13" t="str">
        <f ca="1">IFERROR(__xludf.DUMMYFUNCTION("""COMPUTED_VALUE"""),"H2_B15_BG-06.gif")</f>
        <v>H2_B15_BG-06.gif</v>
      </c>
      <c r="L343" s="13" t="str">
        <f ca="1">IFERROR(__xludf.DUMMYFUNCTION("""COMPUTED_VALUE"""),"H2_B15_6.mp3")</f>
        <v>H2_B15_6.mp3</v>
      </c>
      <c r="M343" s="13" t="str">
        <f ca="1">IFERROR(__xludf.DUMMYFUNCTION("""COMPUTED_VALUE"""),"H2_B15_VD_6.mp3")</f>
        <v>H2_B15_VD_6.mp3</v>
      </c>
    </row>
    <row r="344" spans="1:13">
      <c r="A344" s="13">
        <f ca="1">IFERROR(__xludf.DUMMYFUNCTION("""COMPUTED_VALUE"""),7)</f>
        <v>7</v>
      </c>
      <c r="B344" s="13"/>
      <c r="C344" s="13" t="str">
        <f ca="1">IFERROR(__xludf.DUMMYFUNCTION("""COMPUTED_VALUE"""),"妹妹")</f>
        <v>妹妹</v>
      </c>
      <c r="D344" s="13" t="str">
        <f ca="1">IFERROR(__xludf.DUMMYFUNCTION("""COMPUTED_VALUE"""),"&lt;ruby&gt;妹妹&lt;rt&gt;mèimei&lt;/rt&gt;&lt;/ruby&gt;")</f>
        <v>&lt;ruby&gt;妹妹&lt;rt&gt;mèimei&lt;/rt&gt;&lt;/ruby&gt;</v>
      </c>
      <c r="E344" s="13" t="str">
        <f ca="1">IFERROR(__xludf.DUMMYFUNCTION("""COMPUTED_VALUE"""),"mèimei")</f>
        <v>mèimei</v>
      </c>
      <c r="F344" s="13" t="str">
        <f ca="1">IFERROR(__xludf.DUMMYFUNCTION("""COMPUTED_VALUE"""),"Danh từ")</f>
        <v>Danh từ</v>
      </c>
      <c r="G344" s="13" t="str">
        <f ca="1">IFERROR(__xludf.DUMMYFUNCTION("""COMPUTED_VALUE"""),"em gái")</f>
        <v>em gái</v>
      </c>
      <c r="H344" s="13" t="str">
        <f ca="1">IFERROR(__xludf.DUMMYFUNCTION("""COMPUTED_VALUE"""),"我送给妹妹一份生日礼物。")</f>
        <v>我送给妹妹一份生日礼物。</v>
      </c>
      <c r="I344" s="13" t="str">
        <f ca="1">IFERROR(__xludf.DUMMYFUNCTION("""COMPUTED_VALUE"""),"Wǒ sòng gěi mèimei yí fèn shēngrì lǐwù.")</f>
        <v>Wǒ sòng gěi mèimei yí fèn shēngrì lǐwù.</v>
      </c>
      <c r="J344" s="13" t="str">
        <f ca="1">IFERROR(__xludf.DUMMYFUNCTION("""COMPUTED_VALUE"""),"Tôi tặng quà sinh nhật cho em gái.")</f>
        <v>Tôi tặng quà sinh nhật cho em gái.</v>
      </c>
      <c r="K344" s="13" t="str">
        <f ca="1">IFERROR(__xludf.DUMMYFUNCTION("""COMPUTED_VALUE"""),"H2_B15_BG-07.gif")</f>
        <v>H2_B15_BG-07.gif</v>
      </c>
      <c r="L344" s="13" t="str">
        <f ca="1">IFERROR(__xludf.DUMMYFUNCTION("""COMPUTED_VALUE"""),"H2_B15_7.mp3")</f>
        <v>H2_B15_7.mp3</v>
      </c>
      <c r="M344" s="13" t="str">
        <f ca="1">IFERROR(__xludf.DUMMYFUNCTION("""COMPUTED_VALUE"""),"H2_B15_VD_7.mp3")</f>
        <v>H2_B15_VD_7.mp3</v>
      </c>
    </row>
    <row r="345" spans="1:13">
      <c r="A345" s="13">
        <f ca="1">IFERROR(__xludf.DUMMYFUNCTION("""COMPUTED_VALUE"""),8)</f>
        <v>8</v>
      </c>
      <c r="B345" s="13"/>
      <c r="C345" s="13" t="str">
        <f ca="1">IFERROR(__xludf.DUMMYFUNCTION("""COMPUTED_VALUE"""),"阴")</f>
        <v>阴</v>
      </c>
      <c r="D345" s="13" t="str">
        <f ca="1">IFERROR(__xludf.DUMMYFUNCTION("""COMPUTED_VALUE"""),"&lt;ruby&gt;阴&lt;rt&gt;yīn&lt;/rt&gt;&lt;/ruby&gt;")</f>
        <v>&lt;ruby&gt;阴&lt;rt&gt;yīn&lt;/rt&gt;&lt;/ruby&gt;</v>
      </c>
      <c r="E345" s="13" t="str">
        <f ca="1">IFERROR(__xludf.DUMMYFUNCTION("""COMPUTED_VALUE"""),"yīn")</f>
        <v>yīn</v>
      </c>
      <c r="F345" s="13" t="str">
        <f ca="1">IFERROR(__xludf.DUMMYFUNCTION("""COMPUTED_VALUE"""),"Tính từ")</f>
        <v>Tính từ</v>
      </c>
      <c r="G345" s="13" t="str">
        <f ca="1">IFERROR(__xludf.DUMMYFUNCTION("""COMPUTED_VALUE"""),"u ám, nhiều mây")</f>
        <v>u ám, nhiều mây</v>
      </c>
      <c r="H345" s="13" t="str">
        <f ca="1">IFERROR(__xludf.DUMMYFUNCTION("""COMPUTED_VALUE"""),"上午还是晴天，中午却阴得厉害。")</f>
        <v>上午还是晴天，中午却阴得厉害。</v>
      </c>
      <c r="I345" s="13" t="str">
        <f ca="1">IFERROR(__xludf.DUMMYFUNCTION("""COMPUTED_VALUE"""),"Shàngwǔ háishì qíngtiān, zhōngwǔ què yīn de lìhài.")</f>
        <v>Shàngwǔ háishì qíngtiān, zhōngwǔ què yīn de lìhài.</v>
      </c>
      <c r="J345" s="13" t="str">
        <f ca="1">IFERROR(__xludf.DUMMYFUNCTION("""COMPUTED_VALUE"""),"Buổi sáng trời vẫn nắng nhưng đến trưa trời nhiều mây.")</f>
        <v>Buổi sáng trời vẫn nắng nhưng đến trưa trời nhiều mây.</v>
      </c>
      <c r="K345" s="13" t="str">
        <f ca="1">IFERROR(__xludf.DUMMYFUNCTION("""COMPUTED_VALUE"""),"H2_B15_BG-08.gif")</f>
        <v>H2_B15_BG-08.gif</v>
      </c>
      <c r="L345" s="13" t="str">
        <f ca="1">IFERROR(__xludf.DUMMYFUNCTION("""COMPUTED_VALUE"""),"H2_B15_8.mp3")</f>
        <v>H2_B15_8.mp3</v>
      </c>
      <c r="M345" s="13" t="str">
        <f ca="1">IFERROR(__xludf.DUMMYFUNCTION("""COMPUTED_VALUE"""),"H2_B15_VD_8.mp3")</f>
        <v>H2_B15_VD_8.mp3</v>
      </c>
    </row>
    <row r="346" spans="1:13">
      <c r="A346" s="13"/>
      <c r="B346" s="13" t="str">
        <f ca="1">IFERROR(__xludf.DUMMYFUNCTION("""COMPUTED_VALUE"""),"Tên chủ đề")</f>
        <v>Tên chủ đề</v>
      </c>
      <c r="C346" s="13" t="str">
        <f ca="1">IFERROR(__xludf.DUMMYFUNCTION("""COMPUTED_VALUE"""),"Từ vựng")</f>
        <v>Từ vựng</v>
      </c>
      <c r="D346" s="13" t="str">
        <f ca="1">IFERROR(__xludf.DUMMYFUNCTION("""COMPUTED_VALUE"""),"HTML")</f>
        <v>HTML</v>
      </c>
      <c r="E346" s="13" t="str">
        <f ca="1">IFERROR(__xludf.DUMMYFUNCTION("""COMPUTED_VALUE"""),"Phiên âm")</f>
        <v>Phiên âm</v>
      </c>
      <c r="F346" s="13" t="str">
        <f ca="1">IFERROR(__xludf.DUMMYFUNCTION("""COMPUTED_VALUE"""),"Loại từ")</f>
        <v>Loại từ</v>
      </c>
      <c r="G346" s="13" t="str">
        <f ca="1">IFERROR(__xludf.DUMMYFUNCTION("""COMPUTED_VALUE"""),"Nghĩa")</f>
        <v>Nghĩa</v>
      </c>
      <c r="H346" s="13" t="str">
        <f ca="1">IFERROR(__xludf.DUMMYFUNCTION("""COMPUTED_VALUE"""),"Ví dụ")</f>
        <v>Ví dụ</v>
      </c>
      <c r="I346" s="13" t="str">
        <f ca="1">IFERROR(__xludf.DUMMYFUNCTION("""COMPUTED_VALUE"""),"Pinyin")</f>
        <v>Pinyin</v>
      </c>
      <c r="J346" s="13" t="str">
        <f ca="1">IFERROR(__xludf.DUMMYFUNCTION("""COMPUTED_VALUE"""),"Nghĩa ví dụ")</f>
        <v>Nghĩa ví dụ</v>
      </c>
      <c r="K346" s="13" t="str">
        <f ca="1">IFERROR(__xludf.DUMMYFUNCTION("""COMPUTED_VALUE"""),"Tên ảnh/Gif flashcard")</f>
        <v>Tên ảnh/Gif flashcard</v>
      </c>
      <c r="L346" s="13" t="str">
        <f ca="1">IFERROR(__xludf.DUMMYFUNCTION("""COMPUTED_VALUE"""),"Tên audio từ vựng")</f>
        <v>Tên audio từ vựng</v>
      </c>
      <c r="M346" s="13" t="str">
        <f ca="1">IFERROR(__xludf.DUMMYFUNCTION("""COMPUTED_VALUE"""),"Tên audio ví dụ")</f>
        <v>Tên audio ví dụ</v>
      </c>
    </row>
    <row r="347" spans="1:13">
      <c r="A347" s="13">
        <f ca="1">IFERROR(__xludf.DUMMYFUNCTION("""COMPUTED_VALUE"""),1)</f>
        <v>1</v>
      </c>
      <c r="B347" s="13"/>
      <c r="C347" s="13" t="str">
        <f ca="1">IFERROR(__xludf.DUMMYFUNCTION("""COMPUTED_VALUE"""),"周末")</f>
        <v>周末</v>
      </c>
      <c r="D347" s="13" t="str">
        <f ca="1">IFERROR(__xludf.DUMMYFUNCTION("""COMPUTED_VALUE"""),"&lt;ruby&gt;周末&lt;rt&gt;zhōumò&lt;/rt&gt;&lt;/ruby&gt;")</f>
        <v>&lt;ruby&gt;周末&lt;rt&gt;zhōumò&lt;/rt&gt;&lt;/ruby&gt;</v>
      </c>
      <c r="E347" s="13" t="str">
        <f ca="1">IFERROR(__xludf.DUMMYFUNCTION("""COMPUTED_VALUE"""),"zhōumò")</f>
        <v>zhōumò</v>
      </c>
      <c r="F347" s="13" t="str">
        <f ca="1">IFERROR(__xludf.DUMMYFUNCTION("""COMPUTED_VALUE"""),"Danh từ")</f>
        <v>Danh từ</v>
      </c>
      <c r="G347" s="13" t="str">
        <f ca="1">IFERROR(__xludf.DUMMYFUNCTION("""COMPUTED_VALUE"""),"Cuối tuần")</f>
        <v>Cuối tuần</v>
      </c>
      <c r="H347" s="13" t="str">
        <f ca="1">IFERROR(__xludf.DUMMYFUNCTION("""COMPUTED_VALUE"""),"周末你有什么打算？")</f>
        <v>周末你有什么打算？</v>
      </c>
      <c r="I347" s="13" t="str">
        <f ca="1">IFERROR(__xludf.DUMMYFUNCTION("""COMPUTED_VALUE"""),"Zhōumò nǐ yǒu shénme dǎsuàn?")</f>
        <v>Zhōumò nǐ yǒu shénme dǎsuàn?</v>
      </c>
      <c r="J347" s="13" t="str">
        <f ca="1">IFERROR(__xludf.DUMMYFUNCTION("""COMPUTED_VALUE"""),"Cuối tuần bạn định làm gì?")</f>
        <v>Cuối tuần bạn định làm gì?</v>
      </c>
      <c r="K347" s="13" t="str">
        <f ca="1">IFERROR(__xludf.DUMMYFUNCTION("""COMPUTED_VALUE"""),"H3_B1_BG-01.gif")</f>
        <v>H3_B1_BG-01.gif</v>
      </c>
      <c r="L347" s="13" t="str">
        <f ca="1">IFERROR(__xludf.DUMMYFUNCTION("""COMPUTED_VALUE"""),"H3_B1-01.mp3")</f>
        <v>H3_B1-01.mp3</v>
      </c>
      <c r="M347" s="13" t="str">
        <f ca="1">IFERROR(__xludf.DUMMYFUNCTION("""COMPUTED_VALUE"""),"H3_B1_VD_1.mp3")</f>
        <v>H3_B1_VD_1.mp3</v>
      </c>
    </row>
    <row r="348" spans="1:13">
      <c r="A348" s="13">
        <f ca="1">IFERROR(__xludf.DUMMYFUNCTION("""COMPUTED_VALUE"""),2)</f>
        <v>2</v>
      </c>
      <c r="B348" s="13"/>
      <c r="C348" s="13" t="str">
        <f ca="1">IFERROR(__xludf.DUMMYFUNCTION("""COMPUTED_VALUE"""),"打算")</f>
        <v>打算</v>
      </c>
      <c r="D348" s="13" t="str">
        <f ca="1">IFERROR(__xludf.DUMMYFUNCTION("""COMPUTED_VALUE"""),"&lt;ruby&gt;打算&lt;rt&gt;dǎsuàn&lt;/rt&gt;&lt;/ruby&gt;")</f>
        <v>&lt;ruby&gt;打算&lt;rt&gt;dǎsuàn&lt;/rt&gt;&lt;/ruby&gt;</v>
      </c>
      <c r="E348" s="13" t="str">
        <f ca="1">IFERROR(__xludf.DUMMYFUNCTION("""COMPUTED_VALUE"""),"dǎsuàn")</f>
        <v>dǎsuàn</v>
      </c>
      <c r="F348" s="13" t="str">
        <f ca="1">IFERROR(__xludf.DUMMYFUNCTION("""COMPUTED_VALUE"""),"Danh từ/Động từ")</f>
        <v>Danh từ/Động từ</v>
      </c>
      <c r="G348" s="13" t="str">
        <f ca="1">IFERROR(__xludf.DUMMYFUNCTION("""COMPUTED_VALUE"""),"Kế hoạch, dự định")</f>
        <v>Kế hoạch, dự định</v>
      </c>
      <c r="H348" s="13" t="str">
        <f ca="1">IFERROR(__xludf.DUMMYFUNCTION("""COMPUTED_VALUE"""),"我打算去超市买东西。")</f>
        <v>我打算去超市买东西。</v>
      </c>
      <c r="I348" s="13" t="str">
        <f ca="1">IFERROR(__xludf.DUMMYFUNCTION("""COMPUTED_VALUE"""),"Wǒ dǎsuàn qù chāoshì mǎi dōngxī.")</f>
        <v>Wǒ dǎsuàn qù chāoshì mǎi dōngxī.</v>
      </c>
      <c r="J348" s="13" t="str">
        <f ca="1">IFERROR(__xludf.DUMMYFUNCTION("""COMPUTED_VALUE"""),"Tôi dự định đi siêu thị mua đồ.")</f>
        <v>Tôi dự định đi siêu thị mua đồ.</v>
      </c>
      <c r="K348" s="13" t="str">
        <f ca="1">IFERROR(__xludf.DUMMYFUNCTION("""COMPUTED_VALUE"""),"H3_B1_BG-02.gif")</f>
        <v>H3_B1_BG-02.gif</v>
      </c>
      <c r="L348" s="13" t="str">
        <f ca="1">IFERROR(__xludf.DUMMYFUNCTION("""COMPUTED_VALUE"""),"H3_B1-02.mp3")</f>
        <v>H3_B1-02.mp3</v>
      </c>
      <c r="M348" s="13" t="str">
        <f ca="1">IFERROR(__xludf.DUMMYFUNCTION("""COMPUTED_VALUE"""),"H3_B1_VD_2.mp3")</f>
        <v>H3_B1_VD_2.mp3</v>
      </c>
    </row>
    <row r="349" spans="1:13">
      <c r="A349" s="13">
        <f ca="1">IFERROR(__xludf.DUMMYFUNCTION("""COMPUTED_VALUE"""),3)</f>
        <v>3</v>
      </c>
      <c r="B349" s="13"/>
      <c r="C349" s="13" t="str">
        <f ca="1">IFERROR(__xludf.DUMMYFUNCTION("""COMPUTED_VALUE"""),"一直")</f>
        <v>一直</v>
      </c>
      <c r="D349" s="13" t="str">
        <f ca="1">IFERROR(__xludf.DUMMYFUNCTION("""COMPUTED_VALUE"""),"&lt;ruby&gt;一直&lt;rt&gt;yīzhí&lt;/rt&gt;&lt;/ruby&gt;")</f>
        <v>&lt;ruby&gt;一直&lt;rt&gt;yīzhí&lt;/rt&gt;&lt;/ruby&gt;</v>
      </c>
      <c r="E349" s="13" t="str">
        <f ca="1">IFERROR(__xludf.DUMMYFUNCTION("""COMPUTED_VALUE"""),"yīzhí")</f>
        <v>yīzhí</v>
      </c>
      <c r="F349" s="13" t="str">
        <f ca="1">IFERROR(__xludf.DUMMYFUNCTION("""COMPUTED_VALUE"""),"Phó từ")</f>
        <v>Phó từ</v>
      </c>
      <c r="G349" s="13" t="str">
        <f ca="1">IFERROR(__xludf.DUMMYFUNCTION("""COMPUTED_VALUE"""),"Suốt, liên tục ")</f>
        <v xml:space="preserve">Suốt, liên tục </v>
      </c>
      <c r="H349" s="13" t="str">
        <f ca="1">IFERROR(__xludf.DUMMYFUNCTION("""COMPUTED_VALUE"""),"他一直梦想去全世界旅游。")</f>
        <v>他一直梦想去全世界旅游。</v>
      </c>
      <c r="I349" s="13" t="str">
        <f ca="1">IFERROR(__xludf.DUMMYFUNCTION("""COMPUTED_VALUE"""),"Tā yīzhí mèngxiǎng qù quán shìjiè lǚyóu.")</f>
        <v>Tā yīzhí mèngxiǎng qù quán shìjiè lǚyóu.</v>
      </c>
      <c r="J349" s="13" t="str">
        <f ca="1">IFERROR(__xludf.DUMMYFUNCTION("""COMPUTED_VALUE"""),"Anh ấy luôn mơ ước được đi du lịch vòng quanh thế giới.")</f>
        <v>Anh ấy luôn mơ ước được đi du lịch vòng quanh thế giới.</v>
      </c>
      <c r="K349" s="13" t="str">
        <f ca="1">IFERROR(__xludf.DUMMYFUNCTION("""COMPUTED_VALUE"""),"H3_B1_BG-03.gif")</f>
        <v>H3_B1_BG-03.gif</v>
      </c>
      <c r="L349" s="13" t="str">
        <f ca="1">IFERROR(__xludf.DUMMYFUNCTION("""COMPUTED_VALUE"""),"H3_B1-03.mp3")</f>
        <v>H3_B1-03.mp3</v>
      </c>
      <c r="M349" s="13" t="str">
        <f ca="1">IFERROR(__xludf.DUMMYFUNCTION("""COMPUTED_VALUE"""),"H3_B1_VD_3.mp3")</f>
        <v>H3_B1_VD_3.mp3</v>
      </c>
    </row>
    <row r="350" spans="1:13">
      <c r="A350" s="13">
        <f ca="1">IFERROR(__xludf.DUMMYFUNCTION("""COMPUTED_VALUE"""),4)</f>
        <v>4</v>
      </c>
      <c r="B350" s="13"/>
      <c r="C350" s="13" t="str">
        <f ca="1">IFERROR(__xludf.DUMMYFUNCTION("""COMPUTED_VALUE"""),"着急")</f>
        <v>着急</v>
      </c>
      <c r="D350" s="13" t="str">
        <f ca="1">IFERROR(__xludf.DUMMYFUNCTION("""COMPUTED_VALUE"""),"&lt;ruby&gt;着急&lt;rt&gt;zháojí&lt;/rt&gt;&lt;/ruby&gt;")</f>
        <v>&lt;ruby&gt;着急&lt;rt&gt;zháojí&lt;/rt&gt;&lt;/ruby&gt;</v>
      </c>
      <c r="E350" s="13" t="str">
        <f ca="1">IFERROR(__xludf.DUMMYFUNCTION("""COMPUTED_VALUE"""),"zháojí")</f>
        <v>zháojí</v>
      </c>
      <c r="F350" s="13" t="str">
        <f ca="1">IFERROR(__xludf.DUMMYFUNCTION("""COMPUTED_VALUE"""),"Động từ")</f>
        <v>Động từ</v>
      </c>
      <c r="G350" s="13" t="str">
        <f ca="1">IFERROR(__xludf.DUMMYFUNCTION("""COMPUTED_VALUE"""),"Lo lắng, vội")</f>
        <v>Lo lắng, vội</v>
      </c>
      <c r="H350" s="13" t="str">
        <f ca="1">IFERROR(__xludf.DUMMYFUNCTION("""COMPUTED_VALUE"""),"别着急，慢慢走。")</f>
        <v>别着急，慢慢走。</v>
      </c>
      <c r="I350" s="13" t="str">
        <f ca="1">IFERROR(__xludf.DUMMYFUNCTION("""COMPUTED_VALUE"""),"Bié zhāojí, mànmàn zǒu.")</f>
        <v>Bié zhāojí, mànmàn zǒu.</v>
      </c>
      <c r="J350" s="13" t="str">
        <f ca="1">IFERROR(__xludf.DUMMYFUNCTION("""COMPUTED_VALUE"""),"Đừng vội, cứ đi từ từ.")</f>
        <v>Đừng vội, cứ đi từ từ.</v>
      </c>
      <c r="K350" s="13" t="str">
        <f ca="1">IFERROR(__xludf.DUMMYFUNCTION("""COMPUTED_VALUE"""),"H3_B1_BG-04.gif")</f>
        <v>H3_B1_BG-04.gif</v>
      </c>
      <c r="L350" s="13" t="str">
        <f ca="1">IFERROR(__xludf.DUMMYFUNCTION("""COMPUTED_VALUE"""),"H3_B1-04.mp3")</f>
        <v>H3_B1-04.mp3</v>
      </c>
      <c r="M350" s="13" t="str">
        <f ca="1">IFERROR(__xludf.DUMMYFUNCTION("""COMPUTED_VALUE"""),"H3_B1_VD_4.mp3")</f>
        <v>H3_B1_VD_4.mp3</v>
      </c>
    </row>
    <row r="351" spans="1:13">
      <c r="A351" s="13">
        <f ca="1">IFERROR(__xludf.DUMMYFUNCTION("""COMPUTED_VALUE"""),5)</f>
        <v>5</v>
      </c>
      <c r="B351" s="13"/>
      <c r="C351" s="13" t="str">
        <f ca="1">IFERROR(__xludf.DUMMYFUNCTION("""COMPUTED_VALUE"""),"作业")</f>
        <v>作业</v>
      </c>
      <c r="D351" s="13" t="str">
        <f ca="1">IFERROR(__xludf.DUMMYFUNCTION("""COMPUTED_VALUE"""),"&lt;ruby&gt;作业&lt;rt&gt;zuòyè&lt;/rt&gt;&lt;/ruby&gt;")</f>
        <v>&lt;ruby&gt;作业&lt;rt&gt;zuòyè&lt;/rt&gt;&lt;/ruby&gt;</v>
      </c>
      <c r="E351" s="13" t="str">
        <f ca="1">IFERROR(__xludf.DUMMYFUNCTION("""COMPUTED_VALUE"""),"zuòyè")</f>
        <v>zuòyè</v>
      </c>
      <c r="F351" s="13" t="str">
        <f ca="1">IFERROR(__xludf.DUMMYFUNCTION("""COMPUTED_VALUE"""),"Danh từ")</f>
        <v>Danh từ</v>
      </c>
      <c r="G351" s="13" t="str">
        <f ca="1">IFERROR(__xludf.DUMMYFUNCTION("""COMPUTED_VALUE"""),"Bài tập về nhà")</f>
        <v>Bài tập về nhà</v>
      </c>
      <c r="H351" s="13" t="str">
        <f ca="1">IFERROR(__xludf.DUMMYFUNCTION("""COMPUTED_VALUE"""),"你做完作业了吗？")</f>
        <v>你做完作业了吗？</v>
      </c>
      <c r="I351" s="13" t="str">
        <f ca="1">IFERROR(__xludf.DUMMYFUNCTION("""COMPUTED_VALUE"""),"Nǐ zuòwán zuòyè le ma?")</f>
        <v>Nǐ zuòwán zuòyè le ma?</v>
      </c>
      <c r="J351" s="13" t="str">
        <f ca="1">IFERROR(__xludf.DUMMYFUNCTION("""COMPUTED_VALUE"""),"Bạn làm xong bài tập chưa?")</f>
        <v>Bạn làm xong bài tập chưa?</v>
      </c>
      <c r="K351" s="13" t="str">
        <f ca="1">IFERROR(__xludf.DUMMYFUNCTION("""COMPUTED_VALUE"""),"H3_B1_BG-05.gif")</f>
        <v>H3_B1_BG-05.gif</v>
      </c>
      <c r="L351" s="13" t="str">
        <f ca="1">IFERROR(__xludf.DUMMYFUNCTION("""COMPUTED_VALUE"""),"H3_B1-05.mp3")</f>
        <v>H3_B1-05.mp3</v>
      </c>
      <c r="M351" s="13" t="str">
        <f ca="1">IFERROR(__xludf.DUMMYFUNCTION("""COMPUTED_VALUE"""),"H3_B1_VD_5.mp3")</f>
        <v>H3_B1_VD_5.mp3</v>
      </c>
    </row>
    <row r="352" spans="1:13">
      <c r="A352" s="13">
        <f ca="1">IFERROR(__xludf.DUMMYFUNCTION("""COMPUTED_VALUE"""),6)</f>
        <v>6</v>
      </c>
      <c r="B352" s="13"/>
      <c r="C352" s="13" t="str">
        <f ca="1">IFERROR(__xludf.DUMMYFUNCTION("""COMPUTED_VALUE"""),"复习")</f>
        <v>复习</v>
      </c>
      <c r="D352" s="13" t="str">
        <f ca="1">IFERROR(__xludf.DUMMYFUNCTION("""COMPUTED_VALUE"""),"&lt;ruby&gt;复习&lt;rt&gt;fùxí&lt;/rt&gt;&lt;/ruby&gt;")</f>
        <v>&lt;ruby&gt;复习&lt;rt&gt;fùxí&lt;/rt&gt;&lt;/ruby&gt;</v>
      </c>
      <c r="E352" s="13" t="str">
        <f ca="1">IFERROR(__xludf.DUMMYFUNCTION("""COMPUTED_VALUE"""),"fùxí")</f>
        <v>fùxí</v>
      </c>
      <c r="F352" s="13" t="str">
        <f ca="1">IFERROR(__xludf.DUMMYFUNCTION("""COMPUTED_VALUE"""),"Động từ")</f>
        <v>Động từ</v>
      </c>
      <c r="G352" s="13" t="str">
        <f ca="1">IFERROR(__xludf.DUMMYFUNCTION("""COMPUTED_VALUE"""),"Ôn tập")</f>
        <v>Ôn tập</v>
      </c>
      <c r="H352" s="13" t="str">
        <f ca="1">IFERROR(__xludf.DUMMYFUNCTION("""COMPUTED_VALUE"""),"明天考试，我们一起复习吧！")</f>
        <v>明天考试，我们一起复习吧！</v>
      </c>
      <c r="I352" s="13" t="str">
        <f ca="1">IFERROR(__xludf.DUMMYFUNCTION("""COMPUTED_VALUE"""),"Míngtiān kǎoshì, wǒmen yīqǐ fùxí ba!")</f>
        <v>Míngtiān kǎoshì, wǒmen yīqǐ fùxí ba!</v>
      </c>
      <c r="J352" s="13" t="str">
        <f ca="1">IFERROR(__xludf.DUMMYFUNCTION("""COMPUTED_VALUE"""),"Ngày mai thi rồi, chúng ta cùng ôn tập đi!")</f>
        <v>Ngày mai thi rồi, chúng ta cùng ôn tập đi!</v>
      </c>
      <c r="K352" s="13" t="str">
        <f ca="1">IFERROR(__xludf.DUMMYFUNCTION("""COMPUTED_VALUE"""),"H3_B1_BG-06.gif")</f>
        <v>H3_B1_BG-06.gif</v>
      </c>
      <c r="L352" s="13" t="str">
        <f ca="1">IFERROR(__xludf.DUMMYFUNCTION("""COMPUTED_VALUE"""),"H3_B1-06.mp3")</f>
        <v>H3_B1-06.mp3</v>
      </c>
      <c r="M352" s="13" t="str">
        <f ca="1">IFERROR(__xludf.DUMMYFUNCTION("""COMPUTED_VALUE"""),"H3_B1_VD_6.mp3")</f>
        <v>H3_B1_VD_6.mp3</v>
      </c>
    </row>
    <row r="353" spans="1:13">
      <c r="A353" s="13">
        <f ca="1">IFERROR(__xludf.DUMMYFUNCTION("""COMPUTED_VALUE"""),7)</f>
        <v>7</v>
      </c>
      <c r="B353" s="13"/>
      <c r="C353" s="13" t="str">
        <f ca="1">IFERROR(__xludf.DUMMYFUNCTION("""COMPUTED_VALUE"""),"游戏")</f>
        <v>游戏</v>
      </c>
      <c r="D353" s="13" t="str">
        <f ca="1">IFERROR(__xludf.DUMMYFUNCTION("""COMPUTED_VALUE"""),"&lt;ruby&gt;游戏&lt;rt&gt;yóuxì&lt;/rt&gt;&lt;/ruby&gt;")</f>
        <v>&lt;ruby&gt;游戏&lt;rt&gt;yóuxì&lt;/rt&gt;&lt;/ruby&gt;</v>
      </c>
      <c r="E353" s="13" t="str">
        <f ca="1">IFERROR(__xludf.DUMMYFUNCTION("""COMPUTED_VALUE"""),"yóuxì")</f>
        <v>yóuxì</v>
      </c>
      <c r="F353" s="13" t="str">
        <f ca="1">IFERROR(__xludf.DUMMYFUNCTION("""COMPUTED_VALUE"""),"Danh từ")</f>
        <v>Danh từ</v>
      </c>
      <c r="G353" s="13" t="str">
        <f ca="1">IFERROR(__xludf.DUMMYFUNCTION("""COMPUTED_VALUE"""),"Trò chơi")</f>
        <v>Trò chơi</v>
      </c>
      <c r="H353" s="13" t="str">
        <f ca="1">IFERROR(__xludf.DUMMYFUNCTION("""COMPUTED_VALUE"""),"弟弟很喜欢玩游戏。")</f>
        <v>弟弟很喜欢玩游戏。</v>
      </c>
      <c r="I353" s="13" t="str">
        <f ca="1">IFERROR(__xludf.DUMMYFUNCTION("""COMPUTED_VALUE"""),"Dìdi hěn xǐhuān wán yóuxì.")</f>
        <v>Dìdi hěn xǐhuān wán yóuxì.</v>
      </c>
      <c r="J353" s="13" t="str">
        <f ca="1">IFERROR(__xludf.DUMMYFUNCTION("""COMPUTED_VALUE"""),"Em trai rất thích chơi trò chơi.")</f>
        <v>Em trai rất thích chơi trò chơi.</v>
      </c>
      <c r="K353" s="13" t="str">
        <f ca="1">IFERROR(__xludf.DUMMYFUNCTION("""COMPUTED_VALUE"""),"H3_B1_BG-07.gif")</f>
        <v>H3_B1_BG-07.gif</v>
      </c>
      <c r="L353" s="13" t="str">
        <f ca="1">IFERROR(__xludf.DUMMYFUNCTION("""COMPUTED_VALUE"""),"H3_B1-07.mp3")</f>
        <v>H3_B1-07.mp3</v>
      </c>
      <c r="M353" s="13" t="str">
        <f ca="1">IFERROR(__xludf.DUMMYFUNCTION("""COMPUTED_VALUE"""),"H3_B1_VD_7.mp3")</f>
        <v>H3_B1_VD_7.mp3</v>
      </c>
    </row>
    <row r="354" spans="1:13">
      <c r="A354" s="13">
        <f ca="1">IFERROR(__xludf.DUMMYFUNCTION("""COMPUTED_VALUE"""),8)</f>
        <v>8</v>
      </c>
      <c r="B354" s="13"/>
      <c r="C354" s="13" t="str">
        <f ca="1">IFERROR(__xludf.DUMMYFUNCTION("""COMPUTED_VALUE"""),"南(方)")</f>
        <v>南(方)</v>
      </c>
      <c r="D354" s="13" t="str">
        <f ca="1">IFERROR(__xludf.DUMMYFUNCTION("""COMPUTED_VALUE"""),"&lt;ruby&gt;南(方)&lt;rt&gt;nánfāng&lt;/rt&gt;&lt;/ruby&gt;")</f>
        <v>&lt;ruby&gt;南(方)&lt;rt&gt;nánfāng&lt;/rt&gt;&lt;/ruby&gt;</v>
      </c>
      <c r="E354" s="13" t="str">
        <f ca="1">IFERROR(__xludf.DUMMYFUNCTION("""COMPUTED_VALUE"""),"nánfāng")</f>
        <v>nánfāng</v>
      </c>
      <c r="F354" s="13" t="str">
        <f ca="1">IFERROR(__xludf.DUMMYFUNCTION("""COMPUTED_VALUE"""),"Danh từ")</f>
        <v>Danh từ</v>
      </c>
      <c r="G354" s="13" t="str">
        <f ca="1">IFERROR(__xludf.DUMMYFUNCTION("""COMPUTED_VALUE"""),"Miền Nam, phía Nam")</f>
        <v>Miền Nam, phía Nam</v>
      </c>
      <c r="H354" s="13" t="str">
        <f ca="1">IFERROR(__xludf.DUMMYFUNCTION("""COMPUTED_VALUE"""),"我去过中国的南方。")</f>
        <v>我去过中国的南方。</v>
      </c>
      <c r="I354" s="13" t="str">
        <f ca="1">IFERROR(__xludf.DUMMYFUNCTION("""COMPUTED_VALUE"""),"Wǒ qùguò Zhōngguó de nánfāng.")</f>
        <v>Wǒ qùguò Zhōngguó de nánfāng.</v>
      </c>
      <c r="J354" s="13" t="str">
        <f ca="1">IFERROR(__xludf.DUMMYFUNCTION("""COMPUTED_VALUE"""),"Tôi đã từng đến miền Nam Trung Quốc.")</f>
        <v>Tôi đã từng đến miền Nam Trung Quốc.</v>
      </c>
      <c r="K354" s="13" t="str">
        <f ca="1">IFERROR(__xludf.DUMMYFUNCTION("""COMPUTED_VALUE"""),"H3_B1_BG-08.gif")</f>
        <v>H3_B1_BG-08.gif</v>
      </c>
      <c r="L354" s="13" t="str">
        <f ca="1">IFERROR(__xludf.DUMMYFUNCTION("""COMPUTED_VALUE"""),"H3_B1-08.mp3")</f>
        <v>H3_B1-08.mp3</v>
      </c>
      <c r="M354" s="13" t="str">
        <f ca="1">IFERROR(__xludf.DUMMYFUNCTION("""COMPUTED_VALUE"""),"H3_B1_VD_8.mp3")</f>
        <v>H3_B1_VD_8.mp3</v>
      </c>
    </row>
    <row r="355" spans="1:13">
      <c r="A355" s="13">
        <f ca="1">IFERROR(__xludf.DUMMYFUNCTION("""COMPUTED_VALUE"""),9)</f>
        <v>9</v>
      </c>
      <c r="B355" s="13"/>
      <c r="C355" s="13" t="str">
        <f ca="1">IFERROR(__xludf.DUMMYFUNCTION("""COMPUTED_VALUE"""),"北(方)")</f>
        <v>北(方)</v>
      </c>
      <c r="D355" s="13" t="str">
        <f ca="1">IFERROR(__xludf.DUMMYFUNCTION("""COMPUTED_VALUE"""),"&lt;ruby&gt;北(方)&lt;rt&gt;běifāng&lt;/rt&gt;&lt;/ruby&gt;")</f>
        <v>&lt;ruby&gt;北(方)&lt;rt&gt;běifāng&lt;/rt&gt;&lt;/ruby&gt;</v>
      </c>
      <c r="E355" s="13" t="str">
        <f ca="1">IFERROR(__xludf.DUMMYFUNCTION("""COMPUTED_VALUE"""),"běifāng")</f>
        <v>běifāng</v>
      </c>
      <c r="F355" s="13" t="str">
        <f ca="1">IFERROR(__xludf.DUMMYFUNCTION("""COMPUTED_VALUE"""),"Danh từ")</f>
        <v>Danh từ</v>
      </c>
      <c r="G355" s="13" t="str">
        <f ca="1">IFERROR(__xludf.DUMMYFUNCTION("""COMPUTED_VALUE"""),"Miền Bắc, phía Bắc")</f>
        <v>Miền Bắc, phía Bắc</v>
      </c>
      <c r="H355" s="13" t="str">
        <f ca="1">IFERROR(__xludf.DUMMYFUNCTION("""COMPUTED_VALUE"""),"北方的冬天很冷。")</f>
        <v>北方的冬天很冷。</v>
      </c>
      <c r="I355" s="13" t="str">
        <f ca="1">IFERROR(__xludf.DUMMYFUNCTION("""COMPUTED_VALUE"""),"Běifāng de dōngtiān hěn lěng.")</f>
        <v>Běifāng de dōngtiān hěn lěng.</v>
      </c>
      <c r="J355" s="13" t="str">
        <f ca="1">IFERROR(__xludf.DUMMYFUNCTION("""COMPUTED_VALUE"""),"Mùa đông ở miền Bắc rất lạnh.")</f>
        <v>Mùa đông ở miền Bắc rất lạnh.</v>
      </c>
      <c r="K355" s="13" t="str">
        <f ca="1">IFERROR(__xludf.DUMMYFUNCTION("""COMPUTED_VALUE"""),"H3_B1_BG-09.gif")</f>
        <v>H3_B1_BG-09.gif</v>
      </c>
      <c r="L355" s="13" t="str">
        <f ca="1">IFERROR(__xludf.DUMMYFUNCTION("""COMPUTED_VALUE"""),"H3_B1-09.mp3")</f>
        <v>H3_B1-09.mp3</v>
      </c>
      <c r="M355" s="13" t="str">
        <f ca="1">IFERROR(__xludf.DUMMYFUNCTION("""COMPUTED_VALUE"""),"H3_B1_VD_9.mp3")</f>
        <v>H3_B1_VD_9.mp3</v>
      </c>
    </row>
    <row r="356" spans="1:13">
      <c r="A356" s="13">
        <f ca="1">IFERROR(__xludf.DUMMYFUNCTION("""COMPUTED_VALUE"""),10)</f>
        <v>10</v>
      </c>
      <c r="B356" s="13"/>
      <c r="C356" s="13" t="str">
        <f ca="1">IFERROR(__xludf.DUMMYFUNCTION("""COMPUTED_VALUE"""),"地图")</f>
        <v>地图</v>
      </c>
      <c r="D356" s="13" t="str">
        <f ca="1">IFERROR(__xludf.DUMMYFUNCTION("""COMPUTED_VALUE"""),"&lt;ruby&gt;地图&lt;rt&gt;dìtú&lt;/rt&gt;&lt;/ruby&gt;")</f>
        <v>&lt;ruby&gt;地图&lt;rt&gt;dìtú&lt;/rt&gt;&lt;/ruby&gt;</v>
      </c>
      <c r="E356" s="13" t="str">
        <f ca="1">IFERROR(__xludf.DUMMYFUNCTION("""COMPUTED_VALUE"""),"dìtú")</f>
        <v>dìtú</v>
      </c>
      <c r="F356" s="13" t="str">
        <f ca="1">IFERROR(__xludf.DUMMYFUNCTION("""COMPUTED_VALUE"""),"Danh từ")</f>
        <v>Danh từ</v>
      </c>
      <c r="G356" s="13" t="str">
        <f ca="1">IFERROR(__xludf.DUMMYFUNCTION("""COMPUTED_VALUE"""),"Bản đồ")</f>
        <v>Bản đồ</v>
      </c>
      <c r="H356" s="13" t="str">
        <f ca="1">IFERROR(__xludf.DUMMYFUNCTION("""COMPUTED_VALUE"""),"去旅行的时候，我会带一张地图。")</f>
        <v>去旅行的时候，我会带一张地图。</v>
      </c>
      <c r="I356" s="13" t="str">
        <f ca="1">IFERROR(__xludf.DUMMYFUNCTION("""COMPUTED_VALUE"""),"Qù lǚxíng de shíhou, wǒ huì dài yì zhāng dìtú.")</f>
        <v>Qù lǚxíng de shíhou, wǒ huì dài yì zhāng dìtú.</v>
      </c>
      <c r="J356" s="13" t="str">
        <f ca="1">IFERROR(__xludf.DUMMYFUNCTION("""COMPUTED_VALUE"""),"Khi đi du lịch, tôi sẽ mang theo một tấm bản đồ.")</f>
        <v>Khi đi du lịch, tôi sẽ mang theo một tấm bản đồ.</v>
      </c>
      <c r="K356" s="13" t="str">
        <f ca="1">IFERROR(__xludf.DUMMYFUNCTION("""COMPUTED_VALUE"""),"H3_B1_BG-10.gif")</f>
        <v>H3_B1_BG-10.gif</v>
      </c>
      <c r="L356" s="13" t="str">
        <f ca="1">IFERROR(__xludf.DUMMYFUNCTION("""COMPUTED_VALUE"""),"H3_B1-10.mp3")</f>
        <v>H3_B1-10.mp3</v>
      </c>
      <c r="M356" s="13" t="str">
        <f ca="1">IFERROR(__xludf.DUMMYFUNCTION("""COMPUTED_VALUE"""),"H3_B1_VD_10.mp3")</f>
        <v>H3_B1_VD_10.mp3</v>
      </c>
    </row>
    <row r="357" spans="1:13">
      <c r="A357" s="13">
        <f ca="1">IFERROR(__xludf.DUMMYFUNCTION("""COMPUTED_VALUE"""),11)</f>
        <v>11</v>
      </c>
      <c r="B357" s="13"/>
      <c r="C357" s="13" t="str">
        <f ca="1">IFERROR(__xludf.DUMMYFUNCTION("""COMPUTED_VALUE"""),"带")</f>
        <v>带</v>
      </c>
      <c r="D357" s="13" t="str">
        <f ca="1">IFERROR(__xludf.DUMMYFUNCTION("""COMPUTED_VALUE"""),"&lt;ruby&gt;带&lt;rt&gt;dài&lt;/rt&gt;&lt;/ruby&gt;")</f>
        <v>&lt;ruby&gt;带&lt;rt&gt;dài&lt;/rt&gt;&lt;/ruby&gt;</v>
      </c>
      <c r="E357" s="13" t="str">
        <f ca="1">IFERROR(__xludf.DUMMYFUNCTION("""COMPUTED_VALUE"""),"dài")</f>
        <v>dài</v>
      </c>
      <c r="F357" s="13" t="str">
        <f ca="1">IFERROR(__xludf.DUMMYFUNCTION("""COMPUTED_VALUE"""),"Động từ")</f>
        <v>Động từ</v>
      </c>
      <c r="G357" s="13" t="str">
        <f ca="1">IFERROR(__xludf.DUMMYFUNCTION("""COMPUTED_VALUE"""),"Mang theo")</f>
        <v>Mang theo</v>
      </c>
      <c r="H357" s="13" t="str">
        <f ca="1">IFERROR(__xludf.DUMMYFUNCTION("""COMPUTED_VALUE"""),"她带了一箱书和玩具去学校。")</f>
        <v>她带了一箱书和玩具去学校。</v>
      </c>
      <c r="I357" s="13" t="str">
        <f ca="1">IFERROR(__xludf.DUMMYFUNCTION("""COMPUTED_VALUE"""),"Tā dài le yì xiāng shū hé wánjù qù xuéxiào.")</f>
        <v>Tā dài le yì xiāng shū hé wánjù qù xuéxiào.</v>
      </c>
      <c r="J357" s="13" t="str">
        <f ca="1">IFERROR(__xludf.DUMMYFUNCTION("""COMPUTED_VALUE"""),"Cô ấy mang một thùng sách và đồ chơi đến trường.")</f>
        <v>Cô ấy mang một thùng sách và đồ chơi đến trường.</v>
      </c>
      <c r="K357" s="13" t="str">
        <f ca="1">IFERROR(__xludf.DUMMYFUNCTION("""COMPUTED_VALUE"""),"H3_B1_BG-11.gif")</f>
        <v>H3_B1_BG-11.gif</v>
      </c>
      <c r="L357" s="13" t="str">
        <f ca="1">IFERROR(__xludf.DUMMYFUNCTION("""COMPUTED_VALUE"""),"H3_B1-11.mp3")</f>
        <v>H3_B1-11.mp3</v>
      </c>
      <c r="M357" s="13" t="str">
        <f ca="1">IFERROR(__xludf.DUMMYFUNCTION("""COMPUTED_VALUE"""),"H3_B1_VD_11.mp3")</f>
        <v>H3_B1_VD_11.mp3</v>
      </c>
    </row>
    <row r="358" spans="1:13">
      <c r="A358" s="13">
        <f ca="1">IFERROR(__xludf.DUMMYFUNCTION("""COMPUTED_VALUE"""),12)</f>
        <v>12</v>
      </c>
      <c r="B358" s="13"/>
      <c r="C358" s="13" t="str">
        <f ca="1">IFERROR(__xludf.DUMMYFUNCTION("""COMPUTED_VALUE"""),"搬")</f>
        <v>搬</v>
      </c>
      <c r="D358" s="13" t="str">
        <f ca="1">IFERROR(__xludf.DUMMYFUNCTION("""COMPUTED_VALUE"""),"&lt;ruby&gt;搬&lt;rt&gt;bān&lt;/rt&gt;&lt;/ruby&gt;")</f>
        <v>&lt;ruby&gt;搬&lt;rt&gt;bān&lt;/rt&gt;&lt;/ruby&gt;</v>
      </c>
      <c r="E358" s="13" t="str">
        <f ca="1">IFERROR(__xludf.DUMMYFUNCTION("""COMPUTED_VALUE"""),"bān")</f>
        <v>bān</v>
      </c>
      <c r="F358" s="13" t="str">
        <f ca="1">IFERROR(__xludf.DUMMYFUNCTION("""COMPUTED_VALUE"""),"Động từ")</f>
        <v>Động từ</v>
      </c>
      <c r="G358" s="13" t="str">
        <f ca="1">IFERROR(__xludf.DUMMYFUNCTION("""COMPUTED_VALUE"""),"Chuyển, dọn, dời")</f>
        <v>Chuyển, dọn, dời</v>
      </c>
      <c r="H358" s="13" t="str">
        <f ca="1">IFERROR(__xludf.DUMMYFUNCTION("""COMPUTED_VALUE"""),"我们下个月要搬家。")</f>
        <v>我们下个月要搬家。</v>
      </c>
      <c r="I358" s="13" t="str">
        <f ca="1">IFERROR(__xludf.DUMMYFUNCTION("""COMPUTED_VALUE"""),"Wǒmen xià gè yuè yào bānjiā.")</f>
        <v>Wǒmen xià gè yuè yào bānjiā.</v>
      </c>
      <c r="J358" s="13" t="str">
        <f ca="1">IFERROR(__xludf.DUMMYFUNCTION("""COMPUTED_VALUE"""),"Tháng sau chúng tôi sẽ chuyển nhà.")</f>
        <v>Tháng sau chúng tôi sẽ chuyển nhà.</v>
      </c>
      <c r="K358" s="13" t="str">
        <f ca="1">IFERROR(__xludf.DUMMYFUNCTION("""COMPUTED_VALUE"""),"H3_B1_BG-12.gif")</f>
        <v>H3_B1_BG-12.gif</v>
      </c>
      <c r="L358" s="13" t="str">
        <f ca="1">IFERROR(__xludf.DUMMYFUNCTION("""COMPUTED_VALUE"""),"H3_B1-12.mp3")</f>
        <v>H3_B1-12.mp3</v>
      </c>
      <c r="M358" s="13" t="str">
        <f ca="1">IFERROR(__xludf.DUMMYFUNCTION("""COMPUTED_VALUE"""),"H3_B1_VD_12.mp3")</f>
        <v>H3_B1_VD_12.mp3</v>
      </c>
    </row>
    <row r="359" spans="1:13">
      <c r="A359" s="13">
        <f ca="1">IFERROR(__xludf.DUMMYFUNCTION("""COMPUTED_VALUE"""),13)</f>
        <v>13</v>
      </c>
      <c r="B359" s="13"/>
      <c r="C359" s="13" t="str">
        <f ca="1">IFERROR(__xludf.DUMMYFUNCTION("""COMPUTED_VALUE"""),"面包")</f>
        <v>面包</v>
      </c>
      <c r="D359" s="13" t="str">
        <f ca="1">IFERROR(__xludf.DUMMYFUNCTION("""COMPUTED_VALUE"""),"&lt;ruby&gt;面包&lt;rt&gt;miànbāo&lt;/rt&gt;&lt;/ruby&gt;")</f>
        <v>&lt;ruby&gt;面包&lt;rt&gt;miànbāo&lt;/rt&gt;&lt;/ruby&gt;</v>
      </c>
      <c r="E359" s="13" t="str">
        <f ca="1">IFERROR(__xludf.DUMMYFUNCTION("""COMPUTED_VALUE"""),"miànbāo")</f>
        <v>miànbāo</v>
      </c>
      <c r="F359" s="13" t="str">
        <f ca="1">IFERROR(__xludf.DUMMYFUNCTION("""COMPUTED_VALUE"""),"Danh từ")</f>
        <v>Danh từ</v>
      </c>
      <c r="G359" s="13" t="str">
        <f ca="1">IFERROR(__xludf.DUMMYFUNCTION("""COMPUTED_VALUE"""),"Bánh mì")</f>
        <v>Bánh mì</v>
      </c>
      <c r="H359" s="13" t="str">
        <f ca="1">IFERROR(__xludf.DUMMYFUNCTION("""COMPUTED_VALUE"""),"我喜欢吃面包和牛奶。")</f>
        <v>我喜欢吃面包和牛奶。</v>
      </c>
      <c r="I359" s="13" t="str">
        <f ca="1">IFERROR(__xludf.DUMMYFUNCTION("""COMPUTED_VALUE"""),"Wǒ xǐhuān chī miànbāo hé niúnǎi.")</f>
        <v>Wǒ xǐhuān chī miànbāo hé niúnǎi.</v>
      </c>
      <c r="J359" s="13" t="str">
        <f ca="1">IFERROR(__xludf.DUMMYFUNCTION("""COMPUTED_VALUE"""),"Tôi thích ăn bánh mì và sữa.")</f>
        <v>Tôi thích ăn bánh mì và sữa.</v>
      </c>
      <c r="K359" s="13" t="str">
        <f ca="1">IFERROR(__xludf.DUMMYFUNCTION("""COMPUTED_VALUE"""),"H3_B1_BG-13.gif")</f>
        <v>H3_B1_BG-13.gif</v>
      </c>
      <c r="L359" s="13" t="str">
        <f ca="1">IFERROR(__xludf.DUMMYFUNCTION("""COMPUTED_VALUE"""),"H3_B1-13.mp3")</f>
        <v>H3_B1-13.mp3</v>
      </c>
      <c r="M359" s="13" t="str">
        <f ca="1">IFERROR(__xludf.DUMMYFUNCTION("""COMPUTED_VALUE"""),"H3_B1_VD_13.mp3")</f>
        <v>H3_B1_VD_13.mp3</v>
      </c>
    </row>
    <row r="360" spans="1:13">
      <c r="A360" s="13">
        <f ca="1">IFERROR(__xludf.DUMMYFUNCTION("""COMPUTED_VALUE"""),14)</f>
        <v>14</v>
      </c>
      <c r="B360" s="13"/>
      <c r="C360" s="13" t="str">
        <f ca="1">IFERROR(__xludf.DUMMYFUNCTION("""COMPUTED_VALUE"""),"跟")</f>
        <v>跟</v>
      </c>
      <c r="D360" s="13" t="str">
        <f ca="1">IFERROR(__xludf.DUMMYFUNCTION("""COMPUTED_VALUE"""),"&lt;ruby&gt;跟&lt;rt&gt;gēn&lt;/rt&gt;&lt;/ruby&gt;")</f>
        <v>&lt;ruby&gt;跟&lt;rt&gt;gēn&lt;/rt&gt;&lt;/ruby&gt;</v>
      </c>
      <c r="E360" s="13" t="str">
        <f ca="1">IFERROR(__xludf.DUMMYFUNCTION("""COMPUTED_VALUE"""),"gēn")</f>
        <v>gēn</v>
      </c>
      <c r="F360" s="13" t="str">
        <f ca="1">IFERROR(__xludf.DUMMYFUNCTION("""COMPUTED_VALUE"""),"Giới từ")</f>
        <v>Giới từ</v>
      </c>
      <c r="G360" s="13" t="str">
        <f ca="1">IFERROR(__xludf.DUMMYFUNCTION("""COMPUTED_VALUE"""),"Cùng, với")</f>
        <v>Cùng, với</v>
      </c>
      <c r="H360" s="13" t="str">
        <f ca="1">IFERROR(__xludf.DUMMYFUNCTION("""COMPUTED_VALUE"""),"我喜欢跟朋友一起出去玩儿。")</f>
        <v>我喜欢跟朋友一起出去玩儿。</v>
      </c>
      <c r="I360" s="13" t="str">
        <f ca="1">IFERROR(__xludf.DUMMYFUNCTION("""COMPUTED_VALUE"""),"Wǒ xǐhuān gēn péngyou yīqǐ chūqù wánr.")</f>
        <v>Wǒ xǐhuān gēn péngyou yīqǐ chūqù wánr.</v>
      </c>
      <c r="J360" s="13" t="str">
        <f ca="1">IFERROR(__xludf.DUMMYFUNCTION("""COMPUTED_VALUE"""),"Tôi thích đi chơi cùng bạn bè.")</f>
        <v>Tôi thích đi chơi cùng bạn bè.</v>
      </c>
      <c r="K360" s="13" t="str">
        <f ca="1">IFERROR(__xludf.DUMMYFUNCTION("""COMPUTED_VALUE"""),"H3_B1_BG-14.gif")</f>
        <v>H3_B1_BG-14.gif</v>
      </c>
      <c r="L360" s="13" t="str">
        <f ca="1">IFERROR(__xludf.DUMMYFUNCTION("""COMPUTED_VALUE"""),"H3_B1-14.mp3")</f>
        <v>H3_B1-14.mp3</v>
      </c>
      <c r="M360" s="13" t="str">
        <f ca="1">IFERROR(__xludf.DUMMYFUNCTION("""COMPUTED_VALUE"""),"H3_B1_VD_14.mp3")</f>
        <v>H3_B1_VD_14.mp3</v>
      </c>
    </row>
    <row r="361" spans="1:13">
      <c r="A361" s="13">
        <f ca="1">IFERROR(__xludf.DUMMYFUNCTION("""COMPUTED_VALUE"""),1)</f>
        <v>1</v>
      </c>
      <c r="B361" s="13"/>
      <c r="C361" s="13" t="str">
        <f ca="1">IFERROR(__xludf.DUMMYFUNCTION("""COMPUTED_VALUE"""),"腿")</f>
        <v>腿</v>
      </c>
      <c r="D361" s="13" t="str">
        <f ca="1">IFERROR(__xludf.DUMMYFUNCTION("""COMPUTED_VALUE"""),"&lt;ruby&gt;腿&lt;rt&gt;tuǐ&lt;/rt&gt;&lt;/ruby&gt;")</f>
        <v>&lt;ruby&gt;腿&lt;rt&gt;tuǐ&lt;/rt&gt;&lt;/ruby&gt;</v>
      </c>
      <c r="E361" s="13" t="str">
        <f ca="1">IFERROR(__xludf.DUMMYFUNCTION("""COMPUTED_VALUE"""),"tuǐ")</f>
        <v>tuǐ</v>
      </c>
      <c r="F361" s="13" t="str">
        <f ca="1">IFERROR(__xludf.DUMMYFUNCTION("""COMPUTED_VALUE"""),"Danh từ")</f>
        <v>Danh từ</v>
      </c>
      <c r="G361" s="13" t="str">
        <f ca="1">IFERROR(__xludf.DUMMYFUNCTION("""COMPUTED_VALUE"""),"Chân")</f>
        <v>Chân</v>
      </c>
      <c r="H361" s="13" t="str">
        <f ca="1">IFERROR(__xludf.DUMMYFUNCTION("""COMPUTED_VALUE"""),"他的腿很长。")</f>
        <v>他的腿很长。</v>
      </c>
      <c r="I361" s="13" t="str">
        <f ca="1">IFERROR(__xludf.DUMMYFUNCTION("""COMPUTED_VALUE"""),"Tā de tuǐ hěn cháng.")</f>
        <v>Tā de tuǐ hěn cháng.</v>
      </c>
      <c r="J361" s="13" t="str">
        <f ca="1">IFERROR(__xludf.DUMMYFUNCTION("""COMPUTED_VALUE"""),"Chân của anh ấy rất dài.")</f>
        <v>Chân của anh ấy rất dài.</v>
      </c>
      <c r="K361" s="13" t="str">
        <f ca="1">IFERROR(__xludf.DUMMYFUNCTION("""COMPUTED_VALUE"""),"H3_B2_BG-01.gif")</f>
        <v>H3_B2_BG-01.gif</v>
      </c>
      <c r="L361" s="13" t="str">
        <f ca="1">IFERROR(__xludf.DUMMYFUNCTION("""COMPUTED_VALUE"""),"H3_B2_1.mp3")</f>
        <v>H3_B2_1.mp3</v>
      </c>
      <c r="M361" s="13" t="str">
        <f ca="1">IFERROR(__xludf.DUMMYFUNCTION("""COMPUTED_VALUE"""),"H3_B2_VD_1.mp3")</f>
        <v>H3_B2_VD_1.mp3</v>
      </c>
    </row>
    <row r="362" spans="1:13">
      <c r="A362" s="13">
        <f ca="1">IFERROR(__xludf.DUMMYFUNCTION("""COMPUTED_VALUE"""),2)</f>
        <v>2</v>
      </c>
      <c r="B362" s="13"/>
      <c r="C362" s="13" t="str">
        <f ca="1">IFERROR(__xludf.DUMMYFUNCTION("""COMPUTED_VALUE"""),"疼")</f>
        <v>疼</v>
      </c>
      <c r="D362" s="13" t="str">
        <f ca="1">IFERROR(__xludf.DUMMYFUNCTION("""COMPUTED_VALUE"""),"&lt;ruby&gt;疼&lt;rt&gt;téng&lt;/rt&gt;&lt;/ruby&gt;")</f>
        <v>&lt;ruby&gt;疼&lt;rt&gt;téng&lt;/rt&gt;&lt;/ruby&gt;</v>
      </c>
      <c r="E362" s="13" t="str">
        <f ca="1">IFERROR(__xludf.DUMMYFUNCTION("""COMPUTED_VALUE"""),"téng")</f>
        <v>téng</v>
      </c>
      <c r="F362" s="13" t="str">
        <f ca="1">IFERROR(__xludf.DUMMYFUNCTION("""COMPUTED_VALUE"""),"Tính từ")</f>
        <v>Tính từ</v>
      </c>
      <c r="G362" s="13" t="str">
        <f ca="1">IFERROR(__xludf.DUMMYFUNCTION("""COMPUTED_VALUE"""),"Đau")</f>
        <v>Đau</v>
      </c>
      <c r="H362" s="13" t="str">
        <f ca="1">IFERROR(__xludf.DUMMYFUNCTION("""COMPUTED_VALUE"""),"我的肩膀很疼。")</f>
        <v>我的肩膀很疼。</v>
      </c>
      <c r="I362" s="13" t="str">
        <f ca="1">IFERROR(__xludf.DUMMYFUNCTION("""COMPUTED_VALUE"""),"Wǒ de jiānbǎng hěn téng.")</f>
        <v>Wǒ de jiānbǎng hěn téng.</v>
      </c>
      <c r="J362" s="13" t="str">
        <f ca="1">IFERROR(__xludf.DUMMYFUNCTION("""COMPUTED_VALUE"""),"Vai của tôi rất đau. ")</f>
        <v xml:space="preserve">Vai của tôi rất đau. </v>
      </c>
      <c r="K362" s="13" t="str">
        <f ca="1">IFERROR(__xludf.DUMMYFUNCTION("""COMPUTED_VALUE"""),"H3_B2_BG-02.gif")</f>
        <v>H3_B2_BG-02.gif</v>
      </c>
      <c r="L362" s="13" t="str">
        <f ca="1">IFERROR(__xludf.DUMMYFUNCTION("""COMPUTED_VALUE"""),"H3_B2_2.mp3")</f>
        <v>H3_B2_2.mp3</v>
      </c>
      <c r="M362" s="13" t="str">
        <f ca="1">IFERROR(__xludf.DUMMYFUNCTION("""COMPUTED_VALUE"""),"H3_B2_VD_2.mp3")</f>
        <v>H3_B2_VD_2.mp3</v>
      </c>
    </row>
    <row r="363" spans="1:13">
      <c r="A363" s="13">
        <f ca="1">IFERROR(__xludf.DUMMYFUNCTION("""COMPUTED_VALUE"""),3)</f>
        <v>3</v>
      </c>
      <c r="B363" s="13"/>
      <c r="C363" s="13" t="str">
        <f ca="1">IFERROR(__xludf.DUMMYFUNCTION("""COMPUTED_VALUE"""),"脚")</f>
        <v>脚</v>
      </c>
      <c r="D363" s="13" t="str">
        <f ca="1">IFERROR(__xludf.DUMMYFUNCTION("""COMPUTED_VALUE"""),"&lt;ruby&gt;脚&lt;rt&gt;jiǎo&lt;/rt&gt;&lt;/ruby&gt;")</f>
        <v>&lt;ruby&gt;脚&lt;rt&gt;jiǎo&lt;/rt&gt;&lt;/ruby&gt;</v>
      </c>
      <c r="E363" s="13" t="str">
        <f ca="1">IFERROR(__xludf.DUMMYFUNCTION("""COMPUTED_VALUE"""),"jiǎo")</f>
        <v>jiǎo</v>
      </c>
      <c r="F363" s="13" t="str">
        <f ca="1">IFERROR(__xludf.DUMMYFUNCTION("""COMPUTED_VALUE"""),"Danh từ")</f>
        <v>Danh từ</v>
      </c>
      <c r="G363" s="13" t="str">
        <f ca="1">IFERROR(__xludf.DUMMYFUNCTION("""COMPUTED_VALUE"""),"Bàn chân")</f>
        <v>Bàn chân</v>
      </c>
      <c r="H363" s="13" t="str">
        <f ca="1">IFERROR(__xludf.DUMMYFUNCTION("""COMPUTED_VALUE"""),"我的脚很大。")</f>
        <v>我的脚很大。</v>
      </c>
      <c r="I363" s="13" t="str">
        <f ca="1">IFERROR(__xludf.DUMMYFUNCTION("""COMPUTED_VALUE"""),"Wǒ de jiǎo hěn dà.")</f>
        <v>Wǒ de jiǎo hěn dà.</v>
      </c>
      <c r="J363" s="13" t="str">
        <f ca="1">IFERROR(__xludf.DUMMYFUNCTION("""COMPUTED_VALUE"""),"Chân của tôi rất to.")</f>
        <v>Chân của tôi rất to.</v>
      </c>
      <c r="K363" s="13" t="str">
        <f ca="1">IFERROR(__xludf.DUMMYFUNCTION("""COMPUTED_VALUE"""),"H3_B2_BG-03.gif")</f>
        <v>H3_B2_BG-03.gif</v>
      </c>
      <c r="L363" s="13" t="str">
        <f ca="1">IFERROR(__xludf.DUMMYFUNCTION("""COMPUTED_VALUE"""),"H3_B2_3.mp3")</f>
        <v>H3_B2_3.mp3</v>
      </c>
      <c r="M363" s="13" t="str">
        <f ca="1">IFERROR(__xludf.DUMMYFUNCTION("""COMPUTED_VALUE"""),"H3_B2_VD_3.mp3")</f>
        <v>H3_B2_VD_3.mp3</v>
      </c>
    </row>
    <row r="364" spans="1:13">
      <c r="A364" s="13">
        <f ca="1">IFERROR(__xludf.DUMMYFUNCTION("""COMPUTED_VALUE"""),4)</f>
        <v>4</v>
      </c>
      <c r="B364" s="13"/>
      <c r="C364" s="13" t="str">
        <f ca="1">IFERROR(__xludf.DUMMYFUNCTION("""COMPUTED_VALUE"""),"树")</f>
        <v>树</v>
      </c>
      <c r="D364" s="13" t="str">
        <f ca="1">IFERROR(__xludf.DUMMYFUNCTION("""COMPUTED_VALUE"""),"&lt;ruby&gt;树&lt;rt&gt;shù&lt;/rt&gt;&lt;/ruby&gt;")</f>
        <v>&lt;ruby&gt;树&lt;rt&gt;shù&lt;/rt&gt;&lt;/ruby&gt;</v>
      </c>
      <c r="E364" s="13" t="str">
        <f ca="1">IFERROR(__xludf.DUMMYFUNCTION("""COMPUTED_VALUE"""),"shù")</f>
        <v>shù</v>
      </c>
      <c r="F364" s="13" t="str">
        <f ca="1">IFERROR(__xludf.DUMMYFUNCTION("""COMPUTED_VALUE"""),"Danh từ")</f>
        <v>Danh từ</v>
      </c>
      <c r="G364" s="13" t="str">
        <f ca="1">IFERROR(__xludf.DUMMYFUNCTION("""COMPUTED_VALUE"""),"Cây")</f>
        <v>Cây</v>
      </c>
      <c r="H364" s="13" t="str">
        <f ca="1">IFERROR(__xludf.DUMMYFUNCTION("""COMPUTED_VALUE"""),"我喜欢这棵树。")</f>
        <v>我喜欢这棵树。</v>
      </c>
      <c r="I364" s="13" t="str">
        <f ca="1">IFERROR(__xludf.DUMMYFUNCTION("""COMPUTED_VALUE"""),"Wǒ xǐhuān zhè kē shù.")</f>
        <v>Wǒ xǐhuān zhè kē shù.</v>
      </c>
      <c r="J364" s="13" t="str">
        <f ca="1">IFERROR(__xludf.DUMMYFUNCTION("""COMPUTED_VALUE"""),"Tôi thích cái cây này.")</f>
        <v>Tôi thích cái cây này.</v>
      </c>
      <c r="K364" s="13" t="str">
        <f ca="1">IFERROR(__xludf.DUMMYFUNCTION("""COMPUTED_VALUE"""),"H3_B2_BG-04.gif")</f>
        <v>H3_B2_BG-04.gif</v>
      </c>
      <c r="L364" s="13" t="str">
        <f ca="1">IFERROR(__xludf.DUMMYFUNCTION("""COMPUTED_VALUE"""),"H3_B2_4.mp3")</f>
        <v>H3_B2_4.mp3</v>
      </c>
      <c r="M364" s="13" t="str">
        <f ca="1">IFERROR(__xludf.DUMMYFUNCTION("""COMPUTED_VALUE"""),"H3_B2_VD_4.mp3")</f>
        <v>H3_B2_VD_4.mp3</v>
      </c>
    </row>
    <row r="365" spans="1:13">
      <c r="A365" s="13">
        <f ca="1">IFERROR(__xludf.DUMMYFUNCTION("""COMPUTED_VALUE"""),5)</f>
        <v>5</v>
      </c>
      <c r="B365" s="13"/>
      <c r="C365" s="13" t="str">
        <f ca="1">IFERROR(__xludf.DUMMYFUNCTION("""COMPUTED_VALUE"""),"容易")</f>
        <v>容易</v>
      </c>
      <c r="D365" s="13" t="str">
        <f ca="1">IFERROR(__xludf.DUMMYFUNCTION("""COMPUTED_VALUE"""),"&lt;ruby&gt;容易&lt;rt&gt;róngyì&lt;/rt&gt;&lt;/ruby&gt;")</f>
        <v>&lt;ruby&gt;容易&lt;rt&gt;róngyì&lt;/rt&gt;&lt;/ruby&gt;</v>
      </c>
      <c r="E365" s="13" t="str">
        <f ca="1">IFERROR(__xludf.DUMMYFUNCTION("""COMPUTED_VALUE"""),"róngyì")</f>
        <v>róngyì</v>
      </c>
      <c r="F365" s="13" t="str">
        <f ca="1">IFERROR(__xludf.DUMMYFUNCTION("""COMPUTED_VALUE"""),"Tính từ")</f>
        <v>Tính từ</v>
      </c>
      <c r="G365" s="13" t="str">
        <f ca="1">IFERROR(__xludf.DUMMYFUNCTION("""COMPUTED_VALUE"""),"Dễ dàng, dễ")</f>
        <v>Dễ dàng, dễ</v>
      </c>
      <c r="H365" s="13" t="str">
        <f ca="1">IFERROR(__xludf.DUMMYFUNCTION("""COMPUTED_VALUE"""),"学汉语并不容易。")</f>
        <v>学汉语并不容易。</v>
      </c>
      <c r="I365" s="13" t="str">
        <f ca="1">IFERROR(__xludf.DUMMYFUNCTION("""COMPUTED_VALUE"""),"Xué hànyǔ bìng bù róngyì.")</f>
        <v>Xué hànyǔ bìng bù róngyì.</v>
      </c>
      <c r="J365" s="13" t="str">
        <f ca="1">IFERROR(__xludf.DUMMYFUNCTION("""COMPUTED_VALUE"""),"Học tiếng Trung không hề dễ dàng.")</f>
        <v>Học tiếng Trung không hề dễ dàng.</v>
      </c>
      <c r="K365" s="13" t="str">
        <f ca="1">IFERROR(__xludf.DUMMYFUNCTION("""COMPUTED_VALUE"""),"H3_B2_BG-05.gif")</f>
        <v>H3_B2_BG-05.gif</v>
      </c>
      <c r="L365" s="13" t="str">
        <f ca="1">IFERROR(__xludf.DUMMYFUNCTION("""COMPUTED_VALUE"""),"H3_B2_5.mp3")</f>
        <v>H3_B2_5.mp3</v>
      </c>
      <c r="M365" s="13" t="str">
        <f ca="1">IFERROR(__xludf.DUMMYFUNCTION("""COMPUTED_VALUE"""),"H3_B2_VD_5.mp3")</f>
        <v>H3_B2_VD_5.mp3</v>
      </c>
    </row>
    <row r="366" spans="1:13">
      <c r="A366" s="13">
        <f ca="1">IFERROR(__xludf.DUMMYFUNCTION("""COMPUTED_VALUE"""),6)</f>
        <v>6</v>
      </c>
      <c r="B366" s="13"/>
      <c r="C366" s="13" t="str">
        <f ca="1">IFERROR(__xludf.DUMMYFUNCTION("""COMPUTED_VALUE"""),"难")</f>
        <v>难</v>
      </c>
      <c r="D366" s="13" t="str">
        <f ca="1">IFERROR(__xludf.DUMMYFUNCTION("""COMPUTED_VALUE"""),"&lt;ruby&gt;难&lt;rt&gt;nán&lt;/rt&gt;&lt;/ruby&gt;")</f>
        <v>&lt;ruby&gt;难&lt;rt&gt;nán&lt;/rt&gt;&lt;/ruby&gt;</v>
      </c>
      <c r="E366" s="13" t="str">
        <f ca="1">IFERROR(__xludf.DUMMYFUNCTION("""COMPUTED_VALUE"""),"nán")</f>
        <v>nán</v>
      </c>
      <c r="F366" s="13" t="str">
        <f ca="1">IFERROR(__xludf.DUMMYFUNCTION("""COMPUTED_VALUE"""),"Tính từ")</f>
        <v>Tính từ</v>
      </c>
      <c r="G366" s="13" t="str">
        <f ca="1">IFERROR(__xludf.DUMMYFUNCTION("""COMPUTED_VALUE"""),"Khó, khó khăn ")</f>
        <v xml:space="preserve">Khó, khó khăn </v>
      </c>
      <c r="H366" s="13" t="str">
        <f ca="1">IFERROR(__xludf.DUMMYFUNCTION("""COMPUTED_VALUE"""),"这个问题很难。")</f>
        <v>这个问题很难。</v>
      </c>
      <c r="I366" s="13" t="str">
        <f ca="1">IFERROR(__xludf.DUMMYFUNCTION("""COMPUTED_VALUE"""),"Zhè gè wèntí hěn nán")</f>
        <v>Zhè gè wèntí hěn nán</v>
      </c>
      <c r="J366" s="13" t="str">
        <f ca="1">IFERROR(__xludf.DUMMYFUNCTION("""COMPUTED_VALUE"""),"Câu hỏi này rất khó.")</f>
        <v>Câu hỏi này rất khó.</v>
      </c>
      <c r="K366" s="13" t="str">
        <f ca="1">IFERROR(__xludf.DUMMYFUNCTION("""COMPUTED_VALUE"""),"H3_B2_BG-06.gif")</f>
        <v>H3_B2_BG-06.gif</v>
      </c>
      <c r="L366" s="13" t="str">
        <f ca="1">IFERROR(__xludf.DUMMYFUNCTION("""COMPUTED_VALUE"""),"H3_B2_6.mp3")</f>
        <v>H3_B2_6.mp3</v>
      </c>
      <c r="M366" s="13" t="str">
        <f ca="1">IFERROR(__xludf.DUMMYFUNCTION("""COMPUTED_VALUE"""),"H3_B2_VD_6.mp3")</f>
        <v>H3_B2_VD_6.mp3</v>
      </c>
    </row>
    <row r="367" spans="1:13">
      <c r="A367" s="13">
        <f ca="1">IFERROR(__xludf.DUMMYFUNCTION("""COMPUTED_VALUE"""),7)</f>
        <v>7</v>
      </c>
      <c r="B367" s="13"/>
      <c r="C367" s="13" t="str">
        <f ca="1">IFERROR(__xludf.DUMMYFUNCTION("""COMPUTED_VALUE"""),"胖")</f>
        <v>胖</v>
      </c>
      <c r="D367" s="13" t="str">
        <f ca="1">IFERROR(__xludf.DUMMYFUNCTION("""COMPUTED_VALUE"""),"&lt;ruby&gt;胖&lt;rt&gt;pàng&lt;/rt&gt;&lt;/ruby&gt;")</f>
        <v>&lt;ruby&gt;胖&lt;rt&gt;pàng&lt;/rt&gt;&lt;/ruby&gt;</v>
      </c>
      <c r="E367" s="13" t="str">
        <f ca="1">IFERROR(__xludf.DUMMYFUNCTION("""COMPUTED_VALUE"""),"pàng")</f>
        <v>pàng</v>
      </c>
      <c r="F367" s="13" t="str">
        <f ca="1">IFERROR(__xludf.DUMMYFUNCTION("""COMPUTED_VALUE"""),"Tính từ")</f>
        <v>Tính từ</v>
      </c>
      <c r="G367" s="13" t="str">
        <f ca="1">IFERROR(__xludf.DUMMYFUNCTION("""COMPUTED_VALUE"""),"Mập, béo")</f>
        <v>Mập, béo</v>
      </c>
      <c r="H367" s="13" t="str">
        <f ca="1">IFERROR(__xludf.DUMMYFUNCTION("""COMPUTED_VALUE"""),"小明很胖。 ")</f>
        <v xml:space="preserve">小明很胖。 </v>
      </c>
      <c r="I367" s="13" t="str">
        <f ca="1">IFERROR(__xludf.DUMMYFUNCTION("""COMPUTED_VALUE"""),"Xiǎomíng hěn pàng.")</f>
        <v>Xiǎomíng hěn pàng.</v>
      </c>
      <c r="J367" s="13" t="str">
        <f ca="1">IFERROR(__xludf.DUMMYFUNCTION("""COMPUTED_VALUE"""),"Tiểu Minh rất mập. ")</f>
        <v xml:space="preserve">Tiểu Minh rất mập. </v>
      </c>
      <c r="K367" s="13" t="str">
        <f ca="1">IFERROR(__xludf.DUMMYFUNCTION("""COMPUTED_VALUE"""),"H3_B2_BG-07.gif")</f>
        <v>H3_B2_BG-07.gif</v>
      </c>
      <c r="L367" s="13" t="str">
        <f ca="1">IFERROR(__xludf.DUMMYFUNCTION("""COMPUTED_VALUE"""),"H3_B2_7.mp3")</f>
        <v>H3_B2_7.mp3</v>
      </c>
      <c r="M367" s="13" t="str">
        <f ca="1">IFERROR(__xludf.DUMMYFUNCTION("""COMPUTED_VALUE"""),"H3_B2_VD_7.mp3")</f>
        <v>H3_B2_VD_7.mp3</v>
      </c>
    </row>
    <row r="368" spans="1:13">
      <c r="A368" s="13">
        <f ca="1">IFERROR(__xludf.DUMMYFUNCTION("""COMPUTED_VALUE"""),8)</f>
        <v>8</v>
      </c>
      <c r="B368" s="13"/>
      <c r="C368" s="13" t="str">
        <f ca="1">IFERROR(__xludf.DUMMYFUNCTION("""COMPUTED_VALUE"""),"瘦")</f>
        <v>瘦</v>
      </c>
      <c r="D368" s="13" t="str">
        <f ca="1">IFERROR(__xludf.DUMMYFUNCTION("""COMPUTED_VALUE"""),"&lt;ruby&gt;瘦&lt;rt&gt;shòu&lt;/rt&gt;&lt;/ruby&gt;")</f>
        <v>&lt;ruby&gt;瘦&lt;rt&gt;shòu&lt;/rt&gt;&lt;/ruby&gt;</v>
      </c>
      <c r="E368" s="13" t="str">
        <f ca="1">IFERROR(__xludf.DUMMYFUNCTION("""COMPUTED_VALUE"""),"shòu")</f>
        <v>shòu</v>
      </c>
      <c r="F368" s="13" t="str">
        <f ca="1">IFERROR(__xludf.DUMMYFUNCTION("""COMPUTED_VALUE"""),"Tính từ")</f>
        <v>Tính từ</v>
      </c>
      <c r="G368" s="13" t="str">
        <f ca="1">IFERROR(__xludf.DUMMYFUNCTION("""COMPUTED_VALUE"""),"Gầy ")</f>
        <v xml:space="preserve">Gầy </v>
      </c>
      <c r="H368" s="13" t="str">
        <f ca="1">IFERROR(__xludf.DUMMYFUNCTION("""COMPUTED_VALUE"""),"她瘦了很多。")</f>
        <v>她瘦了很多。</v>
      </c>
      <c r="I368" s="13" t="str">
        <f ca="1">IFERROR(__xludf.DUMMYFUNCTION("""COMPUTED_VALUE"""),"Tā shòu le hěn duō.")</f>
        <v>Tā shòu le hěn duō.</v>
      </c>
      <c r="J368" s="13" t="str">
        <f ca="1">IFERROR(__xludf.DUMMYFUNCTION("""COMPUTED_VALUE"""),"Cô ấy gầy đi nhiều.")</f>
        <v>Cô ấy gầy đi nhiều.</v>
      </c>
      <c r="K368" s="13" t="str">
        <f ca="1">IFERROR(__xludf.DUMMYFUNCTION("""COMPUTED_VALUE"""),"H3_B2_BG-08.gif")</f>
        <v>H3_B2_BG-08.gif</v>
      </c>
      <c r="L368" s="13" t="str">
        <f ca="1">IFERROR(__xludf.DUMMYFUNCTION("""COMPUTED_VALUE"""),"H3_B2_8.mp3")</f>
        <v>H3_B2_8.mp3</v>
      </c>
      <c r="M368" s="13" t="str">
        <f ca="1">IFERROR(__xludf.DUMMYFUNCTION("""COMPUTED_VALUE"""),"H3_B2_VD_8.mp3")</f>
        <v>H3_B2_VD_8.mp3</v>
      </c>
    </row>
    <row r="369" spans="1:13">
      <c r="A369" s="13">
        <f ca="1">IFERROR(__xludf.DUMMYFUNCTION("""COMPUTED_VALUE"""),9)</f>
        <v>9</v>
      </c>
      <c r="B369" s="13"/>
      <c r="C369" s="13" t="str">
        <f ca="1">IFERROR(__xludf.DUMMYFUNCTION("""COMPUTED_VALUE"""),"太太")</f>
        <v>太太</v>
      </c>
      <c r="D369" s="13" t="str">
        <f ca="1">IFERROR(__xludf.DUMMYFUNCTION("""COMPUTED_VALUE"""),"&lt;ruby&gt;太太&lt;rt&gt;tàitai&lt;/rt&gt;&lt;/ruby&gt;")</f>
        <v>&lt;ruby&gt;太太&lt;rt&gt;tàitai&lt;/rt&gt;&lt;/ruby&gt;</v>
      </c>
      <c r="E369" s="13" t="str">
        <f ca="1">IFERROR(__xludf.DUMMYFUNCTION("""COMPUTED_VALUE"""),"tàitai")</f>
        <v>tàitai</v>
      </c>
      <c r="F369" s="13" t="str">
        <f ca="1">IFERROR(__xludf.DUMMYFUNCTION("""COMPUTED_VALUE"""),"Danh từ")</f>
        <v>Danh từ</v>
      </c>
      <c r="G369" s="13" t="str">
        <f ca="1">IFERROR(__xludf.DUMMYFUNCTION("""COMPUTED_VALUE"""),"Vợ, phu nhân ")</f>
        <v xml:space="preserve">Vợ, phu nhân </v>
      </c>
      <c r="H369" s="13" t="str">
        <f ca="1">IFERROR(__xludf.DUMMYFUNCTION("""COMPUTED_VALUE"""),"太太很漂亮。")</f>
        <v>太太很漂亮。</v>
      </c>
      <c r="I369" s="13" t="str">
        <f ca="1">IFERROR(__xludf.DUMMYFUNCTION("""COMPUTED_VALUE"""),"Tàitai hěn piàoliang")</f>
        <v>Tàitai hěn piàoliang</v>
      </c>
      <c r="J369" s="13" t="str">
        <f ca="1">IFERROR(__xludf.DUMMYFUNCTION("""COMPUTED_VALUE"""),"Phu nhân rất xinh đẹp. ")</f>
        <v xml:space="preserve">Phu nhân rất xinh đẹp. </v>
      </c>
      <c r="K369" s="13" t="str">
        <f ca="1">IFERROR(__xludf.DUMMYFUNCTION("""COMPUTED_VALUE"""),"H3_B2_BG-09.gif")</f>
        <v>H3_B2_BG-09.gif</v>
      </c>
      <c r="L369" s="13" t="str">
        <f ca="1">IFERROR(__xludf.DUMMYFUNCTION("""COMPUTED_VALUE"""),"H3_B2_9.mp3")</f>
        <v>H3_B2_9.mp3</v>
      </c>
      <c r="M369" s="13" t="str">
        <f ca="1">IFERROR(__xludf.DUMMYFUNCTION("""COMPUTED_VALUE"""),"H3_B2_VD_9.mp3")</f>
        <v>H3_B2_VD_9.mp3</v>
      </c>
    </row>
    <row r="370" spans="1:13">
      <c r="A370" s="13">
        <f ca="1">IFERROR(__xludf.DUMMYFUNCTION("""COMPUTED_VALUE"""),10)</f>
        <v>10</v>
      </c>
      <c r="B370" s="13"/>
      <c r="C370" s="13" t="str">
        <f ca="1">IFERROR(__xludf.DUMMYFUNCTION("""COMPUTED_VALUE"""),"秘书")</f>
        <v>秘书</v>
      </c>
      <c r="D370" s="13" t="str">
        <f ca="1">IFERROR(__xludf.DUMMYFUNCTION("""COMPUTED_VALUE"""),"&lt;ruby&gt;秘书&lt;rt&gt;mìshū&lt;/rt&gt;&lt;/ruby&gt;")</f>
        <v>&lt;ruby&gt;秘书&lt;rt&gt;mìshū&lt;/rt&gt;&lt;/ruby&gt;</v>
      </c>
      <c r="E370" s="13" t="str">
        <f ca="1">IFERROR(__xludf.DUMMYFUNCTION("""COMPUTED_VALUE"""),"mìshū")</f>
        <v>mìshū</v>
      </c>
      <c r="F370" s="13" t="str">
        <f ca="1">IFERROR(__xludf.DUMMYFUNCTION("""COMPUTED_VALUE"""),"Danh từ")</f>
        <v>Danh từ</v>
      </c>
      <c r="G370" s="13" t="str">
        <f ca="1">IFERROR(__xludf.DUMMYFUNCTION("""COMPUTED_VALUE"""),"Thư ký")</f>
        <v>Thư ký</v>
      </c>
      <c r="H370" s="13" t="str">
        <f ca="1">IFERROR(__xludf.DUMMYFUNCTION("""COMPUTED_VALUE"""),"她是一个很有经验的秘书。")</f>
        <v>她是一个很有经验的秘书。</v>
      </c>
      <c r="I370" s="13" t="str">
        <f ca="1">IFERROR(__xludf.DUMMYFUNCTION("""COMPUTED_VALUE"""),"Tā shì yīgè hěn yǒu jīngyàn de mìshū.")</f>
        <v>Tā shì yīgè hěn yǒu jīngyàn de mìshū.</v>
      </c>
      <c r="J370" s="13" t="str">
        <f ca="1">IFERROR(__xludf.DUMMYFUNCTION("""COMPUTED_VALUE"""),"Cô ấy là một thư ký rất có kinh nghiệm.")</f>
        <v>Cô ấy là một thư ký rất có kinh nghiệm.</v>
      </c>
      <c r="K370" s="13" t="str">
        <f ca="1">IFERROR(__xludf.DUMMYFUNCTION("""COMPUTED_VALUE"""),"H3_B2_BG-10.gif")</f>
        <v>H3_B2_BG-10.gif</v>
      </c>
      <c r="L370" s="13" t="str">
        <f ca="1">IFERROR(__xludf.DUMMYFUNCTION("""COMPUTED_VALUE"""),"H3_B2_10.mp3")</f>
        <v>H3_B2_10.mp3</v>
      </c>
      <c r="M370" s="13" t="str">
        <f ca="1">IFERROR(__xludf.DUMMYFUNCTION("""COMPUTED_VALUE"""),"H3_B2_VD_10.mp3")</f>
        <v>H3_B2_VD_10.mp3</v>
      </c>
    </row>
    <row r="371" spans="1:13">
      <c r="A371" s="13">
        <f ca="1">IFERROR(__xludf.DUMMYFUNCTION("""COMPUTED_VALUE"""),11)</f>
        <v>11</v>
      </c>
      <c r="B371" s="13"/>
      <c r="C371" s="13" t="str">
        <f ca="1">IFERROR(__xludf.DUMMYFUNCTION("""COMPUTED_VALUE"""),"经理")</f>
        <v>经理</v>
      </c>
      <c r="D371" s="13" t="str">
        <f ca="1">IFERROR(__xludf.DUMMYFUNCTION("""COMPUTED_VALUE"""),"&lt;ruby&gt;经理&lt;rt&gt;jīnglǐ&lt;/rt&gt;&lt;/ruby&gt;")</f>
        <v>&lt;ruby&gt;经理&lt;rt&gt;jīnglǐ&lt;/rt&gt;&lt;/ruby&gt;</v>
      </c>
      <c r="E371" s="13" t="str">
        <f ca="1">IFERROR(__xludf.DUMMYFUNCTION("""COMPUTED_VALUE"""),"jīnglǐ")</f>
        <v>jīnglǐ</v>
      </c>
      <c r="F371" s="13" t="str">
        <f ca="1">IFERROR(__xludf.DUMMYFUNCTION("""COMPUTED_VALUE"""),"Danh từ")</f>
        <v>Danh từ</v>
      </c>
      <c r="G371" s="13" t="str">
        <f ca="1">IFERROR(__xludf.DUMMYFUNCTION("""COMPUTED_VALUE"""),"Giám đốc ")</f>
        <v xml:space="preserve">Giám đốc </v>
      </c>
      <c r="H371" s="13" t="str">
        <f ca="1">IFERROR(__xludf.DUMMYFUNCTION("""COMPUTED_VALUE"""),"经理是一个决断的人。")</f>
        <v>经理是一个决断的人。</v>
      </c>
      <c r="I371" s="13" t="str">
        <f ca="1">IFERROR(__xludf.DUMMYFUNCTION("""COMPUTED_VALUE"""),"Jīnglǐ shì yīgè juéduàn de rén.")</f>
        <v>Jīnglǐ shì yīgè juéduàn de rén.</v>
      </c>
      <c r="J371" s="13" t="str">
        <f ca="1">IFERROR(__xludf.DUMMYFUNCTION("""COMPUTED_VALUE"""),"Giám đốc là một người quyết đoán.")</f>
        <v>Giám đốc là một người quyết đoán.</v>
      </c>
      <c r="K371" s="13" t="str">
        <f ca="1">IFERROR(__xludf.DUMMYFUNCTION("""COMPUTED_VALUE"""),"H3_B2_BG-11.gif")</f>
        <v>H3_B2_BG-11.gif</v>
      </c>
      <c r="L371" s="13" t="str">
        <f ca="1">IFERROR(__xludf.DUMMYFUNCTION("""COMPUTED_VALUE"""),"H3_B2_11.mp3")</f>
        <v>H3_B2_11.mp3</v>
      </c>
      <c r="M371" s="13" t="str">
        <f ca="1">IFERROR(__xludf.DUMMYFUNCTION("""COMPUTED_VALUE"""),"H3_B2_VD_11.mp3")</f>
        <v>H3_B2_VD_11.mp3</v>
      </c>
    </row>
    <row r="372" spans="1:13">
      <c r="A372" s="13">
        <f ca="1">IFERROR(__xludf.DUMMYFUNCTION("""COMPUTED_VALUE"""),12)</f>
        <v>12</v>
      </c>
      <c r="B372" s="13"/>
      <c r="C372" s="13" t="str">
        <f ca="1">IFERROR(__xludf.DUMMYFUNCTION("""COMPUTED_VALUE"""),"办公室")</f>
        <v>办公室</v>
      </c>
      <c r="D372" s="13" t="str">
        <f ca="1">IFERROR(__xludf.DUMMYFUNCTION("""COMPUTED_VALUE"""),"&lt;ruby&gt;办公室&lt;rt&gt;bàngōngshì&lt;/rt&gt;&lt;/ruby&gt;")</f>
        <v>&lt;ruby&gt;办公室&lt;rt&gt;bàngōngshì&lt;/rt&gt;&lt;/ruby&gt;</v>
      </c>
      <c r="E372" s="13" t="str">
        <f ca="1">IFERROR(__xludf.DUMMYFUNCTION("""COMPUTED_VALUE"""),"bàngōngshì")</f>
        <v>bàngōngshì</v>
      </c>
      <c r="F372" s="13" t="str">
        <f ca="1">IFERROR(__xludf.DUMMYFUNCTION("""COMPUTED_VALUE"""),"Danh từ")</f>
        <v>Danh từ</v>
      </c>
      <c r="G372" s="13" t="str">
        <f ca="1">IFERROR(__xludf.DUMMYFUNCTION("""COMPUTED_VALUE"""),"Văn phòng ")</f>
        <v xml:space="preserve">Văn phòng </v>
      </c>
      <c r="H372" s="13" t="str">
        <f ca="1">IFERROR(__xludf.DUMMYFUNCTION("""COMPUTED_VALUE"""),"办公室很整洁。")</f>
        <v>办公室很整洁。</v>
      </c>
      <c r="I372" s="13" t="str">
        <f ca="1">IFERROR(__xludf.DUMMYFUNCTION("""COMPUTED_VALUE"""),"Bàngōngshì hěn zhěngjié.")</f>
        <v>Bàngōngshì hěn zhěngjié.</v>
      </c>
      <c r="J372" s="13" t="str">
        <f ca="1">IFERROR(__xludf.DUMMYFUNCTION("""COMPUTED_VALUE"""),"Văn phòng rất ngăn nắp.")</f>
        <v>Văn phòng rất ngăn nắp.</v>
      </c>
      <c r="K372" s="13" t="str">
        <f ca="1">IFERROR(__xludf.DUMMYFUNCTION("""COMPUTED_VALUE"""),"H3_B2_BG-12.gif")</f>
        <v>H3_B2_BG-12.gif</v>
      </c>
      <c r="L372" s="13" t="str">
        <f ca="1">IFERROR(__xludf.DUMMYFUNCTION("""COMPUTED_VALUE"""),"H3_B2_12.mp3")</f>
        <v>H3_B2_12.mp3</v>
      </c>
      <c r="M372" s="13" t="str">
        <f ca="1">IFERROR(__xludf.DUMMYFUNCTION("""COMPUTED_VALUE"""),"H3_B2_VD_12.mp3")</f>
        <v>H3_B2_VD_12.mp3</v>
      </c>
    </row>
    <row r="373" spans="1:13">
      <c r="A373" s="13">
        <f ca="1">IFERROR(__xludf.DUMMYFUNCTION("""COMPUTED_VALUE"""),13)</f>
        <v>13</v>
      </c>
      <c r="B373" s="13"/>
      <c r="C373" s="13" t="str">
        <f ca="1">IFERROR(__xludf.DUMMYFUNCTION("""COMPUTED_VALUE"""),"辆")</f>
        <v>辆</v>
      </c>
      <c r="D373" s="13" t="str">
        <f ca="1">IFERROR(__xludf.DUMMYFUNCTION("""COMPUTED_VALUE"""),"&lt;ruby&gt;辆&lt;rt&gt;liàng&lt;/rt&gt;&lt;/ruby&gt;")</f>
        <v>&lt;ruby&gt;辆&lt;rt&gt;liàng&lt;/rt&gt;&lt;/ruby&gt;</v>
      </c>
      <c r="E373" s="13" t="str">
        <f ca="1">IFERROR(__xludf.DUMMYFUNCTION("""COMPUTED_VALUE"""),"liàng")</f>
        <v>liàng</v>
      </c>
      <c r="F373" s="13" t="str">
        <f ca="1">IFERROR(__xludf.DUMMYFUNCTION("""COMPUTED_VALUE"""),"Lượng từ")</f>
        <v>Lượng từ</v>
      </c>
      <c r="G373" s="13" t="str">
        <f ca="1">IFERROR(__xludf.DUMMYFUNCTION("""COMPUTED_VALUE"""),"Chiếc (xe) - Lượng từ dành cho xe cộ ")</f>
        <v xml:space="preserve">Chiếc (xe) - Lượng từ dành cho xe cộ </v>
      </c>
      <c r="H373" s="13" t="str">
        <f ca="1">IFERROR(__xludf.DUMMYFUNCTION("""COMPUTED_VALUE"""),"一辆很大的卡车。")</f>
        <v>一辆很大的卡车。</v>
      </c>
      <c r="I373" s="13" t="str">
        <f ca="1">IFERROR(__xludf.DUMMYFUNCTION("""COMPUTED_VALUE"""),"Yí liàng hěn dà de kǎchē.")</f>
        <v>Yí liàng hěn dà de kǎchē.</v>
      </c>
      <c r="J373" s="13" t="str">
        <f ca="1">IFERROR(__xludf.DUMMYFUNCTION("""COMPUTED_VALUE"""),"Một chiếc xe tải rất lớn.")</f>
        <v>Một chiếc xe tải rất lớn.</v>
      </c>
      <c r="K373" s="13" t="str">
        <f ca="1">IFERROR(__xludf.DUMMYFUNCTION("""COMPUTED_VALUE"""),"H3_B2_BG-13.gif")</f>
        <v>H3_B2_BG-13.gif</v>
      </c>
      <c r="L373" s="13" t="str">
        <f ca="1">IFERROR(__xludf.DUMMYFUNCTION("""COMPUTED_VALUE"""),"H3_B2_13.mp3")</f>
        <v>H3_B2_13.mp3</v>
      </c>
      <c r="M373" s="13" t="str">
        <f ca="1">IFERROR(__xludf.DUMMYFUNCTION("""COMPUTED_VALUE"""),"H3_B2_VD_13.mp3")</f>
        <v>H3_B2_VD_13.mp3</v>
      </c>
    </row>
    <row r="374" spans="1:13">
      <c r="A374" s="13">
        <f ca="1">IFERROR(__xludf.DUMMYFUNCTION("""COMPUTED_VALUE"""),14)</f>
        <v>14</v>
      </c>
      <c r="B374" s="13"/>
      <c r="C374" s="13" t="str">
        <f ca="1">IFERROR(__xludf.DUMMYFUNCTION("""COMPUTED_VALUE"""),"楼")</f>
        <v>楼</v>
      </c>
      <c r="D374" s="13" t="str">
        <f ca="1">IFERROR(__xludf.DUMMYFUNCTION("""COMPUTED_VALUE"""),"&lt;ruby&gt;楼&lt;rt&gt;lóu&lt;/rt&gt;&lt;/ruby&gt;")</f>
        <v>&lt;ruby&gt;楼&lt;rt&gt;lóu&lt;/rt&gt;&lt;/ruby&gt;</v>
      </c>
      <c r="E374" s="13" t="str">
        <f ca="1">IFERROR(__xludf.DUMMYFUNCTION("""COMPUTED_VALUE"""),"lóu")</f>
        <v>lóu</v>
      </c>
      <c r="F374" s="13" t="str">
        <f ca="1">IFERROR(__xludf.DUMMYFUNCTION("""COMPUTED_VALUE"""),"Danh từ")</f>
        <v>Danh từ</v>
      </c>
      <c r="G374" s="13" t="str">
        <f ca="1">IFERROR(__xludf.DUMMYFUNCTION("""COMPUTED_VALUE"""),"Tòa nhà, tầng")</f>
        <v>Tòa nhà, tầng</v>
      </c>
      <c r="H374" s="13" t="str">
        <f ca="1">IFERROR(__xludf.DUMMYFUNCTION("""COMPUTED_VALUE"""),"这是一栋高楼。")</f>
        <v>这是一栋高楼。</v>
      </c>
      <c r="I374" s="13" t="str">
        <f ca="1">IFERROR(__xludf.DUMMYFUNCTION("""COMPUTED_VALUE"""),"Zhè shì yī dòng gāolóu.")</f>
        <v>Zhè shì yī dòng gāolóu.</v>
      </c>
      <c r="J374" s="13" t="str">
        <f ca="1">IFERROR(__xludf.DUMMYFUNCTION("""COMPUTED_VALUE"""),"Đây là một tòa nhà cao tầng.")</f>
        <v>Đây là một tòa nhà cao tầng.</v>
      </c>
      <c r="K374" s="13" t="str">
        <f ca="1">IFERROR(__xludf.DUMMYFUNCTION("""COMPUTED_VALUE"""),"H3_B2_BG-14.gif")</f>
        <v>H3_B2_BG-14.gif</v>
      </c>
      <c r="L374" s="13" t="str">
        <f ca="1">IFERROR(__xludf.DUMMYFUNCTION("""COMPUTED_VALUE"""),"H3_B2_14.mp3")</f>
        <v>H3_B2_14.mp3</v>
      </c>
      <c r="M374" s="13" t="str">
        <f ca="1">IFERROR(__xludf.DUMMYFUNCTION("""COMPUTED_VALUE"""),"H3_B2_VD_14.mp3")</f>
        <v>H3_B2_VD_14.mp3</v>
      </c>
    </row>
    <row r="375" spans="1:13">
      <c r="A375" s="13">
        <f ca="1">IFERROR(__xludf.DUMMYFUNCTION("""COMPUTED_VALUE"""),15)</f>
        <v>15</v>
      </c>
      <c r="B375" s="13"/>
      <c r="C375" s="13" t="str">
        <f ca="1">IFERROR(__xludf.DUMMYFUNCTION("""COMPUTED_VALUE"""),"拿")</f>
        <v>拿</v>
      </c>
      <c r="D375" s="13" t="str">
        <f ca="1">IFERROR(__xludf.DUMMYFUNCTION("""COMPUTED_VALUE"""),"&lt;ruby&gt;拿&lt;rt&gt;ná&lt;/rt&gt;&lt;/ruby&gt;")</f>
        <v>&lt;ruby&gt;拿&lt;rt&gt;ná&lt;/rt&gt;&lt;/ruby&gt;</v>
      </c>
      <c r="E375" s="13" t="str">
        <f ca="1">IFERROR(__xludf.DUMMYFUNCTION("""COMPUTED_VALUE"""),"ná")</f>
        <v>ná</v>
      </c>
      <c r="F375" s="13" t="str">
        <f ca="1">IFERROR(__xludf.DUMMYFUNCTION("""COMPUTED_VALUE"""),"Động từ")</f>
        <v>Động từ</v>
      </c>
      <c r="G375" s="13" t="str">
        <f ca="1">IFERROR(__xludf.DUMMYFUNCTION("""COMPUTED_VALUE"""),"Cầm, lấy")</f>
        <v>Cầm, lấy</v>
      </c>
      <c r="H375" s="13" t="str">
        <f ca="1">IFERROR(__xludf.DUMMYFUNCTION("""COMPUTED_VALUE"""),"小男孩拿着一串香肠。")</f>
        <v>小男孩拿着一串香肠。</v>
      </c>
      <c r="I375" s="13" t="str">
        <f ca="1">IFERROR(__xludf.DUMMYFUNCTION("""COMPUTED_VALUE"""),"Xiǎo nánhái názhe yī chuàn  xiāngcháng.")</f>
        <v>Xiǎo nánhái názhe yī chuàn  xiāngcháng.</v>
      </c>
      <c r="J375" s="13" t="str">
        <f ca="1">IFERROR(__xludf.DUMMYFUNCTION("""COMPUTED_VALUE"""),"Cậu bé đang cầm một xiên xúc xích.")</f>
        <v>Cậu bé đang cầm một xiên xúc xích.</v>
      </c>
      <c r="K375" s="13" t="str">
        <f ca="1">IFERROR(__xludf.DUMMYFUNCTION("""COMPUTED_VALUE"""),"H3_B2_BG-15.gif")</f>
        <v>H3_B2_BG-15.gif</v>
      </c>
      <c r="L375" s="13" t="str">
        <f ca="1">IFERROR(__xludf.DUMMYFUNCTION("""COMPUTED_VALUE"""),"H3_B2_15.mp3")</f>
        <v>H3_B2_15.mp3</v>
      </c>
      <c r="M375" s="13" t="str">
        <f ca="1">IFERROR(__xludf.DUMMYFUNCTION("""COMPUTED_VALUE"""),"H3_B2_VD_15.mp3")</f>
        <v>H3_B2_VD_15.mp3</v>
      </c>
    </row>
    <row r="376" spans="1:13">
      <c r="A376" s="13">
        <f ca="1">IFERROR(__xludf.DUMMYFUNCTION("""COMPUTED_VALUE"""),16)</f>
        <v>16</v>
      </c>
      <c r="B376" s="13"/>
      <c r="C376" s="13" t="str">
        <f ca="1">IFERROR(__xludf.DUMMYFUNCTION("""COMPUTED_VALUE"""),"把")</f>
        <v>把</v>
      </c>
      <c r="D376" s="13" t="str">
        <f ca="1">IFERROR(__xludf.DUMMYFUNCTION("""COMPUTED_VALUE"""),"&lt;ruby&gt;把&lt;rt&gt;bǎ&lt;/rt&gt;&lt;/ruby&gt;")</f>
        <v>&lt;ruby&gt;把&lt;rt&gt;bǎ&lt;/rt&gt;&lt;/ruby&gt;</v>
      </c>
      <c r="E376" s="13" t="str">
        <f ca="1">IFERROR(__xludf.DUMMYFUNCTION("""COMPUTED_VALUE"""),"bǎ")</f>
        <v>bǎ</v>
      </c>
      <c r="F376" s="13" t="str">
        <f ca="1">IFERROR(__xludf.DUMMYFUNCTION("""COMPUTED_VALUE"""),"Lượng từ")</f>
        <v>Lượng từ</v>
      </c>
      <c r="G376" s="13" t="str">
        <f ca="1">IFERROR(__xludf.DUMMYFUNCTION("""COMPUTED_VALUE"""),"Cái (ô, dao, ghế,...)")</f>
        <v>Cái (ô, dao, ghế,...)</v>
      </c>
      <c r="H376" s="13" t="str">
        <f ca="1">IFERROR(__xludf.DUMMYFUNCTION("""COMPUTED_VALUE"""),"一把椅子。 ")</f>
        <v xml:space="preserve">一把椅子。 </v>
      </c>
      <c r="I376" s="13" t="str">
        <f ca="1">IFERROR(__xludf.DUMMYFUNCTION("""COMPUTED_VALUE"""),"Yī bǎ yǐzi.")</f>
        <v>Yī bǎ yǐzi.</v>
      </c>
      <c r="J376" s="13" t="str">
        <f ca="1">IFERROR(__xludf.DUMMYFUNCTION("""COMPUTED_VALUE"""),"Một cái ghế")</f>
        <v>Một cái ghế</v>
      </c>
      <c r="K376" s="13" t="str">
        <f ca="1">IFERROR(__xludf.DUMMYFUNCTION("""COMPUTED_VALUE"""),"H3_B2_BG-16.gif")</f>
        <v>H3_B2_BG-16.gif</v>
      </c>
      <c r="L376" s="13" t="str">
        <f ca="1">IFERROR(__xludf.DUMMYFUNCTION("""COMPUTED_VALUE"""),"H3_B2_16.mp3")</f>
        <v>H3_B2_16.mp3</v>
      </c>
      <c r="M376" s="13" t="str">
        <f ca="1">IFERROR(__xludf.DUMMYFUNCTION("""COMPUTED_VALUE"""),"H3_B2_VD_16.mp3")</f>
        <v>H3_B2_VD_16.mp3</v>
      </c>
    </row>
    <row r="377" spans="1:13">
      <c r="A377" s="13">
        <f ca="1">IFERROR(__xludf.DUMMYFUNCTION("""COMPUTED_VALUE"""),17)</f>
        <v>17</v>
      </c>
      <c r="B377" s="13"/>
      <c r="C377" s="13" t="str">
        <f ca="1">IFERROR(__xludf.DUMMYFUNCTION("""COMPUTED_VALUE"""),"伞")</f>
        <v>伞</v>
      </c>
      <c r="D377" s="13" t="str">
        <f ca="1">IFERROR(__xludf.DUMMYFUNCTION("""COMPUTED_VALUE"""),"&lt;ruby&gt;伞&lt;rt&gt;sǎn&lt;/rt&gt;&lt;/ruby&gt;")</f>
        <v>&lt;ruby&gt;伞&lt;rt&gt;sǎn&lt;/rt&gt;&lt;/ruby&gt;</v>
      </c>
      <c r="E377" s="13" t="str">
        <f ca="1">IFERROR(__xludf.DUMMYFUNCTION("""COMPUTED_VALUE"""),"sǎn")</f>
        <v>sǎn</v>
      </c>
      <c r="F377" s="13" t="str">
        <f ca="1">IFERROR(__xludf.DUMMYFUNCTION("""COMPUTED_VALUE"""),"Danh từ")</f>
        <v>Danh từ</v>
      </c>
      <c r="G377" s="13" t="str">
        <f ca="1">IFERROR(__xludf.DUMMYFUNCTION("""COMPUTED_VALUE"""),"Ô, dù")</f>
        <v>Ô, dù</v>
      </c>
      <c r="H377" s="13" t="str">
        <f ca="1">IFERROR(__xludf.DUMMYFUNCTION("""COMPUTED_VALUE"""),"卖给我一把伞吧。")</f>
        <v>卖给我一把伞吧。</v>
      </c>
      <c r="I377" s="13" t="str">
        <f ca="1">IFERROR(__xludf.DUMMYFUNCTION("""COMPUTED_VALUE"""),"Mài gěi wǒ yī bǎ sǎn ba.")</f>
        <v>Mài gěi wǒ yī bǎ sǎn ba.</v>
      </c>
      <c r="J377" s="13" t="str">
        <f ca="1">IFERROR(__xludf.DUMMYFUNCTION("""COMPUTED_VALUE"""),"Hãy bán cho tôi một cái ô.")</f>
        <v>Hãy bán cho tôi một cái ô.</v>
      </c>
      <c r="K377" s="13" t="str">
        <f ca="1">IFERROR(__xludf.DUMMYFUNCTION("""COMPUTED_VALUE"""),"H3_B2_BG-17.gif")</f>
        <v>H3_B2_BG-17.gif</v>
      </c>
      <c r="L377" s="13" t="str">
        <f ca="1">IFERROR(__xludf.DUMMYFUNCTION("""COMPUTED_VALUE"""),"H3_B2_17.mp3")</f>
        <v>H3_B2_17.mp3</v>
      </c>
      <c r="M377" s="13" t="str">
        <f ca="1">IFERROR(__xludf.DUMMYFUNCTION("""COMPUTED_VALUE"""),"H3_B2_VD_17.mp3")</f>
        <v>H3_B2_VD_17.mp3</v>
      </c>
    </row>
    <row r="378" spans="1:13">
      <c r="A378" s="13">
        <f ca="1">IFERROR(__xludf.DUMMYFUNCTION("""COMPUTED_VALUE"""),18)</f>
        <v>18</v>
      </c>
      <c r="B378" s="13"/>
      <c r="C378" s="13" t="str">
        <f ca="1">IFERROR(__xludf.DUMMYFUNCTION("""COMPUTED_VALUE"""),"其实")</f>
        <v>其实</v>
      </c>
      <c r="D378" s="13" t="str">
        <f ca="1">IFERROR(__xludf.DUMMYFUNCTION("""COMPUTED_VALUE"""),"&lt;ruby&gt;其实&lt;rt&gt;qíshí&lt;/rt&gt;&lt;/ruby&gt;")</f>
        <v>&lt;ruby&gt;其实&lt;rt&gt;qíshí&lt;/rt&gt;&lt;/ruby&gt;</v>
      </c>
      <c r="E378" s="13" t="str">
        <f ca="1">IFERROR(__xludf.DUMMYFUNCTION("""COMPUTED_VALUE"""),"qíshí")</f>
        <v>qíshí</v>
      </c>
      <c r="F378" s="13" t="str">
        <f ca="1">IFERROR(__xludf.DUMMYFUNCTION("""COMPUTED_VALUE"""),"Trạng từ")</f>
        <v>Trạng từ</v>
      </c>
      <c r="G378" s="13" t="str">
        <f ca="1">IFERROR(__xludf.DUMMYFUNCTION("""COMPUTED_VALUE"""),"Thực ra")</f>
        <v>Thực ra</v>
      </c>
      <c r="H378" s="13" t="str">
        <f ca="1">IFERROR(__xludf.DUMMYFUNCTION("""COMPUTED_VALUE"""),"他看起来很忙，其实他在玩游戏。")</f>
        <v>他看起来很忙，其实他在玩游戏。</v>
      </c>
      <c r="I378" s="13" t="str">
        <f ca="1">IFERROR(__xludf.DUMMYFUNCTION("""COMPUTED_VALUE"""),"Tā kàn qǐlái hěn máng, qíshí tā zài wán yóuxì.")</f>
        <v>Tā kàn qǐlái hěn máng, qíshí tā zài wán yóuxì.</v>
      </c>
      <c r="J378" s="13" t="str">
        <f ca="1">IFERROR(__xludf.DUMMYFUNCTION("""COMPUTED_VALUE"""),"Anh ấy trông có vẻ bận, thực ra anh ấy đang chơi game.")</f>
        <v>Anh ấy trông có vẻ bận, thực ra anh ấy đang chơi game.</v>
      </c>
      <c r="K378" s="13" t="str">
        <f ca="1">IFERROR(__xludf.DUMMYFUNCTION("""COMPUTED_VALUE"""),"H3_B2_BG-18.gif")</f>
        <v>H3_B2_BG-18.gif</v>
      </c>
      <c r="L378" s="13" t="str">
        <f ca="1">IFERROR(__xludf.DUMMYFUNCTION("""COMPUTED_VALUE"""),"H3_B2_18.mp3")</f>
        <v>H3_B2_18.mp3</v>
      </c>
      <c r="M378" s="13" t="str">
        <f ca="1">IFERROR(__xludf.DUMMYFUNCTION("""COMPUTED_VALUE"""),"H3_B2_VD_18.mp3")</f>
        <v>H3_B2_VD_18.mp3</v>
      </c>
    </row>
    <row r="379" spans="1:13">
      <c r="A379" s="13">
        <f ca="1">IFERROR(__xludf.DUMMYFUNCTION("""COMPUTED_VALUE"""),1)</f>
        <v>1</v>
      </c>
      <c r="B379" s="13"/>
      <c r="C379" s="13" t="str">
        <f ca="1">IFERROR(__xludf.DUMMYFUNCTION("""COMPUTED_VALUE"""),"爬山")</f>
        <v>爬山</v>
      </c>
      <c r="D379" s="13" t="str">
        <f ca="1">IFERROR(__xludf.DUMMYFUNCTION("""COMPUTED_VALUE"""),"&lt;ruby&gt;爬山&lt;rt&gt;páshān&lt;/rt&gt;&lt;/ruby&gt;")</f>
        <v>&lt;ruby&gt;爬山&lt;rt&gt;páshān&lt;/rt&gt;&lt;/ruby&gt;</v>
      </c>
      <c r="E379" s="13" t="str">
        <f ca="1">IFERROR(__xludf.DUMMYFUNCTION("""COMPUTED_VALUE"""),"páshān")</f>
        <v>páshān</v>
      </c>
      <c r="F379" s="13" t="str">
        <f ca="1">IFERROR(__xludf.DUMMYFUNCTION("""COMPUTED_VALUE"""),"Động từ")</f>
        <v>Động từ</v>
      </c>
      <c r="G379" s="13" t="str">
        <f ca="1">IFERROR(__xludf.DUMMYFUNCTION("""COMPUTED_VALUE"""),"Leo núi")</f>
        <v>Leo núi</v>
      </c>
      <c r="H379" s="13" t="str">
        <f ca="1">IFERROR(__xludf.DUMMYFUNCTION("""COMPUTED_VALUE"""),"他的爱好是爬山。 ")</f>
        <v xml:space="preserve">他的爱好是爬山。 </v>
      </c>
      <c r="I379" s="13" t="str">
        <f ca="1">IFERROR(__xludf.DUMMYFUNCTION("""COMPUTED_VALUE"""),"Tā de àihào shì páshān.")</f>
        <v>Tā de àihào shì páshān.</v>
      </c>
      <c r="J379" s="13" t="str">
        <f ca="1">IFERROR(__xludf.DUMMYFUNCTION("""COMPUTED_VALUE"""),"Sở thích của anh ấy là leo núi.")</f>
        <v>Sở thích của anh ấy là leo núi.</v>
      </c>
      <c r="K379" s="13" t="str">
        <f ca="1">IFERROR(__xludf.DUMMYFUNCTION("""COMPUTED_VALUE"""),"H3_B3_BG-01.gif")</f>
        <v>H3_B3_BG-01.gif</v>
      </c>
      <c r="L379" s="13" t="str">
        <f ca="1">IFERROR(__xludf.DUMMYFUNCTION("""COMPUTED_VALUE"""),"H3_B3_1.mp3")</f>
        <v>H3_B3_1.mp3</v>
      </c>
      <c r="M379" s="13" t="str">
        <f ca="1">IFERROR(__xludf.DUMMYFUNCTION("""COMPUTED_VALUE"""),"H3_B3_VD_1.mp3")</f>
        <v>H3_B3_VD_1.mp3</v>
      </c>
    </row>
    <row r="380" spans="1:13">
      <c r="A380" s="13">
        <f ca="1">IFERROR(__xludf.DUMMYFUNCTION("""COMPUTED_VALUE"""),2)</f>
        <v>2</v>
      </c>
      <c r="B380" s="13"/>
      <c r="C380" s="13" t="str">
        <f ca="1">IFERROR(__xludf.DUMMYFUNCTION("""COMPUTED_VALUE"""),"小心")</f>
        <v>小心</v>
      </c>
      <c r="D380" s="13" t="str">
        <f ca="1">IFERROR(__xludf.DUMMYFUNCTION("""COMPUTED_VALUE"""),"&lt;ruby&gt;小心&lt;rt&gt;xiǎoxīn&lt;/rt&gt;&lt;/ruby&gt;")</f>
        <v>&lt;ruby&gt;小心&lt;rt&gt;xiǎoxīn&lt;/rt&gt;&lt;/ruby&gt;</v>
      </c>
      <c r="E380" s="13" t="str">
        <f ca="1">IFERROR(__xludf.DUMMYFUNCTION("""COMPUTED_VALUE"""),"xiǎoxīn")</f>
        <v>xiǎoxīn</v>
      </c>
      <c r="F380" s="13" t="str">
        <f ca="1">IFERROR(__xludf.DUMMYFUNCTION("""COMPUTED_VALUE"""),"Động từ")</f>
        <v>Động từ</v>
      </c>
      <c r="G380" s="13" t="str">
        <f ca="1">IFERROR(__xludf.DUMMYFUNCTION("""COMPUTED_VALUE"""),"Cẩn thận")</f>
        <v>Cẩn thận</v>
      </c>
      <c r="H380" s="13" t="str">
        <f ca="1">IFERROR(__xludf.DUMMYFUNCTION("""COMPUTED_VALUE"""),"过马路的时候要小心。")</f>
        <v>过马路的时候要小心。</v>
      </c>
      <c r="I380" s="13" t="str">
        <f ca="1">IFERROR(__xludf.DUMMYFUNCTION("""COMPUTED_VALUE"""),"Guò mǎlù de shíhòu yào xiǎoxīn.")</f>
        <v>Guò mǎlù de shíhòu yào xiǎoxīn.</v>
      </c>
      <c r="J380" s="13" t="str">
        <f ca="1">IFERROR(__xludf.DUMMYFUNCTION("""COMPUTED_VALUE"""),"Khi qua đường phải cẩn thận.")</f>
        <v>Khi qua đường phải cẩn thận.</v>
      </c>
      <c r="K380" s="13" t="str">
        <f ca="1">IFERROR(__xludf.DUMMYFUNCTION("""COMPUTED_VALUE"""),"H3_B3_BG-02.gif")</f>
        <v>H3_B3_BG-02.gif</v>
      </c>
      <c r="L380" s="13" t="str">
        <f ca="1">IFERROR(__xludf.DUMMYFUNCTION("""COMPUTED_VALUE"""),"H3_B3_2.mp3")</f>
        <v>H3_B3_2.mp3</v>
      </c>
      <c r="M380" s="13" t="str">
        <f ca="1">IFERROR(__xludf.DUMMYFUNCTION("""COMPUTED_VALUE"""),"H3_B3_VD_2.mp3")</f>
        <v>H3_B3_VD_2.mp3</v>
      </c>
    </row>
    <row r="381" spans="1:13">
      <c r="A381" s="13">
        <f ca="1">IFERROR(__xludf.DUMMYFUNCTION("""COMPUTED_VALUE"""),3)</f>
        <v>3</v>
      </c>
      <c r="B381" s="13"/>
      <c r="C381" s="13" t="str">
        <f ca="1">IFERROR(__xludf.DUMMYFUNCTION("""COMPUTED_VALUE"""),"记得")</f>
        <v>记得</v>
      </c>
      <c r="D381" s="13" t="str">
        <f ca="1">IFERROR(__xludf.DUMMYFUNCTION("""COMPUTED_VALUE"""),"&lt;ruby&gt;记得&lt;rt&gt;jìdé&lt;/rt&gt;&lt;/ruby&gt;")</f>
        <v>&lt;ruby&gt;记得&lt;rt&gt;jìdé&lt;/rt&gt;&lt;/ruby&gt;</v>
      </c>
      <c r="E381" s="13" t="str">
        <f ca="1">IFERROR(__xludf.DUMMYFUNCTION("""COMPUTED_VALUE"""),"jìdé")</f>
        <v>jìdé</v>
      </c>
      <c r="F381" s="13" t="str">
        <f ca="1">IFERROR(__xludf.DUMMYFUNCTION("""COMPUTED_VALUE"""),"Động từ")</f>
        <v>Động từ</v>
      </c>
      <c r="G381" s="13" t="str">
        <f ca="1">IFERROR(__xludf.DUMMYFUNCTION("""COMPUTED_VALUE"""),"Nhớ, còn nhớ ")</f>
        <v xml:space="preserve">Nhớ, còn nhớ </v>
      </c>
      <c r="H381" s="13" t="str">
        <f ca="1">IFERROR(__xludf.DUMMYFUNCTION("""COMPUTED_VALUE"""),"我怎么会不记得这件事呢？")</f>
        <v>我怎么会不记得这件事呢？</v>
      </c>
      <c r="I381" s="13" t="str">
        <f ca="1">IFERROR(__xludf.DUMMYFUNCTION("""COMPUTED_VALUE"""),"Wǒ zěnme huì bù jìdé zhè jiàn shì ne?")</f>
        <v>Wǒ zěnme huì bù jìdé zhè jiàn shì ne?</v>
      </c>
      <c r="J381" s="13" t="str">
        <f ca="1">IFERROR(__xludf.DUMMYFUNCTION("""COMPUTED_VALUE"""),"Sao tôi lại không nhớ chuyện này nhỉ?")</f>
        <v>Sao tôi lại không nhớ chuyện này nhỉ?</v>
      </c>
      <c r="K381" s="13" t="str">
        <f ca="1">IFERROR(__xludf.DUMMYFUNCTION("""COMPUTED_VALUE"""),"H3_B3_BG-03.gif")</f>
        <v>H3_B3_BG-03.gif</v>
      </c>
      <c r="L381" s="13" t="str">
        <f ca="1">IFERROR(__xludf.DUMMYFUNCTION("""COMPUTED_VALUE"""),"H3_B3_3.mp3")</f>
        <v>H3_B3_3.mp3</v>
      </c>
      <c r="M381" s="13" t="str">
        <f ca="1">IFERROR(__xludf.DUMMYFUNCTION("""COMPUTED_VALUE"""),"H3_B3_VD_3.mp3")</f>
        <v>H3_B3_VD_3.mp3</v>
      </c>
    </row>
    <row r="382" spans="1:13">
      <c r="A382" s="13">
        <f ca="1">IFERROR(__xludf.DUMMYFUNCTION("""COMPUTED_VALUE"""),4)</f>
        <v>4</v>
      </c>
      <c r="B382" s="13"/>
      <c r="C382" s="13" t="str">
        <f ca="1">IFERROR(__xludf.DUMMYFUNCTION("""COMPUTED_VALUE"""),"新鲜")</f>
        <v>新鲜</v>
      </c>
      <c r="D382" s="13" t="str">
        <f ca="1">IFERROR(__xludf.DUMMYFUNCTION("""COMPUTED_VALUE"""),"&lt;ruby&gt;新鲜&lt;rt&gt;xīnxiān&lt;/rt&gt;&lt;/ruby&gt;")</f>
        <v>&lt;ruby&gt;新鲜&lt;rt&gt;xīnxiān&lt;/rt&gt;&lt;/ruby&gt;</v>
      </c>
      <c r="E382" s="13" t="str">
        <f ca="1">IFERROR(__xludf.DUMMYFUNCTION("""COMPUTED_VALUE"""),"xīnxiān")</f>
        <v>xīnxiān</v>
      </c>
      <c r="F382" s="13" t="str">
        <f ca="1">IFERROR(__xludf.DUMMYFUNCTION("""COMPUTED_VALUE"""),"Tính từ")</f>
        <v>Tính từ</v>
      </c>
      <c r="G382" s="13" t="str">
        <f ca="1">IFERROR(__xludf.DUMMYFUNCTION("""COMPUTED_VALUE"""),"Tươi, mới")</f>
        <v>Tươi, mới</v>
      </c>
      <c r="H382" s="13" t="str">
        <f ca="1">IFERROR(__xludf.DUMMYFUNCTION("""COMPUTED_VALUE"""),"水果很新鲜。 ")</f>
        <v xml:space="preserve">水果很新鲜。 </v>
      </c>
      <c r="I382" s="13" t="str">
        <f ca="1">IFERROR(__xludf.DUMMYFUNCTION("""COMPUTED_VALUE"""),"Shuǐguǒ hěn xīnxiān.")</f>
        <v>Shuǐguǒ hěn xīnxiān.</v>
      </c>
      <c r="J382" s="13" t="str">
        <f ca="1">IFERROR(__xludf.DUMMYFUNCTION("""COMPUTED_VALUE"""),"Trái cây rất tươi.")</f>
        <v>Trái cây rất tươi.</v>
      </c>
      <c r="K382" s="13" t="str">
        <f ca="1">IFERROR(__xludf.DUMMYFUNCTION("""COMPUTED_VALUE"""),"H3_B3_BG-04.gif")</f>
        <v>H3_B3_BG-04.gif</v>
      </c>
      <c r="L382" s="13" t="str">
        <f ca="1">IFERROR(__xludf.DUMMYFUNCTION("""COMPUTED_VALUE"""),"H3_B3_4.mp3")</f>
        <v>H3_B3_4.mp3</v>
      </c>
      <c r="M382" s="13" t="str">
        <f ca="1">IFERROR(__xludf.DUMMYFUNCTION("""COMPUTED_VALUE"""),"H3_B3_VD_4.mp3")</f>
        <v>H3_B3_VD_4.mp3</v>
      </c>
    </row>
    <row r="383" spans="1:13">
      <c r="A383" s="13">
        <f ca="1">IFERROR(__xludf.DUMMYFUNCTION("""COMPUTED_VALUE"""),5)</f>
        <v>5</v>
      </c>
      <c r="B383" s="13"/>
      <c r="C383" s="13" t="str">
        <f ca="1">IFERROR(__xludf.DUMMYFUNCTION("""COMPUTED_VALUE"""),"甜")</f>
        <v>甜</v>
      </c>
      <c r="D383" s="13" t="str">
        <f ca="1">IFERROR(__xludf.DUMMYFUNCTION("""COMPUTED_VALUE"""),"&lt;ruby&gt;甜&lt;rt&gt;tián&lt;/rt&gt;&lt;/ruby&gt;")</f>
        <v>&lt;ruby&gt;甜&lt;rt&gt;tián&lt;/rt&gt;&lt;/ruby&gt;</v>
      </c>
      <c r="E383" s="13" t="str">
        <f ca="1">IFERROR(__xludf.DUMMYFUNCTION("""COMPUTED_VALUE"""),"tián")</f>
        <v>tián</v>
      </c>
      <c r="F383" s="13" t="str">
        <f ca="1">IFERROR(__xludf.DUMMYFUNCTION("""COMPUTED_VALUE"""),"Tính từ")</f>
        <v>Tính từ</v>
      </c>
      <c r="G383" s="13" t="str">
        <f ca="1">IFERROR(__xludf.DUMMYFUNCTION("""COMPUTED_VALUE"""),"Ngọt")</f>
        <v>Ngọt</v>
      </c>
      <c r="H383" s="13" t="str">
        <f ca="1">IFERROR(__xludf.DUMMYFUNCTION("""COMPUTED_VALUE"""),"糖果又甜又好吃。")</f>
        <v>糖果又甜又好吃。</v>
      </c>
      <c r="I383" s="13" t="str">
        <f ca="1">IFERROR(__xludf.DUMMYFUNCTION("""COMPUTED_VALUE"""),"Tángguǒ yòu tián yòu hǎo chī.")</f>
        <v>Tángguǒ yòu tián yòu hǎo chī.</v>
      </c>
      <c r="J383" s="13" t="str">
        <f ca="1">IFERROR(__xludf.DUMMYFUNCTION("""COMPUTED_VALUE"""),"Kẹo vừa ngọt vừa ngon.")</f>
        <v>Kẹo vừa ngọt vừa ngon.</v>
      </c>
      <c r="K383" s="13" t="str">
        <f ca="1">IFERROR(__xludf.DUMMYFUNCTION("""COMPUTED_VALUE"""),"H3_B3_BG-05.gif")</f>
        <v>H3_B3_BG-05.gif</v>
      </c>
      <c r="L383" s="13" t="str">
        <f ca="1">IFERROR(__xludf.DUMMYFUNCTION("""COMPUTED_VALUE"""),"H3_B3_5.mp3")</f>
        <v>H3_B3_5.mp3</v>
      </c>
      <c r="M383" s="13" t="str">
        <f ca="1">IFERROR(__xludf.DUMMYFUNCTION("""COMPUTED_VALUE"""),"H3_B3_VD_5.mp3")</f>
        <v>H3_B3_VD_5.mp3</v>
      </c>
    </row>
    <row r="384" spans="1:13">
      <c r="A384" s="13">
        <f ca="1">IFERROR(__xludf.DUMMYFUNCTION("""COMPUTED_VALUE"""),6)</f>
        <v>6</v>
      </c>
      <c r="B384" s="13"/>
      <c r="C384" s="13" t="str">
        <f ca="1">IFERROR(__xludf.DUMMYFUNCTION("""COMPUTED_VALUE"""),"饮料")</f>
        <v>饮料</v>
      </c>
      <c r="D384" s="13" t="str">
        <f ca="1">IFERROR(__xludf.DUMMYFUNCTION("""COMPUTED_VALUE"""),"&lt;ruby&gt;饮料&lt;rt&gt;yǐnliào&lt;/rt&gt;&lt;/ruby&gt;")</f>
        <v>&lt;ruby&gt;饮料&lt;rt&gt;yǐnliào&lt;/rt&gt;&lt;/ruby&gt;</v>
      </c>
      <c r="E384" s="13" t="str">
        <f ca="1">IFERROR(__xludf.DUMMYFUNCTION("""COMPUTED_VALUE"""),"yǐnliào")</f>
        <v>yǐnliào</v>
      </c>
      <c r="F384" s="13" t="str">
        <f ca="1">IFERROR(__xludf.DUMMYFUNCTION("""COMPUTED_VALUE"""),"Danh từ")</f>
        <v>Danh từ</v>
      </c>
      <c r="G384" s="13" t="str">
        <f ca="1">IFERROR(__xludf.DUMMYFUNCTION("""COMPUTED_VALUE"""),"Đồ uống")</f>
        <v>Đồ uống</v>
      </c>
      <c r="H384" s="13" t="str">
        <f ca="1">IFERROR(__xludf.DUMMYFUNCTION("""COMPUTED_VALUE"""),"这瓶饮料很好喝。")</f>
        <v>这瓶饮料很好喝。</v>
      </c>
      <c r="I384" s="13" t="str">
        <f ca="1">IFERROR(__xludf.DUMMYFUNCTION("""COMPUTED_VALUE"""),"Zhè píng yǐnliào hěn hǎo hē.")</f>
        <v>Zhè píng yǐnliào hěn hǎo hē.</v>
      </c>
      <c r="J384" s="13" t="str">
        <f ca="1">IFERROR(__xludf.DUMMYFUNCTION("""COMPUTED_VALUE"""),"Chai nước này rất ngon.")</f>
        <v>Chai nước này rất ngon.</v>
      </c>
      <c r="K384" s="13" t="str">
        <f ca="1">IFERROR(__xludf.DUMMYFUNCTION("""COMPUTED_VALUE"""),"H3_B3_BG-06.gif")</f>
        <v>H3_B3_BG-06.gif</v>
      </c>
      <c r="L384" s="13" t="str">
        <f ca="1">IFERROR(__xludf.DUMMYFUNCTION("""COMPUTED_VALUE"""),"H3_B3_6.mp3")</f>
        <v>H3_B3_6.mp3</v>
      </c>
      <c r="M384" s="13" t="str">
        <f ca="1">IFERROR(__xludf.DUMMYFUNCTION("""COMPUTED_VALUE"""),"H3_B3_VD_6.mp3")</f>
        <v>H3_B3_VD_6.mp3</v>
      </c>
    </row>
    <row r="385" spans="1:13">
      <c r="A385" s="13">
        <f ca="1">IFERROR(__xludf.DUMMYFUNCTION("""COMPUTED_VALUE"""),7)</f>
        <v>7</v>
      </c>
      <c r="B385" s="13"/>
      <c r="C385" s="13" t="str">
        <f ca="1">IFERROR(__xludf.DUMMYFUNCTION("""COMPUTED_VALUE"""),"花")</f>
        <v>花</v>
      </c>
      <c r="D385" s="13" t="str">
        <f ca="1">IFERROR(__xludf.DUMMYFUNCTION("""COMPUTED_VALUE"""),"&lt;ruby&gt;花&lt;rt&gt;huā&lt;/rt&gt;&lt;/ruby&gt;")</f>
        <v>&lt;ruby&gt;花&lt;rt&gt;huā&lt;/rt&gt;&lt;/ruby&gt;</v>
      </c>
      <c r="E385" s="13" t="str">
        <f ca="1">IFERROR(__xludf.DUMMYFUNCTION("""COMPUTED_VALUE"""),"huā")</f>
        <v>huā</v>
      </c>
      <c r="F385" s="13" t="str">
        <f ca="1">IFERROR(__xludf.DUMMYFUNCTION("""COMPUTED_VALUE"""),"Danh từ")</f>
        <v>Danh từ</v>
      </c>
      <c r="G385" s="13" t="str">
        <f ca="1">IFERROR(__xludf.DUMMYFUNCTION("""COMPUTED_VALUE"""),"Hoa")</f>
        <v>Hoa</v>
      </c>
      <c r="H385" s="13" t="str">
        <f ca="1">IFERROR(__xludf.DUMMYFUNCTION("""COMPUTED_VALUE"""),"这朵花很漂亮。")</f>
        <v>这朵花很漂亮。</v>
      </c>
      <c r="I385" s="13" t="str">
        <f ca="1">IFERROR(__xludf.DUMMYFUNCTION("""COMPUTED_VALUE"""),"Zhè duǒ huā hěn piàoliang.")</f>
        <v>Zhè duǒ huā hěn piàoliang.</v>
      </c>
      <c r="J385" s="13" t="str">
        <f ca="1">IFERROR(__xludf.DUMMYFUNCTION("""COMPUTED_VALUE"""),"Đoá hoa này rất đẹp.")</f>
        <v>Đoá hoa này rất đẹp.</v>
      </c>
      <c r="K385" s="13" t="str">
        <f ca="1">IFERROR(__xludf.DUMMYFUNCTION("""COMPUTED_VALUE"""),"H3_B3_BG-07.gif")</f>
        <v>H3_B3_BG-07.gif</v>
      </c>
      <c r="L385" s="13" t="str">
        <f ca="1">IFERROR(__xludf.DUMMYFUNCTION("""COMPUTED_VALUE"""),"H3_B3_7.mp3")</f>
        <v>H3_B3_7.mp3</v>
      </c>
      <c r="M385" s="13" t="str">
        <f ca="1">IFERROR(__xludf.DUMMYFUNCTION("""COMPUTED_VALUE"""),"H3_B3_VD_7.mp3")</f>
        <v>H3_B3_VD_7.mp3</v>
      </c>
    </row>
    <row r="386" spans="1:13">
      <c r="A386" s="13">
        <f ca="1">IFERROR(__xludf.DUMMYFUNCTION("""COMPUTED_VALUE"""),8)</f>
        <v>8</v>
      </c>
      <c r="B386" s="13"/>
      <c r="C386" s="13" t="str">
        <f ca="1">IFERROR(__xludf.DUMMYFUNCTION("""COMPUTED_VALUE"""),"绿")</f>
        <v>绿</v>
      </c>
      <c r="D386" s="13" t="str">
        <f ca="1">IFERROR(__xludf.DUMMYFUNCTION("""COMPUTED_VALUE"""),"&lt;ruby&gt;绿&lt;rt&gt;lǜ&lt;/rt&gt;&lt;/ruby&gt;")</f>
        <v>&lt;ruby&gt;绿&lt;rt&gt;lǜ&lt;/rt&gt;&lt;/ruby&gt;</v>
      </c>
      <c r="E386" s="13" t="str">
        <f ca="1">IFERROR(__xludf.DUMMYFUNCTION("""COMPUTED_VALUE"""),"lǜ")</f>
        <v>lǜ</v>
      </c>
      <c r="F386" s="13" t="str">
        <f ca="1">IFERROR(__xludf.DUMMYFUNCTION("""COMPUTED_VALUE"""),"Tính từ")</f>
        <v>Tính từ</v>
      </c>
      <c r="G386" s="13" t="str">
        <f ca="1">IFERROR(__xludf.DUMMYFUNCTION("""COMPUTED_VALUE"""),"Màu xanh lá cây")</f>
        <v>Màu xanh lá cây</v>
      </c>
      <c r="H386" s="13" t="str">
        <f ca="1">IFERROR(__xludf.DUMMYFUNCTION("""COMPUTED_VALUE"""),"这棵树的叶子是绿色的。")</f>
        <v>这棵树的叶子是绿色的。</v>
      </c>
      <c r="I386" s="13" t="str">
        <f ca="1">IFERROR(__xludf.DUMMYFUNCTION("""COMPUTED_VALUE"""),"Zhè kē shù de yèzi shì lǜsè de.")</f>
        <v>Zhè kē shù de yèzi shì lǜsè de.</v>
      </c>
      <c r="J386" s="13" t="str">
        <f ca="1">IFERROR(__xludf.DUMMYFUNCTION("""COMPUTED_VALUE"""),"Lá của cái cây này có màu xanh.")</f>
        <v>Lá của cái cây này có màu xanh.</v>
      </c>
      <c r="K386" s="13" t="str">
        <f ca="1">IFERROR(__xludf.DUMMYFUNCTION("""COMPUTED_VALUE"""),"H3_B3_BG-08.gif")</f>
        <v>H3_B3_BG-08.gif</v>
      </c>
      <c r="L386" s="13" t="str">
        <f ca="1">IFERROR(__xludf.DUMMYFUNCTION("""COMPUTED_VALUE"""),"H3_B3_8.mp3")</f>
        <v>H3_B3_8.mp3</v>
      </c>
      <c r="M386" s="13" t="str">
        <f ca="1">IFERROR(__xludf.DUMMYFUNCTION("""COMPUTED_VALUE"""),"H3_B3_VD_8.mp3")</f>
        <v>H3_B3_VD_8.mp3</v>
      </c>
    </row>
    <row r="387" spans="1:13">
      <c r="A387" s="13">
        <f ca="1">IFERROR(__xludf.DUMMYFUNCTION("""COMPUTED_VALUE"""),9)</f>
        <v>9</v>
      </c>
      <c r="B387" s="13"/>
      <c r="C387" s="13" t="str">
        <f ca="1">IFERROR(__xludf.DUMMYFUNCTION("""COMPUTED_VALUE"""),"还是")</f>
        <v>还是</v>
      </c>
      <c r="D387" s="13" t="str">
        <f ca="1">IFERROR(__xludf.DUMMYFUNCTION("""COMPUTED_VALUE"""),"&lt;ruby&gt;还是&lt;rt&gt;háishì&lt;/rt&gt;&lt;/ruby&gt;")</f>
        <v>&lt;ruby&gt;还是&lt;rt&gt;háishì&lt;/rt&gt;&lt;/ruby&gt;</v>
      </c>
      <c r="E387" s="13" t="str">
        <f ca="1">IFERROR(__xludf.DUMMYFUNCTION("""COMPUTED_VALUE"""),"háishì")</f>
        <v>háishì</v>
      </c>
      <c r="F387" s="13" t="str">
        <f ca="1">IFERROR(__xludf.DUMMYFUNCTION("""COMPUTED_VALUE"""),"Liên từ")</f>
        <v>Liên từ</v>
      </c>
      <c r="G387" s="13" t="str">
        <f ca="1">IFERROR(__xludf.DUMMYFUNCTION("""COMPUTED_VALUE"""),"Hay là, vẫn")</f>
        <v>Hay là, vẫn</v>
      </c>
      <c r="H387" s="13" t="str">
        <f ca="1">IFERROR(__xludf.DUMMYFUNCTION("""COMPUTED_VALUE"""),"你要咖啡还是茶？")</f>
        <v>你要咖啡还是茶？</v>
      </c>
      <c r="I387" s="13" t="str">
        <f ca="1">IFERROR(__xludf.DUMMYFUNCTION("""COMPUTED_VALUE"""),"Nǐ yào kāfēi háishì chá?")</f>
        <v>Nǐ yào kāfēi háishì chá?</v>
      </c>
      <c r="J387" s="13" t="str">
        <f ca="1">IFERROR(__xludf.DUMMYFUNCTION("""COMPUTED_VALUE"""),"Bạn muốn cà phê hay trà?")</f>
        <v>Bạn muốn cà phê hay trà?</v>
      </c>
      <c r="K387" s="13" t="str">
        <f ca="1">IFERROR(__xludf.DUMMYFUNCTION("""COMPUTED_VALUE"""),"H3_B3_BG-09.gif")</f>
        <v>H3_B3_BG-09.gif</v>
      </c>
      <c r="L387" s="13" t="str">
        <f ca="1">IFERROR(__xludf.DUMMYFUNCTION("""COMPUTED_VALUE"""),"H3_B3_9.mp3")</f>
        <v>H3_B3_9.mp3</v>
      </c>
      <c r="M387" s="13" t="str">
        <f ca="1">IFERROR(__xludf.DUMMYFUNCTION("""COMPUTED_VALUE"""),"H3_B3_VD_9.mp3")</f>
        <v>H3_B3_VD_9.mp3</v>
      </c>
    </row>
    <row r="388" spans="1:13">
      <c r="A388" s="13">
        <f ca="1">IFERROR(__xludf.DUMMYFUNCTION("""COMPUTED_VALUE"""),10)</f>
        <v>10</v>
      </c>
      <c r="B388" s="13"/>
      <c r="C388" s="13" t="str">
        <f ca="1">IFERROR(__xludf.DUMMYFUNCTION("""COMPUTED_VALUE"""),"舒服")</f>
        <v>舒服</v>
      </c>
      <c r="D388" s="13" t="str">
        <f ca="1">IFERROR(__xludf.DUMMYFUNCTION("""COMPUTED_VALUE"""),"&lt;ruby&gt;舒服&lt;rt&gt;shūfu&lt;/rt&gt;&lt;/ruby&gt;")</f>
        <v>&lt;ruby&gt;舒服&lt;rt&gt;shūfu&lt;/rt&gt;&lt;/ruby&gt;</v>
      </c>
      <c r="E388" s="13" t="str">
        <f ca="1">IFERROR(__xludf.DUMMYFUNCTION("""COMPUTED_VALUE"""),"shūfu")</f>
        <v>shūfu</v>
      </c>
      <c r="F388" s="13" t="str">
        <f ca="1">IFERROR(__xludf.DUMMYFUNCTION("""COMPUTED_VALUE"""),"Tính từ")</f>
        <v>Tính từ</v>
      </c>
      <c r="G388" s="13" t="str">
        <f ca="1">IFERROR(__xludf.DUMMYFUNCTION("""COMPUTED_VALUE"""),"Thoải mái, dễ chịu")</f>
        <v>Thoải mái, dễ chịu</v>
      </c>
      <c r="H388" s="13" t="str">
        <f ca="1">IFERROR(__xludf.DUMMYFUNCTION("""COMPUTED_VALUE"""),"小孩子觉得很舒服。 ")</f>
        <v xml:space="preserve">小孩子觉得很舒服。 </v>
      </c>
      <c r="I388" s="13" t="str">
        <f ca="1">IFERROR(__xludf.DUMMYFUNCTION("""COMPUTED_VALUE"""),"Xiǎo háizi juéde hěn shūfu.")</f>
        <v>Xiǎo háizi juéde hěn shūfu.</v>
      </c>
      <c r="J388" s="13" t="str">
        <f ca="1">IFERROR(__xludf.DUMMYFUNCTION("""COMPUTED_VALUE"""),"Đứa trẻ cảm thấy rất thoải mái.")</f>
        <v>Đứa trẻ cảm thấy rất thoải mái.</v>
      </c>
      <c r="K388" s="13" t="str">
        <f ca="1">IFERROR(__xludf.DUMMYFUNCTION("""COMPUTED_VALUE"""),"H3_B3_BG-10.gif")</f>
        <v>H3_B3_BG-10.gif</v>
      </c>
      <c r="L388" s="13" t="str">
        <f ca="1">IFERROR(__xludf.DUMMYFUNCTION("""COMPUTED_VALUE"""),"H3_B3_10.mp3")</f>
        <v>H3_B3_10.mp3</v>
      </c>
      <c r="M388" s="13" t="str">
        <f ca="1">IFERROR(__xludf.DUMMYFUNCTION("""COMPUTED_VALUE"""),"H3_B3_VD_10.mp3")</f>
        <v>H3_B3_VD_10.mp3</v>
      </c>
    </row>
    <row r="389" spans="1:13">
      <c r="A389" s="13">
        <f ca="1">IFERROR(__xludf.DUMMYFUNCTION("""COMPUTED_VALUE"""),11)</f>
        <v>11</v>
      </c>
      <c r="B389" s="13"/>
      <c r="C389" s="13" t="str">
        <f ca="1">IFERROR(__xludf.DUMMYFUNCTION("""COMPUTED_VALUE"""),"条")</f>
        <v>条</v>
      </c>
      <c r="D389" s="13" t="str">
        <f ca="1">IFERROR(__xludf.DUMMYFUNCTION("""COMPUTED_VALUE"""),"&lt;ruby&gt;条&lt;rt&gt;tiáo&lt;/rt&gt;&lt;/ruby&gt;")</f>
        <v>&lt;ruby&gt;条&lt;rt&gt;tiáo&lt;/rt&gt;&lt;/ruby&gt;</v>
      </c>
      <c r="E389" s="13" t="str">
        <f ca="1">IFERROR(__xludf.DUMMYFUNCTION("""COMPUTED_VALUE"""),"tiáo")</f>
        <v>tiáo</v>
      </c>
      <c r="F389" s="13" t="str">
        <f ca="1">IFERROR(__xludf.DUMMYFUNCTION("""COMPUTED_VALUE"""),"Lượng từ")</f>
        <v>Lượng từ</v>
      </c>
      <c r="G389" s="13" t="str">
        <f ca="1">IFERROR(__xludf.DUMMYFUNCTION("""COMPUTED_VALUE"""),"Chiếc, cái - Lượng từ dùng cho quần, váy...")</f>
        <v>Chiếc, cái - Lượng từ dùng cho quần, váy...</v>
      </c>
      <c r="H389" s="13" t="str">
        <f ca="1">IFERROR(__xludf.DUMMYFUNCTION("""COMPUTED_VALUE"""),"她买了一条裙子。")</f>
        <v>她买了一条裙子。</v>
      </c>
      <c r="I389" s="13" t="str">
        <f ca="1">IFERROR(__xludf.DUMMYFUNCTION("""COMPUTED_VALUE"""),"Tā mǎi le yī tiáo qúnzi.")</f>
        <v>Tā mǎi le yī tiáo qúnzi.</v>
      </c>
      <c r="J389" s="13" t="str">
        <f ca="1">IFERROR(__xludf.DUMMYFUNCTION("""COMPUTED_VALUE"""),"Cô ấy đã mua một chiếc váy.")</f>
        <v>Cô ấy đã mua một chiếc váy.</v>
      </c>
      <c r="K389" s="13" t="str">
        <f ca="1">IFERROR(__xludf.DUMMYFUNCTION("""COMPUTED_VALUE"""),"H3_B3_BG-11.gif")</f>
        <v>H3_B3_BG-11.gif</v>
      </c>
      <c r="L389" s="13" t="str">
        <f ca="1">IFERROR(__xludf.DUMMYFUNCTION("""COMPUTED_VALUE"""),"H3_B3_11.mp3")</f>
        <v>H3_B3_11.mp3</v>
      </c>
      <c r="M389" s="13" t="str">
        <f ca="1">IFERROR(__xludf.DUMMYFUNCTION("""COMPUTED_VALUE"""),"H3_B3_VD_11.mp3")</f>
        <v>H3_B3_VD_11.mp3</v>
      </c>
    </row>
    <row r="390" spans="1:13">
      <c r="A390" s="13">
        <f ca="1">IFERROR(__xludf.DUMMYFUNCTION("""COMPUTED_VALUE"""),12)</f>
        <v>12</v>
      </c>
      <c r="B390" s="13"/>
      <c r="C390" s="13" t="str">
        <f ca="1">IFERROR(__xludf.DUMMYFUNCTION("""COMPUTED_VALUE"""),"裤子")</f>
        <v>裤子</v>
      </c>
      <c r="D390" s="13" t="str">
        <f ca="1">IFERROR(__xludf.DUMMYFUNCTION("""COMPUTED_VALUE"""),"&lt;ruby&gt;裤子&lt;rt&gt;kùzi&lt;/rt&gt;&lt;/ruby&gt;")</f>
        <v>&lt;ruby&gt;裤子&lt;rt&gt;kùzi&lt;/rt&gt;&lt;/ruby&gt;</v>
      </c>
      <c r="E390" s="13" t="str">
        <f ca="1">IFERROR(__xludf.DUMMYFUNCTION("""COMPUTED_VALUE"""),"kùzi")</f>
        <v>kùzi</v>
      </c>
      <c r="F390" s="13" t="str">
        <f ca="1">IFERROR(__xludf.DUMMYFUNCTION("""COMPUTED_VALUE"""),"Danh từ")</f>
        <v>Danh từ</v>
      </c>
      <c r="G390" s="13" t="str">
        <f ca="1">IFERROR(__xludf.DUMMYFUNCTION("""COMPUTED_VALUE"""),"Quần")</f>
        <v>Quần</v>
      </c>
      <c r="H390" s="13" t="str">
        <f ca="1">IFERROR(__xludf.DUMMYFUNCTION("""COMPUTED_VALUE"""),"他买了一条裤子。")</f>
        <v>他买了一条裤子。</v>
      </c>
      <c r="I390" s="13" t="str">
        <f ca="1">IFERROR(__xludf.DUMMYFUNCTION("""COMPUTED_VALUE"""),"Tā mǎi le yī tiáo kùzi.")</f>
        <v>Tā mǎi le yī tiáo kùzi.</v>
      </c>
      <c r="J390" s="13" t="str">
        <f ca="1">IFERROR(__xludf.DUMMYFUNCTION("""COMPUTED_VALUE"""),"Anh ấy mua một chiếc quần. ")</f>
        <v xml:space="preserve">Anh ấy mua một chiếc quần. </v>
      </c>
      <c r="K390" s="13" t="str">
        <f ca="1">IFERROR(__xludf.DUMMYFUNCTION("""COMPUTED_VALUE"""),"H3_B3_BG-12.gif")</f>
        <v>H3_B3_BG-12.gif</v>
      </c>
      <c r="L390" s="13" t="str">
        <f ca="1">IFERROR(__xludf.DUMMYFUNCTION("""COMPUTED_VALUE"""),"H3_B3_12.mp3")</f>
        <v>H3_B3_12.mp3</v>
      </c>
      <c r="M390" s="13" t="str">
        <f ca="1">IFERROR(__xludf.DUMMYFUNCTION("""COMPUTED_VALUE"""),"H3_B3_VD_12.mp3")</f>
        <v>H3_B3_VD_12.mp3</v>
      </c>
    </row>
    <row r="391" spans="1:13">
      <c r="A391" s="13">
        <f ca="1">IFERROR(__xludf.DUMMYFUNCTION("""COMPUTED_VALUE"""),13)</f>
        <v>13</v>
      </c>
      <c r="B391" s="13"/>
      <c r="C391" s="13" t="str">
        <f ca="1">IFERROR(__xludf.DUMMYFUNCTION("""COMPUTED_VALUE"""),"衬衫")</f>
        <v>衬衫</v>
      </c>
      <c r="D391" s="13" t="str">
        <f ca="1">IFERROR(__xludf.DUMMYFUNCTION("""COMPUTED_VALUE"""),"&lt;ruby&gt;衬衫&lt;rt&gt;chènshān&lt;/rt&gt;&lt;/ruby&gt;")</f>
        <v>&lt;ruby&gt;衬衫&lt;rt&gt;chènshān&lt;/rt&gt;&lt;/ruby&gt;</v>
      </c>
      <c r="E391" s="13" t="str">
        <f ca="1">IFERROR(__xludf.DUMMYFUNCTION("""COMPUTED_VALUE"""),"chènshān")</f>
        <v>chènshān</v>
      </c>
      <c r="F391" s="13" t="str">
        <f ca="1">IFERROR(__xludf.DUMMYFUNCTION("""COMPUTED_VALUE"""),"Danh từ")</f>
        <v>Danh từ</v>
      </c>
      <c r="G391" s="13" t="str">
        <f ca="1">IFERROR(__xludf.DUMMYFUNCTION("""COMPUTED_VALUE"""),"Áo sơ mi")</f>
        <v>Áo sơ mi</v>
      </c>
      <c r="H391" s="13" t="str">
        <f ca="1">IFERROR(__xludf.DUMMYFUNCTION("""COMPUTED_VALUE"""),"他穿了一件白衬衫。")</f>
        <v>他穿了一件白衬衫。</v>
      </c>
      <c r="I391" s="13" t="str">
        <f ca="1">IFERROR(__xludf.DUMMYFUNCTION("""COMPUTED_VALUE"""),"Tā chuān le yī jiàn bái chènshān.")</f>
        <v>Tā chuān le yī jiàn bái chènshān.</v>
      </c>
      <c r="J391" s="13" t="str">
        <f ca="1">IFERROR(__xludf.DUMMYFUNCTION("""COMPUTED_VALUE"""),"Anh ấy mặc một chiếc áo sơ mi trắng.")</f>
        <v>Anh ấy mặc một chiếc áo sơ mi trắng.</v>
      </c>
      <c r="K391" s="13" t="str">
        <f ca="1">IFERROR(__xludf.DUMMYFUNCTION("""COMPUTED_VALUE"""),"H3_B3_BG-13.gif")</f>
        <v>H3_B3_BG-13.gif</v>
      </c>
      <c r="L391" s="13" t="str">
        <f ca="1">IFERROR(__xludf.DUMMYFUNCTION("""COMPUTED_VALUE"""),"H3_B3_13.mp3")</f>
        <v>H3_B3_13.mp3</v>
      </c>
      <c r="M391" s="13" t="str">
        <f ca="1">IFERROR(__xludf.DUMMYFUNCTION("""COMPUTED_VALUE"""),"H3_B3_VD_13.mp3")</f>
        <v>H3_B3_VD_13.mp3</v>
      </c>
    </row>
    <row r="392" spans="1:13">
      <c r="A392" s="13">
        <f ca="1">IFERROR(__xludf.DUMMYFUNCTION("""COMPUTED_VALUE"""),14)</f>
        <v>14</v>
      </c>
      <c r="B392" s="13"/>
      <c r="C392" s="13" t="str">
        <f ca="1">IFERROR(__xludf.DUMMYFUNCTION("""COMPUTED_VALUE"""),"元")</f>
        <v>元</v>
      </c>
      <c r="D392" s="13" t="str">
        <f ca="1">IFERROR(__xludf.DUMMYFUNCTION("""COMPUTED_VALUE"""),"&lt;ruby&gt;元&lt;rt&gt;yuán&lt;/rt&gt;&lt;/ruby&gt;")</f>
        <v>&lt;ruby&gt;元&lt;rt&gt;yuán&lt;/rt&gt;&lt;/ruby&gt;</v>
      </c>
      <c r="E392" s="13" t="str">
        <f ca="1">IFERROR(__xludf.DUMMYFUNCTION("""COMPUTED_VALUE"""),"yuán")</f>
        <v>yuán</v>
      </c>
      <c r="F392" s="13" t="str">
        <f ca="1">IFERROR(__xludf.DUMMYFUNCTION("""COMPUTED_VALUE"""),"Danh từ")</f>
        <v>Danh từ</v>
      </c>
      <c r="G392" s="13" t="str">
        <f ca="1">IFERROR(__xludf.DUMMYFUNCTION("""COMPUTED_VALUE"""),"Đồng (Đơn vị tiền tệ)")</f>
        <v>Đồng (Đơn vị tiền tệ)</v>
      </c>
      <c r="H392" s="13" t="str">
        <f ca="1">IFERROR(__xludf.DUMMYFUNCTION("""COMPUTED_VALUE"""),"我只有一百元。")</f>
        <v>我只有一百元。</v>
      </c>
      <c r="I392" s="13" t="str">
        <f ca="1">IFERROR(__xludf.DUMMYFUNCTION("""COMPUTED_VALUE"""),"Wǒ zhǐ yǒu yībǎi yuán.")</f>
        <v>Wǒ zhǐ yǒu yībǎi yuán.</v>
      </c>
      <c r="J392" s="13" t="str">
        <f ca="1">IFERROR(__xludf.DUMMYFUNCTION("""COMPUTED_VALUE"""),"Tôi chỉ có 100 tệ.")</f>
        <v>Tôi chỉ có 100 tệ.</v>
      </c>
      <c r="K392" s="13" t="str">
        <f ca="1">IFERROR(__xludf.DUMMYFUNCTION("""COMPUTED_VALUE"""),"H3_B3_BG-14.gif")</f>
        <v>H3_B3_BG-14.gif</v>
      </c>
      <c r="L392" s="13" t="str">
        <f ca="1">IFERROR(__xludf.DUMMYFUNCTION("""COMPUTED_VALUE"""),"H3_B3_14.mp3")</f>
        <v>H3_B3_14.mp3</v>
      </c>
      <c r="M392" s="13" t="str">
        <f ca="1">IFERROR(__xludf.DUMMYFUNCTION("""COMPUTED_VALUE"""),"H3_B3_VD_14.mp3")</f>
        <v>H3_B3_VD_14.mp3</v>
      </c>
    </row>
    <row r="393" spans="1:13">
      <c r="A393" s="13">
        <f ca="1">IFERROR(__xludf.DUMMYFUNCTION("""COMPUTED_VALUE"""),15)</f>
        <v>15</v>
      </c>
      <c r="B393" s="13"/>
      <c r="C393" s="13" t="str">
        <f ca="1">IFERROR(__xludf.DUMMYFUNCTION("""COMPUTED_VALUE"""),"只")</f>
        <v>只</v>
      </c>
      <c r="D393" s="13" t="str">
        <f ca="1">IFERROR(__xludf.DUMMYFUNCTION("""COMPUTED_VALUE"""),"&lt;ruby&gt;只&lt;rt&gt;zhǐ&lt;/rt&gt;&lt;/ruby&gt;")</f>
        <v>&lt;ruby&gt;只&lt;rt&gt;zhǐ&lt;/rt&gt;&lt;/ruby&gt;</v>
      </c>
      <c r="E393" s="13" t="str">
        <f ca="1">IFERROR(__xludf.DUMMYFUNCTION("""COMPUTED_VALUE"""),"zhǐ")</f>
        <v>zhǐ</v>
      </c>
      <c r="F393" s="13" t="str">
        <f ca="1">IFERROR(__xludf.DUMMYFUNCTION("""COMPUTED_VALUE"""),"Phó từ")</f>
        <v>Phó từ</v>
      </c>
      <c r="G393" s="13" t="str">
        <f ca="1">IFERROR(__xludf.DUMMYFUNCTION("""COMPUTED_VALUE"""),"Chỉ")</f>
        <v>Chỉ</v>
      </c>
      <c r="H393" s="13" t="str">
        <f ca="1">IFERROR(__xludf.DUMMYFUNCTION("""COMPUTED_VALUE"""),"这只鸡只吃玉米，不吃其他食物。")</f>
        <v>这只鸡只吃玉米，不吃其他食物。</v>
      </c>
      <c r="I393" s="13" t="str">
        <f ca="1">IFERROR(__xludf.DUMMYFUNCTION("""COMPUTED_VALUE"""),"Zhè zhī jī zhǐ chī yùmǐ, bù chī qítā shíwù.")</f>
        <v>Zhè zhī jī zhǐ chī yùmǐ, bù chī qítā shíwù.</v>
      </c>
      <c r="J393" s="13" t="str">
        <f ca="1">IFERROR(__xludf.DUMMYFUNCTION("""COMPUTED_VALUE"""),"Con gà này chỉ ăn ngô, không ăn thức ăn khác.")</f>
        <v>Con gà này chỉ ăn ngô, không ăn thức ăn khác.</v>
      </c>
      <c r="K393" s="13" t="str">
        <f ca="1">IFERROR(__xludf.DUMMYFUNCTION("""COMPUTED_VALUE"""),"H3_B3_BG-15.gif")</f>
        <v>H3_B3_BG-15.gif</v>
      </c>
      <c r="L393" s="13" t="str">
        <f ca="1">IFERROR(__xludf.DUMMYFUNCTION("""COMPUTED_VALUE"""),"H3_B3_15.mp3")</f>
        <v>H3_B3_15.mp3</v>
      </c>
      <c r="M393" s="13" t="str">
        <f ca="1">IFERROR(__xludf.DUMMYFUNCTION("""COMPUTED_VALUE"""),"H3_B3_VD_15.mp3")</f>
        <v>H3_B3_VD_15.mp3</v>
      </c>
    </row>
    <row r="394" spans="1:13">
      <c r="A394" s="13">
        <f ca="1">IFERROR(__xludf.DUMMYFUNCTION("""COMPUTED_VALUE"""),16)</f>
        <v>16</v>
      </c>
      <c r="B394" s="13"/>
      <c r="C394" s="13" t="str">
        <f ca="1">IFERROR(__xludf.DUMMYFUNCTION("""COMPUTED_VALUE"""),"放")</f>
        <v>放</v>
      </c>
      <c r="D394" s="13" t="str">
        <f ca="1">IFERROR(__xludf.DUMMYFUNCTION("""COMPUTED_VALUE"""),"&lt;ruby&gt;放&lt;rt&gt;fàng&lt;/rt&gt;&lt;/ruby&gt;")</f>
        <v>&lt;ruby&gt;放&lt;rt&gt;fàng&lt;/rt&gt;&lt;/ruby&gt;</v>
      </c>
      <c r="E394" s="13" t="str">
        <f ca="1">IFERROR(__xludf.DUMMYFUNCTION("""COMPUTED_VALUE"""),"fàng")</f>
        <v>fàng</v>
      </c>
      <c r="F394" s="13" t="str">
        <f ca="1">IFERROR(__xludf.DUMMYFUNCTION("""COMPUTED_VALUE"""),"Động từ")</f>
        <v>Động từ</v>
      </c>
      <c r="G394" s="13" t="str">
        <f ca="1">IFERROR(__xludf.DUMMYFUNCTION("""COMPUTED_VALUE"""),"Đặt, thả, để")</f>
        <v>Đặt, thả, để</v>
      </c>
      <c r="H394" s="13" t="str">
        <f ca="1">IFERROR(__xludf.DUMMYFUNCTION("""COMPUTED_VALUE"""),"请把书放在桌上。")</f>
        <v>请把书放在桌上。</v>
      </c>
      <c r="I394" s="13" t="str">
        <f ca="1">IFERROR(__xludf.DUMMYFUNCTION("""COMPUTED_VALUE"""),"Qǐng bǎ shū fàng zài zhuō shàng.")</f>
        <v>Qǐng bǎ shū fàng zài zhuō shàng.</v>
      </c>
      <c r="J394" s="13" t="str">
        <f ca="1">IFERROR(__xludf.DUMMYFUNCTION("""COMPUTED_VALUE"""),"Xin hãy đặt quyển sách lên bàn.")</f>
        <v>Xin hãy đặt quyển sách lên bàn.</v>
      </c>
      <c r="K394" s="13" t="str">
        <f ca="1">IFERROR(__xludf.DUMMYFUNCTION("""COMPUTED_VALUE"""),"H3_B3_BG-16.gif")</f>
        <v>H3_B3_BG-16.gif</v>
      </c>
      <c r="L394" s="13" t="str">
        <f ca="1">IFERROR(__xludf.DUMMYFUNCTION("""COMPUTED_VALUE"""),"H3_B3_16.mp3")</f>
        <v>H3_B3_16.mp3</v>
      </c>
      <c r="M394" s="13" t="str">
        <f ca="1">IFERROR(__xludf.DUMMYFUNCTION("""COMPUTED_VALUE"""),"H3_B3_VD_16.mp3")</f>
        <v>H3_B3_VD_16.mp3</v>
      </c>
    </row>
    <row r="395" spans="1:13">
      <c r="A395" s="13">
        <f ca="1">IFERROR(__xludf.DUMMYFUNCTION("""COMPUTED_VALUE"""),17)</f>
        <v>17</v>
      </c>
      <c r="B395" s="13"/>
      <c r="C395" s="13" t="str">
        <f ca="1">IFERROR(__xludf.DUMMYFUNCTION("""COMPUTED_VALUE"""),"或者")</f>
        <v>或者</v>
      </c>
      <c r="D395" s="13" t="str">
        <f ca="1">IFERROR(__xludf.DUMMYFUNCTION("""COMPUTED_VALUE"""),"&lt;ruby&gt;或者&lt;rt&gt;huòzhě&lt;/rt&gt;&lt;/ruby&gt;")</f>
        <v>&lt;ruby&gt;或者&lt;rt&gt;huòzhě&lt;/rt&gt;&lt;/ruby&gt;</v>
      </c>
      <c r="E395" s="13" t="str">
        <f ca="1">IFERROR(__xludf.DUMMYFUNCTION("""COMPUTED_VALUE"""),"huòzhě")</f>
        <v>huòzhě</v>
      </c>
      <c r="F395" s="13" t="str">
        <f ca="1">IFERROR(__xludf.DUMMYFUNCTION("""COMPUTED_VALUE"""),"Liên từ")</f>
        <v>Liên từ</v>
      </c>
      <c r="G395" s="13" t="str">
        <f ca="1">IFERROR(__xludf.DUMMYFUNCTION("""COMPUTED_VALUE"""),"Hoặc là")</f>
        <v>Hoặc là</v>
      </c>
      <c r="H395" s="13" t="str">
        <f ca="1">IFERROR(__xludf.DUMMYFUNCTION("""COMPUTED_VALUE"""),"你穿裙子或者裤子都漂亮。")</f>
        <v>你穿裙子或者裤子都漂亮。</v>
      </c>
      <c r="I395" s="13" t="str">
        <f ca="1">IFERROR(__xludf.DUMMYFUNCTION("""COMPUTED_VALUE"""),"Nǐ chuān qúnzi huòzhě kùzi dōu piàoliang.")</f>
        <v>Nǐ chuān qúnzi huòzhě kùzi dōu piàoliang.</v>
      </c>
      <c r="J395" s="13" t="str">
        <f ca="1">IFERROR(__xludf.DUMMYFUNCTION("""COMPUTED_VALUE"""),"Cậu mặc váy hoặc là quần đều đẹp.")</f>
        <v>Cậu mặc váy hoặc là quần đều đẹp.</v>
      </c>
      <c r="K395" s="13" t="str">
        <f ca="1">IFERROR(__xludf.DUMMYFUNCTION("""COMPUTED_VALUE"""),"H3_B3_BG-17.gif")</f>
        <v>H3_B3_BG-17.gif</v>
      </c>
      <c r="L395" s="13" t="str">
        <f ca="1">IFERROR(__xludf.DUMMYFUNCTION("""COMPUTED_VALUE"""),"H3_B3_17.mp3")</f>
        <v>H3_B3_17.mp3</v>
      </c>
      <c r="M395" s="13" t="str">
        <f ca="1">IFERROR(__xludf.DUMMYFUNCTION("""COMPUTED_VALUE"""),"H3_B3_VD_17.mp3")</f>
        <v>H3_B3_VD_17.mp3</v>
      </c>
    </row>
    <row r="396" spans="1:13">
      <c r="A396" s="13">
        <f ca="1">IFERROR(__xludf.DUMMYFUNCTION("""COMPUTED_VALUE"""),1)</f>
        <v>1</v>
      </c>
      <c r="B396" s="13"/>
      <c r="C396" s="13" t="str">
        <f ca="1">IFERROR(__xludf.DUMMYFUNCTION("""COMPUTED_VALUE"""),"年级 ")</f>
        <v xml:space="preserve">年级 </v>
      </c>
      <c r="D396" s="13" t="str">
        <f ca="1">IFERROR(__xludf.DUMMYFUNCTION("""COMPUTED_VALUE"""),"&lt;ruby&gt;年级 &lt;rt&gt;niánjí&lt;/rt&gt;&lt;/ruby&gt;")</f>
        <v>&lt;ruby&gt;年级 &lt;rt&gt;niánjí&lt;/rt&gt;&lt;/ruby&gt;</v>
      </c>
      <c r="E396" s="13" t="str">
        <f ca="1">IFERROR(__xludf.DUMMYFUNCTION("""COMPUTED_VALUE"""),"niánjí")</f>
        <v>niánjí</v>
      </c>
      <c r="F396" s="13" t="str">
        <f ca="1">IFERROR(__xludf.DUMMYFUNCTION("""COMPUTED_VALUE"""),"Danh từ ")</f>
        <v xml:space="preserve">Danh từ </v>
      </c>
      <c r="G396" s="13" t="str">
        <f ca="1">IFERROR(__xludf.DUMMYFUNCTION("""COMPUTED_VALUE"""),"Năm học")</f>
        <v>Năm học</v>
      </c>
      <c r="H396" s="13" t="str">
        <f ca="1">IFERROR(__xludf.DUMMYFUNCTION("""COMPUTED_VALUE"""),"我们一年级的学生。")</f>
        <v>我们一年级的学生。</v>
      </c>
      <c r="I396" s="13" t="str">
        <f ca="1">IFERROR(__xludf.DUMMYFUNCTION("""COMPUTED_VALUE"""),"Wǒmen yī niánjí de xuéshēng.")</f>
        <v>Wǒmen yī niánjí de xuéshēng.</v>
      </c>
      <c r="J396" s="13" t="str">
        <f ca="1">IFERROR(__xludf.DUMMYFUNCTION("""COMPUTED_VALUE"""),"Chúng tôi là học sinh lớp một.")</f>
        <v>Chúng tôi là học sinh lớp một.</v>
      </c>
      <c r="K396" s="13" t="str">
        <f ca="1">IFERROR(__xludf.DUMMYFUNCTION("""COMPUTED_VALUE"""),"H3_B4_BG-01.gif")</f>
        <v>H3_B4_BG-01.gif</v>
      </c>
      <c r="L396" s="13" t="str">
        <f ca="1">IFERROR(__xludf.DUMMYFUNCTION("""COMPUTED_VALUE"""),"H3_B4_1.mp3")</f>
        <v>H3_B4_1.mp3</v>
      </c>
      <c r="M396" s="13" t="str">
        <f ca="1">IFERROR(__xludf.DUMMYFUNCTION("""COMPUTED_VALUE"""),"H3_B4_VD_1.mp3")</f>
        <v>H3_B4_VD_1.mp3</v>
      </c>
    </row>
    <row r="397" spans="1:13">
      <c r="A397" s="13">
        <f ca="1">IFERROR(__xludf.DUMMYFUNCTION("""COMPUTED_VALUE"""),2)</f>
        <v>2</v>
      </c>
      <c r="B397" s="13"/>
      <c r="C397" s="13" t="str">
        <f ca="1">IFERROR(__xludf.DUMMYFUNCTION("""COMPUTED_VALUE"""),"聪明 ")</f>
        <v xml:space="preserve">聪明 </v>
      </c>
      <c r="D397" s="13" t="str">
        <f ca="1">IFERROR(__xludf.DUMMYFUNCTION("""COMPUTED_VALUE"""),"&lt;ruby&gt;聪明 &lt;rt&gt;cōngmíng&lt;/rt&gt;&lt;/ruby&gt;")</f>
        <v>&lt;ruby&gt;聪明 &lt;rt&gt;cōngmíng&lt;/rt&gt;&lt;/ruby&gt;</v>
      </c>
      <c r="E397" s="13" t="str">
        <f ca="1">IFERROR(__xludf.DUMMYFUNCTION("""COMPUTED_VALUE"""),"cōngmíng")</f>
        <v>cōngmíng</v>
      </c>
      <c r="F397" s="13" t="str">
        <f ca="1">IFERROR(__xludf.DUMMYFUNCTION("""COMPUTED_VALUE"""),"Danh từ ")</f>
        <v xml:space="preserve">Danh từ </v>
      </c>
      <c r="G397" s="13" t="str">
        <f ca="1">IFERROR(__xludf.DUMMYFUNCTION("""COMPUTED_VALUE"""),"Thông minh")</f>
        <v>Thông minh</v>
      </c>
      <c r="H397" s="13" t="str">
        <f ca="1">IFERROR(__xludf.DUMMYFUNCTION("""COMPUTED_VALUE"""),"她很聪明，成绩很好。")</f>
        <v>她很聪明，成绩很好。</v>
      </c>
      <c r="I397" s="13" t="str">
        <f ca="1">IFERROR(__xludf.DUMMYFUNCTION("""COMPUTED_VALUE"""),"Tā hěn cōngmíng, chéngjì hěn hǎo.")</f>
        <v>Tā hěn cōngmíng, chéngjì hěn hǎo.</v>
      </c>
      <c r="J397" s="13" t="str">
        <f ca="1">IFERROR(__xludf.DUMMYFUNCTION("""COMPUTED_VALUE"""),"Cô ấy rất thông minh, thành tích rất tốt.")</f>
        <v>Cô ấy rất thông minh, thành tích rất tốt.</v>
      </c>
      <c r="K397" s="13" t="str">
        <f ca="1">IFERROR(__xludf.DUMMYFUNCTION("""COMPUTED_VALUE"""),"H3_B4_BG-02.gif")</f>
        <v>H3_B4_BG-02.gif</v>
      </c>
      <c r="L397" s="13" t="str">
        <f ca="1">IFERROR(__xludf.DUMMYFUNCTION("""COMPUTED_VALUE"""),"H3_B4_2.mp3")</f>
        <v>H3_B4_2.mp3</v>
      </c>
      <c r="M397" s="13" t="str">
        <f ca="1">IFERROR(__xludf.DUMMYFUNCTION("""COMPUTED_VALUE"""),"H3_B4_VD_2.mp3")</f>
        <v>H3_B4_VD_2.mp3</v>
      </c>
    </row>
    <row r="398" spans="1:13">
      <c r="A398" s="13">
        <f ca="1">IFERROR(__xludf.DUMMYFUNCTION("""COMPUTED_VALUE"""),3)</f>
        <v>3</v>
      </c>
      <c r="B398" s="13"/>
      <c r="C398" s="13" t="str">
        <f ca="1">IFERROR(__xludf.DUMMYFUNCTION("""COMPUTED_VALUE"""),"热情 ")</f>
        <v xml:space="preserve">热情 </v>
      </c>
      <c r="D398" s="13" t="str">
        <f ca="1">IFERROR(__xludf.DUMMYFUNCTION("""COMPUTED_VALUE"""),"&lt;ruby&gt;热情 &lt;rt&gt;rèqíng&lt;/rt&gt;&lt;/ruby&gt;")</f>
        <v>&lt;ruby&gt;热情 &lt;rt&gt;rèqíng&lt;/rt&gt;&lt;/ruby&gt;</v>
      </c>
      <c r="E398" s="13" t="str">
        <f ca="1">IFERROR(__xludf.DUMMYFUNCTION("""COMPUTED_VALUE"""),"rèqíng")</f>
        <v>rèqíng</v>
      </c>
      <c r="F398" s="13" t="str">
        <f ca="1">IFERROR(__xludf.DUMMYFUNCTION("""COMPUTED_VALUE"""),"Tính từ ")</f>
        <v xml:space="preserve">Tính từ </v>
      </c>
      <c r="G398" s="13" t="str">
        <f ca="1">IFERROR(__xludf.DUMMYFUNCTION("""COMPUTED_VALUE"""),"Nhiệt tình")</f>
        <v>Nhiệt tình</v>
      </c>
      <c r="H398" s="13" t="str">
        <f ca="1">IFERROR(__xludf.DUMMYFUNCTION("""COMPUTED_VALUE"""),"她是一个热情的人。")</f>
        <v>她是一个热情的人。</v>
      </c>
      <c r="I398" s="13" t="str">
        <f ca="1">IFERROR(__xludf.DUMMYFUNCTION("""COMPUTED_VALUE"""),"Tā shì yīgè rèqíng de rén.")</f>
        <v>Tā shì yīgè rèqíng de rén.</v>
      </c>
      <c r="J398" s="13" t="str">
        <f ca="1">IFERROR(__xludf.DUMMYFUNCTION("""COMPUTED_VALUE"""),"Cô ấy là một người nhiệt tình.")</f>
        <v>Cô ấy là một người nhiệt tình.</v>
      </c>
      <c r="K398" s="13" t="str">
        <f ca="1">IFERROR(__xludf.DUMMYFUNCTION("""COMPUTED_VALUE"""),"H3_B4_BG-03.gif")</f>
        <v>H3_B4_BG-03.gif</v>
      </c>
      <c r="L398" s="13" t="str">
        <f ca="1">IFERROR(__xludf.DUMMYFUNCTION("""COMPUTED_VALUE"""),"H3_B4_3.mp3")</f>
        <v>H3_B4_3.mp3</v>
      </c>
      <c r="M398" s="13" t="str">
        <f ca="1">IFERROR(__xludf.DUMMYFUNCTION("""COMPUTED_VALUE"""),"H3_B4_VD_3.mp3")</f>
        <v>H3_B4_VD_3.mp3</v>
      </c>
    </row>
    <row r="399" spans="1:13">
      <c r="A399" s="13">
        <f ca="1">IFERROR(__xludf.DUMMYFUNCTION("""COMPUTED_VALUE"""),4)</f>
        <v>4</v>
      </c>
      <c r="B399" s="13"/>
      <c r="C399" s="13" t="str">
        <f ca="1">IFERROR(__xludf.DUMMYFUNCTION("""COMPUTED_VALUE"""),"努力 ")</f>
        <v xml:space="preserve">努力 </v>
      </c>
      <c r="D399" s="13" t="str">
        <f ca="1">IFERROR(__xludf.DUMMYFUNCTION("""COMPUTED_VALUE"""),"&lt;ruby&gt;努力 &lt;rt&gt;nǔlì&lt;/rt&gt;&lt;/ruby&gt;")</f>
        <v>&lt;ruby&gt;努力 &lt;rt&gt;nǔlì&lt;/rt&gt;&lt;/ruby&gt;</v>
      </c>
      <c r="E399" s="13" t="str">
        <f ca="1">IFERROR(__xludf.DUMMYFUNCTION("""COMPUTED_VALUE"""),"nǔlì")</f>
        <v>nǔlì</v>
      </c>
      <c r="F399" s="13" t="str">
        <f ca="1">IFERROR(__xludf.DUMMYFUNCTION("""COMPUTED_VALUE"""),"Tính từ ")</f>
        <v xml:space="preserve">Tính từ </v>
      </c>
      <c r="G399" s="13" t="str">
        <f ca="1">IFERROR(__xludf.DUMMYFUNCTION("""COMPUTED_VALUE"""),"Nỗ lực")</f>
        <v>Nỗ lực</v>
      </c>
      <c r="H399" s="13" t="str">
        <f ca="1">IFERROR(__xludf.DUMMYFUNCTION("""COMPUTED_VALUE"""),"她很努力，学习很进步。")</f>
        <v>她很努力，学习很进步。</v>
      </c>
      <c r="I399" s="13" t="str">
        <f ca="1">IFERROR(__xludf.DUMMYFUNCTION("""COMPUTED_VALUE"""),"Tā hěn nǔlì, xuéxí hěn jìnbù.")</f>
        <v>Tā hěn nǔlì, xuéxí hěn jìnbù.</v>
      </c>
      <c r="J399" s="13" t="str">
        <f ca="1">IFERROR(__xludf.DUMMYFUNCTION("""COMPUTED_VALUE"""),"Cô ấy rất nỗ lực, học tập tiến bộ rất nhiều.")</f>
        <v>Cô ấy rất nỗ lực, học tập tiến bộ rất nhiều.</v>
      </c>
      <c r="K399" s="13" t="str">
        <f ca="1">IFERROR(__xludf.DUMMYFUNCTION("""COMPUTED_VALUE"""),"H3_B4_BG-04.gif")</f>
        <v>H3_B4_BG-04.gif</v>
      </c>
      <c r="L399" s="13" t="str">
        <f ca="1">IFERROR(__xludf.DUMMYFUNCTION("""COMPUTED_VALUE"""),"H3_B4_4.mp3")</f>
        <v>H3_B4_4.mp3</v>
      </c>
      <c r="M399" s="13" t="str">
        <f ca="1">IFERROR(__xludf.DUMMYFUNCTION("""COMPUTED_VALUE"""),"H3_B4_VD_4.mp3")</f>
        <v>H3_B4_VD_4.mp3</v>
      </c>
    </row>
    <row r="400" spans="1:13">
      <c r="A400" s="13">
        <f ca="1">IFERROR(__xludf.DUMMYFUNCTION("""COMPUTED_VALUE"""),5)</f>
        <v>5</v>
      </c>
      <c r="B400" s="13"/>
      <c r="C400" s="13" t="str">
        <f ca="1">IFERROR(__xludf.DUMMYFUNCTION("""COMPUTED_VALUE"""),"总是 ")</f>
        <v xml:space="preserve">总是 </v>
      </c>
      <c r="D400" s="13" t="str">
        <f ca="1">IFERROR(__xludf.DUMMYFUNCTION("""COMPUTED_VALUE"""),"&lt;ruby&gt;总是 &lt;rt&gt;zǒngshì&lt;/rt&gt;&lt;/ruby&gt;")</f>
        <v>&lt;ruby&gt;总是 &lt;rt&gt;zǒngshì&lt;/rt&gt;&lt;/ruby&gt;</v>
      </c>
      <c r="E400" s="13" t="str">
        <f ca="1">IFERROR(__xludf.DUMMYFUNCTION("""COMPUTED_VALUE"""),"zǒngshì")</f>
        <v>zǒngshì</v>
      </c>
      <c r="F400" s="13" t="str">
        <f ca="1">IFERROR(__xludf.DUMMYFUNCTION("""COMPUTED_VALUE"""),"Phó từ ")</f>
        <v xml:space="preserve">Phó từ </v>
      </c>
      <c r="G400" s="13" t="str">
        <f ca="1">IFERROR(__xludf.DUMMYFUNCTION("""COMPUTED_VALUE"""),"Luôn luôn")</f>
        <v>Luôn luôn</v>
      </c>
      <c r="H400" s="13" t="str">
        <f ca="1">IFERROR(__xludf.DUMMYFUNCTION("""COMPUTED_VALUE"""),"她总是很开心。")</f>
        <v>她总是很开心。</v>
      </c>
      <c r="I400" s="13" t="str">
        <f ca="1">IFERROR(__xludf.DUMMYFUNCTION("""COMPUTED_VALUE"""),"Tā zǒng shì hěn kāixīn.")</f>
        <v>Tā zǒng shì hěn kāixīn.</v>
      </c>
      <c r="J400" s="13" t="str">
        <f ca="1">IFERROR(__xludf.DUMMYFUNCTION("""COMPUTED_VALUE"""),"Cô ấy luôn rất vui vẻ.")</f>
        <v>Cô ấy luôn rất vui vẻ.</v>
      </c>
      <c r="K400" s="13" t="str">
        <f ca="1">IFERROR(__xludf.DUMMYFUNCTION("""COMPUTED_VALUE"""),"H3_B4_BG-05.gif")</f>
        <v>H3_B4_BG-05.gif</v>
      </c>
      <c r="L400" s="13" t="str">
        <f ca="1">IFERROR(__xludf.DUMMYFUNCTION("""COMPUTED_VALUE"""),"H3_B4_5.mp3")</f>
        <v>H3_B4_5.mp3</v>
      </c>
      <c r="M400" s="13" t="str">
        <f ca="1">IFERROR(__xludf.DUMMYFUNCTION("""COMPUTED_VALUE"""),"H3_B4_VD_5.mp3")</f>
        <v>H3_B4_VD_5.mp3</v>
      </c>
    </row>
    <row r="401" spans="1:13">
      <c r="A401" s="13">
        <f ca="1">IFERROR(__xludf.DUMMYFUNCTION("""COMPUTED_VALUE"""),6)</f>
        <v>6</v>
      </c>
      <c r="B401" s="13"/>
      <c r="C401" s="13" t="str">
        <f ca="1">IFERROR(__xludf.DUMMYFUNCTION("""COMPUTED_VALUE"""),"年轻")</f>
        <v>年轻</v>
      </c>
      <c r="D401" s="13" t="str">
        <f ca="1">IFERROR(__xludf.DUMMYFUNCTION("""COMPUTED_VALUE"""),"&lt;ruby&gt;年轻&lt;rt&gt;niánqīng&lt;/rt&gt;&lt;/ruby&gt;")</f>
        <v>&lt;ruby&gt;年轻&lt;rt&gt;niánqīng&lt;/rt&gt;&lt;/ruby&gt;</v>
      </c>
      <c r="E401" s="13" t="str">
        <f ca="1">IFERROR(__xludf.DUMMYFUNCTION("""COMPUTED_VALUE"""),"niánqīng")</f>
        <v>niánqīng</v>
      </c>
      <c r="F401" s="13" t="str">
        <f ca="1">IFERROR(__xludf.DUMMYFUNCTION("""COMPUTED_VALUE"""),"Tính từ ")</f>
        <v xml:space="preserve">Tính từ </v>
      </c>
      <c r="G401" s="13" t="str">
        <f ca="1">IFERROR(__xludf.DUMMYFUNCTION("""COMPUTED_VALUE"""),"Trẻ, trẻ tuổi")</f>
        <v>Trẻ, trẻ tuổi</v>
      </c>
      <c r="H401" s="13" t="str">
        <f ca="1">IFERROR(__xludf.DUMMYFUNCTION("""COMPUTED_VALUE"""),"年轻人总是充满希望和梦想。")</f>
        <v>年轻人总是充满希望和梦想。</v>
      </c>
      <c r="I401" s="13" t="str">
        <f ca="1">IFERROR(__xludf.DUMMYFUNCTION("""COMPUTED_VALUE"""),"Niánqīngrén zǒng shì chōngmǎn xīwàng hé mèngxiǎng.")</f>
        <v>Niánqīngrén zǒng shì chōngmǎn xīwàng hé mèngxiǎng.</v>
      </c>
      <c r="J401" s="13" t="str">
        <f ca="1">IFERROR(__xludf.DUMMYFUNCTION("""COMPUTED_VALUE"""),"Người trẻ tuổi luôn tràn đầy hy vọng và ước mơ.")</f>
        <v>Người trẻ tuổi luôn tràn đầy hy vọng và ước mơ.</v>
      </c>
      <c r="K401" s="13" t="str">
        <f ca="1">IFERROR(__xludf.DUMMYFUNCTION("""COMPUTED_VALUE"""),"H3_B4_BG-06.gif")</f>
        <v>H3_B4_BG-06.gif</v>
      </c>
      <c r="L401" s="13" t="str">
        <f ca="1">IFERROR(__xludf.DUMMYFUNCTION("""COMPUTED_VALUE"""),"H3_B4_6.mp3")</f>
        <v>H3_B4_6.mp3</v>
      </c>
      <c r="M401" s="13" t="str">
        <f ca="1">IFERROR(__xludf.DUMMYFUNCTION("""COMPUTED_VALUE"""),"H3_B4_VD_6.mp3")</f>
        <v>H3_B4_VD_6.mp3</v>
      </c>
    </row>
    <row r="402" spans="1:13">
      <c r="A402" s="13">
        <f ca="1">IFERROR(__xludf.DUMMYFUNCTION("""COMPUTED_VALUE"""),7)</f>
        <v>7</v>
      </c>
      <c r="B402" s="13"/>
      <c r="C402" s="13" t="str">
        <f ca="1">IFERROR(__xludf.DUMMYFUNCTION("""COMPUTED_VALUE"""),"认真 ")</f>
        <v xml:space="preserve">认真 </v>
      </c>
      <c r="D402" s="13" t="str">
        <f ca="1">IFERROR(__xludf.DUMMYFUNCTION("""COMPUTED_VALUE"""),"&lt;ruby&gt;认真 &lt;rt&gt;rènzhēn&lt;/rt&gt;&lt;/ruby&gt;")</f>
        <v>&lt;ruby&gt;认真 &lt;rt&gt;rènzhēn&lt;/rt&gt;&lt;/ruby&gt;</v>
      </c>
      <c r="E402" s="13" t="str">
        <f ca="1">IFERROR(__xludf.DUMMYFUNCTION("""COMPUTED_VALUE"""),"rènzhēn")</f>
        <v>rènzhēn</v>
      </c>
      <c r="F402" s="13" t="str">
        <f ca="1">IFERROR(__xludf.DUMMYFUNCTION("""COMPUTED_VALUE"""),"Tính từ ")</f>
        <v xml:space="preserve">Tính từ </v>
      </c>
      <c r="G402" s="13" t="str">
        <f ca="1">IFERROR(__xludf.DUMMYFUNCTION("""COMPUTED_VALUE"""),"Chăm chỉ, nghiêm túc")</f>
        <v>Chăm chỉ, nghiêm túc</v>
      </c>
      <c r="H402" s="13" t="str">
        <f ca="1">IFERROR(__xludf.DUMMYFUNCTION("""COMPUTED_VALUE"""),"他很认真学习。")</f>
        <v>他很认真学习。</v>
      </c>
      <c r="I402" s="13" t="str">
        <f ca="1">IFERROR(__xludf.DUMMYFUNCTION("""COMPUTED_VALUE"""),"Tā hěn rènzhēn xuéxí.")</f>
        <v>Tā hěn rènzhēn xuéxí.</v>
      </c>
      <c r="J402" s="13" t="str">
        <f ca="1">IFERROR(__xludf.DUMMYFUNCTION("""COMPUTED_VALUE"""),"Anh ấy học rất nghiêm túc.")</f>
        <v>Anh ấy học rất nghiêm túc.</v>
      </c>
      <c r="K402" s="13" t="str">
        <f ca="1">IFERROR(__xludf.DUMMYFUNCTION("""COMPUTED_VALUE"""),"H3_B4_BG-07.gif")</f>
        <v>H3_B4_BG-07.gif</v>
      </c>
      <c r="L402" s="13" t="str">
        <f ca="1">IFERROR(__xludf.DUMMYFUNCTION("""COMPUTED_VALUE"""),"H3_B4_7.mp3")</f>
        <v>H3_B4_7.mp3</v>
      </c>
      <c r="M402" s="13" t="str">
        <f ca="1">IFERROR(__xludf.DUMMYFUNCTION("""COMPUTED_VALUE"""),"H3_B4_VD_7.mp3")</f>
        <v>H3_B4_VD_7.mp3</v>
      </c>
    </row>
    <row r="403" spans="1:13">
      <c r="A403" s="13">
        <f ca="1">IFERROR(__xludf.DUMMYFUNCTION("""COMPUTED_VALUE"""),8)</f>
        <v>8</v>
      </c>
      <c r="B403" s="13"/>
      <c r="C403" s="13" t="str">
        <f ca="1">IFERROR(__xludf.DUMMYFUNCTION("""COMPUTED_VALUE"""),"客人 ")</f>
        <v xml:space="preserve">客人 </v>
      </c>
      <c r="D403" s="13" t="str">
        <f ca="1">IFERROR(__xludf.DUMMYFUNCTION("""COMPUTED_VALUE"""),"&lt;ruby&gt;客人 &lt;rt&gt;kèrén&lt;/rt&gt;&lt;/ruby&gt;")</f>
        <v>&lt;ruby&gt;客人 &lt;rt&gt;kèrén&lt;/rt&gt;&lt;/ruby&gt;</v>
      </c>
      <c r="E403" s="13" t="str">
        <f ca="1">IFERROR(__xludf.DUMMYFUNCTION("""COMPUTED_VALUE"""),"kèrén")</f>
        <v>kèrén</v>
      </c>
      <c r="F403" s="13" t="str">
        <f ca="1">IFERROR(__xludf.DUMMYFUNCTION("""COMPUTED_VALUE"""),"Danh từ ")</f>
        <v xml:space="preserve">Danh từ </v>
      </c>
      <c r="G403" s="13" t="str">
        <f ca="1">IFERROR(__xludf.DUMMYFUNCTION("""COMPUTED_VALUE"""),"Khách")</f>
        <v>Khách</v>
      </c>
      <c r="H403" s="13" t="str">
        <f ca="1">IFERROR(__xludf.DUMMYFUNCTION("""COMPUTED_VALUE"""),"他是我的客人。")</f>
        <v>他是我的客人。</v>
      </c>
      <c r="I403" s="13" t="str">
        <f ca="1">IFERROR(__xludf.DUMMYFUNCTION("""COMPUTED_VALUE"""),"Tā shì wǒ de kèrén.")</f>
        <v>Tā shì wǒ de kèrén.</v>
      </c>
      <c r="J403" s="13" t="str">
        <f ca="1">IFERROR(__xludf.DUMMYFUNCTION("""COMPUTED_VALUE"""),"Anh ấy là khách của tôi.")</f>
        <v>Anh ấy là khách của tôi.</v>
      </c>
      <c r="K403" s="13" t="str">
        <f ca="1">IFERROR(__xludf.DUMMYFUNCTION("""COMPUTED_VALUE"""),"H3_B4_BG-08.gif")</f>
        <v>H3_B4_BG-08.gif</v>
      </c>
      <c r="L403" s="13" t="str">
        <f ca="1">IFERROR(__xludf.DUMMYFUNCTION("""COMPUTED_VALUE"""),"H3_B4_8.mp3")</f>
        <v>H3_B4_8.mp3</v>
      </c>
      <c r="M403" s="13" t="str">
        <f ca="1">IFERROR(__xludf.DUMMYFUNCTION("""COMPUTED_VALUE"""),"H3_B4_VD_8.mp3")</f>
        <v>H3_B4_VD_8.mp3</v>
      </c>
    </row>
    <row r="404" spans="1:13">
      <c r="A404" s="13">
        <f ca="1">IFERROR(__xludf.DUMMYFUNCTION("""COMPUTED_VALUE"""),9)</f>
        <v>9</v>
      </c>
      <c r="B404" s="13"/>
      <c r="C404" s="13" t="str">
        <f ca="1">IFERROR(__xludf.DUMMYFUNCTION("""COMPUTED_VALUE"""),"比赛 ")</f>
        <v xml:space="preserve">比赛 </v>
      </c>
      <c r="D404" s="13" t="str">
        <f ca="1">IFERROR(__xludf.DUMMYFUNCTION("""COMPUTED_VALUE"""),"&lt;ruby&gt;比赛 &lt;rt&gt;bǐsài&lt;/rt&gt;&lt;/ruby&gt;")</f>
        <v>&lt;ruby&gt;比赛 &lt;rt&gt;bǐsài&lt;/rt&gt;&lt;/ruby&gt;</v>
      </c>
      <c r="E404" s="13" t="str">
        <f ca="1">IFERROR(__xludf.DUMMYFUNCTION("""COMPUTED_VALUE"""),"bǐsài")</f>
        <v>bǐsài</v>
      </c>
      <c r="F404" s="13" t="str">
        <f ca="1">IFERROR(__xludf.DUMMYFUNCTION("""COMPUTED_VALUE"""),"Danh từ ")</f>
        <v xml:space="preserve">Danh từ </v>
      </c>
      <c r="G404" s="13" t="str">
        <f ca="1">IFERROR(__xludf.DUMMYFUNCTION("""COMPUTED_VALUE"""),"Cuộc thi, trận đấu")</f>
        <v>Cuộc thi, trận đấu</v>
      </c>
      <c r="H404" s="13" t="str">
        <f ca="1">IFERROR(__xludf.DUMMYFUNCTION("""COMPUTED_VALUE"""),"我们正在参加比赛。")</f>
        <v>我们正在参加比赛。</v>
      </c>
      <c r="I404" s="13" t="str">
        <f ca="1">IFERROR(__xludf.DUMMYFUNCTION("""COMPUTED_VALUE"""),"Wǒmen zhèngzài cānjiā bǐsài.")</f>
        <v>Wǒmen zhèngzài cānjiā bǐsài.</v>
      </c>
      <c r="J404" s="13" t="str">
        <f ca="1">IFERROR(__xludf.DUMMYFUNCTION("""COMPUTED_VALUE"""),"Chúng tôi đang tham gia cuộc thi.")</f>
        <v>Chúng tôi đang tham gia cuộc thi.</v>
      </c>
      <c r="K404" s="13" t="str">
        <f ca="1">IFERROR(__xludf.DUMMYFUNCTION("""COMPUTED_VALUE"""),"H3_B4_BG-09.gif")</f>
        <v>H3_B4_BG-09.gif</v>
      </c>
      <c r="L404" s="13" t="str">
        <f ca="1">IFERROR(__xludf.DUMMYFUNCTION("""COMPUTED_VALUE"""),"H3_B4_9.mp3")</f>
        <v>H3_B4_9.mp3</v>
      </c>
      <c r="M404" s="13" t="str">
        <f ca="1">IFERROR(__xludf.DUMMYFUNCTION("""COMPUTED_VALUE"""),"H3_B4_VD_9.mp3")</f>
        <v>H3_B4_VD_9.mp3</v>
      </c>
    </row>
    <row r="405" spans="1:13">
      <c r="A405" s="13">
        <f ca="1">IFERROR(__xludf.DUMMYFUNCTION("""COMPUTED_VALUE"""),10)</f>
        <v>10</v>
      </c>
      <c r="B405" s="13"/>
      <c r="C405" s="13" t="str">
        <f ca="1">IFERROR(__xludf.DUMMYFUNCTION("""COMPUTED_VALUE"""),"照片 ")</f>
        <v xml:space="preserve">照片 </v>
      </c>
      <c r="D405" s="13" t="str">
        <f ca="1">IFERROR(__xludf.DUMMYFUNCTION("""COMPUTED_VALUE"""),"&lt;ruby&gt;照片 &lt;rt&gt;zhàopiàn&lt;/rt&gt;&lt;/ruby&gt;")</f>
        <v>&lt;ruby&gt;照片 &lt;rt&gt;zhàopiàn&lt;/rt&gt;&lt;/ruby&gt;</v>
      </c>
      <c r="E405" s="13" t="str">
        <f ca="1">IFERROR(__xludf.DUMMYFUNCTION("""COMPUTED_VALUE"""),"zhàopiàn")</f>
        <v>zhàopiàn</v>
      </c>
      <c r="F405" s="13" t="str">
        <f ca="1">IFERROR(__xludf.DUMMYFUNCTION("""COMPUTED_VALUE"""),"Danh từ ")</f>
        <v xml:space="preserve">Danh từ </v>
      </c>
      <c r="G405" s="13" t="str">
        <f ca="1">IFERROR(__xludf.DUMMYFUNCTION("""COMPUTED_VALUE"""),"Bức ảnh")</f>
        <v>Bức ảnh</v>
      </c>
      <c r="H405" s="13" t="str">
        <f ca="1">IFERROR(__xludf.DUMMYFUNCTION("""COMPUTED_VALUE"""),"这张照片真美。")</f>
        <v>这张照片真美。</v>
      </c>
      <c r="I405" s="13" t="str">
        <f ca="1">IFERROR(__xludf.DUMMYFUNCTION("""COMPUTED_VALUE"""),"Zhè zhāng zhàopiàn zhēn měi.")</f>
        <v>Zhè zhāng zhàopiàn zhēn měi.</v>
      </c>
      <c r="J405" s="13" t="str">
        <f ca="1">IFERROR(__xludf.DUMMYFUNCTION("""COMPUTED_VALUE"""),"Bức ảnh này thật đẹp.")</f>
        <v>Bức ảnh này thật đẹp.</v>
      </c>
      <c r="K405" s="13" t="str">
        <f ca="1">IFERROR(__xludf.DUMMYFUNCTION("""COMPUTED_VALUE"""),"H3_B4_BG-10.gif")</f>
        <v>H3_B4_BG-10.gif</v>
      </c>
      <c r="L405" s="13" t="str">
        <f ca="1">IFERROR(__xludf.DUMMYFUNCTION("""COMPUTED_VALUE"""),"H3_B4_10.mp3")</f>
        <v>H3_B4_10.mp3</v>
      </c>
      <c r="M405" s="13" t="str">
        <f ca="1">IFERROR(__xludf.DUMMYFUNCTION("""COMPUTED_VALUE"""),"H3_B4_VD_10.mp3")</f>
        <v>H3_B4_VD_10.mp3</v>
      </c>
    </row>
    <row r="406" spans="1:13">
      <c r="A406" s="13">
        <f ca="1">IFERROR(__xludf.DUMMYFUNCTION("""COMPUTED_VALUE"""),11)</f>
        <v>11</v>
      </c>
      <c r="B406" s="13"/>
      <c r="C406" s="13" t="str">
        <f ca="1">IFERROR(__xludf.DUMMYFUNCTION("""COMPUTED_VALUE"""),"又")</f>
        <v>又</v>
      </c>
      <c r="D406" s="13" t="str">
        <f ca="1">IFERROR(__xludf.DUMMYFUNCTION("""COMPUTED_VALUE"""),"&lt;ruby&gt;又&lt;rt&gt;yòu&lt;/rt&gt;&lt;/ruby&gt;")</f>
        <v>&lt;ruby&gt;又&lt;rt&gt;yòu&lt;/rt&gt;&lt;/ruby&gt;</v>
      </c>
      <c r="E406" s="13" t="str">
        <f ca="1">IFERROR(__xludf.DUMMYFUNCTION("""COMPUTED_VALUE"""),"yòu")</f>
        <v>yòu</v>
      </c>
      <c r="F406" s="13" t="str">
        <f ca="1">IFERROR(__xludf.DUMMYFUNCTION("""COMPUTED_VALUE"""),"Phó từ ")</f>
        <v xml:space="preserve">Phó từ </v>
      </c>
      <c r="G406" s="13" t="str">
        <f ca="1">IFERROR(__xludf.DUMMYFUNCTION("""COMPUTED_VALUE"""),"Vừa ")</f>
        <v xml:space="preserve">Vừa </v>
      </c>
      <c r="H406" s="13" t="str">
        <f ca="1">IFERROR(__xludf.DUMMYFUNCTION("""COMPUTED_VALUE"""),"这个地方又安静又漂亮。")</f>
        <v>这个地方又安静又漂亮。</v>
      </c>
      <c r="I406" s="13" t="str">
        <f ca="1">IFERROR(__xludf.DUMMYFUNCTION("""COMPUTED_VALUE"""),"Zhège dìfāng yòu ānjìng yòu piàoliang.")</f>
        <v>Zhège dìfāng yòu ānjìng yòu piàoliang.</v>
      </c>
      <c r="J406" s="13" t="str">
        <f ca="1">IFERROR(__xludf.DUMMYFUNCTION("""COMPUTED_VALUE"""),"Nơi này vừa yên tĩnh vừa đẹp.")</f>
        <v>Nơi này vừa yên tĩnh vừa đẹp.</v>
      </c>
      <c r="K406" s="13" t="str">
        <f ca="1">IFERROR(__xludf.DUMMYFUNCTION("""COMPUTED_VALUE"""),"H3_B4_BG-11.gif")</f>
        <v>H3_B4_BG-11.gif</v>
      </c>
      <c r="L406" s="13" t="str">
        <f ca="1">IFERROR(__xludf.DUMMYFUNCTION("""COMPUTED_VALUE"""),"H3_B4_11.mp3")</f>
        <v>H3_B4_11.mp3</v>
      </c>
      <c r="M406" s="13" t="str">
        <f ca="1">IFERROR(__xludf.DUMMYFUNCTION("""COMPUTED_VALUE"""),"H3_B4_VD_11.mp3")</f>
        <v>H3_B4_VD_11.mp3</v>
      </c>
    </row>
    <row r="407" spans="1:13">
      <c r="A407" s="13">
        <f ca="1">IFERROR(__xludf.DUMMYFUNCTION("""COMPUTED_VALUE"""),12)</f>
        <v>12</v>
      </c>
      <c r="B407" s="13"/>
      <c r="C407" s="13" t="str">
        <f ca="1">IFERROR(__xludf.DUMMYFUNCTION("""COMPUTED_VALUE"""),"回答")</f>
        <v>回答</v>
      </c>
      <c r="D407" s="13" t="str">
        <f ca="1">IFERROR(__xludf.DUMMYFUNCTION("""COMPUTED_VALUE"""),"&lt;ruby&gt;回答&lt;rt&gt;huídá&lt;/rt&gt;&lt;/ruby&gt;")</f>
        <v>&lt;ruby&gt;回答&lt;rt&gt;huídá&lt;/rt&gt;&lt;/ruby&gt;</v>
      </c>
      <c r="E407" s="13" t="str">
        <f ca="1">IFERROR(__xludf.DUMMYFUNCTION("""COMPUTED_VALUE"""),"huídá")</f>
        <v>huídá</v>
      </c>
      <c r="F407" s="13" t="str">
        <f ca="1">IFERROR(__xludf.DUMMYFUNCTION("""COMPUTED_VALUE"""),"Động từ ")</f>
        <v xml:space="preserve">Động từ </v>
      </c>
      <c r="G407" s="13" t="str">
        <f ca="1">IFERROR(__xludf.DUMMYFUNCTION("""COMPUTED_VALUE"""),"Trả lời")</f>
        <v>Trả lời</v>
      </c>
      <c r="H407" s="13" t="str">
        <f ca="1">IFERROR(__xludf.DUMMYFUNCTION("""COMPUTED_VALUE"""),"你快回答我的问题吧。")</f>
        <v>你快回答我的问题吧。</v>
      </c>
      <c r="I407" s="13" t="str">
        <f ca="1">IFERROR(__xludf.DUMMYFUNCTION("""COMPUTED_VALUE"""),"Nǐ kuài huídá wǒ de wèntí ba.")</f>
        <v>Nǐ kuài huídá wǒ de wèntí ba.</v>
      </c>
      <c r="J407" s="13" t="str">
        <f ca="1">IFERROR(__xludf.DUMMYFUNCTION("""COMPUTED_VALUE"""),"Bạn trả lời câu hỏi của tôi nhanh lên.")</f>
        <v>Bạn trả lời câu hỏi của tôi nhanh lên.</v>
      </c>
      <c r="K407" s="13" t="str">
        <f ca="1">IFERROR(__xludf.DUMMYFUNCTION("""COMPUTED_VALUE"""),"H3_B4_BG-12.gif")</f>
        <v>H3_B4_BG-12.gif</v>
      </c>
      <c r="L407" s="13" t="str">
        <f ca="1">IFERROR(__xludf.DUMMYFUNCTION("""COMPUTED_VALUE"""),"H3_B4_12.mp3")</f>
        <v>H3_B4_12.mp3</v>
      </c>
      <c r="M407" s="13" t="str">
        <f ca="1">IFERROR(__xludf.DUMMYFUNCTION("""COMPUTED_VALUE"""),"H3_B4_VD_12.mp3")</f>
        <v>H3_B4_VD_12.mp3</v>
      </c>
    </row>
    <row r="408" spans="1:13">
      <c r="A408" s="13">
        <f ca="1">IFERROR(__xludf.DUMMYFUNCTION("""COMPUTED_VALUE"""),13)</f>
        <v>13</v>
      </c>
      <c r="B408" s="13"/>
      <c r="C408" s="13" t="str">
        <f ca="1">IFERROR(__xludf.DUMMYFUNCTION("""COMPUTED_VALUE"""),"站")</f>
        <v>站</v>
      </c>
      <c r="D408" s="13" t="str">
        <f ca="1">IFERROR(__xludf.DUMMYFUNCTION("""COMPUTED_VALUE"""),"&lt;ruby&gt;站&lt;rt&gt;zhàn&lt;/rt&gt;&lt;/ruby&gt;")</f>
        <v>&lt;ruby&gt;站&lt;rt&gt;zhàn&lt;/rt&gt;&lt;/ruby&gt;</v>
      </c>
      <c r="E408" s="13" t="str">
        <f ca="1">IFERROR(__xludf.DUMMYFUNCTION("""COMPUTED_VALUE"""),"zhàn")</f>
        <v>zhàn</v>
      </c>
      <c r="F408" s="13" t="str">
        <f ca="1">IFERROR(__xludf.DUMMYFUNCTION("""COMPUTED_VALUE"""),"Động từ ")</f>
        <v xml:space="preserve">Động từ </v>
      </c>
      <c r="G408" s="13" t="str">
        <f ca="1">IFERROR(__xludf.DUMMYFUNCTION("""COMPUTED_VALUE"""),"Đứng")</f>
        <v>Đứng</v>
      </c>
      <c r="H408" s="13" t="str">
        <f ca="1">IFERROR(__xludf.DUMMYFUNCTION("""COMPUTED_VALUE"""),"警察正在站着观察。")</f>
        <v>警察正在站着观察。</v>
      </c>
      <c r="I408" s="13" t="str">
        <f ca="1">IFERROR(__xludf.DUMMYFUNCTION("""COMPUTED_VALUE"""),"Jǐngchá zhèngzài zhànzhe guānchá.")</f>
        <v>Jǐngchá zhèngzài zhànzhe guānchá.</v>
      </c>
      <c r="J408" s="13" t="str">
        <f ca="1">IFERROR(__xludf.DUMMYFUNCTION("""COMPUTED_VALUE"""),"Viên cảnh sát đang đứng quan sát.")</f>
        <v>Viên cảnh sát đang đứng quan sát.</v>
      </c>
      <c r="K408" s="13" t="str">
        <f ca="1">IFERROR(__xludf.DUMMYFUNCTION("""COMPUTED_VALUE"""),"H3_B4_BG-13.gif")</f>
        <v>H3_B4_BG-13.gif</v>
      </c>
      <c r="L408" s="13" t="str">
        <f ca="1">IFERROR(__xludf.DUMMYFUNCTION("""COMPUTED_VALUE"""),"H3_B4_13.mp3")</f>
        <v>H3_B4_13.mp3</v>
      </c>
      <c r="M408" s="13" t="str">
        <f ca="1">IFERROR(__xludf.DUMMYFUNCTION("""COMPUTED_VALUE"""),"H3_B4_VD_13.mp3")</f>
        <v>H3_B4_VD_13.mp3</v>
      </c>
    </row>
    <row r="409" spans="1:13">
      <c r="A409" s="13">
        <f ca="1">IFERROR(__xludf.DUMMYFUNCTION("""COMPUTED_VALUE"""),14)</f>
        <v>14</v>
      </c>
      <c r="B409" s="13"/>
      <c r="C409" s="13" t="str">
        <f ca="1">IFERROR(__xludf.DUMMYFUNCTION("""COMPUTED_VALUE"""),"饿")</f>
        <v>饿</v>
      </c>
      <c r="D409" s="13" t="str">
        <f ca="1">IFERROR(__xludf.DUMMYFUNCTION("""COMPUTED_VALUE"""),"&lt;ruby&gt;饿&lt;rt&gt;è&lt;/rt&gt;&lt;/ruby&gt;")</f>
        <v>&lt;ruby&gt;饿&lt;rt&gt;è&lt;/rt&gt;&lt;/ruby&gt;</v>
      </c>
      <c r="E409" s="13" t="str">
        <f ca="1">IFERROR(__xludf.DUMMYFUNCTION("""COMPUTED_VALUE"""),"è")</f>
        <v>è</v>
      </c>
      <c r="F409" s="13" t="str">
        <f ca="1">IFERROR(__xludf.DUMMYFUNCTION("""COMPUTED_VALUE"""),"Tính từ ")</f>
        <v xml:space="preserve">Tính từ </v>
      </c>
      <c r="G409" s="13" t="str">
        <f ca="1">IFERROR(__xludf.DUMMYFUNCTION("""COMPUTED_VALUE"""),"Đói")</f>
        <v>Đói</v>
      </c>
      <c r="H409" s="13" t="str">
        <f ca="1">IFERROR(__xludf.DUMMYFUNCTION("""COMPUTED_VALUE"""),"我好饿!")</f>
        <v>我好饿!</v>
      </c>
      <c r="I409" s="13" t="str">
        <f ca="1">IFERROR(__xludf.DUMMYFUNCTION("""COMPUTED_VALUE"""),"Wǒ hǎo è!")</f>
        <v>Wǒ hǎo è!</v>
      </c>
      <c r="J409" s="13" t="str">
        <f ca="1">IFERROR(__xludf.DUMMYFUNCTION("""COMPUTED_VALUE"""),"Tôi đói quá!")</f>
        <v>Tôi đói quá!</v>
      </c>
      <c r="K409" s="13" t="str">
        <f ca="1">IFERROR(__xludf.DUMMYFUNCTION("""COMPUTED_VALUE"""),"H3_B4_BG-14.gif")</f>
        <v>H3_B4_BG-14.gif</v>
      </c>
      <c r="L409" s="13" t="str">
        <f ca="1">IFERROR(__xludf.DUMMYFUNCTION("""COMPUTED_VALUE"""),"H3_B4_14.mp3")</f>
        <v>H3_B4_14.mp3</v>
      </c>
      <c r="M409" s="13" t="str">
        <f ca="1">IFERROR(__xludf.DUMMYFUNCTION("""COMPUTED_VALUE"""),"H3_B4_VD_14.mp3")</f>
        <v>H3_B4_VD_14.mp3</v>
      </c>
    </row>
    <row r="410" spans="1:13">
      <c r="A410" s="13">
        <f ca="1">IFERROR(__xludf.DUMMYFUNCTION("""COMPUTED_VALUE"""),15)</f>
        <v>15</v>
      </c>
      <c r="B410" s="13"/>
      <c r="C410" s="13" t="str">
        <f ca="1">IFERROR(__xludf.DUMMYFUNCTION("""COMPUTED_VALUE"""),"超市 ")</f>
        <v xml:space="preserve">超市 </v>
      </c>
      <c r="D410" s="13" t="str">
        <f ca="1">IFERROR(__xludf.DUMMYFUNCTION("""COMPUTED_VALUE"""),"&lt;ruby&gt;超市 &lt;rt&gt;chāoshì&lt;/rt&gt;&lt;/ruby&gt;")</f>
        <v>&lt;ruby&gt;超市 &lt;rt&gt;chāoshì&lt;/rt&gt;&lt;/ruby&gt;</v>
      </c>
      <c r="E410" s="13" t="str">
        <f ca="1">IFERROR(__xludf.DUMMYFUNCTION("""COMPUTED_VALUE"""),"chāoshì")</f>
        <v>chāoshì</v>
      </c>
      <c r="F410" s="13" t="str">
        <f ca="1">IFERROR(__xludf.DUMMYFUNCTION("""COMPUTED_VALUE"""),"Danh từ ")</f>
        <v xml:space="preserve">Danh từ </v>
      </c>
      <c r="G410" s="13" t="str">
        <f ca="1">IFERROR(__xludf.DUMMYFUNCTION("""COMPUTED_VALUE"""),"Siêu thị")</f>
        <v>Siêu thị</v>
      </c>
      <c r="H410" s="13" t="str">
        <f ca="1">IFERROR(__xludf.DUMMYFUNCTION("""COMPUTED_VALUE"""),"这个超市真的很大。")</f>
        <v>这个超市真的很大。</v>
      </c>
      <c r="I410" s="13" t="str">
        <f ca="1">IFERROR(__xludf.DUMMYFUNCTION("""COMPUTED_VALUE"""),"Zhège chāoshì zhēn de hěn dà.")</f>
        <v>Zhège chāoshì zhēn de hěn dà.</v>
      </c>
      <c r="J410" s="13" t="str">
        <f ca="1">IFERROR(__xludf.DUMMYFUNCTION("""COMPUTED_VALUE"""),"Siêu thị này thật to.")</f>
        <v>Siêu thị này thật to.</v>
      </c>
      <c r="K410" s="13" t="str">
        <f ca="1">IFERROR(__xludf.DUMMYFUNCTION("""COMPUTED_VALUE"""),"H3_B4_BG-15.gif")</f>
        <v>H3_B4_BG-15.gif</v>
      </c>
      <c r="L410" s="13" t="str">
        <f ca="1">IFERROR(__xludf.DUMMYFUNCTION("""COMPUTED_VALUE"""),"H3_B4_15.mp3")</f>
        <v>H3_B4_15.mp3</v>
      </c>
      <c r="M410" s="13" t="str">
        <f ca="1">IFERROR(__xludf.DUMMYFUNCTION("""COMPUTED_VALUE"""),"H3_B4_VD_15.mp3")</f>
        <v>H3_B4_VD_15.mp3</v>
      </c>
    </row>
    <row r="411" spans="1:13">
      <c r="A411" s="13">
        <f ca="1">IFERROR(__xludf.DUMMYFUNCTION("""COMPUTED_VALUE"""),16)</f>
        <v>16</v>
      </c>
      <c r="B411" s="13"/>
      <c r="C411" s="13" t="str">
        <f ca="1">IFERROR(__xludf.DUMMYFUNCTION("""COMPUTED_VALUE"""),"鸡蛋 ")</f>
        <v xml:space="preserve">鸡蛋 </v>
      </c>
      <c r="D411" s="13" t="str">
        <f ca="1">IFERROR(__xludf.DUMMYFUNCTION("""COMPUTED_VALUE"""),"&lt;ruby&gt;鸡蛋 &lt;rt&gt;jīdàn&lt;/rt&gt;&lt;/ruby&gt;")</f>
        <v>&lt;ruby&gt;鸡蛋 &lt;rt&gt;jīdàn&lt;/rt&gt;&lt;/ruby&gt;</v>
      </c>
      <c r="E411" s="13" t="str">
        <f ca="1">IFERROR(__xludf.DUMMYFUNCTION("""COMPUTED_VALUE"""),"jīdàn")</f>
        <v>jīdàn</v>
      </c>
      <c r="F411" s="13" t="str">
        <f ca="1">IFERROR(__xludf.DUMMYFUNCTION("""COMPUTED_VALUE"""),"Danh từ ")</f>
        <v xml:space="preserve">Danh từ </v>
      </c>
      <c r="G411" s="13" t="str">
        <f ca="1">IFERROR(__xludf.DUMMYFUNCTION("""COMPUTED_VALUE"""),"Trứng gà")</f>
        <v>Trứng gà</v>
      </c>
      <c r="H411" s="13" t="str">
        <f ca="1">IFERROR(__xludf.DUMMYFUNCTION("""COMPUTED_VALUE"""),"我买了一打鸡蛋。")</f>
        <v>我买了一打鸡蛋。</v>
      </c>
      <c r="I411" s="13" t="str">
        <f ca="1">IFERROR(__xludf.DUMMYFUNCTION("""COMPUTED_VALUE"""),"Wǒ mǎi le yī dǎ jīdàn.")</f>
        <v>Wǒ mǎi le yī dǎ jīdàn.</v>
      </c>
      <c r="J411" s="13" t="str">
        <f ca="1">IFERROR(__xludf.DUMMYFUNCTION("""COMPUTED_VALUE"""),"Tôi mua một chục trứng.")</f>
        <v>Tôi mua một chục trứng.</v>
      </c>
      <c r="K411" s="13" t="str">
        <f ca="1">IFERROR(__xludf.DUMMYFUNCTION("""COMPUTED_VALUE"""),"H3_B4_BG-16.gif")</f>
        <v>H3_B4_BG-16.gif</v>
      </c>
      <c r="L411" s="13" t="str">
        <f ca="1">IFERROR(__xludf.DUMMYFUNCTION("""COMPUTED_VALUE"""),"H3_B4_16.mp3")</f>
        <v>H3_B4_16.mp3</v>
      </c>
      <c r="M411" s="13" t="str">
        <f ca="1">IFERROR(__xludf.DUMMYFUNCTION("""COMPUTED_VALUE"""),"H3_B4_VD_16.mp3")</f>
        <v>H3_B4_VD_16.mp3</v>
      </c>
    </row>
    <row r="412" spans="1:13">
      <c r="A412" s="13">
        <f ca="1">IFERROR(__xludf.DUMMYFUNCTION("""COMPUTED_VALUE"""),1)</f>
        <v>1</v>
      </c>
      <c r="B412" s="13"/>
      <c r="C412" s="13" t="str">
        <f ca="1">IFERROR(__xludf.DUMMYFUNCTION("""COMPUTED_VALUE"""),"发烧")</f>
        <v>发烧</v>
      </c>
      <c r="D412" s="13" t="str">
        <f ca="1">IFERROR(__xludf.DUMMYFUNCTION("""COMPUTED_VALUE"""),"&lt;ruby&gt;发烧&lt;rt&gt;fāshāo&lt;/rt&gt;&lt;/ruby&gt;")</f>
        <v>&lt;ruby&gt;发烧&lt;rt&gt;fāshāo&lt;/rt&gt;&lt;/ruby&gt;</v>
      </c>
      <c r="E412" s="13" t="str">
        <f ca="1">IFERROR(__xludf.DUMMYFUNCTION("""COMPUTED_VALUE"""),"fāshāo")</f>
        <v>fāshāo</v>
      </c>
      <c r="F412" s="13" t="str">
        <f ca="1">IFERROR(__xludf.DUMMYFUNCTION("""COMPUTED_VALUE"""),"Động từ")</f>
        <v>Động từ</v>
      </c>
      <c r="G412" s="13" t="str">
        <f ca="1">IFERROR(__xludf.DUMMYFUNCTION("""COMPUTED_VALUE"""),"Bị sốt")</f>
        <v>Bị sốt</v>
      </c>
      <c r="H412" s="13" t="str">
        <f ca="1">IFERROR(__xludf.DUMMYFUNCTION("""COMPUTED_VALUE"""),"我昨晚发烧了。")</f>
        <v>我昨晚发烧了。</v>
      </c>
      <c r="I412" s="13" t="str">
        <f ca="1">IFERROR(__xludf.DUMMYFUNCTION("""COMPUTED_VALUE"""),"Wǒ zuó wǎn fā shāo le.")</f>
        <v>Wǒ zuó wǎn fā shāo le.</v>
      </c>
      <c r="J412" s="13" t="str">
        <f ca="1">IFERROR(__xludf.DUMMYFUNCTION("""COMPUTED_VALUE"""),"Tối qua tôi bị sốt.")</f>
        <v>Tối qua tôi bị sốt.</v>
      </c>
      <c r="K412" s="13" t="str">
        <f ca="1">IFERROR(__xludf.DUMMYFUNCTION("""COMPUTED_VALUE"""),"H3_B5_BG-01.gif")</f>
        <v>H3_B5_BG-01.gif</v>
      </c>
      <c r="L412" s="13" t="str">
        <f ca="1">IFERROR(__xludf.DUMMYFUNCTION("""COMPUTED_VALUE"""),"H3_B5_1.mp3")</f>
        <v>H3_B5_1.mp3</v>
      </c>
      <c r="M412" s="13" t="str">
        <f ca="1">IFERROR(__xludf.DUMMYFUNCTION("""COMPUTED_VALUE"""),"H3_B5_VD_1.mp3")</f>
        <v>H3_B5_VD_1.mp3</v>
      </c>
    </row>
    <row r="413" spans="1:13">
      <c r="A413" s="13">
        <f ca="1">IFERROR(__xludf.DUMMYFUNCTION("""COMPUTED_VALUE"""),2)</f>
        <v>2</v>
      </c>
      <c r="B413" s="13"/>
      <c r="C413" s="13" t="str">
        <f ca="1">IFERROR(__xludf.DUMMYFUNCTION("""COMPUTED_VALUE"""),"为")</f>
        <v>为</v>
      </c>
      <c r="D413" s="13" t="str">
        <f ca="1">IFERROR(__xludf.DUMMYFUNCTION("""COMPUTED_VALUE"""),"&lt;ruby&gt;为&lt;rt&gt;wèi&lt;/rt&gt;&lt;/ruby&gt;")</f>
        <v>&lt;ruby&gt;为&lt;rt&gt;wèi&lt;/rt&gt;&lt;/ruby&gt;</v>
      </c>
      <c r="E413" s="13" t="str">
        <f ca="1">IFERROR(__xludf.DUMMYFUNCTION("""COMPUTED_VALUE"""),"wèi")</f>
        <v>wèi</v>
      </c>
      <c r="F413" s="13" t="str">
        <f ca="1">IFERROR(__xludf.DUMMYFUNCTION("""COMPUTED_VALUE"""),"Giới từ")</f>
        <v>Giới từ</v>
      </c>
      <c r="G413" s="13" t="str">
        <f ca="1">IFERROR(__xludf.DUMMYFUNCTION("""COMPUTED_VALUE"""),"Cho ")</f>
        <v xml:space="preserve">Cho </v>
      </c>
      <c r="H413" s="13" t="str">
        <f ca="1">IFERROR(__xludf.DUMMYFUNCTION("""COMPUTED_VALUE"""),"这是我为你准备的礼物。")</f>
        <v>这是我为你准备的礼物。</v>
      </c>
      <c r="I413" s="13" t="str">
        <f ca="1">IFERROR(__xludf.DUMMYFUNCTION("""COMPUTED_VALUE"""),"Zhè shì wǒ wèi nǐ zhǔnbèi de lǐwù.")</f>
        <v>Zhè shì wǒ wèi nǐ zhǔnbèi de lǐwù.</v>
      </c>
      <c r="J413" s="13" t="str">
        <f ca="1">IFERROR(__xludf.DUMMYFUNCTION("""COMPUTED_VALUE"""),"Đây là món quà tôi chuẩn bị cho bạn.")</f>
        <v>Đây là món quà tôi chuẩn bị cho bạn.</v>
      </c>
      <c r="K413" s="13" t="str">
        <f ca="1">IFERROR(__xludf.DUMMYFUNCTION("""COMPUTED_VALUE"""),"H3_B5_BG-02.gif")</f>
        <v>H3_B5_BG-02.gif</v>
      </c>
      <c r="L413" s="13" t="str">
        <f ca="1">IFERROR(__xludf.DUMMYFUNCTION("""COMPUTED_VALUE"""),"H3_B5_2.mp3")</f>
        <v>H3_B5_2.mp3</v>
      </c>
      <c r="M413" s="13" t="str">
        <f ca="1">IFERROR(__xludf.DUMMYFUNCTION("""COMPUTED_VALUE"""),"H3_B5_VD_2.mp3")</f>
        <v>H3_B5_VD_2.mp3</v>
      </c>
    </row>
    <row r="414" spans="1:13">
      <c r="A414" s="13">
        <f ca="1">IFERROR(__xludf.DUMMYFUNCTION("""COMPUTED_VALUE"""),3)</f>
        <v>3</v>
      </c>
      <c r="B414" s="13"/>
      <c r="C414" s="13" t="str">
        <f ca="1">IFERROR(__xludf.DUMMYFUNCTION("""COMPUTED_VALUE"""),"照顾")</f>
        <v>照顾</v>
      </c>
      <c r="D414" s="13" t="str">
        <f ca="1">IFERROR(__xludf.DUMMYFUNCTION("""COMPUTED_VALUE"""),"&lt;ruby&gt;照顾&lt;rt&gt;zhàogù&lt;/rt&gt;&lt;/ruby&gt;")</f>
        <v>&lt;ruby&gt;照顾&lt;rt&gt;zhàogù&lt;/rt&gt;&lt;/ruby&gt;</v>
      </c>
      <c r="E414" s="13" t="str">
        <f ca="1">IFERROR(__xludf.DUMMYFUNCTION("""COMPUTED_VALUE"""),"zhàogù")</f>
        <v>zhàogù</v>
      </c>
      <c r="F414" s="13" t="str">
        <f ca="1">IFERROR(__xludf.DUMMYFUNCTION("""COMPUTED_VALUE"""),"Động từ")</f>
        <v>Động từ</v>
      </c>
      <c r="G414" s="13" t="str">
        <f ca="1">IFERROR(__xludf.DUMMYFUNCTION("""COMPUTED_VALUE"""),"Chăm sóc")</f>
        <v>Chăm sóc</v>
      </c>
      <c r="H414" s="13" t="str">
        <f ca="1">IFERROR(__xludf.DUMMYFUNCTION("""COMPUTED_VALUE"""),"她生病了，妈妈在照顾她。")</f>
        <v>她生病了，妈妈在照顾她。</v>
      </c>
      <c r="I414" s="13" t="str">
        <f ca="1">IFERROR(__xludf.DUMMYFUNCTION("""COMPUTED_VALUE"""),"Tā shēng bìng le, māmā zài zhàogù tā.")</f>
        <v>Tā shēng bìng le, māmā zài zhàogù tā.</v>
      </c>
      <c r="J414" s="13" t="str">
        <f ca="1">IFERROR(__xludf.DUMMYFUNCTION("""COMPUTED_VALUE"""),"Cô ấy bị ốm, mẹ đang chăm sóc cô ấy.")</f>
        <v>Cô ấy bị ốm, mẹ đang chăm sóc cô ấy.</v>
      </c>
      <c r="K414" s="13" t="str">
        <f ca="1">IFERROR(__xludf.DUMMYFUNCTION("""COMPUTED_VALUE"""),"H3_B5_BG-03.gif")</f>
        <v>H3_B5_BG-03.gif</v>
      </c>
      <c r="L414" s="13" t="str">
        <f ca="1">IFERROR(__xludf.DUMMYFUNCTION("""COMPUTED_VALUE"""),"H3_B5_3.mp3")</f>
        <v>H3_B5_3.mp3</v>
      </c>
      <c r="M414" s="13" t="str">
        <f ca="1">IFERROR(__xludf.DUMMYFUNCTION("""COMPUTED_VALUE"""),"H3_B5_VD_3.mp3")</f>
        <v>H3_B5_VD_3.mp3</v>
      </c>
    </row>
    <row r="415" spans="1:13">
      <c r="A415" s="13">
        <f ca="1">IFERROR(__xludf.DUMMYFUNCTION("""COMPUTED_VALUE"""),4)</f>
        <v>4</v>
      </c>
      <c r="B415" s="13"/>
      <c r="C415" s="13" t="str">
        <f ca="1">IFERROR(__xludf.DUMMYFUNCTION("""COMPUTED_VALUE"""),"感冒")</f>
        <v>感冒</v>
      </c>
      <c r="D415" s="13" t="str">
        <f ca="1">IFERROR(__xludf.DUMMYFUNCTION("""COMPUTED_VALUE"""),"&lt;ruby&gt;感冒&lt;rt&gt;gǎnmào&lt;/rt&gt;&lt;/ruby&gt;")</f>
        <v>&lt;ruby&gt;感冒&lt;rt&gt;gǎnmào&lt;/rt&gt;&lt;/ruby&gt;</v>
      </c>
      <c r="E415" s="13" t="str">
        <f ca="1">IFERROR(__xludf.DUMMYFUNCTION("""COMPUTED_VALUE"""),"gǎnmào")</f>
        <v>gǎnmào</v>
      </c>
      <c r="F415" s="13" t="str">
        <f ca="1">IFERROR(__xludf.DUMMYFUNCTION("""COMPUTED_VALUE"""),"Danh từ")</f>
        <v>Danh từ</v>
      </c>
      <c r="G415" s="13" t="str">
        <f ca="1">IFERROR(__xludf.DUMMYFUNCTION("""COMPUTED_VALUE"""),"Cảm cúm")</f>
        <v>Cảm cúm</v>
      </c>
      <c r="H415" s="13" t="str">
        <f ca="1">IFERROR(__xludf.DUMMYFUNCTION("""COMPUTED_VALUE"""),"我感冒了。")</f>
        <v>我感冒了。</v>
      </c>
      <c r="I415" s="13" t="str">
        <f ca="1">IFERROR(__xludf.DUMMYFUNCTION("""COMPUTED_VALUE"""),"Wǒ gǎn mào le.")</f>
        <v>Wǒ gǎn mào le.</v>
      </c>
      <c r="J415" s="13" t="str">
        <f ca="1">IFERROR(__xludf.DUMMYFUNCTION("""COMPUTED_VALUE"""),"Tôi bị cảm cúm rồi. ")</f>
        <v xml:space="preserve">Tôi bị cảm cúm rồi. </v>
      </c>
      <c r="K415" s="13" t="str">
        <f ca="1">IFERROR(__xludf.DUMMYFUNCTION("""COMPUTED_VALUE"""),"H3_B5_BG-04.gif")</f>
        <v>H3_B5_BG-04.gif</v>
      </c>
      <c r="L415" s="13" t="str">
        <f ca="1">IFERROR(__xludf.DUMMYFUNCTION("""COMPUTED_VALUE"""),"H3_B5_4.mp3")</f>
        <v>H3_B5_4.mp3</v>
      </c>
      <c r="M415" s="13" t="str">
        <f ca="1">IFERROR(__xludf.DUMMYFUNCTION("""COMPUTED_VALUE"""),"H3_B5_VD_4.mp3")</f>
        <v>H3_B5_VD_4.mp3</v>
      </c>
    </row>
    <row r="416" spans="1:13">
      <c r="A416" s="13">
        <f ca="1">IFERROR(__xludf.DUMMYFUNCTION("""COMPUTED_VALUE"""),5)</f>
        <v>5</v>
      </c>
      <c r="B416" s="13"/>
      <c r="C416" s="13" t="str">
        <f ca="1">IFERROR(__xludf.DUMMYFUNCTION("""COMPUTED_VALUE"""),"用")</f>
        <v>用</v>
      </c>
      <c r="D416" s="13" t="str">
        <f ca="1">IFERROR(__xludf.DUMMYFUNCTION("""COMPUTED_VALUE"""),"&lt;ruby&gt;用&lt;rt&gt;yòng&lt;/rt&gt;&lt;/ruby&gt;")</f>
        <v>&lt;ruby&gt;用&lt;rt&gt;yòng&lt;/rt&gt;&lt;/ruby&gt;</v>
      </c>
      <c r="E416" s="13" t="str">
        <f ca="1">IFERROR(__xludf.DUMMYFUNCTION("""COMPUTED_VALUE"""),"yòng")</f>
        <v>yòng</v>
      </c>
      <c r="F416" s="13" t="str">
        <f ca="1">IFERROR(__xludf.DUMMYFUNCTION("""COMPUTED_VALUE"""),"Động từ")</f>
        <v>Động từ</v>
      </c>
      <c r="G416" s="13" t="str">
        <f ca="1">IFERROR(__xludf.DUMMYFUNCTION("""COMPUTED_VALUE"""),"Dùng, cần ")</f>
        <v xml:space="preserve">Dùng, cần </v>
      </c>
      <c r="H416" s="13" t="str">
        <f ca="1">IFERROR(__xludf.DUMMYFUNCTION("""COMPUTED_VALUE"""),"这个是用什么做的？")</f>
        <v>这个是用什么做的？</v>
      </c>
      <c r="I416" s="13" t="str">
        <f ca="1">IFERROR(__xludf.DUMMYFUNCTION("""COMPUTED_VALUE"""),"Zhège shì yòng shénme zuò de？")</f>
        <v>Zhège shì yòng shénme zuò de？</v>
      </c>
      <c r="J416" s="13" t="str">
        <f ca="1">IFERROR(__xludf.DUMMYFUNCTION("""COMPUTED_VALUE"""),"Cái này được làm bằng cái gì?")</f>
        <v>Cái này được làm bằng cái gì?</v>
      </c>
      <c r="K416" s="13" t="str">
        <f ca="1">IFERROR(__xludf.DUMMYFUNCTION("""COMPUTED_VALUE"""),"H3_B5_BG-05.gif")</f>
        <v>H3_B5_BG-05.gif</v>
      </c>
      <c r="L416" s="13" t="str">
        <f ca="1">IFERROR(__xludf.DUMMYFUNCTION("""COMPUTED_VALUE"""),"H3_B5_5.mp3")</f>
        <v>H3_B5_5.mp3</v>
      </c>
      <c r="M416" s="13" t="str">
        <f ca="1">IFERROR(__xludf.DUMMYFUNCTION("""COMPUTED_VALUE"""),"H3_B5_VD_5.mp3")</f>
        <v>H3_B5_VD_5.mp3</v>
      </c>
    </row>
    <row r="417" spans="1:13">
      <c r="A417" s="13">
        <f ca="1">IFERROR(__xludf.DUMMYFUNCTION("""COMPUTED_VALUE"""),6)</f>
        <v>6</v>
      </c>
      <c r="B417" s="13"/>
      <c r="C417" s="13" t="str">
        <f ca="1">IFERROR(__xludf.DUMMYFUNCTION("""COMPUTED_VALUE"""),"季节")</f>
        <v>季节</v>
      </c>
      <c r="D417" s="13" t="str">
        <f ca="1">IFERROR(__xludf.DUMMYFUNCTION("""COMPUTED_VALUE"""),"&lt;ruby&gt;季节&lt;rt&gt;jìjié&lt;/rt&gt;&lt;/ruby&gt;")</f>
        <v>&lt;ruby&gt;季节&lt;rt&gt;jìjié&lt;/rt&gt;&lt;/ruby&gt;</v>
      </c>
      <c r="E417" s="13" t="str">
        <f ca="1">IFERROR(__xludf.DUMMYFUNCTION("""COMPUTED_VALUE"""),"jìjié")</f>
        <v>jìjié</v>
      </c>
      <c r="F417" s="13" t="str">
        <f ca="1">IFERROR(__xludf.DUMMYFUNCTION("""COMPUTED_VALUE"""),"Danh từ")</f>
        <v>Danh từ</v>
      </c>
      <c r="G417" s="13" t="str">
        <f ca="1">IFERROR(__xludf.DUMMYFUNCTION("""COMPUTED_VALUE"""),"Mùa")</f>
        <v>Mùa</v>
      </c>
      <c r="H417" s="13" t="str">
        <f ca="1">IFERROR(__xludf.DUMMYFUNCTION("""COMPUTED_VALUE"""),"冬天是我最喜欢的季节。")</f>
        <v>冬天是我最喜欢的季节。</v>
      </c>
      <c r="I417" s="13" t="str">
        <f ca="1">IFERROR(__xludf.DUMMYFUNCTION("""COMPUTED_VALUE"""),"Dōngtiān shì wǒ zuì xǐhuān de jìjié.")</f>
        <v>Dōngtiān shì wǒ zuì xǐhuān de jìjié.</v>
      </c>
      <c r="J417" s="13" t="str">
        <f ca="1">IFERROR(__xludf.DUMMYFUNCTION("""COMPUTED_VALUE"""),"Mùa đông là mùa tôi thích nhất.")</f>
        <v>Mùa đông là mùa tôi thích nhất.</v>
      </c>
      <c r="K417" s="13" t="str">
        <f ca="1">IFERROR(__xludf.DUMMYFUNCTION("""COMPUTED_VALUE"""),"H3_B5_BG-06.gif")</f>
        <v>H3_B5_BG-06.gif</v>
      </c>
      <c r="L417" s="13" t="str">
        <f ca="1">IFERROR(__xludf.DUMMYFUNCTION("""COMPUTED_VALUE"""),"H3_B5_6.mp3")</f>
        <v>H3_B5_6.mp3</v>
      </c>
      <c r="M417" s="13" t="str">
        <f ca="1">IFERROR(__xludf.DUMMYFUNCTION("""COMPUTED_VALUE"""),"H3_B5_VD_6.mp3")</f>
        <v>H3_B5_VD_6.mp3</v>
      </c>
    </row>
    <row r="418" spans="1:13">
      <c r="A418" s="13">
        <f ca="1">IFERROR(__xludf.DUMMYFUNCTION("""COMPUTED_VALUE"""),7)</f>
        <v>7</v>
      </c>
      <c r="B418" s="13"/>
      <c r="C418" s="13" t="str">
        <f ca="1">IFERROR(__xludf.DUMMYFUNCTION("""COMPUTED_VALUE"""),"当然")</f>
        <v>当然</v>
      </c>
      <c r="D418" s="13" t="str">
        <f ca="1">IFERROR(__xludf.DUMMYFUNCTION("""COMPUTED_VALUE"""),"&lt;ruby&gt;当然&lt;rt&gt;dāngrán&lt;/rt&gt;&lt;/ruby&gt;")</f>
        <v>&lt;ruby&gt;当然&lt;rt&gt;dāngrán&lt;/rt&gt;&lt;/ruby&gt;</v>
      </c>
      <c r="E418" s="13" t="str">
        <f ca="1">IFERROR(__xludf.DUMMYFUNCTION("""COMPUTED_VALUE"""),"dāngrán")</f>
        <v>dāngrán</v>
      </c>
      <c r="F418" s="13" t="str">
        <f ca="1">IFERROR(__xludf.DUMMYFUNCTION("""COMPUTED_VALUE"""),"Phó từ")</f>
        <v>Phó từ</v>
      </c>
      <c r="G418" s="13" t="str">
        <f ca="1">IFERROR(__xludf.DUMMYFUNCTION("""COMPUTED_VALUE"""),"Đương nhiên, tất nhiên, dĩ nhiên ")</f>
        <v xml:space="preserve">Đương nhiên, tất nhiên, dĩ nhiên </v>
      </c>
      <c r="H418" s="13" t="str">
        <f ca="1">IFERROR(__xludf.DUMMYFUNCTION("""COMPUTED_VALUE"""),"这件衣服很好看，我当然喜欢。")</f>
        <v>这件衣服很好看，我当然喜欢。</v>
      </c>
      <c r="I418" s="13" t="str">
        <f ca="1">IFERROR(__xludf.DUMMYFUNCTION("""COMPUTED_VALUE"""),"Zhè jiàn yīfú hěn hǎokàn, wǒ dāngrán xǐhuān.")</f>
        <v>Zhè jiàn yīfú hěn hǎokàn, wǒ dāngrán xǐhuān.</v>
      </c>
      <c r="J418" s="13" t="str">
        <f ca="1">IFERROR(__xludf.DUMMYFUNCTION("""COMPUTED_VALUE"""),"Bộ quần áo này rất đẹp, tất nhiên tôi thích.")</f>
        <v>Bộ quần áo này rất đẹp, tất nhiên tôi thích.</v>
      </c>
      <c r="K418" s="13" t="str">
        <f ca="1">IFERROR(__xludf.DUMMYFUNCTION("""COMPUTED_VALUE"""),"H3_B5_BG-07.gif")</f>
        <v>H3_B5_BG-07.gif</v>
      </c>
      <c r="L418" s="13" t="str">
        <f ca="1">IFERROR(__xludf.DUMMYFUNCTION("""COMPUTED_VALUE"""),"H3_B5_7.mp3")</f>
        <v>H3_B5_7.mp3</v>
      </c>
      <c r="M418" s="13" t="str">
        <f ca="1">IFERROR(__xludf.DUMMYFUNCTION("""COMPUTED_VALUE"""),"H3_B5_VD_7.mp3")</f>
        <v>H3_B5_VD_7.mp3</v>
      </c>
    </row>
    <row r="419" spans="1:13">
      <c r="A419" s="13">
        <f ca="1">IFERROR(__xludf.DUMMYFUNCTION("""COMPUTED_VALUE"""),8)</f>
        <v>8</v>
      </c>
      <c r="B419" s="13"/>
      <c r="C419" s="13" t="str">
        <f ca="1">IFERROR(__xludf.DUMMYFUNCTION("""COMPUTED_VALUE"""),"春")</f>
        <v>春</v>
      </c>
      <c r="D419" s="13" t="str">
        <f ca="1">IFERROR(__xludf.DUMMYFUNCTION("""COMPUTED_VALUE"""),"&lt;ruby&gt;春&lt;rt&gt;chūn&lt;/rt&gt;&lt;/ruby&gt;")</f>
        <v>&lt;ruby&gt;春&lt;rt&gt;chūn&lt;/rt&gt;&lt;/ruby&gt;</v>
      </c>
      <c r="E419" s="13" t="str">
        <f ca="1">IFERROR(__xludf.DUMMYFUNCTION("""COMPUTED_VALUE"""),"chūn")</f>
        <v>chūn</v>
      </c>
      <c r="F419" s="13" t="str">
        <f ca="1">IFERROR(__xludf.DUMMYFUNCTION("""COMPUTED_VALUE"""),"Danh từ")</f>
        <v>Danh từ</v>
      </c>
      <c r="G419" s="13" t="str">
        <f ca="1">IFERROR(__xludf.DUMMYFUNCTION("""COMPUTED_VALUE"""),"Mùa xuân")</f>
        <v>Mùa xuân</v>
      </c>
      <c r="H419" s="13" t="str">
        <f ca="1">IFERROR(__xludf.DUMMYFUNCTION("""COMPUTED_VALUE"""),"春天到了，花儿开了。")</f>
        <v>春天到了，花儿开了。</v>
      </c>
      <c r="I419" s="13" t="str">
        <f ca="1">IFERROR(__xludf.DUMMYFUNCTION("""COMPUTED_VALUE"""),"Chūntiān dào le, huā'r kāi le.")</f>
        <v>Chūntiān dào le, huā'r kāi le.</v>
      </c>
      <c r="J419" s="13" t="str">
        <f ca="1">IFERROR(__xludf.DUMMYFUNCTION("""COMPUTED_VALUE"""),"Mùa xuân đến rồi, hoa nở rồi.")</f>
        <v>Mùa xuân đến rồi, hoa nở rồi.</v>
      </c>
      <c r="K419" s="13" t="str">
        <f ca="1">IFERROR(__xludf.DUMMYFUNCTION("""COMPUTED_VALUE"""),"H3_B5_BG-08.gif")</f>
        <v>H3_B5_BG-08.gif</v>
      </c>
      <c r="L419" s="13" t="str">
        <f ca="1">IFERROR(__xludf.DUMMYFUNCTION("""COMPUTED_VALUE"""),"H3_B5_8.mp3")</f>
        <v>H3_B5_8.mp3</v>
      </c>
      <c r="M419" s="13" t="str">
        <f ca="1">IFERROR(__xludf.DUMMYFUNCTION("""COMPUTED_VALUE"""),"H3_B5_VD_8.mp3")</f>
        <v>H3_B5_VD_8.mp3</v>
      </c>
    </row>
    <row r="420" spans="1:13">
      <c r="A420" s="13">
        <f ca="1">IFERROR(__xludf.DUMMYFUNCTION("""COMPUTED_VALUE"""),9)</f>
        <v>9</v>
      </c>
      <c r="B420" s="13"/>
      <c r="C420" s="13" t="str">
        <f ca="1">IFERROR(__xludf.DUMMYFUNCTION("""COMPUTED_VALUE"""),"草")</f>
        <v>草</v>
      </c>
      <c r="D420" s="13" t="str">
        <f ca="1">IFERROR(__xludf.DUMMYFUNCTION("""COMPUTED_VALUE"""),"&lt;ruby&gt;草&lt;rt&gt;cǎo&lt;/rt&gt;&lt;/ruby&gt;")</f>
        <v>&lt;ruby&gt;草&lt;rt&gt;cǎo&lt;/rt&gt;&lt;/ruby&gt;</v>
      </c>
      <c r="E420" s="13" t="str">
        <f ca="1">IFERROR(__xludf.DUMMYFUNCTION("""COMPUTED_VALUE"""),"cǎo")</f>
        <v>cǎo</v>
      </c>
      <c r="F420" s="13" t="str">
        <f ca="1">IFERROR(__xludf.DUMMYFUNCTION("""COMPUTED_VALUE"""),"Danh từ")</f>
        <v>Danh từ</v>
      </c>
      <c r="G420" s="13" t="str">
        <f ca="1">IFERROR(__xludf.DUMMYFUNCTION("""COMPUTED_VALUE"""),"Cỏ")</f>
        <v>Cỏ</v>
      </c>
      <c r="H420" s="13" t="str">
        <f ca="1">IFERROR(__xludf.DUMMYFUNCTION("""COMPUTED_VALUE"""),"公园里的草非常绿。")</f>
        <v>公园里的草非常绿。</v>
      </c>
      <c r="I420" s="13" t="str">
        <f ca="1">IFERROR(__xludf.DUMMYFUNCTION("""COMPUTED_VALUE"""),"Gōngyuán lǐ de cǎo fēicháng lǜ.")</f>
        <v>Gōngyuán lǐ de cǎo fēicháng lǜ.</v>
      </c>
      <c r="J420" s="13" t="str">
        <f ca="1">IFERROR(__xludf.DUMMYFUNCTION("""COMPUTED_VALUE"""),"Cỏ trong công viên rất xanh.")</f>
        <v>Cỏ trong công viên rất xanh.</v>
      </c>
      <c r="K420" s="13" t="str">
        <f ca="1">IFERROR(__xludf.DUMMYFUNCTION("""COMPUTED_VALUE"""),"H3_B5_BG-09.gif")</f>
        <v>H3_B5_BG-09.gif</v>
      </c>
      <c r="L420" s="13" t="str">
        <f ca="1">IFERROR(__xludf.DUMMYFUNCTION("""COMPUTED_VALUE"""),"H3_B5_9.mp3")</f>
        <v>H3_B5_9.mp3</v>
      </c>
      <c r="M420" s="13" t="str">
        <f ca="1">IFERROR(__xludf.DUMMYFUNCTION("""COMPUTED_VALUE"""),"H3_B5_VD_9.mp3")</f>
        <v>H3_B5_VD_9.mp3</v>
      </c>
    </row>
    <row r="421" spans="1:13">
      <c r="A421" s="13">
        <f ca="1">IFERROR(__xludf.DUMMYFUNCTION("""COMPUTED_VALUE"""),10)</f>
        <v>10</v>
      </c>
      <c r="B421" s="13"/>
      <c r="C421" s="13" t="str">
        <f ca="1">IFERROR(__xludf.DUMMYFUNCTION("""COMPUTED_VALUE"""),"夏")</f>
        <v>夏</v>
      </c>
      <c r="D421" s="13" t="str">
        <f ca="1">IFERROR(__xludf.DUMMYFUNCTION("""COMPUTED_VALUE"""),"&lt;ruby&gt;夏&lt;rt&gt;xià&lt;/rt&gt;&lt;/ruby&gt;")</f>
        <v>&lt;ruby&gt;夏&lt;rt&gt;xià&lt;/rt&gt;&lt;/ruby&gt;</v>
      </c>
      <c r="E421" s="13" t="str">
        <f ca="1">IFERROR(__xludf.DUMMYFUNCTION("""COMPUTED_VALUE"""),"xià")</f>
        <v>xià</v>
      </c>
      <c r="F421" s="13" t="str">
        <f ca="1">IFERROR(__xludf.DUMMYFUNCTION("""COMPUTED_VALUE"""),"Danh từ")</f>
        <v>Danh từ</v>
      </c>
      <c r="G421" s="13" t="str">
        <f ca="1">IFERROR(__xludf.DUMMYFUNCTION("""COMPUTED_VALUE"""),"Mùa hè")</f>
        <v>Mùa hè</v>
      </c>
      <c r="H421" s="13" t="str">
        <f ca="1">IFERROR(__xludf.DUMMYFUNCTION("""COMPUTED_VALUE"""),"夏天的蝉非常吵。")</f>
        <v>夏天的蝉非常吵。</v>
      </c>
      <c r="I421" s="13" t="str">
        <f ca="1">IFERROR(__xludf.DUMMYFUNCTION("""COMPUTED_VALUE"""),"Xiàtiān de chán fēicháng chǎo.")</f>
        <v>Xiàtiān de chán fēicháng chǎo.</v>
      </c>
      <c r="J421" s="13" t="str">
        <f ca="1">IFERROR(__xludf.DUMMYFUNCTION("""COMPUTED_VALUE"""),"Những con ve vào mùa hè rất ồn ào.")</f>
        <v>Những con ve vào mùa hè rất ồn ào.</v>
      </c>
      <c r="K421" s="13" t="str">
        <f ca="1">IFERROR(__xludf.DUMMYFUNCTION("""COMPUTED_VALUE"""),"H3_B5_BG-10.gif")</f>
        <v>H3_B5_BG-10.gif</v>
      </c>
      <c r="L421" s="13" t="str">
        <f ca="1">IFERROR(__xludf.DUMMYFUNCTION("""COMPUTED_VALUE"""),"H3_B5_10.mp3")</f>
        <v>H3_B5_10.mp3</v>
      </c>
      <c r="M421" s="13" t="str">
        <f ca="1">IFERROR(__xludf.DUMMYFUNCTION("""COMPUTED_VALUE"""),"H3_B5_VD_10.mp3")</f>
        <v>H3_B5_VD_10.mp3</v>
      </c>
    </row>
    <row r="422" spans="1:13">
      <c r="A422" s="13">
        <f ca="1">IFERROR(__xludf.DUMMYFUNCTION("""COMPUTED_VALUE"""),11)</f>
        <v>11</v>
      </c>
      <c r="B422" s="13"/>
      <c r="C422" s="13" t="str">
        <f ca="1">IFERROR(__xludf.DUMMYFUNCTION("""COMPUTED_VALUE"""),"裙子")</f>
        <v>裙子</v>
      </c>
      <c r="D422" s="13" t="str">
        <f ca="1">IFERROR(__xludf.DUMMYFUNCTION("""COMPUTED_VALUE"""),"&lt;ruby&gt;裙子&lt;rt&gt;qúnzi&lt;/rt&gt;&lt;/ruby&gt;")</f>
        <v>&lt;ruby&gt;裙子&lt;rt&gt;qúnzi&lt;/rt&gt;&lt;/ruby&gt;</v>
      </c>
      <c r="E422" s="13" t="str">
        <f ca="1">IFERROR(__xludf.DUMMYFUNCTION("""COMPUTED_VALUE"""),"qúnzi")</f>
        <v>qúnzi</v>
      </c>
      <c r="F422" s="13" t="str">
        <f ca="1">IFERROR(__xludf.DUMMYFUNCTION("""COMPUTED_VALUE"""),"Danh từ")</f>
        <v>Danh từ</v>
      </c>
      <c r="G422" s="13" t="str">
        <f ca="1">IFERROR(__xludf.DUMMYFUNCTION("""COMPUTED_VALUE"""),"Váy")</f>
        <v>Váy</v>
      </c>
      <c r="H422" s="13" t="str">
        <f ca="1">IFERROR(__xludf.DUMMYFUNCTION("""COMPUTED_VALUE"""),"这条红裙子真好看。")</f>
        <v>这条红裙子真好看。</v>
      </c>
      <c r="I422" s="13" t="str">
        <f ca="1">IFERROR(__xludf.DUMMYFUNCTION("""COMPUTED_VALUE"""),"Zhè tiáo hóng qúnzi zhēn hǎokàn.")</f>
        <v>Zhè tiáo hóng qúnzi zhēn hǎokàn.</v>
      </c>
      <c r="J422" s="13" t="str">
        <f ca="1">IFERROR(__xludf.DUMMYFUNCTION("""COMPUTED_VALUE"""),"Chiếc váy đỏ này thật đẹp.")</f>
        <v>Chiếc váy đỏ này thật đẹp.</v>
      </c>
      <c r="K422" s="13" t="str">
        <f ca="1">IFERROR(__xludf.DUMMYFUNCTION("""COMPUTED_VALUE"""),"H3_B5_BG-11.gif")</f>
        <v>H3_B5_BG-11.gif</v>
      </c>
      <c r="L422" s="13" t="str">
        <f ca="1">IFERROR(__xludf.DUMMYFUNCTION("""COMPUTED_VALUE"""),"H3_B5_11.mp3")</f>
        <v>H3_B5_11.mp3</v>
      </c>
      <c r="M422" s="13" t="str">
        <f ca="1">IFERROR(__xludf.DUMMYFUNCTION("""COMPUTED_VALUE"""),"H3_B5_VD_11.mp3")</f>
        <v>H3_B5_VD_11.mp3</v>
      </c>
    </row>
    <row r="423" spans="1:13">
      <c r="A423" s="13">
        <f ca="1">IFERROR(__xludf.DUMMYFUNCTION("""COMPUTED_VALUE"""),12)</f>
        <v>12</v>
      </c>
      <c r="B423" s="13"/>
      <c r="C423" s="13" t="str">
        <f ca="1">IFERROR(__xludf.DUMMYFUNCTION("""COMPUTED_VALUE"""),"最近")</f>
        <v>最近</v>
      </c>
      <c r="D423" s="13" t="str">
        <f ca="1">IFERROR(__xludf.DUMMYFUNCTION("""COMPUTED_VALUE"""),"&lt;ruby&gt;最近&lt;rt&gt;zuìjìn&lt;/rt&gt;&lt;/ruby&gt;")</f>
        <v>&lt;ruby&gt;最近&lt;rt&gt;zuìjìn&lt;/rt&gt;&lt;/ruby&gt;</v>
      </c>
      <c r="E423" s="13" t="str">
        <f ca="1">IFERROR(__xludf.DUMMYFUNCTION("""COMPUTED_VALUE"""),"zuìjìn")</f>
        <v>zuìjìn</v>
      </c>
      <c r="F423" s="13" t="str">
        <f ca="1">IFERROR(__xludf.DUMMYFUNCTION("""COMPUTED_VALUE"""),"Phó từ")</f>
        <v>Phó từ</v>
      </c>
      <c r="G423" s="13" t="str">
        <f ca="1">IFERROR(__xludf.DUMMYFUNCTION("""COMPUTED_VALUE"""),"Gần đây, mới đây, dạo này")</f>
        <v>Gần đây, mới đây, dạo này</v>
      </c>
      <c r="H423" s="13" t="str">
        <f ca="1">IFERROR(__xludf.DUMMYFUNCTION("""COMPUTED_VALUE"""),"最近的天气好热。 ")</f>
        <v xml:space="preserve">最近的天气好热。 </v>
      </c>
      <c r="I423" s="13" t="str">
        <f ca="1">IFERROR(__xludf.DUMMYFUNCTION("""COMPUTED_VALUE"""),"Zuìjìn de tiānqì hǎo rè.")</f>
        <v>Zuìjìn de tiānqì hǎo rè.</v>
      </c>
      <c r="J423" s="13" t="str">
        <f ca="1">IFERROR(__xludf.DUMMYFUNCTION("""COMPUTED_VALUE""")," Thời tiết gần đây thật nóng.")</f>
        <v xml:space="preserve"> Thời tiết gần đây thật nóng.</v>
      </c>
      <c r="K423" s="13" t="str">
        <f ca="1">IFERROR(__xludf.DUMMYFUNCTION("""COMPUTED_VALUE"""),"H3_B5_BG-12.gif")</f>
        <v>H3_B5_BG-12.gif</v>
      </c>
      <c r="L423" s="13" t="str">
        <f ca="1">IFERROR(__xludf.DUMMYFUNCTION("""COMPUTED_VALUE"""),"H3_B5_12.mp3")</f>
        <v>H3_B5_12.mp3</v>
      </c>
      <c r="M423" s="13" t="str">
        <f ca="1">IFERROR(__xludf.DUMMYFUNCTION("""COMPUTED_VALUE"""),"H3_B5_VD_12.mp3")</f>
        <v>H3_B5_VD_12.mp3</v>
      </c>
    </row>
    <row r="424" spans="1:13">
      <c r="A424" s="13">
        <f ca="1">IFERROR(__xludf.DUMMYFUNCTION("""COMPUTED_VALUE"""),13)</f>
        <v>13</v>
      </c>
      <c r="B424" s="13"/>
      <c r="C424" s="13" t="str">
        <f ca="1">IFERROR(__xludf.DUMMYFUNCTION("""COMPUTED_VALUE"""),"越")</f>
        <v>越</v>
      </c>
      <c r="D424" s="13" t="str">
        <f ca="1">IFERROR(__xludf.DUMMYFUNCTION("""COMPUTED_VALUE"""),"&lt;ruby&gt;越&lt;rt&gt;yuè&lt;/rt&gt;&lt;/ruby&gt;")</f>
        <v>&lt;ruby&gt;越&lt;rt&gt;yuè&lt;/rt&gt;&lt;/ruby&gt;</v>
      </c>
      <c r="E424" s="13" t="str">
        <f ca="1">IFERROR(__xludf.DUMMYFUNCTION("""COMPUTED_VALUE"""),"yuè")</f>
        <v>yuè</v>
      </c>
      <c r="F424" s="13" t="str">
        <f ca="1">IFERROR(__xludf.DUMMYFUNCTION("""COMPUTED_VALUE"""),"Phó từ")</f>
        <v>Phó từ</v>
      </c>
      <c r="G424" s="13" t="str">
        <f ca="1">IFERROR(__xludf.DUMMYFUNCTION("""COMPUTED_VALUE"""),"Càng")</f>
        <v>Càng</v>
      </c>
      <c r="H424" s="13" t="str">
        <f ca="1">IFERROR(__xludf.DUMMYFUNCTION("""COMPUTED_VALUE"""),"天气越冷，我越喜欢吃火锅。")</f>
        <v>天气越冷，我越喜欢吃火锅。</v>
      </c>
      <c r="I424" s="13" t="str">
        <f ca="1">IFERROR(__xludf.DUMMYFUNCTION("""COMPUTED_VALUE"""),"Tiānqì yuè lěng, wǒ yuè xǐhuān chī huǒguō.")</f>
        <v>Tiānqì yuè lěng, wǒ yuè xǐhuān chī huǒguō.</v>
      </c>
      <c r="J424" s="13" t="str">
        <f ca="1">IFERROR(__xludf.DUMMYFUNCTION("""COMPUTED_VALUE"""),"Thời tiết càng lạnh, tôi càng thích ăn lẩu.")</f>
        <v>Thời tiết càng lạnh, tôi càng thích ăn lẩu.</v>
      </c>
      <c r="K424" s="13" t="str">
        <f ca="1">IFERROR(__xludf.DUMMYFUNCTION("""COMPUTED_VALUE"""),"H3_B5_BG-13.gif")</f>
        <v>H3_B5_BG-13.gif</v>
      </c>
      <c r="L424" s="13" t="str">
        <f ca="1">IFERROR(__xludf.DUMMYFUNCTION("""COMPUTED_VALUE"""),"H3_B5_13.mp3")</f>
        <v>H3_B5_13.mp3</v>
      </c>
      <c r="M424" s="13" t="str">
        <f ca="1">IFERROR(__xludf.DUMMYFUNCTION("""COMPUTED_VALUE"""),"H3_B5_VD_13.mp3")</f>
        <v>H3_B5_VD_13.mp3</v>
      </c>
    </row>
    <row r="425" spans="1:13">
      <c r="A425" s="13">
        <f ca="1">IFERROR(__xludf.DUMMYFUNCTION("""COMPUTED_VALUE"""),1)</f>
        <v>1</v>
      </c>
      <c r="B425" s="13"/>
      <c r="C425" s="13" t="str">
        <f ca="1">IFERROR(__xludf.DUMMYFUNCTION("""COMPUTED_VALUE"""),"眼镜")</f>
        <v>眼镜</v>
      </c>
      <c r="D425" s="13" t="str">
        <f ca="1">IFERROR(__xludf.DUMMYFUNCTION("""COMPUTED_VALUE"""),"&lt;ruby&gt;眼镜&lt;rt&gt;yǎnjìng&lt;/rt&gt;&lt;/ruby&gt;")</f>
        <v>&lt;ruby&gt;眼镜&lt;rt&gt;yǎnjìng&lt;/rt&gt;&lt;/ruby&gt;</v>
      </c>
      <c r="E425" s="13" t="str">
        <f ca="1">IFERROR(__xludf.DUMMYFUNCTION("""COMPUTED_VALUE"""),"yǎnjìng")</f>
        <v>yǎnjìng</v>
      </c>
      <c r="F425" s="13" t="str">
        <f ca="1">IFERROR(__xludf.DUMMYFUNCTION("""COMPUTED_VALUE"""),"Danh từ")</f>
        <v>Danh từ</v>
      </c>
      <c r="G425" s="13" t="str">
        <f ca="1">IFERROR(__xludf.DUMMYFUNCTION("""COMPUTED_VALUE"""),"Mắt kính ")</f>
        <v xml:space="preserve">Mắt kính </v>
      </c>
      <c r="H425" s="13" t="str">
        <f ca="1">IFERROR(__xludf.DUMMYFUNCTION("""COMPUTED_VALUE"""),"做实验时一定要戴上防护眼镜。")</f>
        <v>做实验时一定要戴上防护眼镜。</v>
      </c>
      <c r="I425" s="13" t="str">
        <f ca="1">IFERROR(__xludf.DUMMYFUNCTION("""COMPUTED_VALUE"""),"Zài zuò shíyàn shí yīdìng yào dài shàng fánghù yǎnjìng。")</f>
        <v>Zài zuò shíyàn shí yīdìng yào dài shàng fánghù yǎnjìng。</v>
      </c>
      <c r="J425" s="13" t="str">
        <f ca="1">IFERROR(__xludf.DUMMYFUNCTION("""COMPUTED_VALUE"""),"Lúc làm thí nghiệm thì phải đeo kính bảo hộ.")</f>
        <v>Lúc làm thí nghiệm thì phải đeo kính bảo hộ.</v>
      </c>
      <c r="K425" s="13" t="str">
        <f ca="1">IFERROR(__xludf.DUMMYFUNCTION("""COMPUTED_VALUE"""),"H3_B6_BG-01.gif")</f>
        <v>H3_B6_BG-01.gif</v>
      </c>
      <c r="L425" s="13" t="str">
        <f ca="1">IFERROR(__xludf.DUMMYFUNCTION("""COMPUTED_VALUE"""),"H3_B6_1.mp3")</f>
        <v>H3_B6_1.mp3</v>
      </c>
      <c r="M425" s="13" t="str">
        <f ca="1">IFERROR(__xludf.DUMMYFUNCTION("""COMPUTED_VALUE"""),"H3_B6_VD_1.mp3")</f>
        <v>H3_B6_VD_1.mp3</v>
      </c>
    </row>
    <row r="426" spans="1:13">
      <c r="A426" s="13">
        <f ca="1">IFERROR(__xludf.DUMMYFUNCTION("""COMPUTED_VALUE"""),2)</f>
        <v>2</v>
      </c>
      <c r="B426" s="13"/>
      <c r="C426" s="13" t="str">
        <f ca="1">IFERROR(__xludf.DUMMYFUNCTION("""COMPUTED_VALUE"""),"突然")</f>
        <v>突然</v>
      </c>
      <c r="D426" s="13" t="str">
        <f ca="1">IFERROR(__xludf.DUMMYFUNCTION("""COMPUTED_VALUE"""),"&lt;ruby&gt;突然&lt;rt&gt;tū rán&lt;/rt&gt;&lt;/ruby&gt;")</f>
        <v>&lt;ruby&gt;突然&lt;rt&gt;tū rán&lt;/rt&gt;&lt;/ruby&gt;</v>
      </c>
      <c r="E426" s="13" t="str">
        <f ca="1">IFERROR(__xludf.DUMMYFUNCTION("""COMPUTED_VALUE"""),"tū rán")</f>
        <v>tū rán</v>
      </c>
      <c r="F426" s="13" t="str">
        <f ca="1">IFERROR(__xludf.DUMMYFUNCTION("""COMPUTED_VALUE"""),"Phó từ ")</f>
        <v xml:space="preserve">Phó từ </v>
      </c>
      <c r="G426" s="13" t="str">
        <f ca="1">IFERROR(__xludf.DUMMYFUNCTION("""COMPUTED_VALUE"""),"Đột nhiên, bỗng nhiên, bỗng dưng ")</f>
        <v xml:space="preserve">Đột nhiên, bỗng nhiên, bỗng dưng </v>
      </c>
      <c r="H426" s="13" t="str">
        <f ca="1">IFERROR(__xludf.DUMMYFUNCTION("""COMPUTED_VALUE"""),"我在散步时，突然下起雨来，还好我带了伞。")</f>
        <v>我在散步时，突然下起雨来，还好我带了伞。</v>
      </c>
      <c r="I426" s="13" t="str">
        <f ca="1">IFERROR(__xludf.DUMMYFUNCTION("""COMPUTED_VALUE"""),"Wǒ zài sàn bù shí，tūrán xià qǐ yǔ lái，hǎo zài wǒ dài le sǎn。")</f>
        <v>Wǒ zài sàn bù shí，tūrán xià qǐ yǔ lái，hǎo zài wǒ dài le sǎn。</v>
      </c>
      <c r="J426" s="13" t="str">
        <f ca="1">IFERROR(__xludf.DUMMYFUNCTION("""COMPUTED_VALUE"""),"Tôi đang đi dạo thì trời đột nhiên mưa, may mà tôi có mang ô.")</f>
        <v>Tôi đang đi dạo thì trời đột nhiên mưa, may mà tôi có mang ô.</v>
      </c>
      <c r="K426" s="13" t="str">
        <f ca="1">IFERROR(__xludf.DUMMYFUNCTION("""COMPUTED_VALUE"""),"H3_B6_BG-02.gif")</f>
        <v>H3_B6_BG-02.gif</v>
      </c>
      <c r="L426" s="13" t="str">
        <f ca="1">IFERROR(__xludf.DUMMYFUNCTION("""COMPUTED_VALUE"""),"H3_B6_2.mp3")</f>
        <v>H3_B6_2.mp3</v>
      </c>
      <c r="M426" s="13" t="str">
        <f ca="1">IFERROR(__xludf.DUMMYFUNCTION("""COMPUTED_VALUE"""),"H3_B6_VD_2.mp3")</f>
        <v>H3_B6_VD_2.mp3</v>
      </c>
    </row>
    <row r="427" spans="1:13">
      <c r="A427" s="13">
        <f ca="1">IFERROR(__xludf.DUMMYFUNCTION("""COMPUTED_VALUE"""),3)</f>
        <v>3</v>
      </c>
      <c r="B427" s="13"/>
      <c r="C427" s="13" t="str">
        <f ca="1">IFERROR(__xludf.DUMMYFUNCTION("""COMPUTED_VALUE"""),"离开")</f>
        <v>离开</v>
      </c>
      <c r="D427" s="13" t="str">
        <f ca="1">IFERROR(__xludf.DUMMYFUNCTION("""COMPUTED_VALUE"""),"&lt;ruby&gt;离开&lt;rt&gt;lí kāi&lt;/rt&gt;&lt;/ruby&gt;")</f>
        <v>&lt;ruby&gt;离开&lt;rt&gt;lí kāi&lt;/rt&gt;&lt;/ruby&gt;</v>
      </c>
      <c r="E427" s="13" t="str">
        <f ca="1">IFERROR(__xludf.DUMMYFUNCTION("""COMPUTED_VALUE"""),"lí kāi")</f>
        <v>lí kāi</v>
      </c>
      <c r="F427" s="13" t="str">
        <f ca="1">IFERROR(__xludf.DUMMYFUNCTION("""COMPUTED_VALUE"""),"Động từ")</f>
        <v>Động từ</v>
      </c>
      <c r="G427" s="13" t="str">
        <f ca="1">IFERROR(__xludf.DUMMYFUNCTION("""COMPUTED_VALUE"""),"Rời khỏi, tách khỏi ")</f>
        <v xml:space="preserve">Rời khỏi, tách khỏi </v>
      </c>
      <c r="H427" s="13" t="str">
        <f ca="1">IFERROR(__xludf.DUMMYFUNCTION("""COMPUTED_VALUE"""),"成熟的蝴蝶会离开茧去寻找伴侣。")</f>
        <v>成熟的蝴蝶会离开茧去寻找伴侣。</v>
      </c>
      <c r="I427" s="13" t="str">
        <f ca="1">IFERROR(__xludf.DUMMYFUNCTION("""COMPUTED_VALUE"""),"Chéngshú de húdié huì líkāi jiǎn qù xúnzhǎo bànlǚ。")</f>
        <v>Chéngshú de húdié huì líkāi jiǎn qù xúnzhǎo bànlǚ。</v>
      </c>
      <c r="J427" s="13" t="str">
        <f ca="1">IFERROR(__xludf.DUMMYFUNCTION("""COMPUTED_VALUE"""),"Bướm trưởng thành sẽ rời khỏi kén để đi tìm bạn đời.")</f>
        <v>Bướm trưởng thành sẽ rời khỏi kén để đi tìm bạn đời.</v>
      </c>
      <c r="K427" s="13" t="str">
        <f ca="1">IFERROR(__xludf.DUMMYFUNCTION("""COMPUTED_VALUE"""),"H3_B6_BG-03.gif")</f>
        <v>H3_B6_BG-03.gif</v>
      </c>
      <c r="L427" s="13" t="str">
        <f ca="1">IFERROR(__xludf.DUMMYFUNCTION("""COMPUTED_VALUE"""),"H3_B6_3.mp3")</f>
        <v>H3_B6_3.mp3</v>
      </c>
      <c r="M427" s="13" t="str">
        <f ca="1">IFERROR(__xludf.DUMMYFUNCTION("""COMPUTED_VALUE"""),"H3_B6_VD_3.mp3")</f>
        <v>H3_B6_VD_3.mp3</v>
      </c>
    </row>
    <row r="428" spans="1:13">
      <c r="A428" s="13">
        <f ca="1">IFERROR(__xludf.DUMMYFUNCTION("""COMPUTED_VALUE"""),4)</f>
        <v>4</v>
      </c>
      <c r="B428" s="13"/>
      <c r="C428" s="13" t="str">
        <f ca="1">IFERROR(__xludf.DUMMYFUNCTION("""COMPUTED_VALUE"""),"清楚")</f>
        <v>清楚</v>
      </c>
      <c r="D428" s="13" t="str">
        <f ca="1">IFERROR(__xludf.DUMMYFUNCTION("""COMPUTED_VALUE"""),"&lt;ruby&gt;清楚&lt;rt&gt;qīng chǔ&lt;/rt&gt;&lt;/ruby&gt;")</f>
        <v>&lt;ruby&gt;清楚&lt;rt&gt;qīng chǔ&lt;/rt&gt;&lt;/ruby&gt;</v>
      </c>
      <c r="E428" s="13" t="str">
        <f ca="1">IFERROR(__xludf.DUMMYFUNCTION("""COMPUTED_VALUE"""),"qīng chǔ")</f>
        <v>qīng chǔ</v>
      </c>
      <c r="F428" s="13" t="str">
        <f ca="1">IFERROR(__xludf.DUMMYFUNCTION("""COMPUTED_VALUE"""),"Tính từ")</f>
        <v>Tính từ</v>
      </c>
      <c r="G428" s="13" t="str">
        <f ca="1">IFERROR(__xludf.DUMMYFUNCTION("""COMPUTED_VALUE"""),"Rõ ràng")</f>
        <v>Rõ ràng</v>
      </c>
      <c r="H428" s="13" t="str">
        <f ca="1">IFERROR(__xludf.DUMMYFUNCTION("""COMPUTED_VALUE""")," 这个问题已经解释得很清楚了，但她还是不明白。")</f>
        <v xml:space="preserve"> 这个问题已经解释得很清楚了，但她还是不明白。</v>
      </c>
      <c r="I428" s="13" t="str">
        <f ca="1">IFERROR(__xludf.DUMMYFUNCTION("""COMPUTED_VALUE"""),"Zhège wèntí yǐjīng jiěshì de hěn qīngchǔ le，dàn tā háishì bù míngbai。")</f>
        <v>Zhège wèntí yǐjīng jiěshì de hěn qīngchǔ le，dàn tā háishì bù míngbai。</v>
      </c>
      <c r="J428" s="13" t="str">
        <f ca="1">IFERROR(__xludf.DUMMYFUNCTION("""COMPUTED_VALUE"""),"Vấn đề này đã được nói rất rõ mà cô ấy vẫn không hiểu.")</f>
        <v>Vấn đề này đã được nói rất rõ mà cô ấy vẫn không hiểu.</v>
      </c>
      <c r="K428" s="13" t="str">
        <f ca="1">IFERROR(__xludf.DUMMYFUNCTION("""COMPUTED_VALUE"""),"H3_B6_BG-04.gif")</f>
        <v>H3_B6_BG-04.gif</v>
      </c>
      <c r="L428" s="13" t="str">
        <f ca="1">IFERROR(__xludf.DUMMYFUNCTION("""COMPUTED_VALUE"""),"H3_B6_4.mp3")</f>
        <v>H3_B6_4.mp3</v>
      </c>
      <c r="M428" s="13" t="str">
        <f ca="1">IFERROR(__xludf.DUMMYFUNCTION("""COMPUTED_VALUE"""),"H3_B6_VD_4.mp3")</f>
        <v>H3_B6_VD_4.mp3</v>
      </c>
    </row>
    <row r="429" spans="1:13">
      <c r="A429" s="13">
        <f ca="1">IFERROR(__xludf.DUMMYFUNCTION("""COMPUTED_VALUE"""),5)</f>
        <v>5</v>
      </c>
      <c r="B429" s="13"/>
      <c r="C429" s="13" t="str">
        <f ca="1">IFERROR(__xludf.DUMMYFUNCTION("""COMPUTED_VALUE"""),"刚才")</f>
        <v>刚才</v>
      </c>
      <c r="D429" s="13" t="str">
        <f ca="1">IFERROR(__xludf.DUMMYFUNCTION("""COMPUTED_VALUE"""),"&lt;ruby&gt;刚才&lt;rt&gt;gāng cái&lt;/rt&gt;&lt;/ruby&gt;")</f>
        <v>&lt;ruby&gt;刚才&lt;rt&gt;gāng cái&lt;/rt&gt;&lt;/ruby&gt;</v>
      </c>
      <c r="E429" s="13" t="str">
        <f ca="1">IFERROR(__xludf.DUMMYFUNCTION("""COMPUTED_VALUE"""),"gāng cái")</f>
        <v>gāng cái</v>
      </c>
      <c r="F429" s="13" t="str">
        <f ca="1">IFERROR(__xludf.DUMMYFUNCTION("""COMPUTED_VALUE"""),"Danh từ ")</f>
        <v xml:space="preserve">Danh từ </v>
      </c>
      <c r="G429" s="13" t="str">
        <f ca="1">IFERROR(__xludf.DUMMYFUNCTION("""COMPUTED_VALUE"""),"Lúc nãy, vừa mới ")</f>
        <v xml:space="preserve">Lúc nãy, vừa mới </v>
      </c>
      <c r="H429" s="13" t="str">
        <f ca="1">IFERROR(__xludf.DUMMYFUNCTION("""COMPUTED_VALUE"""),"他刚才又种了一棵树。")</f>
        <v>他刚才又种了一棵树。</v>
      </c>
      <c r="I429" s="13" t="str">
        <f ca="1">IFERROR(__xludf.DUMMYFUNCTION("""COMPUTED_VALUE"""),"Tā gāngcái yòu zhǒng le yì kē shù.")</f>
        <v>Tā gāngcái yòu zhǒng le yì kē shù.</v>
      </c>
      <c r="J429" s="13" t="str">
        <f ca="1">IFERROR(__xludf.DUMMYFUNCTION("""COMPUTED_VALUE"""),"Anh ấy vừa trồng thêm một cái cây mới.")</f>
        <v>Anh ấy vừa trồng thêm một cái cây mới.</v>
      </c>
      <c r="K429" s="13" t="str">
        <f ca="1">IFERROR(__xludf.DUMMYFUNCTION("""COMPUTED_VALUE"""),"H3_B6_BG-05.gif")</f>
        <v>H3_B6_BG-05.gif</v>
      </c>
      <c r="L429" s="13" t="str">
        <f ca="1">IFERROR(__xludf.DUMMYFUNCTION("""COMPUTED_VALUE"""),"H3_B6_5.mp3")</f>
        <v>H3_B6_5.mp3</v>
      </c>
      <c r="M429" s="13" t="str">
        <f ca="1">IFERROR(__xludf.DUMMYFUNCTION("""COMPUTED_VALUE"""),"H3_B6_VD_5.mp3")</f>
        <v>H3_B6_VD_5.mp3</v>
      </c>
    </row>
    <row r="430" spans="1:13">
      <c r="A430" s="13">
        <f ca="1">IFERROR(__xludf.DUMMYFUNCTION("""COMPUTED_VALUE"""),6)</f>
        <v>6</v>
      </c>
      <c r="B430" s="13"/>
      <c r="C430" s="13" t="str">
        <f ca="1">IFERROR(__xludf.DUMMYFUNCTION("""COMPUTED_VALUE"""),"帮忙")</f>
        <v>帮忙</v>
      </c>
      <c r="D430" s="13" t="str">
        <f ca="1">IFERROR(__xludf.DUMMYFUNCTION("""COMPUTED_VALUE"""),"&lt;ruby&gt;帮忙&lt;rt&gt;bāng máng&lt;/rt&gt;&lt;/ruby&gt;")</f>
        <v>&lt;ruby&gt;帮忙&lt;rt&gt;bāng máng&lt;/rt&gt;&lt;/ruby&gt;</v>
      </c>
      <c r="E430" s="13" t="str">
        <f ca="1">IFERROR(__xludf.DUMMYFUNCTION("""COMPUTED_VALUE"""),"bāng máng")</f>
        <v>bāng máng</v>
      </c>
      <c r="F430" s="13" t="str">
        <f ca="1">IFERROR(__xludf.DUMMYFUNCTION("""COMPUTED_VALUE"""),"Động từ")</f>
        <v>Động từ</v>
      </c>
      <c r="G430" s="13" t="str">
        <f ca="1">IFERROR(__xludf.DUMMYFUNCTION("""COMPUTED_VALUE"""),"Giúp đỡ")</f>
        <v>Giúp đỡ</v>
      </c>
      <c r="H430" s="13" t="str">
        <f ca="1">IFERROR(__xludf.DUMMYFUNCTION("""COMPUTED_VALUE"""),"小女孩帮忙老太太过马路。")</f>
        <v>小女孩帮忙老太太过马路。</v>
      </c>
      <c r="I430" s="13" t="str">
        <f ca="1">IFERROR(__xludf.DUMMYFUNCTION("""COMPUTED_VALUE"""),"Xiǎo nǚhái bāngmáng lǎotàitai guò mǎlù.")</f>
        <v>Xiǎo nǚhái bāngmáng lǎotàitai guò mǎlù.</v>
      </c>
      <c r="J430" s="13" t="str">
        <f ca="1">IFERROR(__xludf.DUMMYFUNCTION("""COMPUTED_VALUE"""),"Cô bé giúp bà lão qua đường.")</f>
        <v>Cô bé giúp bà lão qua đường.</v>
      </c>
      <c r="K430" s="13" t="str">
        <f ca="1">IFERROR(__xludf.DUMMYFUNCTION("""COMPUTED_VALUE"""),"H3_B6_BG-06.gif")</f>
        <v>H3_B6_BG-06.gif</v>
      </c>
      <c r="L430" s="13" t="str">
        <f ca="1">IFERROR(__xludf.DUMMYFUNCTION("""COMPUTED_VALUE"""),"H3_B6_6.mp3")</f>
        <v>H3_B6_6.mp3</v>
      </c>
      <c r="M430" s="13" t="str">
        <f ca="1">IFERROR(__xludf.DUMMYFUNCTION("""COMPUTED_VALUE"""),"H3_B6_VD_6.mp3")</f>
        <v>H3_B6_VD_6.mp3</v>
      </c>
    </row>
    <row r="431" spans="1:13">
      <c r="A431" s="13">
        <f ca="1">IFERROR(__xludf.DUMMYFUNCTION("""COMPUTED_VALUE"""),7)</f>
        <v>7</v>
      </c>
      <c r="B431" s="13"/>
      <c r="C431" s="13" t="str">
        <f ca="1">IFERROR(__xludf.DUMMYFUNCTION("""COMPUTED_VALUE"""),"特别")</f>
        <v>特别</v>
      </c>
      <c r="D431" s="13" t="str">
        <f ca="1">IFERROR(__xludf.DUMMYFUNCTION("""COMPUTED_VALUE"""),"&lt;ruby&gt;特别&lt;rt&gt;tè bié&lt;/rt&gt;&lt;/ruby&gt;")</f>
        <v>&lt;ruby&gt;特别&lt;rt&gt;tè bié&lt;/rt&gt;&lt;/ruby&gt;</v>
      </c>
      <c r="E431" s="13" t="str">
        <f ca="1">IFERROR(__xludf.DUMMYFUNCTION("""COMPUTED_VALUE"""),"tè bié")</f>
        <v>tè bié</v>
      </c>
      <c r="F431" s="13" t="str">
        <f ca="1">IFERROR(__xludf.DUMMYFUNCTION("""COMPUTED_VALUE"""),"Phó từ ")</f>
        <v xml:space="preserve">Phó từ </v>
      </c>
      <c r="G431" s="13" t="str">
        <f ca="1">IFERROR(__xludf.DUMMYFUNCTION("""COMPUTED_VALUE"""),"Vô cùng, rất, đặc biệt ")</f>
        <v xml:space="preserve">Vô cùng, rất, đặc biệt </v>
      </c>
      <c r="H431" s="13" t="str">
        <f ca="1">IFERROR(__xludf.DUMMYFUNCTION("""COMPUTED_VALUE"""),"我家人特别喜欢看电影，尤其是喜剧片。")</f>
        <v>我家人特别喜欢看电影，尤其是喜剧片。</v>
      </c>
      <c r="I431" s="13" t="str">
        <f ca="1">IFERROR(__xludf.DUMMYFUNCTION("""COMPUTED_VALUE"""),"Wǒ jiārén tèbié xǐhuan kàn diànyǐng, yóuqí shì xǐjù piàn.")</f>
        <v>Wǒ jiārén tèbié xǐhuan kàn diànyǐng, yóuqí shì xǐjù piàn.</v>
      </c>
      <c r="J431" s="13" t="str">
        <f ca="1">IFERROR(__xludf.DUMMYFUNCTION("""COMPUTED_VALUE"""),"Gia đình tôi vô cùng thích xem phim, đặc biệt là phim hài.")</f>
        <v>Gia đình tôi vô cùng thích xem phim, đặc biệt là phim hài.</v>
      </c>
      <c r="K431" s="13" t="str">
        <f ca="1">IFERROR(__xludf.DUMMYFUNCTION("""COMPUTED_VALUE"""),"H3_B6_BG-07.gif")</f>
        <v>H3_B6_BG-07.gif</v>
      </c>
      <c r="L431" s="13" t="str">
        <f ca="1">IFERROR(__xludf.DUMMYFUNCTION("""COMPUTED_VALUE"""),"H3_B6_7.mp3")</f>
        <v>H3_B6_7.mp3</v>
      </c>
      <c r="M431" s="13" t="str">
        <f ca="1">IFERROR(__xludf.DUMMYFUNCTION("""COMPUTED_VALUE"""),"H3_B6_VD_7.mp3")</f>
        <v>H3_B6_VD_7.mp3</v>
      </c>
    </row>
    <row r="432" spans="1:13">
      <c r="A432" s="13">
        <f ca="1">IFERROR(__xludf.DUMMYFUNCTION("""COMPUTED_VALUE"""),8)</f>
        <v>8</v>
      </c>
      <c r="B432" s="13"/>
      <c r="C432" s="13" t="str">
        <f ca="1">IFERROR(__xludf.DUMMYFUNCTION("""COMPUTED_VALUE"""),"讲")</f>
        <v>讲</v>
      </c>
      <c r="D432" s="13" t="str">
        <f ca="1">IFERROR(__xludf.DUMMYFUNCTION("""COMPUTED_VALUE"""),"&lt;ruby&gt;讲&lt;rt&gt;jiǎng&lt;/rt&gt;&lt;/ruby&gt;")</f>
        <v>&lt;ruby&gt;讲&lt;rt&gt;jiǎng&lt;/rt&gt;&lt;/ruby&gt;</v>
      </c>
      <c r="E432" s="13" t="str">
        <f ca="1">IFERROR(__xludf.DUMMYFUNCTION("""COMPUTED_VALUE"""),"jiǎng")</f>
        <v>jiǎng</v>
      </c>
      <c r="F432" s="13" t="str">
        <f ca="1">IFERROR(__xludf.DUMMYFUNCTION("""COMPUTED_VALUE"""),"Động từ")</f>
        <v>Động từ</v>
      </c>
      <c r="G432" s="13" t="str">
        <f ca="1">IFERROR(__xludf.DUMMYFUNCTION("""COMPUTED_VALUE"""),"Nói, giải thích ")</f>
        <v xml:space="preserve">Nói, giải thích </v>
      </c>
      <c r="H432" s="13" t="str">
        <f ca="1">IFERROR(__xludf.DUMMYFUNCTION("""COMPUTED_VALUE"""),"她在讲自己跳的芭蕾舞。")</f>
        <v>她在讲自己跳的芭蕾舞。</v>
      </c>
      <c r="I432" s="13" t="str">
        <f ca="1">IFERROR(__xludf.DUMMYFUNCTION("""COMPUTED_VALUE"""),"Tā zài jiǎng zìjǐ tiào de bālěiwǔ.")</f>
        <v>Tā zài jiǎng zìjǐ tiào de bālěiwǔ.</v>
      </c>
      <c r="J432" s="13" t="str">
        <f ca="1">IFERROR(__xludf.DUMMYFUNCTION("""COMPUTED_VALUE"""),"Cô ấy là nói về vũ điệu ba lê mà vừa nãy cô ấy múa.")</f>
        <v>Cô ấy là nói về vũ điệu ba lê mà vừa nãy cô ấy múa.</v>
      </c>
      <c r="K432" s="13" t="str">
        <f ca="1">IFERROR(__xludf.DUMMYFUNCTION("""COMPUTED_VALUE"""),"H3_B6_BG-08.gif")</f>
        <v>H3_B6_BG-08.gif</v>
      </c>
      <c r="L432" s="13" t="str">
        <f ca="1">IFERROR(__xludf.DUMMYFUNCTION("""COMPUTED_VALUE"""),"H3_B6_8.mp3")</f>
        <v>H3_B6_8.mp3</v>
      </c>
      <c r="M432" s="13" t="str">
        <f ca="1">IFERROR(__xludf.DUMMYFUNCTION("""COMPUTED_VALUE"""),"H3_B6_VD_8.mp3")</f>
        <v>H3_B6_VD_8.mp3</v>
      </c>
    </row>
    <row r="433" spans="1:13">
      <c r="A433" s="13">
        <f ca="1">IFERROR(__xludf.DUMMYFUNCTION("""COMPUTED_VALUE"""),9)</f>
        <v>9</v>
      </c>
      <c r="B433" s="13"/>
      <c r="C433" s="13" t="str">
        <f ca="1">IFERROR(__xludf.DUMMYFUNCTION("""COMPUTED_VALUE"""),"明白")</f>
        <v>明白</v>
      </c>
      <c r="D433" s="13" t="str">
        <f ca="1">IFERROR(__xludf.DUMMYFUNCTION("""COMPUTED_VALUE"""),"&lt;ruby&gt;明白&lt;rt&gt;míng bái&lt;/rt&gt;&lt;/ruby&gt;")</f>
        <v>&lt;ruby&gt;明白&lt;rt&gt;míng bái&lt;/rt&gt;&lt;/ruby&gt;</v>
      </c>
      <c r="E433" s="13" t="str">
        <f ca="1">IFERROR(__xludf.DUMMYFUNCTION("""COMPUTED_VALUE"""),"míng bái")</f>
        <v>míng bái</v>
      </c>
      <c r="F433" s="13" t="str">
        <f ca="1">IFERROR(__xludf.DUMMYFUNCTION("""COMPUTED_VALUE"""),"Tính từ ")</f>
        <v xml:space="preserve">Tính từ </v>
      </c>
      <c r="G433" s="13" t="str">
        <f ca="1">IFERROR(__xludf.DUMMYFUNCTION("""COMPUTED_VALUE"""),"Rõ ràng, dễ hiểu ")</f>
        <v xml:space="preserve">Rõ ràng, dễ hiểu </v>
      </c>
      <c r="H433" s="13" t="str">
        <f ca="1">IFERROR(__xludf.DUMMYFUNCTION("""COMPUTED_VALUE"""),"今天的课程老师讲得很明白。")</f>
        <v>今天的课程老师讲得很明白。</v>
      </c>
      <c r="I433" s="13" t="str">
        <f ca="1">IFERROR(__xludf.DUMMYFUNCTION("""COMPUTED_VALUE"""),"Jīntiān de kèchéng lǎoshī jiǎng de hěn míngbai.")</f>
        <v>Jīntiān de kèchéng lǎoshī jiǎng de hěn míngbai.</v>
      </c>
      <c r="J433" s="13" t="str">
        <f ca="1">IFERROR(__xludf.DUMMYFUNCTION("""COMPUTED_VALUE"""),"Bài học hôm nay cô giảng rất dễ hiểu.")</f>
        <v>Bài học hôm nay cô giảng rất dễ hiểu.</v>
      </c>
      <c r="K433" s="13" t="str">
        <f ca="1">IFERROR(__xludf.DUMMYFUNCTION("""COMPUTED_VALUE"""),"H3_B6_BG-09.gif")</f>
        <v>H3_B6_BG-09.gif</v>
      </c>
      <c r="L433" s="13" t="str">
        <f ca="1">IFERROR(__xludf.DUMMYFUNCTION("""COMPUTED_VALUE"""),"H3_B6_9.mp3")</f>
        <v>H3_B6_9.mp3</v>
      </c>
      <c r="M433" s="13" t="str">
        <f ca="1">IFERROR(__xludf.DUMMYFUNCTION("""COMPUTED_VALUE"""),"H3_B6_VD_9.mp3")</f>
        <v>H3_B6_VD_9.mp3</v>
      </c>
    </row>
    <row r="434" spans="1:13">
      <c r="A434" s="13">
        <f ca="1">IFERROR(__xludf.DUMMYFUNCTION("""COMPUTED_VALUE"""),10)</f>
        <v>10</v>
      </c>
      <c r="B434" s="13"/>
      <c r="C434" s="13" t="str">
        <f ca="1">IFERROR(__xludf.DUMMYFUNCTION("""COMPUTED_VALUE"""),"锻炼")</f>
        <v>锻炼</v>
      </c>
      <c r="D434" s="13" t="str">
        <f ca="1">IFERROR(__xludf.DUMMYFUNCTION("""COMPUTED_VALUE"""),"&lt;ruby&gt;锻炼&lt;rt&gt;duàn liàn&lt;/rt&gt;&lt;/ruby&gt;")</f>
        <v>&lt;ruby&gt;锻炼&lt;rt&gt;duàn liàn&lt;/rt&gt;&lt;/ruby&gt;</v>
      </c>
      <c r="E434" s="13" t="str">
        <f ca="1">IFERROR(__xludf.DUMMYFUNCTION("""COMPUTED_VALUE"""),"duàn liàn")</f>
        <v>duàn liàn</v>
      </c>
      <c r="F434" s="13" t="str">
        <f ca="1">IFERROR(__xludf.DUMMYFUNCTION("""COMPUTED_VALUE"""),"Động từ")</f>
        <v>Động từ</v>
      </c>
      <c r="G434" s="13" t="str">
        <f ca="1">IFERROR(__xludf.DUMMYFUNCTION("""COMPUTED_VALUE"""),"Tập thể dục ")</f>
        <v xml:space="preserve">Tập thể dục </v>
      </c>
      <c r="H434" s="13" t="str">
        <f ca="1">IFERROR(__xludf.DUMMYFUNCTION("""COMPUTED_VALUE"""),"我每天坚持锻炼身体。")</f>
        <v>我每天坚持锻炼身体。</v>
      </c>
      <c r="I434" s="13" t="str">
        <f ca="1">IFERROR(__xludf.DUMMYFUNCTION("""COMPUTED_VALUE"""),"Wǒ měitiān jiānchí duànliàn shēntǐ.")</f>
        <v>Wǒ měitiān jiānchí duànliàn shēntǐ.</v>
      </c>
      <c r="J434" s="13" t="str">
        <f ca="1">IFERROR(__xludf.DUMMYFUNCTION("""COMPUTED_VALUE"""),"Tôi chăm chỉ rèn luyện sức khỏe mỗi ngày.")</f>
        <v>Tôi chăm chỉ rèn luyện sức khỏe mỗi ngày.</v>
      </c>
      <c r="K434" s="13" t="str">
        <f ca="1">IFERROR(__xludf.DUMMYFUNCTION("""COMPUTED_VALUE"""),"H3_B6_BG-10.gif")</f>
        <v>H3_B6_BG-10.gif</v>
      </c>
      <c r="L434" s="13" t="str">
        <f ca="1">IFERROR(__xludf.DUMMYFUNCTION("""COMPUTED_VALUE"""),"H3_B6_10.mp3")</f>
        <v>H3_B6_10.mp3</v>
      </c>
      <c r="M434" s="13" t="str">
        <f ca="1">IFERROR(__xludf.DUMMYFUNCTION("""COMPUTED_VALUE"""),"H3_B6_VD_10.mp3")</f>
        <v>H3_B6_VD_10.mp3</v>
      </c>
    </row>
    <row r="435" spans="1:13">
      <c r="A435" s="13">
        <f ca="1">IFERROR(__xludf.DUMMYFUNCTION("""COMPUTED_VALUE"""),11)</f>
        <v>11</v>
      </c>
      <c r="B435" s="13"/>
      <c r="C435" s="13" t="str">
        <f ca="1">IFERROR(__xludf.DUMMYFUNCTION("""COMPUTED_VALUE"""),"音乐")</f>
        <v>音乐</v>
      </c>
      <c r="D435" s="13" t="str">
        <f ca="1">IFERROR(__xludf.DUMMYFUNCTION("""COMPUTED_VALUE"""),"&lt;ruby&gt;音乐&lt;rt&gt;yīn yuè&lt;/rt&gt;&lt;/ruby&gt;")</f>
        <v>&lt;ruby&gt;音乐&lt;rt&gt;yīn yuè&lt;/rt&gt;&lt;/ruby&gt;</v>
      </c>
      <c r="E435" s="13" t="str">
        <f ca="1">IFERROR(__xludf.DUMMYFUNCTION("""COMPUTED_VALUE"""),"yīn yuè")</f>
        <v>yīn yuè</v>
      </c>
      <c r="F435" s="13" t="str">
        <f ca="1">IFERROR(__xludf.DUMMYFUNCTION("""COMPUTED_VALUE"""),"Danh từ")</f>
        <v>Danh từ</v>
      </c>
      <c r="G435" s="13" t="str">
        <f ca="1">IFERROR(__xludf.DUMMYFUNCTION("""COMPUTED_VALUE"""),"Âm nhạc")</f>
        <v>Âm nhạc</v>
      </c>
      <c r="H435" s="13" t="str">
        <f ca="1">IFERROR(__xludf.DUMMYFUNCTION("""COMPUTED_VALUE"""),"她非常喜欢听中国音乐。")</f>
        <v>她非常喜欢听中国音乐。</v>
      </c>
      <c r="I435" s="13" t="str">
        <f ca="1">IFERROR(__xludf.DUMMYFUNCTION("""COMPUTED_VALUE"""),"Tā fēicháng xǐhuan tīng zhōngguó yīnyuè.")</f>
        <v>Tā fēicháng xǐhuan tīng zhōngguó yīnyuè.</v>
      </c>
      <c r="J435" s="13" t="str">
        <f ca="1">IFERROR(__xludf.DUMMYFUNCTION("""COMPUTED_VALUE"""),"Cô ấy rất thích nghe nhạc Trung Quốc.")</f>
        <v>Cô ấy rất thích nghe nhạc Trung Quốc.</v>
      </c>
      <c r="K435" s="13" t="str">
        <f ca="1">IFERROR(__xludf.DUMMYFUNCTION("""COMPUTED_VALUE"""),"H3_B6_BG-11.gif")</f>
        <v>H3_B6_BG-11.gif</v>
      </c>
      <c r="L435" s="13" t="str">
        <f ca="1">IFERROR(__xludf.DUMMYFUNCTION("""COMPUTED_VALUE"""),"H3_B6_11.mp3")</f>
        <v>H3_B6_11.mp3</v>
      </c>
      <c r="M435" s="13" t="str">
        <f ca="1">IFERROR(__xludf.DUMMYFUNCTION("""COMPUTED_VALUE"""),"H3_B6_VD_11.mp3")</f>
        <v>H3_B6_VD_11.mp3</v>
      </c>
    </row>
    <row r="436" spans="1:13">
      <c r="A436" s="13">
        <f ca="1">IFERROR(__xludf.DUMMYFUNCTION("""COMPUTED_VALUE"""),12)</f>
        <v>12</v>
      </c>
      <c r="B436" s="13"/>
      <c r="C436" s="13" t="str">
        <f ca="1">IFERROR(__xludf.DUMMYFUNCTION("""COMPUTED_VALUE"""),"公园")</f>
        <v>公园</v>
      </c>
      <c r="D436" s="13" t="str">
        <f ca="1">IFERROR(__xludf.DUMMYFUNCTION("""COMPUTED_VALUE"""),"&lt;ruby&gt;公园&lt;rt&gt;gōng yuán&lt;/rt&gt;&lt;/ruby&gt;")</f>
        <v>&lt;ruby&gt;公园&lt;rt&gt;gōng yuán&lt;/rt&gt;&lt;/ruby&gt;</v>
      </c>
      <c r="E436" s="13" t="str">
        <f ca="1">IFERROR(__xludf.DUMMYFUNCTION("""COMPUTED_VALUE"""),"gōng yuán")</f>
        <v>gōng yuán</v>
      </c>
      <c r="F436" s="13" t="str">
        <f ca="1">IFERROR(__xludf.DUMMYFUNCTION("""COMPUTED_VALUE"""),"Danh từ")</f>
        <v>Danh từ</v>
      </c>
      <c r="G436" s="13" t="str">
        <f ca="1">IFERROR(__xludf.DUMMYFUNCTION("""COMPUTED_VALUE"""),"Công viên")</f>
        <v>Công viên</v>
      </c>
      <c r="H436" s="13" t="str">
        <f ca="1">IFERROR(__xludf.DUMMYFUNCTION("""COMPUTED_VALUE"""),"我家附近有一个很漂亮的公园。")</f>
        <v>我家附近有一个很漂亮的公园。</v>
      </c>
      <c r="I436" s="13" t="str">
        <f ca="1">IFERROR(__xludf.DUMMYFUNCTION("""COMPUTED_VALUE"""),"Wǒ jiā fùjìn yǒu yí ge hěn piàoliang de gōngyuán.")</f>
        <v>Wǒ jiā fùjìn yǒu yí ge hěn piàoliang de gōngyuán.</v>
      </c>
      <c r="J436" s="13" t="str">
        <f ca="1">IFERROR(__xludf.DUMMYFUNCTION("""COMPUTED_VALUE"""),"Gần nhà tôi có công viên rất đẹp.")</f>
        <v>Gần nhà tôi có công viên rất đẹp.</v>
      </c>
      <c r="K436" s="13" t="str">
        <f ca="1">IFERROR(__xludf.DUMMYFUNCTION("""COMPUTED_VALUE"""),"H3_B6_BG-12.gif")</f>
        <v>H3_B6_BG-12.gif</v>
      </c>
      <c r="L436" s="13" t="str">
        <f ca="1">IFERROR(__xludf.DUMMYFUNCTION("""COMPUTED_VALUE"""),"H3_B6_12.mp3")</f>
        <v>H3_B6_12.mp3</v>
      </c>
      <c r="M436" s="13" t="str">
        <f ca="1">IFERROR(__xludf.DUMMYFUNCTION("""COMPUTED_VALUE"""),"H3_B6_VD_12.mp3")</f>
        <v>H3_B6_VD_12.mp3</v>
      </c>
    </row>
    <row r="437" spans="1:13">
      <c r="A437" s="13">
        <f ca="1">IFERROR(__xludf.DUMMYFUNCTION("""COMPUTED_VALUE"""),13)</f>
        <v>13</v>
      </c>
      <c r="B437" s="13"/>
      <c r="C437" s="13" t="str">
        <f ca="1">IFERROR(__xludf.DUMMYFUNCTION("""COMPUTED_VALUE"""),"聊天（儿）")</f>
        <v>聊天（儿）</v>
      </c>
      <c r="D437" s="13" t="str">
        <f ca="1">IFERROR(__xludf.DUMMYFUNCTION("""COMPUTED_VALUE"""),"&lt;ruby&gt;聊天（儿）&lt;rt&gt;liáo tiān (r)&lt;/rt&gt;&lt;/ruby&gt;")</f>
        <v>&lt;ruby&gt;聊天（儿）&lt;rt&gt;liáo tiān (r)&lt;/rt&gt;&lt;/ruby&gt;</v>
      </c>
      <c r="E437" s="13" t="str">
        <f ca="1">IFERROR(__xludf.DUMMYFUNCTION("""COMPUTED_VALUE"""),"liáo tiān (r)")</f>
        <v>liáo tiān (r)</v>
      </c>
      <c r="F437" s="13" t="str">
        <f ca="1">IFERROR(__xludf.DUMMYFUNCTION("""COMPUTED_VALUE"""),"Động từ")</f>
        <v>Động từ</v>
      </c>
      <c r="G437" s="13" t="str">
        <f ca="1">IFERROR(__xludf.DUMMYFUNCTION("""COMPUTED_VALUE"""),"Nói chuyện, tán gẫu ")</f>
        <v xml:space="preserve">Nói chuyện, tán gẫu </v>
      </c>
      <c r="H437" s="13" t="str">
        <f ca="1">IFERROR(__xludf.DUMMYFUNCTION("""COMPUTED_VALUE"""),"他们聊天聊得非常热闹。")</f>
        <v>他们聊天聊得非常热闹。</v>
      </c>
      <c r="I437" s="13" t="str">
        <f ca="1">IFERROR(__xludf.DUMMYFUNCTION("""COMPUTED_VALUE"""),"Tāmen liáotiān liáo de fēicháng rènào.")</f>
        <v>Tāmen liáotiān liáo de fēicháng rènào.</v>
      </c>
      <c r="J437" s="13" t="str">
        <f ca="1">IFERROR(__xludf.DUMMYFUNCTION("""COMPUTED_VALUE"""),"Họ đang nói chuyện rất sôi nổi.")</f>
        <v>Họ đang nói chuyện rất sôi nổi.</v>
      </c>
      <c r="K437" s="13" t="str">
        <f ca="1">IFERROR(__xludf.DUMMYFUNCTION("""COMPUTED_VALUE"""),"H3_B6_BG-13.gif")</f>
        <v>H3_B6_BG-13.gif</v>
      </c>
      <c r="L437" s="13" t="str">
        <f ca="1">IFERROR(__xludf.DUMMYFUNCTION("""COMPUTED_VALUE"""),"H3_B6_13.mp3")</f>
        <v>H3_B6_13.mp3</v>
      </c>
      <c r="M437" s="13" t="str">
        <f ca="1">IFERROR(__xludf.DUMMYFUNCTION("""COMPUTED_VALUE"""),"H3_B6_VD_13.mp3")</f>
        <v>H3_B6_VD_13.mp3</v>
      </c>
    </row>
    <row r="438" spans="1:13">
      <c r="A438" s="13">
        <f ca="1">IFERROR(__xludf.DUMMYFUNCTION("""COMPUTED_VALUE"""),14)</f>
        <v>14</v>
      </c>
      <c r="B438" s="13"/>
      <c r="C438" s="13" t="str">
        <f ca="1">IFERROR(__xludf.DUMMYFUNCTION("""COMPUTED_VALUE"""),"睡着")</f>
        <v>睡着</v>
      </c>
      <c r="D438" s="13" t="str">
        <f ca="1">IFERROR(__xludf.DUMMYFUNCTION("""COMPUTED_VALUE"""),"&lt;ruby&gt;睡着&lt;rt&gt;shuì zháo&lt;/rt&gt;&lt;/ruby&gt;")</f>
        <v>&lt;ruby&gt;睡着&lt;rt&gt;shuì zháo&lt;/rt&gt;&lt;/ruby&gt;</v>
      </c>
      <c r="E438" s="13" t="str">
        <f ca="1">IFERROR(__xludf.DUMMYFUNCTION("""COMPUTED_VALUE"""),"shuì zháo")</f>
        <v>shuì zháo</v>
      </c>
      <c r="F438" s="13" t="str">
        <f ca="1">IFERROR(__xludf.DUMMYFUNCTION("""COMPUTED_VALUE"""),"Động từ")</f>
        <v>Động từ</v>
      </c>
      <c r="G438" s="13" t="str">
        <f ca="1">IFERROR(__xludf.DUMMYFUNCTION("""COMPUTED_VALUE"""),"Ngủ thiếp, ngủ được ")</f>
        <v xml:space="preserve">Ngủ thiếp, ngủ được </v>
      </c>
      <c r="H438" s="13" t="str">
        <f ca="1">IFERROR(__xludf.DUMMYFUNCTION("""COMPUTED_VALUE"""),"他学习的时候不小心睡着了。")</f>
        <v>他学习的时候不小心睡着了。</v>
      </c>
      <c r="I438" s="13" t="str">
        <f ca="1">IFERROR(__xludf.DUMMYFUNCTION("""COMPUTED_VALUE"""),"Tā xuéxí de shíhou bù xiǎoxīn shuìzháo le.")</f>
        <v>Tā xuéxí de shíhou bù xiǎoxīn shuìzháo le.</v>
      </c>
      <c r="J438" s="13" t="str">
        <f ca="1">IFERROR(__xludf.DUMMYFUNCTION("""COMPUTED_VALUE"""),"Anh ấy đang học bài mà bỗng dưng ngủ thiếp đi.")</f>
        <v>Anh ấy đang học bài mà bỗng dưng ngủ thiếp đi.</v>
      </c>
      <c r="K438" s="13" t="str">
        <f ca="1">IFERROR(__xludf.DUMMYFUNCTION("""COMPUTED_VALUE"""),"H3_B6_BG-14.gif")</f>
        <v>H3_B6_BG-14.gif</v>
      </c>
      <c r="L438" s="13" t="str">
        <f ca="1">IFERROR(__xludf.DUMMYFUNCTION("""COMPUTED_VALUE"""),"H3_B6_14.mp3")</f>
        <v>H3_B6_14.mp3</v>
      </c>
      <c r="M438" s="13" t="str">
        <f ca="1">IFERROR(__xludf.DUMMYFUNCTION("""COMPUTED_VALUE"""),"H3_B6_VD_14.mp3")</f>
        <v>H3_B6_VD_14.mp3</v>
      </c>
    </row>
    <row r="439" spans="1:13">
      <c r="A439" s="13">
        <f ca="1">IFERROR(__xludf.DUMMYFUNCTION("""COMPUTED_VALUE"""),15)</f>
        <v>15</v>
      </c>
      <c r="B439" s="13"/>
      <c r="C439" s="13" t="str">
        <f ca="1">IFERROR(__xludf.DUMMYFUNCTION("""COMPUTED_VALUE"""),"更")</f>
        <v>更</v>
      </c>
      <c r="D439" s="13" t="str">
        <f ca="1">IFERROR(__xludf.DUMMYFUNCTION("""COMPUTED_VALUE"""),"&lt;ruby&gt;更&lt;rt&gt;gèng&lt;/rt&gt;&lt;/ruby&gt;")</f>
        <v>&lt;ruby&gt;更&lt;rt&gt;gèng&lt;/rt&gt;&lt;/ruby&gt;</v>
      </c>
      <c r="E439" s="13" t="str">
        <f ca="1">IFERROR(__xludf.DUMMYFUNCTION("""COMPUTED_VALUE"""),"gèng")</f>
        <v>gèng</v>
      </c>
      <c r="F439" s="13" t="str">
        <f ca="1">IFERROR(__xludf.DUMMYFUNCTION("""COMPUTED_VALUE"""),"Phó từ ")</f>
        <v xml:space="preserve">Phó từ </v>
      </c>
      <c r="G439" s="13" t="str">
        <f ca="1">IFERROR(__xludf.DUMMYFUNCTION("""COMPUTED_VALUE"""),"Càng, hơn nữa ")</f>
        <v xml:space="preserve">Càng, hơn nữa </v>
      </c>
      <c r="H439" s="13" t="str">
        <f ca="1">IFERROR(__xludf.DUMMYFUNCTION("""COMPUTED_VALUE"""),"经常锻炼身体会更健康。")</f>
        <v>经常锻炼身体会更健康。</v>
      </c>
      <c r="I439" s="13" t="str">
        <f ca="1">IFERROR(__xludf.DUMMYFUNCTION("""COMPUTED_VALUE"""),"Jīngcháng duànliàn shēntǐ huì gèng jiànkāng.")</f>
        <v>Jīngcháng duànliàn shēntǐ huì gèng jiànkāng.</v>
      </c>
      <c r="J439" s="13" t="str">
        <f ca="1">IFERROR(__xludf.DUMMYFUNCTION("""COMPUTED_VALUE"""),"Chăm chỉ tập thể dục sẽ càng khỏe mạnh hơn.")</f>
        <v>Chăm chỉ tập thể dục sẽ càng khỏe mạnh hơn.</v>
      </c>
      <c r="K439" s="13" t="str">
        <f ca="1">IFERROR(__xludf.DUMMYFUNCTION("""COMPUTED_VALUE"""),"H3_B6_BG-15.gif")</f>
        <v>H3_B6_BG-15.gif</v>
      </c>
      <c r="L439" s="13" t="str">
        <f ca="1">IFERROR(__xludf.DUMMYFUNCTION("""COMPUTED_VALUE"""),"H3_B6_15.mp3")</f>
        <v>H3_B6_15.mp3</v>
      </c>
      <c r="M439" s="13" t="str">
        <f ca="1">IFERROR(__xludf.DUMMYFUNCTION("""COMPUTED_VALUE"""),"H3_B6_VD_15.mp3")</f>
        <v>H3_B6_VD_15.mp3</v>
      </c>
    </row>
    <row r="440" spans="1:13">
      <c r="A440" s="13">
        <f ca="1">IFERROR(__xludf.DUMMYFUNCTION("""COMPUTED_VALUE"""),1)</f>
        <v>1</v>
      </c>
      <c r="B440" s="13"/>
      <c r="C440" s="13" t="str">
        <f ca="1">IFERROR(__xludf.DUMMYFUNCTION("""COMPUTED_VALUE"""),"同事")</f>
        <v>同事</v>
      </c>
      <c r="D440" s="13" t="str">
        <f ca="1">IFERROR(__xludf.DUMMYFUNCTION("""COMPUTED_VALUE"""),"&lt;ruby&gt;同事&lt;rt&gt;tóngshì&lt;/rt&gt;&lt;/ruby&gt;")</f>
        <v>&lt;ruby&gt;同事&lt;rt&gt;tóngshì&lt;/rt&gt;&lt;/ruby&gt;</v>
      </c>
      <c r="E440" s="13" t="str">
        <f ca="1">IFERROR(__xludf.DUMMYFUNCTION("""COMPUTED_VALUE"""),"tóngshì")</f>
        <v>tóngshì</v>
      </c>
      <c r="F440" s="13" t="str">
        <f ca="1">IFERROR(__xludf.DUMMYFUNCTION("""COMPUTED_VALUE"""),"Danh từ")</f>
        <v>Danh từ</v>
      </c>
      <c r="G440" s="13" t="str">
        <f ca="1">IFERROR(__xludf.DUMMYFUNCTION("""COMPUTED_VALUE"""),"Đồng nghiệp")</f>
        <v>Đồng nghiệp</v>
      </c>
      <c r="H440" s="13" t="str">
        <f ca="1">IFERROR(__xludf.DUMMYFUNCTION("""COMPUTED_VALUE"""),"她是我见过最幽默的同事。")</f>
        <v>她是我见过最幽默的同事。</v>
      </c>
      <c r="I440" s="13" t="str">
        <f ca="1">IFERROR(__xludf.DUMMYFUNCTION("""COMPUTED_VALUE"""),"Tā shì wǒ jiànguo zuì yōumò de tóngshì.")</f>
        <v>Tā shì wǒ jiànguo zuì yōumò de tóngshì.</v>
      </c>
      <c r="J440" s="13" t="str">
        <f ca="1">IFERROR(__xludf.DUMMYFUNCTION("""COMPUTED_VALUE"""),"Cô ấy là đồng nghiệp hài hước nhất mà tôi từng gặp.")</f>
        <v>Cô ấy là đồng nghiệp hài hước nhất mà tôi từng gặp.</v>
      </c>
      <c r="K440" s="13" t="str">
        <f ca="1">IFERROR(__xludf.DUMMYFUNCTION("""COMPUTED_VALUE"""),"H3_B7_BG-01.gif")</f>
        <v>H3_B7_BG-01.gif</v>
      </c>
      <c r="L440" s="13" t="str">
        <f ca="1">IFERROR(__xludf.DUMMYFUNCTION("""COMPUTED_VALUE"""),"H3_B7_1.mp3")</f>
        <v>H3_B7_1.mp3</v>
      </c>
      <c r="M440" s="13" t="str">
        <f ca="1">IFERROR(__xludf.DUMMYFUNCTION("""COMPUTED_VALUE"""),"H3_B7_VD_1.mp3")</f>
        <v>H3_B7_VD_1.mp3</v>
      </c>
    </row>
    <row r="441" spans="1:13">
      <c r="A441" s="13">
        <f ca="1">IFERROR(__xludf.DUMMYFUNCTION("""COMPUTED_VALUE"""),2)</f>
        <v>2</v>
      </c>
      <c r="B441" s="13"/>
      <c r="C441" s="13" t="str">
        <f ca="1">IFERROR(__xludf.DUMMYFUNCTION("""COMPUTED_VALUE"""),"以前")</f>
        <v>以前</v>
      </c>
      <c r="D441" s="13" t="str">
        <f ca="1">IFERROR(__xludf.DUMMYFUNCTION("""COMPUTED_VALUE"""),"&lt;ruby&gt;以前&lt;rt&gt;yǐqián&lt;/rt&gt;&lt;/ruby&gt;")</f>
        <v>&lt;ruby&gt;以前&lt;rt&gt;yǐqián&lt;/rt&gt;&lt;/ruby&gt;</v>
      </c>
      <c r="E441" s="13" t="str">
        <f ca="1">IFERROR(__xludf.DUMMYFUNCTION("""COMPUTED_VALUE"""),"yǐqián")</f>
        <v>yǐqián</v>
      </c>
      <c r="F441" s="13" t="str">
        <f ca="1">IFERROR(__xludf.DUMMYFUNCTION("""COMPUTED_VALUE"""),"Danh từ ")</f>
        <v xml:space="preserve">Danh từ </v>
      </c>
      <c r="G441" s="13" t="str">
        <f ca="1">IFERROR(__xludf.DUMMYFUNCTION("""COMPUTED_VALUE"""),"Trước đây, trước kia ")</f>
        <v xml:space="preserve">Trước đây, trước kia </v>
      </c>
      <c r="H441" s="13" t="str">
        <f ca="1">IFERROR(__xludf.DUMMYFUNCTION("""COMPUTED_VALUE"""),"以前我曾在体育比赛中获得第一名。")</f>
        <v>以前我曾在体育比赛中获得第一名。</v>
      </c>
      <c r="I441" s="13" t="str">
        <f ca="1">IFERROR(__xludf.DUMMYFUNCTION("""COMPUTED_VALUE"""),"Yǐqián wǒ céng zài tǐyù bǐsài zhōng huòdé dì yī míng.")</f>
        <v>Yǐqián wǒ céng zài tǐyù bǐsài zhōng huòdé dì yī míng.</v>
      </c>
      <c r="J441" s="13" t="str">
        <f ca="1">IFERROR(__xludf.DUMMYFUNCTION("""COMPUTED_VALUE"""),"Trước đây tôi từng giành hạng nhất trong cuộc thi thể thao.")</f>
        <v>Trước đây tôi từng giành hạng nhất trong cuộc thi thể thao.</v>
      </c>
      <c r="K441" s="13" t="str">
        <f ca="1">IFERROR(__xludf.DUMMYFUNCTION("""COMPUTED_VALUE"""),"H3_B7_BG-02.gif")</f>
        <v>H3_B7_BG-02.gif</v>
      </c>
      <c r="L441" s="13" t="str">
        <f ca="1">IFERROR(__xludf.DUMMYFUNCTION("""COMPUTED_VALUE"""),"H3_B7_2.mp3")</f>
        <v>H3_B7_2.mp3</v>
      </c>
      <c r="M441" s="13" t="str">
        <f ca="1">IFERROR(__xludf.DUMMYFUNCTION("""COMPUTED_VALUE"""),"H3_B7_VD_2.mp3")</f>
        <v>H3_B7_VD_2.mp3</v>
      </c>
    </row>
    <row r="442" spans="1:13">
      <c r="A442" s="13">
        <f ca="1">IFERROR(__xludf.DUMMYFUNCTION("""COMPUTED_VALUE"""),3)</f>
        <v>3</v>
      </c>
      <c r="B442" s="13"/>
      <c r="C442" s="13" t="str">
        <f ca="1">IFERROR(__xludf.DUMMYFUNCTION("""COMPUTED_VALUE"""),"银行")</f>
        <v>银行</v>
      </c>
      <c r="D442" s="13" t="str">
        <f ca="1">IFERROR(__xludf.DUMMYFUNCTION("""COMPUTED_VALUE"""),"&lt;ruby&gt;银行&lt;rt&gt;yínháng&lt;/rt&gt;&lt;/ruby&gt;")</f>
        <v>&lt;ruby&gt;银行&lt;rt&gt;yínháng&lt;/rt&gt;&lt;/ruby&gt;</v>
      </c>
      <c r="E442" s="13" t="str">
        <f ca="1">IFERROR(__xludf.DUMMYFUNCTION("""COMPUTED_VALUE"""),"yínháng")</f>
        <v>yínháng</v>
      </c>
      <c r="F442" s="13" t="str">
        <f ca="1">IFERROR(__xludf.DUMMYFUNCTION("""COMPUTED_VALUE"""),"Danh từ")</f>
        <v>Danh từ</v>
      </c>
      <c r="G442" s="13" t="str">
        <f ca="1">IFERROR(__xludf.DUMMYFUNCTION("""COMPUTED_VALUE"""),"Ngân hàng")</f>
        <v>Ngân hàng</v>
      </c>
      <c r="H442" s="13" t="str">
        <f ca="1">IFERROR(__xludf.DUMMYFUNCTION("""COMPUTED_VALUE"""),"她在离家很近的银行工作。")</f>
        <v>她在离家很近的银行工作。</v>
      </c>
      <c r="I442" s="13" t="str">
        <f ca="1">IFERROR(__xludf.DUMMYFUNCTION("""COMPUTED_VALUE"""),"Tā zài lí jiā hěn jìn de yínháng gōngzuò.")</f>
        <v>Tā zài lí jiā hěn jìn de yínháng gōngzuò.</v>
      </c>
      <c r="J442" s="13" t="str">
        <f ca="1">IFERROR(__xludf.DUMMYFUNCTION("""COMPUTED_VALUE"""),"Cô ấy làm việc ở ngân hàng gần nhà.")</f>
        <v>Cô ấy làm việc ở ngân hàng gần nhà.</v>
      </c>
      <c r="K442" s="13" t="str">
        <f ca="1">IFERROR(__xludf.DUMMYFUNCTION("""COMPUTED_VALUE"""),"H3_B7_BG-03.gif")</f>
        <v>H3_B7_BG-03.gif</v>
      </c>
      <c r="L442" s="13" t="str">
        <f ca="1">IFERROR(__xludf.DUMMYFUNCTION("""COMPUTED_VALUE"""),"H3_B7_3.mp3")</f>
        <v>H3_B7_3.mp3</v>
      </c>
      <c r="M442" s="13" t="str">
        <f ca="1">IFERROR(__xludf.DUMMYFUNCTION("""COMPUTED_VALUE"""),"H3_B7_VD_3.mp3")</f>
        <v>H3_B7_VD_3.mp3</v>
      </c>
    </row>
    <row r="443" spans="1:13">
      <c r="A443" s="13">
        <f ca="1">IFERROR(__xludf.DUMMYFUNCTION("""COMPUTED_VALUE"""),4)</f>
        <v>4</v>
      </c>
      <c r="B443" s="13"/>
      <c r="C443" s="13" t="str">
        <f ca="1">IFERROR(__xludf.DUMMYFUNCTION("""COMPUTED_VALUE"""),"久")</f>
        <v>久</v>
      </c>
      <c r="D443" s="13" t="str">
        <f ca="1">IFERROR(__xludf.DUMMYFUNCTION("""COMPUTED_VALUE"""),"&lt;ruby&gt;久&lt;rt&gt;jiǔ&lt;/rt&gt;&lt;/ruby&gt;")</f>
        <v>&lt;ruby&gt;久&lt;rt&gt;jiǔ&lt;/rt&gt;&lt;/ruby&gt;</v>
      </c>
      <c r="E443" s="13" t="str">
        <f ca="1">IFERROR(__xludf.DUMMYFUNCTION("""COMPUTED_VALUE"""),"jiǔ")</f>
        <v>jiǔ</v>
      </c>
      <c r="F443" s="13" t="str">
        <f ca="1">IFERROR(__xludf.DUMMYFUNCTION("""COMPUTED_VALUE"""),"Tính từ")</f>
        <v>Tính từ</v>
      </c>
      <c r="G443" s="13" t="str">
        <f ca="1">IFERROR(__xludf.DUMMYFUNCTION("""COMPUTED_VALUE"""),"Lâu, lâu dài")</f>
        <v>Lâu, lâu dài</v>
      </c>
      <c r="H443" s="13" t="str">
        <f ca="1">IFERROR(__xludf.DUMMYFUNCTION("""COMPUTED_VALUE"""),"我们好久没见面了。")</f>
        <v>我们好久没见面了。</v>
      </c>
      <c r="I443" s="13" t="str">
        <f ca="1">IFERROR(__xludf.DUMMYFUNCTION("""COMPUTED_VALUE"""),"Wǒmen hǎojiǔ méi jiànmiàn le.")</f>
        <v>Wǒmen hǎojiǔ méi jiànmiàn le.</v>
      </c>
      <c r="J443" s="13" t="str">
        <f ca="1">IFERROR(__xludf.DUMMYFUNCTION("""COMPUTED_VALUE"""),"Chúng tôi đã lâu không gặp.")</f>
        <v>Chúng tôi đã lâu không gặp.</v>
      </c>
      <c r="K443" s="13" t="str">
        <f ca="1">IFERROR(__xludf.DUMMYFUNCTION("""COMPUTED_VALUE"""),"H3_B7_BG-04.gif")</f>
        <v>H3_B7_BG-04.gif</v>
      </c>
      <c r="L443" s="13" t="str">
        <f ca="1">IFERROR(__xludf.DUMMYFUNCTION("""COMPUTED_VALUE"""),"H3_B7_4.mp3")</f>
        <v>H3_B7_4.mp3</v>
      </c>
      <c r="M443" s="13" t="str">
        <f ca="1">IFERROR(__xludf.DUMMYFUNCTION("""COMPUTED_VALUE"""),"H3_B7_VD_4.mp3")</f>
        <v>H3_B7_VD_4.mp3</v>
      </c>
    </row>
    <row r="444" spans="1:13">
      <c r="A444" s="13">
        <f ca="1">IFERROR(__xludf.DUMMYFUNCTION("""COMPUTED_VALUE"""),5)</f>
        <v>5</v>
      </c>
      <c r="B444" s="13"/>
      <c r="C444" s="13" t="str">
        <f ca="1">IFERROR(__xludf.DUMMYFUNCTION("""COMPUTED_VALUE"""),"感兴趣")</f>
        <v>感兴趣</v>
      </c>
      <c r="D444" s="13" t="str">
        <f ca="1">IFERROR(__xludf.DUMMYFUNCTION("""COMPUTED_VALUE"""),"&lt;ruby&gt;感兴趣&lt;rt&gt;gǎn xìngqù&lt;/rt&gt;&lt;/ruby&gt;")</f>
        <v>&lt;ruby&gt;感兴趣&lt;rt&gt;gǎn xìngqù&lt;/rt&gt;&lt;/ruby&gt;</v>
      </c>
      <c r="E444" s="13" t="str">
        <f ca="1">IFERROR(__xludf.DUMMYFUNCTION("""COMPUTED_VALUE"""),"gǎn xìngqù")</f>
        <v>gǎn xìngqù</v>
      </c>
      <c r="F444" s="13"/>
      <c r="G444" s="13" t="str">
        <f ca="1">IFERROR(__xludf.DUMMYFUNCTION("""COMPUTED_VALUE"""),"Có hứng thú, thích")</f>
        <v>Có hứng thú, thích</v>
      </c>
      <c r="H444" s="13" t="str">
        <f ca="1">IFERROR(__xludf.DUMMYFUNCTION("""COMPUTED_VALUE""")," 她对唱歌很感兴趣。")</f>
        <v xml:space="preserve"> 她对唱歌很感兴趣。</v>
      </c>
      <c r="I444" s="13" t="str">
        <f ca="1">IFERROR(__xludf.DUMMYFUNCTION("""COMPUTED_VALUE"""),"Tā duì chànggē hěn gǎn xìngqù.")</f>
        <v>Tā duì chànggē hěn gǎn xìngqù.</v>
      </c>
      <c r="J444" s="13" t="str">
        <f ca="1">IFERROR(__xludf.DUMMYFUNCTION("""COMPUTED_VALUE"""),"Cô ấy rất hứng thú với ca hát.")</f>
        <v>Cô ấy rất hứng thú với ca hát.</v>
      </c>
      <c r="K444" s="13" t="str">
        <f ca="1">IFERROR(__xludf.DUMMYFUNCTION("""COMPUTED_VALUE"""),"H3_B7_BG-05.gif")</f>
        <v>H3_B7_BG-05.gif</v>
      </c>
      <c r="L444" s="13" t="str">
        <f ca="1">IFERROR(__xludf.DUMMYFUNCTION("""COMPUTED_VALUE"""),"H3_B7_5.mp3")</f>
        <v>H3_B7_5.mp3</v>
      </c>
      <c r="M444" s="13" t="str">
        <f ca="1">IFERROR(__xludf.DUMMYFUNCTION("""COMPUTED_VALUE"""),"H3_B7_VD_5.mp3")</f>
        <v>H3_B7_VD_5.mp3</v>
      </c>
    </row>
    <row r="445" spans="1:13">
      <c r="A445" s="13">
        <f ca="1">IFERROR(__xludf.DUMMYFUNCTION("""COMPUTED_VALUE"""),6)</f>
        <v>6</v>
      </c>
      <c r="B445" s="13"/>
      <c r="C445" s="13" t="str">
        <f ca="1">IFERROR(__xludf.DUMMYFUNCTION("""COMPUTED_VALUE"""),"结婚")</f>
        <v>结婚</v>
      </c>
      <c r="D445" s="13" t="str">
        <f ca="1">IFERROR(__xludf.DUMMYFUNCTION("""COMPUTED_VALUE"""),"&lt;ruby&gt;结婚&lt;rt&gt;jiéhūn&lt;/rt&gt;&lt;/ruby&gt;")</f>
        <v>&lt;ruby&gt;结婚&lt;rt&gt;jiéhūn&lt;/rt&gt;&lt;/ruby&gt;</v>
      </c>
      <c r="E445" s="13" t="str">
        <f ca="1">IFERROR(__xludf.DUMMYFUNCTION("""COMPUTED_VALUE"""),"jiéhūn")</f>
        <v>jiéhūn</v>
      </c>
      <c r="F445" s="13" t="str">
        <f ca="1">IFERROR(__xludf.DUMMYFUNCTION("""COMPUTED_VALUE"""),"Động từ")</f>
        <v>Động từ</v>
      </c>
      <c r="G445" s="13" t="str">
        <f ca="1">IFERROR(__xludf.DUMMYFUNCTION("""COMPUTED_VALUE"""),"Kết hôn, cưới ")</f>
        <v xml:space="preserve">Kết hôn, cưới </v>
      </c>
      <c r="H445" s="13" t="str">
        <f ca="1">IFERROR(__xludf.DUMMYFUNCTION("""COMPUTED_VALUE"""),"我打算今年年底结婚。")</f>
        <v>我打算今年年底结婚。</v>
      </c>
      <c r="I445" s="13" t="str">
        <f ca="1">IFERROR(__xludf.DUMMYFUNCTION("""COMPUTED_VALUE"""),"Wǒ dǎsuan jīnnián niándǐ jiéhūn.")</f>
        <v>Wǒ dǎsuan jīnnián niándǐ jiéhūn.</v>
      </c>
      <c r="J445" s="13" t="str">
        <f ca="1">IFERROR(__xludf.DUMMYFUNCTION("""COMPUTED_VALUE"""),"Cuối năm nay tôi sẽ kết hôn.")</f>
        <v>Cuối năm nay tôi sẽ kết hôn.</v>
      </c>
      <c r="K445" s="13" t="str">
        <f ca="1">IFERROR(__xludf.DUMMYFUNCTION("""COMPUTED_VALUE"""),"H3_B7_BG-06.gif")</f>
        <v>H3_B7_BG-06.gif</v>
      </c>
      <c r="L445" s="13" t="str">
        <f ca="1">IFERROR(__xludf.DUMMYFUNCTION("""COMPUTED_VALUE"""),"H3_B7_6.mp3")</f>
        <v>H3_B7_6.mp3</v>
      </c>
      <c r="M445" s="13" t="str">
        <f ca="1">IFERROR(__xludf.DUMMYFUNCTION("""COMPUTED_VALUE"""),"H3_B7_VD_6.mp3")</f>
        <v>H3_B7_VD_6.mp3</v>
      </c>
    </row>
    <row r="446" spans="1:13">
      <c r="A446" s="13">
        <f ca="1">IFERROR(__xludf.DUMMYFUNCTION("""COMPUTED_VALUE"""),7)</f>
        <v>7</v>
      </c>
      <c r="B446" s="13"/>
      <c r="C446" s="13" t="str">
        <f ca="1">IFERROR(__xludf.DUMMYFUNCTION("""COMPUTED_VALUE"""),"欢迎")</f>
        <v>欢迎</v>
      </c>
      <c r="D446" s="13" t="str">
        <f ca="1">IFERROR(__xludf.DUMMYFUNCTION("""COMPUTED_VALUE"""),"&lt;ruby&gt;欢迎&lt;rt&gt;huānyíng&lt;/rt&gt;&lt;/ruby&gt;")</f>
        <v>&lt;ruby&gt;欢迎&lt;rt&gt;huānyíng&lt;/rt&gt;&lt;/ruby&gt;</v>
      </c>
      <c r="E446" s="13" t="str">
        <f ca="1">IFERROR(__xludf.DUMMYFUNCTION("""COMPUTED_VALUE"""),"huānyíng")</f>
        <v>huānyíng</v>
      </c>
      <c r="F446" s="13" t="str">
        <f ca="1">IFERROR(__xludf.DUMMYFUNCTION("""COMPUTED_VALUE"""),"Động từ")</f>
        <v>Động từ</v>
      </c>
      <c r="G446" s="13" t="str">
        <f ca="1">IFERROR(__xludf.DUMMYFUNCTION("""COMPUTED_VALUE"""),"Hoan nghênh, chào mừng ")</f>
        <v xml:space="preserve">Hoan nghênh, chào mừng </v>
      </c>
      <c r="H446" s="13" t="str">
        <f ca="1">IFERROR(__xludf.DUMMYFUNCTION("""COMPUTED_VALUE"""),"他们正在唱歌，欢迎大家来这里。")</f>
        <v>他们正在唱歌，欢迎大家来这里。</v>
      </c>
      <c r="I446" s="13" t="str">
        <f ca="1">IFERROR(__xludf.DUMMYFUNCTION("""COMPUTED_VALUE"""),"Tāmen zhèngzài chànggē, huānyíng dàjiā lái zhèlǐ.")</f>
        <v>Tāmen zhèngzài chànggē, huānyíng dàjiā lái zhèlǐ.</v>
      </c>
      <c r="J446" s="13" t="str">
        <f ca="1">IFERROR(__xludf.DUMMYFUNCTION("""COMPUTED_VALUE"""),"Họ đang hát để chào đón mọi người tới đây.")</f>
        <v>Họ đang hát để chào đón mọi người tới đây.</v>
      </c>
      <c r="K446" s="13" t="str">
        <f ca="1">IFERROR(__xludf.DUMMYFUNCTION("""COMPUTED_VALUE"""),"H3_B7_BG-07.gif")</f>
        <v>H3_B7_BG-07.gif</v>
      </c>
      <c r="L446" s="13" t="str">
        <f ca="1">IFERROR(__xludf.DUMMYFUNCTION("""COMPUTED_VALUE"""),"H3_B7_7.mp3")</f>
        <v>H3_B7_7.mp3</v>
      </c>
      <c r="M446" s="13" t="str">
        <f ca="1">IFERROR(__xludf.DUMMYFUNCTION("""COMPUTED_VALUE"""),"H3_B7_VD_7.mp3")</f>
        <v>H3_B7_VD_7.mp3</v>
      </c>
    </row>
    <row r="447" spans="1:13">
      <c r="A447" s="13">
        <f ca="1">IFERROR(__xludf.DUMMYFUNCTION("""COMPUTED_VALUE"""),8)</f>
        <v>8</v>
      </c>
      <c r="B447" s="13"/>
      <c r="C447" s="13" t="str">
        <f ca="1">IFERROR(__xludf.DUMMYFUNCTION("""COMPUTED_VALUE"""),"迟到")</f>
        <v>迟到</v>
      </c>
      <c r="D447" s="13" t="str">
        <f ca="1">IFERROR(__xludf.DUMMYFUNCTION("""COMPUTED_VALUE"""),"&lt;ruby&gt;迟到&lt;rt&gt;chídào&lt;/rt&gt;&lt;/ruby&gt;")</f>
        <v>&lt;ruby&gt;迟到&lt;rt&gt;chídào&lt;/rt&gt;&lt;/ruby&gt;</v>
      </c>
      <c r="E447" s="13" t="str">
        <f ca="1">IFERROR(__xludf.DUMMYFUNCTION("""COMPUTED_VALUE"""),"chídào")</f>
        <v>chídào</v>
      </c>
      <c r="F447" s="13" t="str">
        <f ca="1">IFERROR(__xludf.DUMMYFUNCTION("""COMPUTED_VALUE"""),"Động từ")</f>
        <v>Động từ</v>
      </c>
      <c r="G447" s="13" t="str">
        <f ca="1">IFERROR(__xludf.DUMMYFUNCTION("""COMPUTED_VALUE"""),"Đến muộn")</f>
        <v>Đến muộn</v>
      </c>
      <c r="H447" s="13" t="str">
        <f ca="1">IFERROR(__xludf.DUMMYFUNCTION("""COMPUTED_VALUE"""),"路上太堵了，我可能会迟到。")</f>
        <v>路上太堵了，我可能会迟到。</v>
      </c>
      <c r="I447" s="13" t="str">
        <f ca="1">IFERROR(__xludf.DUMMYFUNCTION("""COMPUTED_VALUE"""),"Lùshàng tài dǔ le, wǒ kěnéng huì chídào.")</f>
        <v>Lùshàng tài dǔ le, wǒ kěnéng huì chídào.</v>
      </c>
      <c r="J447" s="13" t="str">
        <f ca="1">IFERROR(__xludf.DUMMYFUNCTION("""COMPUTED_VALUE"""),"Tắc đường quá, có lẽ tôi sẽ đến muộn.")</f>
        <v>Tắc đường quá, có lẽ tôi sẽ đến muộn.</v>
      </c>
      <c r="K447" s="13" t="str">
        <f ca="1">IFERROR(__xludf.DUMMYFUNCTION("""COMPUTED_VALUE"""),"H3_B7_BG-08.gif")</f>
        <v>H3_B7_BG-08.gif</v>
      </c>
      <c r="L447" s="13" t="str">
        <f ca="1">IFERROR(__xludf.DUMMYFUNCTION("""COMPUTED_VALUE"""),"H3_B7_8.mp3")</f>
        <v>H3_B7_8.mp3</v>
      </c>
      <c r="M447" s="13" t="str">
        <f ca="1">IFERROR(__xludf.DUMMYFUNCTION("""COMPUTED_VALUE"""),"H3_B7_VD_8.mp3")</f>
        <v>H3_B7_VD_8.mp3</v>
      </c>
    </row>
    <row r="448" spans="1:13">
      <c r="A448" s="13">
        <f ca="1">IFERROR(__xludf.DUMMYFUNCTION("""COMPUTED_VALUE"""),9)</f>
        <v>9</v>
      </c>
      <c r="B448" s="13"/>
      <c r="C448" s="13" t="str">
        <f ca="1">IFERROR(__xludf.DUMMYFUNCTION("""COMPUTED_VALUE"""),"半")</f>
        <v>半</v>
      </c>
      <c r="D448" s="13" t="str">
        <f ca="1">IFERROR(__xludf.DUMMYFUNCTION("""COMPUTED_VALUE"""),"&lt;ruby&gt;半&lt;rt&gt;bàn&lt;/rt&gt;&lt;/ruby&gt;")</f>
        <v>&lt;ruby&gt;半&lt;rt&gt;bàn&lt;/rt&gt;&lt;/ruby&gt;</v>
      </c>
      <c r="E448" s="13" t="str">
        <f ca="1">IFERROR(__xludf.DUMMYFUNCTION("""COMPUTED_VALUE"""),"bàn")</f>
        <v>bàn</v>
      </c>
      <c r="F448" s="13" t="str">
        <f ca="1">IFERROR(__xludf.DUMMYFUNCTION("""COMPUTED_VALUE"""),"Số từ")</f>
        <v>Số từ</v>
      </c>
      <c r="G448" s="13" t="str">
        <f ca="1">IFERROR(__xludf.DUMMYFUNCTION("""COMPUTED_VALUE"""),"Một nửa, rưỡi ")</f>
        <v xml:space="preserve">Một nửa, rưỡi </v>
      </c>
      <c r="H448" s="13" t="str">
        <f ca="1">IFERROR(__xludf.DUMMYFUNCTION("""COMPUTED_VALUE"""),"现在是八点半，小女孩去学校。")</f>
        <v>现在是八点半，小女孩去学校。</v>
      </c>
      <c r="I448" s="13" t="str">
        <f ca="1">IFERROR(__xludf.DUMMYFUNCTION("""COMPUTED_VALUE"""),"Xiànzài shì bā diǎn bàn, xiǎo nǚhái qù xuéxiào.")</f>
        <v>Xiànzài shì bā diǎn bàn, xiǎo nǚhái qù xuéxiào.</v>
      </c>
      <c r="J448" s="13" t="str">
        <f ca="1">IFERROR(__xludf.DUMMYFUNCTION("""COMPUTED_VALUE"""),"Bây giờ là tám giờ rưỡi, cô bé đi đến trường.")</f>
        <v>Bây giờ là tám giờ rưỡi, cô bé đi đến trường.</v>
      </c>
      <c r="K448" s="13" t="str">
        <f ca="1">IFERROR(__xludf.DUMMYFUNCTION("""COMPUTED_VALUE"""),"H3_B7_BG-09.gif")</f>
        <v>H3_B7_BG-09.gif</v>
      </c>
      <c r="L448" s="13" t="str">
        <f ca="1">IFERROR(__xludf.DUMMYFUNCTION("""COMPUTED_VALUE"""),"H3_B7_9.mp3")</f>
        <v>H3_B7_9.mp3</v>
      </c>
      <c r="M448" s="13" t="str">
        <f ca="1">IFERROR(__xludf.DUMMYFUNCTION("""COMPUTED_VALUE"""),"H3_B7_VD_9.mp3")</f>
        <v>H3_B7_VD_9.mp3</v>
      </c>
    </row>
    <row r="449" spans="1:13">
      <c r="A449" s="13">
        <f ca="1">IFERROR(__xludf.DUMMYFUNCTION("""COMPUTED_VALUE"""),10)</f>
        <v>10</v>
      </c>
      <c r="B449" s="13"/>
      <c r="C449" s="13" t="str">
        <f ca="1">IFERROR(__xludf.DUMMYFUNCTION("""COMPUTED_VALUE"""),"接")</f>
        <v>接</v>
      </c>
      <c r="D449" s="13" t="str">
        <f ca="1">IFERROR(__xludf.DUMMYFUNCTION("""COMPUTED_VALUE"""),"&lt;ruby&gt;接&lt;rt&gt;jiē&lt;/rt&gt;&lt;/ruby&gt;")</f>
        <v>&lt;ruby&gt;接&lt;rt&gt;jiē&lt;/rt&gt;&lt;/ruby&gt;</v>
      </c>
      <c r="E449" s="13" t="str">
        <f ca="1">IFERROR(__xludf.DUMMYFUNCTION("""COMPUTED_VALUE"""),"jiē")</f>
        <v>jiē</v>
      </c>
      <c r="F449" s="13" t="str">
        <f ca="1">IFERROR(__xludf.DUMMYFUNCTION("""COMPUTED_VALUE"""),"Động từ")</f>
        <v>Động từ</v>
      </c>
      <c r="G449" s="13" t="str">
        <f ca="1">IFERROR(__xludf.DUMMYFUNCTION("""COMPUTED_VALUE"""),"Đón, nhận")</f>
        <v>Đón, nhận</v>
      </c>
      <c r="H449" s="13" t="str">
        <f ca="1">IFERROR(__xludf.DUMMYFUNCTION("""COMPUTED_VALUE"""),"小心，快接住球！")</f>
        <v>小心，快接住球！</v>
      </c>
      <c r="I449" s="13" t="str">
        <f ca="1">IFERROR(__xludf.DUMMYFUNCTION("""COMPUTED_VALUE"""),"Xiǎoxīn, kuài jiēzhù qiú!")</f>
        <v>Xiǎoxīn, kuài jiēzhù qiú!</v>
      </c>
      <c r="J449" s="13" t="str">
        <f ca="1">IFERROR(__xludf.DUMMYFUNCTION("""COMPUTED_VALUE"""),"Cẩn thận, mau đỡ bóng!")</f>
        <v>Cẩn thận, mau đỡ bóng!</v>
      </c>
      <c r="K449" s="13" t="str">
        <f ca="1">IFERROR(__xludf.DUMMYFUNCTION("""COMPUTED_VALUE"""),"H3_B7_BG-10.gif")</f>
        <v>H3_B7_BG-10.gif</v>
      </c>
      <c r="L449" s="13" t="str">
        <f ca="1">IFERROR(__xludf.DUMMYFUNCTION("""COMPUTED_VALUE"""),"H3_B7_10.mp3")</f>
        <v>H3_B7_10.mp3</v>
      </c>
      <c r="M449" s="13" t="str">
        <f ca="1">IFERROR(__xludf.DUMMYFUNCTION("""COMPUTED_VALUE"""),"H3_B7_VD_10.mp3")</f>
        <v>H3_B7_VD_10.mp3</v>
      </c>
    </row>
    <row r="450" spans="1:13">
      <c r="A450" s="13">
        <f ca="1">IFERROR(__xludf.DUMMYFUNCTION("""COMPUTED_VALUE"""),11)</f>
        <v>11</v>
      </c>
      <c r="B450" s="13"/>
      <c r="C450" s="13" t="str">
        <f ca="1">IFERROR(__xludf.DUMMYFUNCTION("""COMPUTED_VALUE"""),"刻")</f>
        <v>刻</v>
      </c>
      <c r="D450" s="13" t="str">
        <f ca="1">IFERROR(__xludf.DUMMYFUNCTION("""COMPUTED_VALUE"""),"&lt;ruby&gt;刻&lt;rt&gt;kè&lt;/rt&gt;&lt;/ruby&gt;")</f>
        <v>&lt;ruby&gt;刻&lt;rt&gt;kè&lt;/rt&gt;&lt;/ruby&gt;</v>
      </c>
      <c r="E450" s="13" t="str">
        <f ca="1">IFERROR(__xludf.DUMMYFUNCTION("""COMPUTED_VALUE"""),"kè")</f>
        <v>kè</v>
      </c>
      <c r="F450" s="13" t="str">
        <f ca="1">IFERROR(__xludf.DUMMYFUNCTION("""COMPUTED_VALUE"""),"Lượng từ ")</f>
        <v xml:space="preserve">Lượng từ </v>
      </c>
      <c r="G450" s="13" t="str">
        <f ca="1">IFERROR(__xludf.DUMMYFUNCTION("""COMPUTED_VALUE"""),"Khắc (15 phút)")</f>
        <v>Khắc (15 phút)</v>
      </c>
      <c r="H450" s="13" t="str">
        <f ca="1">IFERROR(__xludf.DUMMYFUNCTION("""COMPUTED_VALUE"""),"现在是七点一刻，女孩刚起床，非常开心。")</f>
        <v>现在是七点一刻，女孩刚起床，非常开心。</v>
      </c>
      <c r="I450" s="13" t="str">
        <f ca="1">IFERROR(__xludf.DUMMYFUNCTION("""COMPUTED_VALUE"""),"Xiànzài shì qī diǎn yí kè, nǚhái gāng qǐchuáng, fēicháng kāixīn.")</f>
        <v>Xiànzài shì qī diǎn yí kè, nǚhái gāng qǐchuáng, fēicháng kāixīn.</v>
      </c>
      <c r="J450" s="13" t="str">
        <f ca="1">IFERROR(__xludf.DUMMYFUNCTION("""COMPUTED_VALUE"""),"Bây giờ là bảy giờ mười lăm phút, cô bé vừa mới thức dậy, rất vui vẻ.")</f>
        <v>Bây giờ là bảy giờ mười lăm phút, cô bé vừa mới thức dậy, rất vui vẻ.</v>
      </c>
      <c r="K450" s="13" t="str">
        <f ca="1">IFERROR(__xludf.DUMMYFUNCTION("""COMPUTED_VALUE"""),"H3_B7_BG-11.gif")</f>
        <v>H3_B7_BG-11.gif</v>
      </c>
      <c r="L450" s="13" t="str">
        <f ca="1">IFERROR(__xludf.DUMMYFUNCTION("""COMPUTED_VALUE"""),"H3_B7_11.mp3")</f>
        <v>H3_B7_11.mp3</v>
      </c>
      <c r="M450" s="13" t="str">
        <f ca="1">IFERROR(__xludf.DUMMYFUNCTION("""COMPUTED_VALUE"""),"H3_B7_VD_11.mp3")</f>
        <v>H3_B7_VD_11.mp3</v>
      </c>
    </row>
    <row r="451" spans="1:13">
      <c r="A451" s="13">
        <f ca="1">IFERROR(__xludf.DUMMYFUNCTION("""COMPUTED_VALUE"""),12)</f>
        <v>12</v>
      </c>
      <c r="B451" s="13"/>
      <c r="C451" s="13" t="str">
        <f ca="1">IFERROR(__xludf.DUMMYFUNCTION("""COMPUTED_VALUE"""),"差")</f>
        <v>差</v>
      </c>
      <c r="D451" s="13" t="str">
        <f ca="1">IFERROR(__xludf.DUMMYFUNCTION("""COMPUTED_VALUE"""),"&lt;ruby&gt;差&lt;rt&gt;chà&lt;/rt&gt;&lt;/ruby&gt;")</f>
        <v>&lt;ruby&gt;差&lt;rt&gt;chà&lt;/rt&gt;&lt;/ruby&gt;</v>
      </c>
      <c r="E451" s="13" t="str">
        <f ca="1">IFERROR(__xludf.DUMMYFUNCTION("""COMPUTED_VALUE"""),"chà")</f>
        <v>chà</v>
      </c>
      <c r="F451" s="13" t="str">
        <f ca="1">IFERROR(__xludf.DUMMYFUNCTION("""COMPUTED_VALUE"""),"Động từ")</f>
        <v>Động từ</v>
      </c>
      <c r="G451" s="13" t="str">
        <f ca="1">IFERROR(__xludf.DUMMYFUNCTION("""COMPUTED_VALUE"""),"Kém, thiếu")</f>
        <v>Kém, thiếu</v>
      </c>
      <c r="H451" s="13" t="str">
        <f ca="1">IFERROR(__xludf.DUMMYFUNCTION("""COMPUTED_VALUE"""),"现在是十二点差一刻，男孩担心自己会迟到。")</f>
        <v>现在是十二点差一刻，男孩担心自己会迟到。</v>
      </c>
      <c r="I451" s="13" t="str">
        <f ca="1">IFERROR(__xludf.DUMMYFUNCTION("""COMPUTED_VALUE"""),"Xiànzài shì shíèr diǎn chà yí kè, nánhái dānxīn zìjǐ huì chídào.")</f>
        <v>Xiànzài shì shíèr diǎn chà yí kè, nánhái dānxīn zìjǐ huì chídào.</v>
      </c>
      <c r="J451" s="13" t="str">
        <f ca="1">IFERROR(__xludf.DUMMYFUNCTION("""COMPUTED_VALUE"""),"Bây giờ là mười hai giờ kém mười lăm phút, cậu bé lo lắng mình sẽ bị trễ.")</f>
        <v>Bây giờ là mười hai giờ kém mười lăm phút, cậu bé lo lắng mình sẽ bị trễ.</v>
      </c>
      <c r="K451" s="13" t="str">
        <f ca="1">IFERROR(__xludf.DUMMYFUNCTION("""COMPUTED_VALUE"""),"H3_B7_BG-12.gif")</f>
        <v>H3_B7_BG-12.gif</v>
      </c>
      <c r="L451" s="13" t="str">
        <f ca="1">IFERROR(__xludf.DUMMYFUNCTION("""COMPUTED_VALUE"""),"H3_B7_12.mp3")</f>
        <v>H3_B7_12.mp3</v>
      </c>
      <c r="M451" s="13" t="str">
        <f ca="1">IFERROR(__xludf.DUMMYFUNCTION("""COMPUTED_VALUE"""),"H3_B7_VD_12.mp3")</f>
        <v>H3_B7_VD_12.mp3</v>
      </c>
    </row>
    <row r="452" spans="1:13">
      <c r="A452" s="13">
        <f ca="1">IFERROR(__xludf.DUMMYFUNCTION("""COMPUTED_VALUE"""),1)</f>
        <v>1</v>
      </c>
      <c r="B452" s="13"/>
      <c r="C452" s="13" t="str">
        <f ca="1">IFERROR(__xludf.DUMMYFUNCTION("""COMPUTED_VALUE"""),"满意")</f>
        <v>满意</v>
      </c>
      <c r="D452" s="13" t="str">
        <f ca="1">IFERROR(__xludf.DUMMYFUNCTION("""COMPUTED_VALUE"""),"&lt;ruby&gt;满意&lt;rt&gt;mǎnyì&lt;/rt&gt;&lt;/ruby&gt;")</f>
        <v>&lt;ruby&gt;满意&lt;rt&gt;mǎnyì&lt;/rt&gt;&lt;/ruby&gt;</v>
      </c>
      <c r="E452" s="13" t="str">
        <f ca="1">IFERROR(__xludf.DUMMYFUNCTION("""COMPUTED_VALUE"""),"mǎnyì")</f>
        <v>mǎnyì</v>
      </c>
      <c r="F452" s="13" t="str">
        <f ca="1">IFERROR(__xludf.DUMMYFUNCTION("""COMPUTED_VALUE"""),"Động từ ")</f>
        <v xml:space="preserve">Động từ </v>
      </c>
      <c r="G452" s="13" t="str">
        <f ca="1">IFERROR(__xludf.DUMMYFUNCTION("""COMPUTED_VALUE"""),"Hài lòng, vừa ý ")</f>
        <v xml:space="preserve">Hài lòng, vừa ý </v>
      </c>
      <c r="H452" s="13" t="str">
        <f ca="1">IFERROR(__xludf.DUMMYFUNCTION("""COMPUTED_VALUE"""),"她对这道菜不太满意。")</f>
        <v>她对这道菜不太满意。</v>
      </c>
      <c r="I452" s="13" t="str">
        <f ca="1">IFERROR(__xludf.DUMMYFUNCTION("""COMPUTED_VALUE"""),"Tā duì zhè dào cài bú tài mǎnyì.")</f>
        <v>Tā duì zhè dào cài bú tài mǎnyì.</v>
      </c>
      <c r="J452" s="13" t="str">
        <f ca="1">IFERROR(__xludf.DUMMYFUNCTION("""COMPUTED_VALUE"""),"Cô ấy không hài lòng về món ăn này.")</f>
        <v>Cô ấy không hài lòng về món ăn này.</v>
      </c>
      <c r="K452" s="13" t="str">
        <f ca="1">IFERROR(__xludf.DUMMYFUNCTION("""COMPUTED_VALUE"""),"H3_B8_BG-01.gif")</f>
        <v>H3_B8_BG-01.gif</v>
      </c>
      <c r="L452" s="13" t="str">
        <f ca="1">IFERROR(__xludf.DUMMYFUNCTION("""COMPUTED_VALUE"""),"H3_B8_1.mp3")</f>
        <v>H3_B8_1.mp3</v>
      </c>
      <c r="M452" s="13" t="str">
        <f ca="1">IFERROR(__xludf.DUMMYFUNCTION("""COMPUTED_VALUE"""),"H3_B8_VD_1.mp3")</f>
        <v>H3_B8_VD_1.mp3</v>
      </c>
    </row>
    <row r="453" spans="1:13">
      <c r="A453" s="13">
        <f ca="1">IFERROR(__xludf.DUMMYFUNCTION("""COMPUTED_VALUE"""),2)</f>
        <v>2</v>
      </c>
      <c r="B453" s="13"/>
      <c r="C453" s="13" t="str">
        <f ca="1">IFERROR(__xludf.DUMMYFUNCTION("""COMPUTED_VALUE"""),"害怕 ")</f>
        <v xml:space="preserve">害怕 </v>
      </c>
      <c r="D453" s="13" t="str">
        <f ca="1">IFERROR(__xludf.DUMMYFUNCTION("""COMPUTED_VALUE"""),"&lt;ruby&gt;害怕 &lt;rt&gt;hàipà&lt;/rt&gt;&lt;/ruby&gt;")</f>
        <v>&lt;ruby&gt;害怕 &lt;rt&gt;hàipà&lt;/rt&gt;&lt;/ruby&gt;</v>
      </c>
      <c r="E453" s="13" t="str">
        <f ca="1">IFERROR(__xludf.DUMMYFUNCTION("""COMPUTED_VALUE"""),"hàipà")</f>
        <v>hàipà</v>
      </c>
      <c r="F453" s="13" t="str">
        <f ca="1">IFERROR(__xludf.DUMMYFUNCTION("""COMPUTED_VALUE"""),"Động từ ")</f>
        <v xml:space="preserve">Động từ </v>
      </c>
      <c r="G453" s="13" t="str">
        <f ca="1">IFERROR(__xludf.DUMMYFUNCTION("""COMPUTED_VALUE"""),"Sợ hãi, sợ ")</f>
        <v xml:space="preserve">Sợ hãi, sợ </v>
      </c>
      <c r="H453" s="13" t="str">
        <f ca="1">IFERROR(__xludf.DUMMYFUNCTION("""COMPUTED_VALUE""")," 她晚上很害怕一个人睡，因为总是做恶梦。")</f>
        <v xml:space="preserve"> 她晚上很害怕一个人睡，因为总是做恶梦。</v>
      </c>
      <c r="I453" s="13" t="str">
        <f ca="1">IFERROR(__xludf.DUMMYFUNCTION("""COMPUTED_VALUE"""),"Tā wǎnshang hěn hàipà yí ge rén shuì, yīnwèi zǒng shì zuò èmèng.")</f>
        <v>Tā wǎnshang hěn hàipà yí ge rén shuì, yīnwèi zǒng shì zuò èmèng.</v>
      </c>
      <c r="J453" s="13" t="str">
        <f ca="1">IFERROR(__xludf.DUMMYFUNCTION("""COMPUTED_VALUE"""),"Cô ấy rất sợ ngủ một mình vào buổi tối vì thường gặp ác mộng.")</f>
        <v>Cô ấy rất sợ ngủ một mình vào buổi tối vì thường gặp ác mộng.</v>
      </c>
      <c r="K453" s="13" t="str">
        <f ca="1">IFERROR(__xludf.DUMMYFUNCTION("""COMPUTED_VALUE"""),"H3_B8_BG-02.gif")</f>
        <v>H3_B8_BG-02.gif</v>
      </c>
      <c r="L453" s="13" t="str">
        <f ca="1">IFERROR(__xludf.DUMMYFUNCTION("""COMPUTED_VALUE"""),"H3_B8_2.mp3")</f>
        <v>H3_B8_2.mp3</v>
      </c>
      <c r="M453" s="13" t="str">
        <f ca="1">IFERROR(__xludf.DUMMYFUNCTION("""COMPUTED_VALUE"""),"H3_B8_VD_2.mp3")</f>
        <v>H3_B8_VD_2.mp3</v>
      </c>
    </row>
    <row r="454" spans="1:13">
      <c r="A454" s="13">
        <f ca="1">IFERROR(__xludf.DUMMYFUNCTION("""COMPUTED_VALUE"""),3)</f>
        <v>3</v>
      </c>
      <c r="B454" s="13"/>
      <c r="C454" s="13" t="str">
        <f ca="1">IFERROR(__xludf.DUMMYFUNCTION("""COMPUTED_VALUE"""),"安静")</f>
        <v>安静</v>
      </c>
      <c r="D454" s="13" t="str">
        <f ca="1">IFERROR(__xludf.DUMMYFUNCTION("""COMPUTED_VALUE"""),"&lt;ruby&gt;安静&lt;rt&gt;ānjìng&lt;/rt&gt;&lt;/ruby&gt;")</f>
        <v>&lt;ruby&gt;安静&lt;rt&gt;ānjìng&lt;/rt&gt;&lt;/ruby&gt;</v>
      </c>
      <c r="E454" s="13" t="str">
        <f ca="1">IFERROR(__xludf.DUMMYFUNCTION("""COMPUTED_VALUE"""),"ānjìng")</f>
        <v>ānjìng</v>
      </c>
      <c r="F454" s="13" t="str">
        <f ca="1">IFERROR(__xludf.DUMMYFUNCTION("""COMPUTED_VALUE"""),"Tính từ ")</f>
        <v xml:space="preserve">Tính từ </v>
      </c>
      <c r="G454" s="13" t="str">
        <f ca="1">IFERROR(__xludf.DUMMYFUNCTION("""COMPUTED_VALUE"""),"Yên tĩnh")</f>
        <v>Yên tĩnh</v>
      </c>
      <c r="H454" s="13" t="str">
        <f ca="1">IFERROR(__xludf.DUMMYFUNCTION("""COMPUTED_VALUE""")," 他生病了，需要一个安静的环境休息。")</f>
        <v xml:space="preserve"> 他生病了，需要一个安静的环境休息。</v>
      </c>
      <c r="I454" s="13" t="str">
        <f ca="1">IFERROR(__xludf.DUMMYFUNCTION("""COMPUTED_VALUE"""),"Tā shēngbìng le, xūyào yí ge ānjìng de huánjìng xiūxi.")</f>
        <v>Tā shēngbìng le, xūyào yí ge ānjìng de huánjìng xiūxi.</v>
      </c>
      <c r="J454" s="13" t="str">
        <f ca="1">IFERROR(__xludf.DUMMYFUNCTION("""COMPUTED_VALUE"""),"Anh ấy đang bị ốm, cần không gian yên tĩnh để nghỉ ngơi.")</f>
        <v>Anh ấy đang bị ốm, cần không gian yên tĩnh để nghỉ ngơi.</v>
      </c>
      <c r="K454" s="13" t="str">
        <f ca="1">IFERROR(__xludf.DUMMYFUNCTION("""COMPUTED_VALUE"""),"H3_B8_BG-03.gif")</f>
        <v>H3_B8_BG-03.gif</v>
      </c>
      <c r="L454" s="13" t="str">
        <f ca="1">IFERROR(__xludf.DUMMYFUNCTION("""COMPUTED_VALUE"""),"H3_B8_3.mp3")</f>
        <v>H3_B8_3.mp3</v>
      </c>
      <c r="M454" s="13" t="str">
        <f ca="1">IFERROR(__xludf.DUMMYFUNCTION("""COMPUTED_VALUE"""),"H3_B8_VD_3.mp3")</f>
        <v>H3_B8_VD_3.mp3</v>
      </c>
    </row>
    <row r="455" spans="1:13">
      <c r="A455" s="13">
        <f ca="1">IFERROR(__xludf.DUMMYFUNCTION("""COMPUTED_VALUE"""),4)</f>
        <v>4</v>
      </c>
      <c r="B455" s="13"/>
      <c r="C455" s="13" t="str">
        <f ca="1">IFERROR(__xludf.DUMMYFUNCTION("""COMPUTED_VALUE"""),"见面")</f>
        <v>见面</v>
      </c>
      <c r="D455" s="13" t="str">
        <f ca="1">IFERROR(__xludf.DUMMYFUNCTION("""COMPUTED_VALUE"""),"&lt;ruby&gt;见面&lt;rt&gt;jiànmiàn&lt;/rt&gt;&lt;/ruby&gt;")</f>
        <v>&lt;ruby&gt;见面&lt;rt&gt;jiànmiàn&lt;/rt&gt;&lt;/ruby&gt;</v>
      </c>
      <c r="E455" s="13" t="str">
        <f ca="1">IFERROR(__xludf.DUMMYFUNCTION("""COMPUTED_VALUE"""),"jiànmiàn")</f>
        <v>jiànmiàn</v>
      </c>
      <c r="F455" s="13" t="str">
        <f ca="1">IFERROR(__xludf.DUMMYFUNCTION("""COMPUTED_VALUE"""),"Động từ ")</f>
        <v xml:space="preserve">Động từ </v>
      </c>
      <c r="G455" s="13" t="str">
        <f ca="1">IFERROR(__xludf.DUMMYFUNCTION("""COMPUTED_VALUE"""),"Gặp mặt, gặp nhau ")</f>
        <v xml:space="preserve">Gặp mặt, gặp nhau </v>
      </c>
      <c r="H455" s="13" t="str">
        <f ca="1">IFERROR(__xludf.DUMMYFUNCTION("""COMPUTED_VALUE"""),"这是我们第一次见面。")</f>
        <v>这是我们第一次见面。</v>
      </c>
      <c r="I455" s="13" t="str">
        <f ca="1">IFERROR(__xludf.DUMMYFUNCTION("""COMPUTED_VALUE"""),"Zhè shì wǒmen dì yī cì jiànmiàn.")</f>
        <v>Zhè shì wǒmen dì yī cì jiànmiàn.</v>
      </c>
      <c r="J455" s="13" t="str">
        <f ca="1">IFERROR(__xludf.DUMMYFUNCTION("""COMPUTED_VALUE"""),"Đây là lần đầu chúng tôi gặp nhau.")</f>
        <v>Đây là lần đầu chúng tôi gặp nhau.</v>
      </c>
      <c r="K455" s="13" t="str">
        <f ca="1">IFERROR(__xludf.DUMMYFUNCTION("""COMPUTED_VALUE"""),"H3_B8_BG-04.gif")</f>
        <v>H3_B8_BG-04.gif</v>
      </c>
      <c r="L455" s="13" t="str">
        <f ca="1">IFERROR(__xludf.DUMMYFUNCTION("""COMPUTED_VALUE"""),"H3_B8_4.mp3")</f>
        <v>H3_B8_4.mp3</v>
      </c>
      <c r="M455" s="13" t="str">
        <f ca="1">IFERROR(__xludf.DUMMYFUNCTION("""COMPUTED_VALUE"""),"H3_B8_VD_4.mp3")</f>
        <v>H3_B8_VD_4.mp3</v>
      </c>
    </row>
    <row r="456" spans="1:13">
      <c r="A456" s="13">
        <f ca="1">IFERROR(__xludf.DUMMYFUNCTION("""COMPUTED_VALUE"""),5)</f>
        <v>5</v>
      </c>
      <c r="B456" s="13"/>
      <c r="C456" s="13" t="str">
        <f ca="1">IFERROR(__xludf.DUMMYFUNCTION("""COMPUTED_VALUE"""),"老")</f>
        <v>老</v>
      </c>
      <c r="D456" s="13" t="str">
        <f ca="1">IFERROR(__xludf.DUMMYFUNCTION("""COMPUTED_VALUE"""),"&lt;ruby&gt;老&lt;rt&gt;lǎo&lt;/rt&gt;&lt;/ruby&gt;")</f>
        <v>&lt;ruby&gt;老&lt;rt&gt;lǎo&lt;/rt&gt;&lt;/ruby&gt;</v>
      </c>
      <c r="E456" s="13" t="str">
        <f ca="1">IFERROR(__xludf.DUMMYFUNCTION("""COMPUTED_VALUE"""),"lǎo")</f>
        <v>lǎo</v>
      </c>
      <c r="F456" s="13" t="str">
        <f ca="1">IFERROR(__xludf.DUMMYFUNCTION("""COMPUTED_VALUE"""),"Tính từ ")</f>
        <v xml:space="preserve">Tính từ </v>
      </c>
      <c r="G456" s="13" t="str">
        <f ca="1">IFERROR(__xludf.DUMMYFUNCTION("""COMPUTED_VALUE"""),"Già")</f>
        <v>Già</v>
      </c>
      <c r="H456" s="13" t="str">
        <f ca="1">IFERROR(__xludf.DUMMYFUNCTION("""COMPUTED_VALUE"""),"他老了，身体也不像以前那么好了。")</f>
        <v>他老了，身体也不像以前那么好了。</v>
      </c>
      <c r="I456" s="13" t="str">
        <f ca="1">IFERROR(__xludf.DUMMYFUNCTION("""COMPUTED_VALUE"""),"Tā lǎo le, shēntǐ yě bù xiàng yǐqián nàme hǎo le.")</f>
        <v>Tā lǎo le, shēntǐ yě bù xiàng yǐqián nàme hǎo le.</v>
      </c>
      <c r="J456" s="13" t="str">
        <f ca="1">IFERROR(__xludf.DUMMYFUNCTION("""COMPUTED_VALUE"""),"Ông ấy già rồi nên sức khỏe cũng không tốt như trước.")</f>
        <v>Ông ấy già rồi nên sức khỏe cũng không tốt như trước.</v>
      </c>
      <c r="K456" s="13" t="str">
        <f ca="1">IFERROR(__xludf.DUMMYFUNCTION("""COMPUTED_VALUE"""),"H3_B8_BG-05.gif")</f>
        <v>H3_B8_BG-05.gif</v>
      </c>
      <c r="L456" s="13" t="str">
        <f ca="1">IFERROR(__xludf.DUMMYFUNCTION("""COMPUTED_VALUE"""),"H3_B8_5.mp3")</f>
        <v>H3_B8_5.mp3</v>
      </c>
      <c r="M456" s="13" t="str">
        <f ca="1">IFERROR(__xludf.DUMMYFUNCTION("""COMPUTED_VALUE"""),"H3_B8_VD_5.mp3")</f>
        <v>H3_B8_VD_5.mp3</v>
      </c>
    </row>
    <row r="457" spans="1:13">
      <c r="A457" s="13">
        <f ca="1">IFERROR(__xludf.DUMMYFUNCTION("""COMPUTED_VALUE"""),6)</f>
        <v>6</v>
      </c>
      <c r="B457" s="13"/>
      <c r="C457" s="13" t="str">
        <f ca="1">IFERROR(__xludf.DUMMYFUNCTION("""COMPUTED_VALUE"""),"几乎 ")</f>
        <v xml:space="preserve">几乎 </v>
      </c>
      <c r="D457" s="13" t="str">
        <f ca="1">IFERROR(__xludf.DUMMYFUNCTION("""COMPUTED_VALUE"""),"&lt;ruby&gt;几乎 &lt;rt&gt;jīhū&lt;/rt&gt;&lt;/ruby&gt;")</f>
        <v>&lt;ruby&gt;几乎 &lt;rt&gt;jīhū&lt;/rt&gt;&lt;/ruby&gt;</v>
      </c>
      <c r="E457" s="13" t="str">
        <f ca="1">IFERROR(__xludf.DUMMYFUNCTION("""COMPUTED_VALUE"""),"jīhū")</f>
        <v>jīhū</v>
      </c>
      <c r="F457" s="13" t="str">
        <f ca="1">IFERROR(__xludf.DUMMYFUNCTION("""COMPUTED_VALUE"""),"Phó từ ")</f>
        <v xml:space="preserve">Phó từ </v>
      </c>
      <c r="G457" s="13" t="str">
        <f ca="1">IFERROR(__xludf.DUMMYFUNCTION("""COMPUTED_VALUE"""),"Hầu như, gần như ")</f>
        <v xml:space="preserve">Hầu như, gần như </v>
      </c>
      <c r="H457" s="13" t="str">
        <f ca="1">IFERROR(__xludf.DUMMYFUNCTION("""COMPUTED_VALUE"""),"他几乎会做所有的中国菜。")</f>
        <v>他几乎会做所有的中国菜。</v>
      </c>
      <c r="I457" s="13" t="str">
        <f ca="1">IFERROR(__xludf.DUMMYFUNCTION("""COMPUTED_VALUE"""),"Tā jīhū huì zuò suǒyǒu de zhōngguó cài.")</f>
        <v>Tā jīhū huì zuò suǒyǒu de zhōngguó cài.</v>
      </c>
      <c r="J457" s="13" t="str">
        <f ca="1">IFERROR(__xludf.DUMMYFUNCTION("""COMPUTED_VALUE"""),"Anh ấy gần như biết nấu tất cả các món Trung.")</f>
        <v>Anh ấy gần như biết nấu tất cả các món Trung.</v>
      </c>
      <c r="K457" s="13" t="str">
        <f ca="1">IFERROR(__xludf.DUMMYFUNCTION("""COMPUTED_VALUE"""),"H3_B8_BG-06.gif")</f>
        <v>H3_B8_BG-06.gif</v>
      </c>
      <c r="L457" s="13" t="str">
        <f ca="1">IFERROR(__xludf.DUMMYFUNCTION("""COMPUTED_VALUE"""),"H3_B8_6.mp3")</f>
        <v>H3_B8_6.mp3</v>
      </c>
      <c r="M457" s="13" t="str">
        <f ca="1">IFERROR(__xludf.DUMMYFUNCTION("""COMPUTED_VALUE"""),"H3_B8_VD_6.mp3")</f>
        <v>H3_B8_VD_6.mp3</v>
      </c>
    </row>
    <row r="458" spans="1:13">
      <c r="A458" s="13">
        <f ca="1">IFERROR(__xludf.DUMMYFUNCTION("""COMPUTED_VALUE"""),7)</f>
        <v>7</v>
      </c>
      <c r="B458" s="13"/>
      <c r="C458" s="13" t="str">
        <f ca="1">IFERROR(__xludf.DUMMYFUNCTION("""COMPUTED_VALUE"""),"变化")</f>
        <v>变化</v>
      </c>
      <c r="D458" s="13" t="str">
        <f ca="1">IFERROR(__xludf.DUMMYFUNCTION("""COMPUTED_VALUE"""),"&lt;ruby&gt;变化&lt;rt&gt;biànhuà&lt;/rt&gt;&lt;/ruby&gt;")</f>
        <v>&lt;ruby&gt;变化&lt;rt&gt;biànhuà&lt;/rt&gt;&lt;/ruby&gt;</v>
      </c>
      <c r="E458" s="13" t="str">
        <f ca="1">IFERROR(__xludf.DUMMYFUNCTION("""COMPUTED_VALUE"""),"biànhuà")</f>
        <v>biànhuà</v>
      </c>
      <c r="F458" s="13" t="str">
        <f ca="1">IFERROR(__xludf.DUMMYFUNCTION("""COMPUTED_VALUE"""),"Động từ ")</f>
        <v xml:space="preserve">Động từ </v>
      </c>
      <c r="G458" s="13" t="str">
        <f ca="1">IFERROR(__xludf.DUMMYFUNCTION("""COMPUTED_VALUE"""),"Thay đổi")</f>
        <v>Thay đổi</v>
      </c>
      <c r="H458" s="13" t="str">
        <f ca="1">IFERROR(__xludf.DUMMYFUNCTION("""COMPUTED_VALUE"""),"才一个月，她变化很大，已经瘦了5公斤。")</f>
        <v>才一个月，她变化很大，已经瘦了5公斤。</v>
      </c>
      <c r="I458" s="13" t="str">
        <f ca="1">IFERROR(__xludf.DUMMYFUNCTION("""COMPUTED_VALUE"""),"Cái yí ge yuè, tā biànhuà hěn dà, yǐjīng shòu le wǔ gōngjīn.")</f>
        <v>Cái yí ge yuè, tā biànhuà hěn dà, yǐjīng shòu le wǔ gōngjīn.</v>
      </c>
      <c r="J458" s="13" t="str">
        <f ca="1">IFERROR(__xludf.DUMMYFUNCTION("""COMPUTED_VALUE"""),"Mới 1 tháng mà cô ấy thay đổi thật lớn, đã giảm được tận 5kg rồi.")</f>
        <v>Mới 1 tháng mà cô ấy thay đổi thật lớn, đã giảm được tận 5kg rồi.</v>
      </c>
      <c r="K458" s="13" t="str">
        <f ca="1">IFERROR(__xludf.DUMMYFUNCTION("""COMPUTED_VALUE"""),"H3_B8_BG-07.gif")</f>
        <v>H3_B8_BG-07.gif</v>
      </c>
      <c r="L458" s="13" t="str">
        <f ca="1">IFERROR(__xludf.DUMMYFUNCTION("""COMPUTED_VALUE"""),"H3_B8_7.mp3")</f>
        <v>H3_B8_7.mp3</v>
      </c>
      <c r="M458" s="13" t="str">
        <f ca="1">IFERROR(__xludf.DUMMYFUNCTION("""COMPUTED_VALUE"""),"H3_B8_VD_7.mp3")</f>
        <v>H3_B8_VD_7.mp3</v>
      </c>
    </row>
    <row r="459" spans="1:13">
      <c r="A459" s="13">
        <f ca="1">IFERROR(__xludf.DUMMYFUNCTION("""COMPUTED_VALUE"""),8)</f>
        <v>8</v>
      </c>
      <c r="B459" s="13"/>
      <c r="C459" s="13" t="str">
        <f ca="1">IFERROR(__xludf.DUMMYFUNCTION("""COMPUTED_VALUE"""),"健康 ")</f>
        <v xml:space="preserve">健康 </v>
      </c>
      <c r="D459" s="13" t="str">
        <f ca="1">IFERROR(__xludf.DUMMYFUNCTION("""COMPUTED_VALUE"""),"&lt;ruby&gt;健康 &lt;rt&gt;jiànkāng&lt;/rt&gt;&lt;/ruby&gt;")</f>
        <v>&lt;ruby&gt;健康 &lt;rt&gt;jiànkāng&lt;/rt&gt;&lt;/ruby&gt;</v>
      </c>
      <c r="E459" s="13" t="str">
        <f ca="1">IFERROR(__xludf.DUMMYFUNCTION("""COMPUTED_VALUE"""),"jiànkāng")</f>
        <v>jiànkāng</v>
      </c>
      <c r="F459" s="13" t="str">
        <f ca="1">IFERROR(__xludf.DUMMYFUNCTION("""COMPUTED_VALUE"""),"Tính từ ")</f>
        <v xml:space="preserve">Tính từ </v>
      </c>
      <c r="G459" s="13" t="str">
        <f ca="1">IFERROR(__xludf.DUMMYFUNCTION("""COMPUTED_VALUE"""),"Sức khỏe")</f>
        <v>Sức khỏe</v>
      </c>
      <c r="H459" s="13" t="str">
        <f ca="1">IFERROR(__xludf.DUMMYFUNCTION("""COMPUTED_VALUE"""),"医生提醒大家要注意健康。")</f>
        <v>医生提醒大家要注意健康。</v>
      </c>
      <c r="I459" s="13" t="str">
        <f ca="1">IFERROR(__xludf.DUMMYFUNCTION("""COMPUTED_VALUE"""),"Yīshēng tíxǐng dàjiā yào zhùyì jiànkāng.")</f>
        <v>Yīshēng tíxǐng dàjiā yào zhùyì jiànkāng.</v>
      </c>
      <c r="J459" s="13" t="str">
        <f ca="1">IFERROR(__xludf.DUMMYFUNCTION("""COMPUTED_VALUE"""),"Bác sĩ nhắc nhở mọi người nên giữ gìn sức khỏe.")</f>
        <v>Bác sĩ nhắc nhở mọi người nên giữ gìn sức khỏe.</v>
      </c>
      <c r="K459" s="13" t="str">
        <f ca="1">IFERROR(__xludf.DUMMYFUNCTION("""COMPUTED_VALUE"""),"H3_B8_BG-08.gif")</f>
        <v>H3_B8_BG-08.gif</v>
      </c>
      <c r="L459" s="13" t="str">
        <f ca="1">IFERROR(__xludf.DUMMYFUNCTION("""COMPUTED_VALUE"""),"H3_B8_8.mp3")</f>
        <v>H3_B8_8.mp3</v>
      </c>
      <c r="M459" s="13" t="str">
        <f ca="1">IFERROR(__xludf.DUMMYFUNCTION("""COMPUTED_VALUE"""),"H3_B8_VD_8.mp3")</f>
        <v>H3_B8_VD_8.mp3</v>
      </c>
    </row>
    <row r="460" spans="1:13">
      <c r="A460" s="13">
        <f ca="1">IFERROR(__xludf.DUMMYFUNCTION("""COMPUTED_VALUE"""),9)</f>
        <v>9</v>
      </c>
      <c r="B460" s="13"/>
      <c r="C460" s="13" t="str">
        <f ca="1">IFERROR(__xludf.DUMMYFUNCTION("""COMPUTED_VALUE"""),"重要")</f>
        <v>重要</v>
      </c>
      <c r="D460" s="13" t="str">
        <f ca="1">IFERROR(__xludf.DUMMYFUNCTION("""COMPUTED_VALUE"""),"&lt;ruby&gt;重要&lt;rt&gt;zhòngyào&lt;/rt&gt;&lt;/ruby&gt;")</f>
        <v>&lt;ruby&gt;重要&lt;rt&gt;zhòngyào&lt;/rt&gt;&lt;/ruby&gt;</v>
      </c>
      <c r="E460" s="13" t="str">
        <f ca="1">IFERROR(__xludf.DUMMYFUNCTION("""COMPUTED_VALUE"""),"zhòngyào")</f>
        <v>zhòngyào</v>
      </c>
      <c r="F460" s="13" t="str">
        <f ca="1">IFERROR(__xludf.DUMMYFUNCTION("""COMPUTED_VALUE"""),"Tính từ ")</f>
        <v xml:space="preserve">Tính từ </v>
      </c>
      <c r="G460" s="13" t="str">
        <f ca="1">IFERROR(__xludf.DUMMYFUNCTION("""COMPUTED_VALUE"""),"Quan trọng")</f>
        <v>Quan trọng</v>
      </c>
      <c r="H460" s="13" t="str">
        <f ca="1">IFERROR(__xludf.DUMMYFUNCTION("""COMPUTED_VALUE"""),"最重要的是多喝热水，这样感冒才能快点好。")</f>
        <v>最重要的是多喝热水，这样感冒才能快点好。</v>
      </c>
      <c r="I460" s="13" t="str">
        <f ca="1">IFERROR(__xludf.DUMMYFUNCTION("""COMPUTED_VALUE"""),"Zuì zhòngyào de shì duō hē rèshuǐ, zhèyàng gǎnmào cáinéng kuài diǎn hǎo.")</f>
        <v>Zuì zhòngyào de shì duō hē rèshuǐ, zhèyàng gǎnmào cáinéng kuài diǎn hǎo.</v>
      </c>
      <c r="J460" s="13" t="str">
        <f ca="1">IFERROR(__xludf.DUMMYFUNCTION("""COMPUTED_VALUE"""),"Điều quan trọng nhất để khỏi ốm nhanh là uống thật nhiều nước nóng.")</f>
        <v>Điều quan trọng nhất để khỏi ốm nhanh là uống thật nhiều nước nóng.</v>
      </c>
      <c r="K460" s="13" t="str">
        <f ca="1">IFERROR(__xludf.DUMMYFUNCTION("""COMPUTED_VALUE"""),"H3_B8_BG-09.gif")</f>
        <v>H3_B8_BG-09.gif</v>
      </c>
      <c r="L460" s="13" t="str">
        <f ca="1">IFERROR(__xludf.DUMMYFUNCTION("""COMPUTED_VALUE"""),"H3_B8_9.mp3")</f>
        <v>H3_B8_9.mp3</v>
      </c>
      <c r="M460" s="13" t="str">
        <f ca="1">IFERROR(__xludf.DUMMYFUNCTION("""COMPUTED_VALUE"""),"H3_B8_VD_9.mp3")</f>
        <v>H3_B8_VD_9.mp3</v>
      </c>
    </row>
    <row r="461" spans="1:13">
      <c r="A461" s="13">
        <f ca="1">IFERROR(__xludf.DUMMYFUNCTION("""COMPUTED_VALUE"""),10)</f>
        <v>10</v>
      </c>
      <c r="B461" s="13"/>
      <c r="C461" s="13" t="str">
        <f ca="1">IFERROR(__xludf.DUMMYFUNCTION("""COMPUTED_VALUE"""),"电梯 ")</f>
        <v xml:space="preserve">电梯 </v>
      </c>
      <c r="D461" s="13" t="str">
        <f ca="1">IFERROR(__xludf.DUMMYFUNCTION("""COMPUTED_VALUE"""),"&lt;ruby&gt;电梯 &lt;rt&gt;diàntī&lt;/rt&gt;&lt;/ruby&gt;")</f>
        <v>&lt;ruby&gt;电梯 &lt;rt&gt;diàntī&lt;/rt&gt;&lt;/ruby&gt;</v>
      </c>
      <c r="E461" s="13" t="str">
        <f ca="1">IFERROR(__xludf.DUMMYFUNCTION("""COMPUTED_VALUE"""),"diàntī")</f>
        <v>diàntī</v>
      </c>
      <c r="F461" s="13" t="str">
        <f ca="1">IFERROR(__xludf.DUMMYFUNCTION("""COMPUTED_VALUE"""),"Danh từ ")</f>
        <v xml:space="preserve">Danh từ </v>
      </c>
      <c r="G461" s="13" t="str">
        <f ca="1">IFERROR(__xludf.DUMMYFUNCTION("""COMPUTED_VALUE"""),"Thang máy")</f>
        <v>Thang máy</v>
      </c>
      <c r="H461" s="13" t="str">
        <f ca="1">IFERROR(__xludf.DUMMYFUNCTION("""COMPUTED_VALUE"""),"我家的电梯坏了，所以只能走楼梯。")</f>
        <v>我家的电梯坏了，所以只能走楼梯。</v>
      </c>
      <c r="I461" s="13" t="str">
        <f ca="1">IFERROR(__xludf.DUMMYFUNCTION("""COMPUTED_VALUE"""),"Wǒ jiā de diàntī huài le, suǒyǐ zhǐ néng zǒu lóutī.")</f>
        <v>Wǒ jiā de diàntī huài le, suǒyǐ zhǐ néng zǒu lóutī.</v>
      </c>
      <c r="J461" s="13" t="str">
        <f ca="1">IFERROR(__xludf.DUMMYFUNCTION("""COMPUTED_VALUE"""),"Thang máy nhà tôi bị hỏng nên phải đi thang bộ.")</f>
        <v>Thang máy nhà tôi bị hỏng nên phải đi thang bộ.</v>
      </c>
      <c r="K461" s="13" t="str">
        <f ca="1">IFERROR(__xludf.DUMMYFUNCTION("""COMPUTED_VALUE"""),"H3_B8_BG-10.gif")</f>
        <v>H3_B8_BG-10.gif</v>
      </c>
      <c r="L461" s="13" t="str">
        <f ca="1">IFERROR(__xludf.DUMMYFUNCTION("""COMPUTED_VALUE"""),"H3_B8_10.mp3")</f>
        <v>H3_B8_10.mp3</v>
      </c>
      <c r="M461" s="13" t="str">
        <f ca="1">IFERROR(__xludf.DUMMYFUNCTION("""COMPUTED_VALUE"""),"H3_B8_VD_10.mp3")</f>
        <v>H3_B8_VD_10.mp3</v>
      </c>
    </row>
    <row r="462" spans="1:13">
      <c r="A462" s="13">
        <f ca="1">IFERROR(__xludf.DUMMYFUNCTION("""COMPUTED_VALUE"""),11)</f>
        <v>11</v>
      </c>
      <c r="B462" s="13"/>
      <c r="C462" s="13" t="str">
        <f ca="1">IFERROR(__xludf.DUMMYFUNCTION("""COMPUTED_VALUE"""),"层")</f>
        <v>层</v>
      </c>
      <c r="D462" s="13" t="str">
        <f ca="1">IFERROR(__xludf.DUMMYFUNCTION("""COMPUTED_VALUE"""),"&lt;ruby&gt;层&lt;rt&gt;céng&lt;/rt&gt;&lt;/ruby&gt;")</f>
        <v>&lt;ruby&gt;层&lt;rt&gt;céng&lt;/rt&gt;&lt;/ruby&gt;</v>
      </c>
      <c r="E462" s="13" t="str">
        <f ca="1">IFERROR(__xludf.DUMMYFUNCTION("""COMPUTED_VALUE"""),"céng")</f>
        <v>céng</v>
      </c>
      <c r="F462" s="13" t="str">
        <f ca="1">IFERROR(__xludf.DUMMYFUNCTION("""COMPUTED_VALUE"""),"Lượng từ ")</f>
        <v xml:space="preserve">Lượng từ </v>
      </c>
      <c r="G462" s="13" t="str">
        <f ca="1">IFERROR(__xludf.DUMMYFUNCTION("""COMPUTED_VALUE"""),"Tầng")</f>
        <v>Tầng</v>
      </c>
      <c r="H462" s="13" t="str">
        <f ca="1">IFERROR(__xludf.DUMMYFUNCTION("""COMPUTED_VALUE"""),"我住的楼有20层。")</f>
        <v>我住的楼有20层。</v>
      </c>
      <c r="I462" s="13" t="str">
        <f ca="1">IFERROR(__xludf.DUMMYFUNCTION("""COMPUTED_VALUE"""),"Wǒ zhù de lóu yǒu èrshí céng.")</f>
        <v>Wǒ zhù de lóu yǒu èrshí céng.</v>
      </c>
      <c r="J462" s="13" t="str">
        <f ca="1">IFERROR(__xludf.DUMMYFUNCTION("""COMPUTED_VALUE"""),"Tòa nhà nơi tôi ở có 20 tầng.")</f>
        <v>Tòa nhà nơi tôi ở có 20 tầng.</v>
      </c>
      <c r="K462" s="13" t="str">
        <f ca="1">IFERROR(__xludf.DUMMYFUNCTION("""COMPUTED_VALUE"""),"H3_B8_BG-11.gif")</f>
        <v>H3_B8_BG-11.gif</v>
      </c>
      <c r="L462" s="13" t="str">
        <f ca="1">IFERROR(__xludf.DUMMYFUNCTION("""COMPUTED_VALUE"""),"H3_B8_11.mp3")</f>
        <v>H3_B8_11.mp3</v>
      </c>
      <c r="M462" s="13" t="str">
        <f ca="1">IFERROR(__xludf.DUMMYFUNCTION("""COMPUTED_VALUE"""),"H3_B8_VD_11.mp3")</f>
        <v>H3_B8_VD_11.mp3</v>
      </c>
    </row>
    <row r="463" spans="1:13">
      <c r="A463" s="13">
        <f ca="1">IFERROR(__xludf.DUMMYFUNCTION("""COMPUTED_VALUE"""),12)</f>
        <v>12</v>
      </c>
      <c r="B463" s="13"/>
      <c r="C463" s="13" t="str">
        <f ca="1">IFERROR(__xludf.DUMMYFUNCTION("""COMPUTED_VALUE"""),"熊猫")</f>
        <v>熊猫</v>
      </c>
      <c r="D463" s="13" t="str">
        <f ca="1">IFERROR(__xludf.DUMMYFUNCTION("""COMPUTED_VALUE"""),"&lt;ruby&gt;熊猫&lt;rt&gt;xióngmāo&lt;/rt&gt;&lt;/ruby&gt;")</f>
        <v>&lt;ruby&gt;熊猫&lt;rt&gt;xióngmāo&lt;/rt&gt;&lt;/ruby&gt;</v>
      </c>
      <c r="E463" s="13" t="str">
        <f ca="1">IFERROR(__xludf.DUMMYFUNCTION("""COMPUTED_VALUE"""),"xióngmāo")</f>
        <v>xióngmāo</v>
      </c>
      <c r="F463" s="13" t="str">
        <f ca="1">IFERROR(__xludf.DUMMYFUNCTION("""COMPUTED_VALUE"""),"Danh từ ")</f>
        <v xml:space="preserve">Danh từ </v>
      </c>
      <c r="G463" s="13" t="str">
        <f ca="1">IFERROR(__xludf.DUMMYFUNCTION("""COMPUTED_VALUE"""),"Gấu trúc")</f>
        <v>Gấu trúc</v>
      </c>
      <c r="H463" s="13" t="str">
        <f ca="1">IFERROR(__xludf.DUMMYFUNCTION("""COMPUTED_VALUE"""),"我非常喜欢熊猫。")</f>
        <v>我非常喜欢熊猫。</v>
      </c>
      <c r="I463" s="13" t="str">
        <f ca="1">IFERROR(__xludf.DUMMYFUNCTION("""COMPUTED_VALUE"""),"Wǒ fēicháng xǐhuan xióngmāo.")</f>
        <v>Wǒ fēicháng xǐhuan xióngmāo.</v>
      </c>
      <c r="J463" s="13" t="str">
        <f ca="1">IFERROR(__xludf.DUMMYFUNCTION("""COMPUTED_VALUE"""),"Tôi rất thích gấu trúc.")</f>
        <v>Tôi rất thích gấu trúc.</v>
      </c>
      <c r="K463" s="13" t="str">
        <f ca="1">IFERROR(__xludf.DUMMYFUNCTION("""COMPUTED_VALUE"""),"H3_B8_BG-12.gif")</f>
        <v>H3_B8_BG-12.gif</v>
      </c>
      <c r="L463" s="13" t="str">
        <f ca="1">IFERROR(__xludf.DUMMYFUNCTION("""COMPUTED_VALUE"""),"H3_B8_12.mp3")</f>
        <v>H3_B8_12.mp3</v>
      </c>
      <c r="M463" s="13" t="str">
        <f ca="1">IFERROR(__xludf.DUMMYFUNCTION("""COMPUTED_VALUE"""),"H3_B8_VD_12.mp3")</f>
        <v>H3_B8_VD_12.mp3</v>
      </c>
    </row>
    <row r="464" spans="1:13">
      <c r="A464" s="13">
        <f ca="1">IFERROR(__xludf.DUMMYFUNCTION("""COMPUTED_VALUE"""),13)</f>
        <v>13</v>
      </c>
      <c r="B464" s="13"/>
      <c r="C464" s="13" t="str">
        <f ca="1">IFERROR(__xludf.DUMMYFUNCTION("""COMPUTED_VALUE"""),"可乐 ")</f>
        <v xml:space="preserve">可乐 </v>
      </c>
      <c r="D464" s="13" t="str">
        <f ca="1">IFERROR(__xludf.DUMMYFUNCTION("""COMPUTED_VALUE"""),"&lt;ruby&gt;可乐 &lt;rt&gt;kělè&lt;/rt&gt;&lt;/ruby&gt;")</f>
        <v>&lt;ruby&gt;可乐 &lt;rt&gt;kělè&lt;/rt&gt;&lt;/ruby&gt;</v>
      </c>
      <c r="E464" s="13" t="str">
        <f ca="1">IFERROR(__xludf.DUMMYFUNCTION("""COMPUTED_VALUE"""),"kělè")</f>
        <v>kělè</v>
      </c>
      <c r="F464" s="13" t="str">
        <f ca="1">IFERROR(__xludf.DUMMYFUNCTION("""COMPUTED_VALUE"""),"Danh từ ")</f>
        <v xml:space="preserve">Danh từ </v>
      </c>
      <c r="G464" s="13" t="str">
        <f ca="1">IFERROR(__xludf.DUMMYFUNCTION("""COMPUTED_VALUE"""),"Nước ngọt có ga (cola)")</f>
        <v>Nước ngọt có ga (cola)</v>
      </c>
      <c r="H464" s="13" t="str">
        <f ca="1">IFERROR(__xludf.DUMMYFUNCTION("""COMPUTED_VALUE"""),"我最喜欢喝的饮料是可乐。")</f>
        <v>我最喜欢喝的饮料是可乐。</v>
      </c>
      <c r="I464" s="13" t="str">
        <f ca="1">IFERROR(__xludf.DUMMYFUNCTION("""COMPUTED_VALUE"""),"Wǒ zuì xǐhuan hē de yǐnliào shì kělè.")</f>
        <v>Wǒ zuì xǐhuan hē de yǐnliào shì kělè.</v>
      </c>
      <c r="J464" s="13" t="str">
        <f ca="1">IFERROR(__xludf.DUMMYFUNCTION("""COMPUTED_VALUE"""),"Đồ uống mà tôi thích nhất là coca.")</f>
        <v>Đồ uống mà tôi thích nhất là coca.</v>
      </c>
      <c r="K464" s="13" t="str">
        <f ca="1">IFERROR(__xludf.DUMMYFUNCTION("""COMPUTED_VALUE"""),"H3_B8_BG-13.gif")</f>
        <v>H3_B8_BG-13.gif</v>
      </c>
      <c r="L464" s="13" t="str">
        <f ca="1">IFERROR(__xludf.DUMMYFUNCTION("""COMPUTED_VALUE"""),"H3_B8_13.mp3")</f>
        <v>H3_B8_13.mp3</v>
      </c>
      <c r="M464" s="13" t="str">
        <f ca="1">IFERROR(__xludf.DUMMYFUNCTION("""COMPUTED_VALUE"""),"H3_B8_VD_13.mp3")</f>
        <v>H3_B8_VD_13.mp3</v>
      </c>
    </row>
    <row r="465" spans="1:13">
      <c r="A465" s="13">
        <f ca="1">IFERROR(__xludf.DUMMYFUNCTION("""COMPUTED_VALUE"""),14)</f>
        <v>14</v>
      </c>
      <c r="B465" s="13"/>
      <c r="C465" s="13" t="str">
        <f ca="1">IFERROR(__xludf.DUMMYFUNCTION("""COMPUTED_VALUE"""),"一会儿 ")</f>
        <v xml:space="preserve">一会儿 </v>
      </c>
      <c r="D465" s="13" t="str">
        <f ca="1">IFERROR(__xludf.DUMMYFUNCTION("""COMPUTED_VALUE"""),"&lt;ruby&gt;一会儿 &lt;rt&gt;yíhuìr&lt;/rt&gt;&lt;/ruby&gt;")</f>
        <v>&lt;ruby&gt;一会儿 &lt;rt&gt;yíhuìr&lt;/rt&gt;&lt;/ruby&gt;</v>
      </c>
      <c r="E465" s="13" t="str">
        <f ca="1">IFERROR(__xludf.DUMMYFUNCTION("""COMPUTED_VALUE"""),"yíhuìr")</f>
        <v>yíhuìr</v>
      </c>
      <c r="F465" s="13" t="str">
        <f ca="1">IFERROR(__xludf.DUMMYFUNCTION("""COMPUTED_VALUE"""),"Danh từ ")</f>
        <v xml:space="preserve">Danh từ </v>
      </c>
      <c r="G465" s="13" t="str">
        <f ca="1">IFERROR(__xludf.DUMMYFUNCTION("""COMPUTED_VALUE"""),"Một lát, chốc lát ")</f>
        <v xml:space="preserve">Một lát, chốc lát </v>
      </c>
      <c r="H465" s="13" t="str">
        <f ca="1">IFERROR(__xludf.DUMMYFUNCTION("""COMPUTED_VALUE"""),"爸爸让我再等一会儿，他就带我去公园。")</f>
        <v>爸爸让我再等一会儿，他就带我去公园。</v>
      </c>
      <c r="I465" s="13" t="str">
        <f ca="1">IFERROR(__xludf.DUMMYFUNCTION("""COMPUTED_VALUE"""),"Bàba ràng wǒ zài děng yí huìr, tā jiù dài wǒ qù gōngyuán.")</f>
        <v>Bàba ràng wǒ zài děng yí huìr, tā jiù dài wǒ qù gōngyuán.</v>
      </c>
      <c r="J465" s="13" t="str">
        <f ca="1">IFERROR(__xludf.DUMMYFUNCTION("""COMPUTED_VALUE"""),"Bố tôi bảo tôi đợi một lát nữa rồi ông ấy sẽ đưa tôi đi công viên.")</f>
        <v>Bố tôi bảo tôi đợi một lát nữa rồi ông ấy sẽ đưa tôi đi công viên.</v>
      </c>
      <c r="K465" s="13" t="str">
        <f ca="1">IFERROR(__xludf.DUMMYFUNCTION("""COMPUTED_VALUE"""),"H3_B8_BG-14.gif")</f>
        <v>H3_B8_BG-14.gif</v>
      </c>
      <c r="L465" s="13" t="str">
        <f ca="1">IFERROR(__xludf.DUMMYFUNCTION("""COMPUTED_VALUE"""),"H3_B8_14.mp3")</f>
        <v>H3_B8_14.mp3</v>
      </c>
      <c r="M465" s="13" t="str">
        <f ca="1">IFERROR(__xludf.DUMMYFUNCTION("""COMPUTED_VALUE"""),"H3_B8_VD_14.mp3")</f>
        <v>H3_B8_VD_14.mp3</v>
      </c>
    </row>
    <row r="466" spans="1:13">
      <c r="A466" s="13">
        <f ca="1">IFERROR(__xludf.DUMMYFUNCTION("""COMPUTED_VALUE"""),15)</f>
        <v>15</v>
      </c>
      <c r="B466" s="13"/>
      <c r="C466" s="13" t="str">
        <f ca="1">IFERROR(__xludf.DUMMYFUNCTION("""COMPUTED_VALUE"""),"马上")</f>
        <v>马上</v>
      </c>
      <c r="D466" s="13" t="str">
        <f ca="1">IFERROR(__xludf.DUMMYFUNCTION("""COMPUTED_VALUE"""),"&lt;ruby&gt;马上&lt;rt&gt;mǎshàng&lt;/rt&gt;&lt;/ruby&gt;")</f>
        <v>&lt;ruby&gt;马上&lt;rt&gt;mǎshàng&lt;/rt&gt;&lt;/ruby&gt;</v>
      </c>
      <c r="E466" s="13" t="str">
        <f ca="1">IFERROR(__xludf.DUMMYFUNCTION("""COMPUTED_VALUE"""),"mǎshàng")</f>
        <v>mǎshàng</v>
      </c>
      <c r="F466" s="13" t="str">
        <f ca="1">IFERROR(__xludf.DUMMYFUNCTION("""COMPUTED_VALUE"""),"Phó từ ")</f>
        <v xml:space="preserve">Phó từ </v>
      </c>
      <c r="G466" s="13" t="str">
        <f ca="1">IFERROR(__xludf.DUMMYFUNCTION("""COMPUTED_VALUE"""),"Ngay lập tức, liền")</f>
        <v>Ngay lập tức, liền</v>
      </c>
      <c r="H466" s="13" t="str">
        <f ca="1">IFERROR(__xludf.DUMMYFUNCTION("""COMPUTED_VALUE"""),"我马上就起床。")</f>
        <v>我马上就起床。</v>
      </c>
      <c r="I466" s="13" t="str">
        <f ca="1">IFERROR(__xludf.DUMMYFUNCTION("""COMPUTED_VALUE"""),"Wǒ mǎshàng jiù qǐchuáng.")</f>
        <v>Wǒ mǎshàng jiù qǐchuáng.</v>
      </c>
      <c r="J466" s="13" t="str">
        <f ca="1">IFERROR(__xludf.DUMMYFUNCTION("""COMPUTED_VALUE"""),"Con dậy ngay lập tức đây.")</f>
        <v>Con dậy ngay lập tức đây.</v>
      </c>
      <c r="K466" s="13" t="str">
        <f ca="1">IFERROR(__xludf.DUMMYFUNCTION("""COMPUTED_VALUE"""),"H3_B8_BG-15.gif")</f>
        <v>H3_B8_BG-15.gif</v>
      </c>
      <c r="L466" s="13" t="str">
        <f ca="1">IFERROR(__xludf.DUMMYFUNCTION("""COMPUTED_VALUE"""),"H3_B8_15.mp3")</f>
        <v>H3_B8_15.mp3</v>
      </c>
      <c r="M466" s="13" t="str">
        <f ca="1">IFERROR(__xludf.DUMMYFUNCTION("""COMPUTED_VALUE"""),"H3_B8_VD_15.mp3")</f>
        <v>H3_B8_VD_15.mp3</v>
      </c>
    </row>
    <row r="467" spans="1:13">
      <c r="A467" s="13">
        <f ca="1">IFERROR(__xludf.DUMMYFUNCTION("""COMPUTED_VALUE"""),16)</f>
        <v>16</v>
      </c>
      <c r="B467" s="13"/>
      <c r="C467" s="13" t="str">
        <f ca="1">IFERROR(__xludf.DUMMYFUNCTION("""COMPUTED_VALUE"""),"洗手间")</f>
        <v>洗手间</v>
      </c>
      <c r="D467" s="13" t="str">
        <f ca="1">IFERROR(__xludf.DUMMYFUNCTION("""COMPUTED_VALUE"""),"&lt;ruby&gt;洗手间&lt;rt&gt;xǐshǒujiān&lt;/rt&gt;&lt;/ruby&gt;")</f>
        <v>&lt;ruby&gt;洗手间&lt;rt&gt;xǐshǒujiān&lt;/rt&gt;&lt;/ruby&gt;</v>
      </c>
      <c r="E467" s="13" t="str">
        <f ca="1">IFERROR(__xludf.DUMMYFUNCTION("""COMPUTED_VALUE"""),"xǐshǒujiān")</f>
        <v>xǐshǒujiān</v>
      </c>
      <c r="F467" s="13" t="str">
        <f ca="1">IFERROR(__xludf.DUMMYFUNCTION("""COMPUTED_VALUE"""),"Danh từ ")</f>
        <v xml:space="preserve">Danh từ </v>
      </c>
      <c r="G467" s="13" t="str">
        <f ca="1">IFERROR(__xludf.DUMMYFUNCTION("""COMPUTED_VALUE"""),"Nhà vệ sinh")</f>
        <v>Nhà vệ sinh</v>
      </c>
      <c r="H467" s="13" t="str">
        <f ca="1">IFERROR(__xludf.DUMMYFUNCTION("""COMPUTED_VALUE"""),"我想去洗手间。")</f>
        <v>我想去洗手间。</v>
      </c>
      <c r="I467" s="13" t="str">
        <f ca="1">IFERROR(__xludf.DUMMYFUNCTION("""COMPUTED_VALUE"""),"Wǒ xiǎng qù xǐshǒujiān.")</f>
        <v>Wǒ xiǎng qù xǐshǒujiān.</v>
      </c>
      <c r="J467" s="13" t="str">
        <f ca="1">IFERROR(__xludf.DUMMYFUNCTION("""COMPUTED_VALUE"""),"Tôi muốn đi nhà vệ sinh.")</f>
        <v>Tôi muốn đi nhà vệ sinh.</v>
      </c>
      <c r="K467" s="13" t="str">
        <f ca="1">IFERROR(__xludf.DUMMYFUNCTION("""COMPUTED_VALUE"""),"H3_B8_BG-16.gif")</f>
        <v>H3_B8_BG-16.gif</v>
      </c>
      <c r="L467" s="13" t="str">
        <f ca="1">IFERROR(__xludf.DUMMYFUNCTION("""COMPUTED_VALUE"""),"H3_B8_16.mp3")</f>
        <v>H3_B8_16.mp3</v>
      </c>
      <c r="M467" s="13" t="str">
        <f ca="1">IFERROR(__xludf.DUMMYFUNCTION("""COMPUTED_VALUE"""),"H3_B8_VD_16.mp3")</f>
        <v>H3_B8_VD_16.mp3</v>
      </c>
    </row>
    <row r="468" spans="1:13">
      <c r="A468" s="13">
        <f ca="1">IFERROR(__xludf.DUMMYFUNCTION("""COMPUTED_VALUE"""),17)</f>
        <v>17</v>
      </c>
      <c r="B468" s="13"/>
      <c r="C468" s="13" t="str">
        <f ca="1">IFERROR(__xludf.DUMMYFUNCTION("""COMPUTED_VALUE"""),"又")</f>
        <v>又</v>
      </c>
      <c r="D468" s="13" t="str">
        <f ca="1">IFERROR(__xludf.DUMMYFUNCTION("""COMPUTED_VALUE"""),"&lt;ruby&gt;又&lt;rt&gt;yòu&lt;/rt&gt;&lt;/ruby&gt;")</f>
        <v>&lt;ruby&gt;又&lt;rt&gt;yòu&lt;/rt&gt;&lt;/ruby&gt;</v>
      </c>
      <c r="E468" s="13" t="str">
        <f ca="1">IFERROR(__xludf.DUMMYFUNCTION("""COMPUTED_VALUE"""),"yòu")</f>
        <v>yòu</v>
      </c>
      <c r="F468" s="13" t="str">
        <f ca="1">IFERROR(__xludf.DUMMYFUNCTION("""COMPUTED_VALUE"""),"Phó từ ")</f>
        <v xml:space="preserve">Phó từ </v>
      </c>
      <c r="G468" s="13" t="str">
        <f ca="1">IFERROR(__xludf.DUMMYFUNCTION("""COMPUTED_VALUE"""),"Lại")</f>
        <v>Lại</v>
      </c>
      <c r="H468" s="13" t="str">
        <f ca="1">IFERROR(__xludf.DUMMYFUNCTION("""COMPUTED_VALUE"""),"她又不会做这道题了。")</f>
        <v>她又不会做这道题了。</v>
      </c>
      <c r="I468" s="13" t="str">
        <f ca="1">IFERROR(__xludf.DUMMYFUNCTION("""COMPUTED_VALUE"""),"Tā yòu bú huì zuò zhè dào tí le.")</f>
        <v>Tā yòu bú huì zuò zhè dào tí le.</v>
      </c>
      <c r="J468" s="13" t="str">
        <f ca="1">IFERROR(__xludf.DUMMYFUNCTION("""COMPUTED_VALUE"""),"Cô ấy lại không biết làm bài này.")</f>
        <v>Cô ấy lại không biết làm bài này.</v>
      </c>
      <c r="K468" s="13" t="str">
        <f ca="1">IFERROR(__xludf.DUMMYFUNCTION("""COMPUTED_VALUE"""),"H3_B8_BG-17.gif")</f>
        <v>H3_B8_BG-17.gif</v>
      </c>
      <c r="L468" s="13" t="str">
        <f ca="1">IFERROR(__xludf.DUMMYFUNCTION("""COMPUTED_VALUE"""),"H3_B8_17.mp3")</f>
        <v>H3_B8_17.mp3</v>
      </c>
      <c r="M468" s="13" t="str">
        <f ca="1">IFERROR(__xludf.DUMMYFUNCTION("""COMPUTED_VALUE"""),"H3_B8_VD_17.mp3")</f>
        <v>H3_B8_VD_17.mp3</v>
      </c>
    </row>
    <row r="469" spans="1:13">
      <c r="A469" s="13">
        <f ca="1">IFERROR(__xludf.DUMMYFUNCTION("""COMPUTED_VALUE"""),1)</f>
        <v>1</v>
      </c>
      <c r="B469" s="13"/>
      <c r="C469" s="13" t="str">
        <f ca="1">IFERROR(__xludf.DUMMYFUNCTION("""COMPUTED_VALUE"""),"中文")</f>
        <v>中文</v>
      </c>
      <c r="D469" s="13" t="str">
        <f ca="1">IFERROR(__xludf.DUMMYFUNCTION("""COMPUTED_VALUE"""),"&lt;ruby&gt;中文&lt;rt&gt;zhōng wén&lt;/rt&gt;&lt;/ruby&gt;")</f>
        <v>&lt;ruby&gt;中文&lt;rt&gt;zhōng wén&lt;/rt&gt;&lt;/ruby&gt;</v>
      </c>
      <c r="E469" s="13" t="str">
        <f ca="1">IFERROR(__xludf.DUMMYFUNCTION("""COMPUTED_VALUE"""),"zhōng wén")</f>
        <v>zhōng wén</v>
      </c>
      <c r="F469" s="13" t="str">
        <f ca="1">IFERROR(__xludf.DUMMYFUNCTION("""COMPUTED_VALUE"""),"Danh từ")</f>
        <v>Danh từ</v>
      </c>
      <c r="G469" s="13" t="str">
        <f ca="1">IFERROR(__xludf.DUMMYFUNCTION("""COMPUTED_VALUE"""),"Tiếng Trung Quốc")</f>
        <v>Tiếng Trung Quốc</v>
      </c>
      <c r="H469" s="13" t="str">
        <f ca="1">IFERROR(__xludf.DUMMYFUNCTION("""COMPUTED_VALUE"""),"我最近在学习中文。")</f>
        <v>我最近在学习中文。</v>
      </c>
      <c r="I469" s="13" t="str">
        <f ca="1">IFERROR(__xludf.DUMMYFUNCTION("""COMPUTED_VALUE"""),"Wǒ zuìjìn zài xuéxí zhōngwén.")</f>
        <v>Wǒ zuìjìn zài xuéxí zhōngwén.</v>
      </c>
      <c r="J469" s="13" t="str">
        <f ca="1">IFERROR(__xludf.DUMMYFUNCTION("""COMPUTED_VALUE"""),"Gần đây tôi đang học tiếng Trung Quốc.")</f>
        <v>Gần đây tôi đang học tiếng Trung Quốc.</v>
      </c>
      <c r="K469" s="13" t="str">
        <f ca="1">IFERROR(__xludf.DUMMYFUNCTION("""COMPUTED_VALUE"""),"H3_B9_BG-01.gif")</f>
        <v>H3_B9_BG-01.gif</v>
      </c>
      <c r="L469" s="13" t="str">
        <f ca="1">IFERROR(__xludf.DUMMYFUNCTION("""COMPUTED_VALUE"""),"H3_B9_1.mp3")</f>
        <v>H3_B9_1.mp3</v>
      </c>
      <c r="M469" s="13" t="str">
        <f ca="1">IFERROR(__xludf.DUMMYFUNCTION("""COMPUTED_VALUE"""),"H3_B9_VD_1.mp3")</f>
        <v>H3_B9_VD_1.mp3</v>
      </c>
    </row>
    <row r="470" spans="1:13">
      <c r="A470" s="13">
        <f ca="1">IFERROR(__xludf.DUMMYFUNCTION("""COMPUTED_VALUE"""),2)</f>
        <v>2</v>
      </c>
      <c r="B470" s="13"/>
      <c r="C470" s="13" t="str">
        <f ca="1">IFERROR(__xludf.DUMMYFUNCTION("""COMPUTED_VALUE"""),"班")</f>
        <v>班</v>
      </c>
      <c r="D470" s="13" t="str">
        <f ca="1">IFERROR(__xludf.DUMMYFUNCTION("""COMPUTED_VALUE"""),"&lt;ruby&gt;班&lt;rt&gt;bān&lt;/rt&gt;&lt;/ruby&gt;")</f>
        <v>&lt;ruby&gt;班&lt;rt&gt;bān&lt;/rt&gt;&lt;/ruby&gt;</v>
      </c>
      <c r="E470" s="13" t="str">
        <f ca="1">IFERROR(__xludf.DUMMYFUNCTION("""COMPUTED_VALUE"""),"bān")</f>
        <v>bān</v>
      </c>
      <c r="F470" s="13" t="str">
        <f ca="1">IFERROR(__xludf.DUMMYFUNCTION("""COMPUTED_VALUE"""),"Danh từ")</f>
        <v>Danh từ</v>
      </c>
      <c r="G470" s="13" t="str">
        <f ca="1">IFERROR(__xludf.DUMMYFUNCTION("""COMPUTED_VALUE"""),"Lớp ")</f>
        <v xml:space="preserve">Lớp </v>
      </c>
      <c r="H470" s="13" t="str">
        <f ca="1">IFERROR(__xludf.DUMMYFUNCTION("""COMPUTED_VALUE"""),"我们班有10个人。")</f>
        <v>我们班有10个人。</v>
      </c>
      <c r="I470" s="13" t="str">
        <f ca="1">IFERROR(__xludf.DUMMYFUNCTION("""COMPUTED_VALUE"""),"Wǒmen bān yǒu shí ge rén.")</f>
        <v>Wǒmen bān yǒu shí ge rén.</v>
      </c>
      <c r="J470" s="13" t="str">
        <f ca="1">IFERROR(__xludf.DUMMYFUNCTION("""COMPUTED_VALUE"""),"Lớp chúng tôi có 10 người.")</f>
        <v>Lớp chúng tôi có 10 người.</v>
      </c>
      <c r="K470" s="13" t="str">
        <f ca="1">IFERROR(__xludf.DUMMYFUNCTION("""COMPUTED_VALUE"""),"H3_B9_BG-02.gif")</f>
        <v>H3_B9_BG-02.gif</v>
      </c>
      <c r="L470" s="13" t="str">
        <f ca="1">IFERROR(__xludf.DUMMYFUNCTION("""COMPUTED_VALUE"""),"H3_B9_2.mp3")</f>
        <v>H3_B9_2.mp3</v>
      </c>
      <c r="M470" s="13" t="str">
        <f ca="1">IFERROR(__xludf.DUMMYFUNCTION("""COMPUTED_VALUE"""),"H3_B9_VD_2.mp3")</f>
        <v>H3_B9_VD_2.mp3</v>
      </c>
    </row>
    <row r="471" spans="1:13">
      <c r="A471" s="13">
        <f ca="1">IFERROR(__xludf.DUMMYFUNCTION("""COMPUTED_VALUE"""),3)</f>
        <v>3</v>
      </c>
      <c r="B471" s="13"/>
      <c r="C471" s="13" t="str">
        <f ca="1">IFERROR(__xludf.DUMMYFUNCTION("""COMPUTED_VALUE"""),"一样")</f>
        <v>一样</v>
      </c>
      <c r="D471" s="13" t="str">
        <f ca="1">IFERROR(__xludf.DUMMYFUNCTION("""COMPUTED_VALUE"""),"&lt;ruby&gt;一样&lt;rt&gt;yí yàng&lt;/rt&gt;&lt;/ruby&gt;")</f>
        <v>&lt;ruby&gt;一样&lt;rt&gt;yí yàng&lt;/rt&gt;&lt;/ruby&gt;</v>
      </c>
      <c r="E471" s="13" t="str">
        <f ca="1">IFERROR(__xludf.DUMMYFUNCTION("""COMPUTED_VALUE"""),"yí yàng")</f>
        <v>yí yàng</v>
      </c>
      <c r="F471" s="13" t="str">
        <f ca="1">IFERROR(__xludf.DUMMYFUNCTION("""COMPUTED_VALUE"""),"Tính từ")</f>
        <v>Tính từ</v>
      </c>
      <c r="G471" s="13" t="str">
        <f ca="1">IFERROR(__xludf.DUMMYFUNCTION("""COMPUTED_VALUE"""),"Giống nhau, như nhau ")</f>
        <v xml:space="preserve">Giống nhau, như nhau </v>
      </c>
      <c r="H471" s="13" t="str">
        <f ca="1">IFERROR(__xludf.DUMMYFUNCTION("""COMPUTED_VALUE"""),"你的手链和我的一模一样。")</f>
        <v>你的手链和我的一模一样。</v>
      </c>
      <c r="I471" s="13" t="str">
        <f ca="1">IFERROR(__xludf.DUMMYFUNCTION("""COMPUTED_VALUE"""),"Nǐ de shǒuliàn hé wǒ de yímó yíyàng.")</f>
        <v>Nǐ de shǒuliàn hé wǒ de yímó yíyàng.</v>
      </c>
      <c r="J471" s="13" t="str">
        <f ca="1">IFERROR(__xludf.DUMMYFUNCTION("""COMPUTED_VALUE"""),"Cái vòng của bạn giống y hệt của tôi.")</f>
        <v>Cái vòng của bạn giống y hệt của tôi.</v>
      </c>
      <c r="K471" s="13" t="str">
        <f ca="1">IFERROR(__xludf.DUMMYFUNCTION("""COMPUTED_VALUE"""),"H3_B9_BG-03.gif")</f>
        <v>H3_B9_BG-03.gif</v>
      </c>
      <c r="L471" s="13" t="str">
        <f ca="1">IFERROR(__xludf.DUMMYFUNCTION("""COMPUTED_VALUE"""),"H3_B9_3.mp3")</f>
        <v>H3_B9_3.mp3</v>
      </c>
      <c r="M471" s="13" t="str">
        <f ca="1">IFERROR(__xludf.DUMMYFUNCTION("""COMPUTED_VALUE"""),"H3_B9_VD_3.mp3")</f>
        <v>H3_B9_VD_3.mp3</v>
      </c>
    </row>
    <row r="472" spans="1:13">
      <c r="A472" s="13">
        <f ca="1">IFERROR(__xludf.DUMMYFUNCTION("""COMPUTED_VALUE"""),4)</f>
        <v>4</v>
      </c>
      <c r="B472" s="13"/>
      <c r="C472" s="13" t="str">
        <f ca="1">IFERROR(__xludf.DUMMYFUNCTION("""COMPUTED_VALUE"""),"最后")</f>
        <v>最后</v>
      </c>
      <c r="D472" s="13" t="str">
        <f ca="1">IFERROR(__xludf.DUMMYFUNCTION("""COMPUTED_VALUE"""),"&lt;ruby&gt;最后&lt;rt&gt;zuì hòu&lt;/rt&gt;&lt;/ruby&gt;")</f>
        <v>&lt;ruby&gt;最后&lt;rt&gt;zuì hòu&lt;/rt&gt;&lt;/ruby&gt;</v>
      </c>
      <c r="E472" s="13" t="str">
        <f ca="1">IFERROR(__xludf.DUMMYFUNCTION("""COMPUTED_VALUE"""),"zuì hòu")</f>
        <v>zuì hòu</v>
      </c>
      <c r="F472" s="13" t="str">
        <f ca="1">IFERROR(__xludf.DUMMYFUNCTION("""COMPUTED_VALUE"""),"Danh từ ")</f>
        <v xml:space="preserve">Danh từ </v>
      </c>
      <c r="G472" s="13" t="str">
        <f ca="1">IFERROR(__xludf.DUMMYFUNCTION("""COMPUTED_VALUE"""),"Cuối cùng")</f>
        <v>Cuối cùng</v>
      </c>
      <c r="H472" s="13" t="str">
        <f ca="1">IFERROR(__xludf.DUMMYFUNCTION("""COMPUTED_VALUE"""),"最后，他终于顺利毕业了！")</f>
        <v>最后，他终于顺利毕业了！</v>
      </c>
      <c r="I472" s="13" t="str">
        <f ca="1">IFERROR(__xludf.DUMMYFUNCTION("""COMPUTED_VALUE"""),"Zuìhòu, tā zhōngyú shùnlì bìyè le!")</f>
        <v>Zuìhòu, tā zhōngyú shùnlì bìyè le!</v>
      </c>
      <c r="J472" s="13" t="str">
        <f ca="1">IFERROR(__xludf.DUMMYFUNCTION("""COMPUTED_VALUE"""),"Cuối cùng, anh ấy đã thuận lợi tốt nghiệp!")</f>
        <v>Cuối cùng, anh ấy đã thuận lợi tốt nghiệp!</v>
      </c>
      <c r="K472" s="13" t="str">
        <f ca="1">IFERROR(__xludf.DUMMYFUNCTION("""COMPUTED_VALUE"""),"H3_B9_BG-04.gif")</f>
        <v>H3_B9_BG-04.gif</v>
      </c>
      <c r="L472" s="13" t="str">
        <f ca="1">IFERROR(__xludf.DUMMYFUNCTION("""COMPUTED_VALUE"""),"H3_B9_4.mp3")</f>
        <v>H3_B9_4.mp3</v>
      </c>
      <c r="M472" s="13" t="str">
        <f ca="1">IFERROR(__xludf.DUMMYFUNCTION("""COMPUTED_VALUE"""),"H3_B9_VD_4.mp3")</f>
        <v>H3_B9_VD_4.mp3</v>
      </c>
    </row>
    <row r="473" spans="1:13">
      <c r="A473" s="13">
        <f ca="1">IFERROR(__xludf.DUMMYFUNCTION("""COMPUTED_VALUE"""),5)</f>
        <v>5</v>
      </c>
      <c r="B473" s="13"/>
      <c r="C473" s="13" t="str">
        <f ca="1">IFERROR(__xludf.DUMMYFUNCTION("""COMPUTED_VALUE"""),"放心")</f>
        <v>放心</v>
      </c>
      <c r="D473" s="13" t="str">
        <f ca="1">IFERROR(__xludf.DUMMYFUNCTION("""COMPUTED_VALUE"""),"&lt;ruby&gt;放心&lt;rt&gt;fàngxīn&lt;/rt&gt;&lt;/ruby&gt;")</f>
        <v>&lt;ruby&gt;放心&lt;rt&gt;fàngxīn&lt;/rt&gt;&lt;/ruby&gt;</v>
      </c>
      <c r="E473" s="13" t="str">
        <f ca="1">IFERROR(__xludf.DUMMYFUNCTION("""COMPUTED_VALUE"""),"fàngxīn")</f>
        <v>fàngxīn</v>
      </c>
      <c r="F473" s="13" t="str">
        <f ca="1">IFERROR(__xludf.DUMMYFUNCTION("""COMPUTED_VALUE"""),"Động từ ")</f>
        <v xml:space="preserve">Động từ </v>
      </c>
      <c r="G473" s="13" t="str">
        <f ca="1">IFERROR(__xludf.DUMMYFUNCTION("""COMPUTED_VALUE"""),"Yên tâm ")</f>
        <v xml:space="preserve">Yên tâm </v>
      </c>
      <c r="H473" s="13" t="str">
        <f ca="1">IFERROR(__xludf.DUMMYFUNCTION("""COMPUTED_VALUE"""),"听了儿子的讲述，妈妈也放心了。")</f>
        <v>听了儿子的讲述，妈妈也放心了。</v>
      </c>
      <c r="I473" s="13" t="str">
        <f ca="1">IFERROR(__xludf.DUMMYFUNCTION("""COMPUTED_VALUE"""),"Tīng le érzi de jiǎngshù, māma yě fàngxīn le.")</f>
        <v>Tīng le érzi de jiǎngshù, māma yě fàngxīn le.</v>
      </c>
      <c r="J473" s="13" t="str">
        <f ca="1">IFERROR(__xludf.DUMMYFUNCTION("""COMPUTED_VALUE"""),"Nghe con trai kể, người mẹ cũng yên tâm.")</f>
        <v>Nghe con trai kể, người mẹ cũng yên tâm.</v>
      </c>
      <c r="K473" s="13" t="str">
        <f ca="1">IFERROR(__xludf.DUMMYFUNCTION("""COMPUTED_VALUE"""),"H3_B9_BG-05.gif")</f>
        <v>H3_B9_BG-05.gif</v>
      </c>
      <c r="L473" s="13" t="str">
        <f ca="1">IFERROR(__xludf.DUMMYFUNCTION("""COMPUTED_VALUE"""),"H3_B9_5.mp3")</f>
        <v>H3_B9_5.mp3</v>
      </c>
      <c r="M473" s="13" t="str">
        <f ca="1">IFERROR(__xludf.DUMMYFUNCTION("""COMPUTED_VALUE"""),"H3_B9_VD_5.mp3")</f>
        <v>H3_B9_VD_5.mp3</v>
      </c>
    </row>
    <row r="474" spans="1:13">
      <c r="A474" s="13">
        <f ca="1">IFERROR(__xludf.DUMMYFUNCTION("""COMPUTED_VALUE"""),6)</f>
        <v>6</v>
      </c>
      <c r="B474" s="13"/>
      <c r="C474" s="13" t="str">
        <f ca="1">IFERROR(__xludf.DUMMYFUNCTION("""COMPUTED_VALUE"""),"一定")</f>
        <v>一定</v>
      </c>
      <c r="D474" s="13" t="str">
        <f ca="1">IFERROR(__xludf.DUMMYFUNCTION("""COMPUTED_VALUE"""),"&lt;ruby&gt;一定&lt;rt&gt;yí dìng&lt;/rt&gt;&lt;/ruby&gt;")</f>
        <v>&lt;ruby&gt;一定&lt;rt&gt;yí dìng&lt;/rt&gt;&lt;/ruby&gt;</v>
      </c>
      <c r="E474" s="13" t="str">
        <f ca="1">IFERROR(__xludf.DUMMYFUNCTION("""COMPUTED_VALUE"""),"yí dìng")</f>
        <v>yí dìng</v>
      </c>
      <c r="F474" s="13" t="str">
        <f ca="1">IFERROR(__xludf.DUMMYFUNCTION("""COMPUTED_VALUE"""),"Phó từ")</f>
        <v>Phó từ</v>
      </c>
      <c r="G474" s="13" t="str">
        <f ca="1">IFERROR(__xludf.DUMMYFUNCTION("""COMPUTED_VALUE"""),"Nhất định, chắc chắn ")</f>
        <v xml:space="preserve">Nhất định, chắc chắn </v>
      </c>
      <c r="H474" s="13" t="str">
        <f ca="1">IFERROR(__xludf.DUMMYFUNCTION("""COMPUTED_VALUE"""),"我一定会努力学习的。")</f>
        <v>我一定会努力学习的。</v>
      </c>
      <c r="I474" s="13" t="str">
        <f ca="1">IFERROR(__xludf.DUMMYFUNCTION("""COMPUTED_VALUE"""),"Wǒ yídìng huì nǔlì xuéxí de.")</f>
        <v>Wǒ yídìng huì nǔlì xuéxí de.</v>
      </c>
      <c r="J474" s="13" t="str">
        <f ca="1">IFERROR(__xludf.DUMMYFUNCTION("""COMPUTED_VALUE"""),"Tôi nhất định sẽ học hành chăm chỉ.")</f>
        <v>Tôi nhất định sẽ học hành chăm chỉ.</v>
      </c>
      <c r="K474" s="13" t="str">
        <f ca="1">IFERROR(__xludf.DUMMYFUNCTION("""COMPUTED_VALUE"""),"H3_B9_BG-06.gif")</f>
        <v>H3_B9_BG-06.gif</v>
      </c>
      <c r="L474" s="13" t="str">
        <f ca="1">IFERROR(__xludf.DUMMYFUNCTION("""COMPUTED_VALUE"""),"H3_B9_6.mp3")</f>
        <v>H3_B9_6.mp3</v>
      </c>
      <c r="M474" s="13" t="str">
        <f ca="1">IFERROR(__xludf.DUMMYFUNCTION("""COMPUTED_VALUE"""),"H3_B9_VD_6.mp3")</f>
        <v>H3_B9_VD_6.mp3</v>
      </c>
    </row>
    <row r="475" spans="1:13">
      <c r="A475" s="13">
        <f ca="1">IFERROR(__xludf.DUMMYFUNCTION("""COMPUTED_VALUE"""),7)</f>
        <v>7</v>
      </c>
      <c r="B475" s="13"/>
      <c r="C475" s="13" t="str">
        <f ca="1">IFERROR(__xludf.DUMMYFUNCTION("""COMPUTED_VALUE"""),"担心")</f>
        <v>担心</v>
      </c>
      <c r="D475" s="13" t="str">
        <f ca="1">IFERROR(__xludf.DUMMYFUNCTION("""COMPUTED_VALUE"""),"&lt;ruby&gt;担心&lt;rt&gt;dān xīn&lt;/rt&gt;&lt;/ruby&gt;")</f>
        <v>&lt;ruby&gt;担心&lt;rt&gt;dān xīn&lt;/rt&gt;&lt;/ruby&gt;</v>
      </c>
      <c r="E475" s="13" t="str">
        <f ca="1">IFERROR(__xludf.DUMMYFUNCTION("""COMPUTED_VALUE"""),"dān xīn")</f>
        <v>dān xīn</v>
      </c>
      <c r="F475" s="13" t="str">
        <f ca="1">IFERROR(__xludf.DUMMYFUNCTION("""COMPUTED_VALUE"""),"Động từ")</f>
        <v>Động từ</v>
      </c>
      <c r="G475" s="13" t="str">
        <f ca="1">IFERROR(__xludf.DUMMYFUNCTION("""COMPUTED_VALUE"""),"Lo lắng")</f>
        <v>Lo lắng</v>
      </c>
      <c r="H475" s="13" t="str">
        <f ca="1">IFERROR(__xludf.DUMMYFUNCTION("""COMPUTED_VALUE"""),"她担心自己掉了很多头发。")</f>
        <v>她担心自己掉了很多头发。</v>
      </c>
      <c r="I475" s="13" t="str">
        <f ca="1">IFERROR(__xludf.DUMMYFUNCTION("""COMPUTED_VALUE"""),"Tā dānxīn zìjǐ diào le hěn duō tóufa.")</f>
        <v>Tā dānxīn zìjǐ diào le hěn duō tóufa.</v>
      </c>
      <c r="J475" s="13" t="str">
        <f ca="1">IFERROR(__xludf.DUMMYFUNCTION("""COMPUTED_VALUE"""),"Cô ấy lo lắng vì đã rụng rất nhiều tóc.")</f>
        <v>Cô ấy lo lắng vì đã rụng rất nhiều tóc.</v>
      </c>
      <c r="K475" s="13" t="str">
        <f ca="1">IFERROR(__xludf.DUMMYFUNCTION("""COMPUTED_VALUE"""),"H3_B9_BG-07.gif")</f>
        <v>H3_B9_BG-07.gif</v>
      </c>
      <c r="L475" s="13" t="str">
        <f ca="1">IFERROR(__xludf.DUMMYFUNCTION("""COMPUTED_VALUE"""),"H3_B9_7.mp3")</f>
        <v>H3_B9_7.mp3</v>
      </c>
      <c r="M475" s="13" t="str">
        <f ca="1">IFERROR(__xludf.DUMMYFUNCTION("""COMPUTED_VALUE"""),"H3_B9_VD_7.mp3")</f>
        <v>H3_B9_VD_7.mp3</v>
      </c>
    </row>
    <row r="476" spans="1:13">
      <c r="A476" s="13">
        <f ca="1">IFERROR(__xludf.DUMMYFUNCTION("""COMPUTED_VALUE"""),8)</f>
        <v>8</v>
      </c>
      <c r="B476" s="13"/>
      <c r="C476" s="13" t="str">
        <f ca="1">IFERROR(__xludf.DUMMYFUNCTION("""COMPUTED_VALUE"""),"比较")</f>
        <v>比较</v>
      </c>
      <c r="D476" s="13" t="str">
        <f ca="1">IFERROR(__xludf.DUMMYFUNCTION("""COMPUTED_VALUE"""),"&lt;ruby&gt;比较&lt;rt&gt;bǐ jiào&lt;/rt&gt;&lt;/ruby&gt;")</f>
        <v>&lt;ruby&gt;比较&lt;rt&gt;bǐ jiào&lt;/rt&gt;&lt;/ruby&gt;</v>
      </c>
      <c r="E476" s="13" t="str">
        <f ca="1">IFERROR(__xludf.DUMMYFUNCTION("""COMPUTED_VALUE"""),"bǐ jiào")</f>
        <v>bǐ jiào</v>
      </c>
      <c r="F476" s="13" t="str">
        <f ca="1">IFERROR(__xludf.DUMMYFUNCTION("""COMPUTED_VALUE"""),"Phó từ")</f>
        <v>Phó từ</v>
      </c>
      <c r="G476" s="13" t="str">
        <f ca="1">IFERROR(__xludf.DUMMYFUNCTION("""COMPUTED_VALUE"""),"Tương đối, khá ")</f>
        <v xml:space="preserve">Tương đối, khá </v>
      </c>
      <c r="H476" s="13" t="str">
        <f ca="1">IFERROR(__xludf.DUMMYFUNCTION("""COMPUTED_VALUE""")," 她跑得比较慢。")</f>
        <v xml:space="preserve"> 她跑得比较慢。</v>
      </c>
      <c r="I476" s="13" t="str">
        <f ca="1">IFERROR(__xludf.DUMMYFUNCTION("""COMPUTED_VALUE"""),"Tā pǎo de bǐjiào màn.")</f>
        <v>Tā pǎo de bǐjiào màn.</v>
      </c>
      <c r="J476" s="13" t="str">
        <f ca="1">IFERROR(__xludf.DUMMYFUNCTION("""COMPUTED_VALUE"""),"Cô ấy chạy khá chậm.")</f>
        <v>Cô ấy chạy khá chậm.</v>
      </c>
      <c r="K476" s="13" t="str">
        <f ca="1">IFERROR(__xludf.DUMMYFUNCTION("""COMPUTED_VALUE"""),"H3_B9_BG-08.gif")</f>
        <v>H3_B9_BG-08.gif</v>
      </c>
      <c r="L476" s="13" t="str">
        <f ca="1">IFERROR(__xludf.DUMMYFUNCTION("""COMPUTED_VALUE"""),"H3_B9_8.mp3")</f>
        <v>H3_B9_8.mp3</v>
      </c>
      <c r="M476" s="13" t="str">
        <f ca="1">IFERROR(__xludf.DUMMYFUNCTION("""COMPUTED_VALUE"""),"H3_B9_VD_8.mp3")</f>
        <v>H3_B9_VD_8.mp3</v>
      </c>
    </row>
    <row r="477" spans="1:13">
      <c r="A477" s="13">
        <f ca="1">IFERROR(__xludf.DUMMYFUNCTION("""COMPUTED_VALUE"""),9)</f>
        <v>9</v>
      </c>
      <c r="B477" s="13"/>
      <c r="C477" s="13" t="str">
        <f ca="1">IFERROR(__xludf.DUMMYFUNCTION("""COMPUTED_VALUE"""),"了解")</f>
        <v>了解</v>
      </c>
      <c r="D477" s="13" t="str">
        <f ca="1">IFERROR(__xludf.DUMMYFUNCTION("""COMPUTED_VALUE"""),"&lt;ruby&gt;了解&lt;rt&gt;liǎojiě&lt;/rt&gt;&lt;/ruby&gt;")</f>
        <v>&lt;ruby&gt;了解&lt;rt&gt;liǎojiě&lt;/rt&gt;&lt;/ruby&gt;</v>
      </c>
      <c r="E477" s="13" t="str">
        <f ca="1">IFERROR(__xludf.DUMMYFUNCTION("""COMPUTED_VALUE"""),"liǎojiě")</f>
        <v>liǎojiě</v>
      </c>
      <c r="F477" s="13" t="str">
        <f ca="1">IFERROR(__xludf.DUMMYFUNCTION("""COMPUTED_VALUE"""),"Động từ")</f>
        <v>Động từ</v>
      </c>
      <c r="G477" s="13" t="str">
        <f ca="1">IFERROR(__xludf.DUMMYFUNCTION("""COMPUTED_VALUE"""),"Hiểu, tìm hiểu")</f>
        <v>Hiểu, tìm hiểu</v>
      </c>
      <c r="H477" s="13" t="str">
        <f ca="1">IFERROR(__xludf.DUMMYFUNCTION("""COMPUTED_VALUE"""),"对这方面，我了解得很清楚。")</f>
        <v>对这方面，我了解得很清楚。</v>
      </c>
      <c r="I477" s="13" t="str">
        <f ca="1">IFERROR(__xludf.DUMMYFUNCTION("""COMPUTED_VALUE"""),"Duì zhè fāngmiàn, wǒ liǎojiě de hěn qīngchǔ.")</f>
        <v>Duì zhè fāngmiàn, wǒ liǎojiě de hěn qīngchǔ.</v>
      </c>
      <c r="J477" s="13" t="str">
        <f ca="1">IFERROR(__xludf.DUMMYFUNCTION("""COMPUTED_VALUE"""),"Về phương diện này, tôi hiểu rất rõ.")</f>
        <v>Về phương diện này, tôi hiểu rất rõ.</v>
      </c>
      <c r="K477" s="13" t="str">
        <f ca="1">IFERROR(__xludf.DUMMYFUNCTION("""COMPUTED_VALUE"""),"H3_B9_BG-09.gif")</f>
        <v>H3_B9_BG-09.gif</v>
      </c>
      <c r="L477" s="13" t="str">
        <f ca="1">IFERROR(__xludf.DUMMYFUNCTION("""COMPUTED_VALUE"""),"H3_B9_9.mp3")</f>
        <v>H3_B9_9.mp3</v>
      </c>
      <c r="M477" s="13" t="str">
        <f ca="1">IFERROR(__xludf.DUMMYFUNCTION("""COMPUTED_VALUE"""),"H3_B9_VD_9.mp3")</f>
        <v>H3_B9_VD_9.mp3</v>
      </c>
    </row>
    <row r="478" spans="1:13">
      <c r="A478" s="13">
        <f ca="1">IFERROR(__xludf.DUMMYFUNCTION("""COMPUTED_VALUE"""),10)</f>
        <v>10</v>
      </c>
      <c r="B478" s="13"/>
      <c r="C478" s="13" t="str">
        <f ca="1">IFERROR(__xludf.DUMMYFUNCTION("""COMPUTED_VALUE"""),"先")</f>
        <v>先</v>
      </c>
      <c r="D478" s="13" t="str">
        <f ca="1">IFERROR(__xludf.DUMMYFUNCTION("""COMPUTED_VALUE"""),"&lt;ruby&gt;先&lt;rt&gt;xiān&lt;/rt&gt;&lt;/ruby&gt;")</f>
        <v>&lt;ruby&gt;先&lt;rt&gt;xiān&lt;/rt&gt;&lt;/ruby&gt;</v>
      </c>
      <c r="E478" s="13" t="str">
        <f ca="1">IFERROR(__xludf.DUMMYFUNCTION("""COMPUTED_VALUE"""),"xiān")</f>
        <v>xiān</v>
      </c>
      <c r="F478" s="13" t="str">
        <f ca="1">IFERROR(__xludf.DUMMYFUNCTION("""COMPUTED_VALUE"""),"Phó từ")</f>
        <v>Phó từ</v>
      </c>
      <c r="G478" s="13" t="str">
        <f ca="1">IFERROR(__xludf.DUMMYFUNCTION("""COMPUTED_VALUE"""),"Trước, trước hết ")</f>
        <v xml:space="preserve">Trước, trước hết </v>
      </c>
      <c r="H478" s="13" t="str">
        <f ca="1">IFERROR(__xludf.DUMMYFUNCTION("""COMPUTED_VALUE"""),"他已经先到达终点了。")</f>
        <v>他已经先到达终点了。</v>
      </c>
      <c r="I478" s="13" t="str">
        <f ca="1">IFERROR(__xludf.DUMMYFUNCTION("""COMPUTED_VALUE"""),"Tā yǐjīng xiān dàodá zhōngdiǎn le.")</f>
        <v>Tā yǐjīng xiān dàodá zhōngdiǎn le.</v>
      </c>
      <c r="J478" s="13" t="str">
        <f ca="1">IFERROR(__xludf.DUMMYFUNCTION("""COMPUTED_VALUE"""),"Anh ấy đã tới đích trước rồi.")</f>
        <v>Anh ấy đã tới đích trước rồi.</v>
      </c>
      <c r="K478" s="13" t="str">
        <f ca="1">IFERROR(__xludf.DUMMYFUNCTION("""COMPUTED_VALUE"""),"H3_B9_BG-10.gif")</f>
        <v>H3_B9_BG-10.gif</v>
      </c>
      <c r="L478" s="13" t="str">
        <f ca="1">IFERROR(__xludf.DUMMYFUNCTION("""COMPUTED_VALUE"""),"H3_B9_10.mp3")</f>
        <v>H3_B9_10.mp3</v>
      </c>
      <c r="M478" s="13" t="str">
        <f ca="1">IFERROR(__xludf.DUMMYFUNCTION("""COMPUTED_VALUE"""),"H3_B9_VD_10.mp3")</f>
        <v>H3_B9_VD_10.mp3</v>
      </c>
    </row>
    <row r="479" spans="1:13">
      <c r="A479" s="13">
        <f ca="1">IFERROR(__xludf.DUMMYFUNCTION("""COMPUTED_VALUE"""),11)</f>
        <v>11</v>
      </c>
      <c r="B479" s="13"/>
      <c r="C479" s="13" t="str">
        <f ca="1">IFERROR(__xludf.DUMMYFUNCTION("""COMPUTED_VALUE"""),"中间")</f>
        <v>中间</v>
      </c>
      <c r="D479" s="13" t="str">
        <f ca="1">IFERROR(__xludf.DUMMYFUNCTION("""COMPUTED_VALUE"""),"&lt;ruby&gt;中间&lt;rt&gt;zhōng jiān&lt;/rt&gt;&lt;/ruby&gt;")</f>
        <v>&lt;ruby&gt;中间&lt;rt&gt;zhōng jiān&lt;/rt&gt;&lt;/ruby&gt;</v>
      </c>
      <c r="E479" s="13" t="str">
        <f ca="1">IFERROR(__xludf.DUMMYFUNCTION("""COMPUTED_VALUE"""),"zhōng jiān")</f>
        <v>zhōng jiān</v>
      </c>
      <c r="F479" s="13" t="str">
        <f ca="1">IFERROR(__xludf.DUMMYFUNCTION("""COMPUTED_VALUE"""),"Danh từ")</f>
        <v>Danh từ</v>
      </c>
      <c r="G479" s="13" t="str">
        <f ca="1">IFERROR(__xludf.DUMMYFUNCTION("""COMPUTED_VALUE"""),"Giữa, chính giữa ")</f>
        <v xml:space="preserve">Giữa, chính giữa </v>
      </c>
      <c r="H479" s="13" t="str">
        <f ca="1">IFERROR(__xludf.DUMMYFUNCTION("""COMPUTED_VALUE"""),"中间是这场比赛的获胜者。")</f>
        <v>中间是这场比赛的获胜者。</v>
      </c>
      <c r="I479" s="13" t="str">
        <f ca="1">IFERROR(__xludf.DUMMYFUNCTION("""COMPUTED_VALUE"""),"Zhōngjiān shì zhè chǎng bǐsài de huòshèngzhě.")</f>
        <v>Zhōngjiān shì zhè chǎng bǐsài de huòshèngzhě.</v>
      </c>
      <c r="J479" s="13" t="str">
        <f ca="1">IFERROR(__xludf.DUMMYFUNCTION("""COMPUTED_VALUE"""),"Ở giữa là người thắng cuộc của trận đấu này.")</f>
        <v>Ở giữa là người thắng cuộc của trận đấu này.</v>
      </c>
      <c r="K479" s="13" t="str">
        <f ca="1">IFERROR(__xludf.DUMMYFUNCTION("""COMPUTED_VALUE"""),"H3_B9_BG-11.gif")</f>
        <v>H3_B9_BG-11.gif</v>
      </c>
      <c r="L479" s="13" t="str">
        <f ca="1">IFERROR(__xludf.DUMMYFUNCTION("""COMPUTED_VALUE"""),"H3_B9_11.mp3")</f>
        <v>H3_B9_11.mp3</v>
      </c>
      <c r="M479" s="13" t="str">
        <f ca="1">IFERROR(__xludf.DUMMYFUNCTION("""COMPUTED_VALUE"""),"H3_B9_VD_11.mp3")</f>
        <v>H3_B9_VD_11.mp3</v>
      </c>
    </row>
    <row r="480" spans="1:13">
      <c r="A480" s="13">
        <f ca="1">IFERROR(__xludf.DUMMYFUNCTION("""COMPUTED_VALUE"""),12)</f>
        <v>12</v>
      </c>
      <c r="B480" s="13"/>
      <c r="C480" s="13" t="str">
        <f ca="1">IFERROR(__xludf.DUMMYFUNCTION("""COMPUTED_VALUE"""),"参加")</f>
        <v>参加</v>
      </c>
      <c r="D480" s="13" t="str">
        <f ca="1">IFERROR(__xludf.DUMMYFUNCTION("""COMPUTED_VALUE"""),"&lt;ruby&gt;参加&lt;rt&gt;cān jiā&lt;/rt&gt;&lt;/ruby&gt;")</f>
        <v>&lt;ruby&gt;参加&lt;rt&gt;cān jiā&lt;/rt&gt;&lt;/ruby&gt;</v>
      </c>
      <c r="E480" s="13" t="str">
        <f ca="1">IFERROR(__xludf.DUMMYFUNCTION("""COMPUTED_VALUE"""),"cān jiā")</f>
        <v>cān jiā</v>
      </c>
      <c r="F480" s="13" t="str">
        <f ca="1">IFERROR(__xludf.DUMMYFUNCTION("""COMPUTED_VALUE"""),"Động từ")</f>
        <v>Động từ</v>
      </c>
      <c r="G480" s="13" t="str">
        <f ca="1">IFERROR(__xludf.DUMMYFUNCTION("""COMPUTED_VALUE"""),"Tham gia")</f>
        <v>Tham gia</v>
      </c>
      <c r="H480" s="13" t="str">
        <f ca="1">IFERROR(__xludf.DUMMYFUNCTION("""COMPUTED_VALUE"""),"我参加了回收塑料瓶的活动来保护环境。")</f>
        <v>我参加了回收塑料瓶的活动来保护环境。</v>
      </c>
      <c r="I480" s="13" t="str">
        <f ca="1">IFERROR(__xludf.DUMMYFUNCTION("""COMPUTED_VALUE"""),"Wǒ cānjiā le huíshōu sùliàopíng de huódòng lái bǎohù huánjìng.")</f>
        <v>Wǒ cānjiā le huíshōu sùliàopíng de huódòng lái bǎohù huánjìng.</v>
      </c>
      <c r="J480" s="13" t="str">
        <f ca="1">IFERROR(__xludf.DUMMYFUNCTION("""COMPUTED_VALUE"""),"Tôi tham gia hoạt động tái chế chai nhựa để bảo vệ môi trường.")</f>
        <v>Tôi tham gia hoạt động tái chế chai nhựa để bảo vệ môi trường.</v>
      </c>
      <c r="K480" s="13" t="str">
        <f ca="1">IFERROR(__xludf.DUMMYFUNCTION("""COMPUTED_VALUE"""),"H3_B9_BG-12.gif")</f>
        <v>H3_B9_BG-12.gif</v>
      </c>
      <c r="L480" s="13" t="str">
        <f ca="1">IFERROR(__xludf.DUMMYFUNCTION("""COMPUTED_VALUE"""),"H3_B9_12.mp3")</f>
        <v>H3_B9_12.mp3</v>
      </c>
      <c r="M480" s="13" t="str">
        <f ca="1">IFERROR(__xludf.DUMMYFUNCTION("""COMPUTED_VALUE"""),"H3_B9_VD_12.mp3")</f>
        <v>H3_B9_VD_12.mp3</v>
      </c>
    </row>
    <row r="481" spans="1:13">
      <c r="A481" s="13">
        <f ca="1">IFERROR(__xludf.DUMMYFUNCTION("""COMPUTED_VALUE"""),13)</f>
        <v>13</v>
      </c>
      <c r="B481" s="13"/>
      <c r="C481" s="13" t="str">
        <f ca="1">IFERROR(__xludf.DUMMYFUNCTION("""COMPUTED_VALUE"""),"影响")</f>
        <v>影响</v>
      </c>
      <c r="D481" s="13" t="str">
        <f ca="1">IFERROR(__xludf.DUMMYFUNCTION("""COMPUTED_VALUE"""),"&lt;ruby&gt;影响&lt;rt&gt;yǐng xiǎng&lt;/rt&gt;&lt;/ruby&gt;")</f>
        <v>&lt;ruby&gt;影响&lt;rt&gt;yǐng xiǎng&lt;/rt&gt;&lt;/ruby&gt;</v>
      </c>
      <c r="E481" s="13" t="str">
        <f ca="1">IFERROR(__xludf.DUMMYFUNCTION("""COMPUTED_VALUE"""),"yǐng xiǎng")</f>
        <v>yǐng xiǎng</v>
      </c>
      <c r="F481" s="13" t="str">
        <f ca="1">IFERROR(__xludf.DUMMYFUNCTION("""COMPUTED_VALUE"""),"Danh từ ")</f>
        <v xml:space="preserve">Danh từ </v>
      </c>
      <c r="G481" s="13" t="str">
        <f ca="1">IFERROR(__xludf.DUMMYFUNCTION("""COMPUTED_VALUE"""),"Ảnh hưởng")</f>
        <v>Ảnh hưởng</v>
      </c>
      <c r="H481" s="13" t="str">
        <f ca="1">IFERROR(__xludf.DUMMYFUNCTION("""COMPUTED_VALUE""")," 淋雨会影响健康。")</f>
        <v xml:space="preserve"> 淋雨会影响健康。</v>
      </c>
      <c r="I481" s="13" t="str">
        <f ca="1">IFERROR(__xludf.DUMMYFUNCTION("""COMPUTED_VALUE"""),"Lín yǔ huì yǐngxiǎng jiànkāng.")</f>
        <v>Lín yǔ huì yǐngxiǎng jiànkāng.</v>
      </c>
      <c r="J481" s="13" t="str">
        <f ca="1">IFERROR(__xludf.DUMMYFUNCTION("""COMPUTED_VALUE"""),"Ngấm mưa làm ảnh hưởng đến sức khỏe.")</f>
        <v>Ngấm mưa làm ảnh hưởng đến sức khỏe.</v>
      </c>
      <c r="K481" s="13" t="str">
        <f ca="1">IFERROR(__xludf.DUMMYFUNCTION("""COMPUTED_VALUE"""),"H3_B9_BG-13.gif")</f>
        <v>H3_B9_BG-13.gif</v>
      </c>
      <c r="L481" s="13" t="str">
        <f ca="1">IFERROR(__xludf.DUMMYFUNCTION("""COMPUTED_VALUE"""),"H3_B9_13.mp3")</f>
        <v>H3_B9_13.mp3</v>
      </c>
      <c r="M481" s="13" t="str">
        <f ca="1">IFERROR(__xludf.DUMMYFUNCTION("""COMPUTED_VALUE"""),"H3_B9_VD_13.mp3")</f>
        <v>H3_B9_VD_13.mp3</v>
      </c>
    </row>
    <row r="482" spans="1:13">
      <c r="A482" s="13">
        <f ca="1">IFERROR(__xludf.DUMMYFUNCTION("""COMPUTED_VALUE"""),1)</f>
        <v>1</v>
      </c>
      <c r="B482" s="13"/>
      <c r="C482" s="13" t="str">
        <f ca="1">IFERROR(__xludf.DUMMYFUNCTION("""COMPUTED_VALUE"""),"个子 ")</f>
        <v xml:space="preserve">个子 </v>
      </c>
      <c r="D482" s="13" t="str">
        <f ca="1">IFERROR(__xludf.DUMMYFUNCTION("""COMPUTED_VALUE"""),"&lt;ruby&gt;个子 &lt;rt&gt;gèzi&lt;/rt&gt;&lt;/ruby&gt;")</f>
        <v>&lt;ruby&gt;个子 &lt;rt&gt;gèzi&lt;/rt&gt;&lt;/ruby&gt;</v>
      </c>
      <c r="E482" s="13" t="str">
        <f ca="1">IFERROR(__xludf.DUMMYFUNCTION("""COMPUTED_VALUE"""),"gèzi")</f>
        <v>gèzi</v>
      </c>
      <c r="F482" s="13" t="str">
        <f ca="1">IFERROR(__xludf.DUMMYFUNCTION("""COMPUTED_VALUE"""),"Danh từ ")</f>
        <v xml:space="preserve">Danh từ </v>
      </c>
      <c r="G482" s="13" t="str">
        <f ca="1">IFERROR(__xludf.DUMMYFUNCTION("""COMPUTED_VALUE"""),"Dáng người, chiều cao")</f>
        <v>Dáng người, chiều cao</v>
      </c>
      <c r="H482" s="13" t="str">
        <f ca="1">IFERROR(__xludf.DUMMYFUNCTION("""COMPUTED_VALUE"""),"哥哥的个子很高。")</f>
        <v>哥哥的个子很高。</v>
      </c>
      <c r="I482" s="13" t="str">
        <f ca="1">IFERROR(__xludf.DUMMYFUNCTION("""COMPUTED_VALUE"""),"Gēge de gèzi hěn gāo.")</f>
        <v>Gēge de gèzi hěn gāo.</v>
      </c>
      <c r="J482" s="13" t="str">
        <f ca="1">IFERROR(__xludf.DUMMYFUNCTION("""COMPUTED_VALUE"""),"Dáng người của anh trai rất cao.")</f>
        <v>Dáng người của anh trai rất cao.</v>
      </c>
      <c r="K482" s="13" t="str">
        <f ca="1">IFERROR(__xludf.DUMMYFUNCTION("""COMPUTED_VALUE"""),"H3_B10_BG-01.gif")</f>
        <v>H3_B10_BG-01.gif</v>
      </c>
      <c r="L482" s="13" t="str">
        <f ca="1">IFERROR(__xludf.DUMMYFUNCTION("""COMPUTED_VALUE"""),"H3_B10_1.mp3")</f>
        <v>H3_B10_1.mp3</v>
      </c>
      <c r="M482" s="13" t="str">
        <f ca="1">IFERROR(__xludf.DUMMYFUNCTION("""COMPUTED_VALUE"""),"H3_B10_VD_1.mp3")</f>
        <v>H3_B10_VD_1.mp3</v>
      </c>
    </row>
    <row r="483" spans="1:13">
      <c r="A483" s="13">
        <f ca="1">IFERROR(__xludf.DUMMYFUNCTION("""COMPUTED_VALUE"""),2)</f>
        <v>2</v>
      </c>
      <c r="B483" s="13"/>
      <c r="C483" s="13" t="str">
        <f ca="1">IFERROR(__xludf.DUMMYFUNCTION("""COMPUTED_VALUE"""),"矮")</f>
        <v>矮</v>
      </c>
      <c r="D483" s="13" t="str">
        <f ca="1">IFERROR(__xludf.DUMMYFUNCTION("""COMPUTED_VALUE"""),"&lt;ruby&gt;矮&lt;rt&gt;ǎi&lt;/rt&gt;&lt;/ruby&gt;")</f>
        <v>&lt;ruby&gt;矮&lt;rt&gt;ǎi&lt;/rt&gt;&lt;/ruby&gt;</v>
      </c>
      <c r="E483" s="13" t="str">
        <f ca="1">IFERROR(__xludf.DUMMYFUNCTION("""COMPUTED_VALUE"""),"ǎi")</f>
        <v>ǎi</v>
      </c>
      <c r="F483" s="13" t="str">
        <f ca="1">IFERROR(__xludf.DUMMYFUNCTION("""COMPUTED_VALUE"""),"Tính từ ")</f>
        <v xml:space="preserve">Tính từ </v>
      </c>
      <c r="G483" s="13" t="str">
        <f ca="1">IFERROR(__xludf.DUMMYFUNCTION("""COMPUTED_VALUE"""),"Thấp, lùn")</f>
        <v>Thấp, lùn</v>
      </c>
      <c r="H483" s="13" t="str">
        <f ca="1">IFERROR(__xludf.DUMMYFUNCTION("""COMPUTED_VALUE"""),"他的个子很矮。")</f>
        <v>他的个子很矮。</v>
      </c>
      <c r="I483" s="13" t="str">
        <f ca="1">IFERROR(__xludf.DUMMYFUNCTION("""COMPUTED_VALUE"""),"Tā de gèzi hěn ǎi.")</f>
        <v>Tā de gèzi hěn ǎi.</v>
      </c>
      <c r="J483" s="13" t="str">
        <f ca="1">IFERROR(__xludf.DUMMYFUNCTION("""COMPUTED_VALUE"""),"Dáng người của anh ấy rất thấp.")</f>
        <v>Dáng người của anh ấy rất thấp.</v>
      </c>
      <c r="K483" s="13" t="str">
        <f ca="1">IFERROR(__xludf.DUMMYFUNCTION("""COMPUTED_VALUE"""),"H3_B10_BG-02.gif")</f>
        <v>H3_B10_BG-02.gif</v>
      </c>
      <c r="L483" s="13" t="str">
        <f ca="1">IFERROR(__xludf.DUMMYFUNCTION("""COMPUTED_VALUE"""),"H3_B10_2.mp3")</f>
        <v>H3_B10_2.mp3</v>
      </c>
      <c r="M483" s="13" t="str">
        <f ca="1">IFERROR(__xludf.DUMMYFUNCTION("""COMPUTED_VALUE"""),"H3_B10_VD_2.mp3")</f>
        <v>H3_B10_VD_2.mp3</v>
      </c>
    </row>
    <row r="484" spans="1:13">
      <c r="A484" s="13">
        <f ca="1">IFERROR(__xludf.DUMMYFUNCTION("""COMPUTED_VALUE"""),3)</f>
        <v>3</v>
      </c>
      <c r="B484" s="13"/>
      <c r="C484" s="13" t="str">
        <f ca="1">IFERROR(__xludf.DUMMYFUNCTION("""COMPUTED_VALUE"""),"方便 ")</f>
        <v xml:space="preserve">方便 </v>
      </c>
      <c r="D484" s="13" t="str">
        <f ca="1">IFERROR(__xludf.DUMMYFUNCTION("""COMPUTED_VALUE"""),"&lt;ruby&gt;方便 &lt;rt&gt;fāngbiàn&lt;/rt&gt;&lt;/ruby&gt;")</f>
        <v>&lt;ruby&gt;方便 &lt;rt&gt;fāngbiàn&lt;/rt&gt;&lt;/ruby&gt;</v>
      </c>
      <c r="E484" s="13" t="str">
        <f ca="1">IFERROR(__xludf.DUMMYFUNCTION("""COMPUTED_VALUE"""),"fāngbiàn")</f>
        <v>fāngbiàn</v>
      </c>
      <c r="F484" s="13" t="str">
        <f ca="1">IFERROR(__xludf.DUMMYFUNCTION("""COMPUTED_VALUE"""),"Tính từ ")</f>
        <v xml:space="preserve">Tính từ </v>
      </c>
      <c r="G484" s="13" t="str">
        <f ca="1">IFERROR(__xludf.DUMMYFUNCTION("""COMPUTED_VALUE"""),"Thuận tiện")</f>
        <v>Thuận tiện</v>
      </c>
      <c r="H484" s="13" t="str">
        <f ca="1">IFERROR(__xludf.DUMMYFUNCTION("""COMPUTED_VALUE"""),"坐公共汽车去学校非常方便。")</f>
        <v>坐公共汽车去学校非常方便。</v>
      </c>
      <c r="I484" s="13" t="str">
        <f ca="1">IFERROR(__xludf.DUMMYFUNCTION("""COMPUTED_VALUE"""),"Zuò gōnggòng qìchē qù xuéxiào fēicháng fāngbiàn.")</f>
        <v>Zuò gōnggòng qìchē qù xuéxiào fēicháng fāngbiàn.</v>
      </c>
      <c r="J484" s="13" t="str">
        <f ca="1">IFERROR(__xludf.DUMMYFUNCTION("""COMPUTED_VALUE"""),"Đến trường bằng xe buýt rất là thuận tiện.")</f>
        <v>Đến trường bằng xe buýt rất là thuận tiện.</v>
      </c>
      <c r="K484" s="13" t="str">
        <f ca="1">IFERROR(__xludf.DUMMYFUNCTION("""COMPUTED_VALUE"""),"H3_B10_BG-03.gif")</f>
        <v>H3_B10_BG-03.gif</v>
      </c>
      <c r="L484" s="13" t="str">
        <f ca="1">IFERROR(__xludf.DUMMYFUNCTION("""COMPUTED_VALUE"""),"H3_B10_3.mp3")</f>
        <v>H3_B10_3.mp3</v>
      </c>
      <c r="M484" s="13" t="str">
        <f ca="1">IFERROR(__xludf.DUMMYFUNCTION("""COMPUTED_VALUE"""),"H3_B10_VD_3.mp3")</f>
        <v>H3_B10_VD_3.mp3</v>
      </c>
    </row>
    <row r="485" spans="1:13">
      <c r="A485" s="13">
        <f ca="1">IFERROR(__xludf.DUMMYFUNCTION("""COMPUTED_VALUE"""),4)</f>
        <v>4</v>
      </c>
      <c r="B485" s="13"/>
      <c r="C485" s="13" t="str">
        <f ca="1">IFERROR(__xludf.DUMMYFUNCTION("""COMPUTED_VALUE"""),"自行车 ")</f>
        <v xml:space="preserve">自行车 </v>
      </c>
      <c r="D485" s="13" t="str">
        <f ca="1">IFERROR(__xludf.DUMMYFUNCTION("""COMPUTED_VALUE"""),"&lt;ruby&gt;自行车 &lt;rt&gt;zìxíngchē&lt;/rt&gt;&lt;/ruby&gt;")</f>
        <v>&lt;ruby&gt;自行车 &lt;rt&gt;zìxíngchē&lt;/rt&gt;&lt;/ruby&gt;</v>
      </c>
      <c r="E485" s="13" t="str">
        <f ca="1">IFERROR(__xludf.DUMMYFUNCTION("""COMPUTED_VALUE"""),"zìxíngchē")</f>
        <v>zìxíngchē</v>
      </c>
      <c r="F485" s="13" t="str">
        <f ca="1">IFERROR(__xludf.DUMMYFUNCTION("""COMPUTED_VALUE"""),"Danh từ ")</f>
        <v xml:space="preserve">Danh từ </v>
      </c>
      <c r="G485" s="13" t="str">
        <f ca="1">IFERROR(__xludf.DUMMYFUNCTION("""COMPUTED_VALUE"""),"Xe đạp")</f>
        <v>Xe đạp</v>
      </c>
      <c r="H485" s="13" t="str">
        <f ca="1">IFERROR(__xludf.DUMMYFUNCTION("""COMPUTED_VALUE"""),"他每天骑自行车上课。")</f>
        <v>他每天骑自行车上课。</v>
      </c>
      <c r="I485" s="13" t="str">
        <f ca="1">IFERROR(__xludf.DUMMYFUNCTION("""COMPUTED_VALUE"""),"Tā měitiān qí zìxíngchē shàngkè.")</f>
        <v>Tā měitiān qí zìxíngchē shàngkè.</v>
      </c>
      <c r="J485" s="13" t="str">
        <f ca="1">IFERROR(__xludf.DUMMYFUNCTION("""COMPUTED_VALUE"""),"Anh ấy đi học bằng xe đạp mỗi ngày.")</f>
        <v>Anh ấy đi học bằng xe đạp mỗi ngày.</v>
      </c>
      <c r="K485" s="13" t="str">
        <f ca="1">IFERROR(__xludf.DUMMYFUNCTION("""COMPUTED_VALUE"""),"H3_B10_BG-04.gif")</f>
        <v>H3_B10_BG-04.gif</v>
      </c>
      <c r="L485" s="13" t="str">
        <f ca="1">IFERROR(__xludf.DUMMYFUNCTION("""COMPUTED_VALUE"""),"H3_B10_4.mp3")</f>
        <v>H3_B10_4.mp3</v>
      </c>
      <c r="M485" s="13" t="str">
        <f ca="1">IFERROR(__xludf.DUMMYFUNCTION("""COMPUTED_VALUE"""),"H3_B10_VD_4.mp3")</f>
        <v>H3_B10_VD_4.mp3</v>
      </c>
    </row>
    <row r="486" spans="1:13">
      <c r="A486" s="13">
        <f ca="1">IFERROR(__xludf.DUMMYFUNCTION("""COMPUTED_VALUE"""),5)</f>
        <v>5</v>
      </c>
      <c r="B486" s="13"/>
      <c r="C486" s="13" t="str">
        <f ca="1">IFERROR(__xludf.DUMMYFUNCTION("""COMPUTED_VALUE"""),"骑")</f>
        <v>骑</v>
      </c>
      <c r="D486" s="13" t="str">
        <f ca="1">IFERROR(__xludf.DUMMYFUNCTION("""COMPUTED_VALUE"""),"&lt;ruby&gt;骑&lt;rt&gt;qí&lt;/rt&gt;&lt;/ruby&gt;")</f>
        <v>&lt;ruby&gt;骑&lt;rt&gt;qí&lt;/rt&gt;&lt;/ruby&gt;</v>
      </c>
      <c r="E486" s="13" t="str">
        <f ca="1">IFERROR(__xludf.DUMMYFUNCTION("""COMPUTED_VALUE"""),"qí")</f>
        <v>qí</v>
      </c>
      <c r="F486" s="13" t="str">
        <f ca="1">IFERROR(__xludf.DUMMYFUNCTION("""COMPUTED_VALUE"""),"Động từ ")</f>
        <v xml:space="preserve">Động từ </v>
      </c>
      <c r="G486" s="13" t="str">
        <f ca="1">IFERROR(__xludf.DUMMYFUNCTION("""COMPUTED_VALUE"""),"Đi (xe đạp, xe máy), cưỡi (ngựa)")</f>
        <v>Đi (xe đạp, xe máy), cưỡi (ngựa)</v>
      </c>
      <c r="H486" s="13" t="str">
        <f ca="1">IFERROR(__xludf.DUMMYFUNCTION("""COMPUTED_VALUE"""),"我学会了骑马。")</f>
        <v>我学会了骑马。</v>
      </c>
      <c r="I486" s="13" t="str">
        <f ca="1">IFERROR(__xludf.DUMMYFUNCTION("""COMPUTED_VALUE"""),"Wǒ xuéhuì le qímǎ.")</f>
        <v>Wǒ xuéhuì le qímǎ.</v>
      </c>
      <c r="J486" s="13" t="str">
        <f ca="1">IFERROR(__xludf.DUMMYFUNCTION("""COMPUTED_VALUE"""),"Tôi đã học cưỡi ngựa.")</f>
        <v>Tôi đã học cưỡi ngựa.</v>
      </c>
      <c r="K486" s="13" t="str">
        <f ca="1">IFERROR(__xludf.DUMMYFUNCTION("""COMPUTED_VALUE"""),"H3_B10_BG-05.gif")</f>
        <v>H3_B10_BG-05.gif</v>
      </c>
      <c r="L486" s="13" t="str">
        <f ca="1">IFERROR(__xludf.DUMMYFUNCTION("""COMPUTED_VALUE"""),"H3_B10_5.mp3")</f>
        <v>H3_B10_5.mp3</v>
      </c>
      <c r="M486" s="13" t="str">
        <f ca="1">IFERROR(__xludf.DUMMYFUNCTION("""COMPUTED_VALUE"""),"H3_B10_VD_5.mp3")</f>
        <v>H3_B10_VD_5.mp3</v>
      </c>
    </row>
    <row r="487" spans="1:13">
      <c r="A487" s="13">
        <f ca="1">IFERROR(__xludf.DUMMYFUNCTION("""COMPUTED_VALUE"""),6)</f>
        <v>6</v>
      </c>
      <c r="B487" s="13"/>
      <c r="C487" s="13" t="str">
        <f ca="1">IFERROR(__xludf.DUMMYFUNCTION("""COMPUTED_VALUE"""),"换")</f>
        <v>换</v>
      </c>
      <c r="D487" s="13" t="str">
        <f ca="1">IFERROR(__xludf.DUMMYFUNCTION("""COMPUTED_VALUE"""),"&lt;ruby&gt;换&lt;rt&gt;huàn&lt;/rt&gt;&lt;/ruby&gt;")</f>
        <v>&lt;ruby&gt;换&lt;rt&gt;huàn&lt;/rt&gt;&lt;/ruby&gt;</v>
      </c>
      <c r="E487" s="13" t="str">
        <f ca="1">IFERROR(__xludf.DUMMYFUNCTION("""COMPUTED_VALUE"""),"huàn")</f>
        <v>huàn</v>
      </c>
      <c r="F487" s="13" t="str">
        <f ca="1">IFERROR(__xludf.DUMMYFUNCTION("""COMPUTED_VALUE"""),"Động từ ")</f>
        <v xml:space="preserve">Động từ </v>
      </c>
      <c r="G487" s="13" t="str">
        <f ca="1">IFERROR(__xludf.DUMMYFUNCTION("""COMPUTED_VALUE"""),"Đổi, thay đổi")</f>
        <v>Đổi, thay đổi</v>
      </c>
      <c r="H487" s="13" t="str">
        <f ca="1">IFERROR(__xludf.DUMMYFUNCTION("""COMPUTED_VALUE"""),"你想换一件衣服吗？")</f>
        <v>你想换一件衣服吗？</v>
      </c>
      <c r="I487" s="13" t="str">
        <f ca="1">IFERROR(__xludf.DUMMYFUNCTION("""COMPUTED_VALUE"""),"Nǐ xiǎng huàn yí jiàn yīfu ma?")</f>
        <v>Nǐ xiǎng huàn yí jiàn yīfu ma?</v>
      </c>
      <c r="J487" s="13" t="str">
        <f ca="1">IFERROR(__xludf.DUMMYFUNCTION("""COMPUTED_VALUE"""),"Bạn muốn đổi một bộ quần áo khác không?")</f>
        <v>Bạn muốn đổi một bộ quần áo khác không?</v>
      </c>
      <c r="K487" s="13" t="str">
        <f ca="1">IFERROR(__xludf.DUMMYFUNCTION("""COMPUTED_VALUE"""),"H3_B10_BG-06.gif")</f>
        <v>H3_B10_BG-06.gif</v>
      </c>
      <c r="L487" s="13" t="str">
        <f ca="1">IFERROR(__xludf.DUMMYFUNCTION("""COMPUTED_VALUE"""),"H3_B10_6.mp3")</f>
        <v>H3_B10_6.mp3</v>
      </c>
      <c r="M487" s="13" t="str">
        <f ca="1">IFERROR(__xludf.DUMMYFUNCTION("""COMPUTED_VALUE"""),"H3_B10_VD_6.mp3")</f>
        <v>H3_B10_VD_6.mp3</v>
      </c>
    </row>
    <row r="488" spans="1:13">
      <c r="A488" s="13">
        <f ca="1">IFERROR(__xludf.DUMMYFUNCTION("""COMPUTED_VALUE"""),7)</f>
        <v>7</v>
      </c>
      <c r="B488" s="13"/>
      <c r="C488" s="13" t="str">
        <f ca="1">IFERROR(__xludf.DUMMYFUNCTION("""COMPUTED_VALUE"""),"旧")</f>
        <v>旧</v>
      </c>
      <c r="D488" s="13" t="str">
        <f ca="1">IFERROR(__xludf.DUMMYFUNCTION("""COMPUTED_VALUE"""),"&lt;ruby&gt;旧&lt;rt&gt;jiù&lt;/rt&gt;&lt;/ruby&gt;")</f>
        <v>&lt;ruby&gt;旧&lt;rt&gt;jiù&lt;/rt&gt;&lt;/ruby&gt;</v>
      </c>
      <c r="E488" s="13" t="str">
        <f ca="1">IFERROR(__xludf.DUMMYFUNCTION("""COMPUTED_VALUE"""),"jiù")</f>
        <v>jiù</v>
      </c>
      <c r="F488" s="13" t="str">
        <f ca="1">IFERROR(__xludf.DUMMYFUNCTION("""COMPUTED_VALUE"""),"Tính từ ")</f>
        <v xml:space="preserve">Tính từ </v>
      </c>
      <c r="G488" s="13" t="str">
        <f ca="1">IFERROR(__xludf.DUMMYFUNCTION("""COMPUTED_VALUE"""),"Cũ")</f>
        <v>Cũ</v>
      </c>
      <c r="H488" s="13" t="str">
        <f ca="1">IFERROR(__xludf.DUMMYFUNCTION("""COMPUTED_VALUE"""),": 这本旧书是我的。")</f>
        <v>: 这本旧书是我的。</v>
      </c>
      <c r="I488" s="13" t="str">
        <f ca="1">IFERROR(__xludf.DUMMYFUNCTION("""COMPUTED_VALUE"""),"Zhè běn jiù shū shì wǒ de.")</f>
        <v>Zhè běn jiù shū shì wǒ de.</v>
      </c>
      <c r="J488" s="13" t="str">
        <f ca="1">IFERROR(__xludf.DUMMYFUNCTION("""COMPUTED_VALUE"""),"Quyển sách cũ này là của tôi.")</f>
        <v>Quyển sách cũ này là của tôi.</v>
      </c>
      <c r="K488" s="13" t="str">
        <f ca="1">IFERROR(__xludf.DUMMYFUNCTION("""COMPUTED_VALUE"""),"H3_B10_BG-07.gif")</f>
        <v>H3_B10_BG-07.gif</v>
      </c>
      <c r="L488" s="13" t="str">
        <f ca="1">IFERROR(__xludf.DUMMYFUNCTION("""COMPUTED_VALUE"""),"H3_B10_7.mp3")</f>
        <v>H3_B10_7.mp3</v>
      </c>
      <c r="M488" s="13" t="str">
        <f ca="1">IFERROR(__xludf.DUMMYFUNCTION("""COMPUTED_VALUE"""),"H3_B10_VD_7.mp3")</f>
        <v>H3_B10_VD_7.mp3</v>
      </c>
    </row>
    <row r="489" spans="1:13">
      <c r="A489" s="13">
        <f ca="1">IFERROR(__xludf.DUMMYFUNCTION("""COMPUTED_VALUE"""),8)</f>
        <v>8</v>
      </c>
      <c r="B489" s="13"/>
      <c r="C489" s="13" t="str">
        <f ca="1">IFERROR(__xludf.DUMMYFUNCTION("""COMPUTED_VALUE"""),"体育 ")</f>
        <v xml:space="preserve">体育 </v>
      </c>
      <c r="D489" s="13" t="str">
        <f ca="1">IFERROR(__xludf.DUMMYFUNCTION("""COMPUTED_VALUE"""),"&lt;ruby&gt;体育 &lt;rt&gt;tǐyù&lt;/rt&gt;&lt;/ruby&gt;")</f>
        <v>&lt;ruby&gt;体育 &lt;rt&gt;tǐyù&lt;/rt&gt;&lt;/ruby&gt;</v>
      </c>
      <c r="E489" s="13" t="str">
        <f ca="1">IFERROR(__xludf.DUMMYFUNCTION("""COMPUTED_VALUE"""),"tǐyù")</f>
        <v>tǐyù</v>
      </c>
      <c r="F489" s="13" t="str">
        <f ca="1">IFERROR(__xludf.DUMMYFUNCTION("""COMPUTED_VALUE"""),"Danh từ ")</f>
        <v xml:space="preserve">Danh từ </v>
      </c>
      <c r="G489" s="13" t="str">
        <f ca="1">IFERROR(__xludf.DUMMYFUNCTION("""COMPUTED_VALUE"""),"Môn thể dục")</f>
        <v>Môn thể dục</v>
      </c>
      <c r="H489" s="13" t="str">
        <f ca="1">IFERROR(__xludf.DUMMYFUNCTION("""COMPUTED_VALUE"""),"我每天都喜欢做体育锻炼。")</f>
        <v>我每天都喜欢做体育锻炼。</v>
      </c>
      <c r="I489" s="13" t="str">
        <f ca="1">IFERROR(__xludf.DUMMYFUNCTION("""COMPUTED_VALUE"""),"Wǒ měitiān dōu xǐhuan zuò tǐyù duànliàn.")</f>
        <v>Wǒ měitiān dōu xǐhuan zuò tǐyù duànliàn.</v>
      </c>
      <c r="J489" s="13" t="str">
        <f ca="1">IFERROR(__xludf.DUMMYFUNCTION("""COMPUTED_VALUE"""),"Tôi thích tập thể dục mỗi ngày.")</f>
        <v>Tôi thích tập thể dục mỗi ngày.</v>
      </c>
      <c r="K489" s="13" t="str">
        <f ca="1">IFERROR(__xludf.DUMMYFUNCTION("""COMPUTED_VALUE"""),"H3_B10_BG-08.gif")</f>
        <v>H3_B10_BG-08.gif</v>
      </c>
      <c r="L489" s="13" t="str">
        <f ca="1">IFERROR(__xludf.DUMMYFUNCTION("""COMPUTED_VALUE"""),"H3_B10_8.mp3")</f>
        <v>H3_B10_8.mp3</v>
      </c>
      <c r="M489" s="13" t="str">
        <f ca="1">IFERROR(__xludf.DUMMYFUNCTION("""COMPUTED_VALUE"""),"H3_B10_VD_8.mp3")</f>
        <v>H3_B10_VD_8.mp3</v>
      </c>
    </row>
    <row r="490" spans="1:13">
      <c r="A490" s="13">
        <f ca="1">IFERROR(__xludf.DUMMYFUNCTION("""COMPUTED_VALUE"""),9)</f>
        <v>9</v>
      </c>
      <c r="B490" s="13"/>
      <c r="C490" s="13" t="str">
        <f ca="1">IFERROR(__xludf.DUMMYFUNCTION("""COMPUTED_VALUE"""),"历史 ")</f>
        <v xml:space="preserve">历史 </v>
      </c>
      <c r="D490" s="13" t="str">
        <f ca="1">IFERROR(__xludf.DUMMYFUNCTION("""COMPUTED_VALUE"""),"&lt;ruby&gt;历史 &lt;rt&gt;lìshǐ&lt;/rt&gt;&lt;/ruby&gt;")</f>
        <v>&lt;ruby&gt;历史 &lt;rt&gt;lìshǐ&lt;/rt&gt;&lt;/ruby&gt;</v>
      </c>
      <c r="E490" s="13" t="str">
        <f ca="1">IFERROR(__xludf.DUMMYFUNCTION("""COMPUTED_VALUE"""),"lìshǐ")</f>
        <v>lìshǐ</v>
      </c>
      <c r="F490" s="13" t="str">
        <f ca="1">IFERROR(__xludf.DUMMYFUNCTION("""COMPUTED_VALUE"""),"Danh từ ")</f>
        <v xml:space="preserve">Danh từ </v>
      </c>
      <c r="G490" s="13" t="str">
        <f ca="1">IFERROR(__xludf.DUMMYFUNCTION("""COMPUTED_VALUE"""),"Môn lịch sử")</f>
        <v>Môn lịch sử</v>
      </c>
      <c r="H490" s="13" t="str">
        <f ca="1">IFERROR(__xludf.DUMMYFUNCTION("""COMPUTED_VALUE"""),"他对历史很感兴趣。")</f>
        <v>他对历史很感兴趣。</v>
      </c>
      <c r="I490" s="13" t="str">
        <f ca="1">IFERROR(__xludf.DUMMYFUNCTION("""COMPUTED_VALUE"""),"Tā duì lìshǐ hěn gǎn xìngqù.")</f>
        <v>Tā duì lìshǐ hěn gǎn xìngqù.</v>
      </c>
      <c r="J490" s="13" t="str">
        <f ca="1">IFERROR(__xludf.DUMMYFUNCTION("""COMPUTED_VALUE"""),"Anh ấy rất hứng thú với lịch sử.")</f>
        <v>Anh ấy rất hứng thú với lịch sử.</v>
      </c>
      <c r="K490" s="13" t="str">
        <f ca="1">IFERROR(__xludf.DUMMYFUNCTION("""COMPUTED_VALUE"""),"H3_B10_BG-09.gif")</f>
        <v>H3_B10_BG-09.gif</v>
      </c>
      <c r="L490" s="13" t="str">
        <f ca="1">IFERROR(__xludf.DUMMYFUNCTION("""COMPUTED_VALUE"""),"H3_B10_9.mp3")</f>
        <v>H3_B10_9.mp3</v>
      </c>
      <c r="M490" s="13" t="str">
        <f ca="1">IFERROR(__xludf.DUMMYFUNCTION("""COMPUTED_VALUE"""),"H3_B10_VD_9.mp3")</f>
        <v>H3_B10_VD_9.mp3</v>
      </c>
    </row>
    <row r="491" spans="1:13">
      <c r="A491" s="13">
        <f ca="1">IFERROR(__xludf.DUMMYFUNCTION("""COMPUTED_VALUE"""),10)</f>
        <v>10</v>
      </c>
      <c r="B491" s="13"/>
      <c r="C491" s="13" t="str">
        <f ca="1">IFERROR(__xludf.DUMMYFUNCTION("""COMPUTED_VALUE"""),"数学 ")</f>
        <v xml:space="preserve">数学 </v>
      </c>
      <c r="D491" s="13" t="str">
        <f ca="1">IFERROR(__xludf.DUMMYFUNCTION("""COMPUTED_VALUE"""),"&lt;ruby&gt;数学 &lt;rt&gt;shùxué&lt;/rt&gt;&lt;/ruby&gt;")</f>
        <v>&lt;ruby&gt;数学 &lt;rt&gt;shùxué&lt;/rt&gt;&lt;/ruby&gt;</v>
      </c>
      <c r="E491" s="13" t="str">
        <f ca="1">IFERROR(__xludf.DUMMYFUNCTION("""COMPUTED_VALUE"""),"shùxué")</f>
        <v>shùxué</v>
      </c>
      <c r="F491" s="13" t="str">
        <f ca="1">IFERROR(__xludf.DUMMYFUNCTION("""COMPUTED_VALUE"""),"Danh từ ")</f>
        <v xml:space="preserve">Danh từ </v>
      </c>
      <c r="G491" s="13" t="str">
        <f ca="1">IFERROR(__xludf.DUMMYFUNCTION("""COMPUTED_VALUE"""),"Môn toán học")</f>
        <v>Môn toán học</v>
      </c>
      <c r="H491" s="13" t="str">
        <f ca="1">IFERROR(__xludf.DUMMYFUNCTION("""COMPUTED_VALUE"""),"我最喜欢的课程是数学。")</f>
        <v>我最喜欢的课程是数学。</v>
      </c>
      <c r="I491" s="13" t="str">
        <f ca="1">IFERROR(__xludf.DUMMYFUNCTION("""COMPUTED_VALUE"""),"Wǒ zuì xǐhuan de kèchéng shì shùxué.")</f>
        <v>Wǒ zuì xǐhuan de kèchéng shì shùxué.</v>
      </c>
      <c r="J491" s="13" t="str">
        <f ca="1">IFERROR(__xludf.DUMMYFUNCTION("""COMPUTED_VALUE"""),"Môn học yêu thích nhất của tôi là toán học.")</f>
        <v>Môn học yêu thích nhất của tôi là toán học.</v>
      </c>
      <c r="K491" s="13" t="str">
        <f ca="1">IFERROR(__xludf.DUMMYFUNCTION("""COMPUTED_VALUE"""),"H3_B10_BG-10.gif")</f>
        <v>H3_B10_BG-10.gif</v>
      </c>
      <c r="L491" s="13" t="str">
        <f ca="1">IFERROR(__xludf.DUMMYFUNCTION("""COMPUTED_VALUE"""),"H3_B10_10.mp3")</f>
        <v>H3_B10_10.mp3</v>
      </c>
      <c r="M491" s="13" t="str">
        <f ca="1">IFERROR(__xludf.DUMMYFUNCTION("""COMPUTED_VALUE"""),"H3_B10_VD_10.mp3")</f>
        <v>H3_B10_VD_10.mp3</v>
      </c>
    </row>
    <row r="492" spans="1:13">
      <c r="A492" s="13">
        <f ca="1">IFERROR(__xludf.DUMMYFUNCTION("""COMPUTED_VALUE"""),11)</f>
        <v>11</v>
      </c>
      <c r="B492" s="13"/>
      <c r="C492" s="13" t="str">
        <f ca="1">IFERROR(__xludf.DUMMYFUNCTION("""COMPUTED_VALUE"""),"地方 ")</f>
        <v xml:space="preserve">地方 </v>
      </c>
      <c r="D492" s="13" t="str">
        <f ca="1">IFERROR(__xludf.DUMMYFUNCTION("""COMPUTED_VALUE"""),"&lt;ruby&gt;地方 &lt;rt&gt;dìfāng&lt;/rt&gt;&lt;/ruby&gt;")</f>
        <v>&lt;ruby&gt;地方 &lt;rt&gt;dìfāng&lt;/rt&gt;&lt;/ruby&gt;</v>
      </c>
      <c r="E492" s="13" t="str">
        <f ca="1">IFERROR(__xludf.DUMMYFUNCTION("""COMPUTED_VALUE"""),"dìfāng")</f>
        <v>dìfāng</v>
      </c>
      <c r="F492" s="13" t="str">
        <f ca="1">IFERROR(__xludf.DUMMYFUNCTION("""COMPUTED_VALUE"""),"Danh từ ")</f>
        <v xml:space="preserve">Danh từ </v>
      </c>
      <c r="G492" s="13" t="str">
        <f ca="1">IFERROR(__xludf.DUMMYFUNCTION("""COMPUTED_VALUE"""),"Địa điểm, nơi")</f>
        <v>Địa điểm, nơi</v>
      </c>
      <c r="H492" s="13" t="str">
        <f ca="1">IFERROR(__xludf.DUMMYFUNCTION("""COMPUTED_VALUE""")," 这个地方是我的学校。")</f>
        <v xml:space="preserve"> 这个地方是我的学校。</v>
      </c>
      <c r="I492" s="13" t="str">
        <f ca="1">IFERROR(__xludf.DUMMYFUNCTION("""COMPUTED_VALUE"""),"Zhège dìfang shì wǒ de xuéxiào.")</f>
        <v>Zhège dìfang shì wǒ de xuéxiào.</v>
      </c>
      <c r="J492" s="13" t="str">
        <f ca="1">IFERROR(__xludf.DUMMYFUNCTION("""COMPUTED_VALUE"""),"Nơi này là trường học của tôi.")</f>
        <v>Nơi này là trường học của tôi.</v>
      </c>
      <c r="K492" s="13" t="str">
        <f ca="1">IFERROR(__xludf.DUMMYFUNCTION("""COMPUTED_VALUE"""),"H3_B10_BG-11.gif")</f>
        <v>H3_B10_BG-11.gif</v>
      </c>
      <c r="L492" s="13" t="str">
        <f ca="1">IFERROR(__xludf.DUMMYFUNCTION("""COMPUTED_VALUE"""),"H3_B10_11.mp3")</f>
        <v>H3_B10_11.mp3</v>
      </c>
      <c r="M492" s="13" t="str">
        <f ca="1">IFERROR(__xludf.DUMMYFUNCTION("""COMPUTED_VALUE"""),"H3_B10_VD_11.mp3")</f>
        <v>H3_B10_VD_11.mp3</v>
      </c>
    </row>
    <row r="493" spans="1:13">
      <c r="A493" s="13">
        <f ca="1">IFERROR(__xludf.DUMMYFUNCTION("""COMPUTED_VALUE"""),12)</f>
        <v>12</v>
      </c>
      <c r="B493" s="13"/>
      <c r="C493" s="13" t="str">
        <f ca="1">IFERROR(__xludf.DUMMYFUNCTION("""COMPUTED_VALUE"""),"中介 ")</f>
        <v xml:space="preserve">中介 </v>
      </c>
      <c r="D493" s="13" t="str">
        <f ca="1">IFERROR(__xludf.DUMMYFUNCTION("""COMPUTED_VALUE"""),"&lt;ruby&gt;中介 &lt;rt&gt;zhōngjiè&lt;/rt&gt;&lt;/ruby&gt;")</f>
        <v>&lt;ruby&gt;中介 &lt;rt&gt;zhōngjiè&lt;/rt&gt;&lt;/ruby&gt;</v>
      </c>
      <c r="E493" s="13" t="str">
        <f ca="1">IFERROR(__xludf.DUMMYFUNCTION("""COMPUTED_VALUE"""),"zhōngjiè")</f>
        <v>zhōngjiè</v>
      </c>
      <c r="F493" s="13" t="str">
        <f ca="1">IFERROR(__xludf.DUMMYFUNCTION("""COMPUTED_VALUE"""),"Danh từ ")</f>
        <v xml:space="preserve">Danh từ </v>
      </c>
      <c r="G493" s="13" t="str">
        <f ca="1">IFERROR(__xludf.DUMMYFUNCTION("""COMPUTED_VALUE"""),"Trung gian, môi giới")</f>
        <v>Trung gian, môi giới</v>
      </c>
      <c r="H493" s="13" t="str">
        <f ca="1">IFERROR(__xludf.DUMMYFUNCTION("""COMPUTED_VALUE"""),"我通过中介租了一套房子。")</f>
        <v>我通过中介租了一套房子。</v>
      </c>
      <c r="I493" s="13" t="str">
        <f ca="1">IFERROR(__xludf.DUMMYFUNCTION("""COMPUTED_VALUE"""),"Wǒ tōngguò zhōngjiè zū le yí tào fángzi.")</f>
        <v>Wǒ tōngguò zhōngjiè zū le yí tào fángzi.</v>
      </c>
      <c r="J493" s="13" t="str">
        <f ca="1">IFERROR(__xludf.DUMMYFUNCTION("""COMPUTED_VALUE"""),"Tôi đã thuê một căn nhà thông qua trung gian.")</f>
        <v>Tôi đã thuê một căn nhà thông qua trung gian.</v>
      </c>
      <c r="K493" s="13" t="str">
        <f ca="1">IFERROR(__xludf.DUMMYFUNCTION("""COMPUTED_VALUE"""),"H3_B10_BG-12.gif")</f>
        <v>H3_B10_BG-12.gif</v>
      </c>
      <c r="L493" s="13" t="str">
        <f ca="1">IFERROR(__xludf.DUMMYFUNCTION("""COMPUTED_VALUE"""),"H3_B10_12.mp3")</f>
        <v>H3_B10_12.mp3</v>
      </c>
      <c r="M493" s="13" t="str">
        <f ca="1">IFERROR(__xludf.DUMMYFUNCTION("""COMPUTED_VALUE"""),"H3_B10_VD_12.mp3")</f>
        <v>H3_B10_VD_12.mp3</v>
      </c>
    </row>
    <row r="494" spans="1:13">
      <c r="A494" s="13">
        <f ca="1">IFERROR(__xludf.DUMMYFUNCTION("""COMPUTED_VALUE"""),13)</f>
        <v>13</v>
      </c>
      <c r="B494" s="13"/>
      <c r="C494" s="13" t="str">
        <f ca="1">IFERROR(__xludf.DUMMYFUNCTION("""COMPUTED_VALUE"""),"主要 ")</f>
        <v xml:space="preserve">主要 </v>
      </c>
      <c r="D494" s="13" t="str">
        <f ca="1">IFERROR(__xludf.DUMMYFUNCTION("""COMPUTED_VALUE"""),"&lt;ruby&gt;主要 &lt;rt&gt;zhǔyào&lt;/rt&gt;&lt;/ruby&gt;")</f>
        <v>&lt;ruby&gt;主要 &lt;rt&gt;zhǔyào&lt;/rt&gt;&lt;/ruby&gt;</v>
      </c>
      <c r="E494" s="13" t="str">
        <f ca="1">IFERROR(__xludf.DUMMYFUNCTION("""COMPUTED_VALUE"""),"zhǔyào")</f>
        <v>zhǔyào</v>
      </c>
      <c r="F494" s="13" t="str">
        <f ca="1">IFERROR(__xludf.DUMMYFUNCTION("""COMPUTED_VALUE"""),"Tính từ ")</f>
        <v xml:space="preserve">Tính từ </v>
      </c>
      <c r="G494" s="13" t="str">
        <f ca="1">IFERROR(__xludf.DUMMYFUNCTION("""COMPUTED_VALUE"""),"Chính, chủ yếu")</f>
        <v>Chính, chủ yếu</v>
      </c>
      <c r="H494" s="13" t="str">
        <f ca="1">IFERROR(__xludf.DUMMYFUNCTION("""COMPUTED_VALUE"""),"我记下了主要的知识点。")</f>
        <v>我记下了主要的知识点。</v>
      </c>
      <c r="I494" s="13" t="str">
        <f ca="1">IFERROR(__xludf.DUMMYFUNCTION("""COMPUTED_VALUE"""),"Wǒ jì xià le zhǔyào de zhīshìdiǎn.")</f>
        <v>Wǒ jì xià le zhǔyào de zhīshìdiǎn.</v>
      </c>
      <c r="J494" s="13" t="str">
        <f ca="1">IFERROR(__xludf.DUMMYFUNCTION("""COMPUTED_VALUE"""),"Tôi ghi lại những kiến thức chính.")</f>
        <v>Tôi ghi lại những kiến thức chính.</v>
      </c>
      <c r="K494" s="13" t="str">
        <f ca="1">IFERROR(__xludf.DUMMYFUNCTION("""COMPUTED_VALUE"""),"H3_B10_BG-13.gif")</f>
        <v>H3_B10_BG-13.gif</v>
      </c>
      <c r="L494" s="13" t="str">
        <f ca="1">IFERROR(__xludf.DUMMYFUNCTION("""COMPUTED_VALUE"""),"H3_B10_13.mp3")</f>
        <v>H3_B10_13.mp3</v>
      </c>
      <c r="M494" s="13" t="str">
        <f ca="1">IFERROR(__xludf.DUMMYFUNCTION("""COMPUTED_VALUE"""),"H3_B10_VD_13.mp3")</f>
        <v>H3_B10_VD_13.mp3</v>
      </c>
    </row>
    <row r="495" spans="1:13">
      <c r="A495" s="13">
        <f ca="1">IFERROR(__xludf.DUMMYFUNCTION("""COMPUTED_VALUE"""),14)</f>
        <v>14</v>
      </c>
      <c r="B495" s="13"/>
      <c r="C495" s="13" t="str">
        <f ca="1">IFERROR(__xludf.DUMMYFUNCTION("""COMPUTED_VALUE"""),"环境 ")</f>
        <v xml:space="preserve">环境 </v>
      </c>
      <c r="D495" s="13" t="str">
        <f ca="1">IFERROR(__xludf.DUMMYFUNCTION("""COMPUTED_VALUE"""),"&lt;ruby&gt;环境 &lt;rt&gt;huánjìng&lt;/rt&gt;&lt;/ruby&gt;")</f>
        <v>&lt;ruby&gt;环境 &lt;rt&gt;huánjìng&lt;/rt&gt;&lt;/ruby&gt;</v>
      </c>
      <c r="E495" s="13" t="str">
        <f ca="1">IFERROR(__xludf.DUMMYFUNCTION("""COMPUTED_VALUE"""),"huánjìng")</f>
        <v>huánjìng</v>
      </c>
      <c r="F495" s="13" t="str">
        <f ca="1">IFERROR(__xludf.DUMMYFUNCTION("""COMPUTED_VALUE"""),"Danh từ ")</f>
        <v xml:space="preserve">Danh từ </v>
      </c>
      <c r="G495" s="13" t="str">
        <f ca="1">IFERROR(__xludf.DUMMYFUNCTION("""COMPUTED_VALUE"""),"Môi trường")</f>
        <v>Môi trường</v>
      </c>
      <c r="H495" s="13" t="str">
        <f ca="1">IFERROR(__xludf.DUMMYFUNCTION("""COMPUTED_VALUE""")," 环境污染越来越严重了。")</f>
        <v xml:space="preserve"> 环境污染越来越严重了。</v>
      </c>
      <c r="I495" s="13" t="str">
        <f ca="1">IFERROR(__xludf.DUMMYFUNCTION("""COMPUTED_VALUE"""),"Huánjìng wūrǎn yuè lái yuè yánzhòng le.")</f>
        <v>Huánjìng wūrǎn yuè lái yuè yánzhòng le.</v>
      </c>
      <c r="J495" s="13" t="str">
        <f ca="1">IFERROR(__xludf.DUMMYFUNCTION("""COMPUTED_VALUE"""),"Môi trường ngày càng bị ô nhiễm nặng nề.")</f>
        <v>Môi trường ngày càng bị ô nhiễm nặng nề.</v>
      </c>
      <c r="K495" s="13" t="str">
        <f ca="1">IFERROR(__xludf.DUMMYFUNCTION("""COMPUTED_VALUE"""),"H3_B10_BG-14.gif")</f>
        <v>H3_B10_BG-14.gif</v>
      </c>
      <c r="L495" s="13" t="str">
        <f ca="1">IFERROR(__xludf.DUMMYFUNCTION("""COMPUTED_VALUE"""),"H3_B10_14.mp3")</f>
        <v>H3_B10_14.mp3</v>
      </c>
      <c r="M495" s="13" t="str">
        <f ca="1">IFERROR(__xludf.DUMMYFUNCTION("""COMPUTED_VALUE"""),"H3_B10_VD_14.mp3")</f>
        <v>H3_B10_VD_14.mp3</v>
      </c>
    </row>
    <row r="496" spans="1:13">
      <c r="A496" s="13">
        <f ca="1">IFERROR(__xludf.DUMMYFUNCTION("""COMPUTED_VALUE"""),15)</f>
        <v>15</v>
      </c>
      <c r="B496" s="13"/>
      <c r="C496" s="13" t="str">
        <f ca="1">IFERROR(__xludf.DUMMYFUNCTION("""COMPUTED_VALUE"""),"附近 ")</f>
        <v xml:space="preserve">附近 </v>
      </c>
      <c r="D496" s="13" t="str">
        <f ca="1">IFERROR(__xludf.DUMMYFUNCTION("""COMPUTED_VALUE"""),"&lt;ruby&gt;附近 &lt;rt&gt;fùjìn&lt;/rt&gt;&lt;/ruby&gt;")</f>
        <v>&lt;ruby&gt;附近 &lt;rt&gt;fùjìn&lt;/rt&gt;&lt;/ruby&gt;</v>
      </c>
      <c r="E496" s="13" t="str">
        <f ca="1">IFERROR(__xludf.DUMMYFUNCTION("""COMPUTED_VALUE"""),"fùjìn")</f>
        <v>fùjìn</v>
      </c>
      <c r="F496" s="13" t="str">
        <f ca="1">IFERROR(__xludf.DUMMYFUNCTION("""COMPUTED_VALUE"""),"Danh từ ")</f>
        <v xml:space="preserve">Danh từ </v>
      </c>
      <c r="G496" s="13" t="str">
        <f ca="1">IFERROR(__xludf.DUMMYFUNCTION("""COMPUTED_VALUE"""),"Gần đây")</f>
        <v>Gần đây</v>
      </c>
      <c r="H496" s="13" t="str">
        <f ca="1">IFERROR(__xludf.DUMMYFUNCTION("""COMPUTED_VALUE"""),"我学校附近有一个公交车站。")</f>
        <v>我学校附近有一个公交车站。</v>
      </c>
      <c r="I496" s="13" t="str">
        <f ca="1">IFERROR(__xludf.DUMMYFUNCTION("""COMPUTED_VALUE"""),"Wǒ xuéxiào fùjìn yǒu yí ge gōngjiāo chēzhàn.")</f>
        <v>Wǒ xuéxiào fùjìn yǒu yí ge gōngjiāo chēzhàn.</v>
      </c>
      <c r="J496" s="13" t="str">
        <f ca="1">IFERROR(__xludf.DUMMYFUNCTION("""COMPUTED_VALUE"""),"Gần trường tôi có trạm dừng xe buýt.")</f>
        <v>Gần trường tôi có trạm dừng xe buýt.</v>
      </c>
      <c r="K496" s="13" t="str">
        <f ca="1">IFERROR(__xludf.DUMMYFUNCTION("""COMPUTED_VALUE"""),"H3_B10_BG-15.gif")</f>
        <v>H3_B10_BG-15.gif</v>
      </c>
      <c r="L496" s="13" t="str">
        <f ca="1">IFERROR(__xludf.DUMMYFUNCTION("""COMPUTED_VALUE"""),"H3_B10_15.mp3")</f>
        <v>H3_B10_15.mp3</v>
      </c>
      <c r="M496" s="13" t="str">
        <f ca="1">IFERROR(__xludf.DUMMYFUNCTION("""COMPUTED_VALUE"""),"H3_B10_VD_15.mp3")</f>
        <v>H3_B10_VD_15.mp3</v>
      </c>
    </row>
    <row r="497" spans="1:13">
      <c r="A497" s="13">
        <f ca="1">IFERROR(__xludf.DUMMYFUNCTION("""COMPUTED_VALUE"""),1)</f>
        <v>1</v>
      </c>
      <c r="B497" s="13"/>
      <c r="C497" s="13" t="str">
        <f ca="1">IFERROR(__xludf.DUMMYFUNCTION("""COMPUTED_VALUE"""),"词典")</f>
        <v>词典</v>
      </c>
      <c r="D497" s="13" t="str">
        <f ca="1">IFERROR(__xludf.DUMMYFUNCTION("""COMPUTED_VALUE"""),"&lt;ruby&gt;词典&lt;rt&gt;cídiǎn&lt;/rt&gt;&lt;/ruby&gt;")</f>
        <v>&lt;ruby&gt;词典&lt;rt&gt;cídiǎn&lt;/rt&gt;&lt;/ruby&gt;</v>
      </c>
      <c r="E497" s="13" t="str">
        <f ca="1">IFERROR(__xludf.DUMMYFUNCTION("""COMPUTED_VALUE"""),"cídiǎn")</f>
        <v>cídiǎn</v>
      </c>
      <c r="F497" s="13" t="str">
        <f ca="1">IFERROR(__xludf.DUMMYFUNCTION("""COMPUTED_VALUE"""),"Danh từ")</f>
        <v>Danh từ</v>
      </c>
      <c r="G497" s="13" t="str">
        <f ca="1">IFERROR(__xludf.DUMMYFUNCTION("""COMPUTED_VALUE"""),"Từ điển")</f>
        <v>Từ điển</v>
      </c>
      <c r="H497" s="13" t="str">
        <f ca="1">IFERROR(__xludf.DUMMYFUNCTION("""COMPUTED_VALUE"""),"这是英 - 越词典。")</f>
        <v>这是英 - 越词典。</v>
      </c>
      <c r="I497" s="13" t="str">
        <f ca="1">IFERROR(__xludf.DUMMYFUNCTION("""COMPUTED_VALUE"""),"Zhè shì Yī - Yuè cídiǎn.")</f>
        <v>Zhè shì Yī - Yuè cídiǎn.</v>
      </c>
      <c r="J497" s="13" t="str">
        <f ca="1">IFERROR(__xludf.DUMMYFUNCTION("""COMPUTED_VALUE"""),"Đây là từ điển Anh - Việt.")</f>
        <v>Đây là từ điển Anh - Việt.</v>
      </c>
      <c r="K497" s="13" t="str">
        <f ca="1">IFERROR(__xludf.DUMMYFUNCTION("""COMPUTED_VALUE"""),"H3_B11_BG-01.gif")</f>
        <v>H3_B11_BG-01.gif</v>
      </c>
      <c r="L497" s="13" t="str">
        <f ca="1">IFERROR(__xludf.DUMMYFUNCTION("""COMPUTED_VALUE"""),"H3_B11_1.mp3")</f>
        <v>H3_B11_1.mp3</v>
      </c>
      <c r="M497" s="13" t="str">
        <f ca="1">IFERROR(__xludf.DUMMYFUNCTION("""COMPUTED_VALUE"""),"H3_B11_VD_1.mp3")</f>
        <v>H3_B11_VD_1.mp3</v>
      </c>
    </row>
    <row r="498" spans="1:13">
      <c r="A498" s="13">
        <f ca="1">IFERROR(__xludf.DUMMYFUNCTION("""COMPUTED_VALUE"""),2)</f>
        <v>2</v>
      </c>
      <c r="B498" s="13"/>
      <c r="C498" s="13" t="str">
        <f ca="1">IFERROR(__xludf.DUMMYFUNCTION("""COMPUTED_VALUE"""),"灯")</f>
        <v>灯</v>
      </c>
      <c r="D498" s="13" t="str">
        <f ca="1">IFERROR(__xludf.DUMMYFUNCTION("""COMPUTED_VALUE"""),"&lt;ruby&gt;灯&lt;rt&gt;dēng&lt;/rt&gt;&lt;/ruby&gt;")</f>
        <v>&lt;ruby&gt;灯&lt;rt&gt;dēng&lt;/rt&gt;&lt;/ruby&gt;</v>
      </c>
      <c r="E498" s="13" t="str">
        <f ca="1">IFERROR(__xludf.DUMMYFUNCTION("""COMPUTED_VALUE"""),"dēng")</f>
        <v>dēng</v>
      </c>
      <c r="F498" s="13" t="str">
        <f ca="1">IFERROR(__xludf.DUMMYFUNCTION("""COMPUTED_VALUE"""),"Danh từ")</f>
        <v>Danh từ</v>
      </c>
      <c r="G498" s="13" t="str">
        <f ca="1">IFERROR(__xludf.DUMMYFUNCTION("""COMPUTED_VALUE"""),"Đèn")</f>
        <v>Đèn</v>
      </c>
      <c r="H498" s="13" t="str">
        <f ca="1">IFERROR(__xludf.DUMMYFUNCTION("""COMPUTED_VALUE"""),"屋里有盏漂亮的灯。")</f>
        <v>屋里有盏漂亮的灯。</v>
      </c>
      <c r="I498" s="13" t="str">
        <f ca="1">IFERROR(__xludf.DUMMYFUNCTION("""COMPUTED_VALUE"""),"Wū lǐ yǒu zhǎn piàoliang de dēng.")</f>
        <v>Wū lǐ yǒu zhǎn piàoliang de dēng.</v>
      </c>
      <c r="J498" s="13" t="str">
        <f ca="1">IFERROR(__xludf.DUMMYFUNCTION("""COMPUTED_VALUE"""),"Trong phòng có một chiếc đèn rất đẹp.")</f>
        <v>Trong phòng có một chiếc đèn rất đẹp.</v>
      </c>
      <c r="K498" s="13" t="str">
        <f ca="1">IFERROR(__xludf.DUMMYFUNCTION("""COMPUTED_VALUE"""),"H3_B11_BG-02.gif")</f>
        <v>H3_B11_BG-02.gif</v>
      </c>
      <c r="L498" s="13" t="str">
        <f ca="1">IFERROR(__xludf.DUMMYFUNCTION("""COMPUTED_VALUE"""),"H3_B11_2.mp3")</f>
        <v>H3_B11_2.mp3</v>
      </c>
      <c r="M498" s="13" t="str">
        <f ca="1">IFERROR(__xludf.DUMMYFUNCTION("""COMPUTED_VALUE"""),"H3_B11_VD_2.mp3")</f>
        <v>H3_B11_VD_2.mp3</v>
      </c>
    </row>
    <row r="499" spans="1:13">
      <c r="A499" s="13">
        <f ca="1">IFERROR(__xludf.DUMMYFUNCTION("""COMPUTED_VALUE"""),3)</f>
        <v>3</v>
      </c>
      <c r="B499" s="13"/>
      <c r="C499" s="13" t="str">
        <f ca="1">IFERROR(__xludf.DUMMYFUNCTION("""COMPUTED_VALUE"""),"空调")</f>
        <v>空调</v>
      </c>
      <c r="D499" s="13" t="str">
        <f ca="1">IFERROR(__xludf.DUMMYFUNCTION("""COMPUTED_VALUE"""),"&lt;ruby&gt;空调&lt;rt&gt;kōngtiáo&lt;/rt&gt;&lt;/ruby&gt;")</f>
        <v>&lt;ruby&gt;空调&lt;rt&gt;kōngtiáo&lt;/rt&gt;&lt;/ruby&gt;</v>
      </c>
      <c r="E499" s="13" t="str">
        <f ca="1">IFERROR(__xludf.DUMMYFUNCTION("""COMPUTED_VALUE"""),"kōngtiáo")</f>
        <v>kōngtiáo</v>
      </c>
      <c r="F499" s="13" t="str">
        <f ca="1">IFERROR(__xludf.DUMMYFUNCTION("""COMPUTED_VALUE"""),"Danh từ")</f>
        <v>Danh từ</v>
      </c>
      <c r="G499" s="13" t="str">
        <f ca="1">IFERROR(__xludf.DUMMYFUNCTION("""COMPUTED_VALUE"""),"Máy điều hòa không khí")</f>
        <v>Máy điều hòa không khí</v>
      </c>
      <c r="H499" s="13" t="str">
        <f ca="1">IFERROR(__xludf.DUMMYFUNCTION("""COMPUTED_VALUE"""),"我家刚买了一台新空调。")</f>
        <v>我家刚买了一台新空调。</v>
      </c>
      <c r="I499" s="13" t="str">
        <f ca="1">IFERROR(__xludf.DUMMYFUNCTION("""COMPUTED_VALUE"""),"Wǒ jiā gāng mǎi le yī tái xīn kōngtiáo.")</f>
        <v>Wǒ jiā gāng mǎi le yī tái xīn kōngtiáo.</v>
      </c>
      <c r="J499" s="13" t="str">
        <f ca="1">IFERROR(__xludf.DUMMYFUNCTION("""COMPUTED_VALUE"""),"Nhà tôi vừa mua một chiếc điều hòa mới.")</f>
        <v>Nhà tôi vừa mua một chiếc điều hòa mới.</v>
      </c>
      <c r="K499" s="13" t="str">
        <f ca="1">IFERROR(__xludf.DUMMYFUNCTION("""COMPUTED_VALUE"""),"H3_B11_BG-03.gif")</f>
        <v>H3_B11_BG-03.gif</v>
      </c>
      <c r="L499" s="13" t="str">
        <f ca="1">IFERROR(__xludf.DUMMYFUNCTION("""COMPUTED_VALUE"""),"H3_B11_3.mp3")</f>
        <v>H3_B11_3.mp3</v>
      </c>
      <c r="M499" s="13" t="str">
        <f ca="1">IFERROR(__xludf.DUMMYFUNCTION("""COMPUTED_VALUE"""),"H3_B11_VD_3.mp3")</f>
        <v>H3_B11_VD_3.mp3</v>
      </c>
    </row>
    <row r="500" spans="1:13">
      <c r="A500" s="13">
        <f ca="1">IFERROR(__xludf.DUMMYFUNCTION("""COMPUTED_VALUE"""),4)</f>
        <v>4</v>
      </c>
      <c r="B500" s="13"/>
      <c r="C500" s="13" t="str">
        <f ca="1">IFERROR(__xludf.DUMMYFUNCTION("""COMPUTED_VALUE"""),"双")</f>
        <v>双</v>
      </c>
      <c r="D500" s="13" t="str">
        <f ca="1">IFERROR(__xludf.DUMMYFUNCTION("""COMPUTED_VALUE"""),"&lt;ruby&gt;双&lt;rt&gt;shuāng&lt;/rt&gt;&lt;/ruby&gt;")</f>
        <v>&lt;ruby&gt;双&lt;rt&gt;shuāng&lt;/rt&gt;&lt;/ruby&gt;</v>
      </c>
      <c r="E500" s="13" t="str">
        <f ca="1">IFERROR(__xludf.DUMMYFUNCTION("""COMPUTED_VALUE"""),"shuāng")</f>
        <v>shuāng</v>
      </c>
      <c r="F500" s="13" t="str">
        <f ca="1">IFERROR(__xludf.DUMMYFUNCTION("""COMPUTED_VALUE"""),"Lượng từ ")</f>
        <v xml:space="preserve">Lượng từ </v>
      </c>
      <c r="G500" s="13" t="str">
        <f ca="1">IFERROR(__xludf.DUMMYFUNCTION("""COMPUTED_VALUE"""),"Đôi")</f>
        <v>Đôi</v>
      </c>
      <c r="H500" s="13" t="str">
        <f ca="1">IFERROR(__xludf.DUMMYFUNCTION("""COMPUTED_VALUE"""),"我刚买了一双新凉鞋。")</f>
        <v>我刚买了一双新凉鞋。</v>
      </c>
      <c r="I500" s="13" t="str">
        <f ca="1">IFERROR(__xludf.DUMMYFUNCTION("""COMPUTED_VALUE"""),"Wǒ gāng mǎi le yī shuāng xīn liángxié.")</f>
        <v>Wǒ gāng mǎi le yī shuāng xīn liángxié.</v>
      </c>
      <c r="J500" s="13" t="str">
        <f ca="1">IFERROR(__xludf.DUMMYFUNCTION("""COMPUTED_VALUE"""),"Tôi vừa mua một đôi dép mới.")</f>
        <v>Tôi vừa mua một đôi dép mới.</v>
      </c>
      <c r="K500" s="13" t="str">
        <f ca="1">IFERROR(__xludf.DUMMYFUNCTION("""COMPUTED_VALUE"""),"H3_B11_BG-04.gif")</f>
        <v>H3_B11_BG-04.gif</v>
      </c>
      <c r="L500" s="13" t="str">
        <f ca="1">IFERROR(__xludf.DUMMYFUNCTION("""COMPUTED_VALUE"""),"H3_B11_4.mp3")</f>
        <v>H3_B11_4.mp3</v>
      </c>
      <c r="M500" s="13" t="str">
        <f ca="1">IFERROR(__xludf.DUMMYFUNCTION("""COMPUTED_VALUE"""),"H3_B11_VD_4.mp3")</f>
        <v>H3_B11_VD_4.mp3</v>
      </c>
    </row>
    <row r="501" spans="1:13">
      <c r="A501" s="13">
        <f ca="1">IFERROR(__xludf.DUMMYFUNCTION("""COMPUTED_VALUE"""),5)</f>
        <v>5</v>
      </c>
      <c r="B501" s="13"/>
      <c r="C501" s="13" t="str">
        <f ca="1">IFERROR(__xludf.DUMMYFUNCTION("""COMPUTED_VALUE"""),"筷子")</f>
        <v>筷子</v>
      </c>
      <c r="D501" s="13" t="str">
        <f ca="1">IFERROR(__xludf.DUMMYFUNCTION("""COMPUTED_VALUE"""),"&lt;ruby&gt;筷子&lt;rt&gt;kuàizi&lt;/rt&gt;&lt;/ruby&gt;")</f>
        <v>&lt;ruby&gt;筷子&lt;rt&gt;kuàizi&lt;/rt&gt;&lt;/ruby&gt;</v>
      </c>
      <c r="E501" s="13" t="str">
        <f ca="1">IFERROR(__xludf.DUMMYFUNCTION("""COMPUTED_VALUE"""),"kuàizi")</f>
        <v>kuàizi</v>
      </c>
      <c r="F501" s="13" t="str">
        <f ca="1">IFERROR(__xludf.DUMMYFUNCTION("""COMPUTED_VALUE"""),"Danh từ")</f>
        <v>Danh từ</v>
      </c>
      <c r="G501" s="13" t="str">
        <f ca="1">IFERROR(__xludf.DUMMYFUNCTION("""COMPUTED_VALUE"""),"Đũa")</f>
        <v>Đũa</v>
      </c>
      <c r="H501" s="13" t="str">
        <f ca="1">IFERROR(__xludf.DUMMYFUNCTION("""COMPUTED_VALUE"""),"这双筷子很漂亮。")</f>
        <v>这双筷子很漂亮。</v>
      </c>
      <c r="I501" s="13" t="str">
        <f ca="1">IFERROR(__xludf.DUMMYFUNCTION("""COMPUTED_VALUE"""),"Zhè shuāng kuàizi hěn piàoliang.")</f>
        <v>Zhè shuāng kuàizi hěn piàoliang.</v>
      </c>
      <c r="J501" s="13" t="str">
        <f ca="1">IFERROR(__xludf.DUMMYFUNCTION("""COMPUTED_VALUE"""),"Đôi đũa này rất đẹp.")</f>
        <v>Đôi đũa này rất đẹp.</v>
      </c>
      <c r="K501" s="13" t="str">
        <f ca="1">IFERROR(__xludf.DUMMYFUNCTION("""COMPUTED_VALUE"""),"H3_B11_BG-05.gif")</f>
        <v>H3_B11_BG-05.gif</v>
      </c>
      <c r="L501" s="13" t="str">
        <f ca="1">IFERROR(__xludf.DUMMYFUNCTION("""COMPUTED_VALUE"""),"H3_B11_5.mp3")</f>
        <v>H3_B11_5.mp3</v>
      </c>
      <c r="M501" s="13" t="str">
        <f ca="1">IFERROR(__xludf.DUMMYFUNCTION("""COMPUTED_VALUE"""),"H3_B11_VD_5.mp3")</f>
        <v>H3_B11_VD_5.mp3</v>
      </c>
    </row>
    <row r="502" spans="1:13">
      <c r="A502" s="13">
        <f ca="1">IFERROR(__xludf.DUMMYFUNCTION("""COMPUTED_VALUE"""),6)</f>
        <v>6</v>
      </c>
      <c r="B502" s="13"/>
      <c r="C502" s="13" t="str">
        <f ca="1">IFERROR(__xludf.DUMMYFUNCTION("""COMPUTED_VALUE"""),"啤酒")</f>
        <v>啤酒</v>
      </c>
      <c r="D502" s="13" t="str">
        <f ca="1">IFERROR(__xludf.DUMMYFUNCTION("""COMPUTED_VALUE"""),"&lt;ruby&gt;啤酒&lt;rt&gt;píjiǔ&lt;/rt&gt;&lt;/ruby&gt;")</f>
        <v>&lt;ruby&gt;啤酒&lt;rt&gt;píjiǔ&lt;/rt&gt;&lt;/ruby&gt;</v>
      </c>
      <c r="E502" s="13" t="str">
        <f ca="1">IFERROR(__xludf.DUMMYFUNCTION("""COMPUTED_VALUE"""),"píjiǔ")</f>
        <v>píjiǔ</v>
      </c>
      <c r="F502" s="13" t="str">
        <f ca="1">IFERROR(__xludf.DUMMYFUNCTION("""COMPUTED_VALUE"""),"Danh từ")</f>
        <v>Danh từ</v>
      </c>
      <c r="G502" s="13" t="str">
        <f ca="1">IFERROR(__xludf.DUMMYFUNCTION("""COMPUTED_VALUE"""),"Bia, rượu bia")</f>
        <v>Bia, rượu bia</v>
      </c>
      <c r="H502" s="13" t="str">
        <f ca="1">IFERROR(__xludf.DUMMYFUNCTION("""COMPUTED_VALUE"""),"我买了四瓶啤酒。")</f>
        <v>我买了四瓶啤酒。</v>
      </c>
      <c r="I502" s="13" t="str">
        <f ca="1">IFERROR(__xludf.DUMMYFUNCTION("""COMPUTED_VALUE"""),"Wǒ mǎi le sì píng píjiǔ.")</f>
        <v>Wǒ mǎi le sì píng píjiǔ.</v>
      </c>
      <c r="J502" s="13" t="str">
        <f ca="1">IFERROR(__xludf.DUMMYFUNCTION("""COMPUTED_VALUE"""),"Tôi đã mua 4 chai bia.")</f>
        <v>Tôi đã mua 4 chai bia.</v>
      </c>
      <c r="K502" s="13" t="str">
        <f ca="1">IFERROR(__xludf.DUMMYFUNCTION("""COMPUTED_VALUE"""),"H3_B11_BG-06.gif")</f>
        <v>H3_B11_BG-06.gif</v>
      </c>
      <c r="L502" s="13" t="str">
        <f ca="1">IFERROR(__xludf.DUMMYFUNCTION("""COMPUTED_VALUE"""),"H3_B11_6.mp3")</f>
        <v>H3_B11_6.mp3</v>
      </c>
      <c r="M502" s="13" t="str">
        <f ca="1">IFERROR(__xludf.DUMMYFUNCTION("""COMPUTED_VALUE"""),"H3_B11_VD_6.mp3")</f>
        <v>H3_B11_VD_6.mp3</v>
      </c>
    </row>
    <row r="503" spans="1:13">
      <c r="A503" s="13">
        <f ca="1">IFERROR(__xludf.DUMMYFUNCTION("""COMPUTED_VALUE"""),7)</f>
        <v>7</v>
      </c>
      <c r="B503" s="13"/>
      <c r="C503" s="13" t="str">
        <f ca="1">IFERROR(__xludf.DUMMYFUNCTION("""COMPUTED_VALUE"""),"瓶子")</f>
        <v>瓶子</v>
      </c>
      <c r="D503" s="13" t="str">
        <f ca="1">IFERROR(__xludf.DUMMYFUNCTION("""COMPUTED_VALUE"""),"&lt;ruby&gt;瓶子&lt;rt&gt;píngzi&lt;/rt&gt;&lt;/ruby&gt;")</f>
        <v>&lt;ruby&gt;瓶子&lt;rt&gt;píngzi&lt;/rt&gt;&lt;/ruby&gt;</v>
      </c>
      <c r="E503" s="13" t="str">
        <f ca="1">IFERROR(__xludf.DUMMYFUNCTION("""COMPUTED_VALUE"""),"píngzi")</f>
        <v>píngzi</v>
      </c>
      <c r="F503" s="13" t="str">
        <f ca="1">IFERROR(__xludf.DUMMYFUNCTION("""COMPUTED_VALUE"""),"Danh từ")</f>
        <v>Danh từ</v>
      </c>
      <c r="G503" s="13" t="str">
        <f ca="1">IFERROR(__xludf.DUMMYFUNCTION("""COMPUTED_VALUE"""),"Lọ, bình")</f>
        <v>Lọ, bình</v>
      </c>
      <c r="H503" s="13" t="str">
        <f ca="1">IFERROR(__xludf.DUMMYFUNCTION("""COMPUTED_VALUE"""),"瓶子里还有很多糖果。")</f>
        <v>瓶子里还有很多糖果。</v>
      </c>
      <c r="I503" s="13" t="str">
        <f ca="1">IFERROR(__xludf.DUMMYFUNCTION("""COMPUTED_VALUE"""),"Píngzi lǐ hái yǒu hěn duō tángguǒ.")</f>
        <v>Píngzi lǐ hái yǒu hěn duō tángguǒ.</v>
      </c>
      <c r="J503" s="13" t="str">
        <f ca="1">IFERROR(__xludf.DUMMYFUNCTION("""COMPUTED_VALUE"""),"Trong lọ còn rất nhiều bánh.")</f>
        <v>Trong lọ còn rất nhiều bánh.</v>
      </c>
      <c r="K503" s="13" t="str">
        <f ca="1">IFERROR(__xludf.DUMMYFUNCTION("""COMPUTED_VALUE"""),"H3_B11_BG-07.gif")</f>
        <v>H3_B11_BG-07.gif</v>
      </c>
      <c r="L503" s="13" t="str">
        <f ca="1">IFERROR(__xludf.DUMMYFUNCTION("""COMPUTED_VALUE"""),"H3_B11_7.mp3")</f>
        <v>H3_B11_7.mp3</v>
      </c>
      <c r="M503" s="13" t="str">
        <f ca="1">IFERROR(__xludf.DUMMYFUNCTION("""COMPUTED_VALUE"""),"H3_B11_VD_7.mp3")</f>
        <v>H3_B11_VD_7.mp3</v>
      </c>
    </row>
    <row r="504" spans="1:13">
      <c r="A504" s="13">
        <f ca="1">IFERROR(__xludf.DUMMYFUNCTION("""COMPUTED_VALUE"""),8)</f>
        <v>8</v>
      </c>
      <c r="B504" s="13"/>
      <c r="C504" s="13" t="str">
        <f ca="1">IFERROR(__xludf.DUMMYFUNCTION("""COMPUTED_VALUE"""),"笔记本")</f>
        <v>笔记本</v>
      </c>
      <c r="D504" s="13" t="str">
        <f ca="1">IFERROR(__xludf.DUMMYFUNCTION("""COMPUTED_VALUE"""),"&lt;ruby&gt;笔记本&lt;rt&gt;bǐjìběn&lt;/rt&gt;&lt;/ruby&gt;")</f>
        <v>&lt;ruby&gt;笔记本&lt;rt&gt;bǐjìběn&lt;/rt&gt;&lt;/ruby&gt;</v>
      </c>
      <c r="E504" s="13" t="str">
        <f ca="1">IFERROR(__xludf.DUMMYFUNCTION("""COMPUTED_VALUE"""),"bǐjìběn")</f>
        <v>bǐjìběn</v>
      </c>
      <c r="F504" s="13" t="str">
        <f ca="1">IFERROR(__xludf.DUMMYFUNCTION("""COMPUTED_VALUE"""),"Danh từ")</f>
        <v>Danh từ</v>
      </c>
      <c r="G504" s="13" t="str">
        <f ca="1">IFERROR(__xludf.DUMMYFUNCTION("""COMPUTED_VALUE"""),"Máy tính bảng, laptop hoặc sổ ghi chép")</f>
        <v>Máy tính bảng, laptop hoặc sổ ghi chép</v>
      </c>
      <c r="H504" s="13" t="str">
        <f ca="1">IFERROR(__xludf.DUMMYFUNCTION("""COMPUTED_VALUE"""),"那台笔记本电脑非常贵。")</f>
        <v>那台笔记本电脑非常贵。</v>
      </c>
      <c r="I504" s="13" t="str">
        <f ca="1">IFERROR(__xludf.DUMMYFUNCTION("""COMPUTED_VALUE"""),"Nà tái bǐjìběn diànnǎo fēicháng guì.")</f>
        <v>Nà tái bǐjìběn diànnǎo fēicháng guì.</v>
      </c>
      <c r="J504" s="13" t="str">
        <f ca="1">IFERROR(__xludf.DUMMYFUNCTION("""COMPUTED_VALUE"""),"Chiếc laptop đó rất đắt đỏ.")</f>
        <v>Chiếc laptop đó rất đắt đỏ.</v>
      </c>
      <c r="K504" s="13" t="str">
        <f ca="1">IFERROR(__xludf.DUMMYFUNCTION("""COMPUTED_VALUE"""),"H3_B11_BG-08.gif")</f>
        <v>H3_B11_BG-08.gif</v>
      </c>
      <c r="L504" s="13" t="str">
        <f ca="1">IFERROR(__xludf.DUMMYFUNCTION("""COMPUTED_VALUE"""),"H3_B11_8.mp3")</f>
        <v>H3_B11_8.mp3</v>
      </c>
      <c r="M504" s="13" t="str">
        <f ca="1">IFERROR(__xludf.DUMMYFUNCTION("""COMPUTED_VALUE"""),"H3_B11_VD_8.mp3")</f>
        <v>H3_B11_VD_8.mp3</v>
      </c>
    </row>
    <row r="505" spans="1:13">
      <c r="A505" s="13">
        <f ca="1">IFERROR(__xludf.DUMMYFUNCTION("""COMPUTED_VALUE"""),9)</f>
        <v>9</v>
      </c>
      <c r="B505" s="13"/>
      <c r="C505" s="13" t="str">
        <f ca="1">IFERROR(__xludf.DUMMYFUNCTION("""COMPUTED_VALUE"""),"电脑")</f>
        <v>电脑</v>
      </c>
      <c r="D505" s="13" t="str">
        <f ca="1">IFERROR(__xludf.DUMMYFUNCTION("""COMPUTED_VALUE"""),"&lt;ruby&gt;电脑&lt;rt&gt;diànnǎo&lt;/rt&gt;&lt;/ruby&gt;")</f>
        <v>&lt;ruby&gt;电脑&lt;rt&gt;diànnǎo&lt;/rt&gt;&lt;/ruby&gt;</v>
      </c>
      <c r="E505" s="13" t="str">
        <f ca="1">IFERROR(__xludf.DUMMYFUNCTION("""COMPUTED_VALUE"""),"diànnǎo")</f>
        <v>diànnǎo</v>
      </c>
      <c r="F505" s="13" t="str">
        <f ca="1">IFERROR(__xludf.DUMMYFUNCTION("""COMPUTED_VALUE"""),"Danh từ")</f>
        <v>Danh từ</v>
      </c>
      <c r="G505" s="13" t="str">
        <f ca="1">IFERROR(__xludf.DUMMYFUNCTION("""COMPUTED_VALUE"""),"Máy tính (dùng để chỉ tất cả các loại)")</f>
        <v>Máy tính (dùng để chỉ tất cả các loại)</v>
      </c>
      <c r="H505" s="13" t="str">
        <f ca="1">IFERROR(__xludf.DUMMYFUNCTION("""COMPUTED_VALUE"""),"电脑的种类非常多。")</f>
        <v>电脑的种类非常多。</v>
      </c>
      <c r="I505" s="13" t="str">
        <f ca="1">IFERROR(__xludf.DUMMYFUNCTION("""COMPUTED_VALUE"""),"Diànnǎo de zhǒnglèi fēicháng duō.")</f>
        <v>Diànnǎo de zhǒnglèi fēicháng duō.</v>
      </c>
      <c r="J505" s="13" t="str">
        <f ca="1">IFERROR(__xludf.DUMMYFUNCTION("""COMPUTED_VALUE"""),"Máy tính có rất nhiều loại.")</f>
        <v>Máy tính có rất nhiều loại.</v>
      </c>
      <c r="K505" s="13" t="str">
        <f ca="1">IFERROR(__xludf.DUMMYFUNCTION("""COMPUTED_VALUE"""),"H3_B11_BG-09.gif")</f>
        <v>H3_B11_BG-09.gif</v>
      </c>
      <c r="L505" s="13" t="str">
        <f ca="1">IFERROR(__xludf.DUMMYFUNCTION("""COMPUTED_VALUE"""),"H3_B11_9.mp3")</f>
        <v>H3_B11_9.mp3</v>
      </c>
      <c r="M505" s="13" t="str">
        <f ca="1">IFERROR(__xludf.DUMMYFUNCTION("""COMPUTED_VALUE"""),"H3_B11_VD_9.mp3")</f>
        <v>H3_B11_VD_9.mp3</v>
      </c>
    </row>
    <row r="506" spans="1:13">
      <c r="A506" s="13">
        <f ca="1">IFERROR(__xludf.DUMMYFUNCTION("""COMPUTED_VALUE"""),10)</f>
        <v>10</v>
      </c>
      <c r="B506" s="13"/>
      <c r="C506" s="13" t="str">
        <f ca="1">IFERROR(__xludf.DUMMYFUNCTION("""COMPUTED_VALUE"""),"电子邮件")</f>
        <v>电子邮件</v>
      </c>
      <c r="D506" s="13" t="str">
        <f ca="1">IFERROR(__xludf.DUMMYFUNCTION("""COMPUTED_VALUE"""),"&lt;ruby&gt;电子邮件&lt;rt&gt;diànzǐ yóujiàn&lt;/rt&gt;&lt;/ruby&gt;")</f>
        <v>&lt;ruby&gt;电子邮件&lt;rt&gt;diànzǐ yóujiàn&lt;/rt&gt;&lt;/ruby&gt;</v>
      </c>
      <c r="E506" s="13" t="str">
        <f ca="1">IFERROR(__xludf.DUMMYFUNCTION("""COMPUTED_VALUE"""),"diànzǐ yóujiàn")</f>
        <v>diànzǐ yóujiàn</v>
      </c>
      <c r="F506" s="13"/>
      <c r="G506" s="13" t="str">
        <f ca="1">IFERROR(__xludf.DUMMYFUNCTION("""COMPUTED_VALUE"""),"Email")</f>
        <v>Email</v>
      </c>
      <c r="H506" s="13" t="str">
        <f ca="1">IFERROR(__xludf.DUMMYFUNCTION("""COMPUTED_VALUE"""),"我刚收到一封电子邮件。")</f>
        <v>我刚收到一封电子邮件。</v>
      </c>
      <c r="I506" s="13" t="str">
        <f ca="1">IFERROR(__xludf.DUMMYFUNCTION("""COMPUTED_VALUE"""),"Wǒ gāng shōudào yī fēng diànzǐ yóujiàn.")</f>
        <v>Wǒ gāng shōudào yī fēng diànzǐ yóujiàn.</v>
      </c>
      <c r="J506" s="13" t="str">
        <f ca="1">IFERROR(__xludf.DUMMYFUNCTION("""COMPUTED_VALUE"""),"Tôi vừa nhận được một e-mail.")</f>
        <v>Tôi vừa nhận được một e-mail.</v>
      </c>
      <c r="K506" s="13" t="str">
        <f ca="1">IFERROR(__xludf.DUMMYFUNCTION("""COMPUTED_VALUE"""),"H3_B11_BG-10.gif")</f>
        <v>H3_B11_BG-10.gif</v>
      </c>
      <c r="L506" s="13" t="str">
        <f ca="1">IFERROR(__xludf.DUMMYFUNCTION("""COMPUTED_VALUE"""),"H3_B11_10.mp3")</f>
        <v>H3_B11_10.mp3</v>
      </c>
      <c r="M506" s="13" t="str">
        <f ca="1">IFERROR(__xludf.DUMMYFUNCTION("""COMPUTED_VALUE"""),"H3_B11_VD_10.mp3")</f>
        <v>H3_B11_VD_10.mp3</v>
      </c>
    </row>
    <row r="507" spans="1:13">
      <c r="A507" s="13">
        <f ca="1">IFERROR(__xludf.DUMMYFUNCTION("""COMPUTED_VALUE"""),11)</f>
        <v>11</v>
      </c>
      <c r="B507" s="13"/>
      <c r="C507" s="13" t="str">
        <f ca="1">IFERROR(__xludf.DUMMYFUNCTION("""COMPUTED_VALUE"""),"图书馆")</f>
        <v>图书馆</v>
      </c>
      <c r="D507" s="13" t="str">
        <f ca="1">IFERROR(__xludf.DUMMYFUNCTION("""COMPUTED_VALUE"""),"&lt;ruby&gt;图书馆&lt;rt&gt;túshūguǎn&lt;/rt&gt;&lt;/ruby&gt;")</f>
        <v>&lt;ruby&gt;图书馆&lt;rt&gt;túshūguǎn&lt;/rt&gt;&lt;/ruby&gt;</v>
      </c>
      <c r="E507" s="13" t="str">
        <f ca="1">IFERROR(__xludf.DUMMYFUNCTION("""COMPUTED_VALUE"""),"túshūguǎn")</f>
        <v>túshūguǎn</v>
      </c>
      <c r="F507" s="13" t="str">
        <f ca="1">IFERROR(__xludf.DUMMYFUNCTION("""COMPUTED_VALUE"""),"Danh từ")</f>
        <v>Danh từ</v>
      </c>
      <c r="G507" s="13" t="str">
        <f ca="1">IFERROR(__xludf.DUMMYFUNCTION("""COMPUTED_VALUE"""),"Thư viện")</f>
        <v>Thư viện</v>
      </c>
      <c r="H507" s="13" t="str">
        <f ca="1">IFERROR(__xludf.DUMMYFUNCTION("""COMPUTED_VALUE"""),"这个城市的图书馆非常有名。")</f>
        <v>这个城市的图书馆非常有名。</v>
      </c>
      <c r="I507" s="13" t="str">
        <f ca="1">IFERROR(__xludf.DUMMYFUNCTION("""COMPUTED_VALUE"""),"Zhè gè chéngshì de túshūguǎn fēicháng yǒumíng.")</f>
        <v>Zhè gè chéngshì de túshūguǎn fēicháng yǒumíng.</v>
      </c>
      <c r="J507" s="13" t="str">
        <f ca="1">IFERROR(__xludf.DUMMYFUNCTION("""COMPUTED_VALUE"""),"Thư viện của thành phố này rất nổi tiếng.")</f>
        <v>Thư viện của thành phố này rất nổi tiếng.</v>
      </c>
      <c r="K507" s="13" t="str">
        <f ca="1">IFERROR(__xludf.DUMMYFUNCTION("""COMPUTED_VALUE"""),"H3_B11_BG-11.gif")</f>
        <v>H3_B11_BG-11.gif</v>
      </c>
      <c r="L507" s="13" t="str">
        <f ca="1">IFERROR(__xludf.DUMMYFUNCTION("""COMPUTED_VALUE"""),"H3_B11_11.mp3")</f>
        <v>H3_B11_11.mp3</v>
      </c>
      <c r="M507" s="13" t="str">
        <f ca="1">IFERROR(__xludf.DUMMYFUNCTION("""COMPUTED_VALUE"""),"H3_B11_VD_11.mp3")</f>
        <v>H3_B11_VD_11.mp3</v>
      </c>
    </row>
    <row r="508" spans="1:13">
      <c r="A508" s="13">
        <f ca="1">IFERROR(__xludf.DUMMYFUNCTION("""COMPUTED_VALUE"""),12)</f>
        <v>12</v>
      </c>
      <c r="B508" s="13"/>
      <c r="C508" s="13" t="str">
        <f ca="1">IFERROR(__xludf.DUMMYFUNCTION("""COMPUTED_VALUE"""),"借")</f>
        <v>借</v>
      </c>
      <c r="D508" s="13" t="str">
        <f ca="1">IFERROR(__xludf.DUMMYFUNCTION("""COMPUTED_VALUE"""),"&lt;ruby&gt;借&lt;rt&gt;jiè&lt;/rt&gt;&lt;/ruby&gt;")</f>
        <v>&lt;ruby&gt;借&lt;rt&gt;jiè&lt;/rt&gt;&lt;/ruby&gt;</v>
      </c>
      <c r="E508" s="13" t="str">
        <f ca="1">IFERROR(__xludf.DUMMYFUNCTION("""COMPUTED_VALUE"""),"jiè")</f>
        <v>jiè</v>
      </c>
      <c r="F508" s="13" t="str">
        <f ca="1">IFERROR(__xludf.DUMMYFUNCTION("""COMPUTED_VALUE"""),"Động từ")</f>
        <v>Động từ</v>
      </c>
      <c r="G508" s="13" t="str">
        <f ca="1">IFERROR(__xludf.DUMMYFUNCTION("""COMPUTED_VALUE"""),"Mượn, vay")</f>
        <v>Mượn, vay</v>
      </c>
      <c r="H508" s="13" t="str">
        <f ca="1">IFERROR(__xludf.DUMMYFUNCTION("""COMPUTED_VALUE"""),"他经常从图书馆借书。")</f>
        <v>他经常从图书馆借书。</v>
      </c>
      <c r="I508" s="13" t="str">
        <f ca="1">IFERROR(__xludf.DUMMYFUNCTION("""COMPUTED_VALUE"""),"Tā jīngcháng cóng túshūguǎn jiè shū.")</f>
        <v>Tā jīngcháng cóng túshūguǎn jiè shū.</v>
      </c>
      <c r="J508" s="13" t="str">
        <f ca="1">IFERROR(__xludf.DUMMYFUNCTION("""COMPUTED_VALUE"""),"Anh ấy hay mượn sách của thư viện.")</f>
        <v>Anh ấy hay mượn sách của thư viện.</v>
      </c>
      <c r="K508" s="13" t="str">
        <f ca="1">IFERROR(__xludf.DUMMYFUNCTION("""COMPUTED_VALUE"""),"H3_B11_BG-12.gif")</f>
        <v>H3_B11_BG-12.gif</v>
      </c>
      <c r="L508" s="13" t="str">
        <f ca="1">IFERROR(__xludf.DUMMYFUNCTION("""COMPUTED_VALUE"""),"H3_B11_12.mp3")</f>
        <v>H3_B11_12.mp3</v>
      </c>
      <c r="M508" s="13" t="str">
        <f ca="1">IFERROR(__xludf.DUMMYFUNCTION("""COMPUTED_VALUE"""),"H3_B11_VD_12.mp3")</f>
        <v>H3_B11_VD_12.mp3</v>
      </c>
    </row>
    <row r="509" spans="1:13">
      <c r="A509" s="13">
        <f ca="1">IFERROR(__xludf.DUMMYFUNCTION("""COMPUTED_VALUE"""),13)</f>
        <v>13</v>
      </c>
      <c r="B509" s="13"/>
      <c r="C509" s="13" t="str">
        <f ca="1">IFERROR(__xludf.DUMMYFUNCTION("""COMPUTED_VALUE"""),"还")</f>
        <v>还</v>
      </c>
      <c r="D509" s="13" t="str">
        <f ca="1">IFERROR(__xludf.DUMMYFUNCTION("""COMPUTED_VALUE"""),"&lt;ruby&gt;还&lt;rt&gt;huán&lt;/rt&gt;&lt;/ruby&gt;")</f>
        <v>&lt;ruby&gt;还&lt;rt&gt;huán&lt;/rt&gt;&lt;/ruby&gt;</v>
      </c>
      <c r="E509" s="13" t="str">
        <f ca="1">IFERROR(__xludf.DUMMYFUNCTION("""COMPUTED_VALUE"""),"huán")</f>
        <v>huán</v>
      </c>
      <c r="F509" s="13" t="str">
        <f ca="1">IFERROR(__xludf.DUMMYFUNCTION("""COMPUTED_VALUE"""),"Động từ")</f>
        <v>Động từ</v>
      </c>
      <c r="G509" s="13" t="str">
        <f ca="1">IFERROR(__xludf.DUMMYFUNCTION("""COMPUTED_VALUE"""),"Trả")</f>
        <v>Trả</v>
      </c>
      <c r="H509" s="13" t="str">
        <f ca="1">IFERROR(__xludf.DUMMYFUNCTION("""COMPUTED_VALUE"""),"他已经把钱还给我了。")</f>
        <v>他已经把钱还给我了。</v>
      </c>
      <c r="I509" s="13" t="str">
        <f ca="1">IFERROR(__xludf.DUMMYFUNCTION("""COMPUTED_VALUE"""),"Tā yǐjīng bǎ qián huán gěi wǒ le.")</f>
        <v>Tā yǐjīng bǎ qián huán gěi wǒ le.</v>
      </c>
      <c r="J509" s="13" t="str">
        <f ca="1">IFERROR(__xludf.DUMMYFUNCTION("""COMPUTED_VALUE"""),"Anh ấy đã trả tiền cho tôi.")</f>
        <v>Anh ấy đã trả tiền cho tôi.</v>
      </c>
      <c r="K509" s="13" t="str">
        <f ca="1">IFERROR(__xludf.DUMMYFUNCTION("""COMPUTED_VALUE"""),"H3_B11_BG-13.gif")</f>
        <v>H3_B11_BG-13.gif</v>
      </c>
      <c r="L509" s="13" t="str">
        <f ca="1">IFERROR(__xludf.DUMMYFUNCTION("""COMPUTED_VALUE"""),"H3_B11_13.mp3")</f>
        <v>H3_B11_13.mp3</v>
      </c>
      <c r="M509" s="13" t="str">
        <f ca="1">IFERROR(__xludf.DUMMYFUNCTION("""COMPUTED_VALUE"""),"H3_B11_VD_13.mp3")</f>
        <v>H3_B11_VD_13.mp3</v>
      </c>
    </row>
    <row r="510" spans="1:13">
      <c r="A510" s="13">
        <f ca="1">IFERROR(__xludf.DUMMYFUNCTION("""COMPUTED_VALUE"""),14)</f>
        <v>14</v>
      </c>
      <c r="B510" s="13"/>
      <c r="C510" s="13" t="str">
        <f ca="1">IFERROR(__xludf.DUMMYFUNCTION("""COMPUTED_VALUE"""),"会议")</f>
        <v>会议</v>
      </c>
      <c r="D510" s="13" t="str">
        <f ca="1">IFERROR(__xludf.DUMMYFUNCTION("""COMPUTED_VALUE"""),"&lt;ruby&gt;会议&lt;rt&gt;huìyì&lt;/rt&gt;&lt;/ruby&gt;")</f>
        <v>&lt;ruby&gt;会议&lt;rt&gt;huìyì&lt;/rt&gt;&lt;/ruby&gt;</v>
      </c>
      <c r="E510" s="13" t="str">
        <f ca="1">IFERROR(__xludf.DUMMYFUNCTION("""COMPUTED_VALUE"""),"huìyì")</f>
        <v>huìyì</v>
      </c>
      <c r="F510" s="13" t="str">
        <f ca="1">IFERROR(__xludf.DUMMYFUNCTION("""COMPUTED_VALUE"""),"Danh từ")</f>
        <v>Danh từ</v>
      </c>
      <c r="G510" s="13" t="str">
        <f ca="1">IFERROR(__xludf.DUMMYFUNCTION("""COMPUTED_VALUE"""),"Hội nghị, cuộc họp")</f>
        <v>Hội nghị, cuộc họp</v>
      </c>
      <c r="H510" s="13" t="str">
        <f ca="1">IFERROR(__xludf.DUMMYFUNCTION("""COMPUTED_VALUE"""),"今天我们有一个会议。")</f>
        <v>今天我们有一个会议。</v>
      </c>
      <c r="I510" s="13" t="str">
        <f ca="1">IFERROR(__xludf.DUMMYFUNCTION("""COMPUTED_VALUE"""),"Jīntiān wǒmen yǒu yī gè huìyì.")</f>
        <v>Jīntiān wǒmen yǒu yī gè huìyì.</v>
      </c>
      <c r="J510" s="13" t="str">
        <f ca="1">IFERROR(__xludf.DUMMYFUNCTION("""COMPUTED_VALUE"""),"Hôm nay chúng ta có một cuộc họp.")</f>
        <v>Hôm nay chúng ta có một cuộc họp.</v>
      </c>
      <c r="K510" s="13" t="str">
        <f ca="1">IFERROR(__xludf.DUMMYFUNCTION("""COMPUTED_VALUE"""),"H3_B11_BG-14.gif")</f>
        <v>H3_B11_BG-14.gif</v>
      </c>
      <c r="L510" s="13" t="str">
        <f ca="1">IFERROR(__xludf.DUMMYFUNCTION("""COMPUTED_VALUE"""),"H3_B11_14.mp3")</f>
        <v>H3_B11_14.mp3</v>
      </c>
      <c r="M510" s="13" t="str">
        <f ca="1">IFERROR(__xludf.DUMMYFUNCTION("""COMPUTED_VALUE"""),"H3_B11_VD_14.mp3")</f>
        <v>H3_B11_VD_14.mp3</v>
      </c>
    </row>
    <row r="511" spans="1:13">
      <c r="A511" s="13">
        <f ca="1">IFERROR(__xludf.DUMMYFUNCTION("""COMPUTED_VALUE"""),15)</f>
        <v>15</v>
      </c>
      <c r="B511" s="13"/>
      <c r="C511" s="13" t="str">
        <f ca="1">IFERROR(__xludf.DUMMYFUNCTION("""COMPUTED_VALUE"""),"结束")</f>
        <v>结束</v>
      </c>
      <c r="D511" s="13" t="str">
        <f ca="1">IFERROR(__xludf.DUMMYFUNCTION("""COMPUTED_VALUE"""),"&lt;ruby&gt;结束&lt;rt&gt;jiéshù&lt;/rt&gt;&lt;/ruby&gt;")</f>
        <v>&lt;ruby&gt;结束&lt;rt&gt;jiéshù&lt;/rt&gt;&lt;/ruby&gt;</v>
      </c>
      <c r="E511" s="13" t="str">
        <f ca="1">IFERROR(__xludf.DUMMYFUNCTION("""COMPUTED_VALUE"""),"jiéshù")</f>
        <v>jiéshù</v>
      </c>
      <c r="F511" s="13" t="str">
        <f ca="1">IFERROR(__xludf.DUMMYFUNCTION("""COMPUTED_VALUE"""),"Động từ")</f>
        <v>Động từ</v>
      </c>
      <c r="G511" s="13" t="str">
        <f ca="1">IFERROR(__xludf.DUMMYFUNCTION("""COMPUTED_VALUE"""),"Kết thúc, chấm dứt")</f>
        <v>Kết thúc, chấm dứt</v>
      </c>
      <c r="H511" s="13" t="str">
        <f ca="1">IFERROR(__xludf.DUMMYFUNCTION("""COMPUTED_VALUE"""),"我们的感情已经结束了。")</f>
        <v>我们的感情已经结束了。</v>
      </c>
      <c r="I511" s="13" t="str">
        <f ca="1">IFERROR(__xludf.DUMMYFUNCTION("""COMPUTED_VALUE"""),"Wǒmen de gǎnqíng yǐjīng jiéshù le.")</f>
        <v>Wǒmen de gǎnqíng yǐjīng jiéshù le.</v>
      </c>
      <c r="J511" s="13" t="str">
        <f ca="1">IFERROR(__xludf.DUMMYFUNCTION("""COMPUTED_VALUE"""),"Cuộc tình của chúng tôi đã kết thúc.")</f>
        <v>Cuộc tình của chúng tôi đã kết thúc.</v>
      </c>
      <c r="K511" s="13" t="str">
        <f ca="1">IFERROR(__xludf.DUMMYFUNCTION("""COMPUTED_VALUE"""),"H3_B11_BG-15.gif")</f>
        <v>H3_B11_BG-15.gif</v>
      </c>
      <c r="L511" s="13" t="str">
        <f ca="1">IFERROR(__xludf.DUMMYFUNCTION("""COMPUTED_VALUE"""),"H3_B11_15.mp3")</f>
        <v>H3_B11_15.mp3</v>
      </c>
      <c r="M511" s="13" t="str">
        <f ca="1">IFERROR(__xludf.DUMMYFUNCTION("""COMPUTED_VALUE"""),"H3_B11_VD_15.mp3")</f>
        <v>H3_B11_VD_15.mp3</v>
      </c>
    </row>
    <row r="512" spans="1:13">
      <c r="A512" s="13">
        <f ca="1">IFERROR(__xludf.DUMMYFUNCTION("""COMPUTED_VALUE"""),16)</f>
        <v>16</v>
      </c>
      <c r="B512" s="13"/>
      <c r="C512" s="13" t="str">
        <f ca="1">IFERROR(__xludf.DUMMYFUNCTION("""COMPUTED_VALUE"""),"忘记")</f>
        <v>忘记</v>
      </c>
      <c r="D512" s="13" t="str">
        <f ca="1">IFERROR(__xludf.DUMMYFUNCTION("""COMPUTED_VALUE"""),"&lt;ruby&gt;忘记&lt;rt&gt;wàngjì&lt;/rt&gt;&lt;/ruby&gt;")</f>
        <v>&lt;ruby&gt;忘记&lt;rt&gt;wàngjì&lt;/rt&gt;&lt;/ruby&gt;</v>
      </c>
      <c r="E512" s="13" t="str">
        <f ca="1">IFERROR(__xludf.DUMMYFUNCTION("""COMPUTED_VALUE"""),"wàngjì")</f>
        <v>wàngjì</v>
      </c>
      <c r="F512" s="13" t="str">
        <f ca="1">IFERROR(__xludf.DUMMYFUNCTION("""COMPUTED_VALUE"""),"Động từ")</f>
        <v>Động từ</v>
      </c>
      <c r="G512" s="13" t="str">
        <f ca="1">IFERROR(__xludf.DUMMYFUNCTION("""COMPUTED_VALUE"""),"Quên")</f>
        <v>Quên</v>
      </c>
      <c r="H512" s="13" t="str">
        <f ca="1">IFERROR(__xludf.DUMMYFUNCTION("""COMPUTED_VALUE"""),"她忘记了把玩具带到新家。")</f>
        <v>她忘记了把玩具带到新家。</v>
      </c>
      <c r="I512" s="13" t="str">
        <f ca="1">IFERROR(__xludf.DUMMYFUNCTION("""COMPUTED_VALUE"""),"Tā wàngjì le bǎ wánjù dài dào xīn jiā.")</f>
        <v>Tā wàngjì le bǎ wánjù dài dào xīn jiā.</v>
      </c>
      <c r="J512" s="13" t="str">
        <f ca="1">IFERROR(__xludf.DUMMYFUNCTION("""COMPUTED_VALUE"""),"Cô ấy quên không mang đồ chơi đến nhà mới.")</f>
        <v>Cô ấy quên không mang đồ chơi đến nhà mới.</v>
      </c>
      <c r="K512" s="13" t="str">
        <f ca="1">IFERROR(__xludf.DUMMYFUNCTION("""COMPUTED_VALUE"""),"H3_B11_BG-16.gif")</f>
        <v>H3_B11_BG-16.gif</v>
      </c>
      <c r="L512" s="13" t="str">
        <f ca="1">IFERROR(__xludf.DUMMYFUNCTION("""COMPUTED_VALUE"""),"H3_B11_16.mp3")</f>
        <v>H3_B11_16.mp3</v>
      </c>
      <c r="M512" s="13" t="str">
        <f ca="1">IFERROR(__xludf.DUMMYFUNCTION("""COMPUTED_VALUE"""),"H3_B11_VD_16.mp3")</f>
        <v>H3_B11_VD_16.mp3</v>
      </c>
    </row>
    <row r="513" spans="1:13">
      <c r="A513" s="13">
        <f ca="1">IFERROR(__xludf.DUMMYFUNCTION("""COMPUTED_VALUE"""),17)</f>
        <v>17</v>
      </c>
      <c r="B513" s="13"/>
      <c r="C513" s="13" t="str">
        <f ca="1">IFERROR(__xludf.DUMMYFUNCTION("""COMPUTED_VALUE"""),"关")</f>
        <v>关</v>
      </c>
      <c r="D513" s="13" t="str">
        <f ca="1">IFERROR(__xludf.DUMMYFUNCTION("""COMPUTED_VALUE"""),"&lt;ruby&gt;关&lt;rt&gt;guān&lt;/rt&gt;&lt;/ruby&gt;")</f>
        <v>&lt;ruby&gt;关&lt;rt&gt;guān&lt;/rt&gt;&lt;/ruby&gt;</v>
      </c>
      <c r="E513" s="13" t="str">
        <f ca="1">IFERROR(__xludf.DUMMYFUNCTION("""COMPUTED_VALUE"""),"guān")</f>
        <v>guān</v>
      </c>
      <c r="F513" s="13" t="str">
        <f ca="1">IFERROR(__xludf.DUMMYFUNCTION("""COMPUTED_VALUE"""),"Động từ")</f>
        <v>Động từ</v>
      </c>
      <c r="G513" s="13" t="str">
        <f ca="1">IFERROR(__xludf.DUMMYFUNCTION("""COMPUTED_VALUE"""),"Tắt, đóng")</f>
        <v>Tắt, đóng</v>
      </c>
      <c r="H513" s="13" t="str">
        <f ca="1">IFERROR(__xludf.DUMMYFUNCTION("""COMPUTED_VALUE"""),"进房间的时候记得关门。")</f>
        <v>进房间的时候记得关门。</v>
      </c>
      <c r="I513" s="13" t="str">
        <f ca="1">IFERROR(__xludf.DUMMYFUNCTION("""COMPUTED_VALUE"""),"Jìn fángjiān de shíhou jìdé guānmén.")</f>
        <v>Jìn fángjiān de shíhou jìdé guānmén.</v>
      </c>
      <c r="J513" s="13" t="str">
        <f ca="1">IFERROR(__xludf.DUMMYFUNCTION("""COMPUTED_VALUE"""),"Vào phòng nhớ đóng cửa.")</f>
        <v>Vào phòng nhớ đóng cửa.</v>
      </c>
      <c r="K513" s="13" t="str">
        <f ca="1">IFERROR(__xludf.DUMMYFUNCTION("""COMPUTED_VALUE"""),"H3_B11_BG-17.gif")</f>
        <v>H3_B11_BG-17.gif</v>
      </c>
      <c r="L513" s="13" t="str">
        <f ca="1">IFERROR(__xludf.DUMMYFUNCTION("""COMPUTED_VALUE"""),"H3_B11_17.mp3")</f>
        <v>H3_B11_17.mp3</v>
      </c>
      <c r="M513" s="13" t="str">
        <f ca="1">IFERROR(__xludf.DUMMYFUNCTION("""COMPUTED_VALUE"""),"H3_B11_VD_17.mp3")</f>
        <v>H3_B11_VD_17.mp3</v>
      </c>
    </row>
    <row r="514" spans="1:13">
      <c r="A514" s="13">
        <f ca="1">IFERROR(__xludf.DUMMYFUNCTION("""COMPUTED_VALUE"""),18)</f>
        <v>18</v>
      </c>
      <c r="B514" s="13"/>
      <c r="C514" s="13" t="str">
        <f ca="1">IFERROR(__xludf.DUMMYFUNCTION("""COMPUTED_VALUE"""),"地铁")</f>
        <v>地铁</v>
      </c>
      <c r="D514" s="13" t="str">
        <f ca="1">IFERROR(__xludf.DUMMYFUNCTION("""COMPUTED_VALUE"""),"&lt;ruby&gt;地铁&lt;rt&gt;dìtiě&lt;/rt&gt;&lt;/ruby&gt;")</f>
        <v>&lt;ruby&gt;地铁&lt;rt&gt;dìtiě&lt;/rt&gt;&lt;/ruby&gt;</v>
      </c>
      <c r="E514" s="13" t="str">
        <f ca="1">IFERROR(__xludf.DUMMYFUNCTION("""COMPUTED_VALUE"""),"dìtiě")</f>
        <v>dìtiě</v>
      </c>
      <c r="F514" s="13" t="str">
        <f ca="1">IFERROR(__xludf.DUMMYFUNCTION("""COMPUTED_VALUE"""),"Danh từ")</f>
        <v>Danh từ</v>
      </c>
      <c r="G514" s="13" t="str">
        <f ca="1">IFERROR(__xludf.DUMMYFUNCTION("""COMPUTED_VALUE"""),"Tàu điện ngầm")</f>
        <v>Tàu điện ngầm</v>
      </c>
      <c r="H514" s="13" t="str">
        <f ca="1">IFERROR(__xludf.DUMMYFUNCTION("""COMPUTED_VALUE"""),"我每天坐地铁去上班。")</f>
        <v>我每天坐地铁去上班。</v>
      </c>
      <c r="I514" s="13" t="str">
        <f ca="1">IFERROR(__xludf.DUMMYFUNCTION("""COMPUTED_VALUE"""),"Wǒ měitiān zuò dìtiě qù shàngbān.")</f>
        <v>Wǒ měitiān zuò dìtiě qù shàngbān.</v>
      </c>
      <c r="J514" s="13" t="str">
        <f ca="1">IFERROR(__xludf.DUMMYFUNCTION("""COMPUTED_VALUE"""),"Mỗi ngày tôi đi tàu điện ngầm để đi làm.")</f>
        <v>Mỗi ngày tôi đi tàu điện ngầm để đi làm.</v>
      </c>
      <c r="K514" s="13" t="str">
        <f ca="1">IFERROR(__xludf.DUMMYFUNCTION("""COMPUTED_VALUE"""),"H3_B11_BG-18.gif")</f>
        <v>H3_B11_BG-18.gif</v>
      </c>
      <c r="L514" s="13" t="str">
        <f ca="1">IFERROR(__xludf.DUMMYFUNCTION("""COMPUTED_VALUE"""),"H3_B11_18.mp3")</f>
        <v>H3_B11_18.mp3</v>
      </c>
      <c r="M514" s="13" t="str">
        <f ca="1">IFERROR(__xludf.DUMMYFUNCTION("""COMPUTED_VALUE"""),"H3_B11_VD_18.mp3")</f>
        <v>H3_B11_VD_18.mp3</v>
      </c>
    </row>
    <row r="515" spans="1:13">
      <c r="A515" s="13">
        <f ca="1">IFERROR(__xludf.DUMMYFUNCTION("""COMPUTED_VALUE"""),19)</f>
        <v>19</v>
      </c>
      <c r="B515" s="13"/>
      <c r="C515" s="13" t="str">
        <f ca="1">IFERROR(__xludf.DUMMYFUNCTION("""COMPUTED_VALUE"""),"口")</f>
        <v>口</v>
      </c>
      <c r="D515" s="13" t="str">
        <f ca="1">IFERROR(__xludf.DUMMYFUNCTION("""COMPUTED_VALUE"""),"&lt;ruby&gt;口&lt;rt&gt;kǒu&lt;/rt&gt;&lt;/ruby&gt;")</f>
        <v>&lt;ruby&gt;口&lt;rt&gt;kǒu&lt;/rt&gt;&lt;/ruby&gt;</v>
      </c>
      <c r="E515" s="13" t="str">
        <f ca="1">IFERROR(__xludf.DUMMYFUNCTION("""COMPUTED_VALUE"""),"kǒu")</f>
        <v>kǒu</v>
      </c>
      <c r="F515" s="13" t="str">
        <f ca="1">IFERROR(__xludf.DUMMYFUNCTION("""COMPUTED_VALUE"""),"Lượng từ ")</f>
        <v xml:space="preserve">Lượng từ </v>
      </c>
      <c r="G515" s="13" t="str">
        <f ca="1">IFERROR(__xludf.DUMMYFUNCTION("""COMPUTED_VALUE"""),"Miếng, ngụm, hớp")</f>
        <v>Miếng, ngụm, hớp</v>
      </c>
      <c r="H515" s="13" t="str">
        <f ca="1">IFERROR(__xludf.DUMMYFUNCTION("""COMPUTED_VALUE"""),"她分给我一口蛋糕。")</f>
        <v>她分给我一口蛋糕。</v>
      </c>
      <c r="I515" s="13" t="str">
        <f ca="1">IFERROR(__xludf.DUMMYFUNCTION("""COMPUTED_VALUE"""),"Tā fēn gěi wǒ yī kǒu dàngāo.")</f>
        <v>Tā fēn gěi wǒ yī kǒu dàngāo.</v>
      </c>
      <c r="J515" s="13" t="str">
        <f ca="1">IFERROR(__xludf.DUMMYFUNCTION("""COMPUTED_VALUE"""),"Cô ấy cho tôi một miếng bánh ngọt.")</f>
        <v>Cô ấy cho tôi một miếng bánh ngọt.</v>
      </c>
      <c r="K515" s="13" t="str">
        <f ca="1">IFERROR(__xludf.DUMMYFUNCTION("""COMPUTED_VALUE"""),"H3_B11_BG-19.gif")</f>
        <v>H3_B11_BG-19.gif</v>
      </c>
      <c r="L515" s="13" t="str">
        <f ca="1">IFERROR(__xludf.DUMMYFUNCTION("""COMPUTED_VALUE"""),"H3_B11_19.mp3")</f>
        <v>H3_B11_19.mp3</v>
      </c>
      <c r="M515" s="13" t="str">
        <f ca="1">IFERROR(__xludf.DUMMYFUNCTION("""COMPUTED_VALUE"""),"H3_B11_VD_19.mp3")</f>
        <v>H3_B11_VD_19.mp3</v>
      </c>
    </row>
    <row r="516" spans="1:13">
      <c r="A516" s="13">
        <f ca="1">IFERROR(__xludf.DUMMYFUNCTION("""COMPUTED_VALUE"""),20)</f>
        <v>20</v>
      </c>
      <c r="B516" s="13"/>
      <c r="C516" s="13" t="str">
        <f ca="1">IFERROR(__xludf.DUMMYFUNCTION("""COMPUTED_VALUE"""),"习惯")</f>
        <v>习惯</v>
      </c>
      <c r="D516" s="13" t="str">
        <f ca="1">IFERROR(__xludf.DUMMYFUNCTION("""COMPUTED_VALUE"""),"&lt;ruby&gt;习惯&lt;rt&gt;xíguàn&lt;/rt&gt;&lt;/ruby&gt;")</f>
        <v>&lt;ruby&gt;习惯&lt;rt&gt;xíguàn&lt;/rt&gt;&lt;/ruby&gt;</v>
      </c>
      <c r="E516" s="13" t="str">
        <f ca="1">IFERROR(__xludf.DUMMYFUNCTION("""COMPUTED_VALUE"""),"xíguàn")</f>
        <v>xíguàn</v>
      </c>
      <c r="F516" s="13" t="str">
        <f ca="1">IFERROR(__xludf.DUMMYFUNCTION("""COMPUTED_VALUE"""),"Động từ/Danh từ")</f>
        <v>Động từ/Danh từ</v>
      </c>
      <c r="G516" s="13" t="str">
        <f ca="1">IFERROR(__xludf.DUMMYFUNCTION("""COMPUTED_VALUE"""),"Quen; Thói quen")</f>
        <v>Quen; Thói quen</v>
      </c>
      <c r="H516" s="13" t="str">
        <f ca="1">IFERROR(__xludf.DUMMYFUNCTION("""COMPUTED_VALUE"""),"我妹妹有每天早上看书的习惯。")</f>
        <v>我妹妹有每天早上看书的习惯。</v>
      </c>
      <c r="I516" s="13" t="str">
        <f ca="1">IFERROR(__xludf.DUMMYFUNCTION("""COMPUTED_VALUE"""),"Wǒ mèimei yǒu měitiān zǎoshang kàn shū de xíguàn.")</f>
        <v>Wǒ mèimei yǒu měitiān zǎoshang kàn shū de xíguàn.</v>
      </c>
      <c r="J516" s="13" t="str">
        <f ca="1">IFERROR(__xludf.DUMMYFUNCTION("""COMPUTED_VALUE"""),"Em gái tôi có thói quen đọc sách vào mỗi sáng.")</f>
        <v>Em gái tôi có thói quen đọc sách vào mỗi sáng.</v>
      </c>
      <c r="K516" s="13" t="str">
        <f ca="1">IFERROR(__xludf.DUMMYFUNCTION("""COMPUTED_VALUE"""),"H3_B11_BG-20.gif")</f>
        <v>H3_B11_BG-20.gif</v>
      </c>
      <c r="L516" s="13" t="str">
        <f ca="1">IFERROR(__xludf.DUMMYFUNCTION("""COMPUTED_VALUE"""),"H3_B11_20.mp3")</f>
        <v>H3_B11_20.mp3</v>
      </c>
      <c r="M516" s="13" t="str">
        <f ca="1">IFERROR(__xludf.DUMMYFUNCTION("""COMPUTED_VALUE"""),"H3_B11_VD_20.mp3")</f>
        <v>H3_B11_VD_20.mp3</v>
      </c>
    </row>
    <row r="517" spans="1:13">
      <c r="A517" s="13">
        <f ca="1">IFERROR(__xludf.DUMMYFUNCTION("""COMPUTED_VALUE"""),1)</f>
        <v>1</v>
      </c>
      <c r="B517" s="13"/>
      <c r="C517" s="13" t="str">
        <f ca="1">IFERROR(__xludf.DUMMYFUNCTION("""COMPUTED_VALUE"""),"太阳")</f>
        <v>太阳</v>
      </c>
      <c r="D517" s="13" t="str">
        <f ca="1">IFERROR(__xludf.DUMMYFUNCTION("""COMPUTED_VALUE"""),"&lt;ruby&gt;太阳&lt;rt&gt;tàiyáng&lt;/rt&gt;&lt;/ruby&gt;")</f>
        <v>&lt;ruby&gt;太阳&lt;rt&gt;tàiyáng&lt;/rt&gt;&lt;/ruby&gt;</v>
      </c>
      <c r="E517" s="13" t="str">
        <f ca="1">IFERROR(__xludf.DUMMYFUNCTION("""COMPUTED_VALUE"""),"tàiyáng")</f>
        <v>tàiyáng</v>
      </c>
      <c r="F517" s="13" t="str">
        <f ca="1">IFERROR(__xludf.DUMMYFUNCTION("""COMPUTED_VALUE"""),"Danh từ")</f>
        <v>Danh từ</v>
      </c>
      <c r="G517" s="13" t="str">
        <f ca="1">IFERROR(__xludf.DUMMYFUNCTION("""COMPUTED_VALUE"""),"Mặt trời")</f>
        <v>Mặt trời</v>
      </c>
      <c r="H517" s="13" t="str">
        <f ca="1">IFERROR(__xludf.DUMMYFUNCTION("""COMPUTED_VALUE"""),"太阳已经升得很高了，快起床吧！")</f>
        <v>太阳已经升得很高了，快起床吧！</v>
      </c>
      <c r="I517" s="13" t="str">
        <f ca="1">IFERROR(__xludf.DUMMYFUNCTION("""COMPUTED_VALUE"""),"Tàiyáng yǐjīng shēng de hěn gāo le, kuài qǐchuáng ba!")</f>
        <v>Tàiyáng yǐjīng shēng de hěn gāo le, kuài qǐchuáng ba!</v>
      </c>
      <c r="J517" s="13" t="str">
        <f ca="1">IFERROR(__xludf.DUMMYFUNCTION("""COMPUTED_VALUE"""),"Mặt trời lên cao rồi, mau dậy đi.")</f>
        <v>Mặt trời lên cao rồi, mau dậy đi.</v>
      </c>
      <c r="K517" s="13" t="str">
        <f ca="1">IFERROR(__xludf.DUMMYFUNCTION("""COMPUTED_VALUE"""),"H3_B12_BG-01.gif")</f>
        <v>H3_B12_BG-01.gif</v>
      </c>
      <c r="L517" s="13" t="str">
        <f ca="1">IFERROR(__xludf.DUMMYFUNCTION("""COMPUTED_VALUE"""),"H3_B12_1.mp3")</f>
        <v>H3_B12_1.mp3</v>
      </c>
      <c r="M517" s="13" t="str">
        <f ca="1">IFERROR(__xludf.DUMMYFUNCTION("""COMPUTED_VALUE"""),"H3_B12_VD_1.mp3")</f>
        <v>H3_B12_VD_1.mp3</v>
      </c>
    </row>
    <row r="518" spans="1:13">
      <c r="A518" s="13">
        <f ca="1">IFERROR(__xludf.DUMMYFUNCTION("""COMPUTED_VALUE"""),2)</f>
        <v>2</v>
      </c>
      <c r="B518" s="13"/>
      <c r="C518" s="13" t="str">
        <f ca="1">IFERROR(__xludf.DUMMYFUNCTION("""COMPUTED_VALUE"""),"西")</f>
        <v>西</v>
      </c>
      <c r="D518" s="13" t="str">
        <f ca="1">IFERROR(__xludf.DUMMYFUNCTION("""COMPUTED_VALUE"""),"&lt;ruby&gt;西&lt;rt&gt;xī&lt;/rt&gt;&lt;/ruby&gt;")</f>
        <v>&lt;ruby&gt;西&lt;rt&gt;xī&lt;/rt&gt;&lt;/ruby&gt;</v>
      </c>
      <c r="E518" s="13" t="str">
        <f ca="1">IFERROR(__xludf.DUMMYFUNCTION("""COMPUTED_VALUE"""),"xī")</f>
        <v>xī</v>
      </c>
      <c r="F518" s="13" t="str">
        <f ca="1">IFERROR(__xludf.DUMMYFUNCTION("""COMPUTED_VALUE"""),"Danh từ")</f>
        <v>Danh từ</v>
      </c>
      <c r="G518" s="13" t="str">
        <f ca="1">IFERROR(__xludf.DUMMYFUNCTION("""COMPUTED_VALUE"""),"Phía tây, hướng tây")</f>
        <v>Phía tây, hướng tây</v>
      </c>
      <c r="H518" s="13" t="str">
        <f ca="1">IFERROR(__xludf.DUMMYFUNCTION("""COMPUTED_VALUE"""),"太阳慢慢地向西落下。")</f>
        <v>太阳慢慢地向西落下。</v>
      </c>
      <c r="I518" s="13" t="str">
        <f ca="1">IFERROR(__xludf.DUMMYFUNCTION("""COMPUTED_VALUE"""),"Tàiyáng mànmàn de xiàng xī luòxià.")</f>
        <v>Tàiyáng mànmàn de xiàng xī luòxià.</v>
      </c>
      <c r="J518" s="13" t="str">
        <f ca="1">IFERROR(__xludf.DUMMYFUNCTION("""COMPUTED_VALUE"""),"Mặt trời lặn dần về phía tây.")</f>
        <v>Mặt trời lặn dần về phía tây.</v>
      </c>
      <c r="K518" s="13" t="str">
        <f ca="1">IFERROR(__xludf.DUMMYFUNCTION("""COMPUTED_VALUE"""),"H3_B12_BG-02.gif")</f>
        <v>H3_B12_BG-02.gif</v>
      </c>
      <c r="L518" s="13" t="str">
        <f ca="1">IFERROR(__xludf.DUMMYFUNCTION("""COMPUTED_VALUE"""),"H3_B12_2.mp3")</f>
        <v>H3_B12_2.mp3</v>
      </c>
      <c r="M518" s="13" t="str">
        <f ca="1">IFERROR(__xludf.DUMMYFUNCTION("""COMPUTED_VALUE"""),"H3_B12_VD_2.mp3")</f>
        <v>H3_B12_VD_2.mp3</v>
      </c>
    </row>
    <row r="519" spans="1:13">
      <c r="A519" s="13">
        <f ca="1">IFERROR(__xludf.DUMMYFUNCTION("""COMPUTED_VALUE"""),3)</f>
        <v>3</v>
      </c>
      <c r="B519" s="13"/>
      <c r="C519" s="13" t="str">
        <f ca="1">IFERROR(__xludf.DUMMYFUNCTION("""COMPUTED_VALUE"""),"生气")</f>
        <v>生气</v>
      </c>
      <c r="D519" s="13" t="str">
        <f ca="1">IFERROR(__xludf.DUMMYFUNCTION("""COMPUTED_VALUE"""),"&lt;ruby&gt;生气&lt;rt&gt;shēng qì&lt;/rt&gt;&lt;/ruby&gt;")</f>
        <v>&lt;ruby&gt;生气&lt;rt&gt;shēng qì&lt;/rt&gt;&lt;/ruby&gt;</v>
      </c>
      <c r="E519" s="13" t="str">
        <f ca="1">IFERROR(__xludf.DUMMYFUNCTION("""COMPUTED_VALUE"""),"shēng qì")</f>
        <v>shēng qì</v>
      </c>
      <c r="F519" s="13" t="str">
        <f ca="1">IFERROR(__xludf.DUMMYFUNCTION("""COMPUTED_VALUE"""),"Động từ")</f>
        <v>Động từ</v>
      </c>
      <c r="G519" s="13" t="str">
        <f ca="1">IFERROR(__xludf.DUMMYFUNCTION("""COMPUTED_VALUE"""),"Giận, tức giận")</f>
        <v>Giận, tức giận</v>
      </c>
      <c r="H519" s="13" t="str">
        <f ca="1">IFERROR(__xludf.DUMMYFUNCTION("""COMPUTED_VALUE"""),"她的语气中带着一些生气。")</f>
        <v>她的语气中带着一些生气。</v>
      </c>
      <c r="I519" s="13" t="str">
        <f ca="1">IFERROR(__xludf.DUMMYFUNCTION("""COMPUTED_VALUE"""),"Tā de yǔqì zhōng dàizhe yīxiē shēngqì.")</f>
        <v>Tā de yǔqì zhōng dàizhe yīxiē shēngqì.</v>
      </c>
      <c r="J519" s="13" t="str">
        <f ca="1">IFERROR(__xludf.DUMMYFUNCTION("""COMPUTED_VALUE"""),"Giọng điệu của cô ấy có chút tức giận.")</f>
        <v>Giọng điệu của cô ấy có chút tức giận.</v>
      </c>
      <c r="K519" s="13" t="str">
        <f ca="1">IFERROR(__xludf.DUMMYFUNCTION("""COMPUTED_VALUE"""),"H3_B12_BG-03.gif")</f>
        <v>H3_B12_BG-03.gif</v>
      </c>
      <c r="L519" s="13" t="str">
        <f ca="1">IFERROR(__xludf.DUMMYFUNCTION("""COMPUTED_VALUE"""),"H3_B12_3.mp3")</f>
        <v>H3_B12_3.mp3</v>
      </c>
      <c r="M519" s="13" t="str">
        <f ca="1">IFERROR(__xludf.DUMMYFUNCTION("""COMPUTED_VALUE"""),"H3_B12_VD_3.mp3")</f>
        <v>H3_B12_VD_3.mp3</v>
      </c>
    </row>
    <row r="520" spans="1:13">
      <c r="A520" s="13">
        <f ca="1">IFERROR(__xludf.DUMMYFUNCTION("""COMPUTED_VALUE"""),4)</f>
        <v>4</v>
      </c>
      <c r="B520" s="13"/>
      <c r="C520" s="13" t="str">
        <f ca="1">IFERROR(__xludf.DUMMYFUNCTION("""COMPUTED_VALUE"""),"行李箱")</f>
        <v>行李箱</v>
      </c>
      <c r="D520" s="13" t="str">
        <f ca="1">IFERROR(__xludf.DUMMYFUNCTION("""COMPUTED_VALUE"""),"&lt;ruby&gt;行李箱&lt;rt&gt;xínglixiāng&lt;/rt&gt;&lt;/ruby&gt;")</f>
        <v>&lt;ruby&gt;行李箱&lt;rt&gt;xínglixiāng&lt;/rt&gt;&lt;/ruby&gt;</v>
      </c>
      <c r="E520" s="13" t="str">
        <f ca="1">IFERROR(__xludf.DUMMYFUNCTION("""COMPUTED_VALUE"""),"xínglixiāng")</f>
        <v>xínglixiāng</v>
      </c>
      <c r="F520" s="13" t="str">
        <f ca="1">IFERROR(__xludf.DUMMYFUNCTION("""COMPUTED_VALUE"""),"Danh từ")</f>
        <v>Danh từ</v>
      </c>
      <c r="G520" s="13" t="str">
        <f ca="1">IFERROR(__xludf.DUMMYFUNCTION("""COMPUTED_VALUE"""),"Hành lý, vali")</f>
        <v>Hành lý, vali</v>
      </c>
      <c r="H520" s="13" t="str">
        <f ca="1">IFERROR(__xludf.DUMMYFUNCTION("""COMPUTED_VALUE"""),"行李箱里已经没有空位了。")</f>
        <v>行李箱里已经没有空位了。</v>
      </c>
      <c r="I520" s="13" t="str">
        <f ca="1">IFERROR(__xludf.DUMMYFUNCTION("""COMPUTED_VALUE"""),"Xínglǐxiāng lǐ yǐjīng méiyǒu kōngwèi le.")</f>
        <v>Xínglǐxiāng lǐ yǐjīng méiyǒu kōngwèi le.</v>
      </c>
      <c r="J520" s="13" t="str">
        <f ca="1">IFERROR(__xludf.DUMMYFUNCTION("""COMPUTED_VALUE"""),"Trong vali không còn chỗ trống nữa.")</f>
        <v>Trong vali không còn chỗ trống nữa.</v>
      </c>
      <c r="K520" s="13" t="str">
        <f ca="1">IFERROR(__xludf.DUMMYFUNCTION("""COMPUTED_VALUE"""),"H3_B12_BG-04.gif")</f>
        <v>H3_B12_BG-04.gif</v>
      </c>
      <c r="L520" s="13" t="str">
        <f ca="1">IFERROR(__xludf.DUMMYFUNCTION("""COMPUTED_VALUE"""),"H3_B12_4.mp3")</f>
        <v>H3_B12_4.mp3</v>
      </c>
      <c r="M520" s="13" t="str">
        <f ca="1">IFERROR(__xludf.DUMMYFUNCTION("""COMPUTED_VALUE"""),"H3_B12_VD_4.mp3")</f>
        <v>H3_B12_VD_4.mp3</v>
      </c>
    </row>
    <row r="521" spans="1:13">
      <c r="A521" s="13">
        <f ca="1">IFERROR(__xludf.DUMMYFUNCTION("""COMPUTED_VALUE"""),5)</f>
        <v>5</v>
      </c>
      <c r="B521" s="13"/>
      <c r="C521" s="13" t="str">
        <f ca="1">IFERROR(__xludf.DUMMYFUNCTION("""COMPUTED_VALUE"""),"自己")</f>
        <v>自己</v>
      </c>
      <c r="D521" s="13" t="str">
        <f ca="1">IFERROR(__xludf.DUMMYFUNCTION("""COMPUTED_VALUE"""),"&lt;ruby&gt;自己&lt;rt&gt;zìjǐ&lt;/rt&gt;&lt;/ruby&gt;")</f>
        <v>&lt;ruby&gt;自己&lt;rt&gt;zìjǐ&lt;/rt&gt;&lt;/ruby&gt;</v>
      </c>
      <c r="E521" s="13" t="str">
        <f ca="1">IFERROR(__xludf.DUMMYFUNCTION("""COMPUTED_VALUE"""),"zìjǐ")</f>
        <v>zìjǐ</v>
      </c>
      <c r="F521" s="13" t="str">
        <f ca="1">IFERROR(__xludf.DUMMYFUNCTION("""COMPUTED_VALUE"""),"Động từ")</f>
        <v>Động từ</v>
      </c>
      <c r="G521" s="13" t="str">
        <f ca="1">IFERROR(__xludf.DUMMYFUNCTION("""COMPUTED_VALUE"""),"Tự mình, bản thân")</f>
        <v>Tự mình, bản thân</v>
      </c>
      <c r="H521" s="13" t="str">
        <f ca="1">IFERROR(__xludf.DUMMYFUNCTION("""COMPUTED_VALUE"""),"我非常爱自己")</f>
        <v>我非常爱自己</v>
      </c>
      <c r="I521" s="13" t="str">
        <f ca="1">IFERROR(__xludf.DUMMYFUNCTION("""COMPUTED_VALUE"""),"Wǒ fēicháng ài zìjǐ.")</f>
        <v>Wǒ fēicháng ài zìjǐ.</v>
      </c>
      <c r="J521" s="13" t="str">
        <f ca="1">IFERROR(__xludf.DUMMYFUNCTION("""COMPUTED_VALUE"""),"Tôi yêu bản thân hết sức.")</f>
        <v>Tôi yêu bản thân hết sức.</v>
      </c>
      <c r="K521" s="13" t="str">
        <f ca="1">IFERROR(__xludf.DUMMYFUNCTION("""COMPUTED_VALUE"""),"H3_B12_BG-05.gif")</f>
        <v>H3_B12_BG-05.gif</v>
      </c>
      <c r="L521" s="13" t="str">
        <f ca="1">IFERROR(__xludf.DUMMYFUNCTION("""COMPUTED_VALUE"""),"H3_B12_5.mp3")</f>
        <v>H3_B12_5.mp3</v>
      </c>
      <c r="M521" s="13" t="str">
        <f ca="1">IFERROR(__xludf.DUMMYFUNCTION("""COMPUTED_VALUE"""),"H3_B12_VD_5.mp3")</f>
        <v>H3_B12_VD_5.mp3</v>
      </c>
    </row>
    <row r="522" spans="1:13">
      <c r="A522" s="13">
        <f ca="1">IFERROR(__xludf.DUMMYFUNCTION("""COMPUTED_VALUE"""),6)</f>
        <v>6</v>
      </c>
      <c r="B522" s="13"/>
      <c r="C522" s="13" t="str">
        <f ca="1">IFERROR(__xludf.DUMMYFUNCTION("""COMPUTED_VALUE"""),"包")</f>
        <v>包</v>
      </c>
      <c r="D522" s="13" t="str">
        <f ca="1">IFERROR(__xludf.DUMMYFUNCTION("""COMPUTED_VALUE"""),"&lt;ruby&gt;包&lt;rt&gt;bāo&lt;/rt&gt;&lt;/ruby&gt;")</f>
        <v>&lt;ruby&gt;包&lt;rt&gt;bāo&lt;/rt&gt;&lt;/ruby&gt;</v>
      </c>
      <c r="E522" s="13" t="str">
        <f ca="1">IFERROR(__xludf.DUMMYFUNCTION("""COMPUTED_VALUE"""),"bāo")</f>
        <v>bāo</v>
      </c>
      <c r="F522" s="13" t="str">
        <f ca="1">IFERROR(__xludf.DUMMYFUNCTION("""COMPUTED_VALUE"""),"Danh từ")</f>
        <v>Danh từ</v>
      </c>
      <c r="G522" s="13" t="str">
        <f ca="1">IFERROR(__xludf.DUMMYFUNCTION("""COMPUTED_VALUE"""),"Cặp, túi")</f>
        <v>Cặp, túi</v>
      </c>
      <c r="H522" s="13" t="str">
        <f ca="1">IFERROR(__xludf.DUMMYFUNCTION("""COMPUTED_VALUE"""),"这个包非常时尚。")</f>
        <v>这个包非常时尚。</v>
      </c>
      <c r="I522" s="13" t="str">
        <f ca="1">IFERROR(__xludf.DUMMYFUNCTION("""COMPUTED_VALUE"""),"Zhè gè bāo fēicháng shíshàng.")</f>
        <v>Zhè gè bāo fēicháng shíshàng.</v>
      </c>
      <c r="J522" s="13" t="str">
        <f ca="1">IFERROR(__xludf.DUMMYFUNCTION("""COMPUTED_VALUE"""),"Chiếc túi này rất thời trang.")</f>
        <v>Chiếc túi này rất thời trang.</v>
      </c>
      <c r="K522" s="13" t="str">
        <f ca="1">IFERROR(__xludf.DUMMYFUNCTION("""COMPUTED_VALUE"""),"H3_B12_BG-06.gif")</f>
        <v>H3_B12_BG-06.gif</v>
      </c>
      <c r="L522" s="13" t="str">
        <f ca="1">IFERROR(__xludf.DUMMYFUNCTION("""COMPUTED_VALUE"""),"H3_B12_6.mp3")</f>
        <v>H3_B12_6.mp3</v>
      </c>
      <c r="M522" s="13" t="str">
        <f ca="1">IFERROR(__xludf.DUMMYFUNCTION("""COMPUTED_VALUE"""),"H3_B12_VD_6.mp3")</f>
        <v>H3_B12_VD_6.mp3</v>
      </c>
    </row>
    <row r="523" spans="1:13">
      <c r="A523" s="13">
        <f ca="1">IFERROR(__xludf.DUMMYFUNCTION("""COMPUTED_VALUE"""),7)</f>
        <v>7</v>
      </c>
      <c r="B523" s="13"/>
      <c r="C523" s="13" t="str">
        <f ca="1">IFERROR(__xludf.DUMMYFUNCTION("""COMPUTED_VALUE"""),"发现")</f>
        <v>发现</v>
      </c>
      <c r="D523" s="13" t="str">
        <f ca="1">IFERROR(__xludf.DUMMYFUNCTION("""COMPUTED_VALUE"""),"&lt;ruby&gt;发现&lt;rt&gt;fāxiàn&lt;/rt&gt;&lt;/ruby&gt;")</f>
        <v>&lt;ruby&gt;发现&lt;rt&gt;fāxiàn&lt;/rt&gt;&lt;/ruby&gt;</v>
      </c>
      <c r="E523" s="13" t="str">
        <f ca="1">IFERROR(__xludf.DUMMYFUNCTION("""COMPUTED_VALUE"""),"fāxiàn")</f>
        <v>fāxiàn</v>
      </c>
      <c r="F523" s="13" t="str">
        <f ca="1">IFERROR(__xludf.DUMMYFUNCTION("""COMPUTED_VALUE"""),"Động từ")</f>
        <v>Động từ</v>
      </c>
      <c r="G523" s="13" t="str">
        <f ca="1">IFERROR(__xludf.DUMMYFUNCTION("""COMPUTED_VALUE"""),"Phát hiện")</f>
        <v>Phát hiện</v>
      </c>
      <c r="H523" s="13" t="str">
        <f ca="1">IFERROR(__xludf.DUMMYFUNCTION("""COMPUTED_VALUE"""),"我发现这棵树长得更高了。")</f>
        <v>我发现这棵树长得更高了。</v>
      </c>
      <c r="I523" s="13" t="str">
        <f ca="1">IFERROR(__xludf.DUMMYFUNCTION("""COMPUTED_VALUE"""),"Wǒ fāxiàn zhè kē shù zhǎng de gèng gāo le.")</f>
        <v>Wǒ fāxiàn zhè kē shù zhǎng de gèng gāo le.</v>
      </c>
      <c r="J523" s="13" t="str">
        <f ca="1">IFERROR(__xludf.DUMMYFUNCTION("""COMPUTED_VALUE"""),"Tôi phát hiện cái cây này đã mọc cao hơn rồi.")</f>
        <v>Tôi phát hiện cái cây này đã mọc cao hơn rồi.</v>
      </c>
      <c r="K523" s="13" t="str">
        <f ca="1">IFERROR(__xludf.DUMMYFUNCTION("""COMPUTED_VALUE"""),"H3_B12_BG-07.gif")</f>
        <v>H3_B12_BG-07.gif</v>
      </c>
      <c r="L523" s="13" t="str">
        <f ca="1">IFERROR(__xludf.DUMMYFUNCTION("""COMPUTED_VALUE"""),"H3_B12_7.mp3")</f>
        <v>H3_B12_7.mp3</v>
      </c>
      <c r="M523" s="13" t="str">
        <f ca="1">IFERROR(__xludf.DUMMYFUNCTION("""COMPUTED_VALUE"""),"H3_B12_VD_7.mp3")</f>
        <v>H3_B12_VD_7.mp3</v>
      </c>
    </row>
    <row r="524" spans="1:13">
      <c r="A524" s="13">
        <f ca="1">IFERROR(__xludf.DUMMYFUNCTION("""COMPUTED_VALUE"""),8)</f>
        <v>8</v>
      </c>
      <c r="B524" s="13"/>
      <c r="C524" s="13" t="str">
        <f ca="1">IFERROR(__xludf.DUMMYFUNCTION("""COMPUTED_VALUE"""),"护照")</f>
        <v>护照</v>
      </c>
      <c r="D524" s="13" t="str">
        <f ca="1">IFERROR(__xludf.DUMMYFUNCTION("""COMPUTED_VALUE"""),"&lt;ruby&gt;护照&lt;rt&gt;hùzhào&lt;/rt&gt;&lt;/ruby&gt;")</f>
        <v>&lt;ruby&gt;护照&lt;rt&gt;hùzhào&lt;/rt&gt;&lt;/ruby&gt;</v>
      </c>
      <c r="E524" s="13" t="str">
        <f ca="1">IFERROR(__xludf.DUMMYFUNCTION("""COMPUTED_VALUE"""),"hùzhào")</f>
        <v>hùzhào</v>
      </c>
      <c r="F524" s="13" t="str">
        <f ca="1">IFERROR(__xludf.DUMMYFUNCTION("""COMPUTED_VALUE"""),"Danh từ")</f>
        <v>Danh từ</v>
      </c>
      <c r="G524" s="13" t="str">
        <f ca="1">IFERROR(__xludf.DUMMYFUNCTION("""COMPUTED_VALUE"""),"Hộ chiếu")</f>
        <v>Hộ chiếu</v>
      </c>
      <c r="H524" s="13" t="str">
        <f ca="1">IFERROR(__xludf.DUMMYFUNCTION("""COMPUTED_VALUE"""),"我已经申请了新的护照。")</f>
        <v>我已经申请了新的护照。</v>
      </c>
      <c r="I524" s="13" t="str">
        <f ca="1">IFERROR(__xludf.DUMMYFUNCTION("""COMPUTED_VALUE"""),"Wǒ yǐjīng shēnqǐng le xīn de hùzhào.")</f>
        <v>Wǒ yǐjīng shēnqǐng le xīn de hùzhào.</v>
      </c>
      <c r="J524" s="13" t="str">
        <f ca="1">IFERROR(__xludf.DUMMYFUNCTION("""COMPUTED_VALUE"""),"Tôi đã xin cấp hộ chiếu mới.")</f>
        <v>Tôi đã xin cấp hộ chiếu mới.</v>
      </c>
      <c r="K524" s="13" t="str">
        <f ca="1">IFERROR(__xludf.DUMMYFUNCTION("""COMPUTED_VALUE"""),"H3_B12_BG-08.gif")</f>
        <v>H3_B12_BG-08.gif</v>
      </c>
      <c r="L524" s="13" t="str">
        <f ca="1">IFERROR(__xludf.DUMMYFUNCTION("""COMPUTED_VALUE"""),"H3_B12_8.mp3")</f>
        <v>H3_B12_8.mp3</v>
      </c>
      <c r="M524" s="13" t="str">
        <f ca="1">IFERROR(__xludf.DUMMYFUNCTION("""COMPUTED_VALUE"""),"H3_B12_VD_8.mp3")</f>
        <v>H3_B12_VD_8.mp3</v>
      </c>
    </row>
    <row r="525" spans="1:13">
      <c r="A525" s="13">
        <f ca="1">IFERROR(__xludf.DUMMYFUNCTION("""COMPUTED_VALUE"""),9)</f>
        <v>9</v>
      </c>
      <c r="B525" s="13"/>
      <c r="C525" s="13" t="str">
        <f ca="1">IFERROR(__xludf.DUMMYFUNCTION("""COMPUTED_VALUE"""),"起飞")</f>
        <v>起飞</v>
      </c>
      <c r="D525" s="13" t="str">
        <f ca="1">IFERROR(__xludf.DUMMYFUNCTION("""COMPUTED_VALUE"""),"&lt;ruby&gt;起飞&lt;rt&gt;qǐfēi&lt;/rt&gt;&lt;/ruby&gt;")</f>
        <v>&lt;ruby&gt;起飞&lt;rt&gt;qǐfēi&lt;/rt&gt;&lt;/ruby&gt;</v>
      </c>
      <c r="E525" s="13" t="str">
        <f ca="1">IFERROR(__xludf.DUMMYFUNCTION("""COMPUTED_VALUE"""),"qǐfēi")</f>
        <v>qǐfēi</v>
      </c>
      <c r="F525" s="13" t="str">
        <f ca="1">IFERROR(__xludf.DUMMYFUNCTION("""COMPUTED_VALUE"""),"Động từ ")</f>
        <v xml:space="preserve">Động từ </v>
      </c>
      <c r="G525" s="13" t="str">
        <f ca="1">IFERROR(__xludf.DUMMYFUNCTION("""COMPUTED_VALUE"""),"Cất cánh (máy bay)")</f>
        <v>Cất cánh (máy bay)</v>
      </c>
      <c r="H525" s="13" t="str">
        <f ca="1">IFERROR(__xludf.DUMMYFUNCTION("""COMPUTED_VALUE"""),"飞机快要起飞了。")</f>
        <v>飞机快要起飞了。</v>
      </c>
      <c r="I525" s="13" t="str">
        <f ca="1">IFERROR(__xludf.DUMMYFUNCTION("""COMPUTED_VALUE"""),"Fēijī kuàiyào qǐfēi le.")</f>
        <v>Fēijī kuàiyào qǐfēi le.</v>
      </c>
      <c r="J525" s="13" t="str">
        <f ca="1">IFERROR(__xludf.DUMMYFUNCTION("""COMPUTED_VALUE"""),"Máy bay sắp cất cánh rồi.")</f>
        <v>Máy bay sắp cất cánh rồi.</v>
      </c>
      <c r="K525" s="13" t="str">
        <f ca="1">IFERROR(__xludf.DUMMYFUNCTION("""COMPUTED_VALUE"""),"H3_B12_BG-09.gif")</f>
        <v>H3_B12_BG-09.gif</v>
      </c>
      <c r="L525" s="13" t="str">
        <f ca="1">IFERROR(__xludf.DUMMYFUNCTION("""COMPUTED_VALUE"""),"H3_B12_9.mp3")</f>
        <v>H3_B12_9.mp3</v>
      </c>
      <c r="M525" s="13" t="str">
        <f ca="1">IFERROR(__xludf.DUMMYFUNCTION("""COMPUTED_VALUE"""),"H3_B12_VD_9.mp3")</f>
        <v>H3_B12_VD_9.mp3</v>
      </c>
    </row>
    <row r="526" spans="1:13">
      <c r="A526" s="13">
        <f ca="1">IFERROR(__xludf.DUMMYFUNCTION("""COMPUTED_VALUE"""),10)</f>
        <v>10</v>
      </c>
      <c r="B526" s="13"/>
      <c r="C526" s="13" t="str">
        <f ca="1">IFERROR(__xludf.DUMMYFUNCTION("""COMPUTED_VALUE"""),"司机")</f>
        <v>司机</v>
      </c>
      <c r="D526" s="13" t="str">
        <f ca="1">IFERROR(__xludf.DUMMYFUNCTION("""COMPUTED_VALUE"""),"&lt;ruby&gt;司机&lt;rt&gt;sījī&lt;/rt&gt;&lt;/ruby&gt;")</f>
        <v>&lt;ruby&gt;司机&lt;rt&gt;sījī&lt;/rt&gt;&lt;/ruby&gt;</v>
      </c>
      <c r="E526" s="13" t="str">
        <f ca="1">IFERROR(__xludf.DUMMYFUNCTION("""COMPUTED_VALUE"""),"sījī")</f>
        <v>sījī</v>
      </c>
      <c r="F526" s="13" t="str">
        <f ca="1">IFERROR(__xludf.DUMMYFUNCTION("""COMPUTED_VALUE"""),"Danh từ")</f>
        <v>Danh từ</v>
      </c>
      <c r="G526" s="13" t="str">
        <f ca="1">IFERROR(__xludf.DUMMYFUNCTION("""COMPUTED_VALUE"""),"Tài xế")</f>
        <v>Tài xế</v>
      </c>
      <c r="H526" s="13" t="str">
        <f ca="1">IFERROR(__xludf.DUMMYFUNCTION("""COMPUTED_VALUE"""),"出租车司机开车很稳。")</f>
        <v>出租车司机开车很稳。</v>
      </c>
      <c r="I526" s="13" t="str">
        <f ca="1">IFERROR(__xludf.DUMMYFUNCTION("""COMPUTED_VALUE"""),"Chūzūchē sījī kāichē hěn wěn.")</f>
        <v>Chūzūchē sījī kāichē hěn wěn.</v>
      </c>
      <c r="J526" s="13" t="str">
        <f ca="1">IFERROR(__xludf.DUMMYFUNCTION("""COMPUTED_VALUE"""),"Tài xế taxi lái rất vững.")</f>
        <v>Tài xế taxi lái rất vững.</v>
      </c>
      <c r="K526" s="13" t="str">
        <f ca="1">IFERROR(__xludf.DUMMYFUNCTION("""COMPUTED_VALUE"""),"H3_B12_BG-10.gif")</f>
        <v>H3_B12_BG-10.gif</v>
      </c>
      <c r="L526" s="13" t="str">
        <f ca="1">IFERROR(__xludf.DUMMYFUNCTION("""COMPUTED_VALUE"""),"H3_B12_10.mp3")</f>
        <v>H3_B12_10.mp3</v>
      </c>
      <c r="M526" s="13" t="str">
        <f ca="1">IFERROR(__xludf.DUMMYFUNCTION("""COMPUTED_VALUE"""),"H3_B12_VD_10.mp3")</f>
        <v>H3_B12_VD_10.mp3</v>
      </c>
    </row>
    <row r="527" spans="1:13">
      <c r="A527" s="13">
        <f ca="1">IFERROR(__xludf.DUMMYFUNCTION("""COMPUTED_VALUE"""),11)</f>
        <v>11</v>
      </c>
      <c r="B527" s="13"/>
      <c r="C527" s="13" t="str">
        <f ca="1">IFERROR(__xludf.DUMMYFUNCTION("""COMPUTED_VALUE"""),"教")</f>
        <v>教</v>
      </c>
      <c r="D527" s="13" t="str">
        <f ca="1">IFERROR(__xludf.DUMMYFUNCTION("""COMPUTED_VALUE"""),"&lt;ruby&gt;教&lt;rt&gt;jiāo&lt;/rt&gt;&lt;/ruby&gt;")</f>
        <v>&lt;ruby&gt;教&lt;rt&gt;jiāo&lt;/rt&gt;&lt;/ruby&gt;</v>
      </c>
      <c r="E527" s="13" t="str">
        <f ca="1">IFERROR(__xludf.DUMMYFUNCTION("""COMPUTED_VALUE"""),"jiāo")</f>
        <v>jiāo</v>
      </c>
      <c r="F527" s="13" t="str">
        <f ca="1">IFERROR(__xludf.DUMMYFUNCTION("""COMPUTED_VALUE"""),"Động từ")</f>
        <v>Động từ</v>
      </c>
      <c r="G527" s="13" t="str">
        <f ca="1">IFERROR(__xludf.DUMMYFUNCTION("""COMPUTED_VALUE"""),"Dạy")</f>
        <v>Dạy</v>
      </c>
      <c r="H527" s="13" t="str">
        <f ca="1">IFERROR(__xludf.DUMMYFUNCTION("""COMPUTED_VALUE"""),"她教我跳舞。")</f>
        <v>她教我跳舞。</v>
      </c>
      <c r="I527" s="13" t="str">
        <f ca="1">IFERROR(__xludf.DUMMYFUNCTION("""COMPUTED_VALUE"""),"Tā jiāo wǒ tiàowǔ.")</f>
        <v>Tā jiāo wǒ tiàowǔ.</v>
      </c>
      <c r="J527" s="13" t="str">
        <f ca="1">IFERROR(__xludf.DUMMYFUNCTION("""COMPUTED_VALUE"""),"Cô ấy dạy tôi múa.")</f>
        <v>Cô ấy dạy tôi múa.</v>
      </c>
      <c r="K527" s="13" t="str">
        <f ca="1">IFERROR(__xludf.DUMMYFUNCTION("""COMPUTED_VALUE"""),"H3_B12_BG-11.gif")</f>
        <v>H3_B12_BG-11.gif</v>
      </c>
      <c r="L527" s="13" t="str">
        <f ca="1">IFERROR(__xludf.DUMMYFUNCTION("""COMPUTED_VALUE"""),"H3_B12_11.mp3")</f>
        <v>H3_B12_11.mp3</v>
      </c>
      <c r="M527" s="13" t="str">
        <f ca="1">IFERROR(__xludf.DUMMYFUNCTION("""COMPUTED_VALUE"""),"H3_B12_VD_11.mp3")</f>
        <v>H3_B12_VD_11.mp3</v>
      </c>
    </row>
    <row r="528" spans="1:13">
      <c r="A528" s="13">
        <f ca="1">IFERROR(__xludf.DUMMYFUNCTION("""COMPUTED_VALUE"""),12)</f>
        <v>12</v>
      </c>
      <c r="B528" s="13"/>
      <c r="C528" s="13" t="str">
        <f ca="1">IFERROR(__xludf.DUMMYFUNCTION("""COMPUTED_VALUE"""),"画")</f>
        <v>画</v>
      </c>
      <c r="D528" s="13" t="str">
        <f ca="1">IFERROR(__xludf.DUMMYFUNCTION("""COMPUTED_VALUE"""),"&lt;ruby&gt;画&lt;rt&gt;huà&lt;/rt&gt;&lt;/ruby&gt;")</f>
        <v>&lt;ruby&gt;画&lt;rt&gt;huà&lt;/rt&gt;&lt;/ruby&gt;</v>
      </c>
      <c r="E528" s="13" t="str">
        <f ca="1">IFERROR(__xludf.DUMMYFUNCTION("""COMPUTED_VALUE"""),"huà")</f>
        <v>huà</v>
      </c>
      <c r="F528" s="13" t="str">
        <f ca="1">IFERROR(__xludf.DUMMYFUNCTION("""COMPUTED_VALUE"""),"Động từ/Danh từ")</f>
        <v>Động từ/Danh từ</v>
      </c>
      <c r="G528" s="13" t="str">
        <f ca="1">IFERROR(__xludf.DUMMYFUNCTION("""COMPUTED_VALUE"""),"Vẽ; tranh")</f>
        <v>Vẽ; tranh</v>
      </c>
      <c r="H528" s="13" t="str">
        <f ca="1">IFERROR(__xludf.DUMMYFUNCTION("""COMPUTED_VALUE"""),"我画了一幅风景画。")</f>
        <v>我画了一幅风景画。</v>
      </c>
      <c r="I528" s="13" t="str">
        <f ca="1">IFERROR(__xludf.DUMMYFUNCTION("""COMPUTED_VALUE"""),"Wǒ huà le yī fú fēngjǐng huà.")</f>
        <v>Wǒ huà le yī fú fēngjǐng huà.</v>
      </c>
      <c r="J528" s="13" t="str">
        <f ca="1">IFERROR(__xludf.DUMMYFUNCTION("""COMPUTED_VALUE"""),"Tôi vẽ một bức tranh phong cảnh.")</f>
        <v>Tôi vẽ một bức tranh phong cảnh.</v>
      </c>
      <c r="K528" s="13" t="str">
        <f ca="1">IFERROR(__xludf.DUMMYFUNCTION("""COMPUTED_VALUE"""),"H3_B12_BG-12.gif")</f>
        <v>H3_B12_BG-12.gif</v>
      </c>
      <c r="L528" s="13" t="str">
        <f ca="1">IFERROR(__xludf.DUMMYFUNCTION("""COMPUTED_VALUE"""),"H3_B12_12.mp3")</f>
        <v>H3_B12_12.mp3</v>
      </c>
      <c r="M528" s="13" t="str">
        <f ca="1">IFERROR(__xludf.DUMMYFUNCTION("""COMPUTED_VALUE"""),"H3_B12_VD_12.mp3")</f>
        <v>H3_B12_VD_12.mp3</v>
      </c>
    </row>
    <row r="529" spans="1:13">
      <c r="A529" s="13">
        <f ca="1">IFERROR(__xludf.DUMMYFUNCTION("""COMPUTED_VALUE"""),13)</f>
        <v>13</v>
      </c>
      <c r="B529" s="13"/>
      <c r="C529" s="13" t="str">
        <f ca="1">IFERROR(__xludf.DUMMYFUNCTION("""COMPUTED_VALUE"""),"需要")</f>
        <v>需要</v>
      </c>
      <c r="D529" s="13" t="str">
        <f ca="1">IFERROR(__xludf.DUMMYFUNCTION("""COMPUTED_VALUE"""),"&lt;ruby&gt;需要&lt;rt&gt;xūyào&lt;/rt&gt;&lt;/ruby&gt;")</f>
        <v>&lt;ruby&gt;需要&lt;rt&gt;xūyào&lt;/rt&gt;&lt;/ruby&gt;</v>
      </c>
      <c r="E529" s="13" t="str">
        <f ca="1">IFERROR(__xludf.DUMMYFUNCTION("""COMPUTED_VALUE"""),"xūyào")</f>
        <v>xūyào</v>
      </c>
      <c r="F529" s="13" t="str">
        <f ca="1">IFERROR(__xludf.DUMMYFUNCTION("""COMPUTED_VALUE"""),"Động từ")</f>
        <v>Động từ</v>
      </c>
      <c r="G529" s="13" t="str">
        <f ca="1">IFERROR(__xludf.DUMMYFUNCTION("""COMPUTED_VALUE"""),"Cần")</f>
        <v>Cần</v>
      </c>
      <c r="H529" s="13" t="str">
        <f ca="1">IFERROR(__xludf.DUMMYFUNCTION("""COMPUTED_VALUE"""),"我需要一杯奶茶。")</f>
        <v>我需要一杯奶茶。</v>
      </c>
      <c r="I529" s="13" t="str">
        <f ca="1">IFERROR(__xludf.DUMMYFUNCTION("""COMPUTED_VALUE"""),"Wǒ xūyào yī bēi nǎichá.")</f>
        <v>Wǒ xūyào yī bēi nǎichá.</v>
      </c>
      <c r="J529" s="13" t="str">
        <f ca="1">IFERROR(__xludf.DUMMYFUNCTION("""COMPUTED_VALUE"""),"Tôi cần một cốc trà sữa.")</f>
        <v>Tôi cần một cốc trà sữa.</v>
      </c>
      <c r="K529" s="13" t="str">
        <f ca="1">IFERROR(__xludf.DUMMYFUNCTION("""COMPUTED_VALUE"""),"H3_B12_BG-13.gif")</f>
        <v>H3_B12_BG-13.gif</v>
      </c>
      <c r="L529" s="13" t="str">
        <f ca="1">IFERROR(__xludf.DUMMYFUNCTION("""COMPUTED_VALUE"""),"H3_B12_13.mp3")</f>
        <v>H3_B12_13.mp3</v>
      </c>
      <c r="M529" s="13" t="str">
        <f ca="1">IFERROR(__xludf.DUMMYFUNCTION("""COMPUTED_VALUE"""),"H3_B12_VD_13.mp3")</f>
        <v>H3_B12_VD_13.mp3</v>
      </c>
    </row>
    <row r="530" spans="1:13">
      <c r="A530" s="13">
        <f ca="1">IFERROR(__xludf.DUMMYFUNCTION("""COMPUTED_VALUE"""),14)</f>
        <v>14</v>
      </c>
      <c r="B530" s="13"/>
      <c r="C530" s="13" t="str">
        <f ca="1">IFERROR(__xludf.DUMMYFUNCTION("""COMPUTED_VALUE"""),"黑板")</f>
        <v>黑板</v>
      </c>
      <c r="D530" s="13" t="str">
        <f ca="1">IFERROR(__xludf.DUMMYFUNCTION("""COMPUTED_VALUE"""),"&lt;ruby&gt;黑板&lt;rt&gt;hēibǎn&lt;/rt&gt;&lt;/ruby&gt;")</f>
        <v>&lt;ruby&gt;黑板&lt;rt&gt;hēibǎn&lt;/rt&gt;&lt;/ruby&gt;</v>
      </c>
      <c r="E530" s="13" t="str">
        <f ca="1">IFERROR(__xludf.DUMMYFUNCTION("""COMPUTED_VALUE"""),"hēibǎn")</f>
        <v>hēibǎn</v>
      </c>
      <c r="F530" s="13" t="str">
        <f ca="1">IFERROR(__xludf.DUMMYFUNCTION("""COMPUTED_VALUE"""),"Danh từ")</f>
        <v>Danh từ</v>
      </c>
      <c r="G530" s="13" t="str">
        <f ca="1">IFERROR(__xludf.DUMMYFUNCTION("""COMPUTED_VALUE"""),"Bảng đen")</f>
        <v>Bảng đen</v>
      </c>
      <c r="H530" s="13" t="str">
        <f ca="1">IFERROR(__xludf.DUMMYFUNCTION("""COMPUTED_VALUE"""),"大家请看黑板。")</f>
        <v>大家请看黑板。</v>
      </c>
      <c r="I530" s="13" t="str">
        <f ca="1">IFERROR(__xludf.DUMMYFUNCTION("""COMPUTED_VALUE"""),"Dàjiā qǐng kàn hēibǎn.")</f>
        <v>Dàjiā qǐng kàn hēibǎn.</v>
      </c>
      <c r="J530" s="13" t="str">
        <f ca="1">IFERROR(__xludf.DUMMYFUNCTION("""COMPUTED_VALUE"""),"Mọi người hãy nhìn lên bảng.")</f>
        <v>Mọi người hãy nhìn lên bảng.</v>
      </c>
      <c r="K530" s="13" t="str">
        <f ca="1">IFERROR(__xludf.DUMMYFUNCTION("""COMPUTED_VALUE"""),"H3_B12_BG-14.gif")</f>
        <v>H3_B12_BG-14.gif</v>
      </c>
      <c r="L530" s="13" t="str">
        <f ca="1">IFERROR(__xludf.DUMMYFUNCTION("""COMPUTED_VALUE"""),"H3_B12_14.mp3")</f>
        <v>H3_B12_14.mp3</v>
      </c>
      <c r="M530" s="13" t="str">
        <f ca="1">IFERROR(__xludf.DUMMYFUNCTION("""COMPUTED_VALUE"""),"H3_B12_VD_14.mp3")</f>
        <v>H3_B12_VD_14.mp3</v>
      </c>
    </row>
    <row r="531" spans="1:13">
      <c r="A531" s="13">
        <f ca="1">IFERROR(__xludf.DUMMYFUNCTION("""COMPUTED_VALUE"""),1)</f>
        <v>1</v>
      </c>
      <c r="B531" s="13"/>
      <c r="C531" s="13" t="str">
        <f ca="1">IFERROR(__xludf.DUMMYFUNCTION("""COMPUTED_VALUE"""),"终于")</f>
        <v>终于</v>
      </c>
      <c r="D531" s="13" t="str">
        <f ca="1">IFERROR(__xludf.DUMMYFUNCTION("""COMPUTED_VALUE"""),"&lt;ruby&gt;终于&lt;rt&gt;zhōngyú&lt;/rt&gt;&lt;/ruby&gt;")</f>
        <v>&lt;ruby&gt;终于&lt;rt&gt;zhōngyú&lt;/rt&gt;&lt;/ruby&gt;</v>
      </c>
      <c r="E531" s="13" t="str">
        <f ca="1">IFERROR(__xludf.DUMMYFUNCTION("""COMPUTED_VALUE"""),"zhōngyú")</f>
        <v>zhōngyú</v>
      </c>
      <c r="F531" s="13" t="str">
        <f ca="1">IFERROR(__xludf.DUMMYFUNCTION("""COMPUTED_VALUE"""),"Phó từ")</f>
        <v>Phó từ</v>
      </c>
      <c r="G531" s="13" t="str">
        <f ca="1">IFERROR(__xludf.DUMMYFUNCTION("""COMPUTED_VALUE"""),"Cuối cùng")</f>
        <v>Cuối cùng</v>
      </c>
      <c r="H531" s="13" t="str">
        <f ca="1">IFERROR(__xludf.DUMMYFUNCTION("""COMPUTED_VALUE"""),"雨终于停了，我们可以出去玩了！")</f>
        <v>雨终于停了，我们可以出去玩了！</v>
      </c>
      <c r="I531" s="13" t="str">
        <f ca="1">IFERROR(__xludf.DUMMYFUNCTION("""COMPUTED_VALUE"""),"Yǔ zhōngyú tíng le, wǒmen kěyǐ chūqù wán le!")</f>
        <v>Yǔ zhōngyú tíng le, wǒmen kěyǐ chūqù wán le!</v>
      </c>
      <c r="J531" s="13" t="str">
        <f ca="1">IFERROR(__xludf.DUMMYFUNCTION("""COMPUTED_VALUE"""),"Cuối cùng mưa cũng tạnh, chúng tôi có thể ra ngoài chơi!")</f>
        <v>Cuối cùng mưa cũng tạnh, chúng tôi có thể ra ngoài chơi!</v>
      </c>
      <c r="K531" s="13" t="str">
        <f ca="1">IFERROR(__xludf.DUMMYFUNCTION("""COMPUTED_VALUE"""),"H3_B13_BG-01.gif")</f>
        <v>H3_B13_BG-01.gif</v>
      </c>
      <c r="L531" s="13" t="str">
        <f ca="1">IFERROR(__xludf.DUMMYFUNCTION("""COMPUTED_VALUE"""),"H3_B13_1.mp3")</f>
        <v>H3_B13_1.mp3</v>
      </c>
      <c r="M531" s="13" t="str">
        <f ca="1">IFERROR(__xludf.DUMMYFUNCTION("""COMPUTED_VALUE"""),"H3_B13_VD_1.mp3")</f>
        <v>H3_B13_VD_1.mp3</v>
      </c>
    </row>
    <row r="532" spans="1:13">
      <c r="A532" s="13">
        <f ca="1">IFERROR(__xludf.DUMMYFUNCTION("""COMPUTED_VALUE"""),2)</f>
        <v>2</v>
      </c>
      <c r="B532" s="13"/>
      <c r="C532" s="13" t="str">
        <f ca="1">IFERROR(__xludf.DUMMYFUNCTION("""COMPUTED_VALUE"""),"爷爷")</f>
        <v>爷爷</v>
      </c>
      <c r="D532" s="13" t="str">
        <f ca="1">IFERROR(__xludf.DUMMYFUNCTION("""COMPUTED_VALUE"""),"&lt;ruby&gt;爷爷&lt;rt&gt;yéye&lt;/rt&gt;&lt;/ruby&gt;")</f>
        <v>&lt;ruby&gt;爷爷&lt;rt&gt;yéye&lt;/rt&gt;&lt;/ruby&gt;</v>
      </c>
      <c r="E532" s="13" t="str">
        <f ca="1">IFERROR(__xludf.DUMMYFUNCTION("""COMPUTED_VALUE"""),"yéye")</f>
        <v>yéye</v>
      </c>
      <c r="F532" s="13" t="str">
        <f ca="1">IFERROR(__xludf.DUMMYFUNCTION("""COMPUTED_VALUE"""),"Danh từ")</f>
        <v>Danh từ</v>
      </c>
      <c r="G532" s="13" t="str">
        <f ca="1">IFERROR(__xludf.DUMMYFUNCTION("""COMPUTED_VALUE"""),"Ông nội")</f>
        <v>Ông nội</v>
      </c>
      <c r="H532" s="13" t="str">
        <f ca="1">IFERROR(__xludf.DUMMYFUNCTION("""COMPUTED_VALUE"""),"我爷爷今年已经85岁了。")</f>
        <v>我爷爷今年已经85岁了。</v>
      </c>
      <c r="I532" s="13" t="str">
        <f ca="1">IFERROR(__xludf.DUMMYFUNCTION("""COMPUTED_VALUE"""),"Wǒ yéye jīnnián yǐjīng 85 suì le.")</f>
        <v>Wǒ yéye jīnnián yǐjīng 85 suì le.</v>
      </c>
      <c r="J532" s="13" t="str">
        <f ca="1">IFERROR(__xludf.DUMMYFUNCTION("""COMPUTED_VALUE"""),"Ông nội tôi năm nay đã 85 tuổi rồi.")</f>
        <v>Ông nội tôi năm nay đã 85 tuổi rồi.</v>
      </c>
      <c r="K532" s="13" t="str">
        <f ca="1">IFERROR(__xludf.DUMMYFUNCTION("""COMPUTED_VALUE"""),"H3_B13_BG-02.gif")</f>
        <v>H3_B13_BG-02.gif</v>
      </c>
      <c r="L532" s="13" t="str">
        <f ca="1">IFERROR(__xludf.DUMMYFUNCTION("""COMPUTED_VALUE"""),"H3_B13_2.mp3")</f>
        <v>H3_B13_2.mp3</v>
      </c>
      <c r="M532" s="13" t="str">
        <f ca="1">IFERROR(__xludf.DUMMYFUNCTION("""COMPUTED_VALUE"""),"H3_B13_VD_2.mp3")</f>
        <v>H3_B13_VD_2.mp3</v>
      </c>
    </row>
    <row r="533" spans="1:13">
      <c r="A533" s="13">
        <f ca="1">IFERROR(__xludf.DUMMYFUNCTION("""COMPUTED_VALUE"""),3)</f>
        <v>3</v>
      </c>
      <c r="B533" s="13"/>
      <c r="C533" s="13" t="str">
        <f ca="1">IFERROR(__xludf.DUMMYFUNCTION("""COMPUTED_VALUE"""),"礼物")</f>
        <v>礼物</v>
      </c>
      <c r="D533" s="13" t="str">
        <f ca="1">IFERROR(__xludf.DUMMYFUNCTION("""COMPUTED_VALUE"""),"&lt;ruby&gt;礼物&lt;rt&gt;lǐwù&lt;/rt&gt;&lt;/ruby&gt;")</f>
        <v>&lt;ruby&gt;礼物&lt;rt&gt;lǐwù&lt;/rt&gt;&lt;/ruby&gt;</v>
      </c>
      <c r="E533" s="13" t="str">
        <f ca="1">IFERROR(__xludf.DUMMYFUNCTION("""COMPUTED_VALUE"""),"lǐwù")</f>
        <v>lǐwù</v>
      </c>
      <c r="F533" s="13" t="str">
        <f ca="1">IFERROR(__xludf.DUMMYFUNCTION("""COMPUTED_VALUE"""),"Danh từ")</f>
        <v>Danh từ</v>
      </c>
      <c r="G533" s="13" t="str">
        <f ca="1">IFERROR(__xludf.DUMMYFUNCTION("""COMPUTED_VALUE"""),"Quà biếu, quà tặng")</f>
        <v>Quà biếu, quà tặng</v>
      </c>
      <c r="H533" s="13" t="str">
        <f ca="1">IFERROR(__xludf.DUMMYFUNCTION("""COMPUTED_VALUE"""),"他送了我一份礼物。")</f>
        <v>他送了我一份礼物。</v>
      </c>
      <c r="I533" s="13" t="str">
        <f ca="1">IFERROR(__xludf.DUMMYFUNCTION("""COMPUTED_VALUE"""),"Tā sòng le wǒ yī fèn lǐwù.")</f>
        <v>Tā sòng le wǒ yī fèn lǐwù.</v>
      </c>
      <c r="J533" s="13" t="str">
        <f ca="1">IFERROR(__xludf.DUMMYFUNCTION("""COMPUTED_VALUE"""),"Anh ấy tặng quà cho tôi.")</f>
        <v>Anh ấy tặng quà cho tôi.</v>
      </c>
      <c r="K533" s="13" t="str">
        <f ca="1">IFERROR(__xludf.DUMMYFUNCTION("""COMPUTED_VALUE"""),"H3_B13_BG-03.gif")</f>
        <v>H3_B13_BG-03.gif</v>
      </c>
      <c r="L533" s="13" t="str">
        <f ca="1">IFERROR(__xludf.DUMMYFUNCTION("""COMPUTED_VALUE"""),"H3_B13_3.mp3")</f>
        <v>H3_B13_3.mp3</v>
      </c>
      <c r="M533" s="13" t="str">
        <f ca="1">IFERROR(__xludf.DUMMYFUNCTION("""COMPUTED_VALUE"""),"H3_B13_VD_3.mp3")</f>
        <v>H3_B13_VD_3.mp3</v>
      </c>
    </row>
    <row r="534" spans="1:13">
      <c r="A534" s="13">
        <f ca="1">IFERROR(__xludf.DUMMYFUNCTION("""COMPUTED_VALUE"""),4)</f>
        <v>4</v>
      </c>
      <c r="B534" s="13"/>
      <c r="C534" s="13" t="str">
        <f ca="1">IFERROR(__xludf.DUMMYFUNCTION("""COMPUTED_VALUE"""),"奶奶")</f>
        <v>奶奶</v>
      </c>
      <c r="D534" s="13" t="str">
        <f ca="1">IFERROR(__xludf.DUMMYFUNCTION("""COMPUTED_VALUE"""),"&lt;ruby&gt;奶奶&lt;rt&gt;nǎinai&lt;/rt&gt;&lt;/ruby&gt;")</f>
        <v>&lt;ruby&gt;奶奶&lt;rt&gt;nǎinai&lt;/rt&gt;&lt;/ruby&gt;</v>
      </c>
      <c r="E534" s="13" t="str">
        <f ca="1">IFERROR(__xludf.DUMMYFUNCTION("""COMPUTED_VALUE"""),"nǎinai")</f>
        <v>nǎinai</v>
      </c>
      <c r="F534" s="13" t="str">
        <f ca="1">IFERROR(__xludf.DUMMYFUNCTION("""COMPUTED_VALUE"""),"Danh từ")</f>
        <v>Danh từ</v>
      </c>
      <c r="G534" s="13" t="str">
        <f ca="1">IFERROR(__xludf.DUMMYFUNCTION("""COMPUTED_VALUE"""),"Bà nội")</f>
        <v>Bà nội</v>
      </c>
      <c r="H534" s="13" t="str">
        <f ca="1">IFERROR(__xludf.DUMMYFUNCTION("""COMPUTED_VALUE"""),"我奶奶非常善良。")</f>
        <v>我奶奶非常善良。</v>
      </c>
      <c r="I534" s="13" t="str">
        <f ca="1">IFERROR(__xludf.DUMMYFUNCTION("""COMPUTED_VALUE"""),"Wǒ nǎinai fēicháng shànliáng.")</f>
        <v>Wǒ nǎinai fēicháng shànliáng.</v>
      </c>
      <c r="J534" s="13" t="str">
        <f ca="1">IFERROR(__xludf.DUMMYFUNCTION("""COMPUTED_VALUE"""),"Bà nội tôi rất tốt bụng.")</f>
        <v>Bà nội tôi rất tốt bụng.</v>
      </c>
      <c r="K534" s="13" t="str">
        <f ca="1">IFERROR(__xludf.DUMMYFUNCTION("""COMPUTED_VALUE"""),"H3_B13_BG-04.gif")</f>
        <v>H3_B13_BG-04.gif</v>
      </c>
      <c r="L534" s="13" t="str">
        <f ca="1">IFERROR(__xludf.DUMMYFUNCTION("""COMPUTED_VALUE"""),"H3_B13_4.mp3")</f>
        <v>H3_B13_4.mp3</v>
      </c>
      <c r="M534" s="13" t="str">
        <f ca="1">IFERROR(__xludf.DUMMYFUNCTION("""COMPUTED_VALUE"""),"H3_B13_VD_4.mp3")</f>
        <v>H3_B13_VD_4.mp3</v>
      </c>
    </row>
    <row r="535" spans="1:13">
      <c r="A535" s="13">
        <f ca="1">IFERROR(__xludf.DUMMYFUNCTION("""COMPUTED_VALUE"""),5)</f>
        <v>5</v>
      </c>
      <c r="B535" s="13"/>
      <c r="C535" s="13" t="str">
        <f ca="1">IFERROR(__xludf.DUMMYFUNCTION("""COMPUTED_VALUE"""),"遇到")</f>
        <v>遇到</v>
      </c>
      <c r="D535" s="13" t="str">
        <f ca="1">IFERROR(__xludf.DUMMYFUNCTION("""COMPUTED_VALUE"""),"&lt;ruby&gt;遇到&lt;rt&gt;yùdào&lt;/rt&gt;&lt;/ruby&gt;")</f>
        <v>&lt;ruby&gt;遇到&lt;rt&gt;yùdào&lt;/rt&gt;&lt;/ruby&gt;</v>
      </c>
      <c r="E535" s="13" t="str">
        <f ca="1">IFERROR(__xludf.DUMMYFUNCTION("""COMPUTED_VALUE"""),"yùdào")</f>
        <v>yùdào</v>
      </c>
      <c r="F535" s="13" t="str">
        <f ca="1">IFERROR(__xludf.DUMMYFUNCTION("""COMPUTED_VALUE"""),"Động từ")</f>
        <v>Động từ</v>
      </c>
      <c r="G535" s="13" t="str">
        <f ca="1">IFERROR(__xludf.DUMMYFUNCTION("""COMPUTED_VALUE"""),"Tình cờ gặp")</f>
        <v>Tình cờ gặp</v>
      </c>
      <c r="H535" s="13" t="str">
        <f ca="1">IFERROR(__xludf.DUMMYFUNCTION("""COMPUTED_VALUE"""),"妹妹遇到困难时，哥哥总是帮她。")</f>
        <v>妹妹遇到困难时，哥哥总是帮她。</v>
      </c>
      <c r="I535" s="13" t="str">
        <f ca="1">IFERROR(__xludf.DUMMYFUNCTION("""COMPUTED_VALUE"""),"Mèimei yùdào kùnnán shí, gēge zǒngshì bāng tā.")</f>
        <v>Mèimei yùdào kùnnán shí, gēge zǒngshì bāng tā.</v>
      </c>
      <c r="J535" s="13" t="str">
        <f ca="1">IFERROR(__xludf.DUMMYFUNCTION("""COMPUTED_VALUE"""),"Em gái gặp phải khó khăn và được anh trai giúp đỡ.")</f>
        <v>Em gái gặp phải khó khăn và được anh trai giúp đỡ.</v>
      </c>
      <c r="K535" s="13" t="str">
        <f ca="1">IFERROR(__xludf.DUMMYFUNCTION("""COMPUTED_VALUE"""),"H3_B13_BG-05.gif")</f>
        <v>H3_B13_BG-05.gif</v>
      </c>
      <c r="L535" s="13" t="str">
        <f ca="1">IFERROR(__xludf.DUMMYFUNCTION("""COMPUTED_VALUE"""),"H3_B13_5.mp3")</f>
        <v>H3_B13_5.mp3</v>
      </c>
      <c r="M535" s="13" t="str">
        <f ca="1">IFERROR(__xludf.DUMMYFUNCTION("""COMPUTED_VALUE"""),"H3_B13_VD_5.mp3")</f>
        <v>H3_B13_VD_5.mp3</v>
      </c>
    </row>
    <row r="536" spans="1:13">
      <c r="A536" s="13">
        <f ca="1">IFERROR(__xludf.DUMMYFUNCTION("""COMPUTED_VALUE"""),6)</f>
        <v>6</v>
      </c>
      <c r="B536" s="13"/>
      <c r="C536" s="13" t="str">
        <f ca="1">IFERROR(__xludf.DUMMYFUNCTION("""COMPUTED_VALUE"""),"一边")</f>
        <v>一边</v>
      </c>
      <c r="D536" s="13" t="str">
        <f ca="1">IFERROR(__xludf.DUMMYFUNCTION("""COMPUTED_VALUE"""),"&lt;ruby&gt;一边&lt;rt&gt;yìbiān&lt;/rt&gt;&lt;/ruby&gt;")</f>
        <v>&lt;ruby&gt;一边&lt;rt&gt;yìbiān&lt;/rt&gt;&lt;/ruby&gt;</v>
      </c>
      <c r="E536" s="13" t="str">
        <f ca="1">IFERROR(__xludf.DUMMYFUNCTION("""COMPUTED_VALUE"""),"yìbiān")</f>
        <v>yìbiān</v>
      </c>
      <c r="F536" s="13" t="str">
        <f ca="1">IFERROR(__xludf.DUMMYFUNCTION("""COMPUTED_VALUE"""),"Phó từ")</f>
        <v>Phó từ</v>
      </c>
      <c r="G536" s="13" t="str">
        <f ca="1">IFERROR(__xludf.DUMMYFUNCTION("""COMPUTED_VALUE"""),"Vừa (được dùng để liên kết hai hành động xảy ra cùng lúc)")</f>
        <v>Vừa (được dùng để liên kết hai hành động xảy ra cùng lúc)</v>
      </c>
      <c r="H536" s="13" t="str">
        <f ca="1">IFERROR(__xludf.DUMMYFUNCTION("""COMPUTED_VALUE"""),"她一边弹吉他，一边唱歌。")</f>
        <v>她一边弹吉他，一边唱歌。</v>
      </c>
      <c r="I536" s="13" t="str">
        <f ca="1">IFERROR(__xludf.DUMMYFUNCTION("""COMPUTED_VALUE"""),"Tā yībiān tán jítā, yībiān chànggē.")</f>
        <v>Tā yībiān tán jítā, yībiān chànggē.</v>
      </c>
      <c r="J536" s="13" t="str">
        <f ca="1">IFERROR(__xludf.DUMMYFUNCTION("""COMPUTED_VALUE"""),"Cô ấy vừa chơi đàn guitar vừa hát.")</f>
        <v>Cô ấy vừa chơi đàn guitar vừa hát.</v>
      </c>
      <c r="K536" s="13" t="str">
        <f ca="1">IFERROR(__xludf.DUMMYFUNCTION("""COMPUTED_VALUE"""),"H3_B13_BG-06.gif")</f>
        <v>H3_B13_BG-06.gif</v>
      </c>
      <c r="L536" s="13" t="str">
        <f ca="1">IFERROR(__xludf.DUMMYFUNCTION("""COMPUTED_VALUE"""),"H3_B13_6.mp3")</f>
        <v>H3_B13_6.mp3</v>
      </c>
      <c r="M536" s="13" t="str">
        <f ca="1">IFERROR(__xludf.DUMMYFUNCTION("""COMPUTED_VALUE"""),"H3_B13_VD_6.mp3")</f>
        <v>H3_B13_VD_6.mp3</v>
      </c>
    </row>
    <row r="537" spans="1:13">
      <c r="A537" s="13">
        <f ca="1">IFERROR(__xludf.DUMMYFUNCTION("""COMPUTED_VALUE"""),7)</f>
        <v>7</v>
      </c>
      <c r="B537" s="13"/>
      <c r="C537" s="13" t="str">
        <f ca="1">IFERROR(__xludf.DUMMYFUNCTION("""COMPUTED_VALUE"""),"过去")</f>
        <v>过去</v>
      </c>
      <c r="D537" s="13" t="str">
        <f ca="1">IFERROR(__xludf.DUMMYFUNCTION("""COMPUTED_VALUE"""),"&lt;ruby&gt;过去&lt;rt&gt;guòqù&lt;/rt&gt;&lt;/ruby&gt;")</f>
        <v>&lt;ruby&gt;过去&lt;rt&gt;guòqù&lt;/rt&gt;&lt;/ruby&gt;</v>
      </c>
      <c r="E537" s="13" t="str">
        <f ca="1">IFERROR(__xludf.DUMMYFUNCTION("""COMPUTED_VALUE"""),"guòqù")</f>
        <v>guòqù</v>
      </c>
      <c r="F537" s="13" t="str">
        <f ca="1">IFERROR(__xludf.DUMMYFUNCTION("""COMPUTED_VALUE"""),"Danh từ")</f>
        <v>Danh từ</v>
      </c>
      <c r="G537" s="13" t="str">
        <f ca="1">IFERROR(__xludf.DUMMYFUNCTION("""COMPUTED_VALUE"""),"Quá khứ")</f>
        <v>Quá khứ</v>
      </c>
      <c r="H537" s="13" t="str">
        <f ca="1">IFERROR(__xludf.DUMMYFUNCTION("""COMPUTED_VALUE"""),"过去我不喜欢吃蔬菜，现在我每天吃很多。")</f>
        <v>过去我不喜欢吃蔬菜，现在我每天吃很多。</v>
      </c>
      <c r="I537" s="13" t="str">
        <f ca="1">IFERROR(__xludf.DUMMYFUNCTION("""COMPUTED_VALUE"""),"Guòqù wǒ bù xǐhuan chī shūcài, xiànzài wǒ měitiān chī hěn duō.")</f>
        <v>Guòqù wǒ bù xǐhuan chī shūcài, xiànzài wǒ měitiān chī hěn duō.</v>
      </c>
      <c r="J537" s="13" t="str">
        <f ca="1">IFERROR(__xludf.DUMMYFUNCTION("""COMPUTED_VALUE"""),"Trước đây tôi không thích ăn rau, bây giờ mỗi ngày tôi ăn rất nhiều.")</f>
        <v>Trước đây tôi không thích ăn rau, bây giờ mỗi ngày tôi ăn rất nhiều.</v>
      </c>
      <c r="K537" s="13" t="str">
        <f ca="1">IFERROR(__xludf.DUMMYFUNCTION("""COMPUTED_VALUE"""),"H3_B13_BG-07.gif")</f>
        <v>H3_B13_BG-07.gif</v>
      </c>
      <c r="L537" s="13" t="str">
        <f ca="1">IFERROR(__xludf.DUMMYFUNCTION("""COMPUTED_VALUE"""),"H3_B13_7.mp3")</f>
        <v>H3_B13_7.mp3</v>
      </c>
      <c r="M537" s="13" t="str">
        <f ca="1">IFERROR(__xludf.DUMMYFUNCTION("""COMPUTED_VALUE"""),"H3_B13_VD_7.mp3")</f>
        <v>H3_B13_VD_7.mp3</v>
      </c>
    </row>
    <row r="538" spans="1:13">
      <c r="A538" s="13">
        <f ca="1">IFERROR(__xludf.DUMMYFUNCTION("""COMPUTED_VALUE"""),8)</f>
        <v>8</v>
      </c>
      <c r="B538" s="13"/>
      <c r="C538" s="13" t="str">
        <f ca="1">IFERROR(__xludf.DUMMYFUNCTION("""COMPUTED_VALUE"""),"一般")</f>
        <v>一般</v>
      </c>
      <c r="D538" s="13" t="str">
        <f ca="1">IFERROR(__xludf.DUMMYFUNCTION("""COMPUTED_VALUE"""),"&lt;ruby&gt;一般&lt;rt&gt;yìbān&lt;/rt&gt;&lt;/ruby&gt;")</f>
        <v>&lt;ruby&gt;一般&lt;rt&gt;yìbān&lt;/rt&gt;&lt;/ruby&gt;</v>
      </c>
      <c r="E538" s="13" t="str">
        <f ca="1">IFERROR(__xludf.DUMMYFUNCTION("""COMPUTED_VALUE"""),"yìbān")</f>
        <v>yìbān</v>
      </c>
      <c r="F538" s="13" t="str">
        <f ca="1">IFERROR(__xludf.DUMMYFUNCTION("""COMPUTED_VALUE"""),"Tính từ")</f>
        <v>Tính từ</v>
      </c>
      <c r="G538" s="13" t="str">
        <f ca="1">IFERROR(__xludf.DUMMYFUNCTION("""COMPUTED_VALUE"""),"Thông thường")</f>
        <v>Thông thường</v>
      </c>
      <c r="H538" s="13" t="str">
        <f ca="1">IFERROR(__xludf.DUMMYFUNCTION("""COMPUTED_VALUE"""),"我一般七点起床。")</f>
        <v>我一般七点起床。</v>
      </c>
      <c r="I538" s="13" t="str">
        <f ca="1">IFERROR(__xludf.DUMMYFUNCTION("""COMPUTED_VALUE"""),"Wǒ yībān qī diǎn qǐchuáng.")</f>
        <v>Wǒ yībān qī diǎn qǐchuáng.</v>
      </c>
      <c r="J538" s="13" t="str">
        <f ca="1">IFERROR(__xludf.DUMMYFUNCTION("""COMPUTED_VALUE"""),"Tôi thường dậy lúc 7 giờ.")</f>
        <v>Tôi thường dậy lúc 7 giờ.</v>
      </c>
      <c r="K538" s="13" t="str">
        <f ca="1">IFERROR(__xludf.DUMMYFUNCTION("""COMPUTED_VALUE"""),"H3_B13_BG-08.gif")</f>
        <v>H3_B13_BG-08.gif</v>
      </c>
      <c r="L538" s="13" t="str">
        <f ca="1">IFERROR(__xludf.DUMMYFUNCTION("""COMPUTED_VALUE"""),"H3_B13_8.mp3")</f>
        <v>H3_B13_8.mp3</v>
      </c>
      <c r="M538" s="13" t="str">
        <f ca="1">IFERROR(__xludf.DUMMYFUNCTION("""COMPUTED_VALUE"""),"H3_B13_VD_8.mp3")</f>
        <v>H3_B13_VD_8.mp3</v>
      </c>
    </row>
    <row r="539" spans="1:13">
      <c r="A539" s="13">
        <f ca="1">IFERROR(__xludf.DUMMYFUNCTION("""COMPUTED_VALUE"""),9)</f>
        <v>9</v>
      </c>
      <c r="B539" s="13"/>
      <c r="C539" s="13" t="str">
        <f ca="1">IFERROR(__xludf.DUMMYFUNCTION("""COMPUTED_VALUE"""),"愿意")</f>
        <v>愿意</v>
      </c>
      <c r="D539" s="13" t="str">
        <f ca="1">IFERROR(__xludf.DUMMYFUNCTION("""COMPUTED_VALUE"""),"&lt;ruby&gt;愿意&lt;rt&gt;yuànyì&lt;/rt&gt;&lt;/ruby&gt;")</f>
        <v>&lt;ruby&gt;愿意&lt;rt&gt;yuànyì&lt;/rt&gt;&lt;/ruby&gt;</v>
      </c>
      <c r="E539" s="13" t="str">
        <f ca="1">IFERROR(__xludf.DUMMYFUNCTION("""COMPUTED_VALUE"""),"yuànyì")</f>
        <v>yuànyì</v>
      </c>
      <c r="F539" s="13" t="str">
        <f ca="1">IFERROR(__xludf.DUMMYFUNCTION("""COMPUTED_VALUE"""),"Động từ")</f>
        <v>Động từ</v>
      </c>
      <c r="G539" s="13" t="str">
        <f ca="1">IFERROR(__xludf.DUMMYFUNCTION("""COMPUTED_VALUE"""),"Muốn")</f>
        <v>Muốn</v>
      </c>
      <c r="H539" s="13" t="str">
        <f ca="1">IFERROR(__xludf.DUMMYFUNCTION("""COMPUTED_VALUE"""),"你愿意和我结婚吗？")</f>
        <v>你愿意和我结婚吗？</v>
      </c>
      <c r="I539" s="13" t="str">
        <f ca="1">IFERROR(__xludf.DUMMYFUNCTION("""COMPUTED_VALUE"""),"Nǐ yuànyì hé wǒ jiéhūn ma?")</f>
        <v>Nǐ yuànyì hé wǒ jiéhūn ma?</v>
      </c>
      <c r="J539" s="13" t="str">
        <f ca="1">IFERROR(__xludf.DUMMYFUNCTION("""COMPUTED_VALUE"""),"Em đồng ý lấy anh chứ?")</f>
        <v>Em đồng ý lấy anh chứ?</v>
      </c>
      <c r="K539" s="13" t="str">
        <f ca="1">IFERROR(__xludf.DUMMYFUNCTION("""COMPUTED_VALUE"""),"H3_B13_BG-09.gif")</f>
        <v>H3_B13_BG-09.gif</v>
      </c>
      <c r="L539" s="13" t="str">
        <f ca="1">IFERROR(__xludf.DUMMYFUNCTION("""COMPUTED_VALUE"""),"H3_B13_9.mp3")</f>
        <v>H3_B13_9.mp3</v>
      </c>
      <c r="M539" s="13" t="str">
        <f ca="1">IFERROR(__xludf.DUMMYFUNCTION("""COMPUTED_VALUE"""),"H3_B13_VD_9.mp3")</f>
        <v>H3_B13_VD_9.mp3</v>
      </c>
    </row>
    <row r="540" spans="1:13">
      <c r="A540" s="13">
        <f ca="1">IFERROR(__xludf.DUMMYFUNCTION("""COMPUTED_VALUE"""),10)</f>
        <v>10</v>
      </c>
      <c r="B540" s="13"/>
      <c r="C540" s="13" t="str">
        <f ca="1">IFERROR(__xludf.DUMMYFUNCTION("""COMPUTED_VALUE"""),"起来")</f>
        <v>起来</v>
      </c>
      <c r="D540" s="13" t="str">
        <f ca="1">IFERROR(__xludf.DUMMYFUNCTION("""COMPUTED_VALUE"""),"&lt;ruby&gt;起来&lt;rt&gt;qǐlai&lt;/rt&gt;&lt;/ruby&gt;")</f>
        <v>&lt;ruby&gt;起来&lt;rt&gt;qǐlai&lt;/rt&gt;&lt;/ruby&gt;</v>
      </c>
      <c r="E540" s="13" t="str">
        <f ca="1">IFERROR(__xludf.DUMMYFUNCTION("""COMPUTED_VALUE"""),"qǐlai")</f>
        <v>qǐlai</v>
      </c>
      <c r="F540" s="13" t="str">
        <f ca="1">IFERROR(__xludf.DUMMYFUNCTION("""COMPUTED_VALUE"""),"Động từ")</f>
        <v>Động từ</v>
      </c>
      <c r="G540" s="13" t="str">
        <f ca="1">IFERROR(__xludf.DUMMYFUNCTION("""COMPUTED_VALUE"""),"(chỉ sự di chuyển hướng lên) Lên")</f>
        <v>(chỉ sự di chuyển hướng lên) Lên</v>
      </c>
      <c r="H540" s="13" t="str">
        <f ca="1">IFERROR(__xludf.DUMMYFUNCTION("""COMPUTED_VALUE"""),"我起来给老人让座。")</f>
        <v>我起来给老人让座。</v>
      </c>
      <c r="I540" s="13" t="str">
        <f ca="1">IFERROR(__xludf.DUMMYFUNCTION("""COMPUTED_VALUE"""),"Wǒ qǐlái gěi lǎorén ràng zuò.")</f>
        <v>Wǒ qǐlái gěi lǎorén ràng zuò.</v>
      </c>
      <c r="J540" s="13" t="str">
        <f ca="1">IFERROR(__xludf.DUMMYFUNCTION("""COMPUTED_VALUE"""),"Tôi đứng dậy nhường chỗ cho người già.")</f>
        <v>Tôi đứng dậy nhường chỗ cho người già.</v>
      </c>
      <c r="K540" s="13" t="str">
        <f ca="1">IFERROR(__xludf.DUMMYFUNCTION("""COMPUTED_VALUE"""),"H3_B13_BG-10.gif")</f>
        <v>H3_B13_BG-10.gif</v>
      </c>
      <c r="L540" s="13" t="str">
        <f ca="1">IFERROR(__xludf.DUMMYFUNCTION("""COMPUTED_VALUE"""),"H3_B13_10.mp3")</f>
        <v>H3_B13_10.mp3</v>
      </c>
      <c r="M540" s="13" t="str">
        <f ca="1">IFERROR(__xludf.DUMMYFUNCTION("""COMPUTED_VALUE"""),"H3_B13_VD_10.mp3")</f>
        <v>H3_B13_VD_10.mp3</v>
      </c>
    </row>
    <row r="541" spans="1:13">
      <c r="A541" s="13">
        <f ca="1">IFERROR(__xludf.DUMMYFUNCTION("""COMPUTED_VALUE"""),11)</f>
        <v>11</v>
      </c>
      <c r="B541" s="13"/>
      <c r="C541" s="13" t="str">
        <f ca="1">IFERROR(__xludf.DUMMYFUNCTION("""COMPUTED_VALUE"""),"应该")</f>
        <v>应该</v>
      </c>
      <c r="D541" s="13" t="str">
        <f ca="1">IFERROR(__xludf.DUMMYFUNCTION("""COMPUTED_VALUE"""),"&lt;ruby&gt;应该&lt;rt&gt;yīnggāi&lt;/rt&gt;&lt;/ruby&gt;")</f>
        <v>&lt;ruby&gt;应该&lt;rt&gt;yīnggāi&lt;/rt&gt;&lt;/ruby&gt;</v>
      </c>
      <c r="E541" s="13" t="str">
        <f ca="1">IFERROR(__xludf.DUMMYFUNCTION("""COMPUTED_VALUE"""),"yīnggāi")</f>
        <v>yīnggāi</v>
      </c>
      <c r="F541" s="13" t="str">
        <f ca="1">IFERROR(__xludf.DUMMYFUNCTION("""COMPUTED_VALUE"""),"Động từ")</f>
        <v>Động từ</v>
      </c>
      <c r="G541" s="13" t="str">
        <f ca="1">IFERROR(__xludf.DUMMYFUNCTION("""COMPUTED_VALUE"""),"Nên, cần phải")</f>
        <v>Nên, cần phải</v>
      </c>
      <c r="H541" s="13" t="str">
        <f ca="1">IFERROR(__xludf.DUMMYFUNCTION("""COMPUTED_VALUE"""),"你应该早点休息，不要太累了。")</f>
        <v>你应该早点休息，不要太累了。</v>
      </c>
      <c r="I541" s="13" t="str">
        <f ca="1">IFERROR(__xludf.DUMMYFUNCTION("""COMPUTED_VALUE"""),"Nǐ yīnggāi zǎodiǎn xiūxi, búyào tài lèi le.")</f>
        <v>Nǐ yīnggāi zǎodiǎn xiūxi, búyào tài lèi le.</v>
      </c>
      <c r="J541" s="13" t="str">
        <f ca="1">IFERROR(__xludf.DUMMYFUNCTION("""COMPUTED_VALUE"""),"Bạn nên đi ngủ sớm để sáng hôm sau đi học.")</f>
        <v>Bạn nên đi ngủ sớm để sáng hôm sau đi học.</v>
      </c>
      <c r="K541" s="13" t="str">
        <f ca="1">IFERROR(__xludf.DUMMYFUNCTION("""COMPUTED_VALUE"""),"H3_B13_BG-11.gif")</f>
        <v>H3_B13_BG-11.gif</v>
      </c>
      <c r="L541" s="13" t="str">
        <f ca="1">IFERROR(__xludf.DUMMYFUNCTION("""COMPUTED_VALUE"""),"H3_B13_11.mp3")</f>
        <v>H3_B13_11.mp3</v>
      </c>
      <c r="M541" s="13" t="str">
        <f ca="1">IFERROR(__xludf.DUMMYFUNCTION("""COMPUTED_VALUE"""),"H3_B13_VD_11.mp3")</f>
        <v>H3_B13_VD_11.mp3</v>
      </c>
    </row>
    <row r="542" spans="1:13">
      <c r="A542" s="13">
        <f ca="1">IFERROR(__xludf.DUMMYFUNCTION("""COMPUTED_VALUE"""),12)</f>
        <v>12</v>
      </c>
      <c r="B542" s="13"/>
      <c r="C542" s="13" t="str">
        <f ca="1">IFERROR(__xludf.DUMMYFUNCTION("""COMPUTED_VALUE"""),"生活")</f>
        <v>生活</v>
      </c>
      <c r="D542" s="13" t="str">
        <f ca="1">IFERROR(__xludf.DUMMYFUNCTION("""COMPUTED_VALUE"""),"&lt;ruby&gt;生活&lt;rt&gt;shēnghuó&lt;/rt&gt;&lt;/ruby&gt;")</f>
        <v>&lt;ruby&gt;生活&lt;rt&gt;shēnghuó&lt;/rt&gt;&lt;/ruby&gt;</v>
      </c>
      <c r="E542" s="13" t="str">
        <f ca="1">IFERROR(__xludf.DUMMYFUNCTION("""COMPUTED_VALUE"""),"shēnghuó")</f>
        <v>shēnghuó</v>
      </c>
      <c r="F542" s="13" t="str">
        <f ca="1">IFERROR(__xludf.DUMMYFUNCTION("""COMPUTED_VALUE"""),"Danh từ")</f>
        <v>Danh từ</v>
      </c>
      <c r="G542" s="13" t="str">
        <f ca="1">IFERROR(__xludf.DUMMYFUNCTION("""COMPUTED_VALUE"""),"Đời sống, cuộc sống")</f>
        <v>Đời sống, cuộc sống</v>
      </c>
      <c r="H542" s="13" t="str">
        <f ca="1">IFERROR(__xludf.DUMMYFUNCTION("""COMPUTED_VALUE"""),"他的生活很幸福。")</f>
        <v>他的生活很幸福。</v>
      </c>
      <c r="I542" s="13" t="str">
        <f ca="1">IFERROR(__xludf.DUMMYFUNCTION("""COMPUTED_VALUE"""),"Tā de shēnghuó hěn xìngfú.")</f>
        <v>Tā de shēnghuó hěn xìngfú.</v>
      </c>
      <c r="J542" s="13" t="str">
        <f ca="1">IFERROR(__xludf.DUMMYFUNCTION("""COMPUTED_VALUE"""),"Cuộc sống của anh ấy rất hạnh phúc.")</f>
        <v>Cuộc sống của anh ấy rất hạnh phúc.</v>
      </c>
      <c r="K542" s="13" t="str">
        <f ca="1">IFERROR(__xludf.DUMMYFUNCTION("""COMPUTED_VALUE"""),"H3_B13_BG-12.gif")</f>
        <v>H3_B13_BG-12.gif</v>
      </c>
      <c r="L542" s="13" t="str">
        <f ca="1">IFERROR(__xludf.DUMMYFUNCTION("""COMPUTED_VALUE"""),"H3_B13_12.mp3")</f>
        <v>H3_B13_12.mp3</v>
      </c>
      <c r="M542" s="13" t="str">
        <f ca="1">IFERROR(__xludf.DUMMYFUNCTION("""COMPUTED_VALUE"""),"H3_B13_VD_12.mp3")</f>
        <v>H3_B13_VD_12.mp3</v>
      </c>
    </row>
    <row r="543" spans="1:13">
      <c r="A543" s="13">
        <f ca="1">IFERROR(__xludf.DUMMYFUNCTION("""COMPUTED_VALUE"""),13)</f>
        <v>13</v>
      </c>
      <c r="B543" s="13"/>
      <c r="C543" s="13" t="str">
        <f ca="1">IFERROR(__xludf.DUMMYFUNCTION("""COMPUTED_VALUE"""),"校长")</f>
        <v>校长</v>
      </c>
      <c r="D543" s="13" t="str">
        <f ca="1">IFERROR(__xludf.DUMMYFUNCTION("""COMPUTED_VALUE"""),"&lt;ruby&gt;校长&lt;rt&gt;xiàozhǎng&lt;/rt&gt;&lt;/ruby&gt;")</f>
        <v>&lt;ruby&gt;校长&lt;rt&gt;xiàozhǎng&lt;/rt&gt;&lt;/ruby&gt;</v>
      </c>
      <c r="E543" s="13" t="str">
        <f ca="1">IFERROR(__xludf.DUMMYFUNCTION("""COMPUTED_VALUE"""),"xiàozhǎng")</f>
        <v>xiàozhǎng</v>
      </c>
      <c r="F543" s="13" t="str">
        <f ca="1">IFERROR(__xludf.DUMMYFUNCTION("""COMPUTED_VALUE"""),"Danh từ")</f>
        <v>Danh từ</v>
      </c>
      <c r="G543" s="13" t="str">
        <f ca="1">IFERROR(__xludf.DUMMYFUNCTION("""COMPUTED_VALUE"""),"Hiệu trưởng")</f>
        <v>Hiệu trưởng</v>
      </c>
      <c r="H543" s="13" t="str">
        <f ca="1">IFERROR(__xludf.DUMMYFUNCTION("""COMPUTED_VALUE"""),"他是那所著名大学的校长。")</f>
        <v>他是那所著名大学的校长。</v>
      </c>
      <c r="I543" s="13" t="str">
        <f ca="1">IFERROR(__xludf.DUMMYFUNCTION("""COMPUTED_VALUE"""),"Tā shì nà suǒ zhùmíng dàxué de xiàozhǎng.")</f>
        <v>Tā shì nà suǒ zhùmíng dàxué de xiàozhǎng.</v>
      </c>
      <c r="J543" s="13" t="str">
        <f ca="1">IFERROR(__xludf.DUMMYFUNCTION("""COMPUTED_VALUE"""),"Anh ấy là hiệu trưởng của trường đại học nổi tiếng.")</f>
        <v>Anh ấy là hiệu trưởng của trường đại học nổi tiếng.</v>
      </c>
      <c r="K543" s="13" t="str">
        <f ca="1">IFERROR(__xludf.DUMMYFUNCTION("""COMPUTED_VALUE"""),"H3_B13_BG-13.gif")</f>
        <v>H3_B13_BG-13.gif</v>
      </c>
      <c r="L543" s="13" t="str">
        <f ca="1">IFERROR(__xludf.DUMMYFUNCTION("""COMPUTED_VALUE"""),"H3_B13_13.mp3")</f>
        <v>H3_B13_13.mp3</v>
      </c>
      <c r="M543" s="13" t="str">
        <f ca="1">IFERROR(__xludf.DUMMYFUNCTION("""COMPUTED_VALUE"""),"H3_B13_VD_13.mp3")</f>
        <v>H3_B13_VD_13.mp3</v>
      </c>
    </row>
    <row r="544" spans="1:13">
      <c r="A544" s="13">
        <f ca="1">IFERROR(__xludf.DUMMYFUNCTION("""COMPUTED_VALUE"""),14)</f>
        <v>14</v>
      </c>
      <c r="B544" s="13"/>
      <c r="C544" s="13" t="str">
        <f ca="1">IFERROR(__xludf.DUMMYFUNCTION("""COMPUTED_VALUE"""),"坏")</f>
        <v>坏</v>
      </c>
      <c r="D544" s="13" t="str">
        <f ca="1">IFERROR(__xludf.DUMMYFUNCTION("""COMPUTED_VALUE"""),"&lt;ruby&gt;坏&lt;rt&gt;huài&lt;/rt&gt;&lt;/ruby&gt;")</f>
        <v>&lt;ruby&gt;坏&lt;rt&gt;huài&lt;/rt&gt;&lt;/ruby&gt;</v>
      </c>
      <c r="E544" s="13" t="str">
        <f ca="1">IFERROR(__xludf.DUMMYFUNCTION("""COMPUTED_VALUE"""),"huài")</f>
        <v>huài</v>
      </c>
      <c r="F544" s="13" t="str">
        <f ca="1">IFERROR(__xludf.DUMMYFUNCTION("""COMPUTED_VALUE"""),"Tính từ")</f>
        <v>Tính từ</v>
      </c>
      <c r="G544" s="13" t="str">
        <f ca="1">IFERROR(__xludf.DUMMYFUNCTION("""COMPUTED_VALUE"""),"Quá, quá mức")</f>
        <v>Quá, quá mức</v>
      </c>
      <c r="H544" s="13" t="str">
        <f ca="1">IFERROR(__xludf.DUMMYFUNCTION("""COMPUTED_VALUE"""),"他饿坏了，什么都想吃。")</f>
        <v>他饿坏了，什么都想吃。</v>
      </c>
      <c r="I544" s="13" t="str">
        <f ca="1">IFERROR(__xludf.DUMMYFUNCTION("""COMPUTED_VALUE"""),"Tā è huài le, shénme dōu xiǎng chī.")</f>
        <v>Tā è huài le, shénme dōu xiǎng chī.</v>
      </c>
      <c r="J544" s="13" t="str">
        <f ca="1">IFERROR(__xludf.DUMMYFUNCTION("""COMPUTED_VALUE"""),"Anh ấy đói quá, cái gì cũng muốn ăn.")</f>
        <v>Anh ấy đói quá, cái gì cũng muốn ăn.</v>
      </c>
      <c r="K544" s="13" t="str">
        <f ca="1">IFERROR(__xludf.DUMMYFUNCTION("""COMPUTED_VALUE"""),"H3_B13_BG-14.gif")</f>
        <v>H3_B13_BG-14.gif</v>
      </c>
      <c r="L544" s="13" t="str">
        <f ca="1">IFERROR(__xludf.DUMMYFUNCTION("""COMPUTED_VALUE"""),"H3_B13_14.mp3")</f>
        <v>H3_B13_14.mp3</v>
      </c>
      <c r="M544" s="13" t="str">
        <f ca="1">IFERROR(__xludf.DUMMYFUNCTION("""COMPUTED_VALUE"""),"H3_B13_VD_14.mp3")</f>
        <v>H3_B13_VD_14.mp3</v>
      </c>
    </row>
    <row r="545" spans="1:13">
      <c r="A545" s="13">
        <f ca="1">IFERROR(__xludf.DUMMYFUNCTION("""COMPUTED_VALUE"""),15)</f>
        <v>15</v>
      </c>
      <c r="B545" s="13"/>
      <c r="C545" s="13" t="str">
        <f ca="1">IFERROR(__xludf.DUMMYFUNCTION("""COMPUTED_VALUE"""),"经常")</f>
        <v>经常</v>
      </c>
      <c r="D545" s="13" t="str">
        <f ca="1">IFERROR(__xludf.DUMMYFUNCTION("""COMPUTED_VALUE"""),"&lt;ruby&gt;经常&lt;rt&gt;jīngcháng&lt;/rt&gt;&lt;/ruby&gt;")</f>
        <v>&lt;ruby&gt;经常&lt;rt&gt;jīngcháng&lt;/rt&gt;&lt;/ruby&gt;</v>
      </c>
      <c r="E545" s="13" t="str">
        <f ca="1">IFERROR(__xludf.DUMMYFUNCTION("""COMPUTED_VALUE"""),"jīngcháng")</f>
        <v>jīngcháng</v>
      </c>
      <c r="F545" s="13" t="str">
        <f ca="1">IFERROR(__xludf.DUMMYFUNCTION("""COMPUTED_VALUE"""),"Phó từ")</f>
        <v>Phó từ</v>
      </c>
      <c r="G545" s="13" t="str">
        <f ca="1">IFERROR(__xludf.DUMMYFUNCTION("""COMPUTED_VALUE"""),"Thường xuyên")</f>
        <v>Thường xuyên</v>
      </c>
      <c r="H545" s="13" t="str">
        <f ca="1">IFERROR(__xludf.DUMMYFUNCTION("""COMPUTED_VALUE"""),"他经常打篮球。")</f>
        <v>他经常打篮球。</v>
      </c>
      <c r="I545" s="13" t="str">
        <f ca="1">IFERROR(__xludf.DUMMYFUNCTION("""COMPUTED_VALUE"""),"Tā jīngcháng dǎ lánqiú.")</f>
        <v>Tā jīngcháng dǎ lánqiú.</v>
      </c>
      <c r="J545" s="13" t="str">
        <f ca="1">IFERROR(__xludf.DUMMYFUNCTION("""COMPUTED_VALUE"""),"Anh ấy thường xuyên chơi bóng rổ.")</f>
        <v>Anh ấy thường xuyên chơi bóng rổ.</v>
      </c>
      <c r="K545" s="13" t="str">
        <f ca="1">IFERROR(__xludf.DUMMYFUNCTION("""COMPUTED_VALUE"""),"H3_B13_BG-15.gif")</f>
        <v>H3_B13_BG-15.gif</v>
      </c>
      <c r="L545" s="13" t="str">
        <f ca="1">IFERROR(__xludf.DUMMYFUNCTION("""COMPUTED_VALUE"""),"H3_B13_15.mp3")</f>
        <v>H3_B13_15.mp3</v>
      </c>
      <c r="M545" s="13" t="str">
        <f ca="1">IFERROR(__xludf.DUMMYFUNCTION("""COMPUTED_VALUE"""),"H3_B13_VD_15.mp3")</f>
        <v>H3_B13_VD_15.mp3</v>
      </c>
    </row>
    <row r="546" spans="1:13">
      <c r="A546" s="13">
        <f ca="1">IFERROR(__xludf.DUMMYFUNCTION("""COMPUTED_VALUE"""),1)</f>
        <v>1</v>
      </c>
      <c r="B546" s="13"/>
      <c r="C546" s="13" t="str">
        <f ca="1">IFERROR(__xludf.DUMMYFUNCTION("""COMPUTED_VALUE"""),"打扫")</f>
        <v>打扫</v>
      </c>
      <c r="D546" s="13" t="str">
        <f ca="1">IFERROR(__xludf.DUMMYFUNCTION("""COMPUTED_VALUE"""),"&lt;ruby&gt;打扫&lt;rt&gt;dǎsǎo&lt;/rt&gt;&lt;/ruby&gt;")</f>
        <v>&lt;ruby&gt;打扫&lt;rt&gt;dǎsǎo&lt;/rt&gt;&lt;/ruby&gt;</v>
      </c>
      <c r="E546" s="13" t="str">
        <f ca="1">IFERROR(__xludf.DUMMYFUNCTION("""COMPUTED_VALUE"""),"dǎsǎo")</f>
        <v>dǎsǎo</v>
      </c>
      <c r="F546" s="13" t="str">
        <f ca="1">IFERROR(__xludf.DUMMYFUNCTION("""COMPUTED_VALUE"""),"Động từ")</f>
        <v>Động từ</v>
      </c>
      <c r="G546" s="13" t="str">
        <f ca="1">IFERROR(__xludf.DUMMYFUNCTION("""COMPUTED_VALUE"""),"Quét dọn")</f>
        <v>Quét dọn</v>
      </c>
      <c r="H546" s="13" t="str">
        <f ca="1">IFERROR(__xludf.DUMMYFUNCTION("""COMPUTED_VALUE"""),"她把房间打扫得很干净。")</f>
        <v>她把房间打扫得很干净。</v>
      </c>
      <c r="I546" s="13" t="str">
        <f ca="1">IFERROR(__xludf.DUMMYFUNCTION("""COMPUTED_VALUE"""),"Tā bǎ fángjiān dǎsǎo de hěn gānjìng.")</f>
        <v>Tā bǎ fángjiān dǎsǎo de hěn gānjìng.</v>
      </c>
      <c r="J546" s="13" t="str">
        <f ca="1">IFERROR(__xludf.DUMMYFUNCTION("""COMPUTED_VALUE"""),"Cô ấy dọn dẹp nhà sạch sẽ.")</f>
        <v>Cô ấy dọn dẹp nhà sạch sẽ.</v>
      </c>
      <c r="K546" s="13" t="str">
        <f ca="1">IFERROR(__xludf.DUMMYFUNCTION("""COMPUTED_VALUE"""),"H3_B14_BG-01.gif")</f>
        <v>H3_B14_BG-01.gif</v>
      </c>
      <c r="L546" s="13" t="str">
        <f ca="1">IFERROR(__xludf.DUMMYFUNCTION("""COMPUTED_VALUE"""),"H3_B14_1.mp3")</f>
        <v>H3_B14_1.mp3</v>
      </c>
      <c r="M546" s="13" t="str">
        <f ca="1">IFERROR(__xludf.DUMMYFUNCTION("""COMPUTED_VALUE"""),"H3_B14_VD_1.mp3")</f>
        <v>H3_B14_VD_1.mp3</v>
      </c>
    </row>
    <row r="547" spans="1:13">
      <c r="A547" s="13">
        <f ca="1">IFERROR(__xludf.DUMMYFUNCTION("""COMPUTED_VALUE"""),2)</f>
        <v>2</v>
      </c>
      <c r="B547" s="13"/>
      <c r="C547" s="13" t="str">
        <f ca="1">IFERROR(__xludf.DUMMYFUNCTION("""COMPUTED_VALUE"""),"干净")</f>
        <v>干净</v>
      </c>
      <c r="D547" s="13" t="str">
        <f ca="1">IFERROR(__xludf.DUMMYFUNCTION("""COMPUTED_VALUE"""),"&lt;ruby&gt;干净&lt;rt&gt;gānjìng&lt;/rt&gt;&lt;/ruby&gt;")</f>
        <v>&lt;ruby&gt;干净&lt;rt&gt;gānjìng&lt;/rt&gt;&lt;/ruby&gt;</v>
      </c>
      <c r="E547" s="13" t="str">
        <f ca="1">IFERROR(__xludf.DUMMYFUNCTION("""COMPUTED_VALUE"""),"gānjìng")</f>
        <v>gānjìng</v>
      </c>
      <c r="F547" s="13" t="str">
        <f ca="1">IFERROR(__xludf.DUMMYFUNCTION("""COMPUTED_VALUE"""),"Tính từ")</f>
        <v>Tính từ</v>
      </c>
      <c r="G547" s="13" t="str">
        <f ca="1">IFERROR(__xludf.DUMMYFUNCTION("""COMPUTED_VALUE"""),"Sạch sẽ")</f>
        <v>Sạch sẽ</v>
      </c>
      <c r="H547" s="13" t="str">
        <f ca="1">IFERROR(__xludf.DUMMYFUNCTION("""COMPUTED_VALUE"""),"他在吃饭前把手洗得很干净。")</f>
        <v>他在吃饭前把手洗得很干净。</v>
      </c>
      <c r="I547" s="13" t="str">
        <f ca="1">IFERROR(__xludf.DUMMYFUNCTION("""COMPUTED_VALUE"""),"Tā zài chīfàn qián bǎ shǒu xǐ de hěn gānjìng.")</f>
        <v>Tā zài chīfàn qián bǎ shǒu xǐ de hěn gānjìng.</v>
      </c>
      <c r="J547" s="13" t="str">
        <f ca="1">IFERROR(__xludf.DUMMYFUNCTION("""COMPUTED_VALUE"""),"Anh ấy rửa tay sạch sẽ trước khi ăn.")</f>
        <v>Anh ấy rửa tay sạch sẽ trước khi ăn.</v>
      </c>
      <c r="K547" s="13" t="str">
        <f ca="1">IFERROR(__xludf.DUMMYFUNCTION("""COMPUTED_VALUE"""),"H3_B14_BG-02.gif")</f>
        <v>H3_B14_BG-02.gif</v>
      </c>
      <c r="L547" s="13" t="str">
        <f ca="1">IFERROR(__xludf.DUMMYFUNCTION("""COMPUTED_VALUE"""),"H3_B14_2.mp3")</f>
        <v>H3_B14_2.mp3</v>
      </c>
      <c r="M547" s="13" t="str">
        <f ca="1">IFERROR(__xludf.DUMMYFUNCTION("""COMPUTED_VALUE"""),"H3_B14_VD_2.mp3")</f>
        <v>H3_B14_VD_2.mp3</v>
      </c>
    </row>
    <row r="548" spans="1:13">
      <c r="A548" s="13">
        <f ca="1">IFERROR(__xludf.DUMMYFUNCTION("""COMPUTED_VALUE"""),3)</f>
        <v>3</v>
      </c>
      <c r="B548" s="13"/>
      <c r="C548" s="13" t="str">
        <f ca="1">IFERROR(__xludf.DUMMYFUNCTION("""COMPUTED_VALUE"""),"然后")</f>
        <v>然后</v>
      </c>
      <c r="D548" s="13" t="str">
        <f ca="1">IFERROR(__xludf.DUMMYFUNCTION("""COMPUTED_VALUE"""),"&lt;ruby&gt;然后&lt;rt&gt;ránhòu&lt;/rt&gt;&lt;/ruby&gt;")</f>
        <v>&lt;ruby&gt;然后&lt;rt&gt;ránhòu&lt;/rt&gt;&lt;/ruby&gt;</v>
      </c>
      <c r="E548" s="13" t="str">
        <f ca="1">IFERROR(__xludf.DUMMYFUNCTION("""COMPUTED_VALUE"""),"ránhòu")</f>
        <v>ránhòu</v>
      </c>
      <c r="F548" s="13" t="str">
        <f ca="1">IFERROR(__xludf.DUMMYFUNCTION("""COMPUTED_VALUE"""),"Liên từ")</f>
        <v>Liên từ</v>
      </c>
      <c r="G548" s="13" t="str">
        <f ca="1">IFERROR(__xludf.DUMMYFUNCTION("""COMPUTED_VALUE"""),"Sau đó")</f>
        <v>Sau đó</v>
      </c>
      <c r="H548" s="13" t="str">
        <f ca="1">IFERROR(__xludf.DUMMYFUNCTION("""COMPUTED_VALUE"""),"他先洗手，然后吃饭。")</f>
        <v>他先洗手，然后吃饭。</v>
      </c>
      <c r="I548" s="13" t="str">
        <f ca="1">IFERROR(__xludf.DUMMYFUNCTION("""COMPUTED_VALUE"""),"Tā xiān xǐshǒu, ránhòu chīfàn.")</f>
        <v>Tā xiān xǐshǒu, ránhòu chīfàn.</v>
      </c>
      <c r="J548" s="13" t="str">
        <f ca="1">IFERROR(__xludf.DUMMYFUNCTION("""COMPUTED_VALUE"""),"Anh ấy rửa tay sạch, sau đó mới bắt đầu ăn cơm.")</f>
        <v>Anh ấy rửa tay sạch, sau đó mới bắt đầu ăn cơm.</v>
      </c>
      <c r="K548" s="13" t="str">
        <f ca="1">IFERROR(__xludf.DUMMYFUNCTION("""COMPUTED_VALUE"""),"H3_B14_BG-03.gif")</f>
        <v>H3_B14_BG-03.gif</v>
      </c>
      <c r="L548" s="13" t="str">
        <f ca="1">IFERROR(__xludf.DUMMYFUNCTION("""COMPUTED_VALUE"""),"H3_B14_3.mp3")</f>
        <v>H3_B14_3.mp3</v>
      </c>
      <c r="M548" s="13" t="str">
        <f ca="1">IFERROR(__xludf.DUMMYFUNCTION("""COMPUTED_VALUE"""),"H3_B14_VD_3.mp3")</f>
        <v>H3_B14_VD_3.mp3</v>
      </c>
    </row>
    <row r="549" spans="1:13">
      <c r="A549" s="13">
        <f ca="1">IFERROR(__xludf.DUMMYFUNCTION("""COMPUTED_VALUE"""),4)</f>
        <v>4</v>
      </c>
      <c r="B549" s="13"/>
      <c r="C549" s="13" t="str">
        <f ca="1">IFERROR(__xludf.DUMMYFUNCTION("""COMPUTED_VALUE"""),"冰箱")</f>
        <v>冰箱</v>
      </c>
      <c r="D549" s="13" t="str">
        <f ca="1">IFERROR(__xludf.DUMMYFUNCTION("""COMPUTED_VALUE"""),"&lt;ruby&gt;冰箱&lt;rt&gt;bīngxiāng&lt;/rt&gt;&lt;/ruby&gt;")</f>
        <v>&lt;ruby&gt;冰箱&lt;rt&gt;bīngxiāng&lt;/rt&gt;&lt;/ruby&gt;</v>
      </c>
      <c r="E549" s="13" t="str">
        <f ca="1">IFERROR(__xludf.DUMMYFUNCTION("""COMPUTED_VALUE"""),"bīngxiāng")</f>
        <v>bīngxiāng</v>
      </c>
      <c r="F549" s="13" t="str">
        <f ca="1">IFERROR(__xludf.DUMMYFUNCTION("""COMPUTED_VALUE"""),"Danh từ")</f>
        <v>Danh từ</v>
      </c>
      <c r="G549" s="13" t="str">
        <f ca="1">IFERROR(__xludf.DUMMYFUNCTION("""COMPUTED_VALUE"""),"Tủ lạnh")</f>
        <v>Tủ lạnh</v>
      </c>
      <c r="H549" s="13" t="str">
        <f ca="1">IFERROR(__xludf.DUMMYFUNCTION("""COMPUTED_VALUE"""),"冰箱里剩下不多的食物。")</f>
        <v>冰箱里剩下不多的食物。</v>
      </c>
      <c r="I549" s="13" t="str">
        <f ca="1">IFERROR(__xludf.DUMMYFUNCTION("""COMPUTED_VALUE"""),"Bīngxiāng lǐ shèngxià bù duō de shíwù.")</f>
        <v>Bīngxiāng lǐ shèngxià bù duō de shíwù.</v>
      </c>
      <c r="J549" s="13" t="str">
        <f ca="1">IFERROR(__xludf.DUMMYFUNCTION("""COMPUTED_VALUE"""),"Trong tủ lạnh còn rất ít đồ ăn.")</f>
        <v>Trong tủ lạnh còn rất ít đồ ăn.</v>
      </c>
      <c r="K549" s="13" t="str">
        <f ca="1">IFERROR(__xludf.DUMMYFUNCTION("""COMPUTED_VALUE"""),"H3_B14_BG-04.gif")</f>
        <v>H3_B14_BG-04.gif</v>
      </c>
      <c r="L549" s="13" t="str">
        <f ca="1">IFERROR(__xludf.DUMMYFUNCTION("""COMPUTED_VALUE"""),"H3_B14_4.mp3")</f>
        <v>H3_B14_4.mp3</v>
      </c>
      <c r="M549" s="13" t="str">
        <f ca="1">IFERROR(__xludf.DUMMYFUNCTION("""COMPUTED_VALUE"""),"H3_B14_VD_4.mp3")</f>
        <v>H3_B14_VD_4.mp3</v>
      </c>
    </row>
    <row r="550" spans="1:13">
      <c r="A550" s="13">
        <f ca="1">IFERROR(__xludf.DUMMYFUNCTION("""COMPUTED_VALUE"""),5)</f>
        <v>5</v>
      </c>
      <c r="B550" s="13"/>
      <c r="C550" s="13" t="str">
        <f ca="1">IFERROR(__xludf.DUMMYFUNCTION("""COMPUTED_VALUE"""),"洗澡")</f>
        <v>洗澡</v>
      </c>
      <c r="D550" s="13" t="str">
        <f ca="1">IFERROR(__xludf.DUMMYFUNCTION("""COMPUTED_VALUE"""),"&lt;ruby&gt;洗澡&lt;rt&gt;xǐ zǎo&lt;/rt&gt;&lt;/ruby&gt;")</f>
        <v>&lt;ruby&gt;洗澡&lt;rt&gt;xǐ zǎo&lt;/rt&gt;&lt;/ruby&gt;</v>
      </c>
      <c r="E550" s="13" t="str">
        <f ca="1">IFERROR(__xludf.DUMMYFUNCTION("""COMPUTED_VALUE"""),"xǐ zǎo")</f>
        <v>xǐ zǎo</v>
      </c>
      <c r="F550" s="13" t="str">
        <f ca="1">IFERROR(__xludf.DUMMYFUNCTION("""COMPUTED_VALUE"""),"Động từ")</f>
        <v>Động từ</v>
      </c>
      <c r="G550" s="13" t="str">
        <f ca="1">IFERROR(__xludf.DUMMYFUNCTION("""COMPUTED_VALUE"""),"Tắm, tắm rửa")</f>
        <v>Tắm, tắm rửa</v>
      </c>
      <c r="H550" s="13" t="str">
        <f ca="1">IFERROR(__xludf.DUMMYFUNCTION("""COMPUTED_VALUE"""),"我每天都有洗澡的习惯。")</f>
        <v>我每天都有洗澡的习惯。</v>
      </c>
      <c r="I550" s="13" t="str">
        <f ca="1">IFERROR(__xludf.DUMMYFUNCTION("""COMPUTED_VALUE"""),"Wǒ měitiān dōu yǒu xǐzǎo de xíguàn.")</f>
        <v>Wǒ měitiān dōu yǒu xǐzǎo de xíguàn.</v>
      </c>
      <c r="J550" s="13" t="str">
        <f ca="1">IFERROR(__xludf.DUMMYFUNCTION("""COMPUTED_VALUE"""),"Tôi có thói quen tắm rửa mỗi ngày.")</f>
        <v>Tôi có thói quen tắm rửa mỗi ngày.</v>
      </c>
      <c r="K550" s="13" t="str">
        <f ca="1">IFERROR(__xludf.DUMMYFUNCTION("""COMPUTED_VALUE"""),"H3_B14_BG-05.gif")</f>
        <v>H3_B14_BG-05.gif</v>
      </c>
      <c r="L550" s="13" t="str">
        <f ca="1">IFERROR(__xludf.DUMMYFUNCTION("""COMPUTED_VALUE"""),"H3_B14_5.mp3")</f>
        <v>H3_B14_5.mp3</v>
      </c>
      <c r="M550" s="13" t="str">
        <f ca="1">IFERROR(__xludf.DUMMYFUNCTION("""COMPUTED_VALUE"""),"H3_B14_VD_5.mp3")</f>
        <v>H3_B14_VD_5.mp3</v>
      </c>
    </row>
    <row r="551" spans="1:13">
      <c r="A551" s="13">
        <f ca="1">IFERROR(__xludf.DUMMYFUNCTION("""COMPUTED_VALUE"""),6)</f>
        <v>6</v>
      </c>
      <c r="B551" s="13"/>
      <c r="C551" s="13" t="str">
        <f ca="1">IFERROR(__xludf.DUMMYFUNCTION("""COMPUTED_VALUE"""),"节目")</f>
        <v>节目</v>
      </c>
      <c r="D551" s="13" t="str">
        <f ca="1">IFERROR(__xludf.DUMMYFUNCTION("""COMPUTED_VALUE"""),"&lt;ruby&gt;节目&lt;rt&gt;jiémù&lt;/rt&gt;&lt;/ruby&gt;")</f>
        <v>&lt;ruby&gt;节目&lt;rt&gt;jiémù&lt;/rt&gt;&lt;/ruby&gt;</v>
      </c>
      <c r="E551" s="13" t="str">
        <f ca="1">IFERROR(__xludf.DUMMYFUNCTION("""COMPUTED_VALUE"""),"jiémù")</f>
        <v>jiémù</v>
      </c>
      <c r="F551" s="13" t="str">
        <f ca="1">IFERROR(__xludf.DUMMYFUNCTION("""COMPUTED_VALUE"""),"Danh từ")</f>
        <v>Danh từ</v>
      </c>
      <c r="G551" s="13" t="str">
        <f ca="1">IFERROR(__xludf.DUMMYFUNCTION("""COMPUTED_VALUE"""),"Chương trình (truyền hình)")</f>
        <v>Chương trình (truyền hình)</v>
      </c>
      <c r="H551" s="13" t="str">
        <f ca="1">IFERROR(__xludf.DUMMYFUNCTION("""COMPUTED_VALUE"""),"今天有我喜欢看的节目。")</f>
        <v>今天有我喜欢看的节目。</v>
      </c>
      <c r="I551" s="13" t="str">
        <f ca="1">IFERROR(__xludf.DUMMYFUNCTION("""COMPUTED_VALUE"""),"Jīntiān yǒu wǒ xǐhuan kàn de jiémù.")</f>
        <v>Jīntiān yǒu wǒ xǐhuan kàn de jiémù.</v>
      </c>
      <c r="J551" s="13" t="str">
        <f ca="1">IFERROR(__xludf.DUMMYFUNCTION("""COMPUTED_VALUE"""),"Hôm nay có chương trình mà tôi yêu thích.")</f>
        <v>Hôm nay có chương trình mà tôi yêu thích.</v>
      </c>
      <c r="K551" s="13" t="str">
        <f ca="1">IFERROR(__xludf.DUMMYFUNCTION("""COMPUTED_VALUE"""),"H3_B14_BG-06.gif")</f>
        <v>H3_B14_BG-06.gif</v>
      </c>
      <c r="L551" s="13" t="str">
        <f ca="1">IFERROR(__xludf.DUMMYFUNCTION("""COMPUTED_VALUE"""),"H3_B14_6.mp3")</f>
        <v>H3_B14_6.mp3</v>
      </c>
      <c r="M551" s="13" t="str">
        <f ca="1">IFERROR(__xludf.DUMMYFUNCTION("""COMPUTED_VALUE"""),"H3_B14_VD_6.mp3")</f>
        <v>H3_B14_VD_6.mp3</v>
      </c>
    </row>
    <row r="552" spans="1:13">
      <c r="A552" s="13">
        <f ca="1">IFERROR(__xludf.DUMMYFUNCTION("""COMPUTED_VALUE"""),7)</f>
        <v>7</v>
      </c>
      <c r="B552" s="13"/>
      <c r="C552" s="13" t="str">
        <f ca="1">IFERROR(__xludf.DUMMYFUNCTION("""COMPUTED_VALUE"""),"月亮")</f>
        <v>月亮</v>
      </c>
      <c r="D552" s="13" t="str">
        <f ca="1">IFERROR(__xludf.DUMMYFUNCTION("""COMPUTED_VALUE"""),"&lt;ruby&gt;月亮&lt;rt&gt;yuèliang&lt;/rt&gt;&lt;/ruby&gt;")</f>
        <v>&lt;ruby&gt;月亮&lt;rt&gt;yuèliang&lt;/rt&gt;&lt;/ruby&gt;</v>
      </c>
      <c r="E552" s="13" t="str">
        <f ca="1">IFERROR(__xludf.DUMMYFUNCTION("""COMPUTED_VALUE"""),"yuèliang")</f>
        <v>yuèliang</v>
      </c>
      <c r="F552" s="13" t="str">
        <f ca="1">IFERROR(__xludf.DUMMYFUNCTION("""COMPUTED_VALUE"""),"Danh từ")</f>
        <v>Danh từ</v>
      </c>
      <c r="G552" s="13" t="str">
        <f ca="1">IFERROR(__xludf.DUMMYFUNCTION("""COMPUTED_VALUE"""),"Mặt trăng")</f>
        <v>Mặt trăng</v>
      </c>
      <c r="H552" s="13" t="str">
        <f ca="1">IFERROR(__xludf.DUMMYFUNCTION("""COMPUTED_VALUE"""),"今晚的月亮真亮啊！")</f>
        <v>今晚的月亮真亮啊！</v>
      </c>
      <c r="I552" s="13" t="str">
        <f ca="1">IFERROR(__xludf.DUMMYFUNCTION("""COMPUTED_VALUE"""),"Jīnwǎn de yuèliàng zhēn liàng a!")</f>
        <v>Jīnwǎn de yuèliàng zhēn liàng a!</v>
      </c>
      <c r="J552" s="13" t="str">
        <f ca="1">IFERROR(__xludf.DUMMYFUNCTION("""COMPUTED_VALUE"""),"Ánh trăng đêm nay sáng thật!")</f>
        <v>Ánh trăng đêm nay sáng thật!</v>
      </c>
      <c r="K552" s="13" t="str">
        <f ca="1">IFERROR(__xludf.DUMMYFUNCTION("""COMPUTED_VALUE"""),"H3_B14_BG-07.gif")</f>
        <v>H3_B14_BG-07.gif</v>
      </c>
      <c r="L552" s="13" t="str">
        <f ca="1">IFERROR(__xludf.DUMMYFUNCTION("""COMPUTED_VALUE"""),"H3_B14_7.mp3")</f>
        <v>H3_B14_7.mp3</v>
      </c>
      <c r="M552" s="13" t="str">
        <f ca="1">IFERROR(__xludf.DUMMYFUNCTION("""COMPUTED_VALUE"""),"H3_B14_VD_7.mp3")</f>
        <v>H3_B14_VD_7.mp3</v>
      </c>
    </row>
    <row r="553" spans="1:13">
      <c r="A553" s="13">
        <f ca="1">IFERROR(__xludf.DUMMYFUNCTION("""COMPUTED_VALUE"""),8)</f>
        <v>8</v>
      </c>
      <c r="B553" s="13"/>
      <c r="C553" s="13" t="str">
        <f ca="1">IFERROR(__xludf.DUMMYFUNCTION("""COMPUTED_VALUE"""),"像")</f>
        <v>像</v>
      </c>
      <c r="D553" s="13" t="str">
        <f ca="1">IFERROR(__xludf.DUMMYFUNCTION("""COMPUTED_VALUE"""),"&lt;ruby&gt;像&lt;rt&gt;xiàng&lt;/rt&gt;&lt;/ruby&gt;")</f>
        <v>&lt;ruby&gt;像&lt;rt&gt;xiàng&lt;/rt&gt;&lt;/ruby&gt;</v>
      </c>
      <c r="E553" s="13" t="str">
        <f ca="1">IFERROR(__xludf.DUMMYFUNCTION("""COMPUTED_VALUE"""),"xiàng")</f>
        <v>xiàng</v>
      </c>
      <c r="F553" s="13" t="str">
        <f ca="1">IFERROR(__xludf.DUMMYFUNCTION("""COMPUTED_VALUE"""),"Động từ")</f>
        <v>Động từ</v>
      </c>
      <c r="G553" s="13" t="str">
        <f ca="1">IFERROR(__xludf.DUMMYFUNCTION("""COMPUTED_VALUE"""),"Giống")</f>
        <v>Giống</v>
      </c>
      <c r="H553" s="13" t="str">
        <f ca="1">IFERROR(__xludf.DUMMYFUNCTION("""COMPUTED_VALUE"""),"他高兴得像个孩子一样。")</f>
        <v>他高兴得像个孩子一样。</v>
      </c>
      <c r="I553" s="13" t="str">
        <f ca="1">IFERROR(__xludf.DUMMYFUNCTION("""COMPUTED_VALUE"""),"Tā gāoxìng de xiàng gè háizi yīyàng.")</f>
        <v>Tā gāoxìng de xiàng gè háizi yīyàng.</v>
      </c>
      <c r="J553" s="13" t="str">
        <f ca="1">IFERROR(__xludf.DUMMYFUNCTION("""COMPUTED_VALUE"""),"Anh ấy vui vẻ như một đứa trẻ.")</f>
        <v>Anh ấy vui vẻ như một đứa trẻ.</v>
      </c>
      <c r="K553" s="13" t="str">
        <f ca="1">IFERROR(__xludf.DUMMYFUNCTION("""COMPUTED_VALUE"""),"H3_B14_BG-08.gif")</f>
        <v>H3_B14_BG-08.gif</v>
      </c>
      <c r="L553" s="13" t="str">
        <f ca="1">IFERROR(__xludf.DUMMYFUNCTION("""COMPUTED_VALUE"""),"H3_B14_8.mp3")</f>
        <v>H3_B14_8.mp3</v>
      </c>
      <c r="M553" s="13" t="str">
        <f ca="1">IFERROR(__xludf.DUMMYFUNCTION("""COMPUTED_VALUE"""),"H3_B14_VD_8.mp3")</f>
        <v>H3_B14_VD_8.mp3</v>
      </c>
    </row>
    <row r="554" spans="1:13">
      <c r="A554" s="13">
        <f ca="1">IFERROR(__xludf.DUMMYFUNCTION("""COMPUTED_VALUE"""),9)</f>
        <v>9</v>
      </c>
      <c r="B554" s="13"/>
      <c r="C554" s="13" t="str">
        <f ca="1">IFERROR(__xludf.DUMMYFUNCTION("""COMPUTED_VALUE"""),"盘子")</f>
        <v>盘子</v>
      </c>
      <c r="D554" s="13" t="str">
        <f ca="1">IFERROR(__xludf.DUMMYFUNCTION("""COMPUTED_VALUE"""),"&lt;ruby&gt;盘子&lt;rt&gt;pánzi&lt;/rt&gt;&lt;/ruby&gt;")</f>
        <v>&lt;ruby&gt;盘子&lt;rt&gt;pánzi&lt;/rt&gt;&lt;/ruby&gt;</v>
      </c>
      <c r="E554" s="13" t="str">
        <f ca="1">IFERROR(__xludf.DUMMYFUNCTION("""COMPUTED_VALUE"""),"pánzi")</f>
        <v>pánzi</v>
      </c>
      <c r="F554" s="13" t="str">
        <f ca="1">IFERROR(__xludf.DUMMYFUNCTION("""COMPUTED_VALUE"""),"Danh từ")</f>
        <v>Danh từ</v>
      </c>
      <c r="G554" s="13" t="str">
        <f ca="1">IFERROR(__xludf.DUMMYFUNCTION("""COMPUTED_VALUE"""),"Đĩa, mâm")</f>
        <v>Đĩa, mâm</v>
      </c>
      <c r="H554" s="13" t="str">
        <f ca="1">IFERROR(__xludf.DUMMYFUNCTION("""COMPUTED_VALUE"""),"这个盘子是用木头做的。")</f>
        <v>这个盘子是用木头做的。</v>
      </c>
      <c r="I554" s="13" t="str">
        <f ca="1">IFERROR(__xludf.DUMMYFUNCTION("""COMPUTED_VALUE"""),"Zhè gè pánzi shì yòng mùtou zuò de.")</f>
        <v>Zhè gè pánzi shì yòng mùtou zuò de.</v>
      </c>
      <c r="J554" s="13" t="str">
        <f ca="1">IFERROR(__xludf.DUMMYFUNCTION("""COMPUTED_VALUE"""),"Cái đĩa này làm bằng gỗ.")</f>
        <v>Cái đĩa này làm bằng gỗ.</v>
      </c>
      <c r="K554" s="13" t="str">
        <f ca="1">IFERROR(__xludf.DUMMYFUNCTION("""COMPUTED_VALUE"""),"H3_B14_BG-09.gif")</f>
        <v>H3_B14_BG-09.gif</v>
      </c>
      <c r="L554" s="13" t="str">
        <f ca="1">IFERROR(__xludf.DUMMYFUNCTION("""COMPUTED_VALUE"""),"H3_B14_9.mp3")</f>
        <v>H3_B14_9.mp3</v>
      </c>
      <c r="M554" s="13" t="str">
        <f ca="1">IFERROR(__xludf.DUMMYFUNCTION("""COMPUTED_VALUE"""),"H3_B14_VD_9.mp3")</f>
        <v>H3_B14_VD_9.mp3</v>
      </c>
    </row>
    <row r="555" spans="1:13">
      <c r="A555" s="13">
        <f ca="1">IFERROR(__xludf.DUMMYFUNCTION("""COMPUTED_VALUE"""),10)</f>
        <v>10</v>
      </c>
      <c r="B555" s="13"/>
      <c r="C555" s="13" t="str">
        <f ca="1">IFERROR(__xludf.DUMMYFUNCTION("""COMPUTED_VALUE"""),"刮风")</f>
        <v>刮风</v>
      </c>
      <c r="D555" s="13" t="str">
        <f ca="1">IFERROR(__xludf.DUMMYFUNCTION("""COMPUTED_VALUE"""),"&lt;ruby&gt;刮风&lt;rt&gt;guā fēng&lt;/rt&gt;&lt;/ruby&gt;")</f>
        <v>&lt;ruby&gt;刮风&lt;rt&gt;guā fēng&lt;/rt&gt;&lt;/ruby&gt;</v>
      </c>
      <c r="E555" s="13" t="str">
        <f ca="1">IFERROR(__xludf.DUMMYFUNCTION("""COMPUTED_VALUE"""),"guā fēng")</f>
        <v>guā fēng</v>
      </c>
      <c r="F555" s="13" t="str">
        <f ca="1">IFERROR(__xludf.DUMMYFUNCTION("""COMPUTED_VALUE"""),"Động từ")</f>
        <v>Động từ</v>
      </c>
      <c r="G555" s="13" t="str">
        <f ca="1">IFERROR(__xludf.DUMMYFUNCTION("""COMPUTED_VALUE"""),"Nổi gió")</f>
        <v>Nổi gió</v>
      </c>
      <c r="H555" s="13" t="str">
        <f ca="1">IFERROR(__xludf.DUMMYFUNCTION("""COMPUTED_VALUE"""),"刮风了，我们可以去放风筝。")</f>
        <v>刮风了，我们可以去放风筝。</v>
      </c>
      <c r="I555" s="13" t="str">
        <f ca="1">IFERROR(__xludf.DUMMYFUNCTION("""COMPUTED_VALUE"""),"Guāfēng le, wǒmen kěyǐ qù fàng fēngzheng.")</f>
        <v>Guāfēng le, wǒmen kěyǐ qù fàng fēngzheng.</v>
      </c>
      <c r="J555" s="13" t="str">
        <f ca="1">IFERROR(__xludf.DUMMYFUNCTION("""COMPUTED_VALUE"""),"Có gió rồi chúng ta đi thả diều đi.")</f>
        <v>Có gió rồi chúng ta đi thả diều đi.</v>
      </c>
      <c r="K555" s="13" t="str">
        <f ca="1">IFERROR(__xludf.DUMMYFUNCTION("""COMPUTED_VALUE"""),"H3_B14_BG-10.gif")</f>
        <v>H3_B14_BG-10.gif</v>
      </c>
      <c r="L555" s="13" t="str">
        <f ca="1">IFERROR(__xludf.DUMMYFUNCTION("""COMPUTED_VALUE"""),"H3_B14_10.mp3")</f>
        <v>H3_B14_10.mp3</v>
      </c>
      <c r="M555" s="13" t="str">
        <f ca="1">IFERROR(__xludf.DUMMYFUNCTION("""COMPUTED_VALUE"""),"H3_B14_VD_10.mp3")</f>
        <v>H3_B14_VD_10.mp3</v>
      </c>
    </row>
    <row r="556" spans="1:13">
      <c r="A556" s="13">
        <f ca="1">IFERROR(__xludf.DUMMYFUNCTION("""COMPUTED_VALUE"""),11)</f>
        <v>11</v>
      </c>
      <c r="B556" s="13"/>
      <c r="C556" s="13" t="str">
        <f ca="1">IFERROR(__xludf.DUMMYFUNCTION("""COMPUTED_VALUE"""),"叔叔")</f>
        <v>叔叔</v>
      </c>
      <c r="D556" s="13" t="str">
        <f ca="1">IFERROR(__xludf.DUMMYFUNCTION("""COMPUTED_VALUE"""),"&lt;ruby&gt;叔叔&lt;rt&gt;shūshu&lt;/rt&gt;&lt;/ruby&gt;")</f>
        <v>&lt;ruby&gt;叔叔&lt;rt&gt;shūshu&lt;/rt&gt;&lt;/ruby&gt;</v>
      </c>
      <c r="E556" s="13" t="str">
        <f ca="1">IFERROR(__xludf.DUMMYFUNCTION("""COMPUTED_VALUE"""),"shūshu")</f>
        <v>shūshu</v>
      </c>
      <c r="F556" s="13" t="str">
        <f ca="1">IFERROR(__xludf.DUMMYFUNCTION("""COMPUTED_VALUE"""),"Danh từ")</f>
        <v>Danh từ</v>
      </c>
      <c r="G556" s="13" t="str">
        <f ca="1">IFERROR(__xludf.DUMMYFUNCTION("""COMPUTED_VALUE"""),"Chú")</f>
        <v>Chú</v>
      </c>
      <c r="H556" s="13" t="str">
        <f ca="1">IFERROR(__xludf.DUMMYFUNCTION("""COMPUTED_VALUE"""),"叔叔是我爸爸的朋友。")</f>
        <v>叔叔是我爸爸的朋友。</v>
      </c>
      <c r="I556" s="13" t="str">
        <f ca="1">IFERROR(__xludf.DUMMYFUNCTION("""COMPUTED_VALUE"""),"Shūshu shì wǒ bàba de péngyǒu.")</f>
        <v>Shūshu shì wǒ bàba de péngyǒu.</v>
      </c>
      <c r="J556" s="13" t="str">
        <f ca="1">IFERROR(__xludf.DUMMYFUNCTION("""COMPUTED_VALUE"""),"Chú ấy là bạn của bố tôi.")</f>
        <v>Chú ấy là bạn của bố tôi.</v>
      </c>
      <c r="K556" s="13" t="str">
        <f ca="1">IFERROR(__xludf.DUMMYFUNCTION("""COMPUTED_VALUE"""),"H3_B14_BG-11.gif")</f>
        <v>H3_B14_BG-11.gif</v>
      </c>
      <c r="L556" s="13" t="str">
        <f ca="1">IFERROR(__xludf.DUMMYFUNCTION("""COMPUTED_VALUE"""),"H3_B14_11.mp3")</f>
        <v>H3_B14_11.mp3</v>
      </c>
      <c r="M556" s="13" t="str">
        <f ca="1">IFERROR(__xludf.DUMMYFUNCTION("""COMPUTED_VALUE"""),"H3_B14_VD_11.mp3")</f>
        <v>H3_B14_VD_11.mp3</v>
      </c>
    </row>
    <row r="557" spans="1:13">
      <c r="A557" s="13">
        <f ca="1">IFERROR(__xludf.DUMMYFUNCTION("""COMPUTED_VALUE"""),12)</f>
        <v>12</v>
      </c>
      <c r="B557" s="13"/>
      <c r="C557" s="13" t="str">
        <f ca="1">IFERROR(__xludf.DUMMYFUNCTION("""COMPUTED_VALUE"""),"阿姨")</f>
        <v>阿姨</v>
      </c>
      <c r="D557" s="13" t="str">
        <f ca="1">IFERROR(__xludf.DUMMYFUNCTION("""COMPUTED_VALUE"""),"&lt;ruby&gt;阿姨&lt;rt&gt;āyí&lt;/rt&gt;&lt;/ruby&gt;")</f>
        <v>&lt;ruby&gt;阿姨&lt;rt&gt;āyí&lt;/rt&gt;&lt;/ruby&gt;</v>
      </c>
      <c r="E557" s="13" t="str">
        <f ca="1">IFERROR(__xludf.DUMMYFUNCTION("""COMPUTED_VALUE"""),"āyí")</f>
        <v>āyí</v>
      </c>
      <c r="F557" s="13" t="str">
        <f ca="1">IFERROR(__xludf.DUMMYFUNCTION("""COMPUTED_VALUE"""),"Danh từ")</f>
        <v>Danh từ</v>
      </c>
      <c r="G557" s="13" t="str">
        <f ca="1">IFERROR(__xludf.DUMMYFUNCTION("""COMPUTED_VALUE"""),"Dì, cô")</f>
        <v>Dì, cô</v>
      </c>
      <c r="H557" s="13" t="str">
        <f ca="1">IFERROR(__xludf.DUMMYFUNCTION("""COMPUTED_VALUE"""),"我的阿姨看起来有点不开心。")</f>
        <v>我的阿姨看起来有点不开心。</v>
      </c>
      <c r="I557" s="13" t="str">
        <f ca="1">IFERROR(__xludf.DUMMYFUNCTION("""COMPUTED_VALUE"""),"Wǒ de āyí kàn qǐlái yǒudiǎn bù kāixīn.")</f>
        <v>Wǒ de āyí kàn qǐlái yǒudiǎn bù kāixīn.</v>
      </c>
      <c r="J557" s="13" t="str">
        <f ca="1">IFERROR(__xludf.DUMMYFUNCTION("""COMPUTED_VALUE"""),"Trông dì tôi không được vui lắm.")</f>
        <v>Trông dì tôi không được vui lắm.</v>
      </c>
      <c r="K557" s="13" t="str">
        <f ca="1">IFERROR(__xludf.DUMMYFUNCTION("""COMPUTED_VALUE"""),"H3_B14_BG-12.gif")</f>
        <v>H3_B14_BG-12.gif</v>
      </c>
      <c r="L557" s="13" t="str">
        <f ca="1">IFERROR(__xludf.DUMMYFUNCTION("""COMPUTED_VALUE"""),"H3_B14_12.mp3")</f>
        <v>H3_B14_12.mp3</v>
      </c>
      <c r="M557" s="13" t="str">
        <f ca="1">IFERROR(__xludf.DUMMYFUNCTION("""COMPUTED_VALUE"""),"H3_B14_VD_12.mp3")</f>
        <v>H3_B14_VD_12.mp3</v>
      </c>
    </row>
    <row r="558" spans="1:13">
      <c r="A558" s="13">
        <f ca="1">IFERROR(__xludf.DUMMYFUNCTION("""COMPUTED_VALUE"""),13)</f>
        <v>13</v>
      </c>
      <c r="B558" s="13"/>
      <c r="C558" s="13" t="str">
        <f ca="1">IFERROR(__xludf.DUMMYFUNCTION("""COMPUTED_VALUE"""),"故事")</f>
        <v>故事</v>
      </c>
      <c r="D558" s="13" t="str">
        <f ca="1">IFERROR(__xludf.DUMMYFUNCTION("""COMPUTED_VALUE"""),"&lt;ruby&gt;故事&lt;rt&gt;gùshì&lt;/rt&gt;&lt;/ruby&gt;")</f>
        <v>&lt;ruby&gt;故事&lt;rt&gt;gùshì&lt;/rt&gt;&lt;/ruby&gt;</v>
      </c>
      <c r="E558" s="13" t="str">
        <f ca="1">IFERROR(__xludf.DUMMYFUNCTION("""COMPUTED_VALUE"""),"gùshì")</f>
        <v>gùshì</v>
      </c>
      <c r="F558" s="13" t="str">
        <f ca="1">IFERROR(__xludf.DUMMYFUNCTION("""COMPUTED_VALUE"""),"Danh từ")</f>
        <v>Danh từ</v>
      </c>
      <c r="G558" s="13" t="str">
        <f ca="1">IFERROR(__xludf.DUMMYFUNCTION("""COMPUTED_VALUE"""),"Truyện, câu chuyện")</f>
        <v>Truyện, câu chuyện</v>
      </c>
      <c r="H558" s="13" t="str">
        <f ca="1">IFERROR(__xludf.DUMMYFUNCTION("""COMPUTED_VALUE"""),"这个故事很神奇。")</f>
        <v>这个故事很神奇。</v>
      </c>
      <c r="I558" s="13" t="str">
        <f ca="1">IFERROR(__xludf.DUMMYFUNCTION("""COMPUTED_VALUE"""),"Zhè gè gùshì hěn shénqí.")</f>
        <v>Zhè gè gùshì hěn shénqí.</v>
      </c>
      <c r="J558" s="13" t="str">
        <f ca="1">IFERROR(__xludf.DUMMYFUNCTION("""COMPUTED_VALUE"""),"Câu chuyện này rất kỳ diệu.")</f>
        <v>Câu chuyện này rất kỳ diệu.</v>
      </c>
      <c r="K558" s="13" t="str">
        <f ca="1">IFERROR(__xludf.DUMMYFUNCTION("""COMPUTED_VALUE"""),"H3_B14_BG-13.gif")</f>
        <v>H3_B14_BG-13.gif</v>
      </c>
      <c r="L558" s="13" t="str">
        <f ca="1">IFERROR(__xludf.DUMMYFUNCTION("""COMPUTED_VALUE"""),"H3_B14_13.mp3")</f>
        <v>H3_B14_13.mp3</v>
      </c>
      <c r="M558" s="13" t="str">
        <f ca="1">IFERROR(__xludf.DUMMYFUNCTION("""COMPUTED_VALUE"""),"H3_B14_VD_13.mp3")</f>
        <v>H3_B14_VD_13.mp3</v>
      </c>
    </row>
    <row r="559" spans="1:13">
      <c r="A559" s="13">
        <f ca="1">IFERROR(__xludf.DUMMYFUNCTION("""COMPUTED_VALUE"""),14)</f>
        <v>14</v>
      </c>
      <c r="B559" s="13"/>
      <c r="C559" s="13" t="str">
        <f ca="1">IFERROR(__xludf.DUMMYFUNCTION("""COMPUTED_VALUE"""),"声音")</f>
        <v>声音</v>
      </c>
      <c r="D559" s="13" t="str">
        <f ca="1">IFERROR(__xludf.DUMMYFUNCTION("""COMPUTED_VALUE"""),"&lt;ruby&gt;声音&lt;rt&gt;shēngyīn&lt;/rt&gt;&lt;/ruby&gt;")</f>
        <v>&lt;ruby&gt;声音&lt;rt&gt;shēngyīn&lt;/rt&gt;&lt;/ruby&gt;</v>
      </c>
      <c r="E559" s="13" t="str">
        <f ca="1">IFERROR(__xludf.DUMMYFUNCTION("""COMPUTED_VALUE"""),"shēngyīn")</f>
        <v>shēngyīn</v>
      </c>
      <c r="F559" s="13" t="str">
        <f ca="1">IFERROR(__xludf.DUMMYFUNCTION("""COMPUTED_VALUE"""),"Danh từ")</f>
        <v>Danh từ</v>
      </c>
      <c r="G559" s="13" t="str">
        <f ca="1">IFERROR(__xludf.DUMMYFUNCTION("""COMPUTED_VALUE"""),"Âm thanh, tiếng")</f>
        <v>Âm thanh, tiếng</v>
      </c>
      <c r="H559" s="13" t="str">
        <f ca="1">IFERROR(__xludf.DUMMYFUNCTION("""COMPUTED_VALUE"""),"远处传来了一阵声音。")</f>
        <v>远处传来了一阵声音。</v>
      </c>
      <c r="I559" s="13" t="str">
        <f ca="1">IFERROR(__xludf.DUMMYFUNCTION("""COMPUTED_VALUE"""),"Yuǎnchù chuánlái le yī zhèn shēngyīn.")</f>
        <v>Yuǎnchù chuánlái le yī zhèn shēngyīn.</v>
      </c>
      <c r="J559" s="13" t="str">
        <f ca="1">IFERROR(__xludf.DUMMYFUNCTION("""COMPUTED_VALUE"""),"Tiếng động từ xa truyền đến.")</f>
        <v>Tiếng động từ xa truyền đến.</v>
      </c>
      <c r="K559" s="13" t="str">
        <f ca="1">IFERROR(__xludf.DUMMYFUNCTION("""COMPUTED_VALUE"""),"H3_B14_BG-14.gif")</f>
        <v>H3_B14_BG-14.gif</v>
      </c>
      <c r="L559" s="13" t="str">
        <f ca="1">IFERROR(__xludf.DUMMYFUNCTION("""COMPUTED_VALUE"""),"H3_B14_14.mp3")</f>
        <v>H3_B14_14.mp3</v>
      </c>
      <c r="M559" s="13" t="str">
        <f ca="1">IFERROR(__xludf.DUMMYFUNCTION("""COMPUTED_VALUE"""),"H3_B14_VD_14.mp3")</f>
        <v>H3_B14_VD_14.mp3</v>
      </c>
    </row>
    <row r="560" spans="1:13">
      <c r="A560" s="13">
        <f ca="1">IFERROR(__xludf.DUMMYFUNCTION("""COMPUTED_VALUE"""),15)</f>
        <v>15</v>
      </c>
      <c r="B560" s="13"/>
      <c r="C560" s="13" t="str">
        <f ca="1">IFERROR(__xludf.DUMMYFUNCTION("""COMPUTED_VALUE"""),"菜单")</f>
        <v>菜单</v>
      </c>
      <c r="D560" s="13" t="str">
        <f ca="1">IFERROR(__xludf.DUMMYFUNCTION("""COMPUTED_VALUE"""),"&lt;ruby&gt;菜单&lt;rt&gt;càidān&lt;/rt&gt;&lt;/ruby&gt;")</f>
        <v>&lt;ruby&gt;菜单&lt;rt&gt;càidān&lt;/rt&gt;&lt;/ruby&gt;</v>
      </c>
      <c r="E560" s="13" t="str">
        <f ca="1">IFERROR(__xludf.DUMMYFUNCTION("""COMPUTED_VALUE"""),"càidān")</f>
        <v>càidān</v>
      </c>
      <c r="F560" s="13" t="str">
        <f ca="1">IFERROR(__xludf.DUMMYFUNCTION("""COMPUTED_VALUE"""),"Danh từ")</f>
        <v>Danh từ</v>
      </c>
      <c r="G560" s="13" t="str">
        <f ca="1">IFERROR(__xludf.DUMMYFUNCTION("""COMPUTED_VALUE"""),"Thực đơn")</f>
        <v>Thực đơn</v>
      </c>
      <c r="H560" s="13" t="str">
        <f ca="1">IFERROR(__xludf.DUMMYFUNCTION("""COMPUTED_VALUE"""),"请给我看一下菜单。")</f>
        <v>请给我看一下菜单。</v>
      </c>
      <c r="I560" s="13" t="str">
        <f ca="1">IFERROR(__xludf.DUMMYFUNCTION("""COMPUTED_VALUE"""),"Qǐng gěi wǒ kàn yīxià càidān.")</f>
        <v>Qǐng gěi wǒ kàn yīxià càidān.</v>
      </c>
      <c r="J560" s="13" t="str">
        <f ca="1">IFERROR(__xludf.DUMMYFUNCTION("""COMPUTED_VALUE"""),"Xin hãy cho tôi xem thực đơn.")</f>
        <v>Xin hãy cho tôi xem thực đơn.</v>
      </c>
      <c r="K560" s="13" t="str">
        <f ca="1">IFERROR(__xludf.DUMMYFUNCTION("""COMPUTED_VALUE"""),"H3_B14_BG-15.gif")</f>
        <v>H3_B14_BG-15.gif</v>
      </c>
      <c r="L560" s="13" t="str">
        <f ca="1">IFERROR(__xludf.DUMMYFUNCTION("""COMPUTED_VALUE"""),"H3_B14_15.mp3")</f>
        <v>H3_B14_15.mp3</v>
      </c>
      <c r="M560" s="13" t="str">
        <f ca="1">IFERROR(__xludf.DUMMYFUNCTION("""COMPUTED_VALUE"""),"H3_B14_VD_15.mp3")</f>
        <v>H3_B14_VD_15.mp3</v>
      </c>
    </row>
    <row r="561" spans="1:13">
      <c r="A561" s="13">
        <f ca="1">IFERROR(__xludf.DUMMYFUNCTION("""COMPUTED_VALUE"""),16)</f>
        <v>16</v>
      </c>
      <c r="B561" s="13"/>
      <c r="C561" s="13" t="str">
        <f ca="1">IFERROR(__xludf.DUMMYFUNCTION("""COMPUTED_VALUE"""),"简单")</f>
        <v>简单</v>
      </c>
      <c r="D561" s="13" t="str">
        <f ca="1">IFERROR(__xludf.DUMMYFUNCTION("""COMPUTED_VALUE"""),"&lt;ruby&gt;简单&lt;rt&gt;jiǎndān&lt;/rt&gt;&lt;/ruby&gt;")</f>
        <v>&lt;ruby&gt;简单&lt;rt&gt;jiǎndān&lt;/rt&gt;&lt;/ruby&gt;</v>
      </c>
      <c r="E561" s="13" t="str">
        <f ca="1">IFERROR(__xludf.DUMMYFUNCTION("""COMPUTED_VALUE"""),"jiǎndān")</f>
        <v>jiǎndān</v>
      </c>
      <c r="F561" s="13" t="str">
        <f ca="1">IFERROR(__xludf.DUMMYFUNCTION("""COMPUTED_VALUE"""),"Tính từ")</f>
        <v>Tính từ</v>
      </c>
      <c r="G561" s="13" t="str">
        <f ca="1">IFERROR(__xludf.DUMMYFUNCTION("""COMPUTED_VALUE"""),"Đơn giản")</f>
        <v>Đơn giản</v>
      </c>
      <c r="H561" s="13" t="str">
        <f ca="1">IFERROR(__xludf.DUMMYFUNCTION("""COMPUTED_VALUE"""),"这个内容比较简单。")</f>
        <v>这个内容比较简单。</v>
      </c>
      <c r="I561" s="13" t="str">
        <f ca="1">IFERROR(__xludf.DUMMYFUNCTION("""COMPUTED_VALUE"""),"Zhè gè nèiróng bǐjiào jiǎndān.")</f>
        <v>Zhè gè nèiróng bǐjiào jiǎndān.</v>
      </c>
      <c r="J561" s="13" t="str">
        <f ca="1">IFERROR(__xludf.DUMMYFUNCTION("""COMPUTED_VALUE"""),"Nội dung này tương đối đơn giản.")</f>
        <v>Nội dung này tương đối đơn giản.</v>
      </c>
      <c r="K561" s="13" t="str">
        <f ca="1">IFERROR(__xludf.DUMMYFUNCTION("""COMPUTED_VALUE"""),"H3_B14_BG-16.gif")</f>
        <v>H3_B14_BG-16.gif</v>
      </c>
      <c r="L561" s="13" t="str">
        <f ca="1">IFERROR(__xludf.DUMMYFUNCTION("""COMPUTED_VALUE"""),"H3_B14_16.mp3")</f>
        <v>H3_B14_16.mp3</v>
      </c>
      <c r="M561" s="13" t="str">
        <f ca="1">IFERROR(__xludf.DUMMYFUNCTION("""COMPUTED_VALUE"""),"H3_B14_VD_16.mp3")</f>
        <v>H3_B14_VD_16.mp3</v>
      </c>
    </row>
    <row r="562" spans="1:13">
      <c r="A562" s="13">
        <f ca="1">IFERROR(__xludf.DUMMYFUNCTION("""COMPUTED_VALUE"""),17)</f>
        <v>17</v>
      </c>
      <c r="B562" s="13"/>
      <c r="C562" s="13" t="str">
        <f ca="1">IFERROR(__xludf.DUMMYFUNCTION("""COMPUTED_VALUE"""),"香蕉")</f>
        <v>香蕉</v>
      </c>
      <c r="D562" s="13" t="str">
        <f ca="1">IFERROR(__xludf.DUMMYFUNCTION("""COMPUTED_VALUE"""),"&lt;ruby&gt;香蕉&lt;rt&gt;xiāngjiāo&lt;/rt&gt;&lt;/ruby&gt;")</f>
        <v>&lt;ruby&gt;香蕉&lt;rt&gt;xiāngjiāo&lt;/rt&gt;&lt;/ruby&gt;</v>
      </c>
      <c r="E562" s="13" t="str">
        <f ca="1">IFERROR(__xludf.DUMMYFUNCTION("""COMPUTED_VALUE"""),"xiāngjiāo")</f>
        <v>xiāngjiāo</v>
      </c>
      <c r="F562" s="13" t="str">
        <f ca="1">IFERROR(__xludf.DUMMYFUNCTION("""COMPUTED_VALUE"""),"Danh từ")</f>
        <v>Danh từ</v>
      </c>
      <c r="G562" s="13" t="str">
        <f ca="1">IFERROR(__xludf.DUMMYFUNCTION("""COMPUTED_VALUE"""),"Chuối tiêu")</f>
        <v>Chuối tiêu</v>
      </c>
      <c r="H562" s="13" t="str">
        <f ca="1">IFERROR(__xludf.DUMMYFUNCTION("""COMPUTED_VALUE"""),"我很喜欢吃香蕉。")</f>
        <v>我很喜欢吃香蕉。</v>
      </c>
      <c r="I562" s="13" t="str">
        <f ca="1">IFERROR(__xludf.DUMMYFUNCTION("""COMPUTED_VALUE"""),"Wǒ hěn xǐhuan chī xiāngjiāo.")</f>
        <v>Wǒ hěn xǐhuan chī xiāngjiāo.</v>
      </c>
      <c r="J562" s="13" t="str">
        <f ca="1">IFERROR(__xludf.DUMMYFUNCTION("""COMPUTED_VALUE"""),"Tôi rất thích ăn chuối.")</f>
        <v>Tôi rất thích ăn chuối.</v>
      </c>
      <c r="K562" s="13" t="str">
        <f ca="1">IFERROR(__xludf.DUMMYFUNCTION("""COMPUTED_VALUE"""),"H3_B14_BG-17.gif")</f>
        <v>H3_B14_BG-17.gif</v>
      </c>
      <c r="L562" s="13" t="str">
        <f ca="1">IFERROR(__xludf.DUMMYFUNCTION("""COMPUTED_VALUE"""),"H3_B14_17.mp3")</f>
        <v>H3_B14_17.mp3</v>
      </c>
      <c r="M562" s="13" t="str">
        <f ca="1">IFERROR(__xludf.DUMMYFUNCTION("""COMPUTED_VALUE"""),"H3_B14_VD_17.mp3")</f>
        <v>H3_B14_VD_17.mp3</v>
      </c>
    </row>
    <row r="563" spans="1:13">
      <c r="A563" s="13">
        <f ca="1">IFERROR(__xludf.DUMMYFUNCTION("""COMPUTED_VALUE"""),1)</f>
        <v>1</v>
      </c>
      <c r="B563" s="13"/>
      <c r="C563" s="13" t="str">
        <f ca="1">IFERROR(__xludf.DUMMYFUNCTION("""COMPUTED_VALUE"""),"留学")</f>
        <v>留学</v>
      </c>
      <c r="D563" s="13" t="str">
        <f ca="1">IFERROR(__xludf.DUMMYFUNCTION("""COMPUTED_VALUE"""),"&lt;ruby&gt;留学&lt;rt&gt;liú xué&lt;/rt&gt;&lt;/ruby&gt;")</f>
        <v>&lt;ruby&gt;留学&lt;rt&gt;liú xué&lt;/rt&gt;&lt;/ruby&gt;</v>
      </c>
      <c r="E563" s="13" t="str">
        <f ca="1">IFERROR(__xludf.DUMMYFUNCTION("""COMPUTED_VALUE"""),"liú xué")</f>
        <v>liú xué</v>
      </c>
      <c r="F563" s="13" t="str">
        <f ca="1">IFERROR(__xludf.DUMMYFUNCTION("""COMPUTED_VALUE"""),"Động từ")</f>
        <v>Động từ</v>
      </c>
      <c r="G563" s="13" t="str">
        <f ca="1">IFERROR(__xludf.DUMMYFUNCTION("""COMPUTED_VALUE"""),"Du học")</f>
        <v>Du học</v>
      </c>
      <c r="H563" s="13" t="str">
        <f ca="1">IFERROR(__xludf.DUMMYFUNCTION("""COMPUTED_VALUE"""),"我快要去美国留学了。")</f>
        <v>我快要去美国留学了。</v>
      </c>
      <c r="I563" s="13" t="str">
        <f ca="1">IFERROR(__xludf.DUMMYFUNCTION("""COMPUTED_VALUE"""),"Wǒ kuàiyào qù Měiguó liúxué le.")</f>
        <v>Wǒ kuàiyào qù Měiguó liúxué le.</v>
      </c>
      <c r="J563" s="13" t="str">
        <f ca="1">IFERROR(__xludf.DUMMYFUNCTION("""COMPUTED_VALUE"""),"Tôi sắp đi du học ở Mỹ.")</f>
        <v>Tôi sắp đi du học ở Mỹ.</v>
      </c>
      <c r="K563" s="13" t="str">
        <f ca="1">IFERROR(__xludf.DUMMYFUNCTION("""COMPUTED_VALUE"""),"H3_B15_BG-01.gif")</f>
        <v>H3_B15_BG-01.gif</v>
      </c>
      <c r="L563" s="13" t="str">
        <f ca="1">IFERROR(__xludf.DUMMYFUNCTION("""COMPUTED_VALUE"""),"H3_B15_1.mp3")</f>
        <v>H3_B15_1.mp3</v>
      </c>
      <c r="M563" s="13" t="str">
        <f ca="1">IFERROR(__xludf.DUMMYFUNCTION("""COMPUTED_VALUE"""),"H3_B15_VD_1.mp3")</f>
        <v>H3_B15_VD_1.mp3</v>
      </c>
    </row>
    <row r="564" spans="1:13">
      <c r="A564" s="13">
        <f ca="1">IFERROR(__xludf.DUMMYFUNCTION("""COMPUTED_VALUE"""),2)</f>
        <v>2</v>
      </c>
      <c r="B564" s="13"/>
      <c r="C564" s="13" t="str">
        <f ca="1">IFERROR(__xludf.DUMMYFUNCTION("""COMPUTED_VALUE"""),"水平")</f>
        <v>水平</v>
      </c>
      <c r="D564" s="13" t="str">
        <f ca="1">IFERROR(__xludf.DUMMYFUNCTION("""COMPUTED_VALUE"""),"&lt;ruby&gt;水平&lt;rt&gt;shuǐpíng&lt;/rt&gt;&lt;/ruby&gt;")</f>
        <v>&lt;ruby&gt;水平&lt;rt&gt;shuǐpíng&lt;/rt&gt;&lt;/ruby&gt;</v>
      </c>
      <c r="E564" s="13" t="str">
        <f ca="1">IFERROR(__xludf.DUMMYFUNCTION("""COMPUTED_VALUE"""),"shuǐpíng")</f>
        <v>shuǐpíng</v>
      </c>
      <c r="F564" s="13" t="str">
        <f ca="1">IFERROR(__xludf.DUMMYFUNCTION("""COMPUTED_VALUE"""),"Danh từ")</f>
        <v>Danh từ</v>
      </c>
      <c r="G564" s="13" t="str">
        <f ca="1">IFERROR(__xludf.DUMMYFUNCTION("""COMPUTED_VALUE"""),"Trình độ")</f>
        <v>Trình độ</v>
      </c>
      <c r="H564" s="13" t="str">
        <f ca="1">IFERROR(__xludf.DUMMYFUNCTION("""COMPUTED_VALUE"""),"他的汉语水平很好。")</f>
        <v>他的汉语水平很好。</v>
      </c>
      <c r="I564" s="13" t="str">
        <f ca="1">IFERROR(__xludf.DUMMYFUNCTION("""COMPUTED_VALUE"""),"Tā de Hànyǔ shuǐpíng hěn hǎo.")</f>
        <v>Tā de Hànyǔ shuǐpíng hěn hǎo.</v>
      </c>
      <c r="J564" s="13" t="str">
        <f ca="1">IFERROR(__xludf.DUMMYFUNCTION("""COMPUTED_VALUE"""),"Trình độ tiếng Hán của anh ấy rất tốt.")</f>
        <v>Trình độ tiếng Hán của anh ấy rất tốt.</v>
      </c>
      <c r="K564" s="13" t="str">
        <f ca="1">IFERROR(__xludf.DUMMYFUNCTION("""COMPUTED_VALUE"""),"H3_B15_BG-02.gif")</f>
        <v>H3_B15_BG-02.gif</v>
      </c>
      <c r="L564" s="13" t="str">
        <f ca="1">IFERROR(__xludf.DUMMYFUNCTION("""COMPUTED_VALUE"""),"H3_B15_2.mp3")</f>
        <v>H3_B15_2.mp3</v>
      </c>
      <c r="M564" s="13" t="str">
        <f ca="1">IFERROR(__xludf.DUMMYFUNCTION("""COMPUTED_VALUE"""),"H3_B15_VD_2.mp3")</f>
        <v>H3_B15_VD_2.mp3</v>
      </c>
    </row>
    <row r="565" spans="1:13">
      <c r="A565" s="13">
        <f ca="1">IFERROR(__xludf.DUMMYFUNCTION("""COMPUTED_VALUE"""),3)</f>
        <v>3</v>
      </c>
      <c r="B565" s="13"/>
      <c r="C565" s="13" t="str">
        <f ca="1">IFERROR(__xludf.DUMMYFUNCTION("""COMPUTED_VALUE"""),"提高")</f>
        <v>提高</v>
      </c>
      <c r="D565" s="13" t="str">
        <f ca="1">IFERROR(__xludf.DUMMYFUNCTION("""COMPUTED_VALUE"""),"&lt;ruby&gt;提高&lt;rt&gt;tí gāo&lt;/rt&gt;&lt;/ruby&gt;")</f>
        <v>&lt;ruby&gt;提高&lt;rt&gt;tí gāo&lt;/rt&gt;&lt;/ruby&gt;</v>
      </c>
      <c r="E565" s="13" t="str">
        <f ca="1">IFERROR(__xludf.DUMMYFUNCTION("""COMPUTED_VALUE"""),"tí gāo")</f>
        <v>tí gāo</v>
      </c>
      <c r="F565" s="13" t="str">
        <f ca="1">IFERROR(__xludf.DUMMYFUNCTION("""COMPUTED_VALUE"""),"Động từ")</f>
        <v>Động từ</v>
      </c>
      <c r="G565" s="13" t="str">
        <f ca="1">IFERROR(__xludf.DUMMYFUNCTION("""COMPUTED_VALUE"""),"Nâng cao, tiến bộ")</f>
        <v>Nâng cao, tiến bộ</v>
      </c>
      <c r="H565" s="13" t="str">
        <f ca="1">IFERROR(__xludf.DUMMYFUNCTION("""COMPUTED_VALUE""")," 我们需要提高工作效率。")</f>
        <v xml:space="preserve"> 我们需要提高工作效率。</v>
      </c>
      <c r="I565" s="13" t="str">
        <f ca="1">IFERROR(__xludf.DUMMYFUNCTION("""COMPUTED_VALUE"""),"Wǒmen xūyào tígāo gōngzuò xiàolǜ.")</f>
        <v>Wǒmen xūyào tígāo gōngzuò xiàolǜ.</v>
      </c>
      <c r="J565" s="13" t="str">
        <f ca="1">IFERROR(__xludf.DUMMYFUNCTION("""COMPUTED_VALUE"""),"Chúng ta cần nâng cao hiệu suất công việc.")</f>
        <v>Chúng ta cần nâng cao hiệu suất công việc.</v>
      </c>
      <c r="K565" s="13" t="str">
        <f ca="1">IFERROR(__xludf.DUMMYFUNCTION("""COMPUTED_VALUE"""),"H3_B15_BG-03.gif")</f>
        <v>H3_B15_BG-03.gif</v>
      </c>
      <c r="L565" s="13" t="str">
        <f ca="1">IFERROR(__xludf.DUMMYFUNCTION("""COMPUTED_VALUE"""),"H3_B15_3.mp3")</f>
        <v>H3_B15_3.mp3</v>
      </c>
      <c r="M565" s="13" t="str">
        <f ca="1">IFERROR(__xludf.DUMMYFUNCTION("""COMPUTED_VALUE"""),"H3_B15_VD_3.mp3")</f>
        <v>H3_B15_VD_3.mp3</v>
      </c>
    </row>
    <row r="566" spans="1:13">
      <c r="A566" s="13">
        <f ca="1">IFERROR(__xludf.DUMMYFUNCTION("""COMPUTED_VALUE"""),4)</f>
        <v>4</v>
      </c>
      <c r="B566" s="13"/>
      <c r="C566" s="13" t="str">
        <f ca="1">IFERROR(__xludf.DUMMYFUNCTION("""COMPUTED_VALUE"""),"练习")</f>
        <v>练习</v>
      </c>
      <c r="D566" s="13" t="str">
        <f ca="1">IFERROR(__xludf.DUMMYFUNCTION("""COMPUTED_VALUE"""),"&lt;ruby&gt;练习&lt;rt&gt;liànxí&lt;/rt&gt;&lt;/ruby&gt;")</f>
        <v>&lt;ruby&gt;练习&lt;rt&gt;liànxí&lt;/rt&gt;&lt;/ruby&gt;</v>
      </c>
      <c r="E566" s="13" t="str">
        <f ca="1">IFERROR(__xludf.DUMMYFUNCTION("""COMPUTED_VALUE"""),"liànxí")</f>
        <v>liànxí</v>
      </c>
      <c r="F566" s="13" t="str">
        <f ca="1">IFERROR(__xludf.DUMMYFUNCTION("""COMPUTED_VALUE"""),"Danh từ")</f>
        <v>Danh từ</v>
      </c>
      <c r="G566" s="13" t="str">
        <f ca="1">IFERROR(__xludf.DUMMYFUNCTION("""COMPUTED_VALUE"""),"Bài tập")</f>
        <v>Bài tập</v>
      </c>
      <c r="H566" s="13" t="str">
        <f ca="1">IFERROR(__xludf.DUMMYFUNCTION("""COMPUTED_VALUE"""),"她正在练习写作文。")</f>
        <v>她正在练习写作文。</v>
      </c>
      <c r="I566" s="13" t="str">
        <f ca="1">IFERROR(__xludf.DUMMYFUNCTION("""COMPUTED_VALUE"""),"Tā zhèngzài liànxí xiě zuòwén.")</f>
        <v>Tā zhèngzài liànxí xiě zuòwén.</v>
      </c>
      <c r="J566" s="13" t="str">
        <f ca="1">IFERROR(__xludf.DUMMYFUNCTION("""COMPUTED_VALUE"""),"Cô ấy đang tập viết văn.")</f>
        <v>Cô ấy đang tập viết văn.</v>
      </c>
      <c r="K566" s="13" t="str">
        <f ca="1">IFERROR(__xludf.DUMMYFUNCTION("""COMPUTED_VALUE"""),"H3_B15_BG-04.gif")</f>
        <v>H3_B15_BG-04.gif</v>
      </c>
      <c r="L566" s="13" t="str">
        <f ca="1">IFERROR(__xludf.DUMMYFUNCTION("""COMPUTED_VALUE"""),"H3_B15_4.mp3")</f>
        <v>H3_B15_4.mp3</v>
      </c>
      <c r="M566" s="13" t="str">
        <f ca="1">IFERROR(__xludf.DUMMYFUNCTION("""COMPUTED_VALUE"""),"H3_B15_VD_4.mp3")</f>
        <v>H3_B15_VD_4.mp3</v>
      </c>
    </row>
    <row r="567" spans="1:13">
      <c r="A567" s="13">
        <f ca="1">IFERROR(__xludf.DUMMYFUNCTION("""COMPUTED_VALUE"""),5)</f>
        <v>5</v>
      </c>
      <c r="B567" s="13"/>
      <c r="C567" s="13" t="str">
        <f ca="1">IFERROR(__xludf.DUMMYFUNCTION("""COMPUTED_VALUE"""),"完成")</f>
        <v>完成</v>
      </c>
      <c r="D567" s="13" t="str">
        <f ca="1">IFERROR(__xludf.DUMMYFUNCTION("""COMPUTED_VALUE"""),"&lt;ruby&gt;完成&lt;rt&gt;wán chéng&lt;/rt&gt;&lt;/ruby&gt;")</f>
        <v>&lt;ruby&gt;完成&lt;rt&gt;wán chéng&lt;/rt&gt;&lt;/ruby&gt;</v>
      </c>
      <c r="E567" s="13" t="str">
        <f ca="1">IFERROR(__xludf.DUMMYFUNCTION("""COMPUTED_VALUE"""),"wán chéng")</f>
        <v>wán chéng</v>
      </c>
      <c r="F567" s="13" t="str">
        <f ca="1">IFERROR(__xludf.DUMMYFUNCTION("""COMPUTED_VALUE"""),"Động từ")</f>
        <v>Động từ</v>
      </c>
      <c r="G567" s="13" t="str">
        <f ca="1">IFERROR(__xludf.DUMMYFUNCTION("""COMPUTED_VALUE"""),"Hoàn thành")</f>
        <v>Hoàn thành</v>
      </c>
      <c r="H567" s="13" t="str">
        <f ca="1">IFERROR(__xludf.DUMMYFUNCTION("""COMPUTED_VALUE"""),"我已经完成了考试。")</f>
        <v>我已经完成了考试。</v>
      </c>
      <c r="I567" s="13" t="str">
        <f ca="1">IFERROR(__xludf.DUMMYFUNCTION("""COMPUTED_VALUE"""),"Wǒ yǐjīng wánchéng le kǎoshì.")</f>
        <v>Wǒ yǐjīng wánchéng le kǎoshì.</v>
      </c>
      <c r="J567" s="13" t="str">
        <f ca="1">IFERROR(__xludf.DUMMYFUNCTION("""COMPUTED_VALUE"""),"Tôi hoàn thành xong bài kiểm tra rồi.")</f>
        <v>Tôi hoàn thành xong bài kiểm tra rồi.</v>
      </c>
      <c r="K567" s="13" t="str">
        <f ca="1">IFERROR(__xludf.DUMMYFUNCTION("""COMPUTED_VALUE"""),"H3_B15_BG-05.gif")</f>
        <v>H3_B15_BG-05.gif</v>
      </c>
      <c r="L567" s="13" t="str">
        <f ca="1">IFERROR(__xludf.DUMMYFUNCTION("""COMPUTED_VALUE"""),"H3_B15_5.mp3")</f>
        <v>H3_B15_5.mp3</v>
      </c>
      <c r="M567" s="13" t="str">
        <f ca="1">IFERROR(__xludf.DUMMYFUNCTION("""COMPUTED_VALUE"""),"H3_B15_VD_5.mp3")</f>
        <v>H3_B15_VD_5.mp3</v>
      </c>
    </row>
    <row r="568" spans="1:13">
      <c r="A568" s="13">
        <f ca="1">IFERROR(__xludf.DUMMYFUNCTION("""COMPUTED_VALUE"""),6)</f>
        <v>6</v>
      </c>
      <c r="B568" s="13"/>
      <c r="C568" s="13" t="str">
        <f ca="1">IFERROR(__xludf.DUMMYFUNCTION("""COMPUTED_VALUE"""),"句子")</f>
        <v>句子</v>
      </c>
      <c r="D568" s="13" t="str">
        <f ca="1">IFERROR(__xludf.DUMMYFUNCTION("""COMPUTED_VALUE"""),"&lt;ruby&gt;句子&lt;rt&gt;jùzi&lt;/rt&gt;&lt;/ruby&gt;")</f>
        <v>&lt;ruby&gt;句子&lt;rt&gt;jùzi&lt;/rt&gt;&lt;/ruby&gt;</v>
      </c>
      <c r="E568" s="13" t="str">
        <f ca="1">IFERROR(__xludf.DUMMYFUNCTION("""COMPUTED_VALUE"""),"jùzi")</f>
        <v>jùzi</v>
      </c>
      <c r="F568" s="13" t="str">
        <f ca="1">IFERROR(__xludf.DUMMYFUNCTION("""COMPUTED_VALUE"""),"Danh từ")</f>
        <v>Danh từ</v>
      </c>
      <c r="G568" s="13" t="str">
        <f ca="1">IFERROR(__xludf.DUMMYFUNCTION("""COMPUTED_VALUE"""),"Câu")</f>
        <v>Câu</v>
      </c>
      <c r="H568" s="13" t="str">
        <f ca="1">IFERROR(__xludf.DUMMYFUNCTION("""COMPUTED_VALUE"""),"请填上这个句子的空缺。")</f>
        <v>请填上这个句子的空缺。</v>
      </c>
      <c r="I568" s="13" t="str">
        <f ca="1">IFERROR(__xludf.DUMMYFUNCTION("""COMPUTED_VALUE"""),"Qǐng tián shàng zhè gè jùzi de kòngquē.")</f>
        <v>Qǐng tián shàng zhè gè jùzi de kòngquē.</v>
      </c>
      <c r="J568" s="13" t="str">
        <f ca="1">IFERROR(__xludf.DUMMYFUNCTION("""COMPUTED_VALUE"""),"Điền vào chỗ trống của câu này.")</f>
        <v>Điền vào chỗ trống của câu này.</v>
      </c>
      <c r="K568" s="13" t="str">
        <f ca="1">IFERROR(__xludf.DUMMYFUNCTION("""COMPUTED_VALUE"""),"H3_B15_BG-06.gif")</f>
        <v>H3_B15_BG-06.gif</v>
      </c>
      <c r="L568" s="13" t="str">
        <f ca="1">IFERROR(__xludf.DUMMYFUNCTION("""COMPUTED_VALUE"""),"H3_B15_6.mp3")</f>
        <v>H3_B15_6.mp3</v>
      </c>
      <c r="M568" s="13" t="str">
        <f ca="1">IFERROR(__xludf.DUMMYFUNCTION("""COMPUTED_VALUE"""),"H3_B15_VD_6.mp3")</f>
        <v>H3_B15_VD_6.mp3</v>
      </c>
    </row>
    <row r="569" spans="1:13">
      <c r="A569" s="13">
        <f ca="1">IFERROR(__xludf.DUMMYFUNCTION("""COMPUTED_VALUE"""),7)</f>
        <v>7</v>
      </c>
      <c r="B569" s="13"/>
      <c r="C569" s="13" t="str">
        <f ca="1">IFERROR(__xludf.DUMMYFUNCTION("""COMPUTED_VALUE"""),"其他")</f>
        <v>其他</v>
      </c>
      <c r="D569" s="13" t="str">
        <f ca="1">IFERROR(__xludf.DUMMYFUNCTION("""COMPUTED_VALUE"""),"&lt;ruby&gt;其他&lt;rt&gt;qítā&lt;/rt&gt;&lt;/ruby&gt;")</f>
        <v>&lt;ruby&gt;其他&lt;rt&gt;qítā&lt;/rt&gt;&lt;/ruby&gt;</v>
      </c>
      <c r="E569" s="13" t="str">
        <f ca="1">IFERROR(__xludf.DUMMYFUNCTION("""COMPUTED_VALUE"""),"qítā")</f>
        <v>qítā</v>
      </c>
      <c r="F569" s="13" t="str">
        <f ca="1">IFERROR(__xludf.DUMMYFUNCTION("""COMPUTED_VALUE"""),"Đại từ")</f>
        <v>Đại từ</v>
      </c>
      <c r="G569" s="13" t="str">
        <f ca="1">IFERROR(__xludf.DUMMYFUNCTION("""COMPUTED_VALUE"""),"Cái khác")</f>
        <v>Cái khác</v>
      </c>
      <c r="H569" s="13" t="str">
        <f ca="1">IFERROR(__xludf.DUMMYFUNCTION("""COMPUTED_VALUE"""),"你还有其他问题吗？")</f>
        <v>你还有其他问题吗？</v>
      </c>
      <c r="I569" s="13" t="str">
        <f ca="1">IFERROR(__xludf.DUMMYFUNCTION("""COMPUTED_VALUE"""),"Nǐ hái yǒu qítā wèntí ma?")</f>
        <v>Nǐ hái yǒu qítā wèntí ma?</v>
      </c>
      <c r="J569" s="13" t="str">
        <f ca="1">IFERROR(__xludf.DUMMYFUNCTION("""COMPUTED_VALUE"""),"Bạn còn có câu hỏi khác không?")</f>
        <v>Bạn còn có câu hỏi khác không?</v>
      </c>
      <c r="K569" s="13" t="str">
        <f ca="1">IFERROR(__xludf.DUMMYFUNCTION("""COMPUTED_VALUE"""),"H3_B15_BG-07.gif")</f>
        <v>H3_B15_BG-07.gif</v>
      </c>
      <c r="L569" s="13" t="str">
        <f ca="1">IFERROR(__xludf.DUMMYFUNCTION("""COMPUTED_VALUE"""),"H3_B15_7.mp3")</f>
        <v>H3_B15_7.mp3</v>
      </c>
      <c r="M569" s="13" t="str">
        <f ca="1">IFERROR(__xludf.DUMMYFUNCTION("""COMPUTED_VALUE"""),"H3_B15_VD_7.mp3")</f>
        <v>H3_B15_VD_7.mp3</v>
      </c>
    </row>
    <row r="570" spans="1:13">
      <c r="A570" s="13">
        <f ca="1">IFERROR(__xludf.DUMMYFUNCTION("""COMPUTED_VALUE"""),8)</f>
        <v>8</v>
      </c>
      <c r="B570" s="13"/>
      <c r="C570" s="13" t="str">
        <f ca="1">IFERROR(__xludf.DUMMYFUNCTION("""COMPUTED_VALUE"""),"发")</f>
        <v>发</v>
      </c>
      <c r="D570" s="13" t="str">
        <f ca="1">IFERROR(__xludf.DUMMYFUNCTION("""COMPUTED_VALUE"""),"&lt;ruby&gt;发&lt;rt&gt;fā&lt;/rt&gt;&lt;/ruby&gt;")</f>
        <v>&lt;ruby&gt;发&lt;rt&gt;fā&lt;/rt&gt;&lt;/ruby&gt;</v>
      </c>
      <c r="E570" s="13" t="str">
        <f ca="1">IFERROR(__xludf.DUMMYFUNCTION("""COMPUTED_VALUE"""),"fā")</f>
        <v>fā</v>
      </c>
      <c r="F570" s="13" t="str">
        <f ca="1">IFERROR(__xludf.DUMMYFUNCTION("""COMPUTED_VALUE"""),"Động từ")</f>
        <v>Động từ</v>
      </c>
      <c r="G570" s="13" t="str">
        <f ca="1">IFERROR(__xludf.DUMMYFUNCTION("""COMPUTED_VALUE"""),"Gửi, gửi đi")</f>
        <v>Gửi, gửi đi</v>
      </c>
      <c r="H570" s="13" t="str">
        <f ca="1">IFERROR(__xludf.DUMMYFUNCTION("""COMPUTED_VALUE"""),"今天公司已经发货了。")</f>
        <v>今天公司已经发货了。</v>
      </c>
      <c r="I570" s="13" t="str">
        <f ca="1">IFERROR(__xludf.DUMMYFUNCTION("""COMPUTED_VALUE"""),"Jīntiān gōngsī yǐjīng fā huò le.")</f>
        <v>Jīntiān gōngsī yǐjīng fā huò le.</v>
      </c>
      <c r="J570" s="13" t="str">
        <f ca="1">IFERROR(__xludf.DUMMYFUNCTION("""COMPUTED_VALUE"""),"Hôm nay công ty đã gửi hàng.")</f>
        <v>Hôm nay công ty đã gửi hàng.</v>
      </c>
      <c r="K570" s="13" t="str">
        <f ca="1">IFERROR(__xludf.DUMMYFUNCTION("""COMPUTED_VALUE"""),"H3_B15_BG-08.gif")</f>
        <v>H3_B15_BG-08.gif</v>
      </c>
      <c r="L570" s="13" t="str">
        <f ca="1">IFERROR(__xludf.DUMMYFUNCTION("""COMPUTED_VALUE"""),"H3_B15_8.mp3")</f>
        <v>H3_B15_8.mp3</v>
      </c>
      <c r="M570" s="13" t="str">
        <f ca="1">IFERROR(__xludf.DUMMYFUNCTION("""COMPUTED_VALUE"""),"H3_B15_VD_8.mp3")</f>
        <v>H3_B15_VD_8.mp3</v>
      </c>
    </row>
    <row r="571" spans="1:13">
      <c r="A571" s="13">
        <f ca="1">IFERROR(__xludf.DUMMYFUNCTION("""COMPUTED_VALUE"""),9)</f>
        <v>9</v>
      </c>
      <c r="B571" s="13"/>
      <c r="C571" s="13" t="str">
        <f ca="1">IFERROR(__xludf.DUMMYFUNCTION("""COMPUTED_VALUE"""),"要求")</f>
        <v>要求</v>
      </c>
      <c r="D571" s="13" t="str">
        <f ca="1">IFERROR(__xludf.DUMMYFUNCTION("""COMPUTED_VALUE"""),"&lt;ruby&gt;要求&lt;rt&gt;yāoqiú&lt;/rt&gt;&lt;/ruby&gt;")</f>
        <v>&lt;ruby&gt;要求&lt;rt&gt;yāoqiú&lt;/rt&gt;&lt;/ruby&gt;</v>
      </c>
      <c r="E571" s="13" t="str">
        <f ca="1">IFERROR(__xludf.DUMMYFUNCTION("""COMPUTED_VALUE"""),"yāoqiú")</f>
        <v>yāoqiú</v>
      </c>
      <c r="F571" s="13" t="str">
        <f ca="1">IFERROR(__xludf.DUMMYFUNCTION("""COMPUTED_VALUE"""),"Danh từ")</f>
        <v>Danh từ</v>
      </c>
      <c r="G571" s="13" t="str">
        <f ca="1">IFERROR(__xludf.DUMMYFUNCTION("""COMPUTED_VALUE"""),"Yêu cầu")</f>
        <v>Yêu cầu</v>
      </c>
      <c r="H571" s="13" t="str">
        <f ca="1">IFERROR(__xludf.DUMMYFUNCTION("""COMPUTED_VALUE"""),"公司要求员工准时上班。")</f>
        <v>公司要求员工准时上班。</v>
      </c>
      <c r="I571" s="13" t="str">
        <f ca="1">IFERROR(__xludf.DUMMYFUNCTION("""COMPUTED_VALUE"""),"Gōngsī yāoqiú yuángōng zhǔnshí shàngbān.")</f>
        <v>Gōngsī yāoqiú yuángōng zhǔnshí shàngbān.</v>
      </c>
      <c r="J571" s="13" t="str">
        <f ca="1">IFERROR(__xludf.DUMMYFUNCTION("""COMPUTED_VALUE"""),"Công ty yêu cầu nhân viên đi làm đúng giờ.")</f>
        <v>Công ty yêu cầu nhân viên đi làm đúng giờ.</v>
      </c>
      <c r="K571" s="13" t="str">
        <f ca="1">IFERROR(__xludf.DUMMYFUNCTION("""COMPUTED_VALUE"""),"H3_B15_BG-09.gif")</f>
        <v>H3_B15_BG-09.gif</v>
      </c>
      <c r="L571" s="13" t="str">
        <f ca="1">IFERROR(__xludf.DUMMYFUNCTION("""COMPUTED_VALUE"""),"H3_B15_9.mp3")</f>
        <v>H3_B15_9.mp3</v>
      </c>
      <c r="M571" s="13" t="str">
        <f ca="1">IFERROR(__xludf.DUMMYFUNCTION("""COMPUTED_VALUE"""),"H3_B15_VD_9.mp3")</f>
        <v>H3_B15_VD_9.mp3</v>
      </c>
    </row>
    <row r="572" spans="1:13">
      <c r="A572" s="13">
        <f ca="1">IFERROR(__xludf.DUMMYFUNCTION("""COMPUTED_VALUE"""),10)</f>
        <v>10</v>
      </c>
      <c r="B572" s="13"/>
      <c r="C572" s="13" t="str">
        <f ca="1">IFERROR(__xludf.DUMMYFUNCTION("""COMPUTED_VALUE"""),"注意")</f>
        <v>注意</v>
      </c>
      <c r="D572" s="13" t="str">
        <f ca="1">IFERROR(__xludf.DUMMYFUNCTION("""COMPUTED_VALUE"""),"&lt;ruby&gt;注意&lt;rt&gt;zhù yì&lt;/rt&gt;&lt;/ruby&gt;")</f>
        <v>&lt;ruby&gt;注意&lt;rt&gt;zhù yì&lt;/rt&gt;&lt;/ruby&gt;</v>
      </c>
      <c r="E572" s="13" t="str">
        <f ca="1">IFERROR(__xludf.DUMMYFUNCTION("""COMPUTED_VALUE"""),"zhù yì")</f>
        <v>zhù yì</v>
      </c>
      <c r="F572" s="13" t="str">
        <f ca="1">IFERROR(__xludf.DUMMYFUNCTION("""COMPUTED_VALUE"""),"Động từ")</f>
        <v>Động từ</v>
      </c>
      <c r="G572" s="13" t="str">
        <f ca="1">IFERROR(__xludf.DUMMYFUNCTION("""COMPUTED_VALUE"""),"Chú ý")</f>
        <v>Chú ý</v>
      </c>
      <c r="H572" s="13" t="str">
        <f ca="1">IFERROR(__xludf.DUMMYFUNCTION("""COMPUTED_VALUE"""),"注意路滑！")</f>
        <v>注意路滑！</v>
      </c>
      <c r="I572" s="13" t="str">
        <f ca="1">IFERROR(__xludf.DUMMYFUNCTION("""COMPUTED_VALUE"""),"Zhùyì lù huá!")</f>
        <v>Zhùyì lù huá!</v>
      </c>
      <c r="J572" s="13" t="str">
        <f ca="1">IFERROR(__xludf.DUMMYFUNCTION("""COMPUTED_VALUE"""),"Chú ý đường trơn trượt!")</f>
        <v>Chú ý đường trơn trượt!</v>
      </c>
      <c r="K572" s="13" t="str">
        <f ca="1">IFERROR(__xludf.DUMMYFUNCTION("""COMPUTED_VALUE"""),"H3_B15_BG-10.gif")</f>
        <v>H3_B15_BG-10.gif</v>
      </c>
      <c r="L572" s="13" t="str">
        <f ca="1">IFERROR(__xludf.DUMMYFUNCTION("""COMPUTED_VALUE"""),"H3_B15_10.mp3")</f>
        <v>H3_B15_10.mp3</v>
      </c>
      <c r="M572" s="13" t="str">
        <f ca="1">IFERROR(__xludf.DUMMYFUNCTION("""COMPUTED_VALUE"""),"H3_B15_VD_10.mp3")</f>
        <v>H3_B15_VD_10.mp3</v>
      </c>
    </row>
    <row r="573" spans="1:13">
      <c r="A573" s="13">
        <f ca="1">IFERROR(__xludf.DUMMYFUNCTION("""COMPUTED_VALUE"""),11)</f>
        <v>11</v>
      </c>
      <c r="B573" s="13"/>
      <c r="C573" s="13" t="str">
        <f ca="1">IFERROR(__xludf.DUMMYFUNCTION("""COMPUTED_VALUE"""),"上网")</f>
        <v>上网</v>
      </c>
      <c r="D573" s="13" t="str">
        <f ca="1">IFERROR(__xludf.DUMMYFUNCTION("""COMPUTED_VALUE"""),"&lt;ruby&gt;上网&lt;rt&gt;shàng wǎng&lt;/rt&gt;&lt;/ruby&gt;")</f>
        <v>&lt;ruby&gt;上网&lt;rt&gt;shàng wǎng&lt;/rt&gt;&lt;/ruby&gt;</v>
      </c>
      <c r="E573" s="13" t="str">
        <f ca="1">IFERROR(__xludf.DUMMYFUNCTION("""COMPUTED_VALUE"""),"shàng wǎng")</f>
        <v>shàng wǎng</v>
      </c>
      <c r="F573" s="13" t="str">
        <f ca="1">IFERROR(__xludf.DUMMYFUNCTION("""COMPUTED_VALUE"""),"Động từ")</f>
        <v>Động từ</v>
      </c>
      <c r="G573" s="13" t="str">
        <f ca="1">IFERROR(__xludf.DUMMYFUNCTION("""COMPUTED_VALUE"""),"Lên mạng")</f>
        <v>Lên mạng</v>
      </c>
      <c r="H573" s="13" t="str">
        <f ca="1">IFERROR(__xludf.DUMMYFUNCTION("""COMPUTED_VALUE"""),"她上网查资料。")</f>
        <v>她上网查资料。</v>
      </c>
      <c r="I573" s="13" t="str">
        <f ca="1">IFERROR(__xludf.DUMMYFUNCTION("""COMPUTED_VALUE"""),"Tā shàngwǎng chá zīliào.")</f>
        <v>Tā shàngwǎng chá zīliào.</v>
      </c>
      <c r="J573" s="13" t="str">
        <f ca="1">IFERROR(__xludf.DUMMYFUNCTION("""COMPUTED_VALUE"""),"Cô ấy lên mạng tra tài liệu.")</f>
        <v>Cô ấy lên mạng tra tài liệu.</v>
      </c>
      <c r="K573" s="13" t="str">
        <f ca="1">IFERROR(__xludf.DUMMYFUNCTION("""COMPUTED_VALUE"""),"H3_B15_BG-11.gif")</f>
        <v>H3_B15_BG-11.gif</v>
      </c>
      <c r="L573" s="13" t="str">
        <f ca="1">IFERROR(__xludf.DUMMYFUNCTION("""COMPUTED_VALUE"""),"H3_B15_11.mp3")</f>
        <v>H3_B15_11.mp3</v>
      </c>
      <c r="M573" s="13" t="str">
        <f ca="1">IFERROR(__xludf.DUMMYFUNCTION("""COMPUTED_VALUE"""),"H3_B15_VD_11.mp3")</f>
        <v>H3_B15_VD_11.mp3</v>
      </c>
    </row>
    <row r="574" spans="1:13">
      <c r="A574" s="13">
        <f ca="1">IFERROR(__xludf.DUMMYFUNCTION("""COMPUTED_VALUE"""),12)</f>
        <v>12</v>
      </c>
      <c r="B574" s="13"/>
      <c r="C574" s="13" t="str">
        <f ca="1">IFERROR(__xludf.DUMMYFUNCTION("""COMPUTED_VALUE"""),"除了")</f>
        <v>除了</v>
      </c>
      <c r="D574" s="13" t="str">
        <f ca="1">IFERROR(__xludf.DUMMYFUNCTION("""COMPUTED_VALUE"""),"&lt;ruby&gt;除了&lt;rt&gt;chúle&lt;/rt&gt;&lt;/ruby&gt;")</f>
        <v>&lt;ruby&gt;除了&lt;rt&gt;chúle&lt;/rt&gt;&lt;/ruby&gt;</v>
      </c>
      <c r="E574" s="13" t="str">
        <f ca="1">IFERROR(__xludf.DUMMYFUNCTION("""COMPUTED_VALUE"""),"chúle")</f>
        <v>chúle</v>
      </c>
      <c r="F574" s="13" t="str">
        <f ca="1">IFERROR(__xludf.DUMMYFUNCTION("""COMPUTED_VALUE"""),"Giới từ")</f>
        <v>Giới từ</v>
      </c>
      <c r="G574" s="13" t="str">
        <f ca="1">IFERROR(__xludf.DUMMYFUNCTION("""COMPUTED_VALUE"""),"Ngoài...ra")</f>
        <v>Ngoài...ra</v>
      </c>
      <c r="H574" s="13" t="str">
        <f ca="1">IFERROR(__xludf.DUMMYFUNCTION("""COMPUTED_VALUE""")," 除了奶茶，我不喜欢喝别的。")</f>
        <v xml:space="preserve"> 除了奶茶，我不喜欢喝别的。</v>
      </c>
      <c r="I574" s="13" t="str">
        <f ca="1">IFERROR(__xludf.DUMMYFUNCTION("""COMPUTED_VALUE"""),"Chúle nǎichá, wǒ bù xǐhuan hē bié de.")</f>
        <v>Chúle nǎichá, wǒ bù xǐhuan hē bié de.</v>
      </c>
      <c r="J574" s="13" t="str">
        <f ca="1">IFERROR(__xludf.DUMMYFUNCTION("""COMPUTED_VALUE"""),"Ngoài trà sữa ra thì tôi không thích uống cái khác.")</f>
        <v>Ngoài trà sữa ra thì tôi không thích uống cái khác.</v>
      </c>
      <c r="K574" s="13" t="str">
        <f ca="1">IFERROR(__xludf.DUMMYFUNCTION("""COMPUTED_VALUE"""),"H3_B15_BG-12.gif")</f>
        <v>H3_B15_BG-12.gif</v>
      </c>
      <c r="L574" s="13" t="str">
        <f ca="1">IFERROR(__xludf.DUMMYFUNCTION("""COMPUTED_VALUE"""),"H3_B15_12.mp3")</f>
        <v>H3_B15_12.mp3</v>
      </c>
      <c r="M574" s="13" t="str">
        <f ca="1">IFERROR(__xludf.DUMMYFUNCTION("""COMPUTED_VALUE"""),"H3_B15_VD_12.mp3")</f>
        <v>H3_B15_VD_12.mp3</v>
      </c>
    </row>
    <row r="575" spans="1:13">
      <c r="A575" s="13">
        <f ca="1">IFERROR(__xludf.DUMMYFUNCTION("""COMPUTED_VALUE"""),13)</f>
        <v>13</v>
      </c>
      <c r="B575" s="13"/>
      <c r="C575" s="13" t="str">
        <f ca="1">IFERROR(__xludf.DUMMYFUNCTION("""COMPUTED_VALUE"""),"新闻")</f>
        <v>新闻</v>
      </c>
      <c r="D575" s="13" t="str">
        <f ca="1">IFERROR(__xludf.DUMMYFUNCTION("""COMPUTED_VALUE"""),"&lt;ruby&gt;新闻&lt;rt&gt;xīnwén&lt;/rt&gt;&lt;/ruby&gt;")</f>
        <v>&lt;ruby&gt;新闻&lt;rt&gt;xīnwén&lt;/rt&gt;&lt;/ruby&gt;</v>
      </c>
      <c r="E575" s="13" t="str">
        <f ca="1">IFERROR(__xludf.DUMMYFUNCTION("""COMPUTED_VALUE"""),"xīnwén")</f>
        <v>xīnwén</v>
      </c>
      <c r="F575" s="13" t="str">
        <f ca="1">IFERROR(__xludf.DUMMYFUNCTION("""COMPUTED_VALUE"""),"Danh từ")</f>
        <v>Danh từ</v>
      </c>
      <c r="G575" s="13" t="str">
        <f ca="1">IFERROR(__xludf.DUMMYFUNCTION("""COMPUTED_VALUE"""),"Tin tức")</f>
        <v>Tin tức</v>
      </c>
      <c r="H575" s="13" t="str">
        <f ca="1">IFERROR(__xludf.DUMMYFUNCTION("""COMPUTED_VALUE"""),"你看到最新新闻了吗？")</f>
        <v>你看到最新新闻了吗？</v>
      </c>
      <c r="I575" s="13" t="str">
        <f ca="1">IFERROR(__xludf.DUMMYFUNCTION("""COMPUTED_VALUE"""),"Nǐ kàndào zuìxīn xīnwén le ma?")</f>
        <v>Nǐ kàndào zuìxīn xīnwén le ma?</v>
      </c>
      <c r="J575" s="13" t="str">
        <f ca="1">IFERROR(__xludf.DUMMYFUNCTION("""COMPUTED_VALUE"""),"Bạn thấy tin tức mới nhất chưa?")</f>
        <v>Bạn thấy tin tức mới nhất chưa?</v>
      </c>
      <c r="K575" s="13" t="str">
        <f ca="1">IFERROR(__xludf.DUMMYFUNCTION("""COMPUTED_VALUE"""),"H3_B15_BG-13.gif")</f>
        <v>H3_B15_BG-13.gif</v>
      </c>
      <c r="L575" s="13" t="str">
        <f ca="1">IFERROR(__xludf.DUMMYFUNCTION("""COMPUTED_VALUE"""),"H3_B15_13.mp3")</f>
        <v>H3_B15_13.mp3</v>
      </c>
      <c r="M575" s="13" t="str">
        <f ca="1">IFERROR(__xludf.DUMMYFUNCTION("""COMPUTED_VALUE"""),"H3_B15_VD_13.mp3")</f>
        <v>H3_B15_VD_13.mp3</v>
      </c>
    </row>
    <row r="576" spans="1:13">
      <c r="A576" s="13">
        <f ca="1">IFERROR(__xludf.DUMMYFUNCTION("""COMPUTED_VALUE"""),14)</f>
        <v>14</v>
      </c>
      <c r="B576" s="13"/>
      <c r="C576" s="13" t="str">
        <f ca="1">IFERROR(__xludf.DUMMYFUNCTION("""COMPUTED_VALUE"""),"花")</f>
        <v>花</v>
      </c>
      <c r="D576" s="13" t="str">
        <f ca="1">IFERROR(__xludf.DUMMYFUNCTION("""COMPUTED_VALUE"""),"&lt;ruby&gt;花&lt;rt&gt;huā&lt;/rt&gt;&lt;/ruby&gt;")</f>
        <v>&lt;ruby&gt;花&lt;rt&gt;huā&lt;/rt&gt;&lt;/ruby&gt;</v>
      </c>
      <c r="E576" s="13" t="str">
        <f ca="1">IFERROR(__xludf.DUMMYFUNCTION("""COMPUTED_VALUE"""),"huā")</f>
        <v>huā</v>
      </c>
      <c r="F576" s="13" t="str">
        <f ca="1">IFERROR(__xludf.DUMMYFUNCTION("""COMPUTED_VALUE"""),"Động từ")</f>
        <v>Động từ</v>
      </c>
      <c r="G576" s="13" t="str">
        <f ca="1">IFERROR(__xludf.DUMMYFUNCTION("""COMPUTED_VALUE"""),"Tốn, tiêu tốn")</f>
        <v>Tốn, tiêu tốn</v>
      </c>
      <c r="H576" s="13" t="str">
        <f ca="1">IFERROR(__xludf.DUMMYFUNCTION("""COMPUTED_VALUE"""),"这朵花真漂亮。")</f>
        <v>这朵花真漂亮。</v>
      </c>
      <c r="I576" s="13" t="str">
        <f ca="1">IFERROR(__xludf.DUMMYFUNCTION("""COMPUTED_VALUE"""),"Zhè duǒ huā zhēn piàoliang.")</f>
        <v>Zhè duǒ huā zhēn piàoliang.</v>
      </c>
      <c r="J576" s="13" t="str">
        <f ca="1">IFERROR(__xludf.DUMMYFUNCTION("""COMPUTED_VALUE"""),"Bông hoa này thật đẹp.")</f>
        <v>Bông hoa này thật đẹp.</v>
      </c>
      <c r="K576" s="13" t="str">
        <f ca="1">IFERROR(__xludf.DUMMYFUNCTION("""COMPUTED_VALUE"""),"H3_B15_BG-14.gif")</f>
        <v>H3_B15_BG-14.gif</v>
      </c>
      <c r="L576" s="13" t="str">
        <f ca="1">IFERROR(__xludf.DUMMYFUNCTION("""COMPUTED_VALUE"""),"H3_B15_14.mp3")</f>
        <v>H3_B15_14.mp3</v>
      </c>
      <c r="M576" s="13" t="str">
        <f ca="1">IFERROR(__xludf.DUMMYFUNCTION("""COMPUTED_VALUE"""),"H3_B15_VD_14.mp3")</f>
        <v>H3_B15_VD_14.mp3</v>
      </c>
    </row>
    <row r="577" spans="1:13">
      <c r="A577" s="13">
        <f ca="1">IFERROR(__xludf.DUMMYFUNCTION("""COMPUTED_VALUE"""),15)</f>
        <v>15</v>
      </c>
      <c r="B577" s="13"/>
      <c r="C577" s="13" t="str">
        <f ca="1">IFERROR(__xludf.DUMMYFUNCTION("""COMPUTED_VALUE"""),"极 (了)")</f>
        <v>极 (了)</v>
      </c>
      <c r="D577" s="13" t="str">
        <f ca="1">IFERROR(__xludf.DUMMYFUNCTION("""COMPUTED_VALUE"""),"&lt;ruby&gt;极 (了)&lt;rt&gt;jí (le)&lt;/rt&gt;&lt;/ruby&gt;")</f>
        <v>&lt;ruby&gt;极 (了)&lt;rt&gt;jí (le)&lt;/rt&gt;&lt;/ruby&gt;</v>
      </c>
      <c r="E577" s="13" t="str">
        <f ca="1">IFERROR(__xludf.DUMMYFUNCTION("""COMPUTED_VALUE"""),"jí (le)")</f>
        <v>jí (le)</v>
      </c>
      <c r="F577" s="13" t="str">
        <f ca="1">IFERROR(__xludf.DUMMYFUNCTION("""COMPUTED_VALUE"""),"Phó từ")</f>
        <v>Phó từ</v>
      </c>
      <c r="G577" s="13" t="str">
        <f ca="1">IFERROR(__xludf.DUMMYFUNCTION("""COMPUTED_VALUE"""),"Hết sức, cực kỳ")</f>
        <v>Hết sức, cực kỳ</v>
      </c>
      <c r="H577" s="13" t="str">
        <f ca="1">IFERROR(__xludf.DUMMYFUNCTION("""COMPUTED_VALUE"""),"这件衣服漂亮极了！")</f>
        <v>这件衣服漂亮极了！</v>
      </c>
      <c r="I577" s="13" t="str">
        <f ca="1">IFERROR(__xludf.DUMMYFUNCTION("""COMPUTED_VALUE"""),"Zhè jiàn yīfu piàoliang jí le!")</f>
        <v>Zhè jiàn yīfu piàoliang jí le!</v>
      </c>
      <c r="J577" s="13" t="str">
        <f ca="1">IFERROR(__xludf.DUMMYFUNCTION("""COMPUTED_VALUE"""),"Chiếc áo này đẹp quá!")</f>
        <v>Chiếc áo này đẹp quá!</v>
      </c>
      <c r="K577" s="13" t="str">
        <f ca="1">IFERROR(__xludf.DUMMYFUNCTION("""COMPUTED_VALUE"""),"H3_B15_BG-15.gif")</f>
        <v>H3_B15_BG-15.gif</v>
      </c>
      <c r="L577" s="13" t="str">
        <f ca="1">IFERROR(__xludf.DUMMYFUNCTION("""COMPUTED_VALUE"""),"H3_B15_15.mp3")</f>
        <v>H3_B15_15.mp3</v>
      </c>
      <c r="M577" s="13" t="str">
        <f ca="1">IFERROR(__xludf.DUMMYFUNCTION("""COMPUTED_VALUE"""),"H3_B15_VD_15.mp3")</f>
        <v>H3_B15_VD_15.mp3</v>
      </c>
    </row>
    <row r="578" spans="1:13">
      <c r="A578" s="13">
        <f ca="1">IFERROR(__xludf.DUMMYFUNCTION("""COMPUTED_VALUE"""),16)</f>
        <v>16</v>
      </c>
      <c r="B578" s="13"/>
      <c r="C578" s="13" t="str">
        <f ca="1">IFERROR(__xludf.DUMMYFUNCTION("""COMPUTED_VALUE"""),"节日")</f>
        <v>节日</v>
      </c>
      <c r="D578" s="13" t="str">
        <f ca="1">IFERROR(__xludf.DUMMYFUNCTION("""COMPUTED_VALUE"""),"&lt;ruby&gt;节日&lt;rt&gt;jiérì&lt;/rt&gt;&lt;/ruby&gt;")</f>
        <v>&lt;ruby&gt;节日&lt;rt&gt;jiérì&lt;/rt&gt;&lt;/ruby&gt;</v>
      </c>
      <c r="E578" s="13" t="str">
        <f ca="1">IFERROR(__xludf.DUMMYFUNCTION("""COMPUTED_VALUE"""),"jiérì")</f>
        <v>jiérì</v>
      </c>
      <c r="F578" s="13" t="str">
        <f ca="1">IFERROR(__xludf.DUMMYFUNCTION("""COMPUTED_VALUE"""),"Danh từ")</f>
        <v>Danh từ</v>
      </c>
      <c r="G578" s="13" t="str">
        <f ca="1">IFERROR(__xludf.DUMMYFUNCTION("""COMPUTED_VALUE"""),"Ngày lễ")</f>
        <v>Ngày lễ</v>
      </c>
      <c r="H578" s="13" t="str">
        <f ca="1">IFERROR(__xludf.DUMMYFUNCTION("""COMPUTED_VALUE"""),"春节是一个重要的节日。")</f>
        <v>春节是一个重要的节日。</v>
      </c>
      <c r="I578" s="13" t="str">
        <f ca="1">IFERROR(__xludf.DUMMYFUNCTION("""COMPUTED_VALUE"""),"Chūnjié shì yī gè zhòngyào de jiérì.")</f>
        <v>Chūnjié shì yī gè zhòngyào de jiérì.</v>
      </c>
      <c r="J578" s="13" t="str">
        <f ca="1">IFERROR(__xludf.DUMMYFUNCTION("""COMPUTED_VALUE"""),"Tết là một ngày lễ quan trọng.")</f>
        <v>Tết là một ngày lễ quan trọng.</v>
      </c>
      <c r="K578" s="13" t="str">
        <f ca="1">IFERROR(__xludf.DUMMYFUNCTION("""COMPUTED_VALUE"""),"H3_B15_BG-16.gif")</f>
        <v>H3_B15_BG-16.gif</v>
      </c>
      <c r="L578" s="13" t="str">
        <f ca="1">IFERROR(__xludf.DUMMYFUNCTION("""COMPUTED_VALUE"""),"H3_B15_16.mp3")</f>
        <v>H3_B15_16.mp3</v>
      </c>
      <c r="M578" s="13" t="str">
        <f ca="1">IFERROR(__xludf.DUMMYFUNCTION("""COMPUTED_VALUE"""),"H3_B15_VD_16.mp3")</f>
        <v>H3_B15_VD_16.mp3</v>
      </c>
    </row>
    <row r="579" spans="1:13">
      <c r="A579" s="13">
        <f ca="1">IFERROR(__xludf.DUMMYFUNCTION("""COMPUTED_VALUE"""),17)</f>
        <v>17</v>
      </c>
      <c r="B579" s="13"/>
      <c r="C579" s="13" t="str">
        <f ca="1">IFERROR(__xludf.DUMMYFUNCTION("""COMPUTED_VALUE"""),"举行")</f>
        <v>举行</v>
      </c>
      <c r="D579" s="13" t="str">
        <f ca="1">IFERROR(__xludf.DUMMYFUNCTION("""COMPUTED_VALUE"""),"&lt;ruby&gt;举行&lt;rt&gt;jǔxíng&lt;/rt&gt;&lt;/ruby&gt;")</f>
        <v>&lt;ruby&gt;举行&lt;rt&gt;jǔxíng&lt;/rt&gt;&lt;/ruby&gt;</v>
      </c>
      <c r="E579" s="13" t="str">
        <f ca="1">IFERROR(__xludf.DUMMYFUNCTION("""COMPUTED_VALUE"""),"jǔxíng")</f>
        <v>jǔxíng</v>
      </c>
      <c r="F579" s="13" t="str">
        <f ca="1">IFERROR(__xludf.DUMMYFUNCTION("""COMPUTED_VALUE"""),"Động từ")</f>
        <v>Động từ</v>
      </c>
      <c r="G579" s="13" t="str">
        <f ca="1">IFERROR(__xludf.DUMMYFUNCTION("""COMPUTED_VALUE"""),"Tổ chức (hội họp, thi đấu...)")</f>
        <v>Tổ chức (hội họp, thi đấu...)</v>
      </c>
      <c r="H579" s="13" t="str">
        <f ca="1">IFERROR(__xludf.DUMMYFUNCTION("""COMPUTED_VALUE"""),"城市在新年期间举行赛龙舟比赛。")</f>
        <v>城市在新年期间举行赛龙舟比赛。</v>
      </c>
      <c r="I579" s="13" t="str">
        <f ca="1">IFERROR(__xludf.DUMMYFUNCTION("""COMPUTED_VALUE"""),"Chéngshì zài xīnnián qījiān jǔxíng sài lóngzhōu bǐsài.")</f>
        <v>Chéngshì zài xīnnián qījiān jǔxíng sài lóngzhōu bǐsài.</v>
      </c>
      <c r="J579" s="13" t="str">
        <f ca="1">IFERROR(__xludf.DUMMYFUNCTION("""COMPUTED_VALUE"""),"Thành phố tổ chức cuộc thi chèo thuyền nhân dịp năm mới.")</f>
        <v>Thành phố tổ chức cuộc thi chèo thuyền nhân dịp năm mới.</v>
      </c>
      <c r="K579" s="13" t="str">
        <f ca="1">IFERROR(__xludf.DUMMYFUNCTION("""COMPUTED_VALUE"""),"H3_B15_BG-17.gif")</f>
        <v>H3_B15_BG-17.gif</v>
      </c>
      <c r="L579" s="13" t="str">
        <f ca="1">IFERROR(__xludf.DUMMYFUNCTION("""COMPUTED_VALUE"""),"H3_B15_17.mp3")</f>
        <v>H3_B15_17.mp3</v>
      </c>
      <c r="M579" s="13" t="str">
        <f ca="1">IFERROR(__xludf.DUMMYFUNCTION("""COMPUTED_VALUE"""),"H3_B15_VD_17.mp3")</f>
        <v>H3_B15_VD_17.mp3</v>
      </c>
    </row>
    <row r="580" spans="1:13">
      <c r="A580" s="13">
        <f ca="1">IFERROR(__xludf.DUMMYFUNCTION("""COMPUTED_VALUE"""),18)</f>
        <v>18</v>
      </c>
      <c r="B580" s="13"/>
      <c r="C580" s="13" t="str">
        <f ca="1">IFERROR(__xludf.DUMMYFUNCTION("""COMPUTED_VALUE"""),"世界")</f>
        <v>世界</v>
      </c>
      <c r="D580" s="13" t="str">
        <f ca="1">IFERROR(__xludf.DUMMYFUNCTION("""COMPUTED_VALUE"""),"&lt;ruby&gt;世界&lt;rt&gt;shìjiè&lt;/rt&gt;&lt;/ruby&gt;")</f>
        <v>&lt;ruby&gt;世界&lt;rt&gt;shìjiè&lt;/rt&gt;&lt;/ruby&gt;</v>
      </c>
      <c r="E580" s="13" t="str">
        <f ca="1">IFERROR(__xludf.DUMMYFUNCTION("""COMPUTED_VALUE"""),"shìjiè")</f>
        <v>shìjiè</v>
      </c>
      <c r="F580" s="13" t="str">
        <f ca="1">IFERROR(__xludf.DUMMYFUNCTION("""COMPUTED_VALUE"""),"Danh từ")</f>
        <v>Danh từ</v>
      </c>
      <c r="G580" s="13" t="str">
        <f ca="1">IFERROR(__xludf.DUMMYFUNCTION("""COMPUTED_VALUE"""),"Thế giới")</f>
        <v>Thế giới</v>
      </c>
      <c r="H580" s="13" t="str">
        <f ca="1">IFERROR(__xludf.DUMMYFUNCTION("""COMPUTED_VALUE"""),"保护世界和平。")</f>
        <v>保护世界和平。</v>
      </c>
      <c r="I580" s="13" t="str">
        <f ca="1">IFERROR(__xludf.DUMMYFUNCTION("""COMPUTED_VALUE"""),"Bǎohù shìjiè hépíng.")</f>
        <v>Bǎohù shìjiè hépíng.</v>
      </c>
      <c r="J580" s="13" t="str">
        <f ca="1">IFERROR(__xludf.DUMMYFUNCTION("""COMPUTED_VALUE"""),"Bảo vệ hòa bình thế giới.")</f>
        <v>Bảo vệ hòa bình thế giới.</v>
      </c>
      <c r="K580" s="13" t="str">
        <f ca="1">IFERROR(__xludf.DUMMYFUNCTION("""COMPUTED_VALUE"""),"H3_B15_BG-18.gif")</f>
        <v>H3_B15_BG-18.gif</v>
      </c>
      <c r="L580" s="13" t="str">
        <f ca="1">IFERROR(__xludf.DUMMYFUNCTION("""COMPUTED_VALUE"""),"H3_B15_18.mp3")</f>
        <v>H3_B15_18.mp3</v>
      </c>
      <c r="M580" s="13" t="str">
        <f ca="1">IFERROR(__xludf.DUMMYFUNCTION("""COMPUTED_VALUE"""),"H3_B15_VD_18.mp3")</f>
        <v>H3_B15_VD_18.mp3</v>
      </c>
    </row>
    <row r="581" spans="1:13">
      <c r="A581" s="13">
        <f ca="1">IFERROR(__xludf.DUMMYFUNCTION("""COMPUTED_VALUE"""),19)</f>
        <v>19</v>
      </c>
      <c r="B581" s="13"/>
      <c r="C581" s="13" t="str">
        <f ca="1">IFERROR(__xludf.DUMMYFUNCTION("""COMPUTED_VALUE"""),"街道")</f>
        <v>街道</v>
      </c>
      <c r="D581" s="13" t="str">
        <f ca="1">IFERROR(__xludf.DUMMYFUNCTION("""COMPUTED_VALUE"""),"&lt;ruby&gt;街道&lt;rt&gt;jiēdào&lt;/rt&gt;&lt;/ruby&gt;")</f>
        <v>&lt;ruby&gt;街道&lt;rt&gt;jiēdào&lt;/rt&gt;&lt;/ruby&gt;</v>
      </c>
      <c r="E581" s="13" t="str">
        <f ca="1">IFERROR(__xludf.DUMMYFUNCTION("""COMPUTED_VALUE"""),"jiēdào")</f>
        <v>jiēdào</v>
      </c>
      <c r="F581" s="13" t="str">
        <f ca="1">IFERROR(__xludf.DUMMYFUNCTION("""COMPUTED_VALUE"""),"Danh từ")</f>
        <v>Danh từ</v>
      </c>
      <c r="G581" s="13" t="str">
        <f ca="1">IFERROR(__xludf.DUMMYFUNCTION("""COMPUTED_VALUE"""),"Đường, đường phố")</f>
        <v>Đường, đường phố</v>
      </c>
      <c r="H581" s="13" t="str">
        <f ca="1">IFERROR(__xludf.DUMMYFUNCTION("""COMPUTED_VALUE"""),"这条街道很安静。")</f>
        <v>这条街道很安静。</v>
      </c>
      <c r="I581" s="13" t="str">
        <f ca="1">IFERROR(__xludf.DUMMYFUNCTION("""COMPUTED_VALUE"""),"Zhè tiáo jiēdào hěn ānjìng.")</f>
        <v>Zhè tiáo jiēdào hěn ānjìng.</v>
      </c>
      <c r="J581" s="13" t="str">
        <f ca="1">IFERROR(__xludf.DUMMYFUNCTION("""COMPUTED_VALUE"""),"Con đường này rất yên tĩnh.")</f>
        <v>Con đường này rất yên tĩnh.</v>
      </c>
      <c r="K581" s="13" t="str">
        <f ca="1">IFERROR(__xludf.DUMMYFUNCTION("""COMPUTED_VALUE"""),"H3_B15_BG-19.gif")</f>
        <v>H3_B15_BG-19.gif</v>
      </c>
      <c r="L581" s="13" t="str">
        <f ca="1">IFERROR(__xludf.DUMMYFUNCTION("""COMPUTED_VALUE"""),"H3_B15_19.mp3")</f>
        <v>H3_B15_19.mp3</v>
      </c>
      <c r="M581" s="13" t="str">
        <f ca="1">IFERROR(__xludf.DUMMYFUNCTION("""COMPUTED_VALUE"""),"H3_B15_VD_19.mp3")</f>
        <v>H3_B15_VD_19.mp3</v>
      </c>
    </row>
    <row r="582" spans="1:13">
      <c r="A582" s="13">
        <f ca="1">IFERROR(__xludf.DUMMYFUNCTION("""COMPUTED_VALUE"""),20)</f>
        <v>20</v>
      </c>
      <c r="B582" s="13"/>
      <c r="C582" s="13" t="str">
        <f ca="1">IFERROR(__xludf.DUMMYFUNCTION("""COMPUTED_VALUE"""),"各")</f>
        <v>各</v>
      </c>
      <c r="D582" s="13" t="str">
        <f ca="1">IFERROR(__xludf.DUMMYFUNCTION("""COMPUTED_VALUE"""),"&lt;ruby&gt;各&lt;rt&gt;gè&lt;/rt&gt;&lt;/ruby&gt;")</f>
        <v>&lt;ruby&gt;各&lt;rt&gt;gè&lt;/rt&gt;&lt;/ruby&gt;</v>
      </c>
      <c r="E582" s="13" t="str">
        <f ca="1">IFERROR(__xludf.DUMMYFUNCTION("""COMPUTED_VALUE"""),"gè")</f>
        <v>gè</v>
      </c>
      <c r="F582" s="13" t="str">
        <f ca="1">IFERROR(__xludf.DUMMYFUNCTION("""COMPUTED_VALUE"""),"Đại từ")</f>
        <v>Đại từ</v>
      </c>
      <c r="G582" s="13" t="str">
        <f ca="1">IFERROR(__xludf.DUMMYFUNCTION("""COMPUTED_VALUE"""),"Mỗi")</f>
        <v>Mỗi</v>
      </c>
      <c r="H582" s="13" t="str">
        <f ca="1">IFERROR(__xludf.DUMMYFUNCTION("""COMPUTED_VALUE"""),"各种水果都很好吃。")</f>
        <v>各种水果都很好吃。</v>
      </c>
      <c r="I582" s="13" t="str">
        <f ca="1">IFERROR(__xludf.DUMMYFUNCTION("""COMPUTED_VALUE"""),"Gèzhǒng shuǐguǒ dōu hěn hǎochī.")</f>
        <v>Gèzhǒng shuǐguǒ dōu hěn hǎochī.</v>
      </c>
      <c r="J582" s="13" t="str">
        <f ca="1">IFERROR(__xludf.DUMMYFUNCTION("""COMPUTED_VALUE"""),"Các loại trái cây đều rất ngon.")</f>
        <v>Các loại trái cây đều rất ngon.</v>
      </c>
      <c r="K582" s="13" t="str">
        <f ca="1">IFERROR(__xludf.DUMMYFUNCTION("""COMPUTED_VALUE"""),"H3_B15_BG-20.gif")</f>
        <v>H3_B15_BG-20.gif</v>
      </c>
      <c r="L582" s="13" t="str">
        <f ca="1">IFERROR(__xludf.DUMMYFUNCTION("""COMPUTED_VALUE"""),"H3_B15_20.mp3")</f>
        <v>H3_B15_20.mp3</v>
      </c>
      <c r="M582" s="13" t="str">
        <f ca="1">IFERROR(__xludf.DUMMYFUNCTION("""COMPUTED_VALUE"""),"H3_B15_VD_20.mp3")</f>
        <v>H3_B15_VD_20.mp3</v>
      </c>
    </row>
    <row r="583" spans="1:13">
      <c r="A583" s="13">
        <f ca="1">IFERROR(__xludf.DUMMYFUNCTION("""COMPUTED_VALUE"""),21)</f>
        <v>21</v>
      </c>
      <c r="B583" s="13"/>
      <c r="C583" s="13" t="str">
        <f ca="1">IFERROR(__xludf.DUMMYFUNCTION("""COMPUTED_VALUE"""),"文化")</f>
        <v>文化</v>
      </c>
      <c r="D583" s="13" t="str">
        <f ca="1">IFERROR(__xludf.DUMMYFUNCTION("""COMPUTED_VALUE"""),"&lt;ruby&gt;文化&lt;rt&gt;wénhuà&lt;/rt&gt;&lt;/ruby&gt;")</f>
        <v>&lt;ruby&gt;文化&lt;rt&gt;wénhuà&lt;/rt&gt;&lt;/ruby&gt;</v>
      </c>
      <c r="E583" s="13" t="str">
        <f ca="1">IFERROR(__xludf.DUMMYFUNCTION("""COMPUTED_VALUE"""),"wénhuà")</f>
        <v>wénhuà</v>
      </c>
      <c r="F583" s="13" t="str">
        <f ca="1">IFERROR(__xludf.DUMMYFUNCTION("""COMPUTED_VALUE"""),"Danh từ")</f>
        <v>Danh từ</v>
      </c>
      <c r="G583" s="13" t="str">
        <f ca="1">IFERROR(__xludf.DUMMYFUNCTION("""COMPUTED_VALUE"""),"Văn hóa")</f>
        <v>Văn hóa</v>
      </c>
      <c r="H583" s="13" t="str">
        <f ca="1">IFERROR(__xludf.DUMMYFUNCTION("""COMPUTED_VALUE"""),"我对民间文化很感兴趣。")</f>
        <v>我对民间文化很感兴趣。</v>
      </c>
      <c r="I583" s="13" t="str">
        <f ca="1">IFERROR(__xludf.DUMMYFUNCTION("""COMPUTED_VALUE"""),"Wǒ duì mínjiān wénhuà hěn gǎn xìngqù.")</f>
        <v>Wǒ duì mínjiān wénhuà hěn gǎn xìngqù.</v>
      </c>
      <c r="J583" s="13" t="str">
        <f ca="1">IFERROR(__xludf.DUMMYFUNCTION("""COMPUTED_VALUE"""),"Tôi rất hứng thú với văn hóa dân gian.")</f>
        <v>Tôi rất hứng thú với văn hóa dân gian.</v>
      </c>
      <c r="K583" s="13" t="str">
        <f ca="1">IFERROR(__xludf.DUMMYFUNCTION("""COMPUTED_VALUE"""),"H3_B15_BG-21.gif")</f>
        <v>H3_B15_BG-21.gif</v>
      </c>
      <c r="L583" s="13" t="str">
        <f ca="1">IFERROR(__xludf.DUMMYFUNCTION("""COMPUTED_VALUE"""),"H3_B15_21.mp3")</f>
        <v>H3_B15_21.mp3</v>
      </c>
      <c r="M583" s="13" t="str">
        <f ca="1">IFERROR(__xludf.DUMMYFUNCTION("""COMPUTED_VALUE"""),"H3_B15_VD_21.mp3")</f>
        <v>H3_B15_VD_21.mp3</v>
      </c>
    </row>
    <row r="584" spans="1:13">
      <c r="A584" s="13">
        <f ca="1">IFERROR(__xludf.DUMMYFUNCTION("""COMPUTED_VALUE"""),1)</f>
        <v>1</v>
      </c>
      <c r="B584" s="13"/>
      <c r="C584" s="13" t="str">
        <f ca="1">IFERROR(__xludf.DUMMYFUNCTION("""COMPUTED_VALUE"""),"城市")</f>
        <v>城市</v>
      </c>
      <c r="D584" s="13" t="str">
        <f ca="1">IFERROR(__xludf.DUMMYFUNCTION("""COMPUTED_VALUE"""),"&lt;ruby&gt;城市&lt;rt&gt;chéngshì&lt;/rt&gt;&lt;/ruby&gt;")</f>
        <v>&lt;ruby&gt;城市&lt;rt&gt;chéngshì&lt;/rt&gt;&lt;/ruby&gt;</v>
      </c>
      <c r="E584" s="13" t="str">
        <f ca="1">IFERROR(__xludf.DUMMYFUNCTION("""COMPUTED_VALUE"""),"chéngshì")</f>
        <v>chéngshì</v>
      </c>
      <c r="F584" s="13" t="str">
        <f ca="1">IFERROR(__xludf.DUMMYFUNCTION("""COMPUTED_VALUE"""),"Danh từ")</f>
        <v>Danh từ</v>
      </c>
      <c r="G584" s="13" t="str">
        <f ca="1">IFERROR(__xludf.DUMMYFUNCTION("""COMPUTED_VALUE"""),"Thành phố")</f>
        <v>Thành phố</v>
      </c>
      <c r="H584" s="13" t="str">
        <f ca="1">IFERROR(__xludf.DUMMYFUNCTION("""COMPUTED_VALUE"""),"这是我生活的城市。")</f>
        <v>这是我生活的城市。</v>
      </c>
      <c r="I584" s="13" t="str">
        <f ca="1">IFERROR(__xludf.DUMMYFUNCTION("""COMPUTED_VALUE"""),"Zhè shì wǒ shēnghuó de chéngshì.")</f>
        <v>Zhè shì wǒ shēnghuó de chéngshì.</v>
      </c>
      <c r="J584" s="13" t="str">
        <f ca="1">IFERROR(__xludf.DUMMYFUNCTION("""COMPUTED_VALUE"""),"Đây là thành phố nơi tôi sống.")</f>
        <v>Đây là thành phố nơi tôi sống.</v>
      </c>
      <c r="K584" s="13" t="str">
        <f ca="1">IFERROR(__xludf.DUMMYFUNCTION("""COMPUTED_VALUE"""),"H3_B16_BG-01.gif")</f>
        <v>H3_B16_BG-01.gif</v>
      </c>
      <c r="L584" s="13" t="str">
        <f ca="1">IFERROR(__xludf.DUMMYFUNCTION("""COMPUTED_VALUE"""),"H3_B16_1.mp3")</f>
        <v>H3_B16_1.mp3</v>
      </c>
      <c r="M584" s="13" t="str">
        <f ca="1">IFERROR(__xludf.DUMMYFUNCTION("""COMPUTED_VALUE"""),"H3_B16_VD_1.mp3")</f>
        <v>H3_B16_VD_1.mp3</v>
      </c>
    </row>
    <row r="585" spans="1:13">
      <c r="A585" s="13">
        <f ca="1">IFERROR(__xludf.DUMMYFUNCTION("""COMPUTED_VALUE"""),2)</f>
        <v>2</v>
      </c>
      <c r="B585" s="13"/>
      <c r="C585" s="13" t="str">
        <f ca="1">IFERROR(__xludf.DUMMYFUNCTION("""COMPUTED_VALUE"""),"如果")</f>
        <v>如果</v>
      </c>
      <c r="D585" s="13" t="str">
        <f ca="1">IFERROR(__xludf.DUMMYFUNCTION("""COMPUTED_VALUE"""),"&lt;ruby&gt;如果&lt;rt&gt;rúguǒ&lt;/rt&gt;&lt;/ruby&gt;")</f>
        <v>&lt;ruby&gt;如果&lt;rt&gt;rúguǒ&lt;/rt&gt;&lt;/ruby&gt;</v>
      </c>
      <c r="E585" s="13" t="str">
        <f ca="1">IFERROR(__xludf.DUMMYFUNCTION("""COMPUTED_VALUE"""),"rúguǒ")</f>
        <v>rúguǒ</v>
      </c>
      <c r="F585" s="13" t="str">
        <f ca="1">IFERROR(__xludf.DUMMYFUNCTION("""COMPUTED_VALUE"""),"Liên từ")</f>
        <v>Liên từ</v>
      </c>
      <c r="G585" s="13" t="str">
        <f ca="1">IFERROR(__xludf.DUMMYFUNCTION("""COMPUTED_VALUE"""),"Nếu")</f>
        <v>Nếu</v>
      </c>
      <c r="H585" s="13" t="str">
        <f ca="1">IFERROR(__xludf.DUMMYFUNCTION("""COMPUTED_VALUE"""),"如果你渴了，就喝点水吧。")</f>
        <v>如果你渴了，就喝点水吧。</v>
      </c>
      <c r="I585" s="13" t="str">
        <f ca="1">IFERROR(__xludf.DUMMYFUNCTION("""COMPUTED_VALUE"""),"Rúguǒ nǐ kě le, jiù hē diǎn shuǐ ba.")</f>
        <v>Rúguǒ nǐ kě le, jiù hē diǎn shuǐ ba.</v>
      </c>
      <c r="J585" s="13" t="str">
        <f ca="1">IFERROR(__xludf.DUMMYFUNCTION("""COMPUTED_VALUE"""),"Nếu bạn khát, hãy uống một ít nước.")</f>
        <v>Nếu bạn khát, hãy uống một ít nước.</v>
      </c>
      <c r="K585" s="13" t="str">
        <f ca="1">IFERROR(__xludf.DUMMYFUNCTION("""COMPUTED_VALUE"""),"H3_B16_BG-02.gif")</f>
        <v>H3_B16_BG-02.gif</v>
      </c>
      <c r="L585" s="13" t="str">
        <f ca="1">IFERROR(__xludf.DUMMYFUNCTION("""COMPUTED_VALUE"""),"H3_B16_2.mp3")</f>
        <v>H3_B16_2.mp3</v>
      </c>
      <c r="M585" s="13" t="str">
        <f ca="1">IFERROR(__xludf.DUMMYFUNCTION("""COMPUTED_VALUE"""),"H3_B16_VD_2.mp3")</f>
        <v>H3_B16_VD_2.mp3</v>
      </c>
    </row>
    <row r="586" spans="1:13">
      <c r="A586" s="13">
        <f ca="1">IFERROR(__xludf.DUMMYFUNCTION("""COMPUTED_VALUE"""),3)</f>
        <v>3</v>
      </c>
      <c r="B586" s="13"/>
      <c r="C586" s="13" t="str">
        <f ca="1">IFERROR(__xludf.DUMMYFUNCTION("""COMPUTED_VALUE"""),"认为")</f>
        <v>认为</v>
      </c>
      <c r="D586" s="13" t="str">
        <f ca="1">IFERROR(__xludf.DUMMYFUNCTION("""COMPUTED_VALUE"""),"&lt;ruby&gt;认为&lt;rt&gt;rènwéi&lt;/rt&gt;&lt;/ruby&gt;")</f>
        <v>&lt;ruby&gt;认为&lt;rt&gt;rènwéi&lt;/rt&gt;&lt;/ruby&gt;</v>
      </c>
      <c r="E586" s="13" t="str">
        <f ca="1">IFERROR(__xludf.DUMMYFUNCTION("""COMPUTED_VALUE"""),"rènwéi")</f>
        <v>rènwéi</v>
      </c>
      <c r="F586" s="13" t="str">
        <f ca="1">IFERROR(__xludf.DUMMYFUNCTION("""COMPUTED_VALUE"""),"Động từ")</f>
        <v>Động từ</v>
      </c>
      <c r="G586" s="13" t="str">
        <f ca="1">IFERROR(__xludf.DUMMYFUNCTION("""COMPUTED_VALUE"""),"Cho rằng")</f>
        <v>Cho rằng</v>
      </c>
      <c r="H586" s="13" t="str">
        <f ca="1">IFERROR(__xludf.DUMMYFUNCTION("""COMPUTED_VALUE"""),"人们认为新年买盐会带来好运。")</f>
        <v>人们认为新年买盐会带来好运。</v>
      </c>
      <c r="I586" s="13" t="str">
        <f ca="1">IFERROR(__xludf.DUMMYFUNCTION("""COMPUTED_VALUE"""),"Rénmen rènwéi xīnnián mǎi yán huì dàilái hǎo yùn.")</f>
        <v>Rénmen rènwéi xīnnián mǎi yán huì dàilái hǎo yùn.</v>
      </c>
      <c r="J586" s="13" t="str">
        <f ca="1">IFERROR(__xludf.DUMMYFUNCTION("""COMPUTED_VALUE"""),"Người ta cho rằng, mua muối đầu năm có thể sẽ gặp may mắn.")</f>
        <v>Người ta cho rằng, mua muối đầu năm có thể sẽ gặp may mắn.</v>
      </c>
      <c r="K586" s="13" t="str">
        <f ca="1">IFERROR(__xludf.DUMMYFUNCTION("""COMPUTED_VALUE"""),"H3_B16_BG-03.gif")</f>
        <v>H3_B16_BG-03.gif</v>
      </c>
      <c r="L586" s="13" t="str">
        <f ca="1">IFERROR(__xludf.DUMMYFUNCTION("""COMPUTED_VALUE"""),"H3_B16_3.mp3")</f>
        <v>H3_B16_3.mp3</v>
      </c>
      <c r="M586" s="13" t="str">
        <f ca="1">IFERROR(__xludf.DUMMYFUNCTION("""COMPUTED_VALUE"""),"H3_B16_VD_3.mp3")</f>
        <v>H3_B16_VD_3.mp3</v>
      </c>
    </row>
    <row r="587" spans="1:13">
      <c r="A587" s="13">
        <f ca="1">IFERROR(__xludf.DUMMYFUNCTION("""COMPUTED_VALUE"""),4)</f>
        <v>4</v>
      </c>
      <c r="B587" s="13"/>
      <c r="C587" s="13" t="str">
        <f ca="1">IFERROR(__xludf.DUMMYFUNCTION("""COMPUTED_VALUE"""),"关系")</f>
        <v>关系</v>
      </c>
      <c r="D587" s="13" t="str">
        <f ca="1">IFERROR(__xludf.DUMMYFUNCTION("""COMPUTED_VALUE"""),"&lt;ruby&gt;关系&lt;rt&gt;guānxì&lt;/rt&gt;&lt;/ruby&gt;")</f>
        <v>&lt;ruby&gt;关系&lt;rt&gt;guānxì&lt;/rt&gt;&lt;/ruby&gt;</v>
      </c>
      <c r="E587" s="13" t="str">
        <f ca="1">IFERROR(__xludf.DUMMYFUNCTION("""COMPUTED_VALUE"""),"guānxì")</f>
        <v>guānxì</v>
      </c>
      <c r="F587" s="13" t="str">
        <f ca="1">IFERROR(__xludf.DUMMYFUNCTION("""COMPUTED_VALUE"""),"Danh từ")</f>
        <v>Danh từ</v>
      </c>
      <c r="G587" s="13" t="str">
        <f ca="1">IFERROR(__xludf.DUMMYFUNCTION("""COMPUTED_VALUE"""),"Quan hệ")</f>
        <v>Quan hệ</v>
      </c>
      <c r="H587" s="13" t="str">
        <f ca="1">IFERROR(__xludf.DUMMYFUNCTION("""COMPUTED_VALUE"""),"他们两个人的关系非常亲密。")</f>
        <v>他们两个人的关系非常亲密。</v>
      </c>
      <c r="I587" s="13" t="str">
        <f ca="1">IFERROR(__xludf.DUMMYFUNCTION("""COMPUTED_VALUE"""),"Tāmen liǎng gè rén de guānxì fēicháng qīnmì.")</f>
        <v>Tāmen liǎng gè rén de guānxì fēicháng qīnmì.</v>
      </c>
      <c r="J587" s="13" t="str">
        <f ca="1">IFERROR(__xludf.DUMMYFUNCTION("""COMPUTED_VALUE"""),"Quan hệ của hai người họ rất thắm thiết.")</f>
        <v>Quan hệ của hai người họ rất thắm thiết.</v>
      </c>
      <c r="K587" s="13" t="str">
        <f ca="1">IFERROR(__xludf.DUMMYFUNCTION("""COMPUTED_VALUE"""),"H3_B16_BG-04.gif")</f>
        <v>H3_B16_BG-04.gif</v>
      </c>
      <c r="L587" s="13" t="str">
        <f ca="1">IFERROR(__xludf.DUMMYFUNCTION("""COMPUTED_VALUE"""),"H3_B16_4.mp3")</f>
        <v>H3_B16_4.mp3</v>
      </c>
      <c r="M587" s="13" t="str">
        <f ca="1">IFERROR(__xludf.DUMMYFUNCTION("""COMPUTED_VALUE"""),"H3_B16_VD_4.mp3")</f>
        <v>H3_B16_VD_4.mp3</v>
      </c>
    </row>
    <row r="588" spans="1:13">
      <c r="A588" s="13">
        <f ca="1">IFERROR(__xludf.DUMMYFUNCTION("""COMPUTED_VALUE"""),5)</f>
        <v>5</v>
      </c>
      <c r="B588" s="13"/>
      <c r="C588" s="13" t="str">
        <f ca="1">IFERROR(__xludf.DUMMYFUNCTION("""COMPUTED_VALUE"""),"别人")</f>
        <v>别人</v>
      </c>
      <c r="D588" s="13" t="str">
        <f ca="1">IFERROR(__xludf.DUMMYFUNCTION("""COMPUTED_VALUE"""),"&lt;ruby&gt;别人&lt;rt&gt;biérén&lt;/rt&gt;&lt;/ruby&gt;")</f>
        <v>&lt;ruby&gt;别人&lt;rt&gt;biérén&lt;/rt&gt;&lt;/ruby&gt;</v>
      </c>
      <c r="E588" s="13" t="str">
        <f ca="1">IFERROR(__xludf.DUMMYFUNCTION("""COMPUTED_VALUE"""),"biérén")</f>
        <v>biérén</v>
      </c>
      <c r="F588" s="13" t="str">
        <f ca="1">IFERROR(__xludf.DUMMYFUNCTION("""COMPUTED_VALUE"""),"Danh từ")</f>
        <v>Danh từ</v>
      </c>
      <c r="G588" s="13" t="str">
        <f ca="1">IFERROR(__xludf.DUMMYFUNCTION("""COMPUTED_VALUE"""),"Người khác")</f>
        <v>Người khác</v>
      </c>
      <c r="H588" s="13" t="str">
        <f ca="1">IFERROR(__xludf.DUMMYFUNCTION("""COMPUTED_VALUE"""),"把东西捐给别人是一件很有意义的事情。")</f>
        <v>把东西捐给别人是一件很有意义的事情。</v>
      </c>
      <c r="I588" s="13" t="str">
        <f ca="1">IFERROR(__xludf.DUMMYFUNCTION("""COMPUTED_VALUE"""),"Bǎ dōngxi juān gěi biérén shì yī jiàn hěn yǒu yìyì de shìqing.")</f>
        <v>Bǎ dōngxi juān gěi biérén shì yī jiàn hěn yǒu yìyì de shìqing.</v>
      </c>
      <c r="J588" s="13" t="str">
        <f ca="1">IFERROR(__xludf.DUMMYFUNCTION("""COMPUTED_VALUE"""),"Quyên góp đồ giúp đỡ người khác.")</f>
        <v>Quyên góp đồ giúp đỡ người khác.</v>
      </c>
      <c r="K588" s="13" t="str">
        <f ca="1">IFERROR(__xludf.DUMMYFUNCTION("""COMPUTED_VALUE"""),"H3_B16_BG-05.gif")</f>
        <v>H3_B16_BG-05.gif</v>
      </c>
      <c r="L588" s="13" t="str">
        <f ca="1">IFERROR(__xludf.DUMMYFUNCTION("""COMPUTED_VALUE"""),"H3_B16_5.mp3")</f>
        <v>H3_B16_5.mp3</v>
      </c>
      <c r="M588" s="13" t="str">
        <f ca="1">IFERROR(__xludf.DUMMYFUNCTION("""COMPUTED_VALUE"""),"H3_B16_VD_5.mp3")</f>
        <v>H3_B16_VD_5.mp3</v>
      </c>
    </row>
    <row r="589" spans="1:13">
      <c r="A589" s="13">
        <f ca="1">IFERROR(__xludf.DUMMYFUNCTION("""COMPUTED_VALUE"""),6)</f>
        <v>6</v>
      </c>
      <c r="B589" s="13"/>
      <c r="C589" s="13" t="str">
        <f ca="1">IFERROR(__xludf.DUMMYFUNCTION("""COMPUTED_VALUE"""),"词语")</f>
        <v>词语</v>
      </c>
      <c r="D589" s="13" t="str">
        <f ca="1">IFERROR(__xludf.DUMMYFUNCTION("""COMPUTED_VALUE"""),"&lt;ruby&gt;词语&lt;rt&gt;cíyǔ&lt;/rt&gt;&lt;/ruby&gt;")</f>
        <v>&lt;ruby&gt;词语&lt;rt&gt;cíyǔ&lt;/rt&gt;&lt;/ruby&gt;</v>
      </c>
      <c r="E589" s="13" t="str">
        <f ca="1">IFERROR(__xludf.DUMMYFUNCTION("""COMPUTED_VALUE"""),"cíyǔ")</f>
        <v>cíyǔ</v>
      </c>
      <c r="F589" s="13" t="str">
        <f ca="1">IFERROR(__xludf.DUMMYFUNCTION("""COMPUTED_VALUE"""),"Danh từ")</f>
        <v>Danh từ</v>
      </c>
      <c r="G589" s="13" t="str">
        <f ca="1">IFERROR(__xludf.DUMMYFUNCTION("""COMPUTED_VALUE"""),"Từ ngữ")</f>
        <v>Từ ngữ</v>
      </c>
      <c r="H589" s="13" t="str">
        <f ca="1">IFERROR(__xludf.DUMMYFUNCTION("""COMPUTED_VALUE"""),"我学到了很多新的词语。")</f>
        <v>我学到了很多新的词语。</v>
      </c>
      <c r="I589" s="13" t="str">
        <f ca="1">IFERROR(__xludf.DUMMYFUNCTION("""COMPUTED_VALUE"""),"Wǒ xué dào le hěn duō xīn de cíyǔ.")</f>
        <v>Wǒ xué dào le hěn duō xīn de cíyǔ.</v>
      </c>
      <c r="J589" s="13" t="str">
        <f ca="1">IFERROR(__xludf.DUMMYFUNCTION("""COMPUTED_VALUE"""),"Tôi học được rất nhiều từ ngữ mới.")</f>
        <v>Tôi học được rất nhiều từ ngữ mới.</v>
      </c>
      <c r="K589" s="13" t="str">
        <f ca="1">IFERROR(__xludf.DUMMYFUNCTION("""COMPUTED_VALUE"""),"H3_B16_BG-06.gif")</f>
        <v>H3_B16_BG-06.gif</v>
      </c>
      <c r="L589" s="13" t="str">
        <f ca="1">IFERROR(__xludf.DUMMYFUNCTION("""COMPUTED_VALUE"""),"H3_B16_6.mp3")</f>
        <v>H3_B16_6.mp3</v>
      </c>
      <c r="M589" s="13" t="str">
        <f ca="1">IFERROR(__xludf.DUMMYFUNCTION("""COMPUTED_VALUE"""),"H3_B16_VD_6.mp3")</f>
        <v>H3_B16_VD_6.mp3</v>
      </c>
    </row>
    <row r="590" spans="1:13">
      <c r="A590" s="13">
        <f ca="1">IFERROR(__xludf.DUMMYFUNCTION("""COMPUTED_VALUE"""),7)</f>
        <v>7</v>
      </c>
      <c r="B590" s="13"/>
      <c r="C590" s="13" t="str">
        <f ca="1">IFERROR(__xludf.DUMMYFUNCTION("""COMPUTED_VALUE"""),"皮鞋")</f>
        <v>皮鞋</v>
      </c>
      <c r="D590" s="13" t="str">
        <f ca="1">IFERROR(__xludf.DUMMYFUNCTION("""COMPUTED_VALUE"""),"&lt;ruby&gt;皮鞋&lt;rt&gt;píxié&lt;/rt&gt;&lt;/ruby&gt;")</f>
        <v>&lt;ruby&gt;皮鞋&lt;rt&gt;píxié&lt;/rt&gt;&lt;/ruby&gt;</v>
      </c>
      <c r="E590" s="13" t="str">
        <f ca="1">IFERROR(__xludf.DUMMYFUNCTION("""COMPUTED_VALUE"""),"píxié")</f>
        <v>píxié</v>
      </c>
      <c r="F590" s="13" t="str">
        <f ca="1">IFERROR(__xludf.DUMMYFUNCTION("""COMPUTED_VALUE"""),"Danh từ")</f>
        <v>Danh từ</v>
      </c>
      <c r="G590" s="13" t="str">
        <f ca="1">IFERROR(__xludf.DUMMYFUNCTION("""COMPUTED_VALUE"""),"Giày da")</f>
        <v>Giày da</v>
      </c>
      <c r="H590" s="13" t="str">
        <f ca="1">IFERROR(__xludf.DUMMYFUNCTION("""COMPUTED_VALUE"""),"最近皮鞋特别流行。")</f>
        <v>最近皮鞋特别流行。</v>
      </c>
      <c r="I590" s="13" t="str">
        <f ca="1">IFERROR(__xludf.DUMMYFUNCTION("""COMPUTED_VALUE"""),"Zuìjìn píxié tèbié liúxíng.")</f>
        <v>Zuìjìn píxié tèbié liúxíng.</v>
      </c>
      <c r="J590" s="13" t="str">
        <f ca="1">IFERROR(__xludf.DUMMYFUNCTION("""COMPUTED_VALUE"""),"Dạo này giày da rất thịnh hành.")</f>
        <v>Dạo này giày da rất thịnh hành.</v>
      </c>
      <c r="K590" s="13" t="str">
        <f ca="1">IFERROR(__xludf.DUMMYFUNCTION("""COMPUTED_VALUE"""),"H3_B16_BG-07.gif")</f>
        <v>H3_B16_BG-07.gif</v>
      </c>
      <c r="L590" s="13" t="str">
        <f ca="1">IFERROR(__xludf.DUMMYFUNCTION("""COMPUTED_VALUE"""),"H3_B16_7.mp3")</f>
        <v>H3_B16_7.mp3</v>
      </c>
      <c r="M590" s="13" t="str">
        <f ca="1">IFERROR(__xludf.DUMMYFUNCTION("""COMPUTED_VALUE"""),"H3_B16_VD_7.mp3")</f>
        <v>H3_B16_VD_7.mp3</v>
      </c>
    </row>
    <row r="591" spans="1:13">
      <c r="A591" s="13">
        <f ca="1">IFERROR(__xludf.DUMMYFUNCTION("""COMPUTED_VALUE"""),8)</f>
        <v>8</v>
      </c>
      <c r="B591" s="13"/>
      <c r="C591" s="13" t="str">
        <f ca="1">IFERROR(__xludf.DUMMYFUNCTION("""COMPUTED_VALUE"""),"帽子")</f>
        <v>帽子</v>
      </c>
      <c r="D591" s="13" t="str">
        <f ca="1">IFERROR(__xludf.DUMMYFUNCTION("""COMPUTED_VALUE"""),"&lt;ruby&gt;帽子&lt;rt&gt;màozi&lt;/rt&gt;&lt;/ruby&gt;")</f>
        <v>&lt;ruby&gt;帽子&lt;rt&gt;màozi&lt;/rt&gt;&lt;/ruby&gt;</v>
      </c>
      <c r="E591" s="13" t="str">
        <f ca="1">IFERROR(__xludf.DUMMYFUNCTION("""COMPUTED_VALUE"""),"màozi")</f>
        <v>màozi</v>
      </c>
      <c r="F591" s="13" t="str">
        <f ca="1">IFERROR(__xludf.DUMMYFUNCTION("""COMPUTED_VALUE"""),"Danh từ")</f>
        <v>Danh từ</v>
      </c>
      <c r="G591" s="13" t="str">
        <f ca="1">IFERROR(__xludf.DUMMYFUNCTION("""COMPUTED_VALUE"""),"Mũ, nón")</f>
        <v>Mũ, nón</v>
      </c>
      <c r="H591" s="13" t="str">
        <f ca="1">IFERROR(__xludf.DUMMYFUNCTION("""COMPUTED_VALUE"""),"我刚买了一顶新帽子。")</f>
        <v>我刚买了一顶新帽子。</v>
      </c>
      <c r="I591" s="13" t="str">
        <f ca="1">IFERROR(__xludf.DUMMYFUNCTION("""COMPUTED_VALUE"""),"Wǒ gāng mǎi le yī dǐng xīn màozi.")</f>
        <v>Wǒ gāng mǎi le yī dǐng xīn màozi.</v>
      </c>
      <c r="J591" s="13" t="str">
        <f ca="1">IFERROR(__xludf.DUMMYFUNCTION("""COMPUTED_VALUE"""),"Tôi vừa mua một chiếc mũ mới.")</f>
        <v>Tôi vừa mua một chiếc mũ mới.</v>
      </c>
      <c r="K591" s="13" t="str">
        <f ca="1">IFERROR(__xludf.DUMMYFUNCTION("""COMPUTED_VALUE"""),"H3_B16_BG-08.gif")</f>
        <v>H3_B16_BG-08.gif</v>
      </c>
      <c r="L591" s="13" t="str">
        <f ca="1">IFERROR(__xludf.DUMMYFUNCTION("""COMPUTED_VALUE"""),"H3_B16_8.mp3")</f>
        <v>H3_B16_8.mp3</v>
      </c>
      <c r="M591" s="13" t="str">
        <f ca="1">IFERROR(__xludf.DUMMYFUNCTION("""COMPUTED_VALUE"""),"H3_B16_VD_8.mp3")</f>
        <v>H3_B16_VD_8.mp3</v>
      </c>
    </row>
    <row r="592" spans="1:13">
      <c r="A592" s="13">
        <f ca="1">IFERROR(__xludf.DUMMYFUNCTION("""COMPUTED_VALUE"""),9)</f>
        <v>9</v>
      </c>
      <c r="B592" s="13"/>
      <c r="C592" s="13" t="str">
        <f ca="1">IFERROR(__xludf.DUMMYFUNCTION("""COMPUTED_VALUE"""),"长")</f>
        <v>长</v>
      </c>
      <c r="D592" s="13" t="str">
        <f ca="1">IFERROR(__xludf.DUMMYFUNCTION("""COMPUTED_VALUE"""),"&lt;ruby&gt;长&lt;rt&gt;zhǎng&lt;/rt&gt;&lt;/ruby&gt;")</f>
        <v>&lt;ruby&gt;长&lt;rt&gt;zhǎng&lt;/rt&gt;&lt;/ruby&gt;</v>
      </c>
      <c r="E592" s="13" t="str">
        <f ca="1">IFERROR(__xludf.DUMMYFUNCTION("""COMPUTED_VALUE"""),"zhǎng")</f>
        <v>zhǎng</v>
      </c>
      <c r="F592" s="13" t="str">
        <f ca="1">IFERROR(__xludf.DUMMYFUNCTION("""COMPUTED_VALUE"""),"Động từ")</f>
        <v>Động từ</v>
      </c>
      <c r="G592" s="13" t="str">
        <f ca="1">IFERROR(__xludf.DUMMYFUNCTION("""COMPUTED_VALUE"""),"Trưởng thành, lớn lên")</f>
        <v>Trưởng thành, lớn lên</v>
      </c>
      <c r="H592" s="13" t="str">
        <f ca="1">IFERROR(__xludf.DUMMYFUNCTION("""COMPUTED_VALUE"""),"好久不见，你看起来长大了不少。")</f>
        <v>好久不见，你看起来长大了不少。</v>
      </c>
      <c r="I592" s="13" t="str">
        <f ca="1">IFERROR(__xludf.DUMMYFUNCTION("""COMPUTED_VALUE"""),"Hǎojiǔ bùjiàn, nǐ kàn qǐlái zhǎng dà le bù shǎo.")</f>
        <v>Hǎojiǔ bùjiàn, nǐ kàn qǐlái zhǎng dà le bù shǎo.</v>
      </c>
      <c r="J592" s="13" t="str">
        <f ca="1">IFERROR(__xludf.DUMMYFUNCTION("""COMPUTED_VALUE"""),"Lâu rồi không gặp, trông cậu nhìn trưởng thành hơn xưa nhỉ.")</f>
        <v>Lâu rồi không gặp, trông cậu nhìn trưởng thành hơn xưa nhỉ.</v>
      </c>
      <c r="K592" s="13" t="str">
        <f ca="1">IFERROR(__xludf.DUMMYFUNCTION("""COMPUTED_VALUE"""),"H3_B16_BG-09.gif")</f>
        <v>H3_B16_BG-09.gif</v>
      </c>
      <c r="L592" s="13" t="str">
        <f ca="1">IFERROR(__xludf.DUMMYFUNCTION("""COMPUTED_VALUE"""),"H3_B16_9.mp3")</f>
        <v>H3_B16_9.mp3</v>
      </c>
      <c r="M592" s="13" t="str">
        <f ca="1">IFERROR(__xludf.DUMMYFUNCTION("""COMPUTED_VALUE"""),"H3_B16_VD_9.mp3")</f>
        <v>H3_B16_VD_9.mp3</v>
      </c>
    </row>
    <row r="593" spans="1:13">
      <c r="A593" s="13">
        <f ca="1">IFERROR(__xludf.DUMMYFUNCTION("""COMPUTED_VALUE"""),10)</f>
        <v>10</v>
      </c>
      <c r="B593" s="13"/>
      <c r="C593" s="13" t="str">
        <f ca="1">IFERROR(__xludf.DUMMYFUNCTION("""COMPUTED_VALUE"""),"可爱")</f>
        <v>可爱</v>
      </c>
      <c r="D593" s="13" t="str">
        <f ca="1">IFERROR(__xludf.DUMMYFUNCTION("""COMPUTED_VALUE"""),"&lt;ruby&gt;可爱&lt;rt&gt;kě'ài&lt;/rt&gt;&lt;/ruby&gt;")</f>
        <v>&lt;ruby&gt;可爱&lt;rt&gt;kě'ài&lt;/rt&gt;&lt;/ruby&gt;</v>
      </c>
      <c r="E593" s="13" t="str">
        <f ca="1">IFERROR(__xludf.DUMMYFUNCTION("""COMPUTED_VALUE"""),"kě'ài")</f>
        <v>kě'ài</v>
      </c>
      <c r="F593" s="13" t="str">
        <f ca="1">IFERROR(__xludf.DUMMYFUNCTION("""COMPUTED_VALUE"""),"Tính từ")</f>
        <v>Tính từ</v>
      </c>
      <c r="G593" s="13" t="str">
        <f ca="1">IFERROR(__xludf.DUMMYFUNCTION("""COMPUTED_VALUE"""),"Đáng yêu, dễ thương")</f>
        <v>Đáng yêu, dễ thương</v>
      </c>
      <c r="H593" s="13" t="str">
        <f ca="1">IFERROR(__xludf.DUMMYFUNCTION("""COMPUTED_VALUE"""),"这个小女孩真是太可爱了。")</f>
        <v>这个小女孩真是太可爱了。</v>
      </c>
      <c r="I593" s="13" t="str">
        <f ca="1">IFERROR(__xludf.DUMMYFUNCTION("""COMPUTED_VALUE"""),"Zhè gè xiǎo nǚhái zhēn shì tài kě’ài le.")</f>
        <v>Zhè gè xiǎo nǚhái zhēn shì tài kě’ài le.</v>
      </c>
      <c r="J593" s="13" t="str">
        <f ca="1">IFERROR(__xludf.DUMMYFUNCTION("""COMPUTED_VALUE"""),"Cô bé này thật đáng yêu.")</f>
        <v>Cô bé này thật đáng yêu.</v>
      </c>
      <c r="K593" s="13" t="str">
        <f ca="1">IFERROR(__xludf.DUMMYFUNCTION("""COMPUTED_VALUE"""),"H3_B16_BG-10.gif")</f>
        <v>H3_B16_BG-10.gif</v>
      </c>
      <c r="L593" s="13" t="str">
        <f ca="1">IFERROR(__xludf.DUMMYFUNCTION("""COMPUTED_VALUE"""),"H3_B16_10.mp3")</f>
        <v>H3_B16_10.mp3</v>
      </c>
      <c r="M593" s="13" t="str">
        <f ca="1">IFERROR(__xludf.DUMMYFUNCTION("""COMPUTED_VALUE"""),"H3_B16_VD_10.mp3")</f>
        <v>H3_B16_VD_10.mp3</v>
      </c>
    </row>
    <row r="594" spans="1:13">
      <c r="A594" s="13">
        <f ca="1">IFERROR(__xludf.DUMMYFUNCTION("""COMPUTED_VALUE"""),11)</f>
        <v>11</v>
      </c>
      <c r="B594" s="13"/>
      <c r="C594" s="13" t="str">
        <f ca="1">IFERROR(__xludf.DUMMYFUNCTION("""COMPUTED_VALUE"""),"米")</f>
        <v>米</v>
      </c>
      <c r="D594" s="13" t="str">
        <f ca="1">IFERROR(__xludf.DUMMYFUNCTION("""COMPUTED_VALUE"""),"&lt;ruby&gt;米&lt;rt&gt;mǐ&lt;/rt&gt;&lt;/ruby&gt;")</f>
        <v>&lt;ruby&gt;米&lt;rt&gt;mǐ&lt;/rt&gt;&lt;/ruby&gt;</v>
      </c>
      <c r="E594" s="13" t="str">
        <f ca="1">IFERROR(__xludf.DUMMYFUNCTION("""COMPUTED_VALUE"""),"mǐ")</f>
        <v>mǐ</v>
      </c>
      <c r="F594" s="13" t="str">
        <f ca="1">IFERROR(__xludf.DUMMYFUNCTION("""COMPUTED_VALUE"""),"Danh từ")</f>
        <v>Danh từ</v>
      </c>
      <c r="G594" s="13" t="str">
        <f ca="1">IFERROR(__xludf.DUMMYFUNCTION("""COMPUTED_VALUE"""),"Mét")</f>
        <v>Mét</v>
      </c>
      <c r="H594" s="13" t="str">
        <f ca="1">IFERROR(__xludf.DUMMYFUNCTION("""COMPUTED_VALUE"""),"我的身高是一米八。")</f>
        <v>我的身高是一米八。</v>
      </c>
      <c r="I594" s="13" t="str">
        <f ca="1">IFERROR(__xludf.DUMMYFUNCTION("""COMPUTED_VALUE"""),"Wǒ de shēngāo shì yī mǐ bā.")</f>
        <v>Wǒ de shēngāo shì yī mǐ bā.</v>
      </c>
      <c r="J594" s="13" t="str">
        <f ca="1">IFERROR(__xludf.DUMMYFUNCTION("""COMPUTED_VALUE"""),"Tôi cao 1m8.")</f>
        <v>Tôi cao 1m8.</v>
      </c>
      <c r="K594" s="13" t="str">
        <f ca="1">IFERROR(__xludf.DUMMYFUNCTION("""COMPUTED_VALUE"""),"H3_B16_BG-11.gif")</f>
        <v>H3_B16_BG-11.gif</v>
      </c>
      <c r="L594" s="13" t="str">
        <f ca="1">IFERROR(__xludf.DUMMYFUNCTION("""COMPUTED_VALUE"""),"H3_B16_11.mp3")</f>
        <v>H3_B16_11.mp3</v>
      </c>
      <c r="M594" s="13" t="str">
        <f ca="1">IFERROR(__xludf.DUMMYFUNCTION("""COMPUTED_VALUE"""),"H3_B16_VD_11.mp3")</f>
        <v>H3_B16_VD_11.mp3</v>
      </c>
    </row>
    <row r="595" spans="1:13">
      <c r="A595" s="13">
        <f ca="1">IFERROR(__xludf.DUMMYFUNCTION("""COMPUTED_VALUE"""),12)</f>
        <v>12</v>
      </c>
      <c r="B595" s="13"/>
      <c r="C595" s="13" t="str">
        <f ca="1">IFERROR(__xludf.DUMMYFUNCTION("""COMPUTED_VALUE"""),"公斤")</f>
        <v>公斤</v>
      </c>
      <c r="D595" s="13" t="str">
        <f ca="1">IFERROR(__xludf.DUMMYFUNCTION("""COMPUTED_VALUE"""),"&lt;ruby&gt;公斤&lt;rt&gt;gōngjīn&lt;/rt&gt;&lt;/ruby&gt;")</f>
        <v>&lt;ruby&gt;公斤&lt;rt&gt;gōngjīn&lt;/rt&gt;&lt;/ruby&gt;</v>
      </c>
      <c r="E595" s="13" t="str">
        <f ca="1">IFERROR(__xludf.DUMMYFUNCTION("""COMPUTED_VALUE"""),"gōngjīn")</f>
        <v>gōngjīn</v>
      </c>
      <c r="F595" s="13" t="str">
        <f ca="1">IFERROR(__xludf.DUMMYFUNCTION("""COMPUTED_VALUE"""),"Danh từ")</f>
        <v>Danh từ</v>
      </c>
      <c r="G595" s="13" t="str">
        <f ca="1">IFERROR(__xludf.DUMMYFUNCTION("""COMPUTED_VALUE"""),"Kilogram")</f>
        <v>Kilogram</v>
      </c>
      <c r="H595" s="13" t="str">
        <f ca="1">IFERROR(__xludf.DUMMYFUNCTION("""COMPUTED_VALUE"""),"这个柚子差不多有一公斤重。")</f>
        <v>这个柚子差不多有一公斤重。</v>
      </c>
      <c r="I595" s="13" t="str">
        <f ca="1">IFERROR(__xludf.DUMMYFUNCTION("""COMPUTED_VALUE"""),"Zhè gè yòuzi chàbuduō yǒu yī gōngjīn zhòng.")</f>
        <v>Zhè gè yòuzi chàbuduō yǒu yī gōngjīn zhòng.</v>
      </c>
      <c r="J595" s="13" t="str">
        <f ca="1">IFERROR(__xludf.DUMMYFUNCTION("""COMPUTED_VALUE"""),"Quả bưởi này này nặng gần 1kg.")</f>
        <v>Quả bưởi này này nặng gần 1kg.</v>
      </c>
      <c r="K595" s="13" t="str">
        <f ca="1">IFERROR(__xludf.DUMMYFUNCTION("""COMPUTED_VALUE"""),"H3_B16_BG-12.gif")</f>
        <v>H3_B16_BG-12.gif</v>
      </c>
      <c r="L595" s="13" t="str">
        <f ca="1">IFERROR(__xludf.DUMMYFUNCTION("""COMPUTED_VALUE"""),"H3_B16_12.mp3")</f>
        <v>H3_B16_12.mp3</v>
      </c>
      <c r="M595" s="13" t="str">
        <f ca="1">IFERROR(__xludf.DUMMYFUNCTION("""COMPUTED_VALUE"""),"H3_B16_VD_12.mp3")</f>
        <v>H3_B16_VD_12.mp3</v>
      </c>
    </row>
    <row r="596" spans="1:13">
      <c r="A596" s="13">
        <f ca="1">IFERROR(__xludf.DUMMYFUNCTION("""COMPUTED_VALUE"""),13)</f>
        <v>13</v>
      </c>
      <c r="B596" s="13"/>
      <c r="C596" s="13" t="str">
        <f ca="1">IFERROR(__xludf.DUMMYFUNCTION("""COMPUTED_VALUE"""),"鼻子")</f>
        <v>鼻子</v>
      </c>
      <c r="D596" s="13" t="str">
        <f ca="1">IFERROR(__xludf.DUMMYFUNCTION("""COMPUTED_VALUE"""),"&lt;ruby&gt;鼻子&lt;rt&gt;bízi&lt;/rt&gt;&lt;/ruby&gt;")</f>
        <v>&lt;ruby&gt;鼻子&lt;rt&gt;bízi&lt;/rt&gt;&lt;/ruby&gt;</v>
      </c>
      <c r="E596" s="13" t="str">
        <f ca="1">IFERROR(__xludf.DUMMYFUNCTION("""COMPUTED_VALUE"""),"bízi")</f>
        <v>bízi</v>
      </c>
      <c r="F596" s="13" t="str">
        <f ca="1">IFERROR(__xludf.DUMMYFUNCTION("""COMPUTED_VALUE"""),"Danh từ")</f>
        <v>Danh từ</v>
      </c>
      <c r="G596" s="13" t="str">
        <f ca="1">IFERROR(__xludf.DUMMYFUNCTION("""COMPUTED_VALUE"""),"Mũi")</f>
        <v>Mũi</v>
      </c>
      <c r="H596" s="13" t="str">
        <f ca="1">IFERROR(__xludf.DUMMYFUNCTION("""COMPUTED_VALUE"""),"她的鼻子又高又挺。")</f>
        <v>她的鼻子又高又挺。</v>
      </c>
      <c r="I596" s="13" t="str">
        <f ca="1">IFERROR(__xludf.DUMMYFUNCTION("""COMPUTED_VALUE"""),"Tā de bízi yòu gāo yòu tǐng.")</f>
        <v>Tā de bízi yòu gāo yòu tǐng.</v>
      </c>
      <c r="J596" s="13" t="str">
        <f ca="1">IFERROR(__xludf.DUMMYFUNCTION("""COMPUTED_VALUE"""),"Mũi của cô ấy rất cao.")</f>
        <v>Mũi của cô ấy rất cao.</v>
      </c>
      <c r="K596" s="13" t="str">
        <f ca="1">IFERROR(__xludf.DUMMYFUNCTION("""COMPUTED_VALUE"""),"H3_B16_BG-13.gif")</f>
        <v>H3_B16_BG-13.gif</v>
      </c>
      <c r="L596" s="13" t="str">
        <f ca="1">IFERROR(__xludf.DUMMYFUNCTION("""COMPUTED_VALUE"""),"H3_B16_13.mp3")</f>
        <v>H3_B16_13.mp3</v>
      </c>
      <c r="M596" s="13" t="str">
        <f ca="1">IFERROR(__xludf.DUMMYFUNCTION("""COMPUTED_VALUE"""),"H3_B16_VD_13.mp3")</f>
        <v>H3_B16_VD_13.mp3</v>
      </c>
    </row>
    <row r="597" spans="1:13">
      <c r="A597" s="13">
        <f ca="1">IFERROR(__xludf.DUMMYFUNCTION("""COMPUTED_VALUE"""),14)</f>
        <v>14</v>
      </c>
      <c r="B597" s="13"/>
      <c r="C597" s="13" t="str">
        <f ca="1">IFERROR(__xludf.DUMMYFUNCTION("""COMPUTED_VALUE"""),"头发")</f>
        <v>头发</v>
      </c>
      <c r="D597" s="13" t="str">
        <f ca="1">IFERROR(__xludf.DUMMYFUNCTION("""COMPUTED_VALUE"""),"&lt;ruby&gt;头发&lt;rt&gt;tóufà&lt;/rt&gt;&lt;/ruby&gt;")</f>
        <v>&lt;ruby&gt;头发&lt;rt&gt;tóufà&lt;/rt&gt;&lt;/ruby&gt;</v>
      </c>
      <c r="E597" s="13" t="str">
        <f ca="1">IFERROR(__xludf.DUMMYFUNCTION("""COMPUTED_VALUE"""),"tóufà")</f>
        <v>tóufà</v>
      </c>
      <c r="F597" s="13" t="str">
        <f ca="1">IFERROR(__xludf.DUMMYFUNCTION("""COMPUTED_VALUE"""),"Danh từ")</f>
        <v>Danh từ</v>
      </c>
      <c r="G597" s="13" t="str">
        <f ca="1">IFERROR(__xludf.DUMMYFUNCTION("""COMPUTED_VALUE"""),"Tóc")</f>
        <v>Tóc</v>
      </c>
      <c r="H597" s="13" t="str">
        <f ca="1">IFERROR(__xludf.DUMMYFUNCTION("""COMPUTED_VALUE"""),"她的头发又长又顺。")</f>
        <v>她的头发又长又顺。</v>
      </c>
      <c r="I597" s="13" t="str">
        <f ca="1">IFERROR(__xludf.DUMMYFUNCTION("""COMPUTED_VALUE"""),"Tā de tóufa yòu cháng yòu shùn.")</f>
        <v>Tā de tóufa yòu cháng yòu shùn.</v>
      </c>
      <c r="J597" s="13" t="str">
        <f ca="1">IFERROR(__xludf.DUMMYFUNCTION("""COMPUTED_VALUE"""),"Tóc của cô ấy vừa dài vừa mượt.")</f>
        <v>Tóc của cô ấy vừa dài vừa mượt.</v>
      </c>
      <c r="K597" s="13" t="str">
        <f ca="1">IFERROR(__xludf.DUMMYFUNCTION("""COMPUTED_VALUE"""),"H3_B16_BG-14.gif")</f>
        <v>H3_B16_BG-14.gif</v>
      </c>
      <c r="L597" s="13" t="str">
        <f ca="1">IFERROR(__xludf.DUMMYFUNCTION("""COMPUTED_VALUE"""),"H3_B16_14.mp3")</f>
        <v>H3_B16_14.mp3</v>
      </c>
      <c r="M597" s="13" t="str">
        <f ca="1">IFERROR(__xludf.DUMMYFUNCTION("""COMPUTED_VALUE"""),"H3_B16_VD_14.mp3")</f>
        <v>H3_B16_VD_14.mp3</v>
      </c>
    </row>
    <row r="598" spans="1:13">
      <c r="A598" s="13">
        <f ca="1">IFERROR(__xludf.DUMMYFUNCTION("""COMPUTED_VALUE"""),15)</f>
        <v>15</v>
      </c>
      <c r="B598" s="13"/>
      <c r="C598" s="13" t="str">
        <f ca="1">IFERROR(__xludf.DUMMYFUNCTION("""COMPUTED_VALUE"""),"刷牙")</f>
        <v>刷牙</v>
      </c>
      <c r="D598" s="13" t="str">
        <f ca="1">IFERROR(__xludf.DUMMYFUNCTION("""COMPUTED_VALUE"""),"&lt;ruby&gt;刷牙&lt;rt&gt;shuā yá&lt;/rt&gt;&lt;/ruby&gt;")</f>
        <v>&lt;ruby&gt;刷牙&lt;rt&gt;shuā yá&lt;/rt&gt;&lt;/ruby&gt;</v>
      </c>
      <c r="E598" s="13" t="str">
        <f ca="1">IFERROR(__xludf.DUMMYFUNCTION("""COMPUTED_VALUE"""),"shuā yá")</f>
        <v>shuā yá</v>
      </c>
      <c r="F598" s="13" t="str">
        <f ca="1">IFERROR(__xludf.DUMMYFUNCTION("""COMPUTED_VALUE"""),"Động từ")</f>
        <v>Động từ</v>
      </c>
      <c r="G598" s="13" t="str">
        <f ca="1">IFERROR(__xludf.DUMMYFUNCTION("""COMPUTED_VALUE"""),"Chải răng")</f>
        <v>Chải răng</v>
      </c>
      <c r="H598" s="13" t="str">
        <f ca="1">IFERROR(__xludf.DUMMYFUNCTION("""COMPUTED_VALUE"""),"我每天早晚都会刷牙。")</f>
        <v>我每天早晚都会刷牙。</v>
      </c>
      <c r="I598" s="13" t="str">
        <f ca="1">IFERROR(__xludf.DUMMYFUNCTION("""COMPUTED_VALUE"""),"Wǒ měitiān zǎo wǎn dū huì shuāyá.")</f>
        <v>Wǒ měitiān zǎo wǎn dū huì shuāyá.</v>
      </c>
      <c r="J598" s="13" t="str">
        <f ca="1">IFERROR(__xludf.DUMMYFUNCTION("""COMPUTED_VALUE"""),"Tôi đánh răng hai lần mỗi ngày.")</f>
        <v>Tôi đánh răng hai lần mỗi ngày.</v>
      </c>
      <c r="K598" s="13" t="str">
        <f ca="1">IFERROR(__xludf.DUMMYFUNCTION("""COMPUTED_VALUE"""),"H3_B16_BG-15.gif")</f>
        <v>H3_B16_BG-15.gif</v>
      </c>
      <c r="L598" s="13" t="str">
        <f ca="1">IFERROR(__xludf.DUMMYFUNCTION("""COMPUTED_VALUE"""),"H3_B16_15.mp3")</f>
        <v>H3_B16_15.mp3</v>
      </c>
      <c r="M598" s="13" t="str">
        <f ca="1">IFERROR(__xludf.DUMMYFUNCTION("""COMPUTED_VALUE"""),"H3_B16_VD_15.mp3")</f>
        <v>H3_B16_VD_15.mp3</v>
      </c>
    </row>
    <row r="599" spans="1:13">
      <c r="A599" s="13">
        <f ca="1">IFERROR(__xludf.DUMMYFUNCTION("""COMPUTED_VALUE"""),16)</f>
        <v>16</v>
      </c>
      <c r="B599" s="13"/>
      <c r="C599" s="13" t="str">
        <f ca="1">IFERROR(__xludf.DUMMYFUNCTION("""COMPUTED_VALUE"""),"检查")</f>
        <v>检查</v>
      </c>
      <c r="D599" s="13" t="str">
        <f ca="1">IFERROR(__xludf.DUMMYFUNCTION("""COMPUTED_VALUE"""),"&lt;ruby&gt;检查&lt;rt&gt;jiǎnchá&lt;/rt&gt;&lt;/ruby&gt;")</f>
        <v>&lt;ruby&gt;检查&lt;rt&gt;jiǎnchá&lt;/rt&gt;&lt;/ruby&gt;</v>
      </c>
      <c r="E599" s="13" t="str">
        <f ca="1">IFERROR(__xludf.DUMMYFUNCTION("""COMPUTED_VALUE"""),"jiǎnchá")</f>
        <v>jiǎnchá</v>
      </c>
      <c r="F599" s="13" t="str">
        <f ca="1">IFERROR(__xludf.DUMMYFUNCTION("""COMPUTED_VALUE"""),"Động từ")</f>
        <v>Động từ</v>
      </c>
      <c r="G599" s="13" t="str">
        <f ca="1">IFERROR(__xludf.DUMMYFUNCTION("""COMPUTED_VALUE"""),"Kiểm tra, khám")</f>
        <v>Kiểm tra, khám</v>
      </c>
      <c r="H599" s="13" t="str">
        <f ca="1">IFERROR(__xludf.DUMMYFUNCTION("""COMPUTED_VALUE"""),"我生病了，今天得去医院检查一下。")</f>
        <v>我生病了，今天得去医院检查一下。</v>
      </c>
      <c r="I599" s="13" t="str">
        <f ca="1">IFERROR(__xludf.DUMMYFUNCTION("""COMPUTED_VALUE"""),"Wǒ shēngbìng le, jīntiān děi qù yīyuàn jiǎnchá yīxià.")</f>
        <v>Wǒ shēngbìng le, jīntiān děi qù yīyuàn jiǎnchá yīxià.</v>
      </c>
      <c r="J599" s="13" t="str">
        <f ca="1">IFERROR(__xludf.DUMMYFUNCTION("""COMPUTED_VALUE"""),"Tôi bị ốm rồi, hôm nay phải đi bệnh viện khám xem.")</f>
        <v>Tôi bị ốm rồi, hôm nay phải đi bệnh viện khám xem.</v>
      </c>
      <c r="K599" s="13" t="str">
        <f ca="1">IFERROR(__xludf.DUMMYFUNCTION("""COMPUTED_VALUE"""),"H3_B16_BG-16.gif")</f>
        <v>H3_B16_BG-16.gif</v>
      </c>
      <c r="L599" s="13" t="str">
        <f ca="1">IFERROR(__xludf.DUMMYFUNCTION("""COMPUTED_VALUE"""),"H3_B16_16.mp3")</f>
        <v>H3_B16_16.mp3</v>
      </c>
      <c r="M599" s="13" t="str">
        <f ca="1">IFERROR(__xludf.DUMMYFUNCTION("""COMPUTED_VALUE"""),"H3_B16_VD_16.mp3")</f>
        <v>H3_B16_VD_16.mp3</v>
      </c>
    </row>
    <row r="600" spans="1:13">
      <c r="A600" s="13">
        <f ca="1">IFERROR(__xludf.DUMMYFUNCTION("""COMPUTED_VALUE"""),1)</f>
        <v>1</v>
      </c>
      <c r="B600" s="13"/>
      <c r="C600" s="13" t="str">
        <f ca="1">IFERROR(__xludf.DUMMYFUNCTION("""COMPUTED_VALUE"""),"请假")</f>
        <v>请假</v>
      </c>
      <c r="D600" s="13" t="str">
        <f ca="1">IFERROR(__xludf.DUMMYFUNCTION("""COMPUTED_VALUE"""),"&lt;ruby&gt;请假&lt;rt&gt;qǐngjià&lt;/rt&gt;&lt;/ruby&gt;")</f>
        <v>&lt;ruby&gt;请假&lt;rt&gt;qǐngjià&lt;/rt&gt;&lt;/ruby&gt;</v>
      </c>
      <c r="E600" s="13" t="str">
        <f ca="1">IFERROR(__xludf.DUMMYFUNCTION("""COMPUTED_VALUE"""),"qǐngjià")</f>
        <v>qǐngjià</v>
      </c>
      <c r="F600" s="13" t="str">
        <f ca="1">IFERROR(__xludf.DUMMYFUNCTION("""COMPUTED_VALUE"""),"Động từ")</f>
        <v>Động từ</v>
      </c>
      <c r="G600" s="13" t="str">
        <f ca="1">IFERROR(__xludf.DUMMYFUNCTION("""COMPUTED_VALUE"""),"Xin nghỉ phép")</f>
        <v>Xin nghỉ phép</v>
      </c>
      <c r="H600" s="13" t="str">
        <f ca="1">IFERROR(__xludf.DUMMYFUNCTION("""COMPUTED_VALUE"""),"我因为摔断了手，向公司请假几天。")</f>
        <v>我因为摔断了手，向公司请假几天。</v>
      </c>
      <c r="I600" s="13" t="str">
        <f ca="1">IFERROR(__xludf.DUMMYFUNCTION("""COMPUTED_VALUE"""),"Wǒ yīnwèi shuāi duàn le shǒu, xiàng gōngsī qǐngjià jǐ tiān.")</f>
        <v>Wǒ yīnwèi shuāi duàn le shǒu, xiàng gōngsī qǐngjià jǐ tiān.</v>
      </c>
      <c r="J600" s="13" t="str">
        <f ca="1">IFERROR(__xludf.DUMMYFUNCTION("""COMPUTED_VALUE"""),"Tôi xin nghỉ làm vài hôm vì bị gãy tay.")</f>
        <v>Tôi xin nghỉ làm vài hôm vì bị gãy tay.</v>
      </c>
      <c r="K600" s="13" t="str">
        <f ca="1">IFERROR(__xludf.DUMMYFUNCTION("""COMPUTED_VALUE"""),"H3_B17_BG-01.gif")</f>
        <v>H3_B17_BG-01.gif</v>
      </c>
      <c r="L600" s="13" t="str">
        <f ca="1">IFERROR(__xludf.DUMMYFUNCTION("""COMPUTED_VALUE"""),"H3_B17_1.mp3")</f>
        <v>H3_B17_1.mp3</v>
      </c>
      <c r="M600" s="13" t="str">
        <f ca="1">IFERROR(__xludf.DUMMYFUNCTION("""COMPUTED_VALUE"""),"H3_B17_VD_1.mp3")</f>
        <v>H3_B17_VD_1.mp3</v>
      </c>
    </row>
    <row r="601" spans="1:13">
      <c r="A601" s="13">
        <f ca="1">IFERROR(__xludf.DUMMYFUNCTION("""COMPUTED_VALUE"""),2)</f>
        <v>2</v>
      </c>
      <c r="B601" s="13"/>
      <c r="C601" s="13" t="str">
        <f ca="1">IFERROR(__xludf.DUMMYFUNCTION("""COMPUTED_VALUE"""),"一共")</f>
        <v>一共</v>
      </c>
      <c r="D601" s="13" t="str">
        <f ca="1">IFERROR(__xludf.DUMMYFUNCTION("""COMPUTED_VALUE"""),"&lt;ruby&gt;一共&lt;rt&gt;yígòng&lt;/rt&gt;&lt;/ruby&gt;")</f>
        <v>&lt;ruby&gt;一共&lt;rt&gt;yígòng&lt;/rt&gt;&lt;/ruby&gt;</v>
      </c>
      <c r="E601" s="13" t="str">
        <f ca="1">IFERROR(__xludf.DUMMYFUNCTION("""COMPUTED_VALUE"""),"yígòng")</f>
        <v>yígòng</v>
      </c>
      <c r="F601" s="13" t="str">
        <f ca="1">IFERROR(__xludf.DUMMYFUNCTION("""COMPUTED_VALUE"""),"Phó từ")</f>
        <v>Phó từ</v>
      </c>
      <c r="G601" s="13" t="str">
        <f ca="1">IFERROR(__xludf.DUMMYFUNCTION("""COMPUTED_VALUE"""),"Tổng cộng")</f>
        <v>Tổng cộng</v>
      </c>
      <c r="H601" s="13" t="str">
        <f ca="1">IFERROR(__xludf.DUMMYFUNCTION("""COMPUTED_VALUE"""),"这些东西一共花了八百五十万越南盾。")</f>
        <v>这些东西一共花了八百五十万越南盾。</v>
      </c>
      <c r="I601" s="13" t="str">
        <f ca="1">IFERROR(__xludf.DUMMYFUNCTION("""COMPUTED_VALUE"""),"Zhèxiē dōngxi yīgòng huā le bābǎi wǔshí wàn Yuènándùn.")</f>
        <v>Zhèxiē dōngxi yīgòng huā le bābǎi wǔshí wàn Yuènándùn.</v>
      </c>
      <c r="J601" s="13" t="str">
        <f ca="1">IFERROR(__xludf.DUMMYFUNCTION("""COMPUTED_VALUE"""),"Chỗ hàng này hết tổng cộng 8 triệu rưỡi.")</f>
        <v>Chỗ hàng này hết tổng cộng 8 triệu rưỡi.</v>
      </c>
      <c r="K601" s="13" t="str">
        <f ca="1">IFERROR(__xludf.DUMMYFUNCTION("""COMPUTED_VALUE"""),"H3_B17_BG-02.gif")</f>
        <v>H3_B17_BG-02.gif</v>
      </c>
      <c r="L601" s="13" t="str">
        <f ca="1">IFERROR(__xludf.DUMMYFUNCTION("""COMPUTED_VALUE"""),"H3_B17_2.mp3")</f>
        <v>H3_B17_2.mp3</v>
      </c>
      <c r="M601" s="13" t="str">
        <f ca="1">IFERROR(__xludf.DUMMYFUNCTION("""COMPUTED_VALUE"""),"H3_B17_VD_2.mp3")</f>
        <v>H3_B17_VD_2.mp3</v>
      </c>
    </row>
    <row r="602" spans="1:13">
      <c r="A602" s="13">
        <f ca="1">IFERROR(__xludf.DUMMYFUNCTION("""COMPUTED_VALUE"""),3)</f>
        <v>3</v>
      </c>
      <c r="B602" s="13"/>
      <c r="C602" s="13" t="str">
        <f ca="1">IFERROR(__xludf.DUMMYFUNCTION("""COMPUTED_VALUE"""),"后来")</f>
        <v>后来</v>
      </c>
      <c r="D602" s="13" t="str">
        <f ca="1">IFERROR(__xludf.DUMMYFUNCTION("""COMPUTED_VALUE"""),"&lt;ruby&gt;后来&lt;rt&gt;hòulái&lt;/rt&gt;&lt;/ruby&gt;")</f>
        <v>&lt;ruby&gt;后来&lt;rt&gt;hòulái&lt;/rt&gt;&lt;/ruby&gt;</v>
      </c>
      <c r="E602" s="13" t="str">
        <f ca="1">IFERROR(__xludf.DUMMYFUNCTION("""COMPUTED_VALUE"""),"hòulái")</f>
        <v>hòulái</v>
      </c>
      <c r="F602" s="13" t="str">
        <f ca="1">IFERROR(__xludf.DUMMYFUNCTION("""COMPUTED_VALUE"""),"Danh từ")</f>
        <v>Danh từ</v>
      </c>
      <c r="G602" s="13" t="str">
        <f ca="1">IFERROR(__xludf.DUMMYFUNCTION("""COMPUTED_VALUE"""),"Sau này, sau đó")</f>
        <v>Sau này, sau đó</v>
      </c>
      <c r="H602" s="13" t="str">
        <f ca="1">IFERROR(__xludf.DUMMYFUNCTION("""COMPUTED_VALUE"""),"我孙女以前种在院子里的种子，后来长成了一棵大树。")</f>
        <v>我孙女以前种在院子里的种子，后来长成了一棵大树。</v>
      </c>
      <c r="I602" s="13" t="str">
        <f ca="1">IFERROR(__xludf.DUMMYFUNCTION("""COMPUTED_VALUE"""),"Wǒ sūnnǚ yǐqián zhòng zài yuànzi lǐ de zhǒngzi, hòulái zhǎng chéng le yī kē dà shù.")</f>
        <v>Wǒ sūnnǚ yǐqián zhòng zài yuànzi lǐ de zhǒngzi, hòulái zhǎng chéng le yī kē dà shù.</v>
      </c>
      <c r="J602" s="13" t="str">
        <f ca="1">IFERROR(__xludf.DUMMYFUNCTION("""COMPUTED_VALUE"""),"Hạt giống được cháu gái tôi trồng ở vườn hồi xưa, sau này đã trở thành một cây to đẹp.")</f>
        <v>Hạt giống được cháu gái tôi trồng ở vườn hồi xưa, sau này đã trở thành một cây to đẹp.</v>
      </c>
      <c r="K602" s="13" t="str">
        <f ca="1">IFERROR(__xludf.DUMMYFUNCTION("""COMPUTED_VALUE"""),"H3_B17_BG-03.gif")</f>
        <v>H3_B17_BG-03.gif</v>
      </c>
      <c r="L602" s="13" t="str">
        <f ca="1">IFERROR(__xludf.DUMMYFUNCTION("""COMPUTED_VALUE"""),"H3_B17_3.mp3")</f>
        <v>H3_B17_3.mp3</v>
      </c>
      <c r="M602" s="13" t="str">
        <f ca="1">IFERROR(__xludf.DUMMYFUNCTION("""COMPUTED_VALUE"""),"H3_B17_VD_3.mp3")</f>
        <v>H3_B17_VD_3.mp3</v>
      </c>
    </row>
    <row r="603" spans="1:13">
      <c r="A603" s="13">
        <f ca="1">IFERROR(__xludf.DUMMYFUNCTION("""COMPUTED_VALUE"""),4)</f>
        <v>4</v>
      </c>
      <c r="B603" s="13"/>
      <c r="C603" s="13" t="str">
        <f ca="1">IFERROR(__xludf.DUMMYFUNCTION("""COMPUTED_VALUE"""),"办法")</f>
        <v>办法</v>
      </c>
      <c r="D603" s="13" t="str">
        <f ca="1">IFERROR(__xludf.DUMMYFUNCTION("""COMPUTED_VALUE"""),"&lt;ruby&gt;办法&lt;rt&gt;bànfǎ&lt;/rt&gt;&lt;/ruby&gt;")</f>
        <v>&lt;ruby&gt;办法&lt;rt&gt;bànfǎ&lt;/rt&gt;&lt;/ruby&gt;</v>
      </c>
      <c r="E603" s="13" t="str">
        <f ca="1">IFERROR(__xludf.DUMMYFUNCTION("""COMPUTED_VALUE"""),"bànfǎ")</f>
        <v>bànfǎ</v>
      </c>
      <c r="F603" s="13" t="str">
        <f ca="1">IFERROR(__xludf.DUMMYFUNCTION("""COMPUTED_VALUE"""),"Danh từ")</f>
        <v>Danh từ</v>
      </c>
      <c r="G603" s="13" t="str">
        <f ca="1">IFERROR(__xludf.DUMMYFUNCTION("""COMPUTED_VALUE"""),"Cách, biện pháp")</f>
        <v>Cách, biện pháp</v>
      </c>
      <c r="H603" s="13" t="str">
        <f ca="1">IFERROR(__xludf.DUMMYFUNCTION("""COMPUTED_VALUE"""),"他正在想办法降温，因为外面太热了。")</f>
        <v>他正在想办法降温，因为外面太热了。</v>
      </c>
      <c r="I603" s="13" t="str">
        <f ca="1">IFERROR(__xludf.DUMMYFUNCTION("""COMPUTED_VALUE"""),"Tā zhèngzài xiǎng bànfǎ jiàngwēn, yīnwèi wàimiàn tài rè le.")</f>
        <v>Tā zhèngzài xiǎng bànfǎ jiàngwēn, yīnwèi wàimiàn tài rè le.</v>
      </c>
      <c r="J603" s="13" t="str">
        <f ca="1">IFERROR(__xludf.DUMMYFUNCTION("""COMPUTED_VALUE"""),"Anh ấy đang nghĩ cách để hạ nhiệt vì ngoài trời quá nóng.")</f>
        <v>Anh ấy đang nghĩ cách để hạ nhiệt vì ngoài trời quá nóng.</v>
      </c>
      <c r="K603" s="13" t="str">
        <f ca="1">IFERROR(__xludf.DUMMYFUNCTION("""COMPUTED_VALUE"""),"H3_B17_BG-04.gif")</f>
        <v>H3_B17_BG-04.gif</v>
      </c>
      <c r="L603" s="13" t="str">
        <f ca="1">IFERROR(__xludf.DUMMYFUNCTION("""COMPUTED_VALUE"""),"H3_B17_4.mp3")</f>
        <v>H3_B17_4.mp3</v>
      </c>
      <c r="M603" s="13" t="str">
        <f ca="1">IFERROR(__xludf.DUMMYFUNCTION("""COMPUTED_VALUE"""),"H3_B17_VD_4.mp3")</f>
        <v>H3_B17_VD_4.mp3</v>
      </c>
    </row>
    <row r="604" spans="1:13">
      <c r="A604" s="13">
        <f ca="1">IFERROR(__xludf.DUMMYFUNCTION("""COMPUTED_VALUE"""),5)</f>
        <v>5</v>
      </c>
      <c r="B604" s="13"/>
      <c r="C604" s="13" t="str">
        <f ca="1">IFERROR(__xludf.DUMMYFUNCTION("""COMPUTED_VALUE"""),"决定")</f>
        <v>决定</v>
      </c>
      <c r="D604" s="13" t="str">
        <f ca="1">IFERROR(__xludf.DUMMYFUNCTION("""COMPUTED_VALUE"""),"&lt;ruby&gt;决定&lt;rt&gt;juédìng&lt;/rt&gt;&lt;/ruby&gt;")</f>
        <v>&lt;ruby&gt;决定&lt;rt&gt;juédìng&lt;/rt&gt;&lt;/ruby&gt;</v>
      </c>
      <c r="E604" s="13" t="str">
        <f ca="1">IFERROR(__xludf.DUMMYFUNCTION("""COMPUTED_VALUE"""),"juédìng")</f>
        <v>juédìng</v>
      </c>
      <c r="F604" s="13" t="str">
        <f ca="1">IFERROR(__xludf.DUMMYFUNCTION("""COMPUTED_VALUE"""),"Động từ")</f>
        <v>Động từ</v>
      </c>
      <c r="G604" s="13" t="str">
        <f ca="1">IFERROR(__xludf.DUMMYFUNCTION("""COMPUTED_VALUE"""),"Quyết định")</f>
        <v>Quyết định</v>
      </c>
      <c r="H604" s="13" t="str">
        <f ca="1">IFERROR(__xludf.DUMMYFUNCTION("""COMPUTED_VALUE"""),"她决定每天锻炼身体。")</f>
        <v>她决定每天锻炼身体。</v>
      </c>
      <c r="I604" s="13" t="str">
        <f ca="1">IFERROR(__xludf.DUMMYFUNCTION("""COMPUTED_VALUE"""),"Tā juédìng měitiān duànliàn shēntǐ.")</f>
        <v>Tā juédìng měitiān duànliàn shēntǐ.</v>
      </c>
      <c r="J604" s="13" t="str">
        <f ca="1">IFERROR(__xludf.DUMMYFUNCTION("""COMPUTED_VALUE"""),"Cô ấy quyết định tập thể dục mỗi ngày.")</f>
        <v>Cô ấy quyết định tập thể dục mỗi ngày.</v>
      </c>
      <c r="K604" s="13" t="str">
        <f ca="1">IFERROR(__xludf.DUMMYFUNCTION("""COMPUTED_VALUE"""),"H3_B17_BG-05.gif")</f>
        <v>H3_B17_BG-05.gif</v>
      </c>
      <c r="L604" s="13" t="str">
        <f ca="1">IFERROR(__xludf.DUMMYFUNCTION("""COMPUTED_VALUE"""),"H3_B17_5.mp3")</f>
        <v>H3_B17_5.mp3</v>
      </c>
      <c r="M604" s="13" t="str">
        <f ca="1">IFERROR(__xludf.DUMMYFUNCTION("""COMPUTED_VALUE"""),"H3_B17_VD_5.mp3")</f>
        <v>H3_B17_VD_5.mp3</v>
      </c>
    </row>
    <row r="605" spans="1:13">
      <c r="A605" s="13">
        <f ca="1">IFERROR(__xludf.DUMMYFUNCTION("""COMPUTED_VALUE"""),6)</f>
        <v>6</v>
      </c>
      <c r="B605" s="13"/>
      <c r="C605" s="13" t="str">
        <f ca="1">IFERROR(__xludf.DUMMYFUNCTION("""COMPUTED_VALUE"""),"选择")</f>
        <v>选择</v>
      </c>
      <c r="D605" s="13" t="str">
        <f ca="1">IFERROR(__xludf.DUMMYFUNCTION("""COMPUTED_VALUE"""),"&lt;ruby&gt;选择&lt;rt&gt;xuǎnzé&lt;/rt&gt;&lt;/ruby&gt;")</f>
        <v>&lt;ruby&gt;选择&lt;rt&gt;xuǎnzé&lt;/rt&gt;&lt;/ruby&gt;</v>
      </c>
      <c r="E605" s="13" t="str">
        <f ca="1">IFERROR(__xludf.DUMMYFUNCTION("""COMPUTED_VALUE"""),"xuǎnzé")</f>
        <v>xuǎnzé</v>
      </c>
      <c r="F605" s="13" t="str">
        <f ca="1">IFERROR(__xludf.DUMMYFUNCTION("""COMPUTED_VALUE"""),"Động từ")</f>
        <v>Động từ</v>
      </c>
      <c r="G605" s="13" t="str">
        <f ca="1">IFERROR(__xludf.DUMMYFUNCTION("""COMPUTED_VALUE"""),"Lựa chọn")</f>
        <v>Lựa chọn</v>
      </c>
      <c r="H605" s="13" t="str">
        <f ca="1">IFERROR(__xludf.DUMMYFUNCTION("""COMPUTED_VALUE"""),"在骑自行车和游泳之间，我选择了骑自行车。")</f>
        <v>在骑自行车和游泳之间，我选择了骑自行车。</v>
      </c>
      <c r="I605" s="13" t="str">
        <f ca="1">IFERROR(__xludf.DUMMYFUNCTION("""COMPUTED_VALUE"""),"Zài qí zìxíngchē hé yóuyǒng zhī jiān, wǒ xuǎnzé le qí zìxíngchē.")</f>
        <v>Zài qí zìxíngchē hé yóuyǒng zhī jiān, wǒ xuǎnzé le qí zìxíngchē.</v>
      </c>
      <c r="J605" s="13" t="str">
        <f ca="1">IFERROR(__xludf.DUMMYFUNCTION("""COMPUTED_VALUE"""),"Giữa đạp xe và bơi lội thì tôi chọn đạp xe.")</f>
        <v>Giữa đạp xe và bơi lội thì tôi chọn đạp xe.</v>
      </c>
      <c r="K605" s="13" t="str">
        <f ca="1">IFERROR(__xludf.DUMMYFUNCTION("""COMPUTED_VALUE"""),"H3_B17_BG-06.gif")</f>
        <v>H3_B17_BG-06.gif</v>
      </c>
      <c r="L605" s="13" t="str">
        <f ca="1">IFERROR(__xludf.DUMMYFUNCTION("""COMPUTED_VALUE"""),"H3_B17_6.mp3")</f>
        <v>H3_B17_6.mp3</v>
      </c>
      <c r="M605" s="13" t="str">
        <f ca="1">IFERROR(__xludf.DUMMYFUNCTION("""COMPUTED_VALUE"""),"H3_B17_VD_6.mp3")</f>
        <v>H3_B17_VD_6.mp3</v>
      </c>
    </row>
    <row r="606" spans="1:13">
      <c r="A606" s="13">
        <f ca="1">IFERROR(__xludf.DUMMYFUNCTION("""COMPUTED_VALUE"""),7)</f>
        <v>7</v>
      </c>
      <c r="B606" s="13"/>
      <c r="C606" s="13" t="str">
        <f ca="1">IFERROR(__xludf.DUMMYFUNCTION("""COMPUTED_VALUE"""),"冬（天）")</f>
        <v>冬（天）</v>
      </c>
      <c r="D606" s="13" t="str">
        <f ca="1">IFERROR(__xludf.DUMMYFUNCTION("""COMPUTED_VALUE"""),"&lt;ruby&gt;冬（天）&lt;rt&gt;dōng (tiān)&lt;/rt&gt;&lt;/ruby&gt;")</f>
        <v>&lt;ruby&gt;冬（天）&lt;rt&gt;dōng (tiān)&lt;/rt&gt;&lt;/ruby&gt;</v>
      </c>
      <c r="E606" s="13" t="str">
        <f ca="1">IFERROR(__xludf.DUMMYFUNCTION("""COMPUTED_VALUE"""),"dōng (tiān)")</f>
        <v>dōng (tiān)</v>
      </c>
      <c r="F606" s="13" t="str">
        <f ca="1">IFERROR(__xludf.DUMMYFUNCTION("""COMPUTED_VALUE"""),"Danh từ")</f>
        <v>Danh từ</v>
      </c>
      <c r="G606" s="13" t="str">
        <f ca="1">IFERROR(__xludf.DUMMYFUNCTION("""COMPUTED_VALUE"""),"(Mùa) đông")</f>
        <v>(Mùa) đông</v>
      </c>
      <c r="H606" s="13" t="str">
        <f ca="1">IFERROR(__xludf.DUMMYFUNCTION("""COMPUTED_VALUE"""),"北京的冬天比我想象的要冷。")</f>
        <v>北京的冬天比我想象的要冷。</v>
      </c>
      <c r="I606" s="13" t="str">
        <f ca="1">IFERROR(__xludf.DUMMYFUNCTION("""COMPUTED_VALUE"""),"Běijīng de dōngtiān bǐ wǒ xiǎngxiàng de yào lěng.")</f>
        <v>Běijīng de dōngtiān bǐ wǒ xiǎngxiàng de yào lěng.</v>
      </c>
      <c r="J606" s="13" t="str">
        <f ca="1">IFERROR(__xludf.DUMMYFUNCTION("""COMPUTED_VALUE"""),"Mùa đông ở Bắc Kinh lạnh hơn tôi nghĩ.")</f>
        <v>Mùa đông ở Bắc Kinh lạnh hơn tôi nghĩ.</v>
      </c>
      <c r="K606" s="13" t="str">
        <f ca="1">IFERROR(__xludf.DUMMYFUNCTION("""COMPUTED_VALUE"""),"H3_B17_BG-07.gif")</f>
        <v>H3_B17_BG-07.gif</v>
      </c>
      <c r="L606" s="13" t="str">
        <f ca="1">IFERROR(__xludf.DUMMYFUNCTION("""COMPUTED_VALUE"""),"H3_B17_7.mp3")</f>
        <v>H3_B17_7.mp3</v>
      </c>
      <c r="M606" s="13" t="str">
        <f ca="1">IFERROR(__xludf.DUMMYFUNCTION("""COMPUTED_VALUE"""),"H3_B17_VD_7.mp3")</f>
        <v>H3_B17_VD_7.mp3</v>
      </c>
    </row>
    <row r="607" spans="1:13">
      <c r="A607" s="13">
        <f ca="1">IFERROR(__xludf.DUMMYFUNCTION("""COMPUTED_VALUE"""),8)</f>
        <v>8</v>
      </c>
      <c r="B607" s="13"/>
      <c r="C607" s="13" t="str">
        <f ca="1">IFERROR(__xludf.DUMMYFUNCTION("""COMPUTED_VALUE"""),"必须")</f>
        <v>必须</v>
      </c>
      <c r="D607" s="13" t="str">
        <f ca="1">IFERROR(__xludf.DUMMYFUNCTION("""COMPUTED_VALUE"""),"&lt;ruby&gt;必须&lt;rt&gt;bìxū&lt;/rt&gt;&lt;/ruby&gt;")</f>
        <v>&lt;ruby&gt;必须&lt;rt&gt;bìxū&lt;/rt&gt;&lt;/ruby&gt;</v>
      </c>
      <c r="E607" s="13" t="str">
        <f ca="1">IFERROR(__xludf.DUMMYFUNCTION("""COMPUTED_VALUE"""),"bìxū")</f>
        <v>bìxū</v>
      </c>
      <c r="F607" s="13" t="str">
        <f ca="1">IFERROR(__xludf.DUMMYFUNCTION("""COMPUTED_VALUE"""),"Phó từ")</f>
        <v>Phó từ</v>
      </c>
      <c r="G607" s="13" t="str">
        <f ca="1">IFERROR(__xludf.DUMMYFUNCTION("""COMPUTED_VALUE"""),"Cần phải")</f>
        <v>Cần phải</v>
      </c>
      <c r="H607" s="13" t="str">
        <f ca="1">IFERROR(__xludf.DUMMYFUNCTION("""COMPUTED_VALUE"""),"我们必须想办法减少环境污染。")</f>
        <v>我们必须想办法减少环境污染。</v>
      </c>
      <c r="I607" s="13" t="str">
        <f ca="1">IFERROR(__xludf.DUMMYFUNCTION("""COMPUTED_VALUE"""),"Wǒmen bìxū xiǎng bànfǎ jiǎnshǎo huánjìng wūrǎn.")</f>
        <v>Wǒmen bìxū xiǎng bànfǎ jiǎnshǎo huánjìng wūrǎn.</v>
      </c>
      <c r="J607" s="13" t="str">
        <f ca="1">IFERROR(__xludf.DUMMYFUNCTION("""COMPUTED_VALUE"""),"Chúng ta phải nghĩ cách giảm thiểu ô nhiễm môi trường.")</f>
        <v>Chúng ta phải nghĩ cách giảm thiểu ô nhiễm môi trường.</v>
      </c>
      <c r="K607" s="13" t="str">
        <f ca="1">IFERROR(__xludf.DUMMYFUNCTION("""COMPUTED_VALUE"""),"H3_B17_BG-08.gif")</f>
        <v>H3_B17_BG-08.gif</v>
      </c>
      <c r="L607" s="13" t="str">
        <f ca="1">IFERROR(__xludf.DUMMYFUNCTION("""COMPUTED_VALUE"""),"H3_B17_8.mp3")</f>
        <v>H3_B17_8.mp3</v>
      </c>
      <c r="M607" s="13" t="str">
        <f ca="1">IFERROR(__xludf.DUMMYFUNCTION("""COMPUTED_VALUE"""),"H3_B17_VD_8.mp3")</f>
        <v>H3_B17_VD_8.mp3</v>
      </c>
    </row>
    <row r="608" spans="1:13">
      <c r="A608" s="13">
        <f ca="1">IFERROR(__xludf.DUMMYFUNCTION("""COMPUTED_VALUE"""),9)</f>
        <v>9</v>
      </c>
      <c r="B608" s="13"/>
      <c r="C608" s="13" t="str">
        <f ca="1">IFERROR(__xludf.DUMMYFUNCTION("""COMPUTED_VALUE"""),"邻居")</f>
        <v>邻居</v>
      </c>
      <c r="D608" s="13" t="str">
        <f ca="1">IFERROR(__xludf.DUMMYFUNCTION("""COMPUTED_VALUE"""),"&lt;ruby&gt;邻居&lt;rt&gt;línjū&lt;/rt&gt;&lt;/ruby&gt;")</f>
        <v>&lt;ruby&gt;邻居&lt;rt&gt;línjū&lt;/rt&gt;&lt;/ruby&gt;</v>
      </c>
      <c r="E608" s="13" t="str">
        <f ca="1">IFERROR(__xludf.DUMMYFUNCTION("""COMPUTED_VALUE"""),"línjū")</f>
        <v>línjū</v>
      </c>
      <c r="F608" s="13" t="str">
        <f ca="1">IFERROR(__xludf.DUMMYFUNCTION("""COMPUTED_VALUE"""),"Danh từ")</f>
        <v>Danh từ</v>
      </c>
      <c r="G608" s="13" t="str">
        <f ca="1">IFERROR(__xludf.DUMMYFUNCTION("""COMPUTED_VALUE"""),"Láng giềng")</f>
        <v>Láng giềng</v>
      </c>
      <c r="H608" s="13" t="str">
        <f ca="1">IFERROR(__xludf.DUMMYFUNCTION("""COMPUTED_VALUE"""),"今天他邀请了邻居过来玩。")</f>
        <v>今天他邀请了邻居过来玩。</v>
      </c>
      <c r="I608" s="13" t="str">
        <f ca="1">IFERROR(__xludf.DUMMYFUNCTION("""COMPUTED_VALUE"""),"Jīntiān tā yāoqǐng le línjū guòlái wán.")</f>
        <v>Jīntiān tā yāoqǐng le línjū guòlái wán.</v>
      </c>
      <c r="J608" s="13" t="str">
        <f ca="1">IFERROR(__xludf.DUMMYFUNCTION("""COMPUTED_VALUE"""),"Hôm nay anh ấy mời hàng xóm đến chơi.")</f>
        <v>Hôm nay anh ấy mời hàng xóm đến chơi.</v>
      </c>
      <c r="K608" s="13" t="str">
        <f ca="1">IFERROR(__xludf.DUMMYFUNCTION("""COMPUTED_VALUE"""),"H3_B17_BG-09.gif")</f>
        <v>H3_B17_BG-09.gif</v>
      </c>
      <c r="L608" s="13" t="str">
        <f ca="1">IFERROR(__xludf.DUMMYFUNCTION("""COMPUTED_VALUE"""),"H3_B17_9.mp3")</f>
        <v>H3_B17_9.mp3</v>
      </c>
      <c r="M608" s="13" t="str">
        <f ca="1">IFERROR(__xludf.DUMMYFUNCTION("""COMPUTED_VALUE"""),"H3_B17_VD_9.mp3")</f>
        <v>H3_B17_VD_9.mp3</v>
      </c>
    </row>
    <row r="609" spans="1:13">
      <c r="A609" s="13">
        <f ca="1">IFERROR(__xludf.DUMMYFUNCTION("""COMPUTED_VALUE"""),10)</f>
        <v>10</v>
      </c>
      <c r="B609" s="13"/>
      <c r="C609" s="13" t="str">
        <f ca="1">IFERROR(__xludf.DUMMYFUNCTION("""COMPUTED_VALUE"""),"爱好")</f>
        <v>爱好</v>
      </c>
      <c r="D609" s="13" t="str">
        <f ca="1">IFERROR(__xludf.DUMMYFUNCTION("""COMPUTED_VALUE"""),"&lt;ruby&gt;爱好&lt;rt&gt;àihào&lt;/rt&gt;&lt;/ruby&gt;")</f>
        <v>&lt;ruby&gt;爱好&lt;rt&gt;àihào&lt;/rt&gt;&lt;/ruby&gt;</v>
      </c>
      <c r="E609" s="13" t="str">
        <f ca="1">IFERROR(__xludf.DUMMYFUNCTION("""COMPUTED_VALUE"""),"àihào")</f>
        <v>àihào</v>
      </c>
      <c r="F609" s="13" t="str">
        <f ca="1">IFERROR(__xludf.DUMMYFUNCTION("""COMPUTED_VALUE"""),"Danh từ")</f>
        <v>Danh từ</v>
      </c>
      <c r="G609" s="13" t="str">
        <f ca="1">IFERROR(__xludf.DUMMYFUNCTION("""COMPUTED_VALUE"""),"Sở thích")</f>
        <v>Sở thích</v>
      </c>
      <c r="H609" s="13" t="str">
        <f ca="1">IFERROR(__xludf.DUMMYFUNCTION("""COMPUTED_VALUE"""),"她的爱好是购物。")</f>
        <v>她的爱好是购物。</v>
      </c>
      <c r="I609" s="13" t="str">
        <f ca="1">IFERROR(__xludf.DUMMYFUNCTION("""COMPUTED_VALUE"""),"Tā de àihào shì gòuwù.")</f>
        <v>Tā de àihào shì gòuwù.</v>
      </c>
      <c r="J609" s="13" t="str">
        <f ca="1">IFERROR(__xludf.DUMMYFUNCTION("""COMPUTED_VALUE"""),"Sở thích của cô ấy là mua sắm.")</f>
        <v>Sở thích của cô ấy là mua sắm.</v>
      </c>
      <c r="K609" s="13" t="str">
        <f ca="1">IFERROR(__xludf.DUMMYFUNCTION("""COMPUTED_VALUE"""),"H3_B17_BG-10.gif")</f>
        <v>H3_B17_BG-10.gif</v>
      </c>
      <c r="L609" s="13" t="str">
        <f ca="1">IFERROR(__xludf.DUMMYFUNCTION("""COMPUTED_VALUE"""),"H3_B17_10.mp3")</f>
        <v>H3_B17_10.mp3</v>
      </c>
      <c r="M609" s="13" t="str">
        <f ca="1">IFERROR(__xludf.DUMMYFUNCTION("""COMPUTED_VALUE"""),"H3_B17_VD_10.mp3")</f>
        <v>H3_B17_VD_10.mp3</v>
      </c>
    </row>
    <row r="610" spans="1:13">
      <c r="A610" s="13">
        <f ca="1">IFERROR(__xludf.DUMMYFUNCTION("""COMPUTED_VALUE"""),11)</f>
        <v>11</v>
      </c>
      <c r="B610" s="13"/>
      <c r="C610" s="13" t="str">
        <f ca="1">IFERROR(__xludf.DUMMYFUNCTION("""COMPUTED_VALUE"""),"为了")</f>
        <v>为了</v>
      </c>
      <c r="D610" s="13" t="str">
        <f ca="1">IFERROR(__xludf.DUMMYFUNCTION("""COMPUTED_VALUE"""),"&lt;ruby&gt;为了&lt;rt&gt;wèile&lt;/rt&gt;&lt;/ruby&gt;")</f>
        <v>&lt;ruby&gt;为了&lt;rt&gt;wèile&lt;/rt&gt;&lt;/ruby&gt;</v>
      </c>
      <c r="E610" s="13" t="str">
        <f ca="1">IFERROR(__xludf.DUMMYFUNCTION("""COMPUTED_VALUE"""),"wèile")</f>
        <v>wèile</v>
      </c>
      <c r="F610" s="13" t="str">
        <f ca="1">IFERROR(__xludf.DUMMYFUNCTION("""COMPUTED_VALUE"""),"Giới từ")</f>
        <v>Giới từ</v>
      </c>
      <c r="G610" s="13" t="str">
        <f ca="1">IFERROR(__xludf.DUMMYFUNCTION("""COMPUTED_VALUE"""),"Để, vì")</f>
        <v>Để, vì</v>
      </c>
      <c r="H610" s="13" t="str">
        <f ca="1">IFERROR(__xludf.DUMMYFUNCTION("""COMPUTED_VALUE"""),"为了赚点零花钱，他每天帮妈妈打扫房间。")</f>
        <v>为了赚点零花钱，他每天帮妈妈打扫房间。</v>
      </c>
      <c r="I610" s="13" t="str">
        <f ca="1">IFERROR(__xludf.DUMMYFUNCTION("""COMPUTED_VALUE"""),"Wèile zhuàn diǎn línghuāqián, tā měitiān bāng māmā dǎsǎo fángjiān.")</f>
        <v>Wèile zhuàn diǎn línghuāqián, tā měitiān bāng māmā dǎsǎo fángjiān.</v>
      </c>
      <c r="J610" s="13" t="str">
        <f ca="1">IFERROR(__xludf.DUMMYFUNCTION("""COMPUTED_VALUE"""),"Để có tiền tiêu vặt, anh ấy giúp mẹ dọn nhà mỗi ngày.")</f>
        <v>Để có tiền tiêu vặt, anh ấy giúp mẹ dọn nhà mỗi ngày.</v>
      </c>
      <c r="K610" s="13" t="str">
        <f ca="1">IFERROR(__xludf.DUMMYFUNCTION("""COMPUTED_VALUE"""),"H3_B17_BG-11.gif")</f>
        <v>H3_B17_BG-11.gif</v>
      </c>
      <c r="L610" s="13" t="str">
        <f ca="1">IFERROR(__xludf.DUMMYFUNCTION("""COMPUTED_VALUE"""),"H3_B17_11.mp3")</f>
        <v>H3_B17_11.mp3</v>
      </c>
      <c r="M610" s="13" t="str">
        <f ca="1">IFERROR(__xludf.DUMMYFUNCTION("""COMPUTED_VALUE"""),"H3_B17_VD_11.mp3")</f>
        <v>H3_B17_VD_11.mp3</v>
      </c>
    </row>
    <row r="611" spans="1:13">
      <c r="A611" s="13">
        <f ca="1">IFERROR(__xludf.DUMMYFUNCTION("""COMPUTED_VALUE"""),12)</f>
        <v>12</v>
      </c>
      <c r="B611" s="13"/>
      <c r="C611" s="13" t="str">
        <f ca="1">IFERROR(__xludf.DUMMYFUNCTION("""COMPUTED_VALUE"""),"根据")</f>
        <v>根据</v>
      </c>
      <c r="D611" s="13" t="str">
        <f ca="1">IFERROR(__xludf.DUMMYFUNCTION("""COMPUTED_VALUE"""),"&lt;ruby&gt;根据&lt;rt&gt;gēnjù&lt;/rt&gt;&lt;/ruby&gt;")</f>
        <v>&lt;ruby&gt;根据&lt;rt&gt;gēnjù&lt;/rt&gt;&lt;/ruby&gt;</v>
      </c>
      <c r="E611" s="13" t="str">
        <f ca="1">IFERROR(__xludf.DUMMYFUNCTION("""COMPUTED_VALUE"""),"gēnjù")</f>
        <v>gēnjù</v>
      </c>
      <c r="F611" s="13" t="str">
        <f ca="1">IFERROR(__xludf.DUMMYFUNCTION("""COMPUTED_VALUE"""),"Giới từ")</f>
        <v>Giới từ</v>
      </c>
      <c r="G611" s="13" t="str">
        <f ca="1">IFERROR(__xludf.DUMMYFUNCTION("""COMPUTED_VALUE"""),"Căn cứ vào, dựa vào")</f>
        <v>Căn cứ vào, dựa vào</v>
      </c>
      <c r="H611" s="13" t="str">
        <f ca="1">IFERROR(__xludf.DUMMYFUNCTION("""COMPUTED_VALUE"""),"根据他的穿着，我能猜到他是客服人员。")</f>
        <v>根据他的穿着，我能猜到他是客服人员。</v>
      </c>
      <c r="I611" s="13" t="str">
        <f ca="1">IFERROR(__xludf.DUMMYFUNCTION("""COMPUTED_VALUE"""),"Gēnjù tā de chuānzhuó, wǒ néng cāidào tā shì kèfú rényuán.")</f>
        <v>Gēnjù tā de chuānzhuó, wǒ néng cāidào tā shì kèfú rényuán.</v>
      </c>
      <c r="J611" s="13" t="str">
        <f ca="1">IFERROR(__xludf.DUMMYFUNCTION("""COMPUTED_VALUE"""),"Căn cứ vào trang phục của anh ấy, tôi có thể đoán anh ấy làm nhân viên chăm sóc khách hàng.")</f>
        <v>Căn cứ vào trang phục của anh ấy, tôi có thể đoán anh ấy làm nhân viên chăm sóc khách hàng.</v>
      </c>
      <c r="K611" s="13" t="str">
        <f ca="1">IFERROR(__xludf.DUMMYFUNCTION("""COMPUTED_VALUE"""),"H3_B17_BG-12.gif")</f>
        <v>H3_B17_BG-12.gif</v>
      </c>
      <c r="L611" s="13" t="str">
        <f ca="1">IFERROR(__xludf.DUMMYFUNCTION("""COMPUTED_VALUE"""),"H3_B17_12.mp3")</f>
        <v>H3_B17_12.mp3</v>
      </c>
      <c r="M611" s="13" t="str">
        <f ca="1">IFERROR(__xludf.DUMMYFUNCTION("""COMPUTED_VALUE"""),"H3_B17_VD_12.mp3")</f>
        <v>H3_B17_VD_12.mp3</v>
      </c>
    </row>
    <row r="612" spans="1:13">
      <c r="A612" s="13">
        <f ca="1">IFERROR(__xludf.DUMMYFUNCTION("""COMPUTED_VALUE"""),13)</f>
        <v>13</v>
      </c>
      <c r="B612" s="13"/>
      <c r="C612" s="13" t="str">
        <f ca="1">IFERROR(__xludf.DUMMYFUNCTION("""COMPUTED_VALUE"""),"情况")</f>
        <v>情况</v>
      </c>
      <c r="D612" s="13" t="str">
        <f ca="1">IFERROR(__xludf.DUMMYFUNCTION("""COMPUTED_VALUE"""),"&lt;ruby&gt;情况&lt;rt&gt;qíngkuàng&lt;/rt&gt;&lt;/ruby&gt;")</f>
        <v>&lt;ruby&gt;情况&lt;rt&gt;qíngkuàng&lt;/rt&gt;&lt;/ruby&gt;</v>
      </c>
      <c r="E612" s="13" t="str">
        <f ca="1">IFERROR(__xludf.DUMMYFUNCTION("""COMPUTED_VALUE"""),"qíngkuàng")</f>
        <v>qíngkuàng</v>
      </c>
      <c r="F612" s="13" t="str">
        <f ca="1">IFERROR(__xludf.DUMMYFUNCTION("""COMPUTED_VALUE"""),"Danh từ")</f>
        <v>Danh từ</v>
      </c>
      <c r="G612" s="13" t="str">
        <f ca="1">IFERROR(__xludf.DUMMYFUNCTION("""COMPUTED_VALUE"""),"Tình hình, tình trạng")</f>
        <v>Tình hình, tình trạng</v>
      </c>
      <c r="H612" s="13" t="str">
        <f ca="1">IFERROR(__xludf.DUMMYFUNCTION("""COMPUTED_VALUE"""),"我们需要进一步了解情况。")</f>
        <v>我们需要进一步了解情况。</v>
      </c>
      <c r="I612" s="13" t="str">
        <f ca="1">IFERROR(__xludf.DUMMYFUNCTION("""COMPUTED_VALUE"""),"Wǒmen xūyào jìnyībù liǎojiě qíngkuàng.")</f>
        <v>Wǒmen xūyào jìnyībù liǎojiě qíngkuàng.</v>
      </c>
      <c r="J612" s="13" t="str">
        <f ca="1">IFERROR(__xludf.DUMMYFUNCTION("""COMPUTED_VALUE"""),"Chúng tôi cần hiểu thêm về tình hình.")</f>
        <v>Chúng tôi cần hiểu thêm về tình hình.</v>
      </c>
      <c r="K612" s="13" t="str">
        <f ca="1">IFERROR(__xludf.DUMMYFUNCTION("""COMPUTED_VALUE"""),"H3_B17_BG-13.gif")</f>
        <v>H3_B17_BG-13.gif</v>
      </c>
      <c r="L612" s="13" t="str">
        <f ca="1">IFERROR(__xludf.DUMMYFUNCTION("""COMPUTED_VALUE"""),"H3_B17_13.mp3")</f>
        <v>H3_B17_13.mp3</v>
      </c>
      <c r="M612" s="13" t="str">
        <f ca="1">IFERROR(__xludf.DUMMYFUNCTION("""COMPUTED_VALUE"""),"H3_B17_VD_13.mp3")</f>
        <v>H3_B17_VD_13.mp3</v>
      </c>
    </row>
    <row r="613" spans="1:13">
      <c r="A613" s="13">
        <f ca="1">IFERROR(__xludf.DUMMYFUNCTION("""COMPUTED_VALUE"""),14)</f>
        <v>14</v>
      </c>
      <c r="B613" s="13"/>
      <c r="C613" s="13" t="str">
        <f ca="1">IFERROR(__xludf.DUMMYFUNCTION("""COMPUTED_VALUE"""),"饱")</f>
        <v>饱</v>
      </c>
      <c r="D613" s="13" t="str">
        <f ca="1">IFERROR(__xludf.DUMMYFUNCTION("""COMPUTED_VALUE"""),"&lt;ruby&gt;饱&lt;rt&gt;bǎo&lt;/rt&gt;&lt;/ruby&gt;")</f>
        <v>&lt;ruby&gt;饱&lt;rt&gt;bǎo&lt;/rt&gt;&lt;/ruby&gt;</v>
      </c>
      <c r="E613" s="13" t="str">
        <f ca="1">IFERROR(__xludf.DUMMYFUNCTION("""COMPUTED_VALUE"""),"bǎo")</f>
        <v>bǎo</v>
      </c>
      <c r="F613" s="13" t="str">
        <f ca="1">IFERROR(__xludf.DUMMYFUNCTION("""COMPUTED_VALUE"""),"Tính từ")</f>
        <v>Tính từ</v>
      </c>
      <c r="G613" s="13" t="str">
        <f ca="1">IFERROR(__xludf.DUMMYFUNCTION("""COMPUTED_VALUE"""),"No")</f>
        <v>No</v>
      </c>
      <c r="H613" s="13" t="str">
        <f ca="1">IFERROR(__xludf.DUMMYFUNCTION("""COMPUTED_VALUE"""),"大家都吃得很饱，非常满足。")</f>
        <v>大家都吃得很饱，非常满足。</v>
      </c>
      <c r="I613" s="13" t="str">
        <f ca="1">IFERROR(__xludf.DUMMYFUNCTION("""COMPUTED_VALUE"""),"Dàjiā dōu chī de hěn bǎo, fēicháng mǎnzú.")</f>
        <v>Dàjiā dōu chī de hěn bǎo, fēicháng mǎnzú.</v>
      </c>
      <c r="J613" s="13" t="str">
        <f ca="1">IFERROR(__xludf.DUMMYFUNCTION("""COMPUTED_VALUE"""),"Mọi người ăn uống no say, rất thỏa mãn.")</f>
        <v>Mọi người ăn uống no say, rất thỏa mãn.</v>
      </c>
      <c r="K613" s="13" t="str">
        <f ca="1">IFERROR(__xludf.DUMMYFUNCTION("""COMPUTED_VALUE"""),"H3_B17_BG-14.gif")</f>
        <v>H3_B17_BG-14.gif</v>
      </c>
      <c r="L613" s="13" t="str">
        <f ca="1">IFERROR(__xludf.DUMMYFUNCTION("""COMPUTED_VALUE"""),"H3_B17_14.mp3")</f>
        <v>H3_B17_14.mp3</v>
      </c>
      <c r="M613" s="13" t="str">
        <f ca="1">IFERROR(__xludf.DUMMYFUNCTION("""COMPUTED_VALUE"""),"H3_B17_VD_14.mp3")</f>
        <v>H3_B17_VD_14.mp3</v>
      </c>
    </row>
    <row r="614" spans="1:13">
      <c r="A614" s="13">
        <f ca="1">IFERROR(__xludf.DUMMYFUNCTION("""COMPUTED_VALUE"""),15)</f>
        <v>15</v>
      </c>
      <c r="B614" s="13"/>
      <c r="C614" s="13" t="str">
        <f ca="1">IFERROR(__xludf.DUMMYFUNCTION("""COMPUTED_VALUE"""),"口")</f>
        <v>口</v>
      </c>
      <c r="D614" s="13" t="str">
        <f ca="1">IFERROR(__xludf.DUMMYFUNCTION("""COMPUTED_VALUE"""),"&lt;ruby&gt;口&lt;rt&gt;kǒu&lt;/rt&gt;&lt;/ruby&gt;")</f>
        <v>&lt;ruby&gt;口&lt;rt&gt;kǒu&lt;/rt&gt;&lt;/ruby&gt;</v>
      </c>
      <c r="E614" s="13" t="str">
        <f ca="1">IFERROR(__xludf.DUMMYFUNCTION("""COMPUTED_VALUE"""),"kǒu")</f>
        <v>kǒu</v>
      </c>
      <c r="F614" s="13" t="str">
        <f ca="1">IFERROR(__xludf.DUMMYFUNCTION("""COMPUTED_VALUE"""),"Danh từ")</f>
        <v>Danh từ</v>
      </c>
      <c r="G614" s="13" t="str">
        <f ca="1">IFERROR(__xludf.DUMMYFUNCTION("""COMPUTED_VALUE"""),"Miệng")</f>
        <v>Miệng</v>
      </c>
      <c r="H614" s="13" t="str">
        <f ca="1">IFERROR(__xludf.DUMMYFUNCTION("""COMPUTED_VALUE"""),"请张开口我看看。")</f>
        <v>请张开口我看看。</v>
      </c>
      <c r="I614" s="13" t="str">
        <f ca="1">IFERROR(__xludf.DUMMYFUNCTION("""COMPUTED_VALUE"""),"Qǐng zhāngkāi kǒu wǒ kànkan.")</f>
        <v>Qǐng zhāngkāi kǒu wǒ kànkan.</v>
      </c>
      <c r="J614" s="13" t="str">
        <f ca="1">IFERROR(__xludf.DUMMYFUNCTION("""COMPUTED_VALUE"""),"Hãy mở miệng ra cho tôi xem.")</f>
        <v>Hãy mở miệng ra cho tôi xem.</v>
      </c>
      <c r="K614" s="13" t="str">
        <f ca="1">IFERROR(__xludf.DUMMYFUNCTION("""COMPUTED_VALUE"""),"H3_B17_BG-15.gif")</f>
        <v>H3_B17_BG-15.gif</v>
      </c>
      <c r="L614" s="13" t="str">
        <f ca="1">IFERROR(__xludf.DUMMYFUNCTION("""COMPUTED_VALUE"""),"H3_B17_15.mp3")</f>
        <v>H3_B17_15.mp3</v>
      </c>
      <c r="M614" s="13" t="str">
        <f ca="1">IFERROR(__xludf.DUMMYFUNCTION("""COMPUTED_VALUE"""),"H3_B17_VD_15.mp3")</f>
        <v>H3_B17_VD_15.mp3</v>
      </c>
    </row>
    <row r="615" spans="1:13">
      <c r="A615" s="13">
        <f ca="1">IFERROR(__xludf.DUMMYFUNCTION("""COMPUTED_VALUE"""),16)</f>
        <v>16</v>
      </c>
      <c r="B615" s="13"/>
      <c r="C615" s="13" t="str">
        <f ca="1">IFERROR(__xludf.DUMMYFUNCTION("""COMPUTED_VALUE"""),"渴")</f>
        <v>渴</v>
      </c>
      <c r="D615" s="13" t="str">
        <f ca="1">IFERROR(__xludf.DUMMYFUNCTION("""COMPUTED_VALUE"""),"&lt;ruby&gt;渴&lt;rt&gt;kě&lt;/rt&gt;&lt;/ruby&gt;")</f>
        <v>&lt;ruby&gt;渴&lt;rt&gt;kě&lt;/rt&gt;&lt;/ruby&gt;</v>
      </c>
      <c r="E615" s="13" t="str">
        <f ca="1">IFERROR(__xludf.DUMMYFUNCTION("""COMPUTED_VALUE"""),"kě")</f>
        <v>kě</v>
      </c>
      <c r="F615" s="13" t="str">
        <f ca="1">IFERROR(__xludf.DUMMYFUNCTION("""COMPUTED_VALUE"""),"Tính từ")</f>
        <v>Tính từ</v>
      </c>
      <c r="G615" s="13" t="str">
        <f ca="1">IFERROR(__xludf.DUMMYFUNCTION("""COMPUTED_VALUE"""),"Khát")</f>
        <v>Khát</v>
      </c>
      <c r="H615" s="13" t="str">
        <f ca="1">IFERROR(__xludf.DUMMYFUNCTION("""COMPUTED_VALUE"""),"半天没喝水，渴极了。")</f>
        <v>半天没喝水，渴极了。</v>
      </c>
      <c r="I615" s="13" t="str">
        <f ca="1">IFERROR(__xludf.DUMMYFUNCTION("""COMPUTED_VALUE"""),"Bàntiān méi hē shuǐ, kě jí le.")</f>
        <v>Bàntiān méi hē shuǐ, kě jí le.</v>
      </c>
      <c r="J615" s="13" t="str">
        <f ca="1">IFERROR(__xludf.DUMMYFUNCTION("""COMPUTED_VALUE"""),"Cả nửa ngày không uống nước, khát quá.")</f>
        <v>Cả nửa ngày không uống nước, khát quá.</v>
      </c>
      <c r="K615" s="13" t="str">
        <f ca="1">IFERROR(__xludf.DUMMYFUNCTION("""COMPUTED_VALUE"""),"H3_B17_BG-16.gif")</f>
        <v>H3_B17_BG-16.gif</v>
      </c>
      <c r="L615" s="13" t="str">
        <f ca="1">IFERROR(__xludf.DUMMYFUNCTION("""COMPUTED_VALUE"""),"H3_B17_16.mp3")</f>
        <v>H3_B17_16.mp3</v>
      </c>
      <c r="M615" s="13" t="str">
        <f ca="1">IFERROR(__xludf.DUMMYFUNCTION("""COMPUTED_VALUE"""),"H3_B17_VD_16.mp3")</f>
        <v>H3_B17_VD_16.mp3</v>
      </c>
    </row>
    <row r="616" spans="1:13">
      <c r="A616" s="13">
        <f ca="1">IFERROR(__xludf.DUMMYFUNCTION("""COMPUTED_VALUE"""),1)</f>
        <v>1</v>
      </c>
      <c r="B616" s="13"/>
      <c r="C616" s="13" t="str">
        <f ca="1">IFERROR(__xludf.DUMMYFUNCTION("""COMPUTED_VALUE"""),"只")</f>
        <v>只</v>
      </c>
      <c r="D616" s="13" t="str">
        <f ca="1">IFERROR(__xludf.DUMMYFUNCTION("""COMPUTED_VALUE"""),"&lt;ruby&gt;只&lt;rt&gt;zhī&lt;/rt&gt;&lt;/ruby&gt;")</f>
        <v>&lt;ruby&gt;只&lt;rt&gt;zhī&lt;/rt&gt;&lt;/ruby&gt;</v>
      </c>
      <c r="E616" s="13" t="str">
        <f ca="1">IFERROR(__xludf.DUMMYFUNCTION("""COMPUTED_VALUE"""),"zhī")</f>
        <v>zhī</v>
      </c>
      <c r="F616" s="13" t="str">
        <f ca="1">IFERROR(__xludf.DUMMYFUNCTION("""COMPUTED_VALUE"""),"Lượng từ")</f>
        <v>Lượng từ</v>
      </c>
      <c r="G616" s="13" t="str">
        <f ca="1">IFERROR(__xludf.DUMMYFUNCTION("""COMPUTED_VALUE"""),"(được dùng cho động vật) Con")</f>
        <v>(được dùng cho động vật) Con</v>
      </c>
      <c r="H616" s="13" t="str">
        <f ca="1">IFERROR(__xludf.DUMMYFUNCTION("""COMPUTED_VALUE"""),"这只鸟有一身黄色的羽毛。")</f>
        <v>这只鸟有一身黄色的羽毛。</v>
      </c>
      <c r="I616" s="13" t="str">
        <f ca="1">IFERROR(__xludf.DUMMYFUNCTION("""COMPUTED_VALUE"""),"Zhè zhī niǎo yǒu yī shēn huángsè de yǔmáo.")</f>
        <v>Zhè zhī niǎo yǒu yī shēn huángsè de yǔmáo.</v>
      </c>
      <c r="J616" s="13" t="str">
        <f ca="1">IFERROR(__xludf.DUMMYFUNCTION("""COMPUTED_VALUE"""),"Con chim này có bộ lông màu vàng")</f>
        <v>Con chim này có bộ lông màu vàng</v>
      </c>
      <c r="K616" s="13" t="str">
        <f ca="1">IFERROR(__xludf.DUMMYFUNCTION("""COMPUTED_VALUE"""),"H3_B18_BG-01.gif")</f>
        <v>H3_B18_BG-01.gif</v>
      </c>
      <c r="L616" s="13" t="str">
        <f ca="1">IFERROR(__xludf.DUMMYFUNCTION("""COMPUTED_VALUE"""),"H3_B18_1.mp3")</f>
        <v>H3_B18_1.mp3</v>
      </c>
      <c r="M616" s="13" t="str">
        <f ca="1">IFERROR(__xludf.DUMMYFUNCTION("""COMPUTED_VALUE"""),"H3_B18_VD_1.mp3")</f>
        <v>H3_B18_VD_1.mp3</v>
      </c>
    </row>
    <row r="617" spans="1:13">
      <c r="A617" s="13">
        <f ca="1">IFERROR(__xludf.DUMMYFUNCTION("""COMPUTED_VALUE"""),2)</f>
        <v>2</v>
      </c>
      <c r="B617" s="13"/>
      <c r="C617" s="13" t="str">
        <f ca="1">IFERROR(__xludf.DUMMYFUNCTION("""COMPUTED_VALUE"""),"嘴")</f>
        <v>嘴</v>
      </c>
      <c r="D617" s="13" t="str">
        <f ca="1">IFERROR(__xludf.DUMMYFUNCTION("""COMPUTED_VALUE"""),"&lt;ruby&gt;嘴&lt;rt&gt;zuǐ&lt;/rt&gt;&lt;/ruby&gt;")</f>
        <v>&lt;ruby&gt;嘴&lt;rt&gt;zuǐ&lt;/rt&gt;&lt;/ruby&gt;</v>
      </c>
      <c r="E617" s="13" t="str">
        <f ca="1">IFERROR(__xludf.DUMMYFUNCTION("""COMPUTED_VALUE"""),"zuǐ")</f>
        <v>zuǐ</v>
      </c>
      <c r="F617" s="13" t="str">
        <f ca="1">IFERROR(__xludf.DUMMYFUNCTION("""COMPUTED_VALUE"""),"Danh từ")</f>
        <v>Danh từ</v>
      </c>
      <c r="G617" s="13" t="str">
        <f ca="1">IFERROR(__xludf.DUMMYFUNCTION("""COMPUTED_VALUE"""),"Miệng")</f>
        <v>Miệng</v>
      </c>
      <c r="H617" s="13" t="str">
        <f ca="1">IFERROR(__xludf.DUMMYFUNCTION("""COMPUTED_VALUE"""),"他张开嘴大声说话。")</f>
        <v>他张开嘴大声说话。</v>
      </c>
      <c r="I617" s="13" t="str">
        <f ca="1">IFERROR(__xludf.DUMMYFUNCTION("""COMPUTED_VALUE"""),"Tā zhāngkāi zuǐ dàshēng shuōhuà.")</f>
        <v>Tā zhāngkāi zuǐ dàshēng shuōhuà.</v>
      </c>
      <c r="J617" s="13" t="str">
        <f ca="1">IFERROR(__xludf.DUMMYFUNCTION("""COMPUTED_VALUE"""),"Anh ấy mở miệng nói rất to.")</f>
        <v>Anh ấy mở miệng nói rất to.</v>
      </c>
      <c r="K617" s="13" t="str">
        <f ca="1">IFERROR(__xludf.DUMMYFUNCTION("""COMPUTED_VALUE"""),"H3_B18_BG-02.gif")</f>
        <v>H3_B18_BG-02.gif</v>
      </c>
      <c r="L617" s="13" t="str">
        <f ca="1">IFERROR(__xludf.DUMMYFUNCTION("""COMPUTED_VALUE"""),"H3_B18_2.mp3")</f>
        <v>H3_B18_2.mp3</v>
      </c>
      <c r="M617" s="13" t="str">
        <f ca="1">IFERROR(__xludf.DUMMYFUNCTION("""COMPUTED_VALUE"""),"H3_B18_VD_2.mp3")</f>
        <v>H3_B18_VD_2.mp3</v>
      </c>
    </row>
    <row r="618" spans="1:13">
      <c r="A618" s="13">
        <f ca="1">IFERROR(__xludf.DUMMYFUNCTION("""COMPUTED_VALUE"""),3)</f>
        <v>3</v>
      </c>
      <c r="B618" s="13"/>
      <c r="C618" s="13" t="str">
        <f ca="1">IFERROR(__xludf.DUMMYFUNCTION("""COMPUTED_VALUE"""),"动物")</f>
        <v>动物</v>
      </c>
      <c r="D618" s="13" t="str">
        <f ca="1">IFERROR(__xludf.DUMMYFUNCTION("""COMPUTED_VALUE"""),"&lt;ruby&gt;动物&lt;rt&gt;dòngwù&lt;/rt&gt;&lt;/ruby&gt;")</f>
        <v>&lt;ruby&gt;动物&lt;rt&gt;dòngwù&lt;/rt&gt;&lt;/ruby&gt;</v>
      </c>
      <c r="E618" s="13" t="str">
        <f ca="1">IFERROR(__xludf.DUMMYFUNCTION("""COMPUTED_VALUE"""),"dòngwù")</f>
        <v>dòngwù</v>
      </c>
      <c r="F618" s="13" t="str">
        <f ca="1">IFERROR(__xludf.DUMMYFUNCTION("""COMPUTED_VALUE"""),"Danh từ")</f>
        <v>Danh từ</v>
      </c>
      <c r="G618" s="13" t="str">
        <f ca="1">IFERROR(__xludf.DUMMYFUNCTION("""COMPUTED_VALUE"""),"Động vật")</f>
        <v>Động vật</v>
      </c>
      <c r="H618" s="13" t="str">
        <f ca="1">IFERROR(__xludf.DUMMYFUNCTION("""COMPUTED_VALUE"""),"自然界中有很多种动物。")</f>
        <v>自然界中有很多种动物。</v>
      </c>
      <c r="I618" s="13" t="str">
        <f ca="1">IFERROR(__xludf.DUMMYFUNCTION("""COMPUTED_VALUE"""),"Zìránjiè zhōng yǒu hěn duō zhǒng dòngwù.")</f>
        <v>Zìránjiè zhōng yǒu hěn duō zhǒng dòngwù.</v>
      </c>
      <c r="J618" s="13" t="str">
        <f ca="1">IFERROR(__xludf.DUMMYFUNCTION("""COMPUTED_VALUE"""),"Có rất nhiều loài động vật trong tự nhiên.")</f>
        <v>Có rất nhiều loài động vật trong tự nhiên.</v>
      </c>
      <c r="K618" s="13" t="str">
        <f ca="1">IFERROR(__xludf.DUMMYFUNCTION("""COMPUTED_VALUE"""),"H3_B18_BG-03.gif")</f>
        <v>H3_B18_BG-03.gif</v>
      </c>
      <c r="L618" s="13" t="str">
        <f ca="1">IFERROR(__xludf.DUMMYFUNCTION("""COMPUTED_VALUE"""),"H3_B18_3.mp3")</f>
        <v>H3_B18_3.mp3</v>
      </c>
      <c r="M618" s="13" t="str">
        <f ca="1">IFERROR(__xludf.DUMMYFUNCTION("""COMPUTED_VALUE"""),"H3_B18_VD_3.mp3")</f>
        <v>H3_B18_VD_3.mp3</v>
      </c>
    </row>
    <row r="619" spans="1:13">
      <c r="A619" s="13">
        <f ca="1">IFERROR(__xludf.DUMMYFUNCTION("""COMPUTED_VALUE"""),4)</f>
        <v>4</v>
      </c>
      <c r="B619" s="13"/>
      <c r="C619" s="13" t="str">
        <f ca="1">IFERROR(__xludf.DUMMYFUNCTION("""COMPUTED_VALUE"""),"特点")</f>
        <v>特点</v>
      </c>
      <c r="D619" s="13" t="str">
        <f ca="1">IFERROR(__xludf.DUMMYFUNCTION("""COMPUTED_VALUE"""),"&lt;ruby&gt;特点&lt;rt&gt;tèdiǎn&lt;/rt&gt;&lt;/ruby&gt;")</f>
        <v>&lt;ruby&gt;特点&lt;rt&gt;tèdiǎn&lt;/rt&gt;&lt;/ruby&gt;</v>
      </c>
      <c r="E619" s="13" t="str">
        <f ca="1">IFERROR(__xludf.DUMMYFUNCTION("""COMPUTED_VALUE"""),"tèdiǎn")</f>
        <v>tèdiǎn</v>
      </c>
      <c r="F619" s="13" t="str">
        <f ca="1">IFERROR(__xludf.DUMMYFUNCTION("""COMPUTED_VALUE"""),"Danh từ")</f>
        <v>Danh từ</v>
      </c>
      <c r="G619" s="13" t="str">
        <f ca="1">IFERROR(__xludf.DUMMYFUNCTION("""COMPUTED_VALUE"""),"Đặc điểm")</f>
        <v>Đặc điểm</v>
      </c>
      <c r="H619" s="13" t="str">
        <f ca="1">IFERROR(__xludf.DUMMYFUNCTION("""COMPUTED_VALUE"""),"售货员正在介绍产品的特点。")</f>
        <v>售货员正在介绍产品的特点。</v>
      </c>
      <c r="I619" s="13" t="str">
        <f ca="1">IFERROR(__xludf.DUMMYFUNCTION("""COMPUTED_VALUE"""),"Shòuhuòyuán zhèngzài jièshào chǎnpǐn de tèdiǎn.")</f>
        <v>Shòuhuòyuán zhèngzài jièshào chǎnpǐn de tèdiǎn.</v>
      </c>
      <c r="J619" s="13" t="str">
        <f ca="1">IFERROR(__xludf.DUMMYFUNCTION("""COMPUTED_VALUE"""),"nhân viên bán hàng đang giới thiệu đặc điểm của sản phẩm")</f>
        <v>nhân viên bán hàng đang giới thiệu đặc điểm của sản phẩm</v>
      </c>
      <c r="K619" s="13" t="str">
        <f ca="1">IFERROR(__xludf.DUMMYFUNCTION("""COMPUTED_VALUE"""),"H3_B18_BG-04.gif")</f>
        <v>H3_B18_BG-04.gif</v>
      </c>
      <c r="L619" s="13" t="str">
        <f ca="1">IFERROR(__xludf.DUMMYFUNCTION("""COMPUTED_VALUE"""),"H3_B18_4.mp3")</f>
        <v>H3_B18_4.mp3</v>
      </c>
      <c r="M619" s="13" t="str">
        <f ca="1">IFERROR(__xludf.DUMMYFUNCTION("""COMPUTED_VALUE"""),"H3_B18_VD_4.mp3")</f>
        <v>H3_B18_VD_4.mp3</v>
      </c>
    </row>
    <row r="620" spans="1:13">
      <c r="A620" s="13">
        <f ca="1">IFERROR(__xludf.DUMMYFUNCTION("""COMPUTED_VALUE"""),5)</f>
        <v>5</v>
      </c>
      <c r="B620" s="13"/>
      <c r="C620" s="13" t="str">
        <f ca="1">IFERROR(__xludf.DUMMYFUNCTION("""COMPUTED_VALUE"""),"奇怪")</f>
        <v>奇怪</v>
      </c>
      <c r="D620" s="13" t="str">
        <f ca="1">IFERROR(__xludf.DUMMYFUNCTION("""COMPUTED_VALUE"""),"&lt;ruby&gt;奇怪&lt;rt&gt;qíguài&lt;/rt&gt;&lt;/ruby&gt;")</f>
        <v>&lt;ruby&gt;奇怪&lt;rt&gt;qíguài&lt;/rt&gt;&lt;/ruby&gt;</v>
      </c>
      <c r="E620" s="13" t="str">
        <f ca="1">IFERROR(__xludf.DUMMYFUNCTION("""COMPUTED_VALUE"""),"qíguài")</f>
        <v>qíguài</v>
      </c>
      <c r="F620" s="13" t="str">
        <f ca="1">IFERROR(__xludf.DUMMYFUNCTION("""COMPUTED_VALUE"""),"Tính từ")</f>
        <v>Tính từ</v>
      </c>
      <c r="G620" s="13" t="str">
        <f ca="1">IFERROR(__xludf.DUMMYFUNCTION("""COMPUTED_VALUE"""),"Kỳ lạ, lạ lùng")</f>
        <v>Kỳ lạ, lạ lùng</v>
      </c>
      <c r="H620" s="13" t="str">
        <f ca="1">IFERROR(__xludf.DUMMYFUNCTION("""COMPUTED_VALUE"""),"他喜欢穿奇怪的衣服。")</f>
        <v>他喜欢穿奇怪的衣服。</v>
      </c>
      <c r="I620" s="13" t="str">
        <f ca="1">IFERROR(__xludf.DUMMYFUNCTION("""COMPUTED_VALUE"""),"Tā xǐhuan chuān qíguài de yīfú.")</f>
        <v>Tā xǐhuan chuān qíguài de yīfú.</v>
      </c>
      <c r="J620" s="13" t="str">
        <f ca="1">IFERROR(__xludf.DUMMYFUNCTION("""COMPUTED_VALUE"""),"Anh ấy thích mặc quần áo kỳ lạ.")</f>
        <v>Anh ấy thích mặc quần áo kỳ lạ.</v>
      </c>
      <c r="K620" s="13" t="str">
        <f ca="1">IFERROR(__xludf.DUMMYFUNCTION("""COMPUTED_VALUE"""),"H3_B18_BG-05.gif")</f>
        <v>H3_B18_BG-05.gif</v>
      </c>
      <c r="L620" s="13" t="str">
        <f ca="1">IFERROR(__xludf.DUMMYFUNCTION("""COMPUTED_VALUE"""),"H3_B18_5.mp3")</f>
        <v>H3_B18_5.mp3</v>
      </c>
      <c r="M620" s="13" t="str">
        <f ca="1">IFERROR(__xludf.DUMMYFUNCTION("""COMPUTED_VALUE"""),"H3_B18_VD_5.mp3")</f>
        <v>H3_B18_VD_5.mp3</v>
      </c>
    </row>
    <row r="621" spans="1:13">
      <c r="A621" s="13">
        <f ca="1">IFERROR(__xludf.DUMMYFUNCTION("""COMPUTED_VALUE"""),6)</f>
        <v>6</v>
      </c>
      <c r="B621" s="13"/>
      <c r="C621" s="13" t="str">
        <f ca="1">IFERROR(__xludf.DUMMYFUNCTION("""COMPUTED_VALUE"""),"段")</f>
        <v>段</v>
      </c>
      <c r="D621" s="13" t="str">
        <f ca="1">IFERROR(__xludf.DUMMYFUNCTION("""COMPUTED_VALUE"""),"&lt;ruby&gt;段&lt;rt&gt;duàn&lt;/rt&gt;&lt;/ruby&gt;")</f>
        <v>&lt;ruby&gt;段&lt;rt&gt;duàn&lt;/rt&gt;&lt;/ruby&gt;</v>
      </c>
      <c r="E621" s="13" t="str">
        <f ca="1">IFERROR(__xludf.DUMMYFUNCTION("""COMPUTED_VALUE"""),"duàn")</f>
        <v>duàn</v>
      </c>
      <c r="F621" s="13" t="str">
        <f ca="1">IFERROR(__xludf.DUMMYFUNCTION("""COMPUTED_VALUE"""),"Lượng từ")</f>
        <v>Lượng từ</v>
      </c>
      <c r="G621" s="13" t="str">
        <f ca="1">IFERROR(__xludf.DUMMYFUNCTION("""COMPUTED_VALUE"""),"Khoảng, quãng")</f>
        <v>Khoảng, quãng</v>
      </c>
      <c r="H621" s="13" t="str">
        <f ca="1">IFERROR(__xludf.DUMMYFUNCTION("""COMPUTED_VALUE"""),"他刚捡到了两段木头。")</f>
        <v>他刚捡到了两段木头。</v>
      </c>
      <c r="I621" s="13" t="str">
        <f ca="1">IFERROR(__xludf.DUMMYFUNCTION("""COMPUTED_VALUE"""),"Tā gāng jiǎn dào le liǎng duàn mùtou.")</f>
        <v>Tā gāng jiǎn dào le liǎng duàn mùtou.</v>
      </c>
      <c r="J621" s="13" t="str">
        <f ca="1">IFERROR(__xludf.DUMMYFUNCTION("""COMPUTED_VALUE"""),"Anh ấy vừa nhặt được hai khúc gỗ này")</f>
        <v>Anh ấy vừa nhặt được hai khúc gỗ này</v>
      </c>
      <c r="K621" s="13" t="str">
        <f ca="1">IFERROR(__xludf.DUMMYFUNCTION("""COMPUTED_VALUE"""),"H3_B18_BG-06.gif")</f>
        <v>H3_B18_BG-06.gif</v>
      </c>
      <c r="L621" s="13" t="str">
        <f ca="1">IFERROR(__xludf.DUMMYFUNCTION("""COMPUTED_VALUE"""),"H3_B18_6.mp3")</f>
        <v>H3_B18_6.mp3</v>
      </c>
      <c r="M621" s="13" t="str">
        <f ca="1">IFERROR(__xludf.DUMMYFUNCTION("""COMPUTED_VALUE"""),"H3_B18_VD_6.mp3")</f>
        <v>H3_B18_VD_6.mp3</v>
      </c>
    </row>
    <row r="622" spans="1:13">
      <c r="A622" s="13">
        <f ca="1">IFERROR(__xludf.DUMMYFUNCTION("""COMPUTED_VALUE"""),7)</f>
        <v>7</v>
      </c>
      <c r="B622" s="13"/>
      <c r="C622" s="13" t="str">
        <f ca="1">IFERROR(__xludf.DUMMYFUNCTION("""COMPUTED_VALUE"""),"种")</f>
        <v>种</v>
      </c>
      <c r="D622" s="13" t="str">
        <f ca="1">IFERROR(__xludf.DUMMYFUNCTION("""COMPUTED_VALUE"""),"&lt;ruby&gt;种&lt;rt&gt;zhǒng&lt;/rt&gt;&lt;/ruby&gt;")</f>
        <v>&lt;ruby&gt;种&lt;rt&gt;zhǒng&lt;/rt&gt;&lt;/ruby&gt;</v>
      </c>
      <c r="E622" s="13" t="str">
        <f ca="1">IFERROR(__xludf.DUMMYFUNCTION("""COMPUTED_VALUE"""),"zhǒng")</f>
        <v>zhǒng</v>
      </c>
      <c r="F622" s="13" t="str">
        <f ca="1">IFERROR(__xludf.DUMMYFUNCTION("""COMPUTED_VALUE"""),"Lượng từ")</f>
        <v>Lượng từ</v>
      </c>
      <c r="G622" s="13" t="str">
        <f ca="1">IFERROR(__xludf.DUMMYFUNCTION("""COMPUTED_VALUE"""),"Loại")</f>
        <v>Loại</v>
      </c>
      <c r="H622" s="13" t="str">
        <f ca="1">IFERROR(__xludf.DUMMYFUNCTION("""COMPUTED_VALUE"""),"我们发现了一种新鱼类。")</f>
        <v>我们发现了一种新鱼类。</v>
      </c>
      <c r="I622" s="13" t="str">
        <f ca="1">IFERROR(__xludf.DUMMYFUNCTION("""COMPUTED_VALUE"""),"Wǒmen fāxiàn le yī zhǒng xīn yúlèi.")</f>
        <v>Wǒmen fāxiàn le yī zhǒng xīn yúlèi.</v>
      </c>
      <c r="J622" s="13" t="str">
        <f ca="1">IFERROR(__xludf.DUMMYFUNCTION("""COMPUTED_VALUE"""),"Chúng tôi đã phát hiện một loài cá mới.")</f>
        <v>Chúng tôi đã phát hiện một loài cá mới.</v>
      </c>
      <c r="K622" s="13" t="str">
        <f ca="1">IFERROR(__xludf.DUMMYFUNCTION("""COMPUTED_VALUE"""),"H3_B18_BG-07.gif")</f>
        <v>H3_B18_BG-07.gif</v>
      </c>
      <c r="L622" s="13" t="str">
        <f ca="1">IFERROR(__xludf.DUMMYFUNCTION("""COMPUTED_VALUE"""),"H3_B18_7.mp3")</f>
        <v>H3_B18_7.mp3</v>
      </c>
      <c r="M622" s="13" t="str">
        <f ca="1">IFERROR(__xludf.DUMMYFUNCTION("""COMPUTED_VALUE"""),"H3_B18_VD_7.mp3")</f>
        <v>H3_B18_VD_7.mp3</v>
      </c>
    </row>
    <row r="623" spans="1:13">
      <c r="A623" s="13">
        <f ca="1">IFERROR(__xludf.DUMMYFUNCTION("""COMPUTED_VALUE"""),8)</f>
        <v>8</v>
      </c>
      <c r="B623" s="13"/>
      <c r="C623" s="13" t="str">
        <f ca="1">IFERROR(__xludf.DUMMYFUNCTION("""COMPUTED_VALUE"""),"向")</f>
        <v>向</v>
      </c>
      <c r="D623" s="13" t="str">
        <f ca="1">IFERROR(__xludf.DUMMYFUNCTION("""COMPUTED_VALUE"""),"&lt;ruby&gt;向&lt;rt&gt;xiàng&lt;/rt&gt;&lt;/ruby&gt;")</f>
        <v>&lt;ruby&gt;向&lt;rt&gt;xiàng&lt;/rt&gt;&lt;/ruby&gt;</v>
      </c>
      <c r="E623" s="13" t="str">
        <f ca="1">IFERROR(__xludf.DUMMYFUNCTION("""COMPUTED_VALUE"""),"xiàng")</f>
        <v>xiàng</v>
      </c>
      <c r="F623" s="13" t="str">
        <f ca="1">IFERROR(__xludf.DUMMYFUNCTION("""COMPUTED_VALUE"""),"Giới từ")</f>
        <v>Giới từ</v>
      </c>
      <c r="G623" s="13" t="str">
        <f ca="1">IFERROR(__xludf.DUMMYFUNCTION("""COMPUTED_VALUE"""),"Đối với, về phía (chỉ hướng của hành động)")</f>
        <v>Đối với, về phía (chỉ hướng của hành động)</v>
      </c>
      <c r="H623" s="13" t="str">
        <f ca="1">IFERROR(__xludf.DUMMYFUNCTION("""COMPUTED_VALUE"""),"他们向前走。")</f>
        <v>他们向前走。</v>
      </c>
      <c r="I623" s="13" t="str">
        <f ca="1">IFERROR(__xludf.DUMMYFUNCTION("""COMPUTED_VALUE"""),"Tāmen xiàng qián zǒu.")</f>
        <v>Tāmen xiàng qián zǒu.</v>
      </c>
      <c r="J623" s="13" t="str">
        <f ca="1">IFERROR(__xludf.DUMMYFUNCTION("""COMPUTED_VALUE"""),"Họ tiến về phía trước.")</f>
        <v>Họ tiến về phía trước.</v>
      </c>
      <c r="K623" s="13" t="str">
        <f ca="1">IFERROR(__xludf.DUMMYFUNCTION("""COMPUTED_VALUE"""),"H3_B18_BG-08.gif")</f>
        <v>H3_B18_BG-08.gif</v>
      </c>
      <c r="L623" s="13" t="str">
        <f ca="1">IFERROR(__xludf.DUMMYFUNCTION("""COMPUTED_VALUE"""),"H3_B18_8.mp3")</f>
        <v>H3_B18_8.mp3</v>
      </c>
      <c r="M623" s="13" t="str">
        <f ca="1">IFERROR(__xludf.DUMMYFUNCTION("""COMPUTED_VALUE"""),"H3_B18_VD_8.mp3")</f>
        <v>H3_B18_VD_8.mp3</v>
      </c>
    </row>
    <row r="624" spans="1:13">
      <c r="A624" s="13">
        <f ca="1">IFERROR(__xludf.DUMMYFUNCTION("""COMPUTED_VALUE"""),9)</f>
        <v>9</v>
      </c>
      <c r="B624" s="13"/>
      <c r="C624" s="13" t="str">
        <f ca="1">IFERROR(__xludf.DUMMYFUNCTION("""COMPUTED_VALUE"""),"万")</f>
        <v>万</v>
      </c>
      <c r="D624" s="13" t="str">
        <f ca="1">IFERROR(__xludf.DUMMYFUNCTION("""COMPUTED_VALUE"""),"&lt;ruby&gt;万&lt;rt&gt;wàn&lt;/rt&gt;&lt;/ruby&gt;")</f>
        <v>&lt;ruby&gt;万&lt;rt&gt;wàn&lt;/rt&gt;&lt;/ruby&gt;</v>
      </c>
      <c r="E624" s="13" t="str">
        <f ca="1">IFERROR(__xludf.DUMMYFUNCTION("""COMPUTED_VALUE"""),"wàn")</f>
        <v>wàn</v>
      </c>
      <c r="F624" s="13" t="str">
        <f ca="1">IFERROR(__xludf.DUMMYFUNCTION("""COMPUTED_VALUE"""),"Số từ")</f>
        <v>Số từ</v>
      </c>
      <c r="G624" s="13" t="str">
        <f ca="1">IFERROR(__xludf.DUMMYFUNCTION("""COMPUTED_VALUE"""),"Vạn, mười nghìn")</f>
        <v>Vạn, mười nghìn</v>
      </c>
      <c r="H624" s="13" t="str">
        <f ca="1">IFERROR(__xludf.DUMMYFUNCTION("""COMPUTED_VALUE"""),"家里有一万块钱。")</f>
        <v>家里有一万块钱。</v>
      </c>
      <c r="I624" s="13" t="str">
        <f ca="1">IFERROR(__xludf.DUMMYFUNCTION("""COMPUTED_VALUE"""),"Jiālǐ yǒu yī wàn kuài qián.")</f>
        <v>Jiālǐ yǒu yī wàn kuài qián.</v>
      </c>
      <c r="J624" s="13" t="str">
        <f ca="1">IFERROR(__xludf.DUMMYFUNCTION("""COMPUTED_VALUE"""),"Trong nhà có vạn tệ.")</f>
        <v>Trong nhà có vạn tệ.</v>
      </c>
      <c r="K624" s="13" t="str">
        <f ca="1">IFERROR(__xludf.DUMMYFUNCTION("""COMPUTED_VALUE"""),"H3_B18_BG-09.gif")</f>
        <v>H3_B18_BG-09.gif</v>
      </c>
      <c r="L624" s="13" t="str">
        <f ca="1">IFERROR(__xludf.DUMMYFUNCTION("""COMPUTED_VALUE"""),"H3_B18_9.mp3")</f>
        <v>H3_B18_9.mp3</v>
      </c>
      <c r="M624" s="13" t="str">
        <f ca="1">IFERROR(__xludf.DUMMYFUNCTION("""COMPUTED_VALUE"""),"H3_B18_VD_9.mp3")</f>
        <v>H3_B18_VD_9.mp3</v>
      </c>
    </row>
    <row r="625" spans="1:13">
      <c r="A625" s="13">
        <f ca="1">IFERROR(__xludf.DUMMYFUNCTION("""COMPUTED_VALUE"""),10)</f>
        <v>10</v>
      </c>
      <c r="B625" s="13"/>
      <c r="C625" s="13" t="str">
        <f ca="1">IFERROR(__xludf.DUMMYFUNCTION("""COMPUTED_VALUE"""),"不但")</f>
        <v>不但</v>
      </c>
      <c r="D625" s="13" t="str">
        <f ca="1">IFERROR(__xludf.DUMMYFUNCTION("""COMPUTED_VALUE"""),"&lt;ruby&gt;不但&lt;rt&gt;bùdàn...(érqiě...)&lt;/rt&gt;&lt;/ruby&gt;")</f>
        <v>&lt;ruby&gt;不但&lt;rt&gt;bùdàn...(érqiě...)&lt;/rt&gt;&lt;/ruby&gt;</v>
      </c>
      <c r="E625" s="13" t="str">
        <f ca="1">IFERROR(__xludf.DUMMYFUNCTION("""COMPUTED_VALUE"""),"bùdàn...(érqiě...)")</f>
        <v>bùdàn...(érqiě...)</v>
      </c>
      <c r="F625" s="13" t="str">
        <f ca="1">IFERROR(__xludf.DUMMYFUNCTION("""COMPUTED_VALUE"""),"Liên từ")</f>
        <v>Liên từ</v>
      </c>
      <c r="G625" s="13" t="str">
        <f ca="1">IFERROR(__xludf.DUMMYFUNCTION("""COMPUTED_VALUE"""),"Không những... (mà còn...)")</f>
        <v>Không những... (mà còn...)</v>
      </c>
      <c r="H625" s="13" t="str">
        <f ca="1">IFERROR(__xludf.DUMMYFUNCTION("""COMPUTED_VALUE"""),"她不但漂亮，而且聪明。")</f>
        <v>她不但漂亮，而且聪明。</v>
      </c>
      <c r="I625" s="13" t="str">
        <f ca="1">IFERROR(__xludf.DUMMYFUNCTION("""COMPUTED_VALUE"""),"Tā bùdàn piàoliang, érqiě cōngmíng.")</f>
        <v>Tā bùdàn piàoliang, érqiě cōngmíng.</v>
      </c>
      <c r="J625" s="13" t="str">
        <f ca="1">IFERROR(__xludf.DUMMYFUNCTION("""COMPUTED_VALUE"""),"Cô ấy không chỉ xinh đẹp mà còn thông minh.")</f>
        <v>Cô ấy không chỉ xinh đẹp mà còn thông minh.</v>
      </c>
      <c r="K625" s="13" t="str">
        <f ca="1">IFERROR(__xludf.DUMMYFUNCTION("""COMPUTED_VALUE"""),"H3_B18_BG-10.gif")</f>
        <v>H3_B18_BG-10.gif</v>
      </c>
      <c r="L625" s="13" t="str">
        <f ca="1">IFERROR(__xludf.DUMMYFUNCTION("""COMPUTED_VALUE"""),"H3_B18_10.mp3")</f>
        <v>H3_B18_10.mp3</v>
      </c>
      <c r="M625" s="13" t="str">
        <f ca="1">IFERROR(__xludf.DUMMYFUNCTION("""COMPUTED_VALUE"""),"H3_B18_VD_10.mp3")</f>
        <v>H3_B18_VD_10.mp3</v>
      </c>
    </row>
    <row r="626" spans="1:13">
      <c r="A626" s="13">
        <f ca="1">IFERROR(__xludf.DUMMYFUNCTION("""COMPUTED_VALUE"""),11)</f>
        <v>11</v>
      </c>
      <c r="B626" s="13"/>
      <c r="C626" s="13" t="str">
        <f ca="1">IFERROR(__xludf.DUMMYFUNCTION("""COMPUTED_VALUE"""),"而且")</f>
        <v>而且</v>
      </c>
      <c r="D626" s="13" t="str">
        <f ca="1">IFERROR(__xludf.DUMMYFUNCTION("""COMPUTED_VALUE"""),"&lt;ruby&gt;而且&lt;rt&gt;(bùdàn...)érqiě...&lt;/rt&gt;&lt;/ruby&gt;")</f>
        <v>&lt;ruby&gt;而且&lt;rt&gt;(bùdàn...)érqiě...&lt;/rt&gt;&lt;/ruby&gt;</v>
      </c>
      <c r="E626" s="13" t="str">
        <f ca="1">IFERROR(__xludf.DUMMYFUNCTION("""COMPUTED_VALUE"""),"(bùdàn...)érqiě...")</f>
        <v>(bùdàn...)érqiě...</v>
      </c>
      <c r="F626" s="13" t="str">
        <f ca="1">IFERROR(__xludf.DUMMYFUNCTION("""COMPUTED_VALUE"""),"Liên từ")</f>
        <v>Liên từ</v>
      </c>
      <c r="G626" s="13" t="str">
        <f ca="1">IFERROR(__xludf.DUMMYFUNCTION("""COMPUTED_VALUE"""),"(Không những...) mà còn...")</f>
        <v>(Không những...) mà còn...</v>
      </c>
      <c r="H626" s="13" t="str">
        <f ca="1">IFERROR(__xludf.DUMMYFUNCTION("""COMPUTED_VALUE"""),"他不但跑得快，而且游泳很好。")</f>
        <v>他不但跑得快，而且游泳很好。</v>
      </c>
      <c r="I626" s="13" t="str">
        <f ca="1">IFERROR(__xludf.DUMMYFUNCTION("""COMPUTED_VALUE"""),"Tā bùdàn pǎo de kuài, érqiě yóuyǒng hěn hǎo.")</f>
        <v>Tā bùdàn pǎo de kuài, érqiě yóuyǒng hěn hǎo.</v>
      </c>
      <c r="J626" s="13" t="str">
        <f ca="1">IFERROR(__xludf.DUMMYFUNCTION("""COMPUTED_VALUE"""),"Anh ấy không chỉ chạy nhanh mà còn bơi giỏi.")</f>
        <v>Anh ấy không chỉ chạy nhanh mà còn bơi giỏi.</v>
      </c>
      <c r="K626" s="13" t="str">
        <f ca="1">IFERROR(__xludf.DUMMYFUNCTION("""COMPUTED_VALUE"""),"H3_B18_BG-11.gif")</f>
        <v>H3_B18_BG-11.gif</v>
      </c>
      <c r="L626" s="13" t="str">
        <f ca="1">IFERROR(__xludf.DUMMYFUNCTION("""COMPUTED_VALUE"""),"H3_B18_11.mp3")</f>
        <v>H3_B18_11.mp3</v>
      </c>
      <c r="M626" s="13" t="str">
        <f ca="1">IFERROR(__xludf.DUMMYFUNCTION("""COMPUTED_VALUE"""),"H3_B18_VD_11.mp3")</f>
        <v>H3_B18_VD_11.mp3</v>
      </c>
    </row>
    <row r="627" spans="1:13">
      <c r="A627" s="13">
        <f ca="1">IFERROR(__xludf.DUMMYFUNCTION("""COMPUTED_VALUE"""),12)</f>
        <v>12</v>
      </c>
      <c r="B627" s="13"/>
      <c r="C627" s="13" t="str">
        <f ca="1">IFERROR(__xludf.DUMMYFUNCTION("""COMPUTED_VALUE"""),"有名")</f>
        <v>有名</v>
      </c>
      <c r="D627" s="13" t="str">
        <f ca="1">IFERROR(__xludf.DUMMYFUNCTION("""COMPUTED_VALUE"""),"&lt;ruby&gt;有名&lt;rt&gt;yǒumíng&lt;/rt&gt;&lt;/ruby&gt;")</f>
        <v>&lt;ruby&gt;有名&lt;rt&gt;yǒumíng&lt;/rt&gt;&lt;/ruby&gt;</v>
      </c>
      <c r="E627" s="13" t="str">
        <f ca="1">IFERROR(__xludf.DUMMYFUNCTION("""COMPUTED_VALUE"""),"yǒumíng")</f>
        <v>yǒumíng</v>
      </c>
      <c r="F627" s="13" t="str">
        <f ca="1">IFERROR(__xludf.DUMMYFUNCTION("""COMPUTED_VALUE"""),"Tính từ")</f>
        <v>Tính từ</v>
      </c>
      <c r="G627" s="13" t="str">
        <f ca="1">IFERROR(__xludf.DUMMYFUNCTION("""COMPUTED_VALUE"""),"Có tiếng, nổi tiếng")</f>
        <v>Có tiếng, nổi tiếng</v>
      </c>
      <c r="H627" s="13" t="str">
        <f ca="1">IFERROR(__xludf.DUMMYFUNCTION("""COMPUTED_VALUE"""),"长城是中国有名的旅游景点之一。")</f>
        <v>长城是中国有名的旅游景点之一。</v>
      </c>
      <c r="I627" s="13" t="str">
        <f ca="1">IFERROR(__xludf.DUMMYFUNCTION("""COMPUTED_VALUE"""),"Chángchéng shì Zhōngguó yǒumíng de lǚyóu jǐngdiǎn zhī yī.")</f>
        <v>Chángchéng shì Zhōngguó yǒumíng de lǚyóu jǐngdiǎn zhī yī.</v>
      </c>
      <c r="J627" s="13" t="str">
        <f ca="1">IFERROR(__xludf.DUMMYFUNCTION("""COMPUTED_VALUE"""),"Vạn Lý Trường Thành là một trong những địa điểm du lịch nổi tiếng của Trung Quốc")</f>
        <v>Vạn Lý Trường Thành là một trong những địa điểm du lịch nổi tiếng của Trung Quốc</v>
      </c>
      <c r="K627" s="13" t="str">
        <f ca="1">IFERROR(__xludf.DUMMYFUNCTION("""COMPUTED_VALUE"""),"H3_B18_BG-12.gif")</f>
        <v>H3_B18_BG-12.gif</v>
      </c>
      <c r="L627" s="13" t="str">
        <f ca="1">IFERROR(__xludf.DUMMYFUNCTION("""COMPUTED_VALUE"""),"H3_B18_12.mp3")</f>
        <v>H3_B18_12.mp3</v>
      </c>
      <c r="M627" s="13" t="str">
        <f ca="1">IFERROR(__xludf.DUMMYFUNCTION("""COMPUTED_VALUE"""),"H3_B18_VD_12.mp3")</f>
        <v>H3_B18_VD_12.mp3</v>
      </c>
    </row>
    <row r="628" spans="1:13">
      <c r="A628" s="13">
        <f ca="1">IFERROR(__xludf.DUMMYFUNCTION("""COMPUTED_VALUE"""),13)</f>
        <v>13</v>
      </c>
      <c r="B628" s="13"/>
      <c r="C628" s="13" t="str">
        <f ca="1">IFERROR(__xludf.DUMMYFUNCTION("""COMPUTED_VALUE"""),"同意")</f>
        <v>同意</v>
      </c>
      <c r="D628" s="13" t="str">
        <f ca="1">IFERROR(__xludf.DUMMYFUNCTION("""COMPUTED_VALUE"""),"&lt;ruby&gt;同意&lt;rt&gt;tóngyì&lt;/rt&gt;&lt;/ruby&gt;")</f>
        <v>&lt;ruby&gt;同意&lt;rt&gt;tóngyì&lt;/rt&gt;&lt;/ruby&gt;</v>
      </c>
      <c r="E628" s="13" t="str">
        <f ca="1">IFERROR(__xludf.DUMMYFUNCTION("""COMPUTED_VALUE"""),"tóngyì")</f>
        <v>tóngyì</v>
      </c>
      <c r="F628" s="13" t="str">
        <f ca="1">IFERROR(__xludf.DUMMYFUNCTION("""COMPUTED_VALUE"""),"Động từ")</f>
        <v>Động từ</v>
      </c>
      <c r="G628" s="13" t="str">
        <f ca="1">IFERROR(__xludf.DUMMYFUNCTION("""COMPUTED_VALUE"""),"Đồng ý, tán thành")</f>
        <v>Đồng ý, tán thành</v>
      </c>
      <c r="H628" s="13" t="str">
        <f ca="1">IFERROR(__xludf.DUMMYFUNCTION("""COMPUTED_VALUE"""),"他同意我的意见。")</f>
        <v>他同意我的意见。</v>
      </c>
      <c r="I628" s="13" t="str">
        <f ca="1">IFERROR(__xludf.DUMMYFUNCTION("""COMPUTED_VALUE"""),"Tā tóngyì wǒ de yìjiàn.")</f>
        <v>Tā tóngyì wǒ de yìjiàn.</v>
      </c>
      <c r="J628" s="13" t="str">
        <f ca="1">IFERROR(__xludf.DUMMYFUNCTION("""COMPUTED_VALUE"""),"Anh ấy đồng ý với ý kiến của tôi.")</f>
        <v>Anh ấy đồng ý với ý kiến của tôi.</v>
      </c>
      <c r="K628" s="13" t="str">
        <f ca="1">IFERROR(__xludf.DUMMYFUNCTION("""COMPUTED_VALUE"""),"H3_B18_BG-13.gif")</f>
        <v>H3_B18_BG-13.gif</v>
      </c>
      <c r="L628" s="13" t="str">
        <f ca="1">IFERROR(__xludf.DUMMYFUNCTION("""COMPUTED_VALUE"""),"H3_B18_13.mp3")</f>
        <v>H3_B18_13.mp3</v>
      </c>
      <c r="M628" s="13" t="str">
        <f ca="1">IFERROR(__xludf.DUMMYFUNCTION("""COMPUTED_VALUE"""),"H3_B18_VD_13.mp3")</f>
        <v>H3_B18_VD_13.mp3</v>
      </c>
    </row>
    <row r="629" spans="1:13">
      <c r="A629" s="13">
        <f ca="1">IFERROR(__xludf.DUMMYFUNCTION("""COMPUTED_VALUE"""),14)</f>
        <v>14</v>
      </c>
      <c r="B629" s="13"/>
      <c r="C629" s="13" t="str">
        <f ca="1">IFERROR(__xludf.DUMMYFUNCTION("""COMPUTED_VALUE"""),"相信")</f>
        <v>相信</v>
      </c>
      <c r="D629" s="13" t="str">
        <f ca="1">IFERROR(__xludf.DUMMYFUNCTION("""COMPUTED_VALUE"""),"&lt;ruby&gt;相信&lt;rt&gt;xiāngxìn&lt;/rt&gt;&lt;/ruby&gt;")</f>
        <v>&lt;ruby&gt;相信&lt;rt&gt;xiāngxìn&lt;/rt&gt;&lt;/ruby&gt;</v>
      </c>
      <c r="E629" s="13" t="str">
        <f ca="1">IFERROR(__xludf.DUMMYFUNCTION("""COMPUTED_VALUE"""),"xiāngxìn")</f>
        <v>xiāngxìn</v>
      </c>
      <c r="F629" s="13" t="str">
        <f ca="1">IFERROR(__xludf.DUMMYFUNCTION("""COMPUTED_VALUE"""),"Động từ")</f>
        <v>Động từ</v>
      </c>
      <c r="G629" s="13" t="str">
        <f ca="1">IFERROR(__xludf.DUMMYFUNCTION("""COMPUTED_VALUE"""),"Tin, tin tưởng")</f>
        <v>Tin, tin tưởng</v>
      </c>
      <c r="H629" s="13" t="str">
        <f ca="1">IFERROR(__xludf.DUMMYFUNCTION("""COMPUTED_VALUE"""),"我们应该相信科学。")</f>
        <v>我们应该相信科学。</v>
      </c>
      <c r="I629" s="13" t="str">
        <f ca="1">IFERROR(__xludf.DUMMYFUNCTION("""COMPUTED_VALUE"""),"Wǒmen yīnggāi xiāngxìn kēxué.")</f>
        <v>Wǒmen yīnggāi xiāngxìn kēxué.</v>
      </c>
      <c r="J629" s="13" t="str">
        <f ca="1">IFERROR(__xludf.DUMMYFUNCTION("""COMPUTED_VALUE"""),"Chúng ta nên tin vào khoa học.")</f>
        <v>Chúng ta nên tin vào khoa học.</v>
      </c>
      <c r="K629" s="13" t="str">
        <f ca="1">IFERROR(__xludf.DUMMYFUNCTION("""COMPUTED_VALUE"""),"H3_B18_BG-14.gif")</f>
        <v>H3_B18_BG-14.gif</v>
      </c>
      <c r="L629" s="13" t="str">
        <f ca="1">IFERROR(__xludf.DUMMYFUNCTION("""COMPUTED_VALUE"""),"H3_B18_14.mp3")</f>
        <v>H3_B18_14.mp3</v>
      </c>
      <c r="M629" s="13" t="str">
        <f ca="1">IFERROR(__xludf.DUMMYFUNCTION("""COMPUTED_VALUE"""),"H3_B18_VD_14.mp3")</f>
        <v>H3_B18_VD_14.mp3</v>
      </c>
    </row>
    <row r="630" spans="1:13">
      <c r="A630" s="13">
        <f ca="1">IFERROR(__xludf.DUMMYFUNCTION("""COMPUTED_VALUE"""),15)</f>
        <v>15</v>
      </c>
      <c r="B630" s="13"/>
      <c r="C630" s="13" t="str">
        <f ca="1">IFERROR(__xludf.DUMMYFUNCTION("""COMPUTED_VALUE"""),"关于")</f>
        <v>关于</v>
      </c>
      <c r="D630" s="13" t="str">
        <f ca="1">IFERROR(__xludf.DUMMYFUNCTION("""COMPUTED_VALUE"""),"&lt;ruby&gt;关于&lt;rt&gt;guānyú&lt;/rt&gt;&lt;/ruby&gt;")</f>
        <v>&lt;ruby&gt;关于&lt;rt&gt;guānyú&lt;/rt&gt;&lt;/ruby&gt;</v>
      </c>
      <c r="E630" s="13" t="str">
        <f ca="1">IFERROR(__xludf.DUMMYFUNCTION("""COMPUTED_VALUE"""),"guānyú")</f>
        <v>guānyú</v>
      </c>
      <c r="F630" s="13" t="str">
        <f ca="1">IFERROR(__xludf.DUMMYFUNCTION("""COMPUTED_VALUE"""),"Giới từ")</f>
        <v>Giới từ</v>
      </c>
      <c r="G630" s="13" t="str">
        <f ca="1">IFERROR(__xludf.DUMMYFUNCTION("""COMPUTED_VALUE"""),"Về")</f>
        <v>Về</v>
      </c>
      <c r="H630" s="13" t="str">
        <f ca="1">IFERROR(__xludf.DUMMYFUNCTION("""COMPUTED_VALUE"""),"我和同事正在讨论关于新项目的事情。")</f>
        <v>我和同事正在讨论关于新项目的事情。</v>
      </c>
      <c r="I630" s="13" t="str">
        <f ca="1">IFERROR(__xludf.DUMMYFUNCTION("""COMPUTED_VALUE"""),"Wǒ hé tóngshì zhèngzài tǎolùn guānyú xīn xiàngmù de shìqíng.")</f>
        <v>Wǒ hé tóngshì zhèngzài tǎolùn guānyú xīn xiàngmù de shìqíng.</v>
      </c>
      <c r="J630" s="13" t="str">
        <f ca="1">IFERROR(__xludf.DUMMYFUNCTION("""COMPUTED_VALUE"""),"tôi và đồng nghiệp đang trao đổi về dự án mới")</f>
        <v>tôi và đồng nghiệp đang trao đổi về dự án mới</v>
      </c>
      <c r="K630" s="13" t="str">
        <f ca="1">IFERROR(__xludf.DUMMYFUNCTION("""COMPUTED_VALUE"""),"H3_B18_BG-15.gif")</f>
        <v>H3_B18_BG-15.gif</v>
      </c>
      <c r="L630" s="13" t="str">
        <f ca="1">IFERROR(__xludf.DUMMYFUNCTION("""COMPUTED_VALUE"""),"H3_B18_15.mp3")</f>
        <v>H3_B18_15.mp3</v>
      </c>
      <c r="M630" s="13" t="str">
        <f ca="1">IFERROR(__xludf.DUMMYFUNCTION("""COMPUTED_VALUE"""),"H3_B18_VD_15.mp3")</f>
        <v>H3_B18_VD_15.mp3</v>
      </c>
    </row>
    <row r="631" spans="1:13">
      <c r="A631" s="13">
        <f ca="1">IFERROR(__xludf.DUMMYFUNCTION("""COMPUTED_VALUE"""),16)</f>
        <v>16</v>
      </c>
      <c r="B631" s="13"/>
      <c r="C631" s="13" t="str">
        <f ca="1">IFERROR(__xludf.DUMMYFUNCTION("""COMPUTED_VALUE"""),"机会")</f>
        <v>机会</v>
      </c>
      <c r="D631" s="13" t="str">
        <f ca="1">IFERROR(__xludf.DUMMYFUNCTION("""COMPUTED_VALUE"""),"&lt;ruby&gt;机会&lt;rt&gt;jīhuì&lt;/rt&gt;&lt;/ruby&gt;")</f>
        <v>&lt;ruby&gt;机会&lt;rt&gt;jīhuì&lt;/rt&gt;&lt;/ruby&gt;</v>
      </c>
      <c r="E631" s="13" t="str">
        <f ca="1">IFERROR(__xludf.DUMMYFUNCTION("""COMPUTED_VALUE"""),"jīhuì")</f>
        <v>jīhuì</v>
      </c>
      <c r="F631" s="13" t="str">
        <f ca="1">IFERROR(__xludf.DUMMYFUNCTION("""COMPUTED_VALUE"""),"Danh từ")</f>
        <v>Danh từ</v>
      </c>
      <c r="G631" s="13" t="str">
        <f ca="1">IFERROR(__xludf.DUMMYFUNCTION("""COMPUTED_VALUE"""),"Cơ hội")</f>
        <v>Cơ hội</v>
      </c>
      <c r="H631" s="13" t="str">
        <f ca="1">IFERROR(__xludf.DUMMYFUNCTION("""COMPUTED_VALUE"""),"学习是打开未来更多机会的方式。")</f>
        <v>学习是打开未来更多机会的方式。</v>
      </c>
      <c r="I631" s="13" t="str">
        <f ca="1">IFERROR(__xludf.DUMMYFUNCTION("""COMPUTED_VALUE"""),"Xuéxí shì dǎkāi wèilái gèng duō jīhuì de fāngshì.")</f>
        <v>Xuéxí shì dǎkāi wèilái gèng duō jīhuì de fāngshì.</v>
      </c>
      <c r="J631" s="13" t="str">
        <f ca="1">IFERROR(__xludf.DUMMYFUNCTION("""COMPUTED_VALUE"""),"học tập là cách để mở ra nhiều cơ hội trong tương lai")</f>
        <v>học tập là cách để mở ra nhiều cơ hội trong tương lai</v>
      </c>
      <c r="K631" s="13" t="str">
        <f ca="1">IFERROR(__xludf.DUMMYFUNCTION("""COMPUTED_VALUE"""),"H3_B18_BG-16.gif")</f>
        <v>H3_B18_BG-16.gif</v>
      </c>
      <c r="L631" s="13" t="str">
        <f ca="1">IFERROR(__xludf.DUMMYFUNCTION("""COMPUTED_VALUE"""),"H3_B18_16.mp3")</f>
        <v>H3_B18_16.mp3</v>
      </c>
      <c r="M631" s="13" t="str">
        <f ca="1">IFERROR(__xludf.DUMMYFUNCTION("""COMPUTED_VALUE"""),"H3_B18_VD_16.mp3")</f>
        <v>H3_B18_VD_16.mp3</v>
      </c>
    </row>
    <row r="632" spans="1:13">
      <c r="A632" s="13">
        <f ca="1">IFERROR(__xludf.DUMMYFUNCTION("""COMPUTED_VALUE"""),17)</f>
        <v>17</v>
      </c>
      <c r="B632" s="13"/>
      <c r="C632" s="13" t="str">
        <f ca="1">IFERROR(__xludf.DUMMYFUNCTION("""COMPUTED_VALUE"""),"国家")</f>
        <v>国家</v>
      </c>
      <c r="D632" s="13" t="str">
        <f ca="1">IFERROR(__xludf.DUMMYFUNCTION("""COMPUTED_VALUE"""),"&lt;ruby&gt;国家&lt;rt&gt;guójiā&lt;/rt&gt;&lt;/ruby&gt;")</f>
        <v>&lt;ruby&gt;国家&lt;rt&gt;guójiā&lt;/rt&gt;&lt;/ruby&gt;</v>
      </c>
      <c r="E632" s="13" t="str">
        <f ca="1">IFERROR(__xludf.DUMMYFUNCTION("""COMPUTED_VALUE"""),"guójiā")</f>
        <v>guójiā</v>
      </c>
      <c r="F632" s="13" t="str">
        <f ca="1">IFERROR(__xludf.DUMMYFUNCTION("""COMPUTED_VALUE"""),"Danh từ")</f>
        <v>Danh từ</v>
      </c>
      <c r="G632" s="13" t="str">
        <f ca="1">IFERROR(__xludf.DUMMYFUNCTION("""COMPUTED_VALUE"""),"Đất nước, quốc gia")</f>
        <v>Đất nước, quốc gia</v>
      </c>
      <c r="H632" s="13" t="str">
        <f ca="1">IFERROR(__xludf.DUMMYFUNCTION("""COMPUTED_VALUE"""),"中国是一个幅员辽阔的国家。")</f>
        <v>中国是一个幅员辽阔的国家。</v>
      </c>
      <c r="I632" s="13" t="str">
        <f ca="1">IFERROR(__xludf.DUMMYFUNCTION("""COMPUTED_VALUE"""),"Zhōngguó shì yī gè fúyuán liáokuò de guójiā.")</f>
        <v>Zhōngguó shì yī gè fúyuán liáokuò de guójiā.</v>
      </c>
      <c r="J632" s="13" t="str">
        <f ca="1">IFERROR(__xludf.DUMMYFUNCTION("""COMPUTED_VALUE"""),"Trung Quốc là một quốc gia rộng lớn")</f>
        <v>Trung Quốc là một quốc gia rộng lớn</v>
      </c>
      <c r="K632" s="13" t="str">
        <f ca="1">IFERROR(__xludf.DUMMYFUNCTION("""COMPUTED_VALUE"""),"H3_B18_BG-17.gif")</f>
        <v>H3_B18_BG-17.gif</v>
      </c>
      <c r="L632" s="13" t="str">
        <f ca="1">IFERROR(__xludf.DUMMYFUNCTION("""COMPUTED_VALUE"""),"H3_B18_17.mp3")</f>
        <v>H3_B18_17.mp3</v>
      </c>
      <c r="M632" s="13" t="str">
        <f ca="1">IFERROR(__xludf.DUMMYFUNCTION("""COMPUTED_VALUE"""),"H3_B18_VD_17.mp3")</f>
        <v>H3_B18_VD_17.mp3</v>
      </c>
    </row>
    <row r="633" spans="1:13">
      <c r="A633" s="13">
        <f ca="1">IFERROR(__xludf.DUMMYFUNCTION("""COMPUTED_VALUE"""),18)</f>
        <v>18</v>
      </c>
      <c r="B633" s="13"/>
      <c r="C633" s="13" t="str">
        <f ca="1">IFERROR(__xludf.DUMMYFUNCTION("""COMPUTED_VALUE"""),"地")</f>
        <v>地</v>
      </c>
      <c r="D633" s="13" t="str">
        <f ca="1">IFERROR(__xludf.DUMMYFUNCTION("""COMPUTED_VALUE"""),"&lt;ruby&gt;地&lt;rt&gt;de&lt;/rt&gt;&lt;/ruby&gt;")</f>
        <v>&lt;ruby&gt;地&lt;rt&gt;de&lt;/rt&gt;&lt;/ruby&gt;</v>
      </c>
      <c r="E633" s="13" t="str">
        <f ca="1">IFERROR(__xludf.DUMMYFUNCTION("""COMPUTED_VALUE"""),"de")</f>
        <v>de</v>
      </c>
      <c r="F633" s="13" t="str">
        <f ca="1">IFERROR(__xludf.DUMMYFUNCTION("""COMPUTED_VALUE"""),"Trợ từ")</f>
        <v>Trợ từ</v>
      </c>
      <c r="G633" s="13" t="str">
        <f ca="1">IFERROR(__xludf.DUMMYFUNCTION("""COMPUTED_VALUE"""),"Được dùng để nối trạng ngữ với động từ mà nó bổ nghĩa")</f>
        <v>Được dùng để nối trạng ngữ với động từ mà nó bổ nghĩa</v>
      </c>
      <c r="H633" s="13" t="str">
        <f ca="1">IFERROR(__xludf.DUMMYFUNCTION("""COMPUTED_VALUE""")," 她高兴地笑着。")</f>
        <v xml:space="preserve"> 她高兴地笑着。</v>
      </c>
      <c r="I633" s="13" t="str">
        <f ca="1">IFERROR(__xludf.DUMMYFUNCTION("""COMPUTED_VALUE"""),"Tā gāoxìng de xiàozhe.")</f>
        <v>Tā gāoxìng de xiàozhe.</v>
      </c>
      <c r="J633" s="13" t="str">
        <f ca="1">IFERROR(__xludf.DUMMYFUNCTION("""COMPUTED_VALUE"""),"Cô ấy đang cười một cách vui vẻ.")</f>
        <v>Cô ấy đang cười một cách vui vẻ.</v>
      </c>
      <c r="K633" s="13" t="str">
        <f ca="1">IFERROR(__xludf.DUMMYFUNCTION("""COMPUTED_VALUE"""),"H3_B18_BG-18.gif")</f>
        <v>H3_B18_BG-18.gif</v>
      </c>
      <c r="L633" s="13" t="str">
        <f ca="1">IFERROR(__xludf.DUMMYFUNCTION("""COMPUTED_VALUE"""),"H3_B18_18.mp3")</f>
        <v>H3_B18_18.mp3</v>
      </c>
      <c r="M633" s="13" t="str">
        <f ca="1">IFERROR(__xludf.DUMMYFUNCTION("""COMPUTED_VALUE"""),"H3_B18_VD_18.mp3")</f>
        <v>H3_B18_VD_18.mp3</v>
      </c>
    </row>
    <row r="634" spans="1:13">
      <c r="A634" s="13">
        <f ca="1">IFERROR(__xludf.DUMMYFUNCTION("""COMPUTED_VALUE"""),1)</f>
        <v>1</v>
      </c>
      <c r="B634" s="13"/>
      <c r="C634" s="13" t="str">
        <f ca="1">IFERROR(__xludf.DUMMYFUNCTION("""COMPUTED_VALUE"""),"耳朵")</f>
        <v>耳朵</v>
      </c>
      <c r="D634" s="13" t="str">
        <f ca="1">IFERROR(__xludf.DUMMYFUNCTION("""COMPUTED_VALUE"""),"&lt;ruby&gt;耳朵&lt;rt&gt;ěrduo&lt;/rt&gt;&lt;/ruby&gt;")</f>
        <v>&lt;ruby&gt;耳朵&lt;rt&gt;ěrduo&lt;/rt&gt;&lt;/ruby&gt;</v>
      </c>
      <c r="E634" s="13" t="str">
        <f ca="1">IFERROR(__xludf.DUMMYFUNCTION("""COMPUTED_VALUE"""),"ěrduo")</f>
        <v>ěrduo</v>
      </c>
      <c r="F634" s="13" t="str">
        <f ca="1">IFERROR(__xludf.DUMMYFUNCTION("""COMPUTED_VALUE"""),"Danh từ")</f>
        <v>Danh từ</v>
      </c>
      <c r="G634" s="13" t="str">
        <f ca="1">IFERROR(__xludf.DUMMYFUNCTION("""COMPUTED_VALUE"""),"Tai")</f>
        <v>Tai</v>
      </c>
      <c r="H634" s="13" t="str">
        <f ca="1">IFERROR(__xludf.DUMMYFUNCTION("""COMPUTED_VALUE"""),"兔子有一双又长又白的耳朵。")</f>
        <v>兔子有一双又长又白的耳朵。</v>
      </c>
      <c r="I634" s="13" t="str">
        <f ca="1">IFERROR(__xludf.DUMMYFUNCTION("""COMPUTED_VALUE"""),"Tùzi yǒu yī shuāng yòu cháng yòu bái de ěrduo.")</f>
        <v>Tùzi yǒu yī shuāng yòu cháng yòu bái de ěrduo.</v>
      </c>
      <c r="J634" s="13" t="str">
        <f ca="1">IFERROR(__xludf.DUMMYFUNCTION("""COMPUTED_VALUE"""),"Con thỏ có đôi tai dài và trắng muốt.")</f>
        <v>Con thỏ có đôi tai dài và trắng muốt.</v>
      </c>
      <c r="K634" s="13" t="str">
        <f ca="1">IFERROR(__xludf.DUMMYFUNCTION("""COMPUTED_VALUE"""),"H3_B19_BG-01.gif")</f>
        <v>H3_B19_BG-01.gif</v>
      </c>
      <c r="L634" s="13" t="str">
        <f ca="1">IFERROR(__xludf.DUMMYFUNCTION("""COMPUTED_VALUE"""),"H3_B19_1.mp3")</f>
        <v>H3_B19_1.mp3</v>
      </c>
      <c r="M634" s="13" t="str">
        <f ca="1">IFERROR(__xludf.DUMMYFUNCTION("""COMPUTED_VALUE"""),"H3_B19_VD_1.mp3")</f>
        <v>H3_B19_VD_1.mp3</v>
      </c>
    </row>
    <row r="635" spans="1:13">
      <c r="A635" s="13">
        <f ca="1">IFERROR(__xludf.DUMMYFUNCTION("""COMPUTED_VALUE"""),2)</f>
        <v>2</v>
      </c>
      <c r="B635" s="13"/>
      <c r="C635" s="13" t="str">
        <f ca="1">IFERROR(__xludf.DUMMYFUNCTION("""COMPUTED_VALUE"""),"脸")</f>
        <v>脸</v>
      </c>
      <c r="D635" s="13" t="str">
        <f ca="1">IFERROR(__xludf.DUMMYFUNCTION("""COMPUTED_VALUE"""),"&lt;ruby&gt;脸&lt;rt&gt;liǎn&lt;/rt&gt;&lt;/ruby&gt;")</f>
        <v>&lt;ruby&gt;脸&lt;rt&gt;liǎn&lt;/rt&gt;&lt;/ruby&gt;</v>
      </c>
      <c r="E635" s="13" t="str">
        <f ca="1">IFERROR(__xludf.DUMMYFUNCTION("""COMPUTED_VALUE"""),"liǎn")</f>
        <v>liǎn</v>
      </c>
      <c r="F635" s="13" t="str">
        <f ca="1">IFERROR(__xludf.DUMMYFUNCTION("""COMPUTED_VALUE"""),"Danh từ")</f>
        <v>Danh từ</v>
      </c>
      <c r="G635" s="13" t="str">
        <f ca="1">IFERROR(__xludf.DUMMYFUNCTION("""COMPUTED_VALUE"""),"Mặt, khuôn mặt")</f>
        <v>Mặt, khuôn mặt</v>
      </c>
      <c r="H635" s="13" t="str">
        <f ca="1">IFERROR(__xludf.DUMMYFUNCTION("""COMPUTED_VALUE"""),"大象的脸上戴着一张红色的面具。")</f>
        <v>大象的脸上戴着一张红色的面具。</v>
      </c>
      <c r="I635" s="13" t="str">
        <f ca="1">IFERROR(__xludf.DUMMYFUNCTION("""COMPUTED_VALUE"""),"Dàxiàng de liǎn shàng dàizhe yī zhāng hóngsè de miànjù.")</f>
        <v>Dàxiàng de liǎn shàng dàizhe yī zhāng hóngsè de miànjù.</v>
      </c>
      <c r="J635" s="13" t="str">
        <f ca="1">IFERROR(__xludf.DUMMYFUNCTION("""COMPUTED_VALUE"""),"Trên mặt của con voi có đeo một cái mặt nạ màu đỏ.")</f>
        <v>Trên mặt của con voi có đeo một cái mặt nạ màu đỏ.</v>
      </c>
      <c r="K635" s="13" t="str">
        <f ca="1">IFERROR(__xludf.DUMMYFUNCTION("""COMPUTED_VALUE"""),"H3_B19_BG-02.gif")</f>
        <v>H3_B19_BG-02.gif</v>
      </c>
      <c r="L635" s="13" t="str">
        <f ca="1">IFERROR(__xludf.DUMMYFUNCTION("""COMPUTED_VALUE"""),"H3_B19_2.mp3")</f>
        <v>H3_B19_2.mp3</v>
      </c>
      <c r="M635" s="13" t="str">
        <f ca="1">IFERROR(__xludf.DUMMYFUNCTION("""COMPUTED_VALUE"""),"H3_B19_VD_2.mp3")</f>
        <v>H3_B19_VD_2.mp3</v>
      </c>
    </row>
    <row r="636" spans="1:13">
      <c r="A636" s="13">
        <f ca="1">IFERROR(__xludf.DUMMYFUNCTION("""COMPUTED_VALUE"""),3)</f>
        <v>3</v>
      </c>
      <c r="B636" s="13"/>
      <c r="C636" s="13" t="str">
        <f ca="1">IFERROR(__xludf.DUMMYFUNCTION("""COMPUTED_VALUE"""),"短")</f>
        <v>短</v>
      </c>
      <c r="D636" s="13" t="str">
        <f ca="1">IFERROR(__xludf.DUMMYFUNCTION("""COMPUTED_VALUE"""),"&lt;ruby&gt;短&lt;rt&gt;duǎn&lt;/rt&gt;&lt;/ruby&gt;")</f>
        <v>&lt;ruby&gt;短&lt;rt&gt;duǎn&lt;/rt&gt;&lt;/ruby&gt;</v>
      </c>
      <c r="E636" s="13" t="str">
        <f ca="1">IFERROR(__xludf.DUMMYFUNCTION("""COMPUTED_VALUE"""),"duǎn")</f>
        <v>duǎn</v>
      </c>
      <c r="F636" s="13" t="str">
        <f ca="1">IFERROR(__xludf.DUMMYFUNCTION("""COMPUTED_VALUE"""),"Tính từ")</f>
        <v>Tính từ</v>
      </c>
      <c r="G636" s="13" t="str">
        <f ca="1">IFERROR(__xludf.DUMMYFUNCTION("""COMPUTED_VALUE"""),"Ngắn")</f>
        <v>Ngắn</v>
      </c>
      <c r="H636" s="13" t="str">
        <f ca="1">IFERROR(__xludf.DUMMYFUNCTION("""COMPUTED_VALUE"""),"这件衣服太短，不合适。")</f>
        <v>这件衣服太短，不合适。</v>
      </c>
      <c r="I636" s="13" t="str">
        <f ca="1">IFERROR(__xludf.DUMMYFUNCTION("""COMPUTED_VALUE"""),"Zhè jiàn yīfú tài duǎn, bù héshì.")</f>
        <v>Zhè jiàn yīfú tài duǎn, bù héshì.</v>
      </c>
      <c r="J636" s="13" t="str">
        <f ca="1">IFERROR(__xludf.DUMMYFUNCTION("""COMPUTED_VALUE"""),"Chiếc áo này quá ngắn, không phù hợp.")</f>
        <v>Chiếc áo này quá ngắn, không phù hợp.</v>
      </c>
      <c r="K636" s="13" t="str">
        <f ca="1">IFERROR(__xludf.DUMMYFUNCTION("""COMPUTED_VALUE"""),"H3_B19_BG-03.gif")</f>
        <v>H3_B19_BG-03.gif</v>
      </c>
      <c r="L636" s="13" t="str">
        <f ca="1">IFERROR(__xludf.DUMMYFUNCTION("""COMPUTED_VALUE"""),"H3_B19_3.mp3")</f>
        <v>H3_B19_3.mp3</v>
      </c>
      <c r="M636" s="13" t="str">
        <f ca="1">IFERROR(__xludf.DUMMYFUNCTION("""COMPUTED_VALUE"""),"H3_B19_VD_3.mp3")</f>
        <v>H3_B19_VD_3.mp3</v>
      </c>
    </row>
    <row r="637" spans="1:13">
      <c r="A637" s="13">
        <f ca="1">IFERROR(__xludf.DUMMYFUNCTION("""COMPUTED_VALUE"""),4)</f>
        <v>4</v>
      </c>
      <c r="B637" s="13"/>
      <c r="C637" s="13" t="str">
        <f ca="1">IFERROR(__xludf.DUMMYFUNCTION("""COMPUTED_VALUE"""),"马")</f>
        <v>马</v>
      </c>
      <c r="D637" s="13" t="str">
        <f ca="1">IFERROR(__xludf.DUMMYFUNCTION("""COMPUTED_VALUE"""),"&lt;ruby&gt;马&lt;rt&gt;mǎ&lt;/rt&gt;&lt;/ruby&gt;")</f>
        <v>&lt;ruby&gt;马&lt;rt&gt;mǎ&lt;/rt&gt;&lt;/ruby&gt;</v>
      </c>
      <c r="E637" s="13" t="str">
        <f ca="1">IFERROR(__xludf.DUMMYFUNCTION("""COMPUTED_VALUE"""),"mǎ")</f>
        <v>mǎ</v>
      </c>
      <c r="F637" s="13" t="str">
        <f ca="1">IFERROR(__xludf.DUMMYFUNCTION("""COMPUTED_VALUE"""),"Danh từ")</f>
        <v>Danh từ</v>
      </c>
      <c r="G637" s="13" t="str">
        <f ca="1">IFERROR(__xludf.DUMMYFUNCTION("""COMPUTED_VALUE"""),"Ngựa")</f>
        <v>Ngựa</v>
      </c>
      <c r="H637" s="13" t="str">
        <f ca="1">IFERROR(__xludf.DUMMYFUNCTION("""COMPUTED_VALUE"""),"这匹马跑得很快。")</f>
        <v>这匹马跑得很快。</v>
      </c>
      <c r="I637" s="13" t="str">
        <f ca="1">IFERROR(__xludf.DUMMYFUNCTION("""COMPUTED_VALUE"""),"Zhè pǐ mǎ pǎo de hěn kuài.")</f>
        <v>Zhè pǐ mǎ pǎo de hěn kuài.</v>
      </c>
      <c r="J637" s="13" t="str">
        <f ca="1">IFERROR(__xludf.DUMMYFUNCTION("""COMPUTED_VALUE"""),"Con ngựa này chạy rất nhanh.")</f>
        <v>Con ngựa này chạy rất nhanh.</v>
      </c>
      <c r="K637" s="13" t="str">
        <f ca="1">IFERROR(__xludf.DUMMYFUNCTION("""COMPUTED_VALUE"""),"H3_B19_BG-04.gif")</f>
        <v>H3_B19_BG-04.gif</v>
      </c>
      <c r="L637" s="13" t="str">
        <f ca="1">IFERROR(__xludf.DUMMYFUNCTION("""COMPUTED_VALUE"""),"H3_B19_4.mp3")</f>
        <v>H3_B19_4.mp3</v>
      </c>
      <c r="M637" s="13" t="str">
        <f ca="1">IFERROR(__xludf.DUMMYFUNCTION("""COMPUTED_VALUE"""),"H3_B19_VD_4.mp3")</f>
        <v>H3_B19_VD_4.mp3</v>
      </c>
    </row>
    <row r="638" spans="1:13">
      <c r="A638" s="13">
        <f ca="1">IFERROR(__xludf.DUMMYFUNCTION("""COMPUTED_VALUE"""),5)</f>
        <v>5</v>
      </c>
      <c r="B638" s="13"/>
      <c r="C638" s="13" t="str">
        <f ca="1">IFERROR(__xludf.DUMMYFUNCTION("""COMPUTED_VALUE"""),"蓝")</f>
        <v>蓝</v>
      </c>
      <c r="D638" s="13" t="str">
        <f ca="1">IFERROR(__xludf.DUMMYFUNCTION("""COMPUTED_VALUE"""),"&lt;ruby&gt;蓝&lt;rt&gt;lán&lt;/rt&gt;&lt;/ruby&gt;")</f>
        <v>&lt;ruby&gt;蓝&lt;rt&gt;lán&lt;/rt&gt;&lt;/ruby&gt;</v>
      </c>
      <c r="E638" s="13" t="str">
        <f ca="1">IFERROR(__xludf.DUMMYFUNCTION("""COMPUTED_VALUE"""),"lán")</f>
        <v>lán</v>
      </c>
      <c r="F638" s="13" t="str">
        <f ca="1">IFERROR(__xludf.DUMMYFUNCTION("""COMPUTED_VALUE"""),"Tính từ")</f>
        <v>Tính từ</v>
      </c>
      <c r="G638" s="13" t="str">
        <f ca="1">IFERROR(__xludf.DUMMYFUNCTION("""COMPUTED_VALUE"""),"Có màu xanh da trời")</f>
        <v>Có màu xanh da trời</v>
      </c>
      <c r="H638" s="13" t="str">
        <f ca="1">IFERROR(__xludf.DUMMYFUNCTION("""COMPUTED_VALUE"""),"我喜欢这件蓝色的衣服。")</f>
        <v>我喜欢这件蓝色的衣服。</v>
      </c>
      <c r="I638" s="13" t="str">
        <f ca="1">IFERROR(__xludf.DUMMYFUNCTION("""COMPUTED_VALUE"""),"Wǒ xǐhuan zhè jiàn lánsè de yīfú.")</f>
        <v>Wǒ xǐhuan zhè jiàn lánsè de yīfú.</v>
      </c>
      <c r="J638" s="13" t="str">
        <f ca="1">IFERROR(__xludf.DUMMYFUNCTION("""COMPUTED_VALUE"""),"Dòng suối xanh này thật đẹp.")</f>
        <v>Dòng suối xanh này thật đẹp.</v>
      </c>
      <c r="K638" s="13" t="str">
        <f ca="1">IFERROR(__xludf.DUMMYFUNCTION("""COMPUTED_VALUE"""),"H3_B19_BG-05.gif")</f>
        <v>H3_B19_BG-05.gif</v>
      </c>
      <c r="L638" s="13" t="str">
        <f ca="1">IFERROR(__xludf.DUMMYFUNCTION("""COMPUTED_VALUE"""),"H3_B19_5.mp3")</f>
        <v>H3_B19_5.mp3</v>
      </c>
      <c r="M638" s="13" t="str">
        <f ca="1">IFERROR(__xludf.DUMMYFUNCTION("""COMPUTED_VALUE"""),"H3_B19_VD_5.mp3")</f>
        <v>H3_B19_VD_5.mp3</v>
      </c>
    </row>
    <row r="639" spans="1:13">
      <c r="A639" s="13">
        <f ca="1">IFERROR(__xludf.DUMMYFUNCTION("""COMPUTED_VALUE"""),6)</f>
        <v>6</v>
      </c>
      <c r="B639" s="13"/>
      <c r="C639" s="13" t="str">
        <f ca="1">IFERROR(__xludf.DUMMYFUNCTION("""COMPUTED_VALUE"""),"秋（天）")</f>
        <v>秋（天）</v>
      </c>
      <c r="D639" s="13" t="str">
        <f ca="1">IFERROR(__xludf.DUMMYFUNCTION("""COMPUTED_VALUE"""),"&lt;ruby&gt;秋（天）&lt;rt&gt;qiū (tiān)&lt;/rt&gt;&lt;/ruby&gt;")</f>
        <v>&lt;ruby&gt;秋（天）&lt;rt&gt;qiū (tiān)&lt;/rt&gt;&lt;/ruby&gt;</v>
      </c>
      <c r="E639" s="13" t="str">
        <f ca="1">IFERROR(__xludf.DUMMYFUNCTION("""COMPUTED_VALUE"""),"qiū (tiān)")</f>
        <v>qiū (tiān)</v>
      </c>
      <c r="F639" s="13" t="str">
        <f ca="1">IFERROR(__xludf.DUMMYFUNCTION("""COMPUTED_VALUE"""),"Danh từ")</f>
        <v>Danh từ</v>
      </c>
      <c r="G639" s="13" t="str">
        <f ca="1">IFERROR(__xludf.DUMMYFUNCTION("""COMPUTED_VALUE"""),"(Mùa) thu")</f>
        <v>(Mùa) thu</v>
      </c>
      <c r="H639" s="13" t="str">
        <f ca="1">IFERROR(__xludf.DUMMYFUNCTION("""COMPUTED_VALUE"""),"秋天的景色真浪漫。")</f>
        <v>秋天的景色真浪漫。</v>
      </c>
      <c r="I639" s="13" t="str">
        <f ca="1">IFERROR(__xludf.DUMMYFUNCTION("""COMPUTED_VALUE"""),"Qiūtiān de jǐngsè zhēn làngmàn.")</f>
        <v>Qiūtiān de jǐngsè zhēn làngmàn.</v>
      </c>
      <c r="J639" s="13" t="str">
        <f ca="1">IFERROR(__xludf.DUMMYFUNCTION("""COMPUTED_VALUE"""),"Khung cảnh mùa thu thật lãng mạn.")</f>
        <v>Khung cảnh mùa thu thật lãng mạn.</v>
      </c>
      <c r="K639" s="13" t="str">
        <f ca="1">IFERROR(__xludf.DUMMYFUNCTION("""COMPUTED_VALUE"""),"H3_B19_BG-06.gif")</f>
        <v>H3_B19_BG-06.gif</v>
      </c>
      <c r="L639" s="13" t="str">
        <f ca="1">IFERROR(__xludf.DUMMYFUNCTION("""COMPUTED_VALUE"""),"H3_B19_6.mp3")</f>
        <v>H3_B19_6.mp3</v>
      </c>
      <c r="M639" s="13" t="str">
        <f ca="1">IFERROR(__xludf.DUMMYFUNCTION("""COMPUTED_VALUE"""),"H3_B19_VD_6.mp3")</f>
        <v>H3_B19_VD_6.mp3</v>
      </c>
    </row>
    <row r="640" spans="1:13">
      <c r="A640" s="13">
        <f ca="1">IFERROR(__xludf.DUMMYFUNCTION("""COMPUTED_VALUE"""),7)</f>
        <v>7</v>
      </c>
      <c r="B640" s="13"/>
      <c r="C640" s="13" t="str">
        <f ca="1">IFERROR(__xludf.DUMMYFUNCTION("""COMPUTED_VALUE"""),"鸟")</f>
        <v>鸟</v>
      </c>
      <c r="D640" s="13" t="str">
        <f ca="1">IFERROR(__xludf.DUMMYFUNCTION("""COMPUTED_VALUE"""),"&lt;ruby&gt;鸟&lt;rt&gt;niǎo&lt;/rt&gt;&lt;/ruby&gt;")</f>
        <v>&lt;ruby&gt;鸟&lt;rt&gt;niǎo&lt;/rt&gt;&lt;/ruby&gt;</v>
      </c>
      <c r="E640" s="13" t="str">
        <f ca="1">IFERROR(__xludf.DUMMYFUNCTION("""COMPUTED_VALUE"""),"niǎo")</f>
        <v>niǎo</v>
      </c>
      <c r="F640" s="13" t="str">
        <f ca="1">IFERROR(__xludf.DUMMYFUNCTION("""COMPUTED_VALUE"""),"Danh từ")</f>
        <v>Danh từ</v>
      </c>
      <c r="G640" s="13" t="str">
        <f ca="1">IFERROR(__xludf.DUMMYFUNCTION("""COMPUTED_VALUE"""),"Chim")</f>
        <v>Chim</v>
      </c>
      <c r="H640" s="13" t="str">
        <f ca="1">IFERROR(__xludf.DUMMYFUNCTION("""COMPUTED_VALUE"""),"这种鸟很少见。")</f>
        <v>这种鸟很少见。</v>
      </c>
      <c r="I640" s="13" t="str">
        <f ca="1">IFERROR(__xludf.DUMMYFUNCTION("""COMPUTED_VALUE"""),"Zhè zhǒng niǎo hěn shǎojiàn.")</f>
        <v>Zhè zhǒng niǎo hěn shǎojiàn.</v>
      </c>
      <c r="J640" s="13" t="str">
        <f ca="1">IFERROR(__xludf.DUMMYFUNCTION("""COMPUTED_VALUE"""),"Loài chim này rất hiếm thấy.")</f>
        <v>Loài chim này rất hiếm thấy.</v>
      </c>
      <c r="K640" s="13" t="str">
        <f ca="1">IFERROR(__xludf.DUMMYFUNCTION("""COMPUTED_VALUE"""),"H3_B19_BG-07.gif")</f>
        <v>H3_B19_BG-07.gif</v>
      </c>
      <c r="L640" s="13" t="str">
        <f ca="1">IFERROR(__xludf.DUMMYFUNCTION("""COMPUTED_VALUE"""),"H3_B19_7.mp3")</f>
        <v>H3_B19_7.mp3</v>
      </c>
      <c r="M640" s="13" t="str">
        <f ca="1">IFERROR(__xludf.DUMMYFUNCTION("""COMPUTED_VALUE"""),"H3_B19_VD_7.mp3")</f>
        <v>H3_B19_VD_7.mp3</v>
      </c>
    </row>
    <row r="641" spans="1:13">
      <c r="A641" s="13">
        <f ca="1">IFERROR(__xludf.DUMMYFUNCTION("""COMPUTED_VALUE"""),8)</f>
        <v>8</v>
      </c>
      <c r="B641" s="13"/>
      <c r="C641" s="13" t="str">
        <f ca="1">IFERROR(__xludf.DUMMYFUNCTION("""COMPUTED_VALUE"""),"张")</f>
        <v>张</v>
      </c>
      <c r="D641" s="13" t="str">
        <f ca="1">IFERROR(__xludf.DUMMYFUNCTION("""COMPUTED_VALUE"""),"&lt;ruby&gt;张&lt;rt&gt;zhāng&lt;/rt&gt;&lt;/ruby&gt;")</f>
        <v>&lt;ruby&gt;张&lt;rt&gt;zhāng&lt;/rt&gt;&lt;/ruby&gt;</v>
      </c>
      <c r="E641" s="13" t="str">
        <f ca="1">IFERROR(__xludf.DUMMYFUNCTION("""COMPUTED_VALUE"""),"zhāng")</f>
        <v>zhāng</v>
      </c>
      <c r="F641" s="13" t="str">
        <f ca="1">IFERROR(__xludf.DUMMYFUNCTION("""COMPUTED_VALUE"""),"Lượng từ")</f>
        <v>Lượng từ</v>
      </c>
      <c r="G641" s="13" t="str">
        <f ca="1">IFERROR(__xludf.DUMMYFUNCTION("""COMPUTED_VALUE"""),"(được dùng cho các vật phẳng như giấy, bức ảnh...) Tờ, tấm")</f>
        <v>(được dùng cho các vật phẳng như giấy, bức ảnh...) Tờ, tấm</v>
      </c>
      <c r="H641" s="13" t="str">
        <f ca="1">IFERROR(__xludf.DUMMYFUNCTION("""COMPUTED_VALUE"""),"黑板上有三张纸。")</f>
        <v>黑板上有三张纸。</v>
      </c>
      <c r="I641" s="13" t="str">
        <f ca="1">IFERROR(__xludf.DUMMYFUNCTION("""COMPUTED_VALUE"""),"Hēibǎn shàng yǒu sān zhāng zhǐ.")</f>
        <v>Hēibǎn shàng yǒu sān zhāng zhǐ.</v>
      </c>
      <c r="J641" s="13" t="str">
        <f ca="1">IFERROR(__xludf.DUMMYFUNCTION("""COMPUTED_VALUE"""),"Có 3 tờ giấy ở trên bảng.")</f>
        <v>Có 3 tờ giấy ở trên bảng.</v>
      </c>
      <c r="K641" s="13" t="str">
        <f ca="1">IFERROR(__xludf.DUMMYFUNCTION("""COMPUTED_VALUE"""),"H3_B19_BG-08.gif")</f>
        <v>H3_B19_BG-08.gif</v>
      </c>
      <c r="L641" s="13" t="str">
        <f ca="1">IFERROR(__xludf.DUMMYFUNCTION("""COMPUTED_VALUE"""),"H3_B19_8.mp3")</f>
        <v>H3_B19_8.mp3</v>
      </c>
      <c r="M641" s="13" t="str">
        <f ca="1">IFERROR(__xludf.DUMMYFUNCTION("""COMPUTED_VALUE"""),"H3_B19_VD_8.mp3")</f>
        <v>H3_B19_VD_8.mp3</v>
      </c>
    </row>
    <row r="642" spans="1:13">
      <c r="A642" s="13">
        <f ca="1">IFERROR(__xludf.DUMMYFUNCTION("""COMPUTED_VALUE"""),9)</f>
        <v>9</v>
      </c>
      <c r="B642" s="13"/>
      <c r="C642" s="13" t="str">
        <f ca="1">IFERROR(__xludf.DUMMYFUNCTION("""COMPUTED_VALUE"""),"位")</f>
        <v>位</v>
      </c>
      <c r="D642" s="13" t="str">
        <f ca="1">IFERROR(__xludf.DUMMYFUNCTION("""COMPUTED_VALUE"""),"&lt;ruby&gt;位&lt;rt&gt;wèi&lt;/rt&gt;&lt;/ruby&gt;")</f>
        <v>&lt;ruby&gt;位&lt;rt&gt;wèi&lt;/rt&gt;&lt;/ruby&gt;</v>
      </c>
      <c r="E642" s="13" t="str">
        <f ca="1">IFERROR(__xludf.DUMMYFUNCTION("""COMPUTED_VALUE"""),"wèi")</f>
        <v>wèi</v>
      </c>
      <c r="F642" s="13" t="str">
        <f ca="1">IFERROR(__xludf.DUMMYFUNCTION("""COMPUTED_VALUE"""),"Lượng từ")</f>
        <v>Lượng từ</v>
      </c>
      <c r="G642" s="13" t="str">
        <f ca="1">IFERROR(__xludf.DUMMYFUNCTION("""COMPUTED_VALUE"""),"(được dùng cho người, hàm ý kính trọng) Vị")</f>
        <v>(được dùng cho người, hàm ý kính trọng) Vị</v>
      </c>
      <c r="H642" s="13" t="str">
        <f ca="1">IFERROR(__xludf.DUMMYFUNCTION("""COMPUTED_VALUE"""),"请两位坐这里！")</f>
        <v>请两位坐这里！</v>
      </c>
      <c r="I642" s="13" t="str">
        <f ca="1">IFERROR(__xludf.DUMMYFUNCTION("""COMPUTED_VALUE"""),"Qǐng liǎng wèi zuò zhèlǐ!")</f>
        <v>Qǐng liǎng wèi zuò zhèlǐ!</v>
      </c>
      <c r="J642" s="13" t="str">
        <f ca="1">IFERROR(__xludf.DUMMYFUNCTION("""COMPUTED_VALUE"""),"Mời hai vị ngồi đây!")</f>
        <v>Mời hai vị ngồi đây!</v>
      </c>
      <c r="K642" s="13" t="str">
        <f ca="1">IFERROR(__xludf.DUMMYFUNCTION("""COMPUTED_VALUE"""),"H3_B19_BG-09.gif")</f>
        <v>H3_B19_BG-09.gif</v>
      </c>
      <c r="L642" s="13" t="str">
        <f ca="1">IFERROR(__xludf.DUMMYFUNCTION("""COMPUTED_VALUE"""),"H3_B19_9.mp3")</f>
        <v>H3_B19_9.mp3</v>
      </c>
      <c r="M642" s="13" t="str">
        <f ca="1">IFERROR(__xludf.DUMMYFUNCTION("""COMPUTED_VALUE"""),"H3_B19_VD_9.mp3")</f>
        <v>H3_B19_VD_9.mp3</v>
      </c>
    </row>
    <row r="643" spans="1:13">
      <c r="A643" s="13">
        <f ca="1">IFERROR(__xludf.DUMMYFUNCTION("""COMPUTED_VALUE"""),10)</f>
        <v>10</v>
      </c>
      <c r="B643" s="13"/>
      <c r="C643" s="13" t="str">
        <f ca="1">IFERROR(__xludf.DUMMYFUNCTION("""COMPUTED_VALUE"""),"过")</f>
        <v>过</v>
      </c>
      <c r="D643" s="13" t="str">
        <f ca="1">IFERROR(__xludf.DUMMYFUNCTION("""COMPUTED_VALUE"""),"&lt;ruby&gt;过&lt;rt&gt;guò&lt;/rt&gt;&lt;/ruby&gt;")</f>
        <v>&lt;ruby&gt;过&lt;rt&gt;guò&lt;/rt&gt;&lt;/ruby&gt;</v>
      </c>
      <c r="E643" s="13" t="str">
        <f ca="1">IFERROR(__xludf.DUMMYFUNCTION("""COMPUTED_VALUE"""),"guò")</f>
        <v>guò</v>
      </c>
      <c r="F643" s="13" t="str">
        <f ca="1">IFERROR(__xludf.DUMMYFUNCTION("""COMPUTED_VALUE"""),"Động từ")</f>
        <v>Động từ</v>
      </c>
      <c r="G643" s="13" t="str">
        <f ca="1">IFERROR(__xludf.DUMMYFUNCTION("""COMPUTED_VALUE"""),"Ăn (mừng), trải qua")</f>
        <v>Ăn (mừng), trải qua</v>
      </c>
      <c r="H643" s="13" t="str">
        <f ca="1">IFERROR(__xludf.DUMMYFUNCTION("""COMPUTED_VALUE"""),"今年我回老家过年，和父母一起庆祝。")</f>
        <v>今年我回老家过年，和父母一起庆祝。</v>
      </c>
      <c r="I643" s="13" t="str">
        <f ca="1">IFERROR(__xludf.DUMMYFUNCTION("""COMPUTED_VALUE"""),"Jīnnián wǒ huí lǎojiā guònián, hé fùmǔ yīqǐ qìngzhù.")</f>
        <v>Jīnnián wǒ huí lǎojiā guònián, hé fùmǔ yīqǐ qìngzhù.</v>
      </c>
      <c r="J643" s="13" t="str">
        <f ca="1">IFERROR(__xludf.DUMMYFUNCTION("""COMPUTED_VALUE"""),"Năm nay tôi về quê đón tết cùng bố mẹ.")</f>
        <v>Năm nay tôi về quê đón tết cùng bố mẹ.</v>
      </c>
      <c r="K643" s="13" t="str">
        <f ca="1">IFERROR(__xludf.DUMMYFUNCTION("""COMPUTED_VALUE"""),"H3_B19_BG-10.gif")</f>
        <v>H3_B19_BG-10.gif</v>
      </c>
      <c r="L643" s="13" t="str">
        <f ca="1">IFERROR(__xludf.DUMMYFUNCTION("""COMPUTED_VALUE"""),"H3_B19_10.mp3")</f>
        <v>H3_B19_10.mp3</v>
      </c>
      <c r="M643" s="13" t="str">
        <f ca="1">IFERROR(__xludf.DUMMYFUNCTION("""COMPUTED_VALUE"""),"H3_B19_VD_10.mp3")</f>
        <v>H3_B19_VD_10.mp3</v>
      </c>
    </row>
    <row r="644" spans="1:13">
      <c r="A644" s="13">
        <f ca="1">IFERROR(__xludf.DUMMYFUNCTION("""COMPUTED_VALUE"""),11)</f>
        <v>11</v>
      </c>
      <c r="B644" s="13"/>
      <c r="C644" s="13" t="str">
        <f ca="1">IFERROR(__xludf.DUMMYFUNCTION("""COMPUTED_VALUE"""),"黄河")</f>
        <v>黄河</v>
      </c>
      <c r="D644" s="13" t="str">
        <f ca="1">IFERROR(__xludf.DUMMYFUNCTION("""COMPUTED_VALUE"""),"&lt;ruby&gt;黄河&lt;rt&gt;Huáng Hé&lt;/rt&gt;&lt;/ruby&gt;")</f>
        <v>&lt;ruby&gt;黄河&lt;rt&gt;Huáng Hé&lt;/rt&gt;&lt;/ruby&gt;</v>
      </c>
      <c r="E644" s="13" t="str">
        <f ca="1">IFERROR(__xludf.DUMMYFUNCTION("""COMPUTED_VALUE"""),"Huáng Hé")</f>
        <v>Huáng Hé</v>
      </c>
      <c r="F644" s="13" t="str">
        <f ca="1">IFERROR(__xludf.DUMMYFUNCTION("""COMPUTED_VALUE"""),"Danh từ")</f>
        <v>Danh từ</v>
      </c>
      <c r="G644" s="13" t="str">
        <f ca="1">IFERROR(__xludf.DUMMYFUNCTION("""COMPUTED_VALUE"""),"Hoàng Hà (con sông lớn thứ hai ở Trung Quốc)")</f>
        <v>Hoàng Hà (con sông lớn thứ hai ở Trung Quốc)</v>
      </c>
      <c r="H644" s="13" t="str">
        <f ca="1">IFERROR(__xludf.DUMMYFUNCTION("""COMPUTED_VALUE"""),"黄河是中国第二长的河流。")</f>
        <v>黄河是中国第二长的河流。</v>
      </c>
      <c r="I644" s="13" t="str">
        <f ca="1">IFERROR(__xludf.DUMMYFUNCTION("""COMPUTED_VALUE"""),"Huánghé shì Zhōngguó dì èr cháng de héliú.")</f>
        <v>Huánghé shì Zhōngguó dì èr cháng de héliú.</v>
      </c>
      <c r="J644" s="13" t="str">
        <f ca="1">IFERROR(__xludf.DUMMYFUNCTION("""COMPUTED_VALUE"""),"Hoàng Hà là con sông dài thứ hai của Trung Quốc.")</f>
        <v>Hoàng Hà là con sông dài thứ hai của Trung Quốc.</v>
      </c>
      <c r="K644" s="13" t="str">
        <f ca="1">IFERROR(__xludf.DUMMYFUNCTION("""COMPUTED_VALUE"""),"H3_B19_BG-11.gif")</f>
        <v>H3_B19_BG-11.gif</v>
      </c>
      <c r="L644" s="13" t="str">
        <f ca="1">IFERROR(__xludf.DUMMYFUNCTION("""COMPUTED_VALUE"""),"H3_B19_11.mp3")</f>
        <v>H3_B19_11.mp3</v>
      </c>
      <c r="M644" s="13" t="str">
        <f ca="1">IFERROR(__xludf.DUMMYFUNCTION("""COMPUTED_VALUE"""),"H3_B19_VD_11.mp3")</f>
        <v>H3_B19_VD_11.mp3</v>
      </c>
    </row>
    <row r="645" spans="1:13">
      <c r="A645" s="13">
        <f ca="1">IFERROR(__xludf.DUMMYFUNCTION("""COMPUTED_VALUE"""),12)</f>
        <v>12</v>
      </c>
      <c r="B645" s="13"/>
      <c r="C645" s="13" t="str">
        <f ca="1">IFERROR(__xludf.DUMMYFUNCTION("""COMPUTED_VALUE"""),"船")</f>
        <v>船</v>
      </c>
      <c r="D645" s="13" t="str">
        <f ca="1">IFERROR(__xludf.DUMMYFUNCTION("""COMPUTED_VALUE"""),"&lt;ruby&gt;船&lt;rt&gt;chuán&lt;/rt&gt;&lt;/ruby&gt;")</f>
        <v>&lt;ruby&gt;船&lt;rt&gt;chuán&lt;/rt&gt;&lt;/ruby&gt;</v>
      </c>
      <c r="E645" s="13" t="str">
        <f ca="1">IFERROR(__xludf.DUMMYFUNCTION("""COMPUTED_VALUE"""),"chuán")</f>
        <v>chuán</v>
      </c>
      <c r="F645" s="13" t="str">
        <f ca="1">IFERROR(__xludf.DUMMYFUNCTION("""COMPUTED_VALUE"""),"Danh từ")</f>
        <v>Danh từ</v>
      </c>
      <c r="G645" s="13" t="str">
        <f ca="1">IFERROR(__xludf.DUMMYFUNCTION("""COMPUTED_VALUE"""),"Thuyền, tàu")</f>
        <v>Thuyền, tàu</v>
      </c>
      <c r="H645" s="13" t="str">
        <f ca="1">IFERROR(__xludf.DUMMYFUNCTION("""COMPUTED_VALUE"""),"渔船正在海上捕鱼。")</f>
        <v>渔船正在海上捕鱼。</v>
      </c>
      <c r="I645" s="13" t="str">
        <f ca="1">IFERROR(__xludf.DUMMYFUNCTION("""COMPUTED_VALUE"""),"Yúchuán zhèngzài hǎi shàng bǔyú.")</f>
        <v>Yúchuán zhèngzài hǎi shàng bǔyú.</v>
      </c>
      <c r="J645" s="13" t="str">
        <f ca="1">IFERROR(__xludf.DUMMYFUNCTION("""COMPUTED_VALUE"""),"Thuyền cá đang đánh bắt cá trên biển.")</f>
        <v>Thuyền cá đang đánh bắt cá trên biển.</v>
      </c>
      <c r="K645" s="13" t="str">
        <f ca="1">IFERROR(__xludf.DUMMYFUNCTION("""COMPUTED_VALUE"""),"H3_B19_BG-12.gif")</f>
        <v>H3_B19_BG-12.gif</v>
      </c>
      <c r="L645" s="13" t="str">
        <f ca="1">IFERROR(__xludf.DUMMYFUNCTION("""COMPUTED_VALUE"""),"H3_B19_12.mp3")</f>
        <v>H3_B19_12.mp3</v>
      </c>
      <c r="M645" s="13" t="str">
        <f ca="1">IFERROR(__xludf.DUMMYFUNCTION("""COMPUTED_VALUE"""),"H3_B19_VD_12.mp3")</f>
        <v>H3_B19_VD_12.mp3</v>
      </c>
    </row>
    <row r="646" spans="1:13">
      <c r="A646" s="13">
        <f ca="1">IFERROR(__xludf.DUMMYFUNCTION("""COMPUTED_VALUE"""),13)</f>
        <v>13</v>
      </c>
      <c r="B646" s="13"/>
      <c r="C646" s="13" t="str">
        <f ca="1">IFERROR(__xludf.DUMMYFUNCTION("""COMPUTED_VALUE"""),"哭")</f>
        <v>哭</v>
      </c>
      <c r="D646" s="13" t="str">
        <f ca="1">IFERROR(__xludf.DUMMYFUNCTION("""COMPUTED_VALUE"""),"&lt;ruby&gt;哭&lt;rt&gt;kū&lt;/rt&gt;&lt;/ruby&gt;")</f>
        <v>&lt;ruby&gt;哭&lt;rt&gt;kū&lt;/rt&gt;&lt;/ruby&gt;</v>
      </c>
      <c r="E646" s="13" t="str">
        <f ca="1">IFERROR(__xludf.DUMMYFUNCTION("""COMPUTED_VALUE"""),"kū")</f>
        <v>kū</v>
      </c>
      <c r="F646" s="13" t="str">
        <f ca="1">IFERROR(__xludf.DUMMYFUNCTION("""COMPUTED_VALUE"""),"Động từ")</f>
        <v>Động từ</v>
      </c>
      <c r="G646" s="13" t="str">
        <f ca="1">IFERROR(__xludf.DUMMYFUNCTION("""COMPUTED_VALUE"""),"Khóc")</f>
        <v>Khóc</v>
      </c>
      <c r="H646" s="13" t="str">
        <f ca="1">IFERROR(__xludf.DUMMYFUNCTION("""COMPUTED_VALUE"""),"孩子因为摔倒了而哭了。")</f>
        <v>孩子因为摔倒了而哭了。</v>
      </c>
      <c r="I646" s="13" t="str">
        <f ca="1">IFERROR(__xludf.DUMMYFUNCTION("""COMPUTED_VALUE"""),"Háizi yīnwèi shuāidǎo le ér kū le.")</f>
        <v>Háizi yīnwèi shuāidǎo le ér kū le.</v>
      </c>
      <c r="J646" s="13" t="str">
        <f ca="1">IFERROR(__xludf.DUMMYFUNCTION("""COMPUTED_VALUE"""),"Đứa trẻ khóc vì bị ngã.")</f>
        <v>Đứa trẻ khóc vì bị ngã.</v>
      </c>
      <c r="K646" s="13" t="str">
        <f ca="1">IFERROR(__xludf.DUMMYFUNCTION("""COMPUTED_VALUE"""),"H3_B19_BG-13.gif")</f>
        <v>H3_B19_BG-13.gif</v>
      </c>
      <c r="L646" s="13" t="str">
        <f ca="1">IFERROR(__xludf.DUMMYFUNCTION("""COMPUTED_VALUE"""),"H3_B19_13.mp3")</f>
        <v>H3_B19_13.mp3</v>
      </c>
      <c r="M646" s="13" t="str">
        <f ca="1">IFERROR(__xludf.DUMMYFUNCTION("""COMPUTED_VALUE"""),"H3_B19_VD_13.mp3")</f>
        <v>H3_B19_VD_13.mp3</v>
      </c>
    </row>
    <row r="647" spans="1:13">
      <c r="A647" s="13">
        <f ca="1">IFERROR(__xludf.DUMMYFUNCTION("""COMPUTED_VALUE"""),14)</f>
        <v>14</v>
      </c>
      <c r="B647" s="13"/>
      <c r="C647" s="13" t="str">
        <f ca="1">IFERROR(__xludf.DUMMYFUNCTION("""COMPUTED_VALUE"""),"经过")</f>
        <v>经过</v>
      </c>
      <c r="D647" s="13" t="str">
        <f ca="1">IFERROR(__xludf.DUMMYFUNCTION("""COMPUTED_VALUE"""),"&lt;ruby&gt;经过&lt;rt&gt;jīngguò&lt;/rt&gt;&lt;/ruby&gt;")</f>
        <v>&lt;ruby&gt;经过&lt;rt&gt;jīngguò&lt;/rt&gt;&lt;/ruby&gt;</v>
      </c>
      <c r="E647" s="13" t="str">
        <f ca="1">IFERROR(__xludf.DUMMYFUNCTION("""COMPUTED_VALUE"""),"jīngguò")</f>
        <v>jīngguò</v>
      </c>
      <c r="F647" s="13" t="str">
        <f ca="1">IFERROR(__xludf.DUMMYFUNCTION("""COMPUTED_VALUE"""),"Động từ")</f>
        <v>Động từ</v>
      </c>
      <c r="G647" s="13" t="str">
        <f ca="1">IFERROR(__xludf.DUMMYFUNCTION("""COMPUTED_VALUE"""),"Đi ngang qua")</f>
        <v>Đi ngang qua</v>
      </c>
      <c r="H647" s="13" t="str">
        <f ca="1">IFERROR(__xludf.DUMMYFUNCTION("""COMPUTED_VALUE"""),"经过两年，我学会说汉语了。")</f>
        <v>经过两年，我学会说汉语了。</v>
      </c>
      <c r="I647" s="13" t="str">
        <f ca="1">IFERROR(__xludf.DUMMYFUNCTION("""COMPUTED_VALUE"""),"Jīngguò liǎng nián, wǒ xuéhuì shuō Hànyǔ le.")</f>
        <v>Jīngguò liǎng nián, wǒ xuéhuì shuō Hànyǔ le.</v>
      </c>
      <c r="J647" s="13" t="str">
        <f ca="1">IFERROR(__xludf.DUMMYFUNCTION("""COMPUTED_VALUE"""),"Trải qua hai năm, tôi đã biết nói tiếng Hán.")</f>
        <v>Trải qua hai năm, tôi đã biết nói tiếng Hán.</v>
      </c>
      <c r="K647" s="13" t="str">
        <f ca="1">IFERROR(__xludf.DUMMYFUNCTION("""COMPUTED_VALUE"""),"H3_B19_BG-14.gif")</f>
        <v>H3_B19_BG-14.gif</v>
      </c>
      <c r="L647" s="13" t="str">
        <f ca="1">IFERROR(__xludf.DUMMYFUNCTION("""COMPUTED_VALUE"""),"H3_B19_14.mp3")</f>
        <v>H3_B19_14.mp3</v>
      </c>
      <c r="M647" s="13" t="str">
        <f ca="1">IFERROR(__xludf.DUMMYFUNCTION("""COMPUTED_VALUE"""),"H3_B19_VD_14.mp3")</f>
        <v>H3_B19_VD_14.mp3</v>
      </c>
    </row>
    <row r="648" spans="1:13">
      <c r="A648" s="13">
        <f ca="1">IFERROR(__xludf.DUMMYFUNCTION("""COMPUTED_VALUE"""),1)</f>
        <v>1</v>
      </c>
      <c r="B648" s="13"/>
      <c r="C648" s="13" t="str">
        <f ca="1">IFERROR(__xludf.DUMMYFUNCTION("""COMPUTED_VALUE"""),"难过")</f>
        <v>难过</v>
      </c>
      <c r="D648" s="13" t="str">
        <f ca="1">IFERROR(__xludf.DUMMYFUNCTION("""COMPUTED_VALUE"""),"&lt;ruby&gt;难过&lt;rt&gt;nánguò&lt;/rt&gt;&lt;/ruby&gt;")</f>
        <v>&lt;ruby&gt;难过&lt;rt&gt;nánguò&lt;/rt&gt;&lt;/ruby&gt;</v>
      </c>
      <c r="E648" s="13" t="str">
        <f ca="1">IFERROR(__xludf.DUMMYFUNCTION("""COMPUTED_VALUE"""),"nánguò")</f>
        <v>nánguò</v>
      </c>
      <c r="F648" s="13" t="str">
        <f ca="1">IFERROR(__xludf.DUMMYFUNCTION("""COMPUTED_VALUE"""),"Tính từ")</f>
        <v>Tính từ</v>
      </c>
      <c r="G648" s="13" t="str">
        <f ca="1">IFERROR(__xludf.DUMMYFUNCTION("""COMPUTED_VALUE"""),"Buồn")</f>
        <v>Buồn</v>
      </c>
      <c r="H648" s="13" t="str">
        <f ca="1">IFERROR(__xludf.DUMMYFUNCTION("""COMPUTED_VALUE"""),"我感到很难过。")</f>
        <v>我感到很难过。</v>
      </c>
      <c r="I648" s="13" t="str">
        <f ca="1">IFERROR(__xludf.DUMMYFUNCTION("""COMPUTED_VALUE"""),"Wǒ gǎndào hěn nánguò.")</f>
        <v>Wǒ gǎndào hěn nánguò.</v>
      </c>
      <c r="J648" s="13" t="str">
        <f ca="1">IFERROR(__xludf.DUMMYFUNCTION("""COMPUTED_VALUE"""),"Tôi cảm thấy rất buồn.")</f>
        <v>Tôi cảm thấy rất buồn.</v>
      </c>
      <c r="K648" s="13" t="str">
        <f ca="1">IFERROR(__xludf.DUMMYFUNCTION("""COMPUTED_VALUE"""),"H3_B20_BG-01.gif")</f>
        <v>H3_B20_BG-01.gif</v>
      </c>
      <c r="L648" s="13" t="str">
        <f ca="1">IFERROR(__xludf.DUMMYFUNCTION("""COMPUTED_VALUE"""),"H3_B20_1.mp3")</f>
        <v>H3_B20_1.mp3</v>
      </c>
      <c r="M648" s="13" t="str">
        <f ca="1">IFERROR(__xludf.DUMMYFUNCTION("""COMPUTED_VALUE"""),"H3_B20_VD_1.mp3")</f>
        <v>H3_B20_VD_1.mp3</v>
      </c>
    </row>
    <row r="649" spans="1:13">
      <c r="A649" s="13">
        <f ca="1">IFERROR(__xludf.DUMMYFUNCTION("""COMPUTED_VALUE"""),2)</f>
        <v>2</v>
      </c>
      <c r="B649" s="13"/>
      <c r="C649" s="13" t="str">
        <f ca="1">IFERROR(__xludf.DUMMYFUNCTION("""COMPUTED_VALUE"""),"关心")</f>
        <v>关心</v>
      </c>
      <c r="D649" s="13" t="str">
        <f ca="1">IFERROR(__xludf.DUMMYFUNCTION("""COMPUTED_VALUE"""),"&lt;ruby&gt;关心&lt;rt&gt;guānxīn&lt;/rt&gt;&lt;/ruby&gt;")</f>
        <v>&lt;ruby&gt;关心&lt;rt&gt;guānxīn&lt;/rt&gt;&lt;/ruby&gt;</v>
      </c>
      <c r="E649" s="13" t="str">
        <f ca="1">IFERROR(__xludf.DUMMYFUNCTION("""COMPUTED_VALUE"""),"guānxīn")</f>
        <v>guānxīn</v>
      </c>
      <c r="F649" s="13" t="str">
        <f ca="1">IFERROR(__xludf.DUMMYFUNCTION("""COMPUTED_VALUE"""),"Động từ")</f>
        <v>Động từ</v>
      </c>
      <c r="G649" s="13" t="str">
        <f ca="1">IFERROR(__xludf.DUMMYFUNCTION("""COMPUTED_VALUE"""),"Quan tâm, chú ý")</f>
        <v>Quan tâm, chú ý</v>
      </c>
      <c r="H649" s="13" t="str">
        <f ca="1">IFERROR(__xludf.DUMMYFUNCTION("""COMPUTED_VALUE"""),"妈妈关心儿子的学习情况。")</f>
        <v>妈妈关心儿子的学习情况。</v>
      </c>
      <c r="I649" s="13" t="str">
        <f ca="1">IFERROR(__xludf.DUMMYFUNCTION("""COMPUTED_VALUE"""),"Māmā guānxīn érzi de xuéxí qíngkuàng.")</f>
        <v>Māmā guānxīn érzi de xuéxí qíngkuàng.</v>
      </c>
      <c r="J649" s="13" t="str">
        <f ca="1">IFERROR(__xludf.DUMMYFUNCTION("""COMPUTED_VALUE"""),"Mẹ quan tâm đến tình hình học tâm của con trai.")</f>
        <v>Mẹ quan tâm đến tình hình học tâm của con trai.</v>
      </c>
      <c r="K649" s="13" t="str">
        <f ca="1">IFERROR(__xludf.DUMMYFUNCTION("""COMPUTED_VALUE"""),"H3_B20_BG-02.gif")</f>
        <v>H3_B20_BG-02.gif</v>
      </c>
      <c r="L649" s="13" t="str">
        <f ca="1">IFERROR(__xludf.DUMMYFUNCTION("""COMPUTED_VALUE"""),"H3_B20_2.mp3")</f>
        <v>H3_B20_2.mp3</v>
      </c>
      <c r="M649" s="13" t="str">
        <f ca="1">IFERROR(__xludf.DUMMYFUNCTION("""COMPUTED_VALUE"""),"H3_B20_VD_2.mp3")</f>
        <v>H3_B20_VD_2.mp3</v>
      </c>
    </row>
    <row r="650" spans="1:13">
      <c r="A650" s="13">
        <f ca="1">IFERROR(__xludf.DUMMYFUNCTION("""COMPUTED_VALUE"""),3)</f>
        <v>3</v>
      </c>
      <c r="B650" s="13"/>
      <c r="C650" s="13" t="str">
        <f ca="1">IFERROR(__xludf.DUMMYFUNCTION("""COMPUTED_VALUE"""),"只有...才...")</f>
        <v>只有...才...</v>
      </c>
      <c r="D650" s="13" t="str">
        <f ca="1">IFERROR(__xludf.DUMMYFUNCTION("""COMPUTED_VALUE"""),"&lt;ruby&gt;只有...才...&lt;rt&gt;zhǐyǒu...cái...&lt;/rt&gt;&lt;/ruby&gt;")</f>
        <v>&lt;ruby&gt;只有...才...&lt;rt&gt;zhǐyǒu...cái...&lt;/rt&gt;&lt;/ruby&gt;</v>
      </c>
      <c r="E650" s="13" t="str">
        <f ca="1">IFERROR(__xludf.DUMMYFUNCTION("""COMPUTED_VALUE"""),"zhǐyǒu...cái...")</f>
        <v>zhǐyǒu...cái...</v>
      </c>
      <c r="F650" s="13" t="str">
        <f ca="1">IFERROR(__xludf.DUMMYFUNCTION("""COMPUTED_VALUE"""),"Liên từ")</f>
        <v>Liên từ</v>
      </c>
      <c r="G650" s="13" t="str">
        <f ca="1">IFERROR(__xludf.DUMMYFUNCTION("""COMPUTED_VALUE"""),"Chỉ có...mới....")</f>
        <v>Chỉ có...mới....</v>
      </c>
      <c r="H650" s="13" t="str">
        <f ca="1">IFERROR(__xludf.DUMMYFUNCTION("""COMPUTED_VALUE"""),"只有消防车才能扑灭这场大火。")</f>
        <v>只有消防车才能扑灭这场大火。</v>
      </c>
      <c r="I650" s="13" t="str">
        <f ca="1">IFERROR(__xludf.DUMMYFUNCTION("""COMPUTED_VALUE"""),"Zhǐyǒu xiāofángchē cáinéng pūmiè zhè chǎng dàhuǒ.")</f>
        <v>Zhǐyǒu xiāofángchē cáinéng pūmiè zhè chǎng dàhuǒ.</v>
      </c>
      <c r="J650" s="13" t="str">
        <f ca="1">IFERROR(__xludf.DUMMYFUNCTION("""COMPUTED_VALUE"""),"Chỉ có xe cứu hỏa mới có thể dập được đám lửa lớn này.")</f>
        <v>Chỉ có xe cứu hỏa mới có thể dập được đám lửa lớn này.</v>
      </c>
      <c r="K650" s="13" t="str">
        <f ca="1">IFERROR(__xludf.DUMMYFUNCTION("""COMPUTED_VALUE"""),"H3_B20_BG-03.gif")</f>
        <v>H3_B20_BG-03.gif</v>
      </c>
      <c r="L650" s="13" t="str">
        <f ca="1">IFERROR(__xludf.DUMMYFUNCTION("""COMPUTED_VALUE"""),"H3_B20_3.mp3")</f>
        <v>H3_B20_3.mp3</v>
      </c>
      <c r="M650" s="13" t="str">
        <f ca="1">IFERROR(__xludf.DUMMYFUNCTION("""COMPUTED_VALUE"""),"H3_B20_VD_3.mp3")</f>
        <v>H3_B20_VD_3.mp3</v>
      </c>
    </row>
    <row r="651" spans="1:13">
      <c r="A651" s="13">
        <f ca="1">IFERROR(__xludf.DUMMYFUNCTION("""COMPUTED_VALUE"""),4)</f>
        <v>4</v>
      </c>
      <c r="B651" s="13"/>
      <c r="C651" s="13" t="str">
        <f ca="1">IFERROR(__xludf.DUMMYFUNCTION("""COMPUTED_VALUE"""),"成绩")</f>
        <v>成绩</v>
      </c>
      <c r="D651" s="13" t="str">
        <f ca="1">IFERROR(__xludf.DUMMYFUNCTION("""COMPUTED_VALUE"""),"&lt;ruby&gt;成绩&lt;rt&gt;chéngjì&lt;/rt&gt;&lt;/ruby&gt;")</f>
        <v>&lt;ruby&gt;成绩&lt;rt&gt;chéngjì&lt;/rt&gt;&lt;/ruby&gt;</v>
      </c>
      <c r="E651" s="13" t="str">
        <f ca="1">IFERROR(__xludf.DUMMYFUNCTION("""COMPUTED_VALUE"""),"chéngjì")</f>
        <v>chéngjì</v>
      </c>
      <c r="F651" s="13" t="str">
        <f ca="1">IFERROR(__xludf.DUMMYFUNCTION("""COMPUTED_VALUE"""),"Danh từ")</f>
        <v>Danh từ</v>
      </c>
      <c r="G651" s="13" t="str">
        <f ca="1">IFERROR(__xludf.DUMMYFUNCTION("""COMPUTED_VALUE"""),"Thành tích, kết quả")</f>
        <v>Thành tích, kết quả</v>
      </c>
      <c r="H651" s="13" t="str">
        <f ca="1">IFERROR(__xludf.DUMMYFUNCTION("""COMPUTED_VALUE"""),"他的成绩一直很优秀。")</f>
        <v>他的成绩一直很优秀。</v>
      </c>
      <c r="I651" s="13" t="str">
        <f ca="1">IFERROR(__xludf.DUMMYFUNCTION("""COMPUTED_VALUE"""),"Tā de chéngjī yīzhí hěn yōuxiù.")</f>
        <v>Tā de chéngjī yīzhí hěn yōuxiù.</v>
      </c>
      <c r="J651" s="13" t="str">
        <f ca="1">IFERROR(__xludf.DUMMYFUNCTION("""COMPUTED_VALUE"""),"Thành tích của anh ấy luôn xuất sắc.")</f>
        <v>Thành tích của anh ấy luôn xuất sắc.</v>
      </c>
      <c r="K651" s="13" t="str">
        <f ca="1">IFERROR(__xludf.DUMMYFUNCTION("""COMPUTED_VALUE"""),"H3_B20_BG-04.gif")</f>
        <v>H3_B20_BG-04.gif</v>
      </c>
      <c r="L651" s="13" t="str">
        <f ca="1">IFERROR(__xludf.DUMMYFUNCTION("""COMPUTED_VALUE"""),"H3_B20_4.mp3")</f>
        <v>H3_B20_4.mp3</v>
      </c>
      <c r="M651" s="13" t="str">
        <f ca="1">IFERROR(__xludf.DUMMYFUNCTION("""COMPUTED_VALUE"""),"H3_B20_VD_4.mp3")</f>
        <v>H3_B20_VD_4.mp3</v>
      </c>
    </row>
    <row r="652" spans="1:13">
      <c r="A652" s="13">
        <f ca="1">IFERROR(__xludf.DUMMYFUNCTION("""COMPUTED_VALUE"""),5)</f>
        <v>5</v>
      </c>
      <c r="B652" s="13"/>
      <c r="C652" s="13" t="str">
        <f ca="1">IFERROR(__xludf.DUMMYFUNCTION("""COMPUTED_VALUE"""),"试")</f>
        <v>试</v>
      </c>
      <c r="D652" s="13" t="str">
        <f ca="1">IFERROR(__xludf.DUMMYFUNCTION("""COMPUTED_VALUE"""),"&lt;ruby&gt;试&lt;rt&gt;shì&lt;/rt&gt;&lt;/ruby&gt;")</f>
        <v>&lt;ruby&gt;试&lt;rt&gt;shì&lt;/rt&gt;&lt;/ruby&gt;</v>
      </c>
      <c r="E652" s="13" t="str">
        <f ca="1">IFERROR(__xludf.DUMMYFUNCTION("""COMPUTED_VALUE"""),"shì")</f>
        <v>shì</v>
      </c>
      <c r="F652" s="13" t="str">
        <f ca="1">IFERROR(__xludf.DUMMYFUNCTION("""COMPUTED_VALUE"""),"Động từ")</f>
        <v>Động từ</v>
      </c>
      <c r="G652" s="13" t="str">
        <f ca="1">IFERROR(__xludf.DUMMYFUNCTION("""COMPUTED_VALUE"""),"Thử")</f>
        <v>Thử</v>
      </c>
      <c r="H652" s="13" t="str">
        <f ca="1">IFERROR(__xludf.DUMMYFUNCTION("""COMPUTED_VALUE"""),"你应该试着学习一项新技能。")</f>
        <v>你应该试着学习一项新技能。</v>
      </c>
      <c r="I652" s="13" t="str">
        <f ca="1">IFERROR(__xludf.DUMMYFUNCTION("""COMPUTED_VALUE"""),"Nǐ yīnggāi shìzhe xuéxí yī xiàng xīn jìnéng.")</f>
        <v>Nǐ yīnggāi shìzhe xuéxí yī xiàng xīn jìnéng.</v>
      </c>
      <c r="J652" s="13" t="str">
        <f ca="1">IFERROR(__xludf.DUMMYFUNCTION("""COMPUTED_VALUE"""),"Bạn nên thử học một kỹ năng mới.")</f>
        <v>Bạn nên thử học một kỹ năng mới.</v>
      </c>
      <c r="K652" s="13" t="str">
        <f ca="1">IFERROR(__xludf.DUMMYFUNCTION("""COMPUTED_VALUE"""),"H3_B20_BG-05.gif")</f>
        <v>H3_B20_BG-05.gif</v>
      </c>
      <c r="L652" s="13" t="str">
        <f ca="1">IFERROR(__xludf.DUMMYFUNCTION("""COMPUTED_VALUE"""),"H3_B20_5.mp3")</f>
        <v>H3_B20_5.mp3</v>
      </c>
      <c r="M652" s="13" t="str">
        <f ca="1">IFERROR(__xludf.DUMMYFUNCTION("""COMPUTED_VALUE"""),"H3_B20_VD_5.mp3")</f>
        <v>H3_B20_VD_5.mp3</v>
      </c>
    </row>
    <row r="653" spans="1:13">
      <c r="A653" s="13">
        <f ca="1">IFERROR(__xludf.DUMMYFUNCTION("""COMPUTED_VALUE"""),6)</f>
        <v>6</v>
      </c>
      <c r="B653" s="13"/>
      <c r="C653" s="13" t="str">
        <f ca="1">IFERROR(__xludf.DUMMYFUNCTION("""COMPUTED_VALUE"""),"真正")</f>
        <v>真正</v>
      </c>
      <c r="D653" s="13" t="str">
        <f ca="1">IFERROR(__xludf.DUMMYFUNCTION("""COMPUTED_VALUE"""),"&lt;ruby&gt;真正&lt;rt&gt;zhēnzhèng&lt;/rt&gt;&lt;/ruby&gt;")</f>
        <v>&lt;ruby&gt;真正&lt;rt&gt;zhēnzhèng&lt;/rt&gt;&lt;/ruby&gt;</v>
      </c>
      <c r="E653" s="13" t="str">
        <f ca="1">IFERROR(__xludf.DUMMYFUNCTION("""COMPUTED_VALUE"""),"zhēnzhèng")</f>
        <v>zhēnzhèng</v>
      </c>
      <c r="F653" s="13" t="str">
        <f ca="1">IFERROR(__xludf.DUMMYFUNCTION("""COMPUTED_VALUE"""),"Tính từ")</f>
        <v>Tính từ</v>
      </c>
      <c r="G653" s="13" t="str">
        <f ca="1">IFERROR(__xludf.DUMMYFUNCTION("""COMPUTED_VALUE"""),"Thật sự")</f>
        <v>Thật sự</v>
      </c>
      <c r="H653" s="13" t="str">
        <f ca="1">IFERROR(__xludf.DUMMYFUNCTION("""COMPUTED_VALUE"""),"也许他真正因为熬夜复习而感到疲惫。")</f>
        <v>也许他真正因为熬夜复习而感到疲惫。</v>
      </c>
      <c r="I653" s="13" t="str">
        <f ca="1">IFERROR(__xludf.DUMMYFUNCTION("""COMPUTED_VALUE"""),"Yěxǔ tā zhēnzhèng yīnwèi áoyè fùxí ér gǎndào píbèi.")</f>
        <v>Yěxǔ tā zhēnzhèng yīnwèi áoyè fùxí ér gǎndào píbèi.</v>
      </c>
      <c r="J653" s="13" t="str">
        <f ca="1">IFERROR(__xludf.DUMMYFUNCTION("""COMPUTED_VALUE"""),"Có lẽ cậu ấy thật sự mệt mỏi vì thức đêm để ôn thi.")</f>
        <v>Có lẽ cậu ấy thật sự mệt mỏi vì thức đêm để ôn thi.</v>
      </c>
      <c r="K653" s="13" t="str">
        <f ca="1">IFERROR(__xludf.DUMMYFUNCTION("""COMPUTED_VALUE"""),"H3_B20_BG-06.gif")</f>
        <v>H3_B20_BG-06.gif</v>
      </c>
      <c r="L653" s="13" t="str">
        <f ca="1">IFERROR(__xludf.DUMMYFUNCTION("""COMPUTED_VALUE"""),"H3_B20_6.mp3")</f>
        <v>H3_B20_6.mp3</v>
      </c>
      <c r="M653" s="13" t="str">
        <f ca="1">IFERROR(__xludf.DUMMYFUNCTION("""COMPUTED_VALUE"""),"H3_B20_VD_6.mp3")</f>
        <v>H3_B20_VD_6.mp3</v>
      </c>
    </row>
    <row r="654" spans="1:13">
      <c r="A654" s="13">
        <f ca="1">IFERROR(__xludf.DUMMYFUNCTION("""COMPUTED_VALUE"""),7)</f>
        <v>7</v>
      </c>
      <c r="B654" s="13"/>
      <c r="C654" s="13" t="str">
        <f ca="1">IFERROR(__xludf.DUMMYFUNCTION("""COMPUTED_VALUE"""),"多么")</f>
        <v>多么</v>
      </c>
      <c r="D654" s="13" t="str">
        <f ca="1">IFERROR(__xludf.DUMMYFUNCTION("""COMPUTED_VALUE"""),"&lt;ruby&gt;多么&lt;rt&gt;duōme&lt;/rt&gt;&lt;/ruby&gt;")</f>
        <v>&lt;ruby&gt;多么&lt;rt&gt;duōme&lt;/rt&gt;&lt;/ruby&gt;</v>
      </c>
      <c r="E654" s="13" t="str">
        <f ca="1">IFERROR(__xludf.DUMMYFUNCTION("""COMPUTED_VALUE"""),"duōme")</f>
        <v>duōme</v>
      </c>
      <c r="F654" s="13" t="str">
        <f ca="1">IFERROR(__xludf.DUMMYFUNCTION("""COMPUTED_VALUE"""),"Phó từ")</f>
        <v>Phó từ</v>
      </c>
      <c r="G654" s="13" t="str">
        <f ca="1">IFERROR(__xludf.DUMMYFUNCTION("""COMPUTED_VALUE"""),"(mức độ tương đối cao) mấy, bao nhiêu")</f>
        <v>(mức độ tương đối cao) mấy, bao nhiêu</v>
      </c>
      <c r="H654" s="13" t="str">
        <f ca="1">IFERROR(__xludf.DUMMYFUNCTION("""COMPUTED_VALUE"""),"无论天气多么冷，我都会去放风筝。")</f>
        <v>无论天气多么冷，我都会去放风筝。</v>
      </c>
      <c r="I654" s="13" t="str">
        <f ca="1">IFERROR(__xludf.DUMMYFUNCTION("""COMPUTED_VALUE"""),"Wúlùn tiānqì duōme lěng, wǒ dōu huì qù fàng fēngzheng.")</f>
        <v>Wúlùn tiānqì duōme lěng, wǒ dōu huì qù fàng fēngzheng.</v>
      </c>
      <c r="J654" s="13" t="str">
        <f ca="1">IFERROR(__xludf.DUMMYFUNCTION("""COMPUTED_VALUE"""),"Dù trời có lạnh đến mấy, tôi vẫn sẽ đi thả diều.")</f>
        <v>Dù trời có lạnh đến mấy, tôi vẫn sẽ đi thả diều.</v>
      </c>
      <c r="K654" s="13" t="str">
        <f ca="1">IFERROR(__xludf.DUMMYFUNCTION("""COMPUTED_VALUE"""),"H3_B20_BG-07.gif")</f>
        <v>H3_B20_BG-07.gif</v>
      </c>
      <c r="L654" s="13" t="str">
        <f ca="1">IFERROR(__xludf.DUMMYFUNCTION("""COMPUTED_VALUE"""),"H3_B20_7.mp3")</f>
        <v>H3_B20_7.mp3</v>
      </c>
      <c r="M654" s="13" t="str">
        <f ca="1">IFERROR(__xludf.DUMMYFUNCTION("""COMPUTED_VALUE"""),"H3_B20_VD_7.mp3")</f>
        <v>H3_B20_VD_7.mp3</v>
      </c>
    </row>
    <row r="655" spans="1:13">
      <c r="A655" s="13">
        <f ca="1">IFERROR(__xludf.DUMMYFUNCTION("""COMPUTED_VALUE"""),8)</f>
        <v>8</v>
      </c>
      <c r="B655" s="13"/>
      <c r="C655" s="13" t="str">
        <f ca="1">IFERROR(__xludf.DUMMYFUNCTION("""COMPUTED_VALUE"""),"照相机")</f>
        <v>照相机</v>
      </c>
      <c r="D655" s="13" t="str">
        <f ca="1">IFERROR(__xludf.DUMMYFUNCTION("""COMPUTED_VALUE"""),"&lt;ruby&gt;照相机&lt;rt&gt;zhàoxiàngjī&lt;/rt&gt;&lt;/ruby&gt;")</f>
        <v>&lt;ruby&gt;照相机&lt;rt&gt;zhàoxiàngjī&lt;/rt&gt;&lt;/ruby&gt;</v>
      </c>
      <c r="E655" s="13" t="str">
        <f ca="1">IFERROR(__xludf.DUMMYFUNCTION("""COMPUTED_VALUE"""),"zhàoxiàngjī")</f>
        <v>zhàoxiàngjī</v>
      </c>
      <c r="F655" s="13" t="str">
        <f ca="1">IFERROR(__xludf.DUMMYFUNCTION("""COMPUTED_VALUE"""),"Danh từ")</f>
        <v>Danh từ</v>
      </c>
      <c r="G655" s="13" t="str">
        <f ca="1">IFERROR(__xludf.DUMMYFUNCTION("""COMPUTED_VALUE"""),"Máy chụp ảnh")</f>
        <v>Máy chụp ảnh</v>
      </c>
      <c r="H655" s="13" t="str">
        <f ca="1">IFERROR(__xludf.DUMMYFUNCTION("""COMPUTED_VALUE"""),"爸爸送了我一台新的照相机。")</f>
        <v>爸爸送了我一台新的照相机。</v>
      </c>
      <c r="I655" s="13" t="str">
        <f ca="1">IFERROR(__xludf.DUMMYFUNCTION("""COMPUTED_VALUE"""),"Bàba sòng le wǒ yī tái xīn de zhàoxiàngjī.")</f>
        <v>Bàba sòng le wǒ yī tái xīn de zhàoxiàngjī.</v>
      </c>
      <c r="J655" s="13" t="str">
        <f ca="1">IFERROR(__xludf.DUMMYFUNCTION("""COMPUTED_VALUE"""),"Bố tặng tôi một chiếc máy ảnh mới.")</f>
        <v>Bố tặng tôi một chiếc máy ảnh mới.</v>
      </c>
      <c r="K655" s="13" t="str">
        <f ca="1">IFERROR(__xludf.DUMMYFUNCTION("""COMPUTED_VALUE"""),"H3_B20_BG-08.gif")</f>
        <v>H3_B20_BG-08.gif</v>
      </c>
      <c r="L655" s="13" t="str">
        <f ca="1">IFERROR(__xludf.DUMMYFUNCTION("""COMPUTED_VALUE"""),"H3_B20_8.mp3")</f>
        <v>H3_B20_8.mp3</v>
      </c>
      <c r="M655" s="13" t="str">
        <f ca="1">IFERROR(__xludf.DUMMYFUNCTION("""COMPUTED_VALUE"""),"H3_B20_VD_8.mp3")</f>
        <v>H3_B20_VD_8.mp3</v>
      </c>
    </row>
    <row r="656" spans="1:13">
      <c r="A656" s="13">
        <f ca="1">IFERROR(__xludf.DUMMYFUNCTION("""COMPUTED_VALUE"""),9)</f>
        <v>9</v>
      </c>
      <c r="B656" s="13"/>
      <c r="C656" s="13" t="str">
        <f ca="1">IFERROR(__xludf.DUMMYFUNCTION("""COMPUTED_VALUE"""),"被")</f>
        <v>被</v>
      </c>
      <c r="D656" s="13" t="str">
        <f ca="1">IFERROR(__xludf.DUMMYFUNCTION("""COMPUTED_VALUE"""),"&lt;ruby&gt;被&lt;rt&gt;bèi&lt;/rt&gt;&lt;/ruby&gt;")</f>
        <v>&lt;ruby&gt;被&lt;rt&gt;bèi&lt;/rt&gt;&lt;/ruby&gt;</v>
      </c>
      <c r="E656" s="13" t="str">
        <f ca="1">IFERROR(__xludf.DUMMYFUNCTION("""COMPUTED_VALUE"""),"bèi")</f>
        <v>bèi</v>
      </c>
      <c r="F656" s="13" t="str">
        <f ca="1">IFERROR(__xludf.DUMMYFUNCTION("""COMPUTED_VALUE"""),"Giới từ")</f>
        <v>Giới từ</v>
      </c>
      <c r="G656" s="13" t="str">
        <f ca="1">IFERROR(__xludf.DUMMYFUNCTION("""COMPUTED_VALUE"""),"Bị (được dùng để chỉ thể bị động)")</f>
        <v>Bị (được dùng để chỉ thể bị động)</v>
      </c>
      <c r="H656" s="13" t="str">
        <f ca="1">IFERROR(__xludf.DUMMYFUNCTION("""COMPUTED_VALUE"""),"她的鼻子被流血了。")</f>
        <v>她的鼻子被流血了。</v>
      </c>
      <c r="I656" s="13" t="str">
        <f ca="1">IFERROR(__xludf.DUMMYFUNCTION("""COMPUTED_VALUE"""),"Tā de bízi zài liúxuè le.")</f>
        <v>Tā de bízi zài liúxuè le.</v>
      </c>
      <c r="J656" s="13" t="str">
        <f ca="1">IFERROR(__xludf.DUMMYFUNCTION("""COMPUTED_VALUE"""),"Cô ấy bị chảy máu mũi rồi.")</f>
        <v>Cô ấy bị chảy máu mũi rồi.</v>
      </c>
      <c r="K656" s="13" t="str">
        <f ca="1">IFERROR(__xludf.DUMMYFUNCTION("""COMPUTED_VALUE"""),"H3_B20_BG-09.gif")</f>
        <v>H3_B20_BG-09.gif</v>
      </c>
      <c r="L656" s="13" t="str">
        <f ca="1">IFERROR(__xludf.DUMMYFUNCTION("""COMPUTED_VALUE"""),"H3_B20_9.mp3")</f>
        <v>H3_B20_9.mp3</v>
      </c>
      <c r="M656" s="13" t="str">
        <f ca="1">IFERROR(__xludf.DUMMYFUNCTION("""COMPUTED_VALUE"""),"H3_B20_VD_9.mp3")</f>
        <v>H3_B20_VD_9.mp3</v>
      </c>
    </row>
    <row r="657" spans="1:13">
      <c r="A657" s="13">
        <f ca="1">IFERROR(__xludf.DUMMYFUNCTION("""COMPUTED_VALUE"""),10)</f>
        <v>10</v>
      </c>
      <c r="B657" s="13"/>
      <c r="C657" s="13" t="str">
        <f ca="1">IFERROR(__xludf.DUMMYFUNCTION("""COMPUTED_VALUE"""),"东")</f>
        <v>东</v>
      </c>
      <c r="D657" s="13" t="str">
        <f ca="1">IFERROR(__xludf.DUMMYFUNCTION("""COMPUTED_VALUE"""),"&lt;ruby&gt;东&lt;rt&gt;dōng&lt;/rt&gt;&lt;/ruby&gt;")</f>
        <v>&lt;ruby&gt;东&lt;rt&gt;dōng&lt;/rt&gt;&lt;/ruby&gt;</v>
      </c>
      <c r="E657" s="13" t="str">
        <f ca="1">IFERROR(__xludf.DUMMYFUNCTION("""COMPUTED_VALUE"""),"dōng")</f>
        <v>dōng</v>
      </c>
      <c r="F657" s="13" t="str">
        <f ca="1">IFERROR(__xludf.DUMMYFUNCTION("""COMPUTED_VALUE"""),"Danh từ")</f>
        <v>Danh từ</v>
      </c>
      <c r="G657" s="13" t="str">
        <f ca="1">IFERROR(__xludf.DUMMYFUNCTION("""COMPUTED_VALUE"""),"Phía đông")</f>
        <v>Phía đông</v>
      </c>
      <c r="H657" s="13" t="str">
        <f ca="1">IFERROR(__xludf.DUMMYFUNCTION("""COMPUTED_VALUE"""),"太阳从东边升起。")</f>
        <v>太阳从东边升起。</v>
      </c>
      <c r="I657" s="13" t="str">
        <f ca="1">IFERROR(__xludf.DUMMYFUNCTION("""COMPUTED_VALUE"""),"Tàiyáng cóng dōngbiān shēngqǐ.")</f>
        <v>Tàiyáng cóng dōngbiān shēngqǐ.</v>
      </c>
      <c r="J657" s="13" t="str">
        <f ca="1">IFERROR(__xludf.DUMMYFUNCTION("""COMPUTED_VALUE"""),"Mặt trời mọc từ phía đông.")</f>
        <v>Mặt trời mọc từ phía đông.</v>
      </c>
      <c r="K657" s="13" t="str">
        <f ca="1">IFERROR(__xludf.DUMMYFUNCTION("""COMPUTED_VALUE"""),"H3_B20_BG-10.gif")</f>
        <v>H3_B20_BG-10.gif</v>
      </c>
      <c r="L657" s="13" t="str">
        <f ca="1">IFERROR(__xludf.DUMMYFUNCTION("""COMPUTED_VALUE"""),"H3_B20_10.mp3")</f>
        <v>H3_B20_10.mp3</v>
      </c>
      <c r="M657" s="13" t="str">
        <f ca="1">IFERROR(__xludf.DUMMYFUNCTION("""COMPUTED_VALUE"""),"H3_B20_VD_10.mp3")</f>
        <v>H3_B20_VD_10.mp3</v>
      </c>
    </row>
    <row r="658" spans="1:13">
      <c r="A658" s="13">
        <f ca="1">IFERROR(__xludf.DUMMYFUNCTION("""COMPUTED_VALUE"""),11)</f>
        <v>11</v>
      </c>
      <c r="B658" s="13"/>
      <c r="C658" s="13" t="str">
        <f ca="1">IFERROR(__xludf.DUMMYFUNCTION("""COMPUTED_VALUE"""),"信用卡")</f>
        <v>信用卡</v>
      </c>
      <c r="D658" s="13" t="str">
        <f ca="1">IFERROR(__xludf.DUMMYFUNCTION("""COMPUTED_VALUE"""),"&lt;ruby&gt;信用卡&lt;rt&gt;xìnyòngkǎ&lt;/rt&gt;&lt;/ruby&gt;")</f>
        <v>&lt;ruby&gt;信用卡&lt;rt&gt;xìnyòngkǎ&lt;/rt&gt;&lt;/ruby&gt;</v>
      </c>
      <c r="E658" s="13" t="str">
        <f ca="1">IFERROR(__xludf.DUMMYFUNCTION("""COMPUTED_VALUE"""),"xìnyòngkǎ")</f>
        <v>xìnyòngkǎ</v>
      </c>
      <c r="F658" s="13" t="str">
        <f ca="1">IFERROR(__xludf.DUMMYFUNCTION("""COMPUTED_VALUE"""),"Danh từ")</f>
        <v>Danh từ</v>
      </c>
      <c r="G658" s="13" t="str">
        <f ca="1">IFERROR(__xludf.DUMMYFUNCTION("""COMPUTED_VALUE"""),"Thẻ tín dụng")</f>
        <v>Thẻ tín dụng</v>
      </c>
      <c r="H658" s="13" t="str">
        <f ca="1">IFERROR(__xludf.DUMMYFUNCTION("""COMPUTED_VALUE"""),"他用信用卡支付了账单。")</f>
        <v>他用信用卡支付了账单。</v>
      </c>
      <c r="I658" s="13" t="str">
        <f ca="1">IFERROR(__xludf.DUMMYFUNCTION("""COMPUTED_VALUE"""),"Tā yòng xìnyòngkǎ zhīfù le zhàngdān.")</f>
        <v>Tā yòng xìnyòngkǎ zhīfù le zhàngdān.</v>
      </c>
      <c r="J658" s="13" t="str">
        <f ca="1">IFERROR(__xludf.DUMMYFUNCTION("""COMPUTED_VALUE"""),"Anh ấy dùng thẻ tín dụng để thanh toán.")</f>
        <v>Anh ấy dùng thẻ tín dụng để thanh toán.</v>
      </c>
      <c r="K658" s="13" t="str">
        <f ca="1">IFERROR(__xludf.DUMMYFUNCTION("""COMPUTED_VALUE"""),"H3_B20_BG-11.gif")</f>
        <v>H3_B20_BG-11.gif</v>
      </c>
      <c r="L658" s="13" t="str">
        <f ca="1">IFERROR(__xludf.DUMMYFUNCTION("""COMPUTED_VALUE"""),"H3_B20_11.mp3")</f>
        <v>H3_B20_11.mp3</v>
      </c>
      <c r="M658" s="13" t="str">
        <f ca="1">IFERROR(__xludf.DUMMYFUNCTION("""COMPUTED_VALUE"""),"H3_B20_VD_11.mp3")</f>
        <v>H3_B20_VD_11.mp3</v>
      </c>
    </row>
    <row r="659" spans="1:13">
      <c r="A659" s="13">
        <f ca="1">IFERROR(__xludf.DUMMYFUNCTION("""COMPUTED_VALUE"""),12)</f>
        <v>12</v>
      </c>
      <c r="B659" s="13"/>
      <c r="C659" s="13" t="str">
        <f ca="1">IFERROR(__xludf.DUMMYFUNCTION("""COMPUTED_VALUE"""),"碗")</f>
        <v>碗</v>
      </c>
      <c r="D659" s="13" t="str">
        <f ca="1">IFERROR(__xludf.DUMMYFUNCTION("""COMPUTED_VALUE"""),"&lt;ruby&gt;碗&lt;rt&gt;wǎn&lt;/rt&gt;&lt;/ruby&gt;")</f>
        <v>&lt;ruby&gt;碗&lt;rt&gt;wǎn&lt;/rt&gt;&lt;/ruby&gt;</v>
      </c>
      <c r="E659" s="13" t="str">
        <f ca="1">IFERROR(__xludf.DUMMYFUNCTION("""COMPUTED_VALUE"""),"wǎn")</f>
        <v>wǎn</v>
      </c>
      <c r="F659" s="13" t="str">
        <f ca="1">IFERROR(__xludf.DUMMYFUNCTION("""COMPUTED_VALUE"""),"Danh từ")</f>
        <v>Danh từ</v>
      </c>
      <c r="G659" s="13" t="str">
        <f ca="1">IFERROR(__xludf.DUMMYFUNCTION("""COMPUTED_VALUE"""),"Bát")</f>
        <v>Bát</v>
      </c>
      <c r="H659" s="13" t="str">
        <f ca="1">IFERROR(__xludf.DUMMYFUNCTION("""COMPUTED_VALUE"""),"桌子上有三只碗。")</f>
        <v>桌子上有三只碗。</v>
      </c>
      <c r="I659" s="13" t="str">
        <f ca="1">IFERROR(__xludf.DUMMYFUNCTION("""COMPUTED_VALUE"""),"Zhuōzi shàng yǒu sān zhī wǎn.")</f>
        <v>Zhuōzi shàng yǒu sān zhī wǎn.</v>
      </c>
      <c r="J659" s="13" t="str">
        <f ca="1">IFERROR(__xludf.DUMMYFUNCTION("""COMPUTED_VALUE"""),"Có 3 cái bát ở trên bàn.")</f>
        <v>Có 3 cái bát ở trên bàn.</v>
      </c>
      <c r="K659" s="13" t="str">
        <f ca="1">IFERROR(__xludf.DUMMYFUNCTION("""COMPUTED_VALUE"""),"H3_B20_BG-12.gif")</f>
        <v>H3_B20_BG-12.gif</v>
      </c>
      <c r="L659" s="13" t="str">
        <f ca="1">IFERROR(__xludf.DUMMYFUNCTION("""COMPUTED_VALUE"""),"H3_B20_12.mp3")</f>
        <v>H3_B20_12.mp3</v>
      </c>
      <c r="M659" s="13" t="str">
        <f ca="1">IFERROR(__xludf.DUMMYFUNCTION("""COMPUTED_VALUE"""),"H3_B20_VD_12.mp3")</f>
        <v>H3_B20_VD_12.mp3</v>
      </c>
    </row>
    <row r="660" spans="1:13">
      <c r="A660" s="13">
        <f ca="1">IFERROR(__xludf.DUMMYFUNCTION("""COMPUTED_VALUE"""),13)</f>
        <v>13</v>
      </c>
      <c r="B660" s="13"/>
      <c r="C660" s="13" t="str">
        <f ca="1">IFERROR(__xludf.DUMMYFUNCTION("""COMPUTED_VALUE"""),"分")</f>
        <v>分</v>
      </c>
      <c r="D660" s="13" t="str">
        <f ca="1">IFERROR(__xludf.DUMMYFUNCTION("""COMPUTED_VALUE"""),"&lt;ruby&gt;分&lt;rt&gt;fēn&lt;/rt&gt;&lt;/ruby&gt;")</f>
        <v>&lt;ruby&gt;分&lt;rt&gt;fēn&lt;/rt&gt;&lt;/ruby&gt;</v>
      </c>
      <c r="E660" s="13" t="str">
        <f ca="1">IFERROR(__xludf.DUMMYFUNCTION("""COMPUTED_VALUE"""),"fēn")</f>
        <v>fēn</v>
      </c>
      <c r="F660" s="13" t="str">
        <f ca="1">IFERROR(__xludf.DUMMYFUNCTION("""COMPUTED_VALUE"""),"Động từ")</f>
        <v>Động từ</v>
      </c>
      <c r="G660" s="13" t="str">
        <f ca="1">IFERROR(__xludf.DUMMYFUNCTION("""COMPUTED_VALUE"""),"Phân biệt")</f>
        <v>Phân biệt</v>
      </c>
      <c r="H660" s="13" t="str">
        <f ca="1">IFERROR(__xludf.DUMMYFUNCTION("""COMPUTED_VALUE"""),"请分清这些颜色。")</f>
        <v>请分清这些颜色。</v>
      </c>
      <c r="I660" s="13" t="str">
        <f ca="1">IFERROR(__xludf.DUMMYFUNCTION("""COMPUTED_VALUE"""),"Qǐng fēnqīng zhèxiē yánsè.")</f>
        <v>Qǐng fēnqīng zhèxiē yánsè.</v>
      </c>
      <c r="J660" s="13" t="str">
        <f ca="1">IFERROR(__xludf.DUMMYFUNCTION("""COMPUTED_VALUE"""),"Xin phân biệt các màu sắc này.")</f>
        <v>Xin phân biệt các màu sắc này.</v>
      </c>
      <c r="K660" s="13" t="str">
        <f ca="1">IFERROR(__xludf.DUMMYFUNCTION("""COMPUTED_VALUE"""),"H3_B20_BG-13.gif")</f>
        <v>H3_B20_BG-13.gif</v>
      </c>
      <c r="L660" s="13" t="str">
        <f ca="1">IFERROR(__xludf.DUMMYFUNCTION("""COMPUTED_VALUE"""),"H3_B20_13.mp3")</f>
        <v>H3_B20_13.mp3</v>
      </c>
      <c r="M660" s="13" t="str">
        <f ca="1">IFERROR(__xludf.DUMMYFUNCTION("""COMPUTED_VALUE"""),"H3_B20_VD_13.mp3")</f>
        <v>H3_B20_VD_13.mp3</v>
      </c>
    </row>
    <row r="661" spans="1:13">
      <c r="A661" s="13">
        <f ca="1">IFERROR(__xludf.DUMMYFUNCTION("""COMPUTED_VALUE"""),14)</f>
        <v>14</v>
      </c>
      <c r="B661" s="13"/>
      <c r="C661" s="13" t="str">
        <f ca="1">IFERROR(__xludf.DUMMYFUNCTION("""COMPUTED_VALUE"""),"解决")</f>
        <v>解决</v>
      </c>
      <c r="D661" s="13" t="str">
        <f ca="1">IFERROR(__xludf.DUMMYFUNCTION("""COMPUTED_VALUE"""),"&lt;ruby&gt;解决&lt;rt&gt;jiějué&lt;/rt&gt;&lt;/ruby&gt;")</f>
        <v>&lt;ruby&gt;解决&lt;rt&gt;jiějué&lt;/rt&gt;&lt;/ruby&gt;</v>
      </c>
      <c r="E661" s="13" t="str">
        <f ca="1">IFERROR(__xludf.DUMMYFUNCTION("""COMPUTED_VALUE"""),"jiějué")</f>
        <v>jiějué</v>
      </c>
      <c r="F661" s="13" t="str">
        <f ca="1">IFERROR(__xludf.DUMMYFUNCTION("""COMPUTED_VALUE"""),"Động từ")</f>
        <v>Động từ</v>
      </c>
      <c r="G661" s="13" t="str">
        <f ca="1">IFERROR(__xludf.DUMMYFUNCTION("""COMPUTED_VALUE"""),"Giải quyết")</f>
        <v>Giải quyết</v>
      </c>
      <c r="H661" s="13" t="str">
        <f ca="1">IFERROR(__xludf.DUMMYFUNCTION("""COMPUTED_VALUE"""),"这个问题已经被专家解决了。")</f>
        <v>这个问题已经被专家解决了。</v>
      </c>
      <c r="I661" s="13" t="str">
        <f ca="1">IFERROR(__xludf.DUMMYFUNCTION("""COMPUTED_VALUE"""),"Zhè gè wèntí yǐjīng bèi zhuānjiā jiějué le.")</f>
        <v>Zhè gè wèntí yǐjīng bèi zhuānjiā jiějué le.</v>
      </c>
      <c r="J661" s="13" t="str">
        <f ca="1">IFERROR(__xludf.DUMMYFUNCTION("""COMPUTED_VALUE"""),"Vấn đề đã được giải quyết bởi chuyên gia.")</f>
        <v>Vấn đề đã được giải quyết bởi chuyên gia.</v>
      </c>
      <c r="K661" s="13" t="str">
        <f ca="1">IFERROR(__xludf.DUMMYFUNCTION("""COMPUTED_VALUE"""),"H3_B20_BG-14.gif")</f>
        <v>H3_B20_BG-14.gif</v>
      </c>
      <c r="L661" s="13" t="str">
        <f ca="1">IFERROR(__xludf.DUMMYFUNCTION("""COMPUTED_VALUE"""),"H3_B20_14.mp3")</f>
        <v>H3_B20_14.mp3</v>
      </c>
      <c r="M661" s="13" t="str">
        <f ca="1">IFERROR(__xludf.DUMMYFUNCTION("""COMPUTED_VALUE"""),"H3_B20_VD_14.mp3")</f>
        <v>H3_B20_VD_14.mp3</v>
      </c>
    </row>
    <row r="662" spans="1:13">
      <c r="A662" s="13"/>
      <c r="B662" s="13" t="str">
        <f ca="1">IFERROR(__xludf.DUMMYFUNCTION("""COMPUTED_VALUE"""),"Tên chủ đề")</f>
        <v>Tên chủ đề</v>
      </c>
      <c r="C662" s="13" t="str">
        <f ca="1">IFERROR(__xludf.DUMMYFUNCTION("""COMPUTED_VALUE"""),"Từ vựng")</f>
        <v>Từ vựng</v>
      </c>
      <c r="D662" s="13" t="str">
        <f ca="1">IFERROR(__xludf.DUMMYFUNCTION("""COMPUTED_VALUE"""),"HTML")</f>
        <v>HTML</v>
      </c>
      <c r="E662" s="13" t="str">
        <f ca="1">IFERROR(__xludf.DUMMYFUNCTION("""COMPUTED_VALUE"""),"Phiên âm")</f>
        <v>Phiên âm</v>
      </c>
      <c r="F662" s="13" t="str">
        <f ca="1">IFERROR(__xludf.DUMMYFUNCTION("""COMPUTED_VALUE"""),"Loại từ")</f>
        <v>Loại từ</v>
      </c>
      <c r="G662" s="13" t="str">
        <f ca="1">IFERROR(__xludf.DUMMYFUNCTION("""COMPUTED_VALUE"""),"Nghĩa")</f>
        <v>Nghĩa</v>
      </c>
      <c r="H662" s="13" t="str">
        <f ca="1">IFERROR(__xludf.DUMMYFUNCTION("""COMPUTED_VALUE"""),"Ví dụ")</f>
        <v>Ví dụ</v>
      </c>
      <c r="I662" s="13" t="str">
        <f ca="1">IFERROR(__xludf.DUMMYFUNCTION("""COMPUTED_VALUE"""),"Pinyin")</f>
        <v>Pinyin</v>
      </c>
      <c r="J662" s="13" t="str">
        <f ca="1">IFERROR(__xludf.DUMMYFUNCTION("""COMPUTED_VALUE"""),"Nghĩa ví dụ")</f>
        <v>Nghĩa ví dụ</v>
      </c>
      <c r="K662" s="13" t="str">
        <f ca="1">IFERROR(__xludf.DUMMYFUNCTION("""COMPUTED_VALUE"""),"Tên ảnh/Gif flashcard")</f>
        <v>Tên ảnh/Gif flashcard</v>
      </c>
      <c r="L662" s="13" t="str">
        <f ca="1">IFERROR(__xludf.DUMMYFUNCTION("""COMPUTED_VALUE"""),"Tên audio từ vựng")</f>
        <v>Tên audio từ vựng</v>
      </c>
      <c r="M662" s="13" t="str">
        <f ca="1">IFERROR(__xludf.DUMMYFUNCTION("""COMPUTED_VALUE"""),"Tên audio ví dụ")</f>
        <v>Tên audio ví dụ</v>
      </c>
    </row>
    <row r="663" spans="1:13">
      <c r="A663" s="13">
        <f ca="1">IFERROR(__xludf.DUMMYFUNCTION("""COMPUTED_VALUE"""),1)</f>
        <v>1</v>
      </c>
      <c r="B663" s="13"/>
      <c r="C663" s="13" t="str">
        <f ca="1">IFERROR(__xludf.DUMMYFUNCTION("""COMPUTED_VALUE"""),"爱情")</f>
        <v>爱情</v>
      </c>
      <c r="D663" s="13" t="str">
        <f ca="1">IFERROR(__xludf.DUMMYFUNCTION("""COMPUTED_VALUE"""),"&lt;ruby&gt;爱情&lt;rt&gt;àiqíng&lt;/rt&gt;&lt;/ruby&gt;")</f>
        <v>&lt;ruby&gt;爱情&lt;rt&gt;àiqíng&lt;/rt&gt;&lt;/ruby&gt;</v>
      </c>
      <c r="E663" s="13" t="str">
        <f ca="1">IFERROR(__xludf.DUMMYFUNCTION("""COMPUTED_VALUE"""),"àiqíng")</f>
        <v>àiqíng</v>
      </c>
      <c r="F663" s="13" t="str">
        <f ca="1">IFERROR(__xludf.DUMMYFUNCTION("""COMPUTED_VALUE"""),"Danh từ")</f>
        <v>Danh từ</v>
      </c>
      <c r="G663" s="13" t="str">
        <f ca="1">IFERROR(__xludf.DUMMYFUNCTION("""COMPUTED_VALUE"""),"tình yêu (giữa nam và nữ")</f>
        <v>tình yêu (giữa nam và nữ</v>
      </c>
      <c r="H663" s="13" t="str">
        <f ca="1">IFERROR(__xludf.DUMMYFUNCTION("""COMPUTED_VALUE"""),"他们之间的爱情充满了甜蜜和关怀。")</f>
        <v>他们之间的爱情充满了甜蜜和关怀。</v>
      </c>
      <c r="I663" s="13"/>
      <c r="J663" s="13" t="str">
        <f ca="1">IFERROR(__xludf.DUMMYFUNCTION("""COMPUTED_VALUE"""),"Tình yêu giữa họ tràn đầy sự ngọt ngào và quan tâm.")</f>
        <v>Tình yêu giữa họ tràn đầy sự ngọt ngào và quan tâm.</v>
      </c>
      <c r="K663" s="13" t="str">
        <f ca="1">IFERROR(__xludf.DUMMYFUNCTION("""COMPUTED_VALUE"""),"H4_B1_BG-01.png")</f>
        <v>H4_B1_BG-01.png</v>
      </c>
      <c r="L663" s="13" t="str">
        <f ca="1">IFERROR(__xludf.DUMMYFUNCTION("""COMPUTED_VALUE"""),"B1-1.mp3")</f>
        <v>B1-1.mp3</v>
      </c>
      <c r="M663" s="13" t="str">
        <f ca="1">IFERROR(__xludf.DUMMYFUNCTION("""COMPUTED_VALUE"""),"B1_VD_1.mp3")</f>
        <v>B1_VD_1.mp3</v>
      </c>
    </row>
    <row r="664" spans="1:13">
      <c r="A664" s="13">
        <f ca="1">IFERROR(__xludf.DUMMYFUNCTION("""COMPUTED_VALUE"""),2)</f>
        <v>2</v>
      </c>
      <c r="B664" s="13"/>
      <c r="C664" s="13" t="str">
        <f ca="1">IFERROR(__xludf.DUMMYFUNCTION("""COMPUTED_VALUE"""),"感动")</f>
        <v>感动</v>
      </c>
      <c r="D664" s="13" t="str">
        <f ca="1">IFERROR(__xludf.DUMMYFUNCTION("""COMPUTED_VALUE"""),"&lt;ruby&gt;感动&lt;rt&gt;gǎndòng&lt;/rt&gt;&lt;/ruby&gt;")</f>
        <v>&lt;ruby&gt;感动&lt;rt&gt;gǎndòng&lt;/rt&gt;&lt;/ruby&gt;</v>
      </c>
      <c r="E664" s="13" t="str">
        <f ca="1">IFERROR(__xludf.DUMMYFUNCTION("""COMPUTED_VALUE"""),"gǎndòng")</f>
        <v>gǎndòng</v>
      </c>
      <c r="F664" s="13" t="str">
        <f ca="1">IFERROR(__xludf.DUMMYFUNCTION("""COMPUTED_VALUE"""),"Động từ")</f>
        <v>Động từ</v>
      </c>
      <c r="G664" s="13" t="str">
        <f ca="1">IFERROR(__xludf.DUMMYFUNCTION("""COMPUTED_VALUE"""),"cảm động, làm xúc động")</f>
        <v>cảm động, làm xúc động</v>
      </c>
      <c r="H664" s="13" t="str">
        <f ca="1">IFERROR(__xludf.DUMMYFUNCTION("""COMPUTED_VALUE"""),"她为朋友的关心深深感动。")</f>
        <v>她为朋友的关心深深感动。</v>
      </c>
      <c r="I664" s="13"/>
      <c r="J664" s="13" t="str">
        <f ca="1">IFERROR(__xludf.DUMMYFUNCTION("""COMPUTED_VALUE"""),"Cô ấy vô cùng cảm động trước sự quan tâm của bạn mình.")</f>
        <v>Cô ấy vô cùng cảm động trước sự quan tâm của bạn mình.</v>
      </c>
      <c r="K664" s="13" t="str">
        <f ca="1">IFERROR(__xludf.DUMMYFUNCTION("""COMPUTED_VALUE"""),"H4_B1_BG-02.png")</f>
        <v>H4_B1_BG-02.png</v>
      </c>
      <c r="L664" s="13" t="str">
        <f ca="1">IFERROR(__xludf.DUMMYFUNCTION("""COMPUTED_VALUE"""),"B1-2.mp3")</f>
        <v>B1-2.mp3</v>
      </c>
      <c r="M664" s="13" t="str">
        <f ca="1">IFERROR(__xludf.DUMMYFUNCTION("""COMPUTED_VALUE"""),"B1_VD_2.mp3")</f>
        <v>B1_VD_2.mp3</v>
      </c>
    </row>
    <row r="665" spans="1:13">
      <c r="A665" s="13">
        <f ca="1">IFERROR(__xludf.DUMMYFUNCTION("""COMPUTED_VALUE"""),3)</f>
        <v>3</v>
      </c>
      <c r="B665" s="13"/>
      <c r="C665" s="13" t="str">
        <f ca="1">IFERROR(__xludf.DUMMYFUNCTION("""COMPUTED_VALUE"""),"互相")</f>
        <v>互相</v>
      </c>
      <c r="D665" s="13" t="str">
        <f ca="1">IFERROR(__xludf.DUMMYFUNCTION("""COMPUTED_VALUE"""),"&lt;ruby&gt;互相&lt;rt&gt;hùxiāng&lt;/rt&gt;&lt;/ruby&gt;")</f>
        <v>&lt;ruby&gt;互相&lt;rt&gt;hùxiāng&lt;/rt&gt;&lt;/ruby&gt;</v>
      </c>
      <c r="E665" s="13" t="str">
        <f ca="1">IFERROR(__xludf.DUMMYFUNCTION("""COMPUTED_VALUE"""),"hùxiāng")</f>
        <v>hùxiāng</v>
      </c>
      <c r="F665" s="13" t="str">
        <f ca="1">IFERROR(__xludf.DUMMYFUNCTION("""COMPUTED_VALUE"""),"Phó từ")</f>
        <v>Phó từ</v>
      </c>
      <c r="G665" s="13" t="str">
        <f ca="1">IFERROR(__xludf.DUMMYFUNCTION("""COMPUTED_VALUE"""),"lẫn nhau, qua lại")</f>
        <v>lẫn nhau, qua lại</v>
      </c>
      <c r="H665" s="13" t="str">
        <f ca="1">IFERROR(__xludf.DUMMYFUNCTION("""COMPUTED_VALUE"""),"他们在困难时互相帮助，关系更加亲密。")</f>
        <v>他们在困难时互相帮助，关系更加亲密。</v>
      </c>
      <c r="I665" s="13"/>
      <c r="J665" s="13" t="str">
        <f ca="1">IFERROR(__xludf.DUMMYFUNCTION("""COMPUTED_VALUE"""),"Họ giúp đỡ lẫn nhau trong lúc khó khăn, mối quan hệ trở nên thân thiết hơn.")</f>
        <v>Họ giúp đỡ lẫn nhau trong lúc khó khăn, mối quan hệ trở nên thân thiết hơn.</v>
      </c>
      <c r="K665" s="13" t="str">
        <f ca="1">IFERROR(__xludf.DUMMYFUNCTION("""COMPUTED_VALUE"""),"H4_B1_BG-03.png")</f>
        <v>H4_B1_BG-03.png</v>
      </c>
      <c r="L665" s="13" t="str">
        <f ca="1">IFERROR(__xludf.DUMMYFUNCTION("""COMPUTED_VALUE"""),"B1-3.mp3")</f>
        <v>B1-3.mp3</v>
      </c>
      <c r="M665" s="13" t="str">
        <f ca="1">IFERROR(__xludf.DUMMYFUNCTION("""COMPUTED_VALUE"""),"B1_VD_3.mp3")</f>
        <v>B1_VD_3.mp3</v>
      </c>
    </row>
    <row r="666" spans="1:13">
      <c r="A666" s="13">
        <f ca="1">IFERROR(__xludf.DUMMYFUNCTION("""COMPUTED_VALUE"""),4)</f>
        <v>4</v>
      </c>
      <c r="B666" s="13"/>
      <c r="C666" s="13" t="str">
        <f ca="1">IFERROR(__xludf.DUMMYFUNCTION("""COMPUTED_VALUE"""),"开玩笑")</f>
        <v>开玩笑</v>
      </c>
      <c r="D666" s="13" t="str">
        <f ca="1">IFERROR(__xludf.DUMMYFUNCTION("""COMPUTED_VALUE"""),"&lt;ruby&gt;开玩笑&lt;rt&gt;kāi wánxiào&lt;/rt&gt;&lt;/ruby&gt;")</f>
        <v>&lt;ruby&gt;开玩笑&lt;rt&gt;kāi wánxiào&lt;/rt&gt;&lt;/ruby&gt;</v>
      </c>
      <c r="E666" s="13" t="str">
        <f ca="1">IFERROR(__xludf.DUMMYFUNCTION("""COMPUTED_VALUE"""),"kāi wánxiào")</f>
        <v>kāi wánxiào</v>
      </c>
      <c r="F666" s="13"/>
      <c r="G666" s="13" t="str">
        <f ca="1">IFERROR(__xludf.DUMMYFUNCTION("""COMPUTED_VALUE"""),"nói đùa, đùa")</f>
        <v>nói đùa, đùa</v>
      </c>
      <c r="H666" s="13" t="str">
        <f ca="1">IFERROR(__xludf.DUMMYFUNCTION("""COMPUTED_VALUE"""),"她喜欢跟朋友开玩笑。")</f>
        <v>她喜欢跟朋友开玩笑。</v>
      </c>
      <c r="I666" s="13"/>
      <c r="J666" s="13" t="str">
        <f ca="1">IFERROR(__xludf.DUMMYFUNCTION("""COMPUTED_VALUE"""),"Cô ấy thích đùa giỡn với bạn bè.")</f>
        <v>Cô ấy thích đùa giỡn với bạn bè.</v>
      </c>
      <c r="K666" s="13" t="str">
        <f ca="1">IFERROR(__xludf.DUMMYFUNCTION("""COMPUTED_VALUE"""),"H4_B1_BG-04.png")</f>
        <v>H4_B1_BG-04.png</v>
      </c>
      <c r="L666" s="13" t="str">
        <f ca="1">IFERROR(__xludf.DUMMYFUNCTION("""COMPUTED_VALUE"""),"B1-4.mp3")</f>
        <v>B1-4.mp3</v>
      </c>
      <c r="M666" s="13" t="str">
        <f ca="1">IFERROR(__xludf.DUMMYFUNCTION("""COMPUTED_VALUE"""),"B1_VD_4.mp3")</f>
        <v>B1_VD_4.mp3</v>
      </c>
    </row>
    <row r="667" spans="1:13">
      <c r="A667" s="13">
        <f ca="1">IFERROR(__xludf.DUMMYFUNCTION("""COMPUTED_VALUE"""),5)</f>
        <v>5</v>
      </c>
      <c r="B667" s="13"/>
      <c r="C667" s="13" t="str">
        <f ca="1">IFERROR(__xludf.DUMMYFUNCTION("""COMPUTED_VALUE"""),"浪漫")</f>
        <v>浪漫</v>
      </c>
      <c r="D667" s="13" t="str">
        <f ca="1">IFERROR(__xludf.DUMMYFUNCTION("""COMPUTED_VALUE"""),"&lt;ruby&gt;浪漫&lt;rt&gt;làngmàn&lt;/rt&gt;&lt;/ruby&gt;")</f>
        <v>&lt;ruby&gt;浪漫&lt;rt&gt;làngmàn&lt;/rt&gt;&lt;/ruby&gt;</v>
      </c>
      <c r="E667" s="13" t="str">
        <f ca="1">IFERROR(__xludf.DUMMYFUNCTION("""COMPUTED_VALUE"""),"làngmàn")</f>
        <v>làngmàn</v>
      </c>
      <c r="F667" s="13" t="str">
        <f ca="1">IFERROR(__xludf.DUMMYFUNCTION("""COMPUTED_VALUE"""),"Tính từ")</f>
        <v>Tính từ</v>
      </c>
      <c r="G667" s="13" t="str">
        <f ca="1">IFERROR(__xludf.DUMMYFUNCTION("""COMPUTED_VALUE"""),"lãng mạn")</f>
        <v>lãng mạn</v>
      </c>
      <c r="H667" s="13" t="str">
        <f ca="1">IFERROR(__xludf.DUMMYFUNCTION("""COMPUTED_VALUE"""),"他们的爱情非常浪漫。")</f>
        <v>他们的爱情非常浪漫。</v>
      </c>
      <c r="I667" s="13"/>
      <c r="J667" s="13" t="str">
        <f ca="1">IFERROR(__xludf.DUMMYFUNCTION("""COMPUTED_VALUE"""),"Tình yêu của họ rất lãng mạn.")</f>
        <v>Tình yêu của họ rất lãng mạn.</v>
      </c>
      <c r="K667" s="13" t="str">
        <f ca="1">IFERROR(__xludf.DUMMYFUNCTION("""COMPUTED_VALUE"""),"H4_B1_BG-05.png")</f>
        <v>H4_B1_BG-05.png</v>
      </c>
      <c r="L667" s="13" t="str">
        <f ca="1">IFERROR(__xludf.DUMMYFUNCTION("""COMPUTED_VALUE"""),"B1-5.mp3")</f>
        <v>B1-5.mp3</v>
      </c>
      <c r="M667" s="13" t="str">
        <f ca="1">IFERROR(__xludf.DUMMYFUNCTION("""COMPUTED_VALUE"""),"B1_VD_5.mp3")</f>
        <v>B1_VD_5.mp3</v>
      </c>
    </row>
    <row r="668" spans="1:13">
      <c r="A668" s="13">
        <f ca="1">IFERROR(__xludf.DUMMYFUNCTION("""COMPUTED_VALUE"""),6)</f>
        <v>6</v>
      </c>
      <c r="B668" s="13"/>
      <c r="C668" s="13" t="str">
        <f ca="1">IFERROR(__xludf.DUMMYFUNCTION("""COMPUTED_VALUE"""),"俩")</f>
        <v>俩</v>
      </c>
      <c r="D668" s="13" t="str">
        <f ca="1">IFERROR(__xludf.DUMMYFUNCTION("""COMPUTED_VALUE"""),"&lt;ruby&gt;俩&lt;rt&gt;liǎ&lt;/rt&gt;&lt;/ruby&gt;")</f>
        <v>&lt;ruby&gt;俩&lt;rt&gt;liǎ&lt;/rt&gt;&lt;/ruby&gt;</v>
      </c>
      <c r="E668" s="13" t="str">
        <f ca="1">IFERROR(__xludf.DUMMYFUNCTION("""COMPUTED_VALUE"""),"liǎ")</f>
        <v>liǎ</v>
      </c>
      <c r="F668" s="13" t="str">
        <f ca="1">IFERROR(__xludf.DUMMYFUNCTION("""COMPUTED_VALUE"""),"Số lượng")</f>
        <v>Số lượng</v>
      </c>
      <c r="G668" s="13" t="str">
        <f ca="1">IFERROR(__xludf.DUMMYFUNCTION("""COMPUTED_VALUE"""),"hai
")</f>
        <v xml:space="preserve">hai
</v>
      </c>
      <c r="H668" s="13" t="str">
        <f ca="1">IFERROR(__xludf.DUMMYFUNCTION("""COMPUTED_VALUE"""),"她们俩是最好的朋友，总是在一起。")</f>
        <v>她们俩是最好的朋友，总是在一起。</v>
      </c>
      <c r="I668" s="13"/>
      <c r="J668" s="13" t="str">
        <f ca="1">IFERROR(__xludf.DUMMYFUNCTION("""COMPUTED_VALUE"""),"Hai người họ là những người bạn thân nhất, luôn ở bên nhau.")</f>
        <v>Hai người họ là những người bạn thân nhất, luôn ở bên nhau.</v>
      </c>
      <c r="K668" s="13" t="str">
        <f ca="1">IFERROR(__xludf.DUMMYFUNCTION("""COMPUTED_VALUE"""),"H4_B1_BG-06.png")</f>
        <v>H4_B1_BG-06.png</v>
      </c>
      <c r="L668" s="13" t="str">
        <f ca="1">IFERROR(__xludf.DUMMYFUNCTION("""COMPUTED_VALUE"""),"B1-6.mp3")</f>
        <v>B1-6.mp3</v>
      </c>
      <c r="M668" s="13" t="str">
        <f ca="1">IFERROR(__xludf.DUMMYFUNCTION("""COMPUTED_VALUE"""),"B1_VD_6.mp3")</f>
        <v>B1_VD_6.mp3</v>
      </c>
    </row>
    <row r="669" spans="1:13">
      <c r="A669" s="13">
        <f ca="1">IFERROR(__xludf.DUMMYFUNCTION("""COMPUTED_VALUE"""),7)</f>
        <v>7</v>
      </c>
      <c r="B669" s="13"/>
      <c r="C669" s="13" t="str">
        <f ca="1">IFERROR(__xludf.DUMMYFUNCTION("""COMPUTED_VALUE"""),"脾气")</f>
        <v>脾气</v>
      </c>
      <c r="D669" s="13" t="str">
        <f ca="1">IFERROR(__xludf.DUMMYFUNCTION("""COMPUTED_VALUE"""),"&lt;ruby&gt;脾气&lt;rt&gt;píqi&lt;/rt&gt;&lt;/ruby&gt;")</f>
        <v>&lt;ruby&gt;脾气&lt;rt&gt;píqi&lt;/rt&gt;&lt;/ruby&gt;</v>
      </c>
      <c r="E669" s="13" t="str">
        <f ca="1">IFERROR(__xludf.DUMMYFUNCTION("""COMPUTED_VALUE"""),"píqi")</f>
        <v>píqi</v>
      </c>
      <c r="F669" s="13" t="str">
        <f ca="1">IFERROR(__xludf.DUMMYFUNCTION("""COMPUTED_VALUE"""),"Danh từ")</f>
        <v>Danh từ</v>
      </c>
      <c r="G669" s="13" t="str">
        <f ca="1">IFERROR(__xludf.DUMMYFUNCTION("""COMPUTED_VALUE"""),"tính tình, tính khí")</f>
        <v>tính tình, tính khí</v>
      </c>
      <c r="H669" s="13" t="str">
        <f ca="1">IFERROR(__xludf.DUMMYFUNCTION("""COMPUTED_VALUE"""),"她的脾气很好，总是耐心地回答客户的问题。")</f>
        <v>她的脾气很好，总是耐心地回答客户的问题。</v>
      </c>
      <c r="I669" s="13"/>
      <c r="J669" s="13" t="str">
        <f ca="1">IFERROR(__xludf.DUMMYFUNCTION("""COMPUTED_VALUE"""),"Cô ấy có tính khí rất tốt, luôn kiên nhẫn trả lời câu hỏi của khách hàng.")</f>
        <v>Cô ấy có tính khí rất tốt, luôn kiên nhẫn trả lời câu hỏi của khách hàng.</v>
      </c>
      <c r="K669" s="13" t="str">
        <f ca="1">IFERROR(__xludf.DUMMYFUNCTION("""COMPUTED_VALUE"""),"H4_B1_BG-07.png")</f>
        <v>H4_B1_BG-07.png</v>
      </c>
      <c r="L669" s="13" t="str">
        <f ca="1">IFERROR(__xludf.DUMMYFUNCTION("""COMPUTED_VALUE"""),"B1-7.mp3")</f>
        <v>B1-7.mp3</v>
      </c>
      <c r="M669" s="13" t="str">
        <f ca="1">IFERROR(__xludf.DUMMYFUNCTION("""COMPUTED_VALUE"""),"B1_VD_7.mp3")</f>
        <v>B1_VD_7.mp3</v>
      </c>
    </row>
    <row r="670" spans="1:13">
      <c r="A670" s="13">
        <f ca="1">IFERROR(__xludf.DUMMYFUNCTION("""COMPUTED_VALUE"""),8)</f>
        <v>8</v>
      </c>
      <c r="B670" s="13"/>
      <c r="C670" s="13" t="str">
        <f ca="1">IFERROR(__xludf.DUMMYFUNCTION("""COMPUTED_VALUE"""),"缺点")</f>
        <v>缺点</v>
      </c>
      <c r="D670" s="13" t="str">
        <f ca="1">IFERROR(__xludf.DUMMYFUNCTION("""COMPUTED_VALUE"""),"&lt;ruby&gt;缺点&lt;rt&gt;quēdiăn&lt;/rt&gt;&lt;/ruby&gt;")</f>
        <v>&lt;ruby&gt;缺点&lt;rt&gt;quēdiăn&lt;/rt&gt;&lt;/ruby&gt;</v>
      </c>
      <c r="E670" s="13" t="str">
        <f ca="1">IFERROR(__xludf.DUMMYFUNCTION("""COMPUTED_VALUE"""),"quēdiăn")</f>
        <v>quēdiăn</v>
      </c>
      <c r="F670" s="13" t="str">
        <f ca="1">IFERROR(__xludf.DUMMYFUNCTION("""COMPUTED_VALUE"""),"Danh từ")</f>
        <v>Danh từ</v>
      </c>
      <c r="G670" s="13" t="str">
        <f ca="1">IFERROR(__xludf.DUMMYFUNCTION("""COMPUTED_VALUE"""),"khuyết diểm, thiếu sót")</f>
        <v>khuyết diểm, thiếu sót</v>
      </c>
      <c r="H670" s="13" t="str">
        <f ca="1">IFERROR(__xludf.DUMMYFUNCTION("""COMPUTED_VALUE"""),"每个人都有缺点。")</f>
        <v>每个人都有缺点。</v>
      </c>
      <c r="I670" s="13"/>
      <c r="J670" s="13" t="str">
        <f ca="1">IFERROR(__xludf.DUMMYFUNCTION("""COMPUTED_VALUE"""),"Mỗi người đều có khuyết điểm.")</f>
        <v>Mỗi người đều có khuyết điểm.</v>
      </c>
      <c r="K670" s="13" t="str">
        <f ca="1">IFERROR(__xludf.DUMMYFUNCTION("""COMPUTED_VALUE"""),"H4_B1_BG-08.png")</f>
        <v>H4_B1_BG-08.png</v>
      </c>
      <c r="L670" s="13" t="str">
        <f ca="1">IFERROR(__xludf.DUMMYFUNCTION("""COMPUTED_VALUE"""),"B1-8.mp3")</f>
        <v>B1-8.mp3</v>
      </c>
      <c r="M670" s="13" t="str">
        <f ca="1">IFERROR(__xludf.DUMMYFUNCTION("""COMPUTED_VALUE"""),"B1_VD_8.mp3")</f>
        <v>B1_VD_8.mp3</v>
      </c>
    </row>
    <row r="671" spans="1:13">
      <c r="A671" s="13">
        <f ca="1">IFERROR(__xludf.DUMMYFUNCTION("""COMPUTED_VALUE"""),9)</f>
        <v>9</v>
      </c>
      <c r="B671" s="13"/>
      <c r="C671" s="13" t="str">
        <f ca="1">IFERROR(__xludf.DUMMYFUNCTION("""COMPUTED_VALUE"""),"深")</f>
        <v>深</v>
      </c>
      <c r="D671" s="13" t="str">
        <f ca="1">IFERROR(__xludf.DUMMYFUNCTION("""COMPUTED_VALUE"""),"&lt;ruby&gt;深&lt;rt&gt;shēn&lt;/rt&gt;&lt;/ruby&gt;")</f>
        <v>&lt;ruby&gt;深&lt;rt&gt;shēn&lt;/rt&gt;&lt;/ruby&gt;</v>
      </c>
      <c r="E671" s="13" t="str">
        <f ca="1">IFERROR(__xludf.DUMMYFUNCTION("""COMPUTED_VALUE"""),"shēn")</f>
        <v>shēn</v>
      </c>
      <c r="F671" s="13" t="str">
        <f ca="1">IFERROR(__xludf.DUMMYFUNCTION("""COMPUTED_VALUE"""),"Tính từ")</f>
        <v>Tính từ</v>
      </c>
      <c r="G671" s="13" t="str">
        <f ca="1">IFERROR(__xludf.DUMMYFUNCTION("""COMPUTED_VALUE"""),"sâu, (tình cảm) sâu sắc")</f>
        <v>sâu, (tình cảm) sâu sắc</v>
      </c>
      <c r="H671" s="13" t="str">
        <f ca="1">IFERROR(__xludf.DUMMYFUNCTION("""COMPUTED_VALUE"""),"他们的友谊非常深，让人感到羡慕。")</f>
        <v>他们的友谊非常深，让人感到羡慕。</v>
      </c>
      <c r="I671" s="13"/>
      <c r="J671" s="13" t="str">
        <f ca="1">IFERROR(__xludf.DUMMYFUNCTION("""COMPUTED_VALUE"""),"Tình bạn của họ rất sâu sắc, khiến người khác ngưỡng mộ.")</f>
        <v>Tình bạn của họ rất sâu sắc, khiến người khác ngưỡng mộ.</v>
      </c>
      <c r="K671" s="13" t="str">
        <f ca="1">IFERROR(__xludf.DUMMYFUNCTION("""COMPUTED_VALUE"""),"H4_B1_BG-09.png")</f>
        <v>H4_B1_BG-09.png</v>
      </c>
      <c r="L671" s="13" t="str">
        <f ca="1">IFERROR(__xludf.DUMMYFUNCTION("""COMPUTED_VALUE"""),"B1-9.mp3")</f>
        <v>B1-9.mp3</v>
      </c>
      <c r="M671" s="13" t="str">
        <f ca="1">IFERROR(__xludf.DUMMYFUNCTION("""COMPUTED_VALUE"""),"B1_VD_9.mp3")</f>
        <v>B1_VD_9.mp3</v>
      </c>
    </row>
    <row r="672" spans="1:13">
      <c r="A672" s="13">
        <f ca="1">IFERROR(__xludf.DUMMYFUNCTION("""COMPUTED_VALUE"""),10)</f>
        <v>10</v>
      </c>
      <c r="B672" s="13"/>
      <c r="C672" s="13" t="str">
        <f ca="1">IFERROR(__xludf.DUMMYFUNCTION("""COMPUTED_VALUE"""),"生活")</f>
        <v>生活</v>
      </c>
      <c r="D672" s="13" t="str">
        <f ca="1">IFERROR(__xludf.DUMMYFUNCTION("""COMPUTED_VALUE"""),"&lt;ruby&gt;生活&lt;rt&gt;shēnghuó&lt;/rt&gt;&lt;/ruby&gt;")</f>
        <v>&lt;ruby&gt;生活&lt;rt&gt;shēnghuó&lt;/rt&gt;&lt;/ruby&gt;</v>
      </c>
      <c r="E672" s="13" t="str">
        <f ca="1">IFERROR(__xludf.DUMMYFUNCTION("""COMPUTED_VALUE"""),"shēnghuó")</f>
        <v>shēnghuó</v>
      </c>
      <c r="F672" s="13" t="str">
        <f ca="1">IFERROR(__xludf.DUMMYFUNCTION("""COMPUTED_VALUE"""),"Danh từ/Động từ")</f>
        <v>Danh từ/Động từ</v>
      </c>
      <c r="G672" s="13" t="str">
        <f ca="1">IFERROR(__xludf.DUMMYFUNCTION("""COMPUTED_VALUE"""),"cuộc sống; sống")</f>
        <v>cuộc sống; sống</v>
      </c>
      <c r="H672" s="13" t="str">
        <f ca="1">IFERROR(__xludf.DUMMYFUNCTION("""COMPUTED_VALUE"""),"她喜欢种树，生活很快乐。")</f>
        <v>她喜欢种树，生活很快乐。</v>
      </c>
      <c r="I672" s="13"/>
      <c r="J672" s="13" t="str">
        <f ca="1">IFERROR(__xludf.DUMMYFUNCTION("""COMPUTED_VALUE"""),"Cô ấy thích trồng cây, cuộc sống rất vui vẻ.")</f>
        <v>Cô ấy thích trồng cây, cuộc sống rất vui vẻ.</v>
      </c>
      <c r="K672" s="13" t="str">
        <f ca="1">IFERROR(__xludf.DUMMYFUNCTION("""COMPUTED_VALUE"""),"H4_B1_BG-10.png")</f>
        <v>H4_B1_BG-10.png</v>
      </c>
      <c r="L672" s="13" t="str">
        <f ca="1">IFERROR(__xludf.DUMMYFUNCTION("""COMPUTED_VALUE"""),"B1-10.mp3")</f>
        <v>B1-10.mp3</v>
      </c>
      <c r="M672" s="13" t="str">
        <f ca="1">IFERROR(__xludf.DUMMYFUNCTION("""COMPUTED_VALUE"""),"B1_VD_10.mp3")</f>
        <v>B1_VD_10.mp3</v>
      </c>
    </row>
    <row r="673" spans="1:13">
      <c r="A673" s="13">
        <f ca="1">IFERROR(__xludf.DUMMYFUNCTION("""COMPUTED_VALUE"""),11)</f>
        <v>11</v>
      </c>
      <c r="B673" s="13"/>
      <c r="C673" s="13" t="str">
        <f ca="1">IFERROR(__xludf.DUMMYFUNCTION("""COMPUTED_VALUE"""),"适合")</f>
        <v>适合</v>
      </c>
      <c r="D673" s="13" t="str">
        <f ca="1">IFERROR(__xludf.DUMMYFUNCTION("""COMPUTED_VALUE"""),"&lt;ruby&gt;适合&lt;rt&gt;Shìhé
&lt;/rt&gt;&lt;/ruby&gt;")</f>
        <v>&lt;ruby&gt;适合&lt;rt&gt;Shìhé
&lt;/rt&gt;&lt;/ruby&gt;</v>
      </c>
      <c r="E673" s="13" t="str">
        <f ca="1">IFERROR(__xludf.DUMMYFUNCTION("""COMPUTED_VALUE"""),"Shìhé
")</f>
        <v xml:space="preserve">Shìhé
</v>
      </c>
      <c r="F673" s="13" t="str">
        <f ca="1">IFERROR(__xludf.DUMMYFUNCTION("""COMPUTED_VALUE"""),"Động từ")</f>
        <v>Động từ</v>
      </c>
      <c r="G673" s="13" t="str">
        <f ca="1">IFERROR(__xludf.DUMMYFUNCTION("""COMPUTED_VALUE"""),"phù hợp")</f>
        <v>phù hợp</v>
      </c>
      <c r="H673" s="13" t="str">
        <f ca="1">IFERROR(__xludf.DUMMYFUNCTION("""COMPUTED_VALUE"""),"这个拼图适合用来锻炼逻辑思维能力。")</f>
        <v>这个拼图适合用来锻炼逻辑思维能力。</v>
      </c>
      <c r="I673" s="13"/>
      <c r="J673" s="13" t="str">
        <f ca="1">IFERROR(__xludf.DUMMYFUNCTION("""COMPUTED_VALUE"""),"Trò chơi xếp hình này phù hợp để rèn luyện khả năng tư duy logic.")</f>
        <v>Trò chơi xếp hình này phù hợp để rèn luyện khả năng tư duy logic.</v>
      </c>
      <c r="K673" s="13" t="str">
        <f ca="1">IFERROR(__xludf.DUMMYFUNCTION("""COMPUTED_VALUE"""),"H4_B1_BG-11.png")</f>
        <v>H4_B1_BG-11.png</v>
      </c>
      <c r="L673" s="13" t="str">
        <f ca="1">IFERROR(__xludf.DUMMYFUNCTION("""COMPUTED_VALUE"""),"B1-11.mp3")</f>
        <v>B1-11.mp3</v>
      </c>
      <c r="M673" s="13" t="str">
        <f ca="1">IFERROR(__xludf.DUMMYFUNCTION("""COMPUTED_VALUE"""),"B1_VD_11.mp3")</f>
        <v>B1_VD_11.mp3</v>
      </c>
    </row>
    <row r="674" spans="1:13">
      <c r="A674" s="13">
        <f ca="1">IFERROR(__xludf.DUMMYFUNCTION("""COMPUTED_VALUE"""),12)</f>
        <v>12</v>
      </c>
      <c r="B674" s="13"/>
      <c r="C674" s="13" t="str">
        <f ca="1">IFERROR(__xludf.DUMMYFUNCTION("""COMPUTED_VALUE"""),"熟悉")</f>
        <v>熟悉</v>
      </c>
      <c r="D674" s="13" t="str">
        <f ca="1">IFERROR(__xludf.DUMMYFUNCTION("""COMPUTED_VALUE"""),"&lt;ruby&gt;熟悉&lt;rt&gt;Shúxi&lt;/rt&gt;&lt;/ruby&gt;")</f>
        <v>&lt;ruby&gt;熟悉&lt;rt&gt;Shúxi&lt;/rt&gt;&lt;/ruby&gt;</v>
      </c>
      <c r="E674" s="13" t="str">
        <f ca="1">IFERROR(__xludf.DUMMYFUNCTION("""COMPUTED_VALUE"""),"Shúxi")</f>
        <v>Shúxi</v>
      </c>
      <c r="F674" s="13" t="str">
        <f ca="1">IFERROR(__xludf.DUMMYFUNCTION("""COMPUTED_VALUE"""),"Động từ")</f>
        <v>Động từ</v>
      </c>
      <c r="G674" s="13" t="str">
        <f ca="1">IFERROR(__xludf.DUMMYFUNCTION("""COMPUTED_VALUE"""),"hiểu rõ, quen thuộc")</f>
        <v>hiểu rõ, quen thuộc</v>
      </c>
      <c r="H674" s="13" t="str">
        <f ca="1">IFERROR(__xludf.DUMMYFUNCTION("""COMPUTED_VALUE"""),"这是我外公的家，我对这个地方很熟悉。")</f>
        <v>这是我外公的家，我对这个地方很熟悉。</v>
      </c>
      <c r="I674" s="13"/>
      <c r="J674" s="13" t="str">
        <f ca="1">IFERROR(__xludf.DUMMYFUNCTION("""COMPUTED_VALUE"""),"Đây là nhà của ông ngoại tôi và tôi rất quen thuộc với nơi này.")</f>
        <v>Đây là nhà của ông ngoại tôi và tôi rất quen thuộc với nơi này.</v>
      </c>
      <c r="K674" s="13" t="str">
        <f ca="1">IFERROR(__xludf.DUMMYFUNCTION("""COMPUTED_VALUE"""),"H4_B1_BG-12.png")</f>
        <v>H4_B1_BG-12.png</v>
      </c>
      <c r="L674" s="13" t="str">
        <f ca="1">IFERROR(__xludf.DUMMYFUNCTION("""COMPUTED_VALUE"""),"B1-12.mp3")</f>
        <v>B1-12.mp3</v>
      </c>
      <c r="M674" s="13" t="str">
        <f ca="1">IFERROR(__xludf.DUMMYFUNCTION("""COMPUTED_VALUE"""),"B1_VD_12.mp3")</f>
        <v>B1_VD_12.mp3</v>
      </c>
    </row>
    <row r="675" spans="1:13">
      <c r="A675" s="13">
        <f ca="1">IFERROR(__xludf.DUMMYFUNCTION("""COMPUTED_VALUE"""),13)</f>
        <v>13</v>
      </c>
      <c r="B675" s="13"/>
      <c r="C675" s="13" t="str">
        <f ca="1">IFERROR(__xludf.DUMMYFUNCTION("""COMPUTED_VALUE"""),"羡慕")</f>
        <v>羡慕</v>
      </c>
      <c r="D675" s="13" t="str">
        <f ca="1">IFERROR(__xludf.DUMMYFUNCTION("""COMPUTED_VALUE"""),"&lt;ruby&gt;羡慕&lt;rt&gt;xiànmù&lt;/rt&gt;&lt;/ruby&gt;")</f>
        <v>&lt;ruby&gt;羡慕&lt;rt&gt;xiànmù&lt;/rt&gt;&lt;/ruby&gt;</v>
      </c>
      <c r="E675" s="13" t="str">
        <f ca="1">IFERROR(__xludf.DUMMYFUNCTION("""COMPUTED_VALUE"""),"xiànmù")</f>
        <v>xiànmù</v>
      </c>
      <c r="F675" s="13" t="str">
        <f ca="1">IFERROR(__xludf.DUMMYFUNCTION("""COMPUTED_VALUE"""),"Động từ")</f>
        <v>Động từ</v>
      </c>
      <c r="G675" s="13" t="str">
        <f ca="1">IFERROR(__xludf.DUMMYFUNCTION("""COMPUTED_VALUE"""),"ước ao, ngưỡng mộ")</f>
        <v>ước ao, ngưỡng mộ</v>
      </c>
      <c r="H675" s="13" t="str">
        <f ca="1">IFERROR(__xludf.DUMMYFUNCTION("""COMPUTED_VALUE"""),"小女孩很羡慕医生的工作。")</f>
        <v>小女孩很羡慕医生的工作。</v>
      </c>
      <c r="I675" s="13"/>
      <c r="J675" s="13" t="str">
        <f ca="1">IFERROR(__xludf.DUMMYFUNCTION("""COMPUTED_VALUE"""),"Cô bé rất ngưỡng mộ công việc của bác sĩ.")</f>
        <v>Cô bé rất ngưỡng mộ công việc của bác sĩ.</v>
      </c>
      <c r="K675" s="13" t="str">
        <f ca="1">IFERROR(__xludf.DUMMYFUNCTION("""COMPUTED_VALUE"""),"H4_B1_BG-13.png")</f>
        <v>H4_B1_BG-13.png</v>
      </c>
      <c r="L675" s="13" t="str">
        <f ca="1">IFERROR(__xludf.DUMMYFUNCTION("""COMPUTED_VALUE"""),"B1-13.mp3")</f>
        <v>B1-13.mp3</v>
      </c>
      <c r="M675" s="13" t="str">
        <f ca="1">IFERROR(__xludf.DUMMYFUNCTION("""COMPUTED_VALUE"""),"B1_VD_13.mp3")</f>
        <v>B1_VD_13.mp3</v>
      </c>
    </row>
    <row r="676" spans="1:13">
      <c r="A676" s="13">
        <f ca="1">IFERROR(__xludf.DUMMYFUNCTION("""COMPUTED_VALUE"""),14)</f>
        <v>14</v>
      </c>
      <c r="B676" s="13"/>
      <c r="C676" s="13" t="str">
        <f ca="1">IFERROR(__xludf.DUMMYFUNCTION("""COMPUTED_VALUE"""),"幸福")</f>
        <v>幸福</v>
      </c>
      <c r="D676" s="13" t="str">
        <f ca="1">IFERROR(__xludf.DUMMYFUNCTION("""COMPUTED_VALUE"""),"&lt;ruby&gt;幸福&lt;rt&gt;xìngfú&lt;/rt&gt;&lt;/ruby&gt;")</f>
        <v>&lt;ruby&gt;幸福&lt;rt&gt;xìngfú&lt;/rt&gt;&lt;/ruby&gt;</v>
      </c>
      <c r="E676" s="13" t="str">
        <f ca="1">IFERROR(__xludf.DUMMYFUNCTION("""COMPUTED_VALUE"""),"xìngfú")</f>
        <v>xìngfú</v>
      </c>
      <c r="F676" s="13" t="str">
        <f ca="1">IFERROR(__xludf.DUMMYFUNCTION("""COMPUTED_VALUE"""),"Tính từ")</f>
        <v>Tính từ</v>
      </c>
      <c r="G676" s="13" t="str">
        <f ca="1">IFERROR(__xludf.DUMMYFUNCTION("""COMPUTED_VALUE"""),"hạnh phúc")</f>
        <v>hạnh phúc</v>
      </c>
      <c r="H676" s="13" t="str">
        <f ca="1">IFERROR(__xludf.DUMMYFUNCTION("""COMPUTED_VALUE"""),"我希望我的家人都幸福。")</f>
        <v>我希望我的家人都幸福。</v>
      </c>
      <c r="I676" s="13"/>
      <c r="J676" s="13" t="str">
        <f ca="1">IFERROR(__xludf.DUMMYFUNCTION("""COMPUTED_VALUE"""),"Tôi hy vọng gia đình tôi đều hạnh phúc.")</f>
        <v>Tôi hy vọng gia đình tôi đều hạnh phúc.</v>
      </c>
      <c r="K676" s="13" t="str">
        <f ca="1">IFERROR(__xludf.DUMMYFUNCTION("""COMPUTED_VALUE"""),"H4_B1_BG-14.png")</f>
        <v>H4_B1_BG-14.png</v>
      </c>
      <c r="L676" s="13" t="str">
        <f ca="1">IFERROR(__xludf.DUMMYFUNCTION("""COMPUTED_VALUE"""),"B1-14.mp3")</f>
        <v>B1-14.mp3</v>
      </c>
      <c r="M676" s="13" t="str">
        <f ca="1">IFERROR(__xludf.DUMMYFUNCTION("""COMPUTED_VALUE"""),"B1_VD_14.mp3")</f>
        <v>B1_VD_14.mp3</v>
      </c>
    </row>
    <row r="677" spans="1:13">
      <c r="A677" s="13">
        <f ca="1">IFERROR(__xludf.DUMMYFUNCTION("""COMPUTED_VALUE"""),15)</f>
        <v>15</v>
      </c>
      <c r="B677" s="13"/>
      <c r="C677" s="13" t="str">
        <f ca="1">IFERROR(__xludf.DUMMYFUNCTION("""COMPUTED_VALUE"""),"性格")</f>
        <v>性格</v>
      </c>
      <c r="D677" s="13" t="str">
        <f ca="1">IFERROR(__xludf.DUMMYFUNCTION("""COMPUTED_VALUE"""),"&lt;ruby&gt;性格&lt;rt&gt;xìnggé&lt;/rt&gt;&lt;/ruby&gt;")</f>
        <v>&lt;ruby&gt;性格&lt;rt&gt;xìnggé&lt;/rt&gt;&lt;/ruby&gt;</v>
      </c>
      <c r="E677" s="13" t="str">
        <f ca="1">IFERROR(__xludf.DUMMYFUNCTION("""COMPUTED_VALUE"""),"xìnggé")</f>
        <v>xìnggé</v>
      </c>
      <c r="F677" s="13" t="str">
        <f ca="1">IFERROR(__xludf.DUMMYFUNCTION("""COMPUTED_VALUE"""),"Danh từ")</f>
        <v>Danh từ</v>
      </c>
      <c r="G677" s="13" t="str">
        <f ca="1">IFERROR(__xludf.DUMMYFUNCTION("""COMPUTED_VALUE"""),"tính cách, tính nết")</f>
        <v>tính cách, tính nết</v>
      </c>
      <c r="H677" s="13" t="str">
        <f ca="1">IFERROR(__xludf.DUMMYFUNCTION("""COMPUTED_VALUE"""),"他的性格像天气一样，时晴时雨。")</f>
        <v>他的性格像天气一样，时晴时雨。</v>
      </c>
      <c r="I677" s="13"/>
      <c r="J677" s="13" t="str">
        <f ca="1">IFERROR(__xludf.DUMMYFUNCTION("""COMPUTED_VALUE"""),"Tính cách của anh ấy giống như thời tiết, lúc thì nắng, lúc thì mưa.")</f>
        <v>Tính cách của anh ấy giống như thời tiết, lúc thì nắng, lúc thì mưa.</v>
      </c>
      <c r="K677" s="13" t="str">
        <f ca="1">IFERROR(__xludf.DUMMYFUNCTION("""COMPUTED_VALUE"""),"H4_B1_BG-15.png")</f>
        <v>H4_B1_BG-15.png</v>
      </c>
      <c r="L677" s="13" t="str">
        <f ca="1">IFERROR(__xludf.DUMMYFUNCTION("""COMPUTED_VALUE"""),"B1-15.mp3")</f>
        <v>B1-15.mp3</v>
      </c>
      <c r="M677" s="13" t="str">
        <f ca="1">IFERROR(__xludf.DUMMYFUNCTION("""COMPUTED_VALUE"""),"B1_VD_15.mp3")</f>
        <v>B1_VD_15.mp3</v>
      </c>
    </row>
    <row r="678" spans="1:13">
      <c r="A678" s="13">
        <f ca="1">IFERROR(__xludf.DUMMYFUNCTION("""COMPUTED_VALUE"""),16)</f>
        <v>16</v>
      </c>
      <c r="B678" s="13"/>
      <c r="C678" s="13" t="str">
        <f ca="1">IFERROR(__xludf.DUMMYFUNCTION("""COMPUTED_VALUE"""),"印象")</f>
        <v>印象</v>
      </c>
      <c r="D678" s="13" t="str">
        <f ca="1">IFERROR(__xludf.DUMMYFUNCTION("""COMPUTED_VALUE"""),"&lt;ruby&gt;印象&lt;rt&gt;Yìnxiàng&lt;/rt&gt;&lt;/ruby&gt;")</f>
        <v>&lt;ruby&gt;印象&lt;rt&gt;Yìnxiàng&lt;/rt&gt;&lt;/ruby&gt;</v>
      </c>
      <c r="E678" s="13" t="str">
        <f ca="1">IFERROR(__xludf.DUMMYFUNCTION("""COMPUTED_VALUE"""),"Yìnxiàng")</f>
        <v>Yìnxiàng</v>
      </c>
      <c r="F678" s="13" t="str">
        <f ca="1">IFERROR(__xludf.DUMMYFUNCTION("""COMPUTED_VALUE"""),"Danh từ")</f>
        <v>Danh từ</v>
      </c>
      <c r="G678" s="13" t="str">
        <f ca="1">IFERROR(__xludf.DUMMYFUNCTION("""COMPUTED_VALUE"""),"ấn tượng")</f>
        <v>ấn tượng</v>
      </c>
      <c r="H678" s="13" t="str">
        <f ca="1">IFERROR(__xludf.DUMMYFUNCTION("""COMPUTED_VALUE"""),"这幅画给我留下了很深的印象。")</f>
        <v>这幅画给我留下了很深的印象。</v>
      </c>
      <c r="I678" s="13"/>
      <c r="J678" s="13" t="str">
        <f ca="1">IFERROR(__xludf.DUMMYFUNCTION("""COMPUTED_VALUE"""),"Bức tranh này để lại cho tôi ấn tượng rất sâu sắc.")</f>
        <v>Bức tranh này để lại cho tôi ấn tượng rất sâu sắc.</v>
      </c>
      <c r="K678" s="13" t="str">
        <f ca="1">IFERROR(__xludf.DUMMYFUNCTION("""COMPUTED_VALUE"""),"H4_B1_BG-16.png")</f>
        <v>H4_B1_BG-16.png</v>
      </c>
      <c r="L678" s="13" t="str">
        <f ca="1">IFERROR(__xludf.DUMMYFUNCTION("""COMPUTED_VALUE"""),"B1-16.mp3")</f>
        <v>B1-16.mp3</v>
      </c>
      <c r="M678" s="13" t="str">
        <f ca="1">IFERROR(__xludf.DUMMYFUNCTION("""COMPUTED_VALUE"""),"B1_VD_16.mp3")</f>
        <v>B1_VD_16.mp3</v>
      </c>
    </row>
    <row r="679" spans="1:13">
      <c r="A679" s="13">
        <f ca="1">IFERROR(__xludf.DUMMYFUNCTION("""COMPUTED_VALUE"""),17)</f>
        <v>17</v>
      </c>
      <c r="B679" s="13"/>
      <c r="C679" s="13" t="str">
        <f ca="1">IFERROR(__xludf.DUMMYFUNCTION("""COMPUTED_VALUE"""),"幽默")</f>
        <v>幽默</v>
      </c>
      <c r="D679" s="13" t="str">
        <f ca="1">IFERROR(__xludf.DUMMYFUNCTION("""COMPUTED_VALUE"""),"&lt;ruby&gt;幽默&lt;rt&gt;yōumò&lt;/rt&gt;&lt;/ruby&gt;")</f>
        <v>&lt;ruby&gt;幽默&lt;rt&gt;yōumò&lt;/rt&gt;&lt;/ruby&gt;</v>
      </c>
      <c r="E679" s="13" t="str">
        <f ca="1">IFERROR(__xludf.DUMMYFUNCTION("""COMPUTED_VALUE"""),"yōumò")</f>
        <v>yōumò</v>
      </c>
      <c r="F679" s="13" t="str">
        <f ca="1">IFERROR(__xludf.DUMMYFUNCTION("""COMPUTED_VALUE"""),"Tính từ")</f>
        <v>Tính từ</v>
      </c>
      <c r="G679" s="13" t="str">
        <f ca="1">IFERROR(__xludf.DUMMYFUNCTION("""COMPUTED_VALUE"""),"hóm hỉnh, khôi hài")</f>
        <v>hóm hỉnh, khôi hài</v>
      </c>
      <c r="H679" s="13" t="str">
        <f ca="1">IFERROR(__xludf.DUMMYFUNCTION("""COMPUTED_VALUE"""),"她是个很幽默的人。")</f>
        <v>她是个很幽默的人。</v>
      </c>
      <c r="I679" s="13"/>
      <c r="J679" s="13" t="str">
        <f ca="1">IFERROR(__xludf.DUMMYFUNCTION("""COMPUTED_VALUE"""),"Cô ấy là một người rất hóm hỉnh.")</f>
        <v>Cô ấy là một người rất hóm hỉnh.</v>
      </c>
      <c r="K679" s="13" t="str">
        <f ca="1">IFERROR(__xludf.DUMMYFUNCTION("""COMPUTED_VALUE"""),"H4_B1_BG-17.png")</f>
        <v>H4_B1_BG-17.png</v>
      </c>
      <c r="L679" s="13" t="str">
        <f ca="1">IFERROR(__xludf.DUMMYFUNCTION("""COMPUTED_VALUE"""),"B1-17.mp3")</f>
        <v>B1-17.mp3</v>
      </c>
      <c r="M679" s="13" t="str">
        <f ca="1">IFERROR(__xludf.DUMMYFUNCTION("""COMPUTED_VALUE"""),"B1_VD_17.mp3")</f>
        <v>B1_VD_17.mp3</v>
      </c>
    </row>
    <row r="680" spans="1:13">
      <c r="A680" s="13">
        <f ca="1">IFERROR(__xludf.DUMMYFUNCTION("""COMPUTED_VALUE"""),18)</f>
        <v>18</v>
      </c>
      <c r="B680" s="13"/>
      <c r="C680" s="13" t="str">
        <f ca="1">IFERROR(__xludf.DUMMYFUNCTION("""COMPUTED_VALUE"""),"最好")</f>
        <v>最好</v>
      </c>
      <c r="D680" s="13" t="str">
        <f ca="1">IFERROR(__xludf.DUMMYFUNCTION("""COMPUTED_VALUE"""),"&lt;ruby&gt;最好&lt;rt&gt;zuìhăo&lt;/rt&gt;&lt;/ruby&gt;")</f>
        <v>&lt;ruby&gt;最好&lt;rt&gt;zuìhăo&lt;/rt&gt;&lt;/ruby&gt;</v>
      </c>
      <c r="E680" s="13" t="str">
        <f ca="1">IFERROR(__xludf.DUMMYFUNCTION("""COMPUTED_VALUE"""),"zuìhăo")</f>
        <v>zuìhăo</v>
      </c>
      <c r="F680" s="13" t="str">
        <f ca="1">IFERROR(__xludf.DUMMYFUNCTION("""COMPUTED_VALUE"""),"Phó từ")</f>
        <v>Phó từ</v>
      </c>
      <c r="G680" s="13" t="str">
        <f ca="1">IFERROR(__xludf.DUMMYFUNCTION("""COMPUTED_VALUE"""),"tốt nhất")</f>
        <v>tốt nhất</v>
      </c>
      <c r="H680" s="13" t="str">
        <f ca="1">IFERROR(__xludf.DUMMYFUNCTION("""COMPUTED_VALUE"""),"天气这么冷，最好穿多一点衣服。")</f>
        <v>天气这么冷，最好穿多一点衣服。</v>
      </c>
      <c r="I680" s="13"/>
      <c r="J680" s="13" t="str">
        <f ca="1">IFERROR(__xludf.DUMMYFUNCTION("""COMPUTED_VALUE"""),"Thời tiết lạnh thế này, tốt nhất nên mặc nhiều một chút.")</f>
        <v>Thời tiết lạnh thế này, tốt nhất nên mặc nhiều một chút.</v>
      </c>
      <c r="K680" s="13" t="str">
        <f ca="1">IFERROR(__xludf.DUMMYFUNCTION("""COMPUTED_VALUE"""),"H4_B1_BG-18.png")</f>
        <v>H4_B1_BG-18.png</v>
      </c>
      <c r="L680" s="13" t="str">
        <f ca="1">IFERROR(__xludf.DUMMYFUNCTION("""COMPUTED_VALUE"""),"B1-18.mp3")</f>
        <v>B1-18.mp3</v>
      </c>
      <c r="M680" s="13" t="str">
        <f ca="1">IFERROR(__xludf.DUMMYFUNCTION("""COMPUTED_VALUE"""),"B1_VD_18.mp3")</f>
        <v>B1_VD_18.mp3</v>
      </c>
    </row>
    <row r="681" spans="1:13">
      <c r="A681" s="13">
        <f ca="1">IFERROR(__xludf.DUMMYFUNCTION("""COMPUTED_VALUE"""),19)</f>
        <v>19</v>
      </c>
      <c r="B681" s="13"/>
      <c r="C681" s="13" t="str">
        <f ca="1">IFERROR(__xludf.DUMMYFUNCTION("""COMPUTED_VALUE"""),"亮")</f>
        <v>亮</v>
      </c>
      <c r="D681" s="13" t="str">
        <f ca="1">IFERROR(__xludf.DUMMYFUNCTION("""COMPUTED_VALUE"""),"&lt;ruby&gt;亮&lt;rt&gt;liàng&lt;/rt&gt;&lt;/ruby&gt;")</f>
        <v>&lt;ruby&gt;亮&lt;rt&gt;liàng&lt;/rt&gt;&lt;/ruby&gt;</v>
      </c>
      <c r="E681" s="13" t="str">
        <f ca="1">IFERROR(__xludf.DUMMYFUNCTION("""COMPUTED_VALUE"""),"liàng")</f>
        <v>liàng</v>
      </c>
      <c r="F681" s="13" t="str">
        <f ca="1">IFERROR(__xludf.DUMMYFUNCTION("""COMPUTED_VALUE"""),"Động từ")</f>
        <v>Động từ</v>
      </c>
      <c r="G681" s="13" t="str">
        <f ca="1">IFERROR(__xludf.DUMMYFUNCTION("""COMPUTED_VALUE"""),"chiếu sáng, tỏa sáng")</f>
        <v>chiếu sáng, tỏa sáng</v>
      </c>
      <c r="H681" s="13" t="str">
        <f ca="1">IFERROR(__xludf.DUMMYFUNCTION("""COMPUTED_VALUE"""),"太阳很亮，照亮了整个天空。")</f>
        <v>太阳很亮，照亮了整个天空。</v>
      </c>
      <c r="I681" s="13"/>
      <c r="J681" s="13" t="str">
        <f ca="1">IFERROR(__xludf.DUMMYFUNCTION("""COMPUTED_VALUE"""),"Mặt trời rất sáng, chiếu sáng toàn bộ bầu trời.")</f>
        <v>Mặt trời rất sáng, chiếu sáng toàn bộ bầu trời.</v>
      </c>
      <c r="K681" s="13" t="str">
        <f ca="1">IFERROR(__xludf.DUMMYFUNCTION("""COMPUTED_VALUE"""),"H4_B1_BG-19.png")</f>
        <v>H4_B1_BG-19.png</v>
      </c>
      <c r="L681" s="13" t="str">
        <f ca="1">IFERROR(__xludf.DUMMYFUNCTION("""COMPUTED_VALUE"""),"B1-19.mp3")</f>
        <v>B1-19.mp3</v>
      </c>
      <c r="M681" s="13" t="str">
        <f ca="1">IFERROR(__xludf.DUMMYFUNCTION("""COMPUTED_VALUE"""),"B1_VD_19.mp3")</f>
        <v>B1_VD_19.mp3</v>
      </c>
    </row>
    <row r="682" spans="1:13">
      <c r="A682" s="13">
        <f ca="1">IFERROR(__xludf.DUMMYFUNCTION("""COMPUTED_VALUE"""),20)</f>
        <v>20</v>
      </c>
      <c r="B682" s="13"/>
      <c r="C682" s="13" t="str">
        <f ca="1">IFERROR(__xludf.DUMMYFUNCTION("""COMPUTED_VALUE"""),"星星")</f>
        <v>星星</v>
      </c>
      <c r="D682" s="13" t="str">
        <f ca="1">IFERROR(__xludf.DUMMYFUNCTION("""COMPUTED_VALUE"""),"&lt;ruby&gt;星星&lt;rt&gt;Xīngxing&lt;/rt&gt;&lt;/ruby&gt;")</f>
        <v>&lt;ruby&gt;星星&lt;rt&gt;Xīngxing&lt;/rt&gt;&lt;/ruby&gt;</v>
      </c>
      <c r="E682" s="13" t="str">
        <f ca="1">IFERROR(__xludf.DUMMYFUNCTION("""COMPUTED_VALUE"""),"Xīngxing")</f>
        <v>Xīngxing</v>
      </c>
      <c r="F682" s="13" t="str">
        <f ca="1">IFERROR(__xludf.DUMMYFUNCTION("""COMPUTED_VALUE"""),"Danh từ")</f>
        <v>Danh từ</v>
      </c>
      <c r="G682" s="13" t="str">
        <f ca="1">IFERROR(__xludf.DUMMYFUNCTION("""COMPUTED_VALUE"""),"ngôi sao")</f>
        <v>ngôi sao</v>
      </c>
      <c r="H682" s="13" t="str">
        <f ca="1">IFERROR(__xludf.DUMMYFUNCTION("""COMPUTED_VALUE"""),"天上的星星一闪一闪的，真美丽！")</f>
        <v>天上的星星一闪一闪的，真美丽！</v>
      </c>
      <c r="I682" s="13"/>
      <c r="J682" s="13" t="str">
        <f ca="1">IFERROR(__xludf.DUMMYFUNCTION("""COMPUTED_VALUE"""),"Những ngôi sao trên trời lấp lánh, thật đẹp!")</f>
        <v>Những ngôi sao trên trời lấp lánh, thật đẹp!</v>
      </c>
      <c r="K682" s="13" t="str">
        <f ca="1">IFERROR(__xludf.DUMMYFUNCTION("""COMPUTED_VALUE"""),"H4_B1_BG-20.png")</f>
        <v>H4_B1_BG-20.png</v>
      </c>
      <c r="L682" s="13" t="str">
        <f ca="1">IFERROR(__xludf.DUMMYFUNCTION("""COMPUTED_VALUE"""),"B1-20.mp3")</f>
        <v>B1-20.mp3</v>
      </c>
      <c r="M682" s="13" t="str">
        <f ca="1">IFERROR(__xludf.DUMMYFUNCTION("""COMPUTED_VALUE"""),"B1_VD_20.mp3")</f>
        <v>B1_VD_20.mp3</v>
      </c>
    </row>
    <row r="683" spans="1:13">
      <c r="A683" s="13">
        <f ca="1">IFERROR(__xludf.DUMMYFUNCTION("""COMPUTED_VALUE"""),21)</f>
        <v>21</v>
      </c>
      <c r="B683" s="13"/>
      <c r="C683" s="13" t="str">
        <f ca="1">IFERROR(__xludf.DUMMYFUNCTION("""COMPUTED_VALUE"""),"变")</f>
        <v>变</v>
      </c>
      <c r="D683" s="13" t="str">
        <f ca="1">IFERROR(__xludf.DUMMYFUNCTION("""COMPUTED_VALUE"""),"&lt;ruby&gt;变&lt;rt&gt;biàn&lt;/rt&gt;&lt;/ruby&gt;")</f>
        <v>&lt;ruby&gt;变&lt;rt&gt;biàn&lt;/rt&gt;&lt;/ruby&gt;</v>
      </c>
      <c r="E683" s="13" t="str">
        <f ca="1">IFERROR(__xludf.DUMMYFUNCTION("""COMPUTED_VALUE"""),"biàn")</f>
        <v>biàn</v>
      </c>
      <c r="F683" s="13" t="str">
        <f ca="1">IFERROR(__xludf.DUMMYFUNCTION("""COMPUTED_VALUE"""),"Động từ")</f>
        <v>Động từ</v>
      </c>
      <c r="G683" s="13" t="str">
        <f ca="1">IFERROR(__xludf.DUMMYFUNCTION("""COMPUTED_VALUE"""),"trở thành, trở nên")</f>
        <v>trở thành, trở nên</v>
      </c>
      <c r="H683" s="13" t="str">
        <f ca="1">IFERROR(__xludf.DUMMYFUNCTION("""COMPUTED_VALUE"""),"秋天来了，树叶变黄了。")</f>
        <v>秋天来了，树叶变黄了。</v>
      </c>
      <c r="I683" s="13"/>
      <c r="J683" s="13" t="str">
        <f ca="1">IFERROR(__xludf.DUMMYFUNCTION("""COMPUTED_VALUE"""),"Mùa thu đã đến và lá đang chuyển sang màu vàng.")</f>
        <v>Mùa thu đã đến và lá đang chuyển sang màu vàng.</v>
      </c>
      <c r="K683" s="13" t="str">
        <f ca="1">IFERROR(__xludf.DUMMYFUNCTION("""COMPUTED_VALUE"""),"H4_B1_BG-21.png")</f>
        <v>H4_B1_BG-21.png</v>
      </c>
      <c r="L683" s="13" t="str">
        <f ca="1">IFERROR(__xludf.DUMMYFUNCTION("""COMPUTED_VALUE"""),"B1-21.mp3")</f>
        <v>B1-21.mp3</v>
      </c>
      <c r="M683" s="13" t="str">
        <f ca="1">IFERROR(__xludf.DUMMYFUNCTION("""COMPUTED_VALUE"""),"B1_VD_21.mp3")</f>
        <v>B1_VD_21.mp3</v>
      </c>
    </row>
    <row r="684" spans="1:13">
      <c r="A684" s="13">
        <f ca="1">IFERROR(__xludf.DUMMYFUNCTION("""COMPUTED_VALUE"""),22)</f>
        <v>22</v>
      </c>
      <c r="B684" s="13"/>
      <c r="C684" s="13" t="str">
        <f ca="1">IFERROR(__xludf.DUMMYFUNCTION("""COMPUTED_VALUE"""),"普通")</f>
        <v>普通</v>
      </c>
      <c r="D684" s="13" t="str">
        <f ca="1">IFERROR(__xludf.DUMMYFUNCTION("""COMPUTED_VALUE"""),"&lt;ruby&gt;普通&lt;rt&gt;pǔtōng&lt;/rt&gt;&lt;/ruby&gt;")</f>
        <v>&lt;ruby&gt;普通&lt;rt&gt;pǔtōng&lt;/rt&gt;&lt;/ruby&gt;</v>
      </c>
      <c r="E684" s="13" t="str">
        <f ca="1">IFERROR(__xludf.DUMMYFUNCTION("""COMPUTED_VALUE"""),"pǔtōng")</f>
        <v>pǔtōng</v>
      </c>
      <c r="F684" s="13" t="str">
        <f ca="1">IFERROR(__xludf.DUMMYFUNCTION("""COMPUTED_VALUE"""),"Tính từ")</f>
        <v>Tính từ</v>
      </c>
      <c r="G684" s="13" t="str">
        <f ca="1">IFERROR(__xludf.DUMMYFUNCTION("""COMPUTED_VALUE"""),"bình thường, phổ thông")</f>
        <v>bình thường, phổ thông</v>
      </c>
      <c r="H684" s="13" t="str">
        <f ca="1">IFERROR(__xludf.DUMMYFUNCTION("""COMPUTED_VALUE"""),"这些车看起来很普通。")</f>
        <v>这些车看起来很普通。</v>
      </c>
      <c r="I684" s="13"/>
      <c r="J684" s="13" t="str">
        <f ca="1">IFERROR(__xludf.DUMMYFUNCTION("""COMPUTED_VALUE"""),"Những chiếc xe này trông rất bình thường.")</f>
        <v>Những chiếc xe này trông rất bình thường.</v>
      </c>
      <c r="K684" s="13" t="str">
        <f ca="1">IFERROR(__xludf.DUMMYFUNCTION("""COMPUTED_VALUE"""),"H4_B1_BG-22.png")</f>
        <v>H4_B1_BG-22.png</v>
      </c>
      <c r="L684" s="13" t="str">
        <f ca="1">IFERROR(__xludf.DUMMYFUNCTION("""COMPUTED_VALUE"""),"B1-22.mp3")</f>
        <v>B1-22.mp3</v>
      </c>
      <c r="M684" s="13" t="str">
        <f ca="1">IFERROR(__xludf.DUMMYFUNCTION("""COMPUTED_VALUE"""),"B1_VD_22.mp3")</f>
        <v>B1_VD_22.mp3</v>
      </c>
    </row>
    <row r="685" spans="1:13">
      <c r="A685" s="13">
        <f ca="1">IFERROR(__xludf.DUMMYFUNCTION("""COMPUTED_VALUE"""),23)</f>
        <v>23</v>
      </c>
      <c r="B685" s="13"/>
      <c r="C685" s="13" t="str">
        <f ca="1">IFERROR(__xludf.DUMMYFUNCTION("""COMPUTED_VALUE"""),"新鲜感")</f>
        <v>新鲜感</v>
      </c>
      <c r="D685" s="13" t="str">
        <f ca="1">IFERROR(__xludf.DUMMYFUNCTION("""COMPUTED_VALUE"""),"&lt;ruby&gt;新鲜感&lt;rt&gt;Xīnxiān gǎn&lt;/rt&gt;&lt;/ruby&gt;")</f>
        <v>&lt;ruby&gt;新鲜感&lt;rt&gt;Xīnxiān gǎn&lt;/rt&gt;&lt;/ruby&gt;</v>
      </c>
      <c r="E685" s="13" t="str">
        <f ca="1">IFERROR(__xludf.DUMMYFUNCTION("""COMPUTED_VALUE"""),"Xīnxiān gǎn")</f>
        <v>Xīnxiān gǎn</v>
      </c>
      <c r="F685" s="13" t="str">
        <f ca="1">IFERROR(__xludf.DUMMYFUNCTION("""COMPUTED_VALUE"""),"Danh từ")</f>
        <v>Danh từ</v>
      </c>
      <c r="G685" s="13" t="str">
        <f ca="1">IFERROR(__xludf.DUMMYFUNCTION("""COMPUTED_VALUE"""),"cảm giác mới mẻ")</f>
        <v>cảm giác mới mẻ</v>
      </c>
      <c r="H685" s="13" t="str">
        <f ca="1">IFERROR(__xludf.DUMMYFUNCTION("""COMPUTED_VALUE"""),"他对新事物总是充满了新鲜感和好奇心。")</f>
        <v>他对新事物总是充满了新鲜感和好奇心。</v>
      </c>
      <c r="I685" s="13"/>
      <c r="J685" s="13" t="str">
        <f ca="1">IFERROR(__xludf.DUMMYFUNCTION("""COMPUTED_VALUE"""),"Cậu ấy luôn tràn đầy cảm giác mới mẻ và tò mò đối với những điều mới lạ.")</f>
        <v>Cậu ấy luôn tràn đầy cảm giác mới mẻ và tò mò đối với những điều mới lạ.</v>
      </c>
      <c r="K685" s="13" t="str">
        <f ca="1">IFERROR(__xludf.DUMMYFUNCTION("""COMPUTED_VALUE"""),"H4_B1_BG-23.png")</f>
        <v>H4_B1_BG-23.png</v>
      </c>
      <c r="L685" s="13" t="str">
        <f ca="1">IFERROR(__xludf.DUMMYFUNCTION("""COMPUTED_VALUE"""),"B1-23.mp3")</f>
        <v>B1-23.mp3</v>
      </c>
      <c r="M685" s="13" t="str">
        <f ca="1">IFERROR(__xludf.DUMMYFUNCTION("""COMPUTED_VALUE"""),"B1_VD_23.mp3")</f>
        <v>B1_VD_23.mp3</v>
      </c>
    </row>
    <row r="686" spans="1:13">
      <c r="A686" s="13">
        <f ca="1">IFERROR(__xludf.DUMMYFUNCTION("""COMPUTED_VALUE"""),24)</f>
        <v>24</v>
      </c>
      <c r="B686" s="13"/>
      <c r="C686" s="13" t="str">
        <f ca="1">IFERROR(__xludf.DUMMYFUNCTION("""COMPUTED_VALUE"""),"吸引")</f>
        <v>吸引</v>
      </c>
      <c r="D686" s="13" t="str">
        <f ca="1">IFERROR(__xludf.DUMMYFUNCTION("""COMPUTED_VALUE"""),"&lt;ruby&gt;吸引&lt;rt&gt;Xīyǐn&lt;/rt&gt;&lt;/ruby&gt;")</f>
        <v>&lt;ruby&gt;吸引&lt;rt&gt;Xīyǐn&lt;/rt&gt;&lt;/ruby&gt;</v>
      </c>
      <c r="E686" s="13" t="str">
        <f ca="1">IFERROR(__xludf.DUMMYFUNCTION("""COMPUTED_VALUE"""),"Xīyǐn")</f>
        <v>Xīyǐn</v>
      </c>
      <c r="F686" s="13" t="str">
        <f ca="1">IFERROR(__xludf.DUMMYFUNCTION("""COMPUTED_VALUE"""),"Động từ")</f>
        <v>Động từ</v>
      </c>
      <c r="G686" s="13" t="str">
        <f ca="1">IFERROR(__xludf.DUMMYFUNCTION("""COMPUTED_VALUE"""),"thu hút, hấp dẫn")</f>
        <v>thu hút, hấp dẫn</v>
      </c>
      <c r="H686" s="13" t="str">
        <f ca="1">IFERROR(__xludf.DUMMYFUNCTION("""COMPUTED_VALUE"""),"美丽的花吸引了很多蝴蝶。")</f>
        <v>美丽的花吸引了很多蝴蝶。</v>
      </c>
      <c r="I686" s="13"/>
      <c r="J686" s="13" t="str">
        <f ca="1">IFERROR(__xludf.DUMMYFUNCTION("""COMPUTED_VALUE"""),"Những bông hoa xinh đẹp đã thu hút rất nhiều bướm.")</f>
        <v>Những bông hoa xinh đẹp đã thu hút rất nhiều bướm.</v>
      </c>
      <c r="K686" s="13" t="str">
        <f ca="1">IFERROR(__xludf.DUMMYFUNCTION("""COMPUTED_VALUE"""),"H4_B1_BG-24.png")</f>
        <v>H4_B1_BG-24.png</v>
      </c>
      <c r="L686" s="13" t="str">
        <f ca="1">IFERROR(__xludf.DUMMYFUNCTION("""COMPUTED_VALUE"""),"B1-24.mp3")</f>
        <v>B1-24.mp3</v>
      </c>
      <c r="M686" s="13" t="str">
        <f ca="1">IFERROR(__xludf.DUMMYFUNCTION("""COMPUTED_VALUE"""),"B1_VD_24.mp3")</f>
        <v>B1_VD_24.mp3</v>
      </c>
    </row>
    <row r="687" spans="1:13">
      <c r="A687" s="13">
        <f ca="1">IFERROR(__xludf.DUMMYFUNCTION("""COMPUTED_VALUE"""),25)</f>
        <v>25</v>
      </c>
      <c r="B687" s="13"/>
      <c r="C687" s="13" t="str">
        <f ca="1">IFERROR(__xludf.DUMMYFUNCTION("""COMPUTED_VALUE"""),"祝")</f>
        <v>祝</v>
      </c>
      <c r="D687" s="13" t="str">
        <f ca="1">IFERROR(__xludf.DUMMYFUNCTION("""COMPUTED_VALUE"""),"&lt;ruby&gt;祝&lt;rt&gt;zhù&lt;/rt&gt;&lt;/ruby&gt;")</f>
        <v>&lt;ruby&gt;祝&lt;rt&gt;zhù&lt;/rt&gt;&lt;/ruby&gt;</v>
      </c>
      <c r="E687" s="13" t="str">
        <f ca="1">IFERROR(__xludf.DUMMYFUNCTION("""COMPUTED_VALUE"""),"zhù")</f>
        <v>zhù</v>
      </c>
      <c r="F687" s="13" t="str">
        <f ca="1">IFERROR(__xludf.DUMMYFUNCTION("""COMPUTED_VALUE"""),"Động từ")</f>
        <v>Động từ</v>
      </c>
      <c r="G687" s="13" t="str">
        <f ca="1">IFERROR(__xludf.DUMMYFUNCTION("""COMPUTED_VALUE"""),"chúc")</f>
        <v>chúc</v>
      </c>
      <c r="H687" s="13" t="str">
        <f ca="1">IFERROR(__xludf.DUMMYFUNCTION("""COMPUTED_VALUE"""),"祝你生日快乐！")</f>
        <v>祝你生日快乐！</v>
      </c>
      <c r="I687" s="13"/>
      <c r="J687" s="13" t="str">
        <f ca="1">IFERROR(__xludf.DUMMYFUNCTION("""COMPUTED_VALUE"""),"Chúc bạn sinh nhật vui vẻ!")</f>
        <v>Chúc bạn sinh nhật vui vẻ!</v>
      </c>
      <c r="K687" s="13" t="str">
        <f ca="1">IFERROR(__xludf.DUMMYFUNCTION("""COMPUTED_VALUE"""),"H4_B1_BG-25.png")</f>
        <v>H4_B1_BG-25.png</v>
      </c>
      <c r="L687" s="13" t="str">
        <f ca="1">IFERROR(__xludf.DUMMYFUNCTION("""COMPUTED_VALUE"""),"B1-25.mp3")</f>
        <v>B1-25.mp3</v>
      </c>
      <c r="M687" s="13" t="str">
        <f ca="1">IFERROR(__xludf.DUMMYFUNCTION("""COMPUTED_VALUE"""),"B1_VD_25.mp3")</f>
        <v>B1_VD_25.mp3</v>
      </c>
    </row>
    <row r="688" spans="1:13">
      <c r="A688" s="13">
        <f ca="1">IFERROR(__xludf.DUMMYFUNCTION("""COMPUTED_VALUE"""),26)</f>
        <v>26</v>
      </c>
      <c r="B688" s="13"/>
      <c r="C688" s="13" t="str">
        <f ca="1">IFERROR(__xludf.DUMMYFUNCTION("""COMPUTED_VALUE"""),"不仅")</f>
        <v>不仅</v>
      </c>
      <c r="D688" s="13" t="str">
        <f ca="1">IFERROR(__xludf.DUMMYFUNCTION("""COMPUTED_VALUE"""),"&lt;ruby&gt;不仅&lt;rt&gt;bùjĭn&lt;/rt&gt;&lt;/ruby&gt;")</f>
        <v>&lt;ruby&gt;不仅&lt;rt&gt;bùjĭn&lt;/rt&gt;&lt;/ruby&gt;</v>
      </c>
      <c r="E688" s="13" t="str">
        <f ca="1">IFERROR(__xludf.DUMMYFUNCTION("""COMPUTED_VALUE"""),"bùjĭn")</f>
        <v>bùjĭn</v>
      </c>
      <c r="F688" s="13" t="str">
        <f ca="1">IFERROR(__xludf.DUMMYFUNCTION("""COMPUTED_VALUE"""),"Liên từ")</f>
        <v>Liên từ</v>
      </c>
      <c r="G688" s="13" t="str">
        <f ca="1">IFERROR(__xludf.DUMMYFUNCTION("""COMPUTED_VALUE"""),"không những, chẳng những
")</f>
        <v xml:space="preserve">không những, chẳng những
</v>
      </c>
      <c r="H688" s="13" t="str">
        <f ca="1">IFERROR(__xludf.DUMMYFUNCTION("""COMPUTED_VALUE"""),"他不仅聪明，还很努力。")</f>
        <v>他不仅聪明，还很努力。</v>
      </c>
      <c r="I688" s="13"/>
      <c r="J688" s="13" t="str">
        <f ca="1">IFERROR(__xludf.DUMMYFUNCTION("""COMPUTED_VALUE"""),"Anh ấy không chỉ thông minh mà còn rất chăm chỉ.")</f>
        <v>Anh ấy không chỉ thông minh mà còn rất chăm chỉ.</v>
      </c>
      <c r="K688" s="13" t="str">
        <f ca="1">IFERROR(__xludf.DUMMYFUNCTION("""COMPUTED_VALUE"""),"H4_B1_BG-26.png")</f>
        <v>H4_B1_BG-26.png</v>
      </c>
      <c r="L688" s="13" t="str">
        <f ca="1">IFERROR(__xludf.DUMMYFUNCTION("""COMPUTED_VALUE"""),"B1-26.mp3")</f>
        <v>B1-26.mp3</v>
      </c>
      <c r="M688" s="13" t="str">
        <f ca="1">IFERROR(__xludf.DUMMYFUNCTION("""COMPUTED_VALUE"""),"B1_VD_26.mp3")</f>
        <v>B1_VD_26.mp3</v>
      </c>
    </row>
    <row r="689" spans="1:13">
      <c r="A689" s="13">
        <f ca="1">IFERROR(__xludf.DUMMYFUNCTION("""COMPUTED_VALUE"""),27)</f>
        <v>27</v>
      </c>
      <c r="B689" s="13"/>
      <c r="C689" s="13" t="str">
        <f ca="1">IFERROR(__xludf.DUMMYFUNCTION("""COMPUTED_VALUE"""),"法律")</f>
        <v>法律</v>
      </c>
      <c r="D689" s="13" t="str">
        <f ca="1">IFERROR(__xludf.DUMMYFUNCTION("""COMPUTED_VALUE"""),"&lt;ruby&gt;法律&lt;rt&gt;fǎlǜ&lt;/rt&gt;&lt;/ruby&gt;")</f>
        <v>&lt;ruby&gt;法律&lt;rt&gt;fǎlǜ&lt;/rt&gt;&lt;/ruby&gt;</v>
      </c>
      <c r="E689" s="13" t="str">
        <f ca="1">IFERROR(__xludf.DUMMYFUNCTION("""COMPUTED_VALUE"""),"fǎlǜ")</f>
        <v>fǎlǜ</v>
      </c>
      <c r="F689" s="13" t="str">
        <f ca="1">IFERROR(__xludf.DUMMYFUNCTION("""COMPUTED_VALUE"""),"Danh từ")</f>
        <v>Danh từ</v>
      </c>
      <c r="G689" s="13" t="str">
        <f ca="1">IFERROR(__xludf.DUMMYFUNCTION("""COMPUTED_VALUE"""),"pháp luật, luật")</f>
        <v>pháp luật, luật</v>
      </c>
      <c r="H689" s="13" t="str">
        <f ca="1">IFERROR(__xludf.DUMMYFUNCTION("""COMPUTED_VALUE"""),"我们应该遵守法律。")</f>
        <v>我们应该遵守法律。</v>
      </c>
      <c r="I689" s="13"/>
      <c r="J689" s="13" t="str">
        <f ca="1">IFERROR(__xludf.DUMMYFUNCTION("""COMPUTED_VALUE"""),"Chúng ta nên tuân thủ pháp luật.")</f>
        <v>Chúng ta nên tuân thủ pháp luật.</v>
      </c>
      <c r="K689" s="13" t="str">
        <f ca="1">IFERROR(__xludf.DUMMYFUNCTION("""COMPUTED_VALUE"""),"H4_B1_BG-27.png")</f>
        <v>H4_B1_BG-27.png</v>
      </c>
      <c r="L689" s="13" t="str">
        <f ca="1">IFERROR(__xludf.DUMMYFUNCTION("""COMPUTED_VALUE"""),"B1-27.mp3")</f>
        <v>B1-27.mp3</v>
      </c>
      <c r="M689" s="13" t="str">
        <f ca="1">IFERROR(__xludf.DUMMYFUNCTION("""COMPUTED_VALUE"""),"B1_VD_27.mp3")</f>
        <v>B1_VD_27.mp3</v>
      </c>
    </row>
    <row r="690" spans="1:13">
      <c r="A690" s="13">
        <f ca="1">IFERROR(__xludf.DUMMYFUNCTION("""COMPUTED_VALUE"""),28)</f>
        <v>28</v>
      </c>
      <c r="B690" s="13"/>
      <c r="C690" s="13" t="str">
        <f ca="1">IFERROR(__xludf.DUMMYFUNCTION("""COMPUTED_VALUE"""),"刚")</f>
        <v>刚</v>
      </c>
      <c r="D690" s="13" t="str">
        <f ca="1">IFERROR(__xludf.DUMMYFUNCTION("""COMPUTED_VALUE"""),"&lt;ruby&gt;刚&lt;rt&gt;gāng&lt;/rt&gt;&lt;/ruby&gt;")</f>
        <v>&lt;ruby&gt;刚&lt;rt&gt;gāng&lt;/rt&gt;&lt;/ruby&gt;</v>
      </c>
      <c r="E690" s="13" t="str">
        <f ca="1">IFERROR(__xludf.DUMMYFUNCTION("""COMPUTED_VALUE"""),"gāng")</f>
        <v>gāng</v>
      </c>
      <c r="F690" s="13" t="str">
        <f ca="1">IFERROR(__xludf.DUMMYFUNCTION("""COMPUTED_VALUE"""),"Phó từ")</f>
        <v>Phó từ</v>
      </c>
      <c r="G690" s="13" t="str">
        <f ca="1">IFERROR(__xludf.DUMMYFUNCTION("""COMPUTED_VALUE"""),"Vừa, vừa mới")</f>
        <v>Vừa, vừa mới</v>
      </c>
      <c r="H690" s="13" t="str">
        <f ca="1">IFERROR(__xludf.DUMMYFUNCTION("""COMPUTED_VALUE"""),"他刚开始学习魔术。")</f>
        <v>他刚开始学习魔术。</v>
      </c>
      <c r="I690" s="13"/>
      <c r="J690" s="13" t="str">
        <f ca="1">IFERROR(__xludf.DUMMYFUNCTION("""COMPUTED_VALUE"""),"Anh ấy vừa mới bắt đầu học ảo thuật.")</f>
        <v>Anh ấy vừa mới bắt đầu học ảo thuật.</v>
      </c>
      <c r="K690" s="13" t="str">
        <f ca="1">IFERROR(__xludf.DUMMYFUNCTION("""COMPUTED_VALUE"""),"H4_B1_BG-28.png")</f>
        <v>H4_B1_BG-28.png</v>
      </c>
      <c r="L690" s="13" t="str">
        <f ca="1">IFERROR(__xludf.DUMMYFUNCTION("""COMPUTED_VALUE"""),"B1-28.mp3")</f>
        <v>B1-28.mp3</v>
      </c>
      <c r="M690" s="13" t="str">
        <f ca="1">IFERROR(__xludf.DUMMYFUNCTION("""COMPUTED_VALUE"""),"B1_VD_28.mp3")</f>
        <v>B1_VD_28.mp3</v>
      </c>
    </row>
    <row r="691" spans="1:13">
      <c r="A691" s="13">
        <f ca="1">IFERROR(__xludf.DUMMYFUNCTION("""COMPUTED_VALUE"""),29)</f>
        <v>29</v>
      </c>
      <c r="B691" s="13"/>
      <c r="C691" s="13" t="str">
        <f ca="1">IFERROR(__xludf.DUMMYFUNCTION("""COMPUTED_VALUE"""),"共同")</f>
        <v>共同</v>
      </c>
      <c r="D691" s="13" t="str">
        <f ca="1">IFERROR(__xludf.DUMMYFUNCTION("""COMPUTED_VALUE"""),"&lt;ruby&gt;共同&lt;rt&gt;gòngtóng&lt;/rt&gt;&lt;/ruby&gt;")</f>
        <v>&lt;ruby&gt;共同&lt;rt&gt;gòngtóng&lt;/rt&gt;&lt;/ruby&gt;</v>
      </c>
      <c r="E691" s="13" t="str">
        <f ca="1">IFERROR(__xludf.DUMMYFUNCTION("""COMPUTED_VALUE"""),"gòngtóng")</f>
        <v>gòngtóng</v>
      </c>
      <c r="F691" s="13" t="str">
        <f ca="1">IFERROR(__xludf.DUMMYFUNCTION("""COMPUTED_VALUE"""),"Tính từ")</f>
        <v>Tính từ</v>
      </c>
      <c r="G691" s="13" t="str">
        <f ca="1">IFERROR(__xludf.DUMMYFUNCTION("""COMPUTED_VALUE"""),"chung, cùng")</f>
        <v>chung, cùng</v>
      </c>
      <c r="H691" s="13" t="str">
        <f ca="1">IFERROR(__xludf.DUMMYFUNCTION("""COMPUTED_VALUE"""),"他们有共同的兴趣爱好。")</f>
        <v>他们有共同的兴趣爱好。</v>
      </c>
      <c r="I691" s="13"/>
      <c r="J691" s="13" t="str">
        <f ca="1">IFERROR(__xludf.DUMMYFUNCTION("""COMPUTED_VALUE"""),"Bọn họ có sở thích chung.")</f>
        <v>Bọn họ có sở thích chung.</v>
      </c>
      <c r="K691" s="13" t="str">
        <f ca="1">IFERROR(__xludf.DUMMYFUNCTION("""COMPUTED_VALUE"""),"H4_B1_BG-29.png")</f>
        <v>H4_B1_BG-29.png</v>
      </c>
      <c r="L691" s="13" t="str">
        <f ca="1">IFERROR(__xludf.DUMMYFUNCTION("""COMPUTED_VALUE"""),"B1-29.mp3")</f>
        <v>B1-29.mp3</v>
      </c>
      <c r="M691" s="13" t="str">
        <f ca="1">IFERROR(__xludf.DUMMYFUNCTION("""COMPUTED_VALUE"""),"B1_VD_29.mp3")</f>
        <v>B1_VD_29.mp3</v>
      </c>
    </row>
    <row r="692" spans="1:13">
      <c r="A692" s="13">
        <f ca="1">IFERROR(__xludf.DUMMYFUNCTION("""COMPUTED_VALUE"""),30)</f>
        <v>30</v>
      </c>
      <c r="B692" s="13"/>
      <c r="C692" s="13" t="str">
        <f ca="1">IFERROR(__xludf.DUMMYFUNCTION("""COMPUTED_VALUE"""),"够")</f>
        <v>够</v>
      </c>
      <c r="D692" s="13" t="str">
        <f ca="1">IFERROR(__xludf.DUMMYFUNCTION("""COMPUTED_VALUE"""),"&lt;ruby&gt;够&lt;rt&gt;gòu&lt;/rt&gt;&lt;/ruby&gt;")</f>
        <v>&lt;ruby&gt;够&lt;rt&gt;gòu&lt;/rt&gt;&lt;/ruby&gt;</v>
      </c>
      <c r="E692" s="13" t="str">
        <f ca="1">IFERROR(__xludf.DUMMYFUNCTION("""COMPUTED_VALUE"""),"gòu")</f>
        <v>gòu</v>
      </c>
      <c r="F692" s="13" t="str">
        <f ca="1">IFERROR(__xludf.DUMMYFUNCTION("""COMPUTED_VALUE"""),"Động từ")</f>
        <v>Động từ</v>
      </c>
      <c r="G692" s="13" t="str">
        <f ca="1">IFERROR(__xludf.DUMMYFUNCTION("""COMPUTED_VALUE"""),"đủ")</f>
        <v>đủ</v>
      </c>
      <c r="H692" s="13" t="str">
        <f ca="1">IFERROR(__xludf.DUMMYFUNCTION("""COMPUTED_VALUE"""),"这个小孩的钱够买火车票吗？")</f>
        <v>这个小孩的钱够买火车票吗？</v>
      </c>
      <c r="I692" s="13"/>
      <c r="J692" s="13" t="str">
        <f ca="1">IFERROR(__xludf.DUMMYFUNCTION("""COMPUTED_VALUE"""),"Số tiền của đứa trẻ này có đủ để mua vé tàu không?")</f>
        <v>Số tiền của đứa trẻ này có đủ để mua vé tàu không?</v>
      </c>
      <c r="K692" s="13" t="str">
        <f ca="1">IFERROR(__xludf.DUMMYFUNCTION("""COMPUTED_VALUE"""),"H4_B1_BG-30.png")</f>
        <v>H4_B1_BG-30.png</v>
      </c>
      <c r="L692" s="13" t="str">
        <f ca="1">IFERROR(__xludf.DUMMYFUNCTION("""COMPUTED_VALUE"""),"B1-30.mp3")</f>
        <v>B1-30.mp3</v>
      </c>
      <c r="M692" s="13" t="str">
        <f ca="1">IFERROR(__xludf.DUMMYFUNCTION("""COMPUTED_VALUE"""),"B1_VD_30.mp3")</f>
        <v>B1_VD_30.mp3</v>
      </c>
    </row>
    <row r="693" spans="1:13">
      <c r="A693" s="13">
        <f ca="1">IFERROR(__xludf.DUMMYFUNCTION("""COMPUTED_VALUE"""),31)</f>
        <v>31</v>
      </c>
      <c r="B693" s="13"/>
      <c r="C693" s="13" t="str">
        <f ca="1">IFERROR(__xludf.DUMMYFUNCTION("""COMPUTED_VALUE"""),"即使")</f>
        <v>即使</v>
      </c>
      <c r="D693" s="13" t="str">
        <f ca="1">IFERROR(__xludf.DUMMYFUNCTION("""COMPUTED_VALUE"""),"&lt;ruby&gt;即使&lt;rt&gt;jíshǐ&lt;/rt&gt;&lt;/ruby&gt;")</f>
        <v>&lt;ruby&gt;即使&lt;rt&gt;jíshǐ&lt;/rt&gt;&lt;/ruby&gt;</v>
      </c>
      <c r="E693" s="13" t="str">
        <f ca="1">IFERROR(__xludf.DUMMYFUNCTION("""COMPUTED_VALUE"""),"jíshǐ")</f>
        <v>jíshǐ</v>
      </c>
      <c r="F693" s="13" t="str">
        <f ca="1">IFERROR(__xludf.DUMMYFUNCTION("""COMPUTED_VALUE"""),"Liên từ")</f>
        <v>Liên từ</v>
      </c>
      <c r="G693" s="13" t="str">
        <f ca="1">IFERROR(__xludf.DUMMYFUNCTION("""COMPUTED_VALUE"""),"cho dù")</f>
        <v>cho dù</v>
      </c>
      <c r="H693" s="13" t="str">
        <f ca="1">IFERROR(__xludf.DUMMYFUNCTION("""COMPUTED_VALUE"""),"即使下雨，她每天都要上课。")</f>
        <v>即使下雨，她每天都要上课。</v>
      </c>
      <c r="I693" s="13"/>
      <c r="J693" s="13" t="str">
        <f ca="1">IFERROR(__xludf.DUMMYFUNCTION("""COMPUTED_VALUE"""),"Dù trời mưa nhưng hàng ngày cô ấy vẫn phải đến lớp.")</f>
        <v>Dù trời mưa nhưng hàng ngày cô ấy vẫn phải đến lớp.</v>
      </c>
      <c r="K693" s="13" t="str">
        <f ca="1">IFERROR(__xludf.DUMMYFUNCTION("""COMPUTED_VALUE"""),"H4_B1_BG-31.png")</f>
        <v>H4_B1_BG-31.png</v>
      </c>
      <c r="L693" s="13" t="str">
        <f ca="1">IFERROR(__xludf.DUMMYFUNCTION("""COMPUTED_VALUE"""),"B1-31.mp3")</f>
        <v>B1-31.mp3</v>
      </c>
      <c r="M693" s="13" t="str">
        <f ca="1">IFERROR(__xludf.DUMMYFUNCTION("""COMPUTED_VALUE"""),"B1_VD_31.mp3")</f>
        <v>B1_VD_31.mp3</v>
      </c>
    </row>
    <row r="694" spans="1:13">
      <c r="A694" s="13">
        <f ca="1">IFERROR(__xludf.DUMMYFUNCTION("""COMPUTED_VALUE"""),32)</f>
        <v>32</v>
      </c>
      <c r="B694" s="13"/>
      <c r="C694" s="13" t="str">
        <f ca="1">IFERROR(__xludf.DUMMYFUNCTION("""COMPUTED_VALUE"""),"加班")</f>
        <v>加班</v>
      </c>
      <c r="D694" s="13" t="str">
        <f ca="1">IFERROR(__xludf.DUMMYFUNCTION("""COMPUTED_VALUE"""),"&lt;ruby&gt;加班&lt;rt&gt;jiā bān&lt;/rt&gt;&lt;/ruby&gt;")</f>
        <v>&lt;ruby&gt;加班&lt;rt&gt;jiā bān&lt;/rt&gt;&lt;/ruby&gt;</v>
      </c>
      <c r="E694" s="13" t="str">
        <f ca="1">IFERROR(__xludf.DUMMYFUNCTION("""COMPUTED_VALUE"""),"jiā bān")</f>
        <v>jiā bān</v>
      </c>
      <c r="F694" s="13" t="str">
        <f ca="1">IFERROR(__xludf.DUMMYFUNCTION("""COMPUTED_VALUE"""),"Động từ")</f>
        <v>Động từ</v>
      </c>
      <c r="G694" s="13" t="str">
        <f ca="1">IFERROR(__xludf.DUMMYFUNCTION("""COMPUTED_VALUE"""),"tăng ca, làm thêm giờ")</f>
        <v>tăng ca, làm thêm giờ</v>
      </c>
      <c r="H694" s="13" t="str">
        <f ca="1">IFERROR(__xludf.DUMMYFUNCTION("""COMPUTED_VALUE"""),"他每天都要加班到很晚。")</f>
        <v>他每天都要加班到很晚。</v>
      </c>
      <c r="I694" s="13"/>
      <c r="J694" s="13" t="str">
        <f ca="1">IFERROR(__xludf.DUMMYFUNCTION("""COMPUTED_VALUE"""),"Anh ấy mỗi ngày đều phải tăng ca đến rất muộn.")</f>
        <v>Anh ấy mỗi ngày đều phải tăng ca đến rất muộn.</v>
      </c>
      <c r="K694" s="13" t="str">
        <f ca="1">IFERROR(__xludf.DUMMYFUNCTION("""COMPUTED_VALUE"""),"H4_B1_BG-32.png")</f>
        <v>H4_B1_BG-32.png</v>
      </c>
      <c r="L694" s="13" t="str">
        <f ca="1">IFERROR(__xludf.DUMMYFUNCTION("""COMPUTED_VALUE"""),"B1-32.mp3")</f>
        <v>B1-32.mp3</v>
      </c>
      <c r="M694" s="13" t="str">
        <f ca="1">IFERROR(__xludf.DUMMYFUNCTION("""COMPUTED_VALUE"""),"B1_VD_32.mp3")</f>
        <v>B1_VD_32.mp3</v>
      </c>
    </row>
    <row r="695" spans="1:13">
      <c r="A695" s="13">
        <f ca="1">IFERROR(__xludf.DUMMYFUNCTION("""COMPUTED_VALUE"""),33)</f>
        <v>33</v>
      </c>
      <c r="B695" s="13"/>
      <c r="C695" s="13" t="str">
        <f ca="1">IFERROR(__xludf.DUMMYFUNCTION("""COMPUTED_VALUE"""),"接受")</f>
        <v>接受</v>
      </c>
      <c r="D695" s="13" t="str">
        <f ca="1">IFERROR(__xludf.DUMMYFUNCTION("""COMPUTED_VALUE"""),"&lt;ruby&gt;接受&lt;rt&gt;jiēshòu&lt;/rt&gt;&lt;/ruby&gt;")</f>
        <v>&lt;ruby&gt;接受&lt;rt&gt;jiēshòu&lt;/rt&gt;&lt;/ruby&gt;</v>
      </c>
      <c r="E695" s="13" t="str">
        <f ca="1">IFERROR(__xludf.DUMMYFUNCTION("""COMPUTED_VALUE"""),"jiēshòu")</f>
        <v>jiēshòu</v>
      </c>
      <c r="F695" s="13" t="str">
        <f ca="1">IFERROR(__xludf.DUMMYFUNCTION("""COMPUTED_VALUE"""),"Động từ")</f>
        <v>Động từ</v>
      </c>
      <c r="G695" s="13" t="str">
        <f ca="1">IFERROR(__xludf.DUMMYFUNCTION("""COMPUTED_VALUE"""),"chấp nhận
")</f>
        <v xml:space="preserve">chấp nhận
</v>
      </c>
      <c r="H695" s="13" t="str">
        <f ca="1">IFERROR(__xludf.DUMMYFUNCTION("""COMPUTED_VALUE"""),"她接受了他送的礼物。")</f>
        <v>她接受了他送的礼物。</v>
      </c>
      <c r="I695" s="13"/>
      <c r="J695" s="13" t="str">
        <f ca="1">IFERROR(__xludf.DUMMYFUNCTION("""COMPUTED_VALUE"""),"Cô ấy đã nhận món quà mà anh ấy tặng.")</f>
        <v>Cô ấy đã nhận món quà mà anh ấy tặng.</v>
      </c>
      <c r="K695" s="13" t="str">
        <f ca="1">IFERROR(__xludf.DUMMYFUNCTION("""COMPUTED_VALUE"""),"H4_B1_BG-33.png")</f>
        <v>H4_B1_BG-33.png</v>
      </c>
      <c r="L695" s="13" t="str">
        <f ca="1">IFERROR(__xludf.DUMMYFUNCTION("""COMPUTED_VALUE"""),"B1-33.mp3")</f>
        <v>B1-33.mp3</v>
      </c>
      <c r="M695" s="13" t="str">
        <f ca="1">IFERROR(__xludf.DUMMYFUNCTION("""COMPUTED_VALUE"""),"B1_VD_33.mp3")</f>
        <v>B1_VD_33.mp3</v>
      </c>
    </row>
    <row r="696" spans="1:13">
      <c r="A696" s="13">
        <f ca="1">IFERROR(__xludf.DUMMYFUNCTION("""COMPUTED_VALUE"""),34)</f>
        <v>34</v>
      </c>
      <c r="B696" s="13"/>
      <c r="C696" s="13" t="str">
        <f ca="1">IFERROR(__xludf.DUMMYFUNCTION("""COMPUTED_VALUE"""),"原因")</f>
        <v>原因</v>
      </c>
      <c r="D696" s="13" t="str">
        <f ca="1">IFERROR(__xludf.DUMMYFUNCTION("""COMPUTED_VALUE"""),"&lt;ruby&gt;原因&lt;rt&gt;yuányīn&lt;/rt&gt;&lt;/ruby&gt;")</f>
        <v>&lt;ruby&gt;原因&lt;rt&gt;yuányīn&lt;/rt&gt;&lt;/ruby&gt;</v>
      </c>
      <c r="E696" s="13" t="str">
        <f ca="1">IFERROR(__xludf.DUMMYFUNCTION("""COMPUTED_VALUE"""),"yuányīn")</f>
        <v>yuányīn</v>
      </c>
      <c r="F696" s="13" t="str">
        <f ca="1">IFERROR(__xludf.DUMMYFUNCTION("""COMPUTED_VALUE"""),"Danh từ")</f>
        <v>Danh từ</v>
      </c>
      <c r="G696" s="13" t="str">
        <f ca="1">IFERROR(__xludf.DUMMYFUNCTION("""COMPUTED_VALUE"""),"nguyên nhân")</f>
        <v>nguyên nhân</v>
      </c>
      <c r="H696" s="13" t="str">
        <f ca="1">IFERROR(__xludf.DUMMYFUNCTION("""COMPUTED_VALUE"""),"他生气的原因是什么？")</f>
        <v>他生气的原因是什么？</v>
      </c>
      <c r="I696" s="13"/>
      <c r="J696" s="13" t="str">
        <f ca="1">IFERROR(__xludf.DUMMYFUNCTION("""COMPUTED_VALUE"""),"Lý do anh ấy tức giận là gì?")</f>
        <v>Lý do anh ấy tức giận là gì?</v>
      </c>
      <c r="K696" s="13" t="str">
        <f ca="1">IFERROR(__xludf.DUMMYFUNCTION("""COMPUTED_VALUE"""),"H4_B1_BG-34.png")</f>
        <v>H4_B1_BG-34.png</v>
      </c>
      <c r="L696" s="13" t="str">
        <f ca="1">IFERROR(__xludf.DUMMYFUNCTION("""COMPUTED_VALUE"""),"B1-34.mp3")</f>
        <v>B1-34.mp3</v>
      </c>
      <c r="M696" s="13" t="str">
        <f ca="1">IFERROR(__xludf.DUMMYFUNCTION("""COMPUTED_VALUE"""),"B1_VD_34.mp3")</f>
        <v>B1_VD_34.mp3</v>
      </c>
    </row>
    <row r="697" spans="1:13">
      <c r="A697" s="13">
        <f ca="1">IFERROR(__xludf.DUMMYFUNCTION("""COMPUTED_VALUE"""),35)</f>
        <v>35</v>
      </c>
      <c r="B697" s="13"/>
      <c r="C697" s="13" t="str">
        <f ca="1">IFERROR(__xludf.DUMMYFUNCTION("""COMPUTED_VALUE"""),"自然")</f>
        <v>自然</v>
      </c>
      <c r="D697" s="13" t="str">
        <f ca="1">IFERROR(__xludf.DUMMYFUNCTION("""COMPUTED_VALUE"""),"&lt;ruby&gt;自然&lt;rt&gt;zìrán&lt;/rt&gt;&lt;/ruby&gt;")</f>
        <v>&lt;ruby&gt;自然&lt;rt&gt;zìrán&lt;/rt&gt;&lt;/ruby&gt;</v>
      </c>
      <c r="E697" s="13" t="str">
        <f ca="1">IFERROR(__xludf.DUMMYFUNCTION("""COMPUTED_VALUE"""),"zìrán")</f>
        <v>zìrán</v>
      </c>
      <c r="F697" s="13" t="str">
        <f ca="1">IFERROR(__xludf.DUMMYFUNCTION("""COMPUTED_VALUE"""),"Phó từ")</f>
        <v>Phó từ</v>
      </c>
      <c r="G697" s="13" t="str">
        <f ca="1">IFERROR(__xludf.DUMMYFUNCTION("""COMPUTED_VALUE"""),"đương nhiên, hiển nhiên")</f>
        <v>đương nhiên, hiển nhiên</v>
      </c>
      <c r="H697" s="13" t="str">
        <f ca="1">IFERROR(__xludf.DUMMYFUNCTION("""COMPUTED_VALUE"""),"她笑得很自然。")</f>
        <v>她笑得很自然。</v>
      </c>
      <c r="I697" s="13"/>
      <c r="J697" s="13" t="str">
        <f ca="1">IFERROR(__xludf.DUMMYFUNCTION("""COMPUTED_VALUE"""),"Cô ấy cười rất tự nhiên.")</f>
        <v>Cô ấy cười rất tự nhiên.</v>
      </c>
      <c r="K697" s="13" t="str">
        <f ca="1">IFERROR(__xludf.DUMMYFUNCTION("""COMPUTED_VALUE"""),"H4_B1_BG-35.png")</f>
        <v>H4_B1_BG-35.png</v>
      </c>
      <c r="L697" s="13" t="str">
        <f ca="1">IFERROR(__xludf.DUMMYFUNCTION("""COMPUTED_VALUE"""),"B1-35.mp3")</f>
        <v>B1-35.mp3</v>
      </c>
      <c r="M697" s="13" t="str">
        <f ca="1">IFERROR(__xludf.DUMMYFUNCTION("""COMPUTED_VALUE"""),"B1_VD_35.mp3")</f>
        <v>B1_VD_35.mp3</v>
      </c>
    </row>
    <row r="698" spans="1:13">
      <c r="A698" s="13">
        <f ca="1">IFERROR(__xludf.DUMMYFUNCTION("""COMPUTED_VALUE"""),36)</f>
        <v>36</v>
      </c>
      <c r="B698" s="13"/>
      <c r="C698" s="13" t="str">
        <f ca="1">IFERROR(__xludf.DUMMYFUNCTION("""COMPUTED_VALUE"""),"从来")</f>
        <v>从来</v>
      </c>
      <c r="D698" s="13" t="str">
        <f ca="1">IFERROR(__xludf.DUMMYFUNCTION("""COMPUTED_VALUE"""),"&lt;ruby&gt;从来&lt;rt&gt;cónglái&lt;/rt&gt;&lt;/ruby&gt;")</f>
        <v>&lt;ruby&gt;从来&lt;rt&gt;cónglái&lt;/rt&gt;&lt;/ruby&gt;</v>
      </c>
      <c r="E698" s="13" t="str">
        <f ca="1">IFERROR(__xludf.DUMMYFUNCTION("""COMPUTED_VALUE"""),"cónglái")</f>
        <v>cónglái</v>
      </c>
      <c r="F698" s="13" t="str">
        <f ca="1">IFERROR(__xludf.DUMMYFUNCTION("""COMPUTED_VALUE"""),"Phó từ")</f>
        <v>Phó từ</v>
      </c>
      <c r="G698" s="13" t="str">
        <f ca="1">IFERROR(__xludf.DUMMYFUNCTION("""COMPUTED_VALUE"""),"từ trước đến nay, từ trước đến giờ")</f>
        <v>từ trước đến nay, từ trước đến giờ</v>
      </c>
      <c r="H698" s="13" t="str">
        <f ca="1">IFERROR(__xludf.DUMMYFUNCTION("""COMPUTED_VALUE"""),"我从来没有滑过冰。")</f>
        <v>我从来没有滑过冰。</v>
      </c>
      <c r="I698" s="13"/>
      <c r="J698" s="13" t="str">
        <f ca="1">IFERROR(__xludf.DUMMYFUNCTION("""COMPUTED_VALUE"""),"Từ trước đến nay, tôi chưa bao giờ trượt băng.")</f>
        <v>Từ trước đến nay, tôi chưa bao giờ trượt băng.</v>
      </c>
      <c r="K698" s="13" t="str">
        <f ca="1">IFERROR(__xludf.DUMMYFUNCTION("""COMPUTED_VALUE"""),"H4_B1_BG-36.png")</f>
        <v>H4_B1_BG-36.png</v>
      </c>
      <c r="L698" s="13" t="str">
        <f ca="1">IFERROR(__xludf.DUMMYFUNCTION("""COMPUTED_VALUE"""),"B1-36.mp3")</f>
        <v>B1-36.mp3</v>
      </c>
      <c r="M698" s="13" t="str">
        <f ca="1">IFERROR(__xludf.DUMMYFUNCTION("""COMPUTED_VALUE"""),"B1_VD_36.mp3")</f>
        <v>B1_VD_36.mp3</v>
      </c>
    </row>
    <row r="699" spans="1:13">
      <c r="A699" s="13">
        <f ca="1">IFERROR(__xludf.DUMMYFUNCTION("""COMPUTED_VALUE"""),1)</f>
        <v>1</v>
      </c>
      <c r="B699" s="13"/>
      <c r="C699" s="13" t="str">
        <f ca="1">IFERROR(__xludf.DUMMYFUNCTION("""COMPUTED_VALUE"""),"毕业")</f>
        <v>毕业</v>
      </c>
      <c r="D699" s="13" t="str">
        <f ca="1">IFERROR(__xludf.DUMMYFUNCTION("""COMPUTED_VALUE"""),"&lt;ruby&gt;毕业&lt;rt&gt;bì yè
&lt;/rt&gt;&lt;/ruby&gt;")</f>
        <v>&lt;ruby&gt;毕业&lt;rt&gt;bì yè
&lt;/rt&gt;&lt;/ruby&gt;</v>
      </c>
      <c r="E699" s="13" t="str">
        <f ca="1">IFERROR(__xludf.DUMMYFUNCTION("""COMPUTED_VALUE"""),"bì yè
")</f>
        <v xml:space="preserve">bì yè
</v>
      </c>
      <c r="F699" s="13" t="str">
        <f ca="1">IFERROR(__xludf.DUMMYFUNCTION("""COMPUTED_VALUE"""),"Động từ")</f>
        <v>Động từ</v>
      </c>
      <c r="G699" s="13" t="str">
        <f ca="1">IFERROR(__xludf.DUMMYFUNCTION("""COMPUTED_VALUE"""),"tốt nghiêp")</f>
        <v>tốt nghiêp</v>
      </c>
      <c r="H699" s="13" t="str">
        <f ca="1">IFERROR(__xludf.DUMMYFUNCTION("""COMPUTED_VALUE"""),"她明年就要大学毕业了。")</f>
        <v>她明年就要大学毕业了。</v>
      </c>
      <c r="I699" s="13"/>
      <c r="J699" s="13" t="str">
        <f ca="1">IFERROR(__xludf.DUMMYFUNCTION("""COMPUTED_VALUE"""),"Năm sau cô ấy sẽ tốt nghiệp đại học.")</f>
        <v>Năm sau cô ấy sẽ tốt nghiệp đại học.</v>
      </c>
      <c r="K699" s="13" t="str">
        <f ca="1">IFERROR(__xludf.DUMMYFUNCTION("""COMPUTED_VALUE"""),"H4_B2_BG1.png")</f>
        <v>H4_B2_BG1.png</v>
      </c>
      <c r="L699" s="13" t="str">
        <f ca="1">IFERROR(__xludf.DUMMYFUNCTION("""COMPUTED_VALUE"""),"B2_1.mp3")</f>
        <v>B2_1.mp3</v>
      </c>
      <c r="M699" s="13" t="str">
        <f ca="1">IFERROR(__xludf.DUMMYFUNCTION("""COMPUTED_VALUE"""),"B2_VD_1.mp3")</f>
        <v>B2_VD_1.mp3</v>
      </c>
    </row>
    <row r="700" spans="1:13">
      <c r="A700" s="13">
        <f ca="1">IFERROR(__xludf.DUMMYFUNCTION("""COMPUTED_VALUE"""),2)</f>
        <v>2</v>
      </c>
      <c r="B700" s="13"/>
      <c r="C700" s="13" t="str">
        <f ca="1">IFERROR(__xludf.DUMMYFUNCTION("""COMPUTED_VALUE"""),"差不多")</f>
        <v>差不多</v>
      </c>
      <c r="D700" s="13" t="str">
        <f ca="1">IFERROR(__xludf.DUMMYFUNCTION("""COMPUTED_VALUE"""),"&lt;ruby&gt;差不多&lt;rt&gt;chàbuduō&lt;/rt&gt;&lt;/ruby&gt;")</f>
        <v>&lt;ruby&gt;差不多&lt;rt&gt;chàbuduō&lt;/rt&gt;&lt;/ruby&gt;</v>
      </c>
      <c r="E700" s="13" t="str">
        <f ca="1">IFERROR(__xludf.DUMMYFUNCTION("""COMPUTED_VALUE"""),"chàbuduō")</f>
        <v>chàbuduō</v>
      </c>
      <c r="F700" s="13" t="str">
        <f ca="1">IFERROR(__xludf.DUMMYFUNCTION("""COMPUTED_VALUE"""),"Phó từ")</f>
        <v>Phó từ</v>
      </c>
      <c r="G700" s="13" t="str">
        <f ca="1">IFERROR(__xludf.DUMMYFUNCTION("""COMPUTED_VALUE"""),"gần như, hầu như")</f>
        <v>gần như, hầu như</v>
      </c>
      <c r="H700" s="13" t="str">
        <f ca="1">IFERROR(__xludf.DUMMYFUNCTION("""COMPUTED_VALUE"""),"这两件衣服的价格差不多。")</f>
        <v>这两件衣服的价格差不多。</v>
      </c>
      <c r="I700" s="13"/>
      <c r="J700" s="13" t="str">
        <f ca="1">IFERROR(__xludf.DUMMYFUNCTION("""COMPUTED_VALUE"""),"Giá của hai bộ quần áo này gần như giống nhau.")</f>
        <v>Giá của hai bộ quần áo này gần như giống nhau.</v>
      </c>
      <c r="K700" s="13" t="str">
        <f ca="1">IFERROR(__xludf.DUMMYFUNCTION("""COMPUTED_VALUE"""),"H4_B2_BG2.png")</f>
        <v>H4_B2_BG2.png</v>
      </c>
      <c r="L700" s="13" t="str">
        <f ca="1">IFERROR(__xludf.DUMMYFUNCTION("""COMPUTED_VALUE"""),"B2_2.mp3")</f>
        <v>B2_2.mp3</v>
      </c>
      <c r="M700" s="13" t="str">
        <f ca="1">IFERROR(__xludf.DUMMYFUNCTION("""COMPUTED_VALUE"""),"B2_VD_2.mp3")</f>
        <v>B2_VD_2.mp3</v>
      </c>
    </row>
    <row r="701" spans="1:13">
      <c r="A701" s="13">
        <f ca="1">IFERROR(__xludf.DUMMYFUNCTION("""COMPUTED_VALUE"""),3)</f>
        <v>3</v>
      </c>
      <c r="B701" s="13"/>
      <c r="C701" s="13" t="str">
        <f ca="1">IFERROR(__xludf.DUMMYFUNCTION("""COMPUTED_VALUE"""),"重新")</f>
        <v>重新</v>
      </c>
      <c r="D701" s="13" t="str">
        <f ca="1">IFERROR(__xludf.DUMMYFUNCTION("""COMPUTED_VALUE"""),"&lt;ruby&gt;重新&lt;rt&gt;chóngxīn&lt;/rt&gt;&lt;/ruby&gt;")</f>
        <v>&lt;ruby&gt;重新&lt;rt&gt;chóngxīn&lt;/rt&gt;&lt;/ruby&gt;</v>
      </c>
      <c r="E701" s="13" t="str">
        <f ca="1">IFERROR(__xludf.DUMMYFUNCTION("""COMPUTED_VALUE"""),"chóngxīn")</f>
        <v>chóngxīn</v>
      </c>
      <c r="F701" s="13" t="str">
        <f ca="1">IFERROR(__xludf.DUMMYFUNCTION("""COMPUTED_VALUE"""),"Phó từ")</f>
        <v>Phó từ</v>
      </c>
      <c r="G701" s="13" t="str">
        <f ca="1">IFERROR(__xludf.DUMMYFUNCTION("""COMPUTED_VALUE"""),"lần nữa, lại một lần nữa")</f>
        <v>lần nữa, lại một lần nữa</v>
      </c>
      <c r="H701" s="13" t="str">
        <f ca="1">IFERROR(__xludf.DUMMYFUNCTION("""COMPUTED_VALUE"""),"他们重新分类了一次垃圾。")</f>
        <v>他们重新分类了一次垃圾。</v>
      </c>
      <c r="I701" s="13"/>
      <c r="J701" s="13" t="str">
        <f ca="1">IFERROR(__xludf.DUMMYFUNCTION("""COMPUTED_VALUE"""),"Họ phân loại rác lại một lần nữa")</f>
        <v>Họ phân loại rác lại một lần nữa</v>
      </c>
      <c r="K701" s="13" t="str">
        <f ca="1">IFERROR(__xludf.DUMMYFUNCTION("""COMPUTED_VALUE"""),"H4_B2_BG3.png")</f>
        <v>H4_B2_BG3.png</v>
      </c>
      <c r="L701" s="13" t="str">
        <f ca="1">IFERROR(__xludf.DUMMYFUNCTION("""COMPUTED_VALUE"""),"B2_3.mp3")</f>
        <v>B2_3.mp3</v>
      </c>
      <c r="M701" s="13" t="str">
        <f ca="1">IFERROR(__xludf.DUMMYFUNCTION("""COMPUTED_VALUE"""),"B2_VD_3.mp3")</f>
        <v>B2_VD_3.mp3</v>
      </c>
    </row>
    <row r="702" spans="1:13">
      <c r="A702" s="13">
        <f ca="1">IFERROR(__xludf.DUMMYFUNCTION("""COMPUTED_VALUE"""),4)</f>
        <v>4</v>
      </c>
      <c r="B702" s="13"/>
      <c r="C702" s="13" t="str">
        <f ca="1">IFERROR(__xludf.DUMMYFUNCTION("""COMPUTED_VALUE"""),"当")</f>
        <v>当</v>
      </c>
      <c r="D702" s="13" t="str">
        <f ca="1">IFERROR(__xludf.DUMMYFUNCTION("""COMPUTED_VALUE"""),"&lt;ruby&gt;当&lt;rt&gt;dāng&lt;/rt&gt;&lt;/ruby&gt;")</f>
        <v>&lt;ruby&gt;当&lt;rt&gt;dāng&lt;/rt&gt;&lt;/ruby&gt;</v>
      </c>
      <c r="E702" s="13" t="str">
        <f ca="1">IFERROR(__xludf.DUMMYFUNCTION("""COMPUTED_VALUE"""),"dāng")</f>
        <v>dāng</v>
      </c>
      <c r="F702" s="13" t="str">
        <f ca="1">IFERROR(__xludf.DUMMYFUNCTION("""COMPUTED_VALUE"""),"Giới từ")</f>
        <v>Giới từ</v>
      </c>
      <c r="G702" s="13" t="str">
        <f ca="1">IFERROR(__xludf.DUMMYFUNCTION("""COMPUTED_VALUE"""),"khi")</f>
        <v>khi</v>
      </c>
      <c r="H702" s="13" t="str">
        <f ca="1">IFERROR(__xludf.DUMMYFUNCTION("""COMPUTED_VALUE"""),"当打雷的时候，不要站在避雷针附近。")</f>
        <v>当打雷的时候，不要站在避雷针附近。</v>
      </c>
      <c r="I702" s="13"/>
      <c r="J702" s="13" t="str">
        <f ca="1">IFERROR(__xludf.DUMMYFUNCTION("""COMPUTED_VALUE"""),"Khi có sấm sét, không được đứng gần cột thu lôi.")</f>
        <v>Khi có sấm sét, không được đứng gần cột thu lôi.</v>
      </c>
      <c r="K702" s="13" t="str">
        <f ca="1">IFERROR(__xludf.DUMMYFUNCTION("""COMPUTED_VALUE"""),"H4_B2_BG4.png")</f>
        <v>H4_B2_BG4.png</v>
      </c>
      <c r="L702" s="13" t="str">
        <f ca="1">IFERROR(__xludf.DUMMYFUNCTION("""COMPUTED_VALUE"""),"B2_4.mp3")</f>
        <v>B2_4.mp3</v>
      </c>
      <c r="M702" s="13" t="str">
        <f ca="1">IFERROR(__xludf.DUMMYFUNCTION("""COMPUTED_VALUE"""),"B2_VD_4.mp3")</f>
        <v>B2_VD_4.mp3</v>
      </c>
    </row>
    <row r="703" spans="1:13">
      <c r="A703" s="13">
        <f ca="1">IFERROR(__xludf.DUMMYFUNCTION("""COMPUTED_VALUE"""),5)</f>
        <v>5</v>
      </c>
      <c r="B703" s="13"/>
      <c r="C703" s="13" t="str">
        <f ca="1">IFERROR(__xludf.DUMMYFUNCTION("""COMPUTED_VALUE"""),"短信")</f>
        <v>短信</v>
      </c>
      <c r="D703" s="13" t="str">
        <f ca="1">IFERROR(__xludf.DUMMYFUNCTION("""COMPUTED_VALUE"""),"&lt;ruby&gt;短信&lt;rt&gt;duănxìn&lt;/rt&gt;&lt;/ruby&gt;")</f>
        <v>&lt;ruby&gt;短信&lt;rt&gt;duănxìn&lt;/rt&gt;&lt;/ruby&gt;</v>
      </c>
      <c r="E703" s="13" t="str">
        <f ca="1">IFERROR(__xludf.DUMMYFUNCTION("""COMPUTED_VALUE"""),"duănxìn")</f>
        <v>duănxìn</v>
      </c>
      <c r="F703" s="13" t="str">
        <f ca="1">IFERROR(__xludf.DUMMYFUNCTION("""COMPUTED_VALUE"""),"Danh từ")</f>
        <v>Danh từ</v>
      </c>
      <c r="G703" s="13" t="str">
        <f ca="1">IFERROR(__xludf.DUMMYFUNCTION("""COMPUTED_VALUE"""),"tin nhắn")</f>
        <v>tin nhắn</v>
      </c>
      <c r="H703" s="13" t="str">
        <f ca="1">IFERROR(__xludf.DUMMYFUNCTION("""COMPUTED_VALUE"""),"今天我收到了很多好朋友发来的短信。")</f>
        <v>今天我收到了很多好朋友发来的短信。</v>
      </c>
      <c r="I703" s="13"/>
      <c r="J703" s="13" t="str">
        <f ca="1">IFERROR(__xludf.DUMMYFUNCTION("""COMPUTED_VALUE"""),"Hôm nay tôi nhận được rất nhiều tin nhắn mà bạn thân gửi.")</f>
        <v>Hôm nay tôi nhận được rất nhiều tin nhắn mà bạn thân gửi.</v>
      </c>
      <c r="K703" s="13" t="str">
        <f ca="1">IFERROR(__xludf.DUMMYFUNCTION("""COMPUTED_VALUE"""),"H4_B2_BG5.png")</f>
        <v>H4_B2_BG5.png</v>
      </c>
      <c r="L703" s="13" t="str">
        <f ca="1">IFERROR(__xludf.DUMMYFUNCTION("""COMPUTED_VALUE"""),"B2_5.mp3")</f>
        <v>B2_5.mp3</v>
      </c>
      <c r="M703" s="13" t="str">
        <f ca="1">IFERROR(__xludf.DUMMYFUNCTION("""COMPUTED_VALUE"""),"B2_VD_5.mp3")</f>
        <v>B2_VD_5.mp3</v>
      </c>
    </row>
    <row r="704" spans="1:13">
      <c r="A704" s="13">
        <f ca="1">IFERROR(__xludf.DUMMYFUNCTION("""COMPUTED_VALUE"""),6)</f>
        <v>6</v>
      </c>
      <c r="B704" s="13"/>
      <c r="C704" s="13" t="str">
        <f ca="1">IFERROR(__xludf.DUMMYFUNCTION("""COMPUTED_VALUE"""),"而")</f>
        <v>而</v>
      </c>
      <c r="D704" s="13" t="str">
        <f ca="1">IFERROR(__xludf.DUMMYFUNCTION("""COMPUTED_VALUE"""),"&lt;ruby&gt;而&lt;rt&gt;ér
&lt;/rt&gt;&lt;/ruby&gt;")</f>
        <v>&lt;ruby&gt;而&lt;rt&gt;ér
&lt;/rt&gt;&lt;/ruby&gt;</v>
      </c>
      <c r="E704" s="13" t="str">
        <f ca="1">IFERROR(__xludf.DUMMYFUNCTION("""COMPUTED_VALUE"""),"ér
")</f>
        <v xml:space="preserve">ér
</v>
      </c>
      <c r="F704" s="13"/>
      <c r="G704" s="13" t="str">
        <f ca="1">IFERROR(__xludf.DUMMYFUNCTION("""COMPUTED_VALUE"""),"(chỉ sự tương phản) trong khi đó, mà")</f>
        <v>(chỉ sự tương phản) trong khi đó, mà</v>
      </c>
      <c r="H704" s="13" t="str">
        <f ca="1">IFERROR(__xludf.DUMMYFUNCTION("""COMPUTED_VALUE"""),"我喜欢踢足球，而我的朋友却喜欢打羽毛球。")</f>
        <v>我喜欢踢足球，而我的朋友却喜欢打羽毛球。</v>
      </c>
      <c r="I704" s="13"/>
      <c r="J704" s="13" t="str">
        <f ca="1">IFERROR(__xludf.DUMMYFUNCTION("""COMPUTED_VALUE"""),"Tôi thích chơi đá bóng, mà bạn tôi lại thích chơi cầu lông.")</f>
        <v>Tôi thích chơi đá bóng, mà bạn tôi lại thích chơi cầu lông.</v>
      </c>
      <c r="K704" s="13" t="str">
        <f ca="1">IFERROR(__xludf.DUMMYFUNCTION("""COMPUTED_VALUE"""),"H4_B2_BG6.png")</f>
        <v>H4_B2_BG6.png</v>
      </c>
      <c r="L704" s="13" t="str">
        <f ca="1">IFERROR(__xludf.DUMMYFUNCTION("""COMPUTED_VALUE"""),"B2_6.mp3")</f>
        <v>B2_6.mp3</v>
      </c>
      <c r="M704" s="13" t="str">
        <f ca="1">IFERROR(__xludf.DUMMYFUNCTION("""COMPUTED_VALUE"""),"B2_VD_6.mp3")</f>
        <v>B2_VD_6.mp3</v>
      </c>
    </row>
    <row r="705" spans="1:13">
      <c r="A705" s="13">
        <f ca="1">IFERROR(__xludf.DUMMYFUNCTION("""COMPUTED_VALUE"""),7)</f>
        <v>7</v>
      </c>
      <c r="B705" s="13"/>
      <c r="C705" s="13" t="str">
        <f ca="1">IFERROR(__xludf.DUMMYFUNCTION("""COMPUTED_VALUE"""),"丰富")</f>
        <v>丰富</v>
      </c>
      <c r="D705" s="13" t="str">
        <f ca="1">IFERROR(__xludf.DUMMYFUNCTION("""COMPUTED_VALUE"""),"&lt;ruby&gt;丰富&lt;rt&gt;fēngfù&lt;/rt&gt;&lt;/ruby&gt;")</f>
        <v>&lt;ruby&gt;丰富&lt;rt&gt;fēngfù&lt;/rt&gt;&lt;/ruby&gt;</v>
      </c>
      <c r="E705" s="13" t="str">
        <f ca="1">IFERROR(__xludf.DUMMYFUNCTION("""COMPUTED_VALUE"""),"fēngfù")</f>
        <v>fēngfù</v>
      </c>
      <c r="F705" s="13" t="str">
        <f ca="1">IFERROR(__xludf.DUMMYFUNCTION("""COMPUTED_VALUE"""),"Động từ
")</f>
        <v xml:space="preserve">Động từ
</v>
      </c>
      <c r="G705" s="13" t="str">
        <f ca="1">IFERROR(__xludf.DUMMYFUNCTION("""COMPUTED_VALUE"""),"làm phong phú")</f>
        <v>làm phong phú</v>
      </c>
      <c r="H705" s="13" t="str">
        <f ca="1">IFERROR(__xludf.DUMMYFUNCTION("""COMPUTED_VALUE"""),"玩积木不仅可以丰富孩子的想象力，还能培养他们的动手能力。")</f>
        <v>玩积木不仅可以丰富孩子的想象力，还能培养他们的动手能力。</v>
      </c>
      <c r="I705" s="13"/>
      <c r="J705" s="13" t="str">
        <f ca="1">IFERROR(__xludf.DUMMYFUNCTION("""COMPUTED_VALUE"""),"Chơi xếp hình không chỉ làm phong phú trí tưởng tượng của trẻ mà còn rèn luyện khả năng thực hành của chúng.")</f>
        <v>Chơi xếp hình không chỉ làm phong phú trí tưởng tượng của trẻ mà còn rèn luyện khả năng thực hành của chúng.</v>
      </c>
      <c r="K705" s="13" t="str">
        <f ca="1">IFERROR(__xludf.DUMMYFUNCTION("""COMPUTED_VALUE"""),"H4_B2_BG7.png")</f>
        <v>H4_B2_BG7.png</v>
      </c>
      <c r="L705" s="13" t="str">
        <f ca="1">IFERROR(__xludf.DUMMYFUNCTION("""COMPUTED_VALUE"""),"B2_7.mp3")</f>
        <v>B2_7.mp3</v>
      </c>
      <c r="M705" s="13" t="str">
        <f ca="1">IFERROR(__xludf.DUMMYFUNCTION("""COMPUTED_VALUE"""),"B2_VD_7.mp3")</f>
        <v>B2_VD_7.mp3</v>
      </c>
    </row>
    <row r="706" spans="1:13">
      <c r="A706" s="13">
        <f ca="1">IFERROR(__xludf.DUMMYFUNCTION("""COMPUTED_VALUE"""),8)</f>
        <v>8</v>
      </c>
      <c r="B706" s="13"/>
      <c r="C706" s="13" t="str">
        <f ca="1">IFERROR(__xludf.DUMMYFUNCTION("""COMPUTED_VALUE"""),"逛")</f>
        <v>逛</v>
      </c>
      <c r="D706" s="13" t="str">
        <f ca="1">IFERROR(__xludf.DUMMYFUNCTION("""COMPUTED_VALUE"""),"&lt;ruby&gt;逛&lt;rt&gt;guàng&lt;/rt&gt;&lt;/ruby&gt;")</f>
        <v>&lt;ruby&gt;逛&lt;rt&gt;guàng&lt;/rt&gt;&lt;/ruby&gt;</v>
      </c>
      <c r="E706" s="13" t="str">
        <f ca="1">IFERROR(__xludf.DUMMYFUNCTION("""COMPUTED_VALUE"""),"guàng")</f>
        <v>guàng</v>
      </c>
      <c r="F706" s="13" t="str">
        <f ca="1">IFERROR(__xludf.DUMMYFUNCTION("""COMPUTED_VALUE"""),"Động từ")</f>
        <v>Động từ</v>
      </c>
      <c r="G706" s="13" t="str">
        <f ca="1">IFERROR(__xludf.DUMMYFUNCTION("""COMPUTED_VALUE"""),"đi dạo")</f>
        <v>đi dạo</v>
      </c>
      <c r="H706" s="13" t="str">
        <f ca="1">IFERROR(__xludf.DUMMYFUNCTION("""COMPUTED_VALUE"""),"他正在街上逛。")</f>
        <v>他正在街上逛。</v>
      </c>
      <c r="I706" s="13"/>
      <c r="J706" s="13" t="str">
        <f ca="1">IFERROR(__xludf.DUMMYFUNCTION("""COMPUTED_VALUE"""),"Anh ấy đang đi dạo phố.")</f>
        <v>Anh ấy đang đi dạo phố.</v>
      </c>
      <c r="K706" s="13" t="str">
        <f ca="1">IFERROR(__xludf.DUMMYFUNCTION("""COMPUTED_VALUE"""),"H4_B2_BG8.png")</f>
        <v>H4_B2_BG8.png</v>
      </c>
      <c r="L706" s="13" t="str">
        <f ca="1">IFERROR(__xludf.DUMMYFUNCTION("""COMPUTED_VALUE"""),"B2_8.mp3")</f>
        <v>B2_8.mp3</v>
      </c>
      <c r="M706" s="13" t="str">
        <f ca="1">IFERROR(__xludf.DUMMYFUNCTION("""COMPUTED_VALUE"""),"B2_VD_8.mp3")</f>
        <v>B2_VD_8.mp3</v>
      </c>
    </row>
    <row r="707" spans="1:13">
      <c r="A707" s="13">
        <f ca="1">IFERROR(__xludf.DUMMYFUNCTION("""COMPUTED_VALUE"""),9)</f>
        <v>9</v>
      </c>
      <c r="B707" s="13"/>
      <c r="C707" s="13" t="str">
        <f ca="1">IFERROR(__xludf.DUMMYFUNCTION("""COMPUTED_VALUE"""),"好像")</f>
        <v>好像</v>
      </c>
      <c r="D707" s="13" t="str">
        <f ca="1">IFERROR(__xludf.DUMMYFUNCTION("""COMPUTED_VALUE"""),"&lt;ruby&gt;好像&lt;rt&gt;hăoxiàng&lt;/rt&gt;&lt;/ruby&gt;")</f>
        <v>&lt;ruby&gt;好像&lt;rt&gt;hăoxiàng&lt;/rt&gt;&lt;/ruby&gt;</v>
      </c>
      <c r="E707" s="13" t="str">
        <f ca="1">IFERROR(__xludf.DUMMYFUNCTION("""COMPUTED_VALUE"""),"hăoxiàng")</f>
        <v>hăoxiàng</v>
      </c>
      <c r="F707" s="13" t="str">
        <f ca="1">IFERROR(__xludf.DUMMYFUNCTION("""COMPUTED_VALUE"""),"Phó từ")</f>
        <v>Phó từ</v>
      </c>
      <c r="G707" s="13" t="str">
        <f ca="1">IFERROR(__xludf.DUMMYFUNCTION("""COMPUTED_VALUE"""),"giống như, dường như")</f>
        <v>giống như, dường như</v>
      </c>
      <c r="H707" s="13" t="str">
        <f ca="1">IFERROR(__xludf.DUMMYFUNCTION("""COMPUTED_VALUE"""),"刚才好像有两只大狗走过去了。")</f>
        <v>刚才好像有两只大狗走过去了。</v>
      </c>
      <c r="I707" s="13"/>
      <c r="J707" s="13" t="str">
        <f ca="1">IFERROR(__xludf.DUMMYFUNCTION("""COMPUTED_VALUE"""),"Hình như ban nãy có hai con chó lớn đi qua.")</f>
        <v>Hình như ban nãy có hai con chó lớn đi qua.</v>
      </c>
      <c r="K707" s="13" t="str">
        <f ca="1">IFERROR(__xludf.DUMMYFUNCTION("""COMPUTED_VALUE"""),"H4_B2_BG9.png")</f>
        <v>H4_B2_BG9.png</v>
      </c>
      <c r="L707" s="13" t="str">
        <f ca="1">IFERROR(__xludf.DUMMYFUNCTION("""COMPUTED_VALUE"""),"B2_9.mp3")</f>
        <v>B2_9.mp3</v>
      </c>
      <c r="M707" s="13" t="str">
        <f ca="1">IFERROR(__xludf.DUMMYFUNCTION("""COMPUTED_VALUE"""),"B2_VD_9.mp3")</f>
        <v>B2_VD_9.mp3</v>
      </c>
    </row>
    <row r="708" spans="1:13">
      <c r="A708" s="13">
        <f ca="1">IFERROR(__xludf.DUMMYFUNCTION("""COMPUTED_VALUE"""),10)</f>
        <v>10</v>
      </c>
      <c r="B708" s="13"/>
      <c r="C708" s="13" t="str">
        <f ca="1">IFERROR(__xludf.DUMMYFUNCTION("""COMPUTED_VALUE"""),"及时")</f>
        <v>及时</v>
      </c>
      <c r="D708" s="13" t="str">
        <f ca="1">IFERROR(__xludf.DUMMYFUNCTION("""COMPUTED_VALUE"""),"&lt;ruby&gt;及时&lt;rt&gt;jíshí&lt;/rt&gt;&lt;/ruby&gt;")</f>
        <v>&lt;ruby&gt;及时&lt;rt&gt;jíshí&lt;/rt&gt;&lt;/ruby&gt;</v>
      </c>
      <c r="E708" s="13" t="str">
        <f ca="1">IFERROR(__xludf.DUMMYFUNCTION("""COMPUTED_VALUE"""),"jíshí")</f>
        <v>jíshí</v>
      </c>
      <c r="F708" s="13" t="str">
        <f ca="1">IFERROR(__xludf.DUMMYFUNCTION("""COMPUTED_VALUE"""),"Phó từ")</f>
        <v>Phó từ</v>
      </c>
      <c r="G708" s="13" t="str">
        <f ca="1">IFERROR(__xludf.DUMMYFUNCTION("""COMPUTED_VALUE"""),"đúng lúc, kịp thời")</f>
        <v>đúng lúc, kịp thời</v>
      </c>
      <c r="H708" s="13" t="str">
        <f ca="1">IFERROR(__xludf.DUMMYFUNCTION("""COMPUTED_VALUE"""),"幸好我及时赶到了上班的地方。")</f>
        <v>幸好我及时赶到了上班的地方。</v>
      </c>
      <c r="I708" s="13"/>
      <c r="J708" s="13" t="str">
        <f ca="1">IFERROR(__xludf.DUMMYFUNCTION("""COMPUTED_VALUE"""),"May mà tôi đến kịp giờ làm.")</f>
        <v>May mà tôi đến kịp giờ làm.</v>
      </c>
      <c r="K708" s="13" t="str">
        <f ca="1">IFERROR(__xludf.DUMMYFUNCTION("""COMPUTED_VALUE"""),"H4_B2_BG10.png")</f>
        <v>H4_B2_BG10.png</v>
      </c>
      <c r="L708" s="13" t="str">
        <f ca="1">IFERROR(__xludf.DUMMYFUNCTION("""COMPUTED_VALUE"""),"B2_10.mp3")</f>
        <v>B2_10.mp3</v>
      </c>
      <c r="M708" s="13" t="str">
        <f ca="1">IFERROR(__xludf.DUMMYFUNCTION("""COMPUTED_VALUE"""),"B2_VD_10.mp3")</f>
        <v>B2_VD_10.mp3</v>
      </c>
    </row>
    <row r="709" spans="1:13">
      <c r="A709" s="13">
        <f ca="1">IFERROR(__xludf.DUMMYFUNCTION("""COMPUTED_VALUE"""),11)</f>
        <v>11</v>
      </c>
      <c r="B709" s="13"/>
      <c r="C709" s="13" t="str">
        <f ca="1">IFERROR(__xludf.DUMMYFUNCTION("""COMPUTED_VALUE"""),"交")</f>
        <v>交</v>
      </c>
      <c r="D709" s="13" t="str">
        <f ca="1">IFERROR(__xludf.DUMMYFUNCTION("""COMPUTED_VALUE"""),"&lt;ruby&gt;交&lt;rt&gt;jiāo&lt;/rt&gt;&lt;/ruby&gt;")</f>
        <v>&lt;ruby&gt;交&lt;rt&gt;jiāo&lt;/rt&gt;&lt;/ruby&gt;</v>
      </c>
      <c r="E709" s="13" t="str">
        <f ca="1">IFERROR(__xludf.DUMMYFUNCTION("""COMPUTED_VALUE"""),"jiāo")</f>
        <v>jiāo</v>
      </c>
      <c r="F709" s="13" t="str">
        <f ca="1">IFERROR(__xludf.DUMMYFUNCTION("""COMPUTED_VALUE"""),"Động từ")</f>
        <v>Động từ</v>
      </c>
      <c r="G709" s="13" t="str">
        <f ca="1">IFERROR(__xludf.DUMMYFUNCTION("""COMPUTED_VALUE"""),"kết giao")</f>
        <v>kết giao</v>
      </c>
      <c r="H709" s="13" t="str">
        <f ca="1">IFERROR(__xludf.DUMMYFUNCTION("""COMPUTED_VALUE"""),"两条路在这里交叉。")</f>
        <v>两条路在这里交叉。</v>
      </c>
      <c r="I709" s="13"/>
      <c r="J709" s="13" t="str">
        <f ca="1">IFERROR(__xludf.DUMMYFUNCTION("""COMPUTED_VALUE"""),"Hai con đường giao nhau.")</f>
        <v>Hai con đường giao nhau.</v>
      </c>
      <c r="K709" s="13" t="str">
        <f ca="1">IFERROR(__xludf.DUMMYFUNCTION("""COMPUTED_VALUE"""),"H4_B2_BG11.png")</f>
        <v>H4_B2_BG11.png</v>
      </c>
      <c r="L709" s="13" t="str">
        <f ca="1">IFERROR(__xludf.DUMMYFUNCTION("""COMPUTED_VALUE"""),"B2_11.mp3")</f>
        <v>B2_11.mp3</v>
      </c>
      <c r="M709" s="13" t="str">
        <f ca="1">IFERROR(__xludf.DUMMYFUNCTION("""COMPUTED_VALUE"""),"B2_VD_11.mp3")</f>
        <v>B2_VD_11.mp3</v>
      </c>
    </row>
    <row r="710" spans="1:13">
      <c r="A710" s="13">
        <f ca="1">IFERROR(__xludf.DUMMYFUNCTION("""COMPUTED_VALUE"""),12)</f>
        <v>12</v>
      </c>
      <c r="B710" s="13"/>
      <c r="C710" s="13" t="str">
        <f ca="1">IFERROR(__xludf.DUMMYFUNCTION("""COMPUTED_VALUE"""),"交流")</f>
        <v>交流</v>
      </c>
      <c r="D710" s="13" t="str">
        <f ca="1">IFERROR(__xludf.DUMMYFUNCTION("""COMPUTED_VALUE"""),"&lt;ruby&gt;交流&lt;rt&gt;jiāoliú&lt;/rt&gt;&lt;/ruby&gt;")</f>
        <v>&lt;ruby&gt;交流&lt;rt&gt;jiāoliú&lt;/rt&gt;&lt;/ruby&gt;</v>
      </c>
      <c r="E710" s="13" t="str">
        <f ca="1">IFERROR(__xludf.DUMMYFUNCTION("""COMPUTED_VALUE"""),"jiāoliú")</f>
        <v>jiāoliú</v>
      </c>
      <c r="F710" s="13" t="str">
        <f ca="1">IFERROR(__xludf.DUMMYFUNCTION("""COMPUTED_VALUE"""),"Động từ
")</f>
        <v xml:space="preserve">Động từ
</v>
      </c>
      <c r="G710" s="13" t="str">
        <f ca="1">IFERROR(__xludf.DUMMYFUNCTION("""COMPUTED_VALUE"""),"giao lưu, trao đổi")</f>
        <v>giao lưu, trao đổi</v>
      </c>
      <c r="H710" s="13" t="str">
        <f ca="1">IFERROR(__xludf.DUMMYFUNCTION("""COMPUTED_VALUE"""),"他们正在愉快地交流。")</f>
        <v>他们正在愉快地交流。</v>
      </c>
      <c r="I710" s="13"/>
      <c r="J710" s="13" t="str">
        <f ca="1">IFERROR(__xludf.DUMMYFUNCTION("""COMPUTED_VALUE"""),"Họ đang giao lưu rất vui vẻ.")</f>
        <v>Họ đang giao lưu rất vui vẻ.</v>
      </c>
      <c r="K710" s="13" t="str">
        <f ca="1">IFERROR(__xludf.DUMMYFUNCTION("""COMPUTED_VALUE"""),"H4_B2_BG12.png")</f>
        <v>H4_B2_BG12.png</v>
      </c>
      <c r="L710" s="13" t="str">
        <f ca="1">IFERROR(__xludf.DUMMYFUNCTION("""COMPUTED_VALUE"""),"B2_12.mp3")</f>
        <v>B2_12.mp3</v>
      </c>
      <c r="M710" s="13" t="str">
        <f ca="1">IFERROR(__xludf.DUMMYFUNCTION("""COMPUTED_VALUE"""),"B2_VD_12.mp3")</f>
        <v>B2_VD_12.mp3</v>
      </c>
    </row>
    <row r="711" spans="1:13">
      <c r="A711" s="13">
        <f ca="1">IFERROR(__xludf.DUMMYFUNCTION("""COMPUTED_VALUE"""),13)</f>
        <v>13</v>
      </c>
      <c r="B711" s="13"/>
      <c r="C711" s="13" t="str">
        <f ca="1">IFERROR(__xludf.DUMMYFUNCTION("""COMPUTED_VALUE"""),"尽管")</f>
        <v>尽管</v>
      </c>
      <c r="D711" s="13" t="str">
        <f ca="1">IFERROR(__xludf.DUMMYFUNCTION("""COMPUTED_VALUE"""),"&lt;ruby&gt;尽管&lt;rt&gt;jǐnguǎn&lt;/rt&gt;&lt;/ruby&gt;")</f>
        <v>&lt;ruby&gt;尽管&lt;rt&gt;jǐnguǎn&lt;/rt&gt;&lt;/ruby&gt;</v>
      </c>
      <c r="E711" s="13" t="str">
        <f ca="1">IFERROR(__xludf.DUMMYFUNCTION("""COMPUTED_VALUE"""),"jǐnguǎn")</f>
        <v>jǐnguǎn</v>
      </c>
      <c r="F711" s="13" t="str">
        <f ca="1">IFERROR(__xludf.DUMMYFUNCTION("""COMPUTED_VALUE"""),"Liên từ")</f>
        <v>Liên từ</v>
      </c>
      <c r="G711" s="13" t="str">
        <f ca="1">IFERROR(__xludf.DUMMYFUNCTION("""COMPUTED_VALUE"""),"cho dù, măc dù")</f>
        <v>cho dù, măc dù</v>
      </c>
      <c r="H711" s="13" t="str">
        <f ca="1">IFERROR(__xludf.DUMMYFUNCTION("""COMPUTED_VALUE"""),"尽管我很努力复习，也没能拿到最高分。")</f>
        <v>尽管我很努力复习，也没能拿到最高分。</v>
      </c>
      <c r="I711" s="13"/>
      <c r="J711" s="13" t="str">
        <f ca="1">IFERROR(__xludf.DUMMYFUNCTION("""COMPUTED_VALUE"""),"Cho dù tôi ôn tập chăm chỉ cỡ nào cũng không được điểm cao nhất.")</f>
        <v>Cho dù tôi ôn tập chăm chỉ cỡ nào cũng không được điểm cao nhất.</v>
      </c>
      <c r="K711" s="13" t="str">
        <f ca="1">IFERROR(__xludf.DUMMYFUNCTION("""COMPUTED_VALUE"""),"H4_B2_BG13.png")</f>
        <v>H4_B2_BG13.png</v>
      </c>
      <c r="L711" s="13" t="str">
        <f ca="1">IFERROR(__xludf.DUMMYFUNCTION("""COMPUTED_VALUE"""),"B2_13.mp3")</f>
        <v>B2_13.mp3</v>
      </c>
      <c r="M711" s="13" t="str">
        <f ca="1">IFERROR(__xludf.DUMMYFUNCTION("""COMPUTED_VALUE"""),"B2_VD_13.mp3")</f>
        <v>B2_VD_13.mp3</v>
      </c>
    </row>
    <row r="712" spans="1:13">
      <c r="A712" s="13">
        <f ca="1">IFERROR(__xludf.DUMMYFUNCTION("""COMPUTED_VALUE"""),14)</f>
        <v>14</v>
      </c>
      <c r="B712" s="13"/>
      <c r="C712" s="13" t="str">
        <f ca="1">IFERROR(__xludf.DUMMYFUNCTION("""COMPUTED_VALUE"""),"镜子")</f>
        <v>镜子</v>
      </c>
      <c r="D712" s="13" t="str">
        <f ca="1">IFERROR(__xludf.DUMMYFUNCTION("""COMPUTED_VALUE"""),"&lt;ruby&gt;镜子&lt;rt&gt;jìngzi&lt;/rt&gt;&lt;/ruby&gt;")</f>
        <v>&lt;ruby&gt;镜子&lt;rt&gt;jìngzi&lt;/rt&gt;&lt;/ruby&gt;</v>
      </c>
      <c r="E712" s="13" t="str">
        <f ca="1">IFERROR(__xludf.DUMMYFUNCTION("""COMPUTED_VALUE"""),"jìngzi")</f>
        <v>jìngzi</v>
      </c>
      <c r="F712" s="13" t="str">
        <f ca="1">IFERROR(__xludf.DUMMYFUNCTION("""COMPUTED_VALUE"""),"Danh từ")</f>
        <v>Danh từ</v>
      </c>
      <c r="G712" s="13" t="str">
        <f ca="1">IFERROR(__xludf.DUMMYFUNCTION("""COMPUTED_VALUE"""),"gương, gương soi")</f>
        <v>gương, gương soi</v>
      </c>
      <c r="H712" s="13" t="str">
        <f ca="1">IFERROR(__xludf.DUMMYFUNCTION("""COMPUTED_VALUE"""),"她对着镜子欣赏自己新买的裙子。")</f>
        <v>她对着镜子欣赏自己新买的裙子。</v>
      </c>
      <c r="I712" s="13"/>
      <c r="J712" s="13" t="str">
        <f ca="1">IFERROR(__xludf.DUMMYFUNCTION("""COMPUTED_VALUE"""),"Cô ấy soi gương ngắm nhìn chiếc váy mới mua.")</f>
        <v>Cô ấy soi gương ngắm nhìn chiếc váy mới mua.</v>
      </c>
      <c r="K712" s="13" t="str">
        <f ca="1">IFERROR(__xludf.DUMMYFUNCTION("""COMPUTED_VALUE"""),"H4_B2_BG14.png")</f>
        <v>H4_B2_BG14.png</v>
      </c>
      <c r="L712" s="13" t="str">
        <f ca="1">IFERROR(__xludf.DUMMYFUNCTION("""COMPUTED_VALUE"""),"B2_14.mp3")</f>
        <v>B2_14.mp3</v>
      </c>
      <c r="M712" s="13" t="str">
        <f ca="1">IFERROR(__xludf.DUMMYFUNCTION("""COMPUTED_VALUE"""),"B2_VD_14.mp3")</f>
        <v>B2_VD_14.mp3</v>
      </c>
    </row>
    <row r="713" spans="1:13">
      <c r="A713" s="13">
        <f ca="1">IFERROR(__xludf.DUMMYFUNCTION("""COMPUTED_VALUE"""),15)</f>
        <v>15</v>
      </c>
      <c r="B713" s="13"/>
      <c r="C713" s="13" t="str">
        <f ca="1">IFERROR(__xludf.DUMMYFUNCTION("""COMPUTED_VALUE"""),"聚会")</f>
        <v>聚会</v>
      </c>
      <c r="D713" s="13" t="str">
        <f ca="1">IFERROR(__xludf.DUMMYFUNCTION("""COMPUTED_VALUE"""),"&lt;ruby&gt;聚会&lt;rt&gt;jùhui&lt;/rt&gt;&lt;/ruby&gt;")</f>
        <v>&lt;ruby&gt;聚会&lt;rt&gt;jùhui&lt;/rt&gt;&lt;/ruby&gt;</v>
      </c>
      <c r="E713" s="13" t="str">
        <f ca="1">IFERROR(__xludf.DUMMYFUNCTION("""COMPUTED_VALUE"""),"jùhui")</f>
        <v>jùhui</v>
      </c>
      <c r="F713" s="13" t="str">
        <f ca="1">IFERROR(__xludf.DUMMYFUNCTION("""COMPUTED_VALUE"""),"Động từ/Danh từ")</f>
        <v>Động từ/Danh từ</v>
      </c>
      <c r="G713" s="13" t="str">
        <f ca="1">IFERROR(__xludf.DUMMYFUNCTION("""COMPUTED_VALUE"""),"gặp gỡ; cuộc họp mật")</f>
        <v>gặp gỡ; cuộc họp mật</v>
      </c>
      <c r="H713" s="13" t="str">
        <f ca="1">IFERROR(__xludf.DUMMYFUNCTION("""COMPUTED_VALUE"""),"今天是圣诞节，所以我们决定举办一次聚会来庆祝。")</f>
        <v>今天是圣诞节，所以我们决定举办一次聚会来庆祝。</v>
      </c>
      <c r="I713" s="13"/>
      <c r="J713" s="13" t="str">
        <f ca="1">IFERROR(__xludf.DUMMYFUNCTION("""COMPUTED_VALUE"""),"Hôm nay là giáng sinh nên chúng tôi quyết định tổ chức một cuộc họp mặt ăn mừng ngày lễ này.")</f>
        <v>Hôm nay là giáng sinh nên chúng tôi quyết định tổ chức một cuộc họp mặt ăn mừng ngày lễ này.</v>
      </c>
      <c r="K713" s="13" t="str">
        <f ca="1">IFERROR(__xludf.DUMMYFUNCTION("""COMPUTED_VALUE"""),"H4_B2_BG15.png")</f>
        <v>H4_B2_BG15.png</v>
      </c>
      <c r="L713" s="13" t="str">
        <f ca="1">IFERROR(__xludf.DUMMYFUNCTION("""COMPUTED_VALUE"""),"B2_15.mp3")</f>
        <v>B2_15.mp3</v>
      </c>
      <c r="M713" s="13" t="str">
        <f ca="1">IFERROR(__xludf.DUMMYFUNCTION("""COMPUTED_VALUE"""),"B2_VD_15.mp3")</f>
        <v>B2_VD_15.mp3</v>
      </c>
    </row>
    <row r="714" spans="1:13">
      <c r="A714" s="13">
        <f ca="1">IFERROR(__xludf.DUMMYFUNCTION("""COMPUTED_VALUE"""),16)</f>
        <v>16</v>
      </c>
      <c r="B714" s="13"/>
      <c r="C714" s="13" t="str">
        <f ca="1">IFERROR(__xludf.DUMMYFUNCTION("""COMPUTED_VALUE"""),"困难")</f>
        <v>困难</v>
      </c>
      <c r="D714" s="13" t="str">
        <f ca="1">IFERROR(__xludf.DUMMYFUNCTION("""COMPUTED_VALUE"""),"&lt;ruby&gt;困难&lt;rt&gt;kùnnan&lt;/rt&gt;&lt;/ruby&gt;")</f>
        <v>&lt;ruby&gt;困难&lt;rt&gt;kùnnan&lt;/rt&gt;&lt;/ruby&gt;</v>
      </c>
      <c r="E714" s="13" t="str">
        <f ca="1">IFERROR(__xludf.DUMMYFUNCTION("""COMPUTED_VALUE"""),"kùnnan")</f>
        <v>kùnnan</v>
      </c>
      <c r="F714" s="13" t="str">
        <f ca="1">IFERROR(__xludf.DUMMYFUNCTION("""COMPUTED_VALUE"""),"Danh từ
")</f>
        <v xml:space="preserve">Danh từ
</v>
      </c>
      <c r="G714" s="13" t="str">
        <f ca="1">IFERROR(__xludf.DUMMYFUNCTION("""COMPUTED_VALUE"""),"khó khăn")</f>
        <v>khó khăn</v>
      </c>
      <c r="H714" s="13" t="str">
        <f ca="1">IFERROR(__xludf.DUMMYFUNCTION("""COMPUTED_VALUE""")," 他遇到了一个无法自己解决的困难。")</f>
        <v xml:space="preserve"> 他遇到了一个无法自己解决的困难。</v>
      </c>
      <c r="I714" s="13"/>
      <c r="J714" s="13" t="str">
        <f ca="1">IFERROR(__xludf.DUMMYFUNCTION("""COMPUTED_VALUE"""),"Anh ấy gặp khó khăn mà không thể tự giải quyết được.")</f>
        <v>Anh ấy gặp khó khăn mà không thể tự giải quyết được.</v>
      </c>
      <c r="K714" s="13" t="str">
        <f ca="1">IFERROR(__xludf.DUMMYFUNCTION("""COMPUTED_VALUE"""),"H4_B2_BG16.png")</f>
        <v>H4_B2_BG16.png</v>
      </c>
      <c r="L714" s="13" t="str">
        <f ca="1">IFERROR(__xludf.DUMMYFUNCTION("""COMPUTED_VALUE"""),"B2_16.mp3")</f>
        <v>B2_16.mp3</v>
      </c>
      <c r="M714" s="13" t="str">
        <f ca="1">IFERROR(__xludf.DUMMYFUNCTION("""COMPUTED_VALUE"""),"B2_VD_16.mp3")</f>
        <v>B2_VD_16.mp3</v>
      </c>
    </row>
    <row r="715" spans="1:13">
      <c r="A715" s="13">
        <f ca="1">IFERROR(__xludf.DUMMYFUNCTION("""COMPUTED_VALUE"""),17)</f>
        <v>17</v>
      </c>
      <c r="B715" s="13"/>
      <c r="C715" s="13" t="str">
        <f ca="1">IFERROR(__xludf.DUMMYFUNCTION("""COMPUTED_VALUE"""),"理解")</f>
        <v>理解</v>
      </c>
      <c r="D715" s="13" t="str">
        <f ca="1">IFERROR(__xludf.DUMMYFUNCTION("""COMPUTED_VALUE"""),"&lt;ruby&gt;理解&lt;rt&gt;lǐjiě&lt;/rt&gt;&lt;/ruby&gt;")</f>
        <v>&lt;ruby&gt;理解&lt;rt&gt;lǐjiě&lt;/rt&gt;&lt;/ruby&gt;</v>
      </c>
      <c r="E715" s="13" t="str">
        <f ca="1">IFERROR(__xludf.DUMMYFUNCTION("""COMPUTED_VALUE"""),"lǐjiě")</f>
        <v>lǐjiě</v>
      </c>
      <c r="F715" s="13" t="str">
        <f ca="1">IFERROR(__xludf.DUMMYFUNCTION("""COMPUTED_VALUE"""),"Động từ")</f>
        <v>Động từ</v>
      </c>
      <c r="G715" s="13" t="str">
        <f ca="1">IFERROR(__xludf.DUMMYFUNCTION("""COMPUTED_VALUE"""),"hiểu ")</f>
        <v xml:space="preserve">hiểu </v>
      </c>
      <c r="H715" s="13" t="str">
        <f ca="1">IFERROR(__xludf.DUMMYFUNCTION("""COMPUTED_VALUE"""),"这个问题很简单，我完全能理解。")</f>
        <v>这个问题很简单，我完全能理解。</v>
      </c>
      <c r="I715" s="13"/>
      <c r="J715" s="13" t="str">
        <f ca="1">IFERROR(__xludf.DUMMYFUNCTION("""COMPUTED_VALUE"""),"Vấn đề này đơn giản, tôi có thể hiểu được.")</f>
        <v>Vấn đề này đơn giản, tôi có thể hiểu được.</v>
      </c>
      <c r="K715" s="13" t="str">
        <f ca="1">IFERROR(__xludf.DUMMYFUNCTION("""COMPUTED_VALUE"""),"H4_B2_BG17.png")</f>
        <v>H4_B2_BG17.png</v>
      </c>
      <c r="L715" s="13" t="str">
        <f ca="1">IFERROR(__xludf.DUMMYFUNCTION("""COMPUTED_VALUE"""),"B2_17.mp3")</f>
        <v>B2_17.mp3</v>
      </c>
      <c r="M715" s="13" t="str">
        <f ca="1">IFERROR(__xludf.DUMMYFUNCTION("""COMPUTED_VALUE"""),"B2_VD_17.mp3")</f>
        <v>B2_VD_17.mp3</v>
      </c>
    </row>
    <row r="716" spans="1:13">
      <c r="A716" s="13">
        <f ca="1">IFERROR(__xludf.DUMMYFUNCTION("""COMPUTED_VALUE"""),18)</f>
        <v>18</v>
      </c>
      <c r="B716" s="13"/>
      <c r="C716" s="13" t="str">
        <f ca="1">IFERROR(__xludf.DUMMYFUNCTION("""COMPUTED_VALUE"""),"联系")</f>
        <v>联系</v>
      </c>
      <c r="D716" s="13" t="str">
        <f ca="1">IFERROR(__xludf.DUMMYFUNCTION("""COMPUTED_VALUE"""),"&lt;ruby&gt;联系&lt;rt&gt;liánxì&lt;/rt&gt;&lt;/ruby&gt;")</f>
        <v>&lt;ruby&gt;联系&lt;rt&gt;liánxì&lt;/rt&gt;&lt;/ruby&gt;</v>
      </c>
      <c r="E716" s="13" t="str">
        <f ca="1">IFERROR(__xludf.DUMMYFUNCTION("""COMPUTED_VALUE"""),"liánxì")</f>
        <v>liánxì</v>
      </c>
      <c r="F716" s="13" t="str">
        <f ca="1">IFERROR(__xludf.DUMMYFUNCTION("""COMPUTED_VALUE"""),"Động từ")</f>
        <v>Động từ</v>
      </c>
      <c r="G716" s="13" t="str">
        <f ca="1">IFERROR(__xludf.DUMMYFUNCTION("""COMPUTED_VALUE"""),"liên hệ")</f>
        <v>liên hệ</v>
      </c>
      <c r="H716" s="13" t="str">
        <f ca="1">IFERROR(__xludf.DUMMYFUNCTION("""COMPUTED_VALUE"""),"他正在和客户联系。")</f>
        <v>他正在和客户联系。</v>
      </c>
      <c r="I716" s="13"/>
      <c r="J716" s="13" t="str">
        <f ca="1">IFERROR(__xludf.DUMMYFUNCTION("""COMPUTED_VALUE"""),"Anh ấy đang liên lạc với khách hàng.")</f>
        <v>Anh ấy đang liên lạc với khách hàng.</v>
      </c>
      <c r="K716" s="13" t="str">
        <f ca="1">IFERROR(__xludf.DUMMYFUNCTION("""COMPUTED_VALUE"""),"H4_B2_BG18.png")</f>
        <v>H4_B2_BG18.png</v>
      </c>
      <c r="L716" s="13" t="str">
        <f ca="1">IFERROR(__xludf.DUMMYFUNCTION("""COMPUTED_VALUE"""),"B2_18.mp3")</f>
        <v>B2_18.mp3</v>
      </c>
      <c r="M716" s="13" t="str">
        <f ca="1">IFERROR(__xludf.DUMMYFUNCTION("""COMPUTED_VALUE"""),"B2_VD_18.mp3")</f>
        <v>B2_VD_18.mp3</v>
      </c>
    </row>
    <row r="717" spans="1:13">
      <c r="A717" s="13">
        <f ca="1">IFERROR(__xludf.DUMMYFUNCTION("""COMPUTED_VALUE"""),19)</f>
        <v>19</v>
      </c>
      <c r="B717" s="13"/>
      <c r="C717" s="13" t="str">
        <f ca="1">IFERROR(__xludf.DUMMYFUNCTION("""COMPUTED_VALUE"""),"陪")</f>
        <v>陪</v>
      </c>
      <c r="D717" s="13" t="str">
        <f ca="1">IFERROR(__xludf.DUMMYFUNCTION("""COMPUTED_VALUE"""),"&lt;ruby&gt;陪&lt;rt&gt;péi&lt;/rt&gt;&lt;/ruby&gt;")</f>
        <v>&lt;ruby&gt;陪&lt;rt&gt;péi&lt;/rt&gt;&lt;/ruby&gt;</v>
      </c>
      <c r="E717" s="13" t="str">
        <f ca="1">IFERROR(__xludf.DUMMYFUNCTION("""COMPUTED_VALUE"""),"péi")</f>
        <v>péi</v>
      </c>
      <c r="F717" s="13" t="str">
        <f ca="1">IFERROR(__xludf.DUMMYFUNCTION("""COMPUTED_VALUE"""),"Động từ")</f>
        <v>Động từ</v>
      </c>
      <c r="G717" s="13" t="str">
        <f ca="1">IFERROR(__xludf.DUMMYFUNCTION("""COMPUTED_VALUE"""),"đi cùng, ở bên cạnh")</f>
        <v>đi cùng, ở bên cạnh</v>
      </c>
      <c r="H717" s="13" t="str">
        <f ca="1">IFERROR(__xludf.DUMMYFUNCTION("""COMPUTED_VALUE"""),"爸爸陪着我聊了聊今天的事情。")</f>
        <v>爸爸陪着我聊了聊今天的事情。</v>
      </c>
      <c r="I717" s="13"/>
      <c r="J717" s="13" t="str">
        <f ca="1">IFERROR(__xludf.DUMMYFUNCTION("""COMPUTED_VALUE"""),"Bố cùng tôi nói chuyện về ngày hôm nay.")</f>
        <v>Bố cùng tôi nói chuyện về ngày hôm nay.</v>
      </c>
      <c r="K717" s="13" t="str">
        <f ca="1">IFERROR(__xludf.DUMMYFUNCTION("""COMPUTED_VALUE"""),"H4_B2_BG19.png")</f>
        <v>H4_B2_BG19.png</v>
      </c>
      <c r="L717" s="13" t="str">
        <f ca="1">IFERROR(__xludf.DUMMYFUNCTION("""COMPUTED_VALUE"""),"B2_19.mp3")</f>
        <v>B2_19.mp3</v>
      </c>
      <c r="M717" s="13" t="str">
        <f ca="1">IFERROR(__xludf.DUMMYFUNCTION("""COMPUTED_VALUE"""),"B2_VD_19.mp3")</f>
        <v>B2_VD_19.mp3</v>
      </c>
    </row>
    <row r="718" spans="1:13">
      <c r="A718" s="13">
        <f ca="1">IFERROR(__xludf.DUMMYFUNCTION("""COMPUTED_VALUE"""),20)</f>
        <v>20</v>
      </c>
      <c r="B718" s="13"/>
      <c r="C718" s="13" t="str">
        <f ca="1">IFERROR(__xludf.DUMMYFUNCTION("""COMPUTED_VALUE"""),"平时")</f>
        <v>平时</v>
      </c>
      <c r="D718" s="13" t="str">
        <f ca="1">IFERROR(__xludf.DUMMYFUNCTION("""COMPUTED_VALUE"""),"&lt;ruby&gt;平时&lt;rt&gt;píngshí&lt;/rt&gt;&lt;/ruby&gt;")</f>
        <v>&lt;ruby&gt;平时&lt;rt&gt;píngshí&lt;/rt&gt;&lt;/ruby&gt;</v>
      </c>
      <c r="E718" s="13" t="str">
        <f ca="1">IFERROR(__xludf.DUMMYFUNCTION("""COMPUTED_VALUE"""),"píngshí")</f>
        <v>píngshí</v>
      </c>
      <c r="F718" s="13" t="str">
        <f ca="1">IFERROR(__xludf.DUMMYFUNCTION("""COMPUTED_VALUE"""),"Danh từ")</f>
        <v>Danh từ</v>
      </c>
      <c r="G718" s="13" t="str">
        <f ca="1">IFERROR(__xludf.DUMMYFUNCTION("""COMPUTED_VALUE"""),"bình thường, ngày thường
")</f>
        <v xml:space="preserve">bình thường, ngày thường
</v>
      </c>
      <c r="H718" s="13" t="str">
        <f ca="1">IFERROR(__xludf.DUMMYFUNCTION("""COMPUTED_VALUE""")," 平时我会帮妈妈打扫房子。")</f>
        <v xml:space="preserve"> 平时我会帮妈妈打扫房子。</v>
      </c>
      <c r="I718" s="13"/>
      <c r="J718" s="13" t="str">
        <f ca="1">IFERROR(__xludf.DUMMYFUNCTION("""COMPUTED_VALUE"""),"Bình thường tôi sẽ giúp mẹ dọn dẹp nhà cửa.")</f>
        <v>Bình thường tôi sẽ giúp mẹ dọn dẹp nhà cửa.</v>
      </c>
      <c r="K718" s="13" t="str">
        <f ca="1">IFERROR(__xludf.DUMMYFUNCTION("""COMPUTED_VALUE"""),"H4_B2_BG20.png")</f>
        <v>H4_B2_BG20.png</v>
      </c>
      <c r="L718" s="13" t="str">
        <f ca="1">IFERROR(__xludf.DUMMYFUNCTION("""COMPUTED_VALUE"""),"B2_20.mp3")</f>
        <v>B2_20.mp3</v>
      </c>
      <c r="M718" s="13" t="str">
        <f ca="1">IFERROR(__xludf.DUMMYFUNCTION("""COMPUTED_VALUE"""),"B2_VD_20.mp3")</f>
        <v>B2_VD_20.mp3</v>
      </c>
    </row>
    <row r="719" spans="1:13">
      <c r="A719" s="13">
        <f ca="1">IFERROR(__xludf.DUMMYFUNCTION("""COMPUTED_VALUE"""),21)</f>
        <v>21</v>
      </c>
      <c r="B719" s="13"/>
      <c r="C719" s="13" t="str">
        <f ca="1">IFERROR(__xludf.DUMMYFUNCTION("""COMPUTED_VALUE"""),"却")</f>
        <v>却</v>
      </c>
      <c r="D719" s="13" t="str">
        <f ca="1">IFERROR(__xludf.DUMMYFUNCTION("""COMPUTED_VALUE"""),"&lt;ruby&gt;却&lt;rt&gt;què&lt;/rt&gt;&lt;/ruby&gt;")</f>
        <v>&lt;ruby&gt;却&lt;rt&gt;què&lt;/rt&gt;&lt;/ruby&gt;</v>
      </c>
      <c r="E719" s="13" t="str">
        <f ca="1">IFERROR(__xludf.DUMMYFUNCTION("""COMPUTED_VALUE"""),"què")</f>
        <v>què</v>
      </c>
      <c r="F719" s="13" t="str">
        <f ca="1">IFERROR(__xludf.DUMMYFUNCTION("""COMPUTED_VALUE"""),"Phó từ")</f>
        <v>Phó từ</v>
      </c>
      <c r="G719" s="13" t="str">
        <f ca="1">IFERROR(__xludf.DUMMYFUNCTION("""COMPUTED_VALUE"""),"lại, nhưng mà")</f>
        <v>lại, nhưng mà</v>
      </c>
      <c r="H719" s="13" t="str">
        <f ca="1">IFERROR(__xludf.DUMMYFUNCTION("""COMPUTED_VALUE"""),"他想去公园，却下起了雨。")</f>
        <v>他想去公园，却下起了雨。</v>
      </c>
      <c r="I719" s="13"/>
      <c r="J719" s="13" t="str">
        <f ca="1">IFERROR(__xludf.DUMMYFUNCTION("""COMPUTED_VALUE"""),"Anh ấy muốn đi công viên, nhưng trời lại mưa.")</f>
        <v>Anh ấy muốn đi công viên, nhưng trời lại mưa.</v>
      </c>
      <c r="K719" s="13" t="str">
        <f ca="1">IFERROR(__xludf.DUMMYFUNCTION("""COMPUTED_VALUE"""),"H4_B2_BG21.png")</f>
        <v>H4_B2_BG21.png</v>
      </c>
      <c r="L719" s="13" t="str">
        <f ca="1">IFERROR(__xludf.DUMMYFUNCTION("""COMPUTED_VALUE"""),"B2_21.mp3")</f>
        <v>B2_21.mp3</v>
      </c>
      <c r="M719" s="13" t="str">
        <f ca="1">IFERROR(__xludf.DUMMYFUNCTION("""COMPUTED_VALUE"""),"B2_VD_21.mp3")</f>
        <v>B2_VD_21.mp3</v>
      </c>
    </row>
    <row r="720" spans="1:13">
      <c r="A720" s="13">
        <f ca="1">IFERROR(__xludf.DUMMYFUNCTION("""COMPUTED_VALUE"""),22)</f>
        <v>22</v>
      </c>
      <c r="B720" s="13"/>
      <c r="C720" s="13" t="str">
        <f ca="1">IFERROR(__xludf.DUMMYFUNCTION("""COMPUTED_VALUE"""),"适应")</f>
        <v>适应</v>
      </c>
      <c r="D720" s="13" t="str">
        <f ca="1">IFERROR(__xludf.DUMMYFUNCTION("""COMPUTED_VALUE"""),"&lt;ruby&gt;适应&lt;rt&gt;shìyìng&lt;/rt&gt;&lt;/ruby&gt;")</f>
        <v>&lt;ruby&gt;适应&lt;rt&gt;shìyìng&lt;/rt&gt;&lt;/ruby&gt;</v>
      </c>
      <c r="E720" s="13" t="str">
        <f ca="1">IFERROR(__xludf.DUMMYFUNCTION("""COMPUTED_VALUE"""),"shìyìng")</f>
        <v>shìyìng</v>
      </c>
      <c r="F720" s="13" t="str">
        <f ca="1">IFERROR(__xludf.DUMMYFUNCTION("""COMPUTED_VALUE"""),"Động từ")</f>
        <v>Động từ</v>
      </c>
      <c r="G720" s="13" t="str">
        <f ca="1">IFERROR(__xludf.DUMMYFUNCTION("""COMPUTED_VALUE"""),"thích nghi")</f>
        <v>thích nghi</v>
      </c>
      <c r="H720" s="13" t="str">
        <f ca="1">IFERROR(__xludf.DUMMYFUNCTION("""COMPUTED_VALUE"""),"尽管她住在南方，但已经适应了北方的寒冷天气。")</f>
        <v>尽管她住在南方，但已经适应了北方的寒冷天气。</v>
      </c>
      <c r="I720" s="13"/>
      <c r="J720" s="13" t="str">
        <f ca="1">IFERROR(__xludf.DUMMYFUNCTION("""COMPUTED_VALUE"""),"Tuy cô ấy ở miền nam nhưng đã thích ứng được với thời tiết lạnh giá của miền bắc.")</f>
        <v>Tuy cô ấy ở miền nam nhưng đã thích ứng được với thời tiết lạnh giá của miền bắc.</v>
      </c>
      <c r="K720" s="13" t="str">
        <f ca="1">IFERROR(__xludf.DUMMYFUNCTION("""COMPUTED_VALUE"""),"H4_B2_BG22.png")</f>
        <v>H4_B2_BG22.png</v>
      </c>
      <c r="L720" s="13" t="str">
        <f ca="1">IFERROR(__xludf.DUMMYFUNCTION("""COMPUTED_VALUE"""),"B2_22.mp3")</f>
        <v>B2_22.mp3</v>
      </c>
      <c r="M720" s="13" t="str">
        <f ca="1">IFERROR(__xludf.DUMMYFUNCTION("""COMPUTED_VALUE"""),"B2_VD_22.mp3")</f>
        <v>B2_VD_22.mp3</v>
      </c>
    </row>
    <row r="721" spans="1:13">
      <c r="A721" s="13">
        <f ca="1">IFERROR(__xludf.DUMMYFUNCTION("""COMPUTED_VALUE"""),23)</f>
        <v>23</v>
      </c>
      <c r="B721" s="13"/>
      <c r="C721" s="13" t="str">
        <f ca="1">IFERROR(__xludf.DUMMYFUNCTION("""COMPUTED_VALUE"""),"讨厌")</f>
        <v>讨厌</v>
      </c>
      <c r="D721" s="13" t="str">
        <f ca="1">IFERROR(__xludf.DUMMYFUNCTION("""COMPUTED_VALUE"""),"&lt;ruby&gt;讨厌&lt;rt&gt;tǎoyàn&lt;/rt&gt;&lt;/ruby&gt;")</f>
        <v>&lt;ruby&gt;讨厌&lt;rt&gt;tǎoyàn&lt;/rt&gt;&lt;/ruby&gt;</v>
      </c>
      <c r="E721" s="13" t="str">
        <f ca="1">IFERROR(__xludf.DUMMYFUNCTION("""COMPUTED_VALUE"""),"tǎoyàn")</f>
        <v>tǎoyàn</v>
      </c>
      <c r="F721" s="13" t="str">
        <f ca="1">IFERROR(__xludf.DUMMYFUNCTION("""COMPUTED_VALUE"""),"Động từ")</f>
        <v>Động từ</v>
      </c>
      <c r="G721" s="13" t="str">
        <f ca="1">IFERROR(__xludf.DUMMYFUNCTION("""COMPUTED_VALUE"""),"ghét, không thích")</f>
        <v>ghét, không thích</v>
      </c>
      <c r="H721" s="13" t="str">
        <f ca="1">IFERROR(__xludf.DUMMYFUNCTION("""COMPUTED_VALUE"""),"她非常讨厌吃快餐。")</f>
        <v>她非常讨厌吃快餐。</v>
      </c>
      <c r="I721" s="13"/>
      <c r="J721" s="13" t="str">
        <f ca="1">IFERROR(__xludf.DUMMYFUNCTION("""COMPUTED_VALUE"""),"Cô ấy rất ghét đồ ăn nhanh.")</f>
        <v>Cô ấy rất ghét đồ ăn nhanh.</v>
      </c>
      <c r="K721" s="13" t="str">
        <f ca="1">IFERROR(__xludf.DUMMYFUNCTION("""COMPUTED_VALUE"""),"H4_B2_BG23.png")</f>
        <v>H4_B2_BG23.png</v>
      </c>
      <c r="L721" s="13" t="str">
        <f ca="1">IFERROR(__xludf.DUMMYFUNCTION("""COMPUTED_VALUE"""),"B2_23.mp3")</f>
        <v>B2_23.mp3</v>
      </c>
      <c r="M721" s="13" t="str">
        <f ca="1">IFERROR(__xludf.DUMMYFUNCTION("""COMPUTED_VALUE"""),"B2_VD_23.mp3")</f>
        <v>B2_VD_23.mp3</v>
      </c>
    </row>
    <row r="722" spans="1:13">
      <c r="A722" s="13">
        <f ca="1">IFERROR(__xludf.DUMMYFUNCTION("""COMPUTED_VALUE"""),24)</f>
        <v>24</v>
      </c>
      <c r="B722" s="13"/>
      <c r="C722" s="13" t="str">
        <f ca="1">IFERROR(__xludf.DUMMYFUNCTION("""COMPUTED_VALUE"""),"无聊")</f>
        <v>无聊</v>
      </c>
      <c r="D722" s="13" t="str">
        <f ca="1">IFERROR(__xludf.DUMMYFUNCTION("""COMPUTED_VALUE"""),"&lt;ruby&gt;无聊&lt;rt&gt;wúliáo&lt;/rt&gt;&lt;/ruby&gt;")</f>
        <v>&lt;ruby&gt;无聊&lt;rt&gt;wúliáo&lt;/rt&gt;&lt;/ruby&gt;</v>
      </c>
      <c r="E722" s="13" t="str">
        <f ca="1">IFERROR(__xludf.DUMMYFUNCTION("""COMPUTED_VALUE"""),"wúliáo")</f>
        <v>wúliáo</v>
      </c>
      <c r="F722" s="13" t="str">
        <f ca="1">IFERROR(__xludf.DUMMYFUNCTION("""COMPUTED_VALUE"""),"Tính từ")</f>
        <v>Tính từ</v>
      </c>
      <c r="G722" s="13" t="str">
        <f ca="1">IFERROR(__xludf.DUMMYFUNCTION("""COMPUTED_VALUE"""),"vô vị, nhàm chán")</f>
        <v>vô vị, nhàm chán</v>
      </c>
      <c r="H722" s="13" t="str">
        <f ca="1">IFERROR(__xludf.DUMMYFUNCTION("""COMPUTED_VALUE"""),"他觉得这部电影很无聊。")</f>
        <v>他觉得这部电影很无聊。</v>
      </c>
      <c r="I722" s="13"/>
      <c r="J722" s="13" t="str">
        <f ca="1">IFERROR(__xludf.DUMMYFUNCTION("""COMPUTED_VALUE"""),"Anh ấy cảm thấy bộ phim này rất nhàm chán.")</f>
        <v>Anh ấy cảm thấy bộ phim này rất nhàm chán.</v>
      </c>
      <c r="K722" s="13" t="str">
        <f ca="1">IFERROR(__xludf.DUMMYFUNCTION("""COMPUTED_VALUE"""),"H4_B2_BG24.png")</f>
        <v>H4_B2_BG24.png</v>
      </c>
      <c r="L722" s="13" t="str">
        <f ca="1">IFERROR(__xludf.DUMMYFUNCTION("""COMPUTED_VALUE"""),"B2_24.mp3")</f>
        <v>B2_24.mp3</v>
      </c>
      <c r="M722" s="13" t="str">
        <f ca="1">IFERROR(__xludf.DUMMYFUNCTION("""COMPUTED_VALUE"""),"B2_VD_24.mp3")</f>
        <v>B2_VD_24.mp3</v>
      </c>
    </row>
    <row r="723" spans="1:13">
      <c r="A723" s="13">
        <f ca="1">IFERROR(__xludf.DUMMYFUNCTION("""COMPUTED_VALUE"""),25)</f>
        <v>25</v>
      </c>
      <c r="B723" s="13"/>
      <c r="C723" s="13" t="str">
        <f ca="1">IFERROR(__xludf.DUMMYFUNCTION("""COMPUTED_VALUE"""),"友谊")</f>
        <v>友谊</v>
      </c>
      <c r="D723" s="13" t="str">
        <f ca="1">IFERROR(__xludf.DUMMYFUNCTION("""COMPUTED_VALUE"""),"&lt;ruby&gt;友谊&lt;rt&gt;Yǒuyì&lt;/rt&gt;&lt;/ruby&gt;")</f>
        <v>&lt;ruby&gt;友谊&lt;rt&gt;Yǒuyì&lt;/rt&gt;&lt;/ruby&gt;</v>
      </c>
      <c r="E723" s="13" t="str">
        <f ca="1">IFERROR(__xludf.DUMMYFUNCTION("""COMPUTED_VALUE"""),"Yǒuyì")</f>
        <v>Yǒuyì</v>
      </c>
      <c r="F723" s="13" t="str">
        <f ca="1">IFERROR(__xludf.DUMMYFUNCTION("""COMPUTED_VALUE"""),"Danh từ")</f>
        <v>Danh từ</v>
      </c>
      <c r="G723" s="13" t="str">
        <f ca="1">IFERROR(__xludf.DUMMYFUNCTION("""COMPUTED_VALUE"""),"tình bạn")</f>
        <v>tình bạn</v>
      </c>
      <c r="H723" s="13" t="str">
        <f ca="1">IFERROR(__xludf.DUMMYFUNCTION("""COMPUTED_VALUE"""),"他们的友谊非常美好。")</f>
        <v>他们的友谊非常美好。</v>
      </c>
      <c r="I723" s="13"/>
      <c r="J723" s="13" t="str">
        <f ca="1">IFERROR(__xludf.DUMMYFUNCTION("""COMPUTED_VALUE"""),"Tình bạn của họ rất tuyệt vời.")</f>
        <v>Tình bạn của họ rất tuyệt vời.</v>
      </c>
      <c r="K723" s="13" t="str">
        <f ca="1">IFERROR(__xludf.DUMMYFUNCTION("""COMPUTED_VALUE"""),"H4_B2_BG25.png")</f>
        <v>H4_B2_BG25.png</v>
      </c>
      <c r="L723" s="13" t="str">
        <f ca="1">IFERROR(__xludf.DUMMYFUNCTION("""COMPUTED_VALUE"""),"B2_25.mp3")</f>
        <v>B2_25.mp3</v>
      </c>
      <c r="M723" s="13" t="str">
        <f ca="1">IFERROR(__xludf.DUMMYFUNCTION("""COMPUTED_VALUE"""),"B2_VD_25.mp3")</f>
        <v>B2_VD_25.mp3</v>
      </c>
    </row>
    <row r="724" spans="1:13">
      <c r="A724" s="13">
        <f ca="1">IFERROR(__xludf.DUMMYFUNCTION("""COMPUTED_VALUE"""),26)</f>
        <v>26</v>
      </c>
      <c r="B724" s="13"/>
      <c r="C724" s="13" t="str">
        <f ca="1">IFERROR(__xludf.DUMMYFUNCTION("""COMPUTED_VALUE"""),"真正")</f>
        <v>真正</v>
      </c>
      <c r="D724" s="13" t="str">
        <f ca="1">IFERROR(__xludf.DUMMYFUNCTION("""COMPUTED_VALUE"""),"&lt;ruby&gt;真正&lt;rt&gt;zhēnzhèng&lt;/rt&gt;&lt;/ruby&gt;")</f>
        <v>&lt;ruby&gt;真正&lt;rt&gt;zhēnzhèng&lt;/rt&gt;&lt;/ruby&gt;</v>
      </c>
      <c r="E724" s="13" t="str">
        <f ca="1">IFERROR(__xludf.DUMMYFUNCTION("""COMPUTED_VALUE"""),"zhēnzhèng")</f>
        <v>zhēnzhèng</v>
      </c>
      <c r="F724" s="13" t="str">
        <f ca="1">IFERROR(__xludf.DUMMYFUNCTION("""COMPUTED_VALUE"""),"Tính từ")</f>
        <v>Tính từ</v>
      </c>
      <c r="G724" s="13" t="str">
        <f ca="1">IFERROR(__xludf.DUMMYFUNCTION("""COMPUTED_VALUE"""),"chân chính, thật sự")</f>
        <v>chân chính, thật sự</v>
      </c>
      <c r="H724" s="13" t="str">
        <f ca="1">IFERROR(__xludf.DUMMYFUNCTION("""COMPUTED_VALUE"""),"她是一位真正的老师。")</f>
        <v>她是一位真正的老师。</v>
      </c>
      <c r="I724" s="13"/>
      <c r="J724" s="13" t="str">
        <f ca="1">IFERROR(__xludf.DUMMYFUNCTION("""COMPUTED_VALUE"""),"Cô ấy là một giáo viên chân chính.")</f>
        <v>Cô ấy là một giáo viên chân chính.</v>
      </c>
      <c r="K724" s="13" t="str">
        <f ca="1">IFERROR(__xludf.DUMMYFUNCTION("""COMPUTED_VALUE"""),"H4_B2_BG26.png")</f>
        <v>H4_B2_BG26.png</v>
      </c>
      <c r="L724" s="13" t="str">
        <f ca="1">IFERROR(__xludf.DUMMYFUNCTION("""COMPUTED_VALUE"""),"B2_26.mp3")</f>
        <v>B2_26.mp3</v>
      </c>
      <c r="M724" s="13" t="str">
        <f ca="1">IFERROR(__xludf.DUMMYFUNCTION("""COMPUTED_VALUE"""),"B2_VD_26.mp3")</f>
        <v>B2_VD_26.mp3</v>
      </c>
    </row>
    <row r="725" spans="1:13">
      <c r="A725" s="13">
        <f ca="1">IFERROR(__xludf.DUMMYFUNCTION("""COMPUTED_VALUE"""),27)</f>
        <v>27</v>
      </c>
      <c r="B725" s="13"/>
      <c r="C725" s="13" t="str">
        <f ca="1">IFERROR(__xludf.DUMMYFUNCTION("""COMPUTED_VALUE"""),"正好")</f>
        <v>正好</v>
      </c>
      <c r="D725" s="13" t="str">
        <f ca="1">IFERROR(__xludf.DUMMYFUNCTION("""COMPUTED_VALUE"""),"&lt;ruby&gt;正好&lt;rt&gt;zhènghǎo&lt;/rt&gt;&lt;/ruby&gt;")</f>
        <v>&lt;ruby&gt;正好&lt;rt&gt;zhènghǎo&lt;/rt&gt;&lt;/ruby&gt;</v>
      </c>
      <c r="E725" s="13" t="str">
        <f ca="1">IFERROR(__xludf.DUMMYFUNCTION("""COMPUTED_VALUE"""),"zhènghǎo")</f>
        <v>zhènghǎo</v>
      </c>
      <c r="F725" s="13" t="str">
        <f ca="1">IFERROR(__xludf.DUMMYFUNCTION("""COMPUTED_VALUE"""),"Phó từ")</f>
        <v>Phó từ</v>
      </c>
      <c r="G725" s="13" t="str">
        <f ca="1">IFERROR(__xludf.DUMMYFUNCTION("""COMPUTED_VALUE"""),"đúng lúc, được dịp, gặp dịp")</f>
        <v>đúng lúc, được dịp, gặp dịp</v>
      </c>
      <c r="H725" s="13" t="str">
        <f ca="1">IFERROR(__xludf.DUMMYFUNCTION("""COMPUTED_VALUE"""),"好久不见，正好在这里遇到了你。")</f>
        <v>好久不见，正好在这里遇到了你。</v>
      </c>
      <c r="I725" s="13"/>
      <c r="J725" s="13" t="str">
        <f ca="1">IFERROR(__xludf.DUMMYFUNCTION("""COMPUTED_VALUE"""),"Lâu lắm không gặp, vậy mà tình cờ gặp được bạn ở đây.")</f>
        <v>Lâu lắm không gặp, vậy mà tình cờ gặp được bạn ở đây.</v>
      </c>
      <c r="K725" s="13" t="str">
        <f ca="1">IFERROR(__xludf.DUMMYFUNCTION("""COMPUTED_VALUE"""),"H4_B2_BG27.png")</f>
        <v>H4_B2_BG27.png</v>
      </c>
      <c r="L725" s="13" t="str">
        <f ca="1">IFERROR(__xludf.DUMMYFUNCTION("""COMPUTED_VALUE"""),"B2_27.mp3")</f>
        <v>B2_27.mp3</v>
      </c>
      <c r="M725" s="13" t="str">
        <f ca="1">IFERROR(__xludf.DUMMYFUNCTION("""COMPUTED_VALUE"""),"B2_VD_27.mp3")</f>
        <v>B2_VD_27.mp3</v>
      </c>
    </row>
    <row r="726" spans="1:13">
      <c r="A726" s="13">
        <f ca="1">IFERROR(__xludf.DUMMYFUNCTION("""COMPUTED_VALUE"""),28)</f>
        <v>28</v>
      </c>
      <c r="B726" s="13"/>
      <c r="C726" s="13" t="str">
        <f ca="1">IFERROR(__xludf.DUMMYFUNCTION("""COMPUTED_VALUE"""),"周围")</f>
        <v>周围</v>
      </c>
      <c r="D726" s="13" t="str">
        <f ca="1">IFERROR(__xludf.DUMMYFUNCTION("""COMPUTED_VALUE"""),"&lt;ruby&gt;周围&lt;rt&gt;zhōuwéi&lt;/rt&gt;&lt;/ruby&gt;")</f>
        <v>&lt;ruby&gt;周围&lt;rt&gt;zhōuwéi&lt;/rt&gt;&lt;/ruby&gt;</v>
      </c>
      <c r="E726" s="13" t="str">
        <f ca="1">IFERROR(__xludf.DUMMYFUNCTION("""COMPUTED_VALUE"""),"zhōuwéi")</f>
        <v>zhōuwéi</v>
      </c>
      <c r="F726" s="13" t="str">
        <f ca="1">IFERROR(__xludf.DUMMYFUNCTION("""COMPUTED_VALUE"""),"Danh từ")</f>
        <v>Danh từ</v>
      </c>
      <c r="G726" s="13" t="str">
        <f ca="1">IFERROR(__xludf.DUMMYFUNCTION("""COMPUTED_VALUE"""),"xung quanh")</f>
        <v>xung quanh</v>
      </c>
      <c r="H726" s="13" t="str">
        <f ca="1">IFERROR(__xludf.DUMMYFUNCTION("""COMPUTED_VALUE"""),"我家周围有很多树。")</f>
        <v>我家周围有很多树。</v>
      </c>
      <c r="I726" s="13"/>
      <c r="J726" s="13" t="str">
        <f ca="1">IFERROR(__xludf.DUMMYFUNCTION("""COMPUTED_VALUE"""),"Xung quanh nhà tôi có rất nhiều cây.")</f>
        <v>Xung quanh nhà tôi có rất nhiều cây.</v>
      </c>
      <c r="K726" s="13" t="str">
        <f ca="1">IFERROR(__xludf.DUMMYFUNCTION("""COMPUTED_VALUE"""),"H4_B2_BG28.png")</f>
        <v>H4_B2_BG28.png</v>
      </c>
      <c r="L726" s="13" t="str">
        <f ca="1">IFERROR(__xludf.DUMMYFUNCTION("""COMPUTED_VALUE"""),"B2_28.mp3")</f>
        <v>B2_28.mp3</v>
      </c>
      <c r="M726" s="13" t="str">
        <f ca="1">IFERROR(__xludf.DUMMYFUNCTION("""COMPUTED_VALUE"""),"B2_VD_28.mp3")</f>
        <v>B2_VD_28.mp3</v>
      </c>
    </row>
    <row r="727" spans="1:13">
      <c r="A727" s="13">
        <f ca="1">IFERROR(__xludf.DUMMYFUNCTION("""COMPUTED_VALUE"""),29)</f>
        <v>29</v>
      </c>
      <c r="B727" s="13"/>
      <c r="C727" s="13" t="str">
        <f ca="1">IFERROR(__xludf.DUMMYFUNCTION("""COMPUTED_VALUE"""),"专门")</f>
        <v>专门</v>
      </c>
      <c r="D727" s="13" t="str">
        <f ca="1">IFERROR(__xludf.DUMMYFUNCTION("""COMPUTED_VALUE"""),"&lt;ruby&gt;专门&lt;rt&gt;zhuānmén&lt;/rt&gt;&lt;/ruby&gt;")</f>
        <v>&lt;ruby&gt;专门&lt;rt&gt;zhuānmén&lt;/rt&gt;&lt;/ruby&gt;</v>
      </c>
      <c r="E727" s="13" t="str">
        <f ca="1">IFERROR(__xludf.DUMMYFUNCTION("""COMPUTED_VALUE"""),"zhuānmén")</f>
        <v>zhuānmén</v>
      </c>
      <c r="F727" s="13" t="str">
        <f ca="1">IFERROR(__xludf.DUMMYFUNCTION("""COMPUTED_VALUE"""),"Phó từ")</f>
        <v>Phó từ</v>
      </c>
      <c r="G727" s="13" t="str">
        <f ca="1">IFERROR(__xludf.DUMMYFUNCTION("""COMPUTED_VALUE"""),"đặc biệt, riêng biệt")</f>
        <v>đặc biệt, riêng biệt</v>
      </c>
      <c r="H727" s="13" t="str">
        <f ca="1">IFERROR(__xludf.DUMMYFUNCTION("""COMPUTED_VALUE"""),"这家店专门卖中国菜。")</f>
        <v>这家店专门卖中国菜。</v>
      </c>
      <c r="I727" s="13"/>
      <c r="J727" s="13" t="str">
        <f ca="1">IFERROR(__xludf.DUMMYFUNCTION("""COMPUTED_VALUE"""),"Quán này chuyên bán món ăn Trung Quốc.")</f>
        <v>Quán này chuyên bán món ăn Trung Quốc.</v>
      </c>
      <c r="K727" s="13" t="str">
        <f ca="1">IFERROR(__xludf.DUMMYFUNCTION("""COMPUTED_VALUE"""),"H4_B2_BG29.png")</f>
        <v>H4_B2_BG29.png</v>
      </c>
      <c r="L727" s="13" t="str">
        <f ca="1">IFERROR(__xludf.DUMMYFUNCTION("""COMPUTED_VALUE"""),"B2_29.mp3")</f>
        <v>B2_29.mp3</v>
      </c>
      <c r="M727" s="13" t="str">
        <f ca="1">IFERROR(__xludf.DUMMYFUNCTION("""COMPUTED_VALUE"""),"B2_VD_29.mp3")</f>
        <v>B2_VD_29.mp3</v>
      </c>
    </row>
    <row r="728" spans="1:13">
      <c r="A728" s="13">
        <f ca="1">IFERROR(__xludf.DUMMYFUNCTION("""COMPUTED_VALUE"""),30)</f>
        <v>30</v>
      </c>
      <c r="B728" s="13"/>
      <c r="C728" s="13" t="str">
        <f ca="1">IFERROR(__xludf.DUMMYFUNCTION("""COMPUTED_VALUE"""),"不同")</f>
        <v>不同</v>
      </c>
      <c r="D728" s="13" t="str">
        <f ca="1">IFERROR(__xludf.DUMMYFUNCTION("""COMPUTED_VALUE"""),"&lt;ruby&gt;不同&lt;rt&gt;bù tóng&lt;/rt&gt;&lt;/ruby&gt;")</f>
        <v>&lt;ruby&gt;不同&lt;rt&gt;bù tóng&lt;/rt&gt;&lt;/ruby&gt;</v>
      </c>
      <c r="E728" s="13" t="str">
        <f ca="1">IFERROR(__xludf.DUMMYFUNCTION("""COMPUTED_VALUE"""),"bù tóng")</f>
        <v>bù tóng</v>
      </c>
      <c r="F728" s="13" t="str">
        <f ca="1">IFERROR(__xludf.DUMMYFUNCTION("""COMPUTED_VALUE"""),"Tính từ")</f>
        <v>Tính từ</v>
      </c>
      <c r="G728" s="13" t="str">
        <f ca="1">IFERROR(__xludf.DUMMYFUNCTION("""COMPUTED_VALUE"""),"khác nhau")</f>
        <v>khác nhau</v>
      </c>
      <c r="H728" s="13" t="str">
        <f ca="1">IFERROR(__xludf.DUMMYFUNCTION("""COMPUTED_VALUE"""),"他们用不同的语言交流。")</f>
        <v>他们用不同的语言交流。</v>
      </c>
      <c r="I728" s="13"/>
      <c r="J728" s="13" t="str">
        <f ca="1">IFERROR(__xludf.DUMMYFUNCTION("""COMPUTED_VALUE"""),"Họ nói chuyện bằng các ngôn ngữ khác nhau.")</f>
        <v>Họ nói chuyện bằng các ngôn ngữ khác nhau.</v>
      </c>
      <c r="K728" s="13" t="str">
        <f ca="1">IFERROR(__xludf.DUMMYFUNCTION("""COMPUTED_VALUE"""),"H4_B2_BG30.png")</f>
        <v>H4_B2_BG30.png</v>
      </c>
      <c r="L728" s="13" t="str">
        <f ca="1">IFERROR(__xludf.DUMMYFUNCTION("""COMPUTED_VALUE"""),"B2_30.mp3")</f>
        <v>B2_30.mp3</v>
      </c>
      <c r="M728" s="13" t="str">
        <f ca="1">IFERROR(__xludf.DUMMYFUNCTION("""COMPUTED_VALUE"""),"B2_VD_30.mp3")</f>
        <v>B2_VD_30.mp3</v>
      </c>
    </row>
    <row r="729" spans="1:13">
      <c r="A729" s="13">
        <f ca="1">IFERROR(__xludf.DUMMYFUNCTION("""COMPUTED_VALUE"""),31)</f>
        <v>31</v>
      </c>
      <c r="B729" s="13"/>
      <c r="C729" s="13" t="str">
        <f ca="1">IFERROR(__xludf.DUMMYFUNCTION("""COMPUTED_VALUE"""),"感到")</f>
        <v>感到</v>
      </c>
      <c r="D729" s="13" t="str">
        <f ca="1">IFERROR(__xludf.DUMMYFUNCTION("""COMPUTED_VALUE"""),"&lt;ruby&gt;感到&lt;rt&gt;găndào&lt;/rt&gt;&lt;/ruby&gt;")</f>
        <v>&lt;ruby&gt;感到&lt;rt&gt;găndào&lt;/rt&gt;&lt;/ruby&gt;</v>
      </c>
      <c r="E729" s="13" t="str">
        <f ca="1">IFERROR(__xludf.DUMMYFUNCTION("""COMPUTED_VALUE"""),"găndào")</f>
        <v>găndào</v>
      </c>
      <c r="F729" s="13" t="str">
        <f ca="1">IFERROR(__xludf.DUMMYFUNCTION("""COMPUTED_VALUE"""),"Động từ")</f>
        <v>Động từ</v>
      </c>
      <c r="G729" s="13" t="str">
        <f ca="1">IFERROR(__xludf.DUMMYFUNCTION("""COMPUTED_VALUE"""),"cảm thấy")</f>
        <v>cảm thấy</v>
      </c>
      <c r="H729" s="13" t="str">
        <f ca="1">IFERROR(__xludf.DUMMYFUNCTION("""COMPUTED_VALUE"""),"她感到今天的饭菜非常美味。")</f>
        <v>她感到今天的饭菜非常美味。</v>
      </c>
      <c r="I729" s="13"/>
      <c r="J729" s="13" t="str">
        <f ca="1">IFERROR(__xludf.DUMMYFUNCTION("""COMPUTED_VALUE"""),"Cô ấy cảm thấy bữa ăn hôm nay rất ngon miệng.")</f>
        <v>Cô ấy cảm thấy bữa ăn hôm nay rất ngon miệng.</v>
      </c>
      <c r="K729" s="13" t="str">
        <f ca="1">IFERROR(__xludf.DUMMYFUNCTION("""COMPUTED_VALUE"""),"H4_B2_BG31.png")</f>
        <v>H4_B2_BG31.png</v>
      </c>
      <c r="L729" s="13" t="str">
        <f ca="1">IFERROR(__xludf.DUMMYFUNCTION("""COMPUTED_VALUE"""),"B2_31.mp3")</f>
        <v>B2_31.mp3</v>
      </c>
      <c r="M729" s="13" t="str">
        <f ca="1">IFERROR(__xludf.DUMMYFUNCTION("""COMPUTED_VALUE"""),"B2_VD_31.mp3")</f>
        <v>B2_VD_31.mp3</v>
      </c>
    </row>
    <row r="730" spans="1:13">
      <c r="A730" s="13">
        <f ca="1">IFERROR(__xludf.DUMMYFUNCTION("""COMPUTED_VALUE"""),32)</f>
        <v>32</v>
      </c>
      <c r="B730" s="13"/>
      <c r="C730" s="13" t="str">
        <f ca="1">IFERROR(__xludf.DUMMYFUNCTION("""COMPUTED_VALUE"""),"街")</f>
        <v>街</v>
      </c>
      <c r="D730" s="13" t="str">
        <f ca="1">IFERROR(__xludf.DUMMYFUNCTION("""COMPUTED_VALUE"""),"&lt;ruby&gt;街&lt;rt&gt;jiē&lt;/rt&gt;&lt;/ruby&gt;")</f>
        <v>&lt;ruby&gt;街&lt;rt&gt;jiē&lt;/rt&gt;&lt;/ruby&gt;</v>
      </c>
      <c r="E730" s="13" t="str">
        <f ca="1">IFERROR(__xludf.DUMMYFUNCTION("""COMPUTED_VALUE"""),"jiē")</f>
        <v>jiē</v>
      </c>
      <c r="F730" s="13" t="str">
        <f ca="1">IFERROR(__xludf.DUMMYFUNCTION("""COMPUTED_VALUE"""),"Danh từ")</f>
        <v>Danh từ</v>
      </c>
      <c r="G730" s="13" t="str">
        <f ca="1">IFERROR(__xludf.DUMMYFUNCTION("""COMPUTED_VALUE"""),"đường phố, phố")</f>
        <v>đường phố, phố</v>
      </c>
      <c r="H730" s="13" t="str">
        <f ca="1">IFERROR(__xludf.DUMMYFUNCTION("""COMPUTED_VALUE"""),"我们正在等着过街。")</f>
        <v>我们正在等着过街。</v>
      </c>
      <c r="I730" s="13"/>
      <c r="J730" s="13" t="str">
        <f ca="1">IFERROR(__xludf.DUMMYFUNCTION("""COMPUTED_VALUE"""),"Chúng tôi đang đợi qua đường.")</f>
        <v>Chúng tôi đang đợi qua đường.</v>
      </c>
      <c r="K730" s="13" t="str">
        <f ca="1">IFERROR(__xludf.DUMMYFUNCTION("""COMPUTED_VALUE"""),"H4_B2_BG32.png")</f>
        <v>H4_B2_BG32.png</v>
      </c>
      <c r="L730" s="13" t="str">
        <f ca="1">IFERROR(__xludf.DUMMYFUNCTION("""COMPUTED_VALUE"""),"B2_32.mp3")</f>
        <v>B2_32.mp3</v>
      </c>
      <c r="M730" s="13" t="str">
        <f ca="1">IFERROR(__xludf.DUMMYFUNCTION("""COMPUTED_VALUE"""),"B2_VD_32.mp3")</f>
        <v>B2_VD_32.mp3</v>
      </c>
    </row>
    <row r="731" spans="1:13">
      <c r="A731" s="13">
        <f ca="1">IFERROR(__xludf.DUMMYFUNCTION("""COMPUTED_VALUE"""),33)</f>
        <v>33</v>
      </c>
      <c r="B731" s="13"/>
      <c r="C731" s="13" t="str">
        <f ca="1">IFERROR(__xludf.DUMMYFUNCTION("""COMPUTED_VALUE"""),"身边")</f>
        <v>身边</v>
      </c>
      <c r="D731" s="13" t="str">
        <f ca="1">IFERROR(__xludf.DUMMYFUNCTION("""COMPUTED_VALUE"""),"&lt;ruby&gt;身边&lt;rt&gt;shēnbiān&lt;/rt&gt;&lt;/ruby&gt;")</f>
        <v>&lt;ruby&gt;身边&lt;rt&gt;shēnbiān&lt;/rt&gt;&lt;/ruby&gt;</v>
      </c>
      <c r="E731" s="13" t="str">
        <f ca="1">IFERROR(__xludf.DUMMYFUNCTION("""COMPUTED_VALUE"""),"shēnbiān")</f>
        <v>shēnbiān</v>
      </c>
      <c r="F731" s="13" t="str">
        <f ca="1">IFERROR(__xludf.DUMMYFUNCTION("""COMPUTED_VALUE"""),"Danh từ")</f>
        <v>Danh từ</v>
      </c>
      <c r="G731" s="13" t="str">
        <f ca="1">IFERROR(__xludf.DUMMYFUNCTION("""COMPUTED_VALUE"""),"bên cạnh
")</f>
        <v xml:space="preserve">bên cạnh
</v>
      </c>
      <c r="H731" s="13" t="str">
        <f ca="1">IFERROR(__xludf.DUMMYFUNCTION("""COMPUTED_VALUE"""),"我身边是我最好的朋友。")</f>
        <v>我身边是我最好的朋友。</v>
      </c>
      <c r="I731" s="13"/>
      <c r="J731" s="13" t="str">
        <f ca="1">IFERROR(__xludf.DUMMYFUNCTION("""COMPUTED_VALUE"""),"Bên cạnh tôi là bạn thân nhất của tôi.")</f>
        <v>Bên cạnh tôi là bạn thân nhất của tôi.</v>
      </c>
      <c r="K731" s="13" t="str">
        <f ca="1">IFERROR(__xludf.DUMMYFUNCTION("""COMPUTED_VALUE"""),"H4_B2_BG33.png")</f>
        <v>H4_B2_BG33.png</v>
      </c>
      <c r="L731" s="13" t="str">
        <f ca="1">IFERROR(__xludf.DUMMYFUNCTION("""COMPUTED_VALUE"""),"B2_33.mp3")</f>
        <v>B2_33.mp3</v>
      </c>
      <c r="M731" s="13" t="str">
        <f ca="1">IFERROR(__xludf.DUMMYFUNCTION("""COMPUTED_VALUE"""),"B2_VD_33.mp3")</f>
        <v>B2_VD_33.mp3</v>
      </c>
    </row>
    <row r="732" spans="1:13">
      <c r="A732" s="13">
        <f ca="1">IFERROR(__xludf.DUMMYFUNCTION("""COMPUTED_VALUE"""),34)</f>
        <v>34</v>
      </c>
      <c r="B732" s="13"/>
      <c r="C732" s="13" t="str">
        <f ca="1">IFERROR(__xludf.DUMMYFUNCTION("""COMPUTED_VALUE"""),"校园")</f>
        <v>校园</v>
      </c>
      <c r="D732" s="13" t="str">
        <f ca="1">IFERROR(__xludf.DUMMYFUNCTION("""COMPUTED_VALUE"""),"&lt;ruby&gt;校园&lt;rt&gt;xiàoyuán&lt;/rt&gt;&lt;/ruby&gt;")</f>
        <v>&lt;ruby&gt;校园&lt;rt&gt;xiàoyuán&lt;/rt&gt;&lt;/ruby&gt;</v>
      </c>
      <c r="E732" s="13" t="str">
        <f ca="1">IFERROR(__xludf.DUMMYFUNCTION("""COMPUTED_VALUE"""),"xiàoyuán")</f>
        <v>xiàoyuán</v>
      </c>
      <c r="F732" s="13" t="str">
        <f ca="1">IFERROR(__xludf.DUMMYFUNCTION("""COMPUTED_VALUE"""),"Danh từ")</f>
        <v>Danh từ</v>
      </c>
      <c r="G732" s="13" t="str">
        <f ca="1">IFERROR(__xludf.DUMMYFUNCTION("""COMPUTED_VALUE"""),"khuôn viên trường")</f>
        <v>khuôn viên trường</v>
      </c>
      <c r="H732" s="13" t="str">
        <f ca="1">IFERROR(__xludf.DUMMYFUNCTION("""COMPUTED_VALUE""")," 我们的校园非常宽敞。")</f>
        <v xml:space="preserve"> 我们的校园非常宽敞。</v>
      </c>
      <c r="I732" s="13"/>
      <c r="J732" s="13" t="str">
        <f ca="1">IFERROR(__xludf.DUMMYFUNCTION("""COMPUTED_VALUE"""),"Khuôn viên trường tôi rất rộng rãi.")</f>
        <v>Khuôn viên trường tôi rất rộng rãi.</v>
      </c>
      <c r="K732" s="13" t="str">
        <f ca="1">IFERROR(__xludf.DUMMYFUNCTION("""COMPUTED_VALUE"""),"H4_B2_BG34.png")</f>
        <v>H4_B2_BG34.png</v>
      </c>
      <c r="L732" s="13" t="str">
        <f ca="1">IFERROR(__xludf.DUMMYFUNCTION("""COMPUTED_VALUE"""),"B2_34.mp3")</f>
        <v>B2_34.mp3</v>
      </c>
      <c r="M732" s="13" t="str">
        <f ca="1">IFERROR(__xludf.DUMMYFUNCTION("""COMPUTED_VALUE"""),"B2_VD_34.mp3")</f>
        <v>B2_VD_34.mp3</v>
      </c>
    </row>
    <row r="733" spans="1:13">
      <c r="A733" s="13">
        <f ca="1">IFERROR(__xludf.DUMMYFUNCTION("""COMPUTED_VALUE"""),1)</f>
        <v>1</v>
      </c>
      <c r="B733" s="13"/>
      <c r="C733" s="13" t="str">
        <f ca="1">IFERROR(__xludf.DUMMYFUNCTION("""COMPUTED_VALUE"""),"安排")</f>
        <v>安排</v>
      </c>
      <c r="D733" s="13" t="str">
        <f ca="1">IFERROR(__xludf.DUMMYFUNCTION("""COMPUTED_VALUE"""),"&lt;ruby&gt;安排&lt;rt&gt;ānpái&lt;/rt&gt;&lt;/ruby&gt;")</f>
        <v>&lt;ruby&gt;安排&lt;rt&gt;ānpái&lt;/rt&gt;&lt;/ruby&gt;</v>
      </c>
      <c r="E733" s="13" t="str">
        <f ca="1">IFERROR(__xludf.DUMMYFUNCTION("""COMPUTED_VALUE"""),"ānpái")</f>
        <v>ānpái</v>
      </c>
      <c r="F733" s="13" t="str">
        <f ca="1">IFERROR(__xludf.DUMMYFUNCTION("""COMPUTED_VALUE"""),"Động từ")</f>
        <v>Động từ</v>
      </c>
      <c r="G733" s="13" t="str">
        <f ca="1">IFERROR(__xludf.DUMMYFUNCTION("""COMPUTED_VALUE"""),"sắp xếp")</f>
        <v>sắp xếp</v>
      </c>
      <c r="H733" s="13" t="str">
        <f ca="1">IFERROR(__xludf.DUMMYFUNCTION("""COMPUTED_VALUE"""),"老师安排我们明天打扫教室。")</f>
        <v>老师安排我们明天打扫教室。</v>
      </c>
      <c r="I733" s="13"/>
      <c r="J733" s="13" t="str">
        <f ca="1">IFERROR(__xludf.DUMMYFUNCTION("""COMPUTED_VALUE"""),"Giáo viên sắp xếp cho chúng tôi dọn dẹp lớp học ngày mai.")</f>
        <v>Giáo viên sắp xếp cho chúng tôi dọn dẹp lớp học ngày mai.</v>
      </c>
      <c r="K733" s="13" t="str">
        <f ca="1">IFERROR(__xludf.DUMMYFUNCTION("""COMPUTED_VALUE"""),"H4_B3_BG1.png")</f>
        <v>H4_B3_BG1.png</v>
      </c>
      <c r="L733" s="13" t="str">
        <f ca="1">IFERROR(__xludf.DUMMYFUNCTION("""COMPUTED_VALUE"""),"B3_1.mp3")</f>
        <v>B3_1.mp3</v>
      </c>
      <c r="M733" s="13" t="str">
        <f ca="1">IFERROR(__xludf.DUMMYFUNCTION("""COMPUTED_VALUE"""),"B3_VD_1.mp3")</f>
        <v>B3_VD_1.mp3</v>
      </c>
    </row>
    <row r="734" spans="1:13">
      <c r="A734" s="13">
        <f ca="1">IFERROR(__xludf.DUMMYFUNCTION("""COMPUTED_VALUE"""),2)</f>
        <v>2</v>
      </c>
      <c r="B734" s="13"/>
      <c r="C734" s="13" t="str">
        <f ca="1">IFERROR(__xludf.DUMMYFUNCTION("""COMPUTED_VALUE"""),"本来")</f>
        <v>本来</v>
      </c>
      <c r="D734" s="13" t="str">
        <f ca="1">IFERROR(__xludf.DUMMYFUNCTION("""COMPUTED_VALUE"""),"&lt;ruby&gt;本来&lt;rt&gt;běnlái&lt;/rt&gt;&lt;/ruby&gt;")</f>
        <v>&lt;ruby&gt;本来&lt;rt&gt;běnlái&lt;/rt&gt;&lt;/ruby&gt;</v>
      </c>
      <c r="E734" s="13" t="str">
        <f ca="1">IFERROR(__xludf.DUMMYFUNCTION("""COMPUTED_VALUE"""),"běnlái")</f>
        <v>běnlái</v>
      </c>
      <c r="F734" s="13" t="str">
        <f ca="1">IFERROR(__xludf.DUMMYFUNCTION("""COMPUTED_VALUE"""),"Phó từ")</f>
        <v>Phó từ</v>
      </c>
      <c r="G734" s="13" t="str">
        <f ca="1">IFERROR(__xludf.DUMMYFUNCTION("""COMPUTED_VALUE"""),"lúc đầu, trước đây, vốn dĩ")</f>
        <v>lúc đầu, trước đây, vốn dĩ</v>
      </c>
      <c r="H734" s="13" t="str">
        <f ca="1">IFERROR(__xludf.DUMMYFUNCTION("""COMPUTED_VALUE"""),"垃圾本来应该扔进垃圾桶，而不是丢进河里。")</f>
        <v>垃圾本来应该扔进垃圾桶，而不是丢进河里。</v>
      </c>
      <c r="I734" s="13"/>
      <c r="J734" s="13" t="str">
        <f ca="1">IFERROR(__xludf.DUMMYFUNCTION("""COMPUTED_VALUE"""),"Rác vốn dĩ nên được vứt vào thùng rác, chứ không phải ném xuống sông.")</f>
        <v>Rác vốn dĩ nên được vứt vào thùng rác, chứ không phải ném xuống sông.</v>
      </c>
      <c r="K734" s="13" t="str">
        <f ca="1">IFERROR(__xludf.DUMMYFUNCTION("""COMPUTED_VALUE"""),"H4_B3_BG2.png")</f>
        <v>H4_B3_BG2.png</v>
      </c>
      <c r="L734" s="13" t="str">
        <f ca="1">IFERROR(__xludf.DUMMYFUNCTION("""COMPUTED_VALUE"""),"B3_2.mp3")</f>
        <v>B3_2.mp3</v>
      </c>
      <c r="M734" s="13" t="str">
        <f ca="1">IFERROR(__xludf.DUMMYFUNCTION("""COMPUTED_VALUE"""),"B3_VD_2.mp3")</f>
        <v>B3_VD_2.mp3</v>
      </c>
    </row>
    <row r="735" spans="1:13">
      <c r="A735" s="13">
        <f ca="1">IFERROR(__xludf.DUMMYFUNCTION("""COMPUTED_VALUE"""),3)</f>
        <v>3</v>
      </c>
      <c r="B735" s="13"/>
      <c r="C735" s="13" t="str">
        <f ca="1">IFERROR(__xludf.DUMMYFUNCTION("""COMPUTED_VALUE"""),"不管")</f>
        <v>不管</v>
      </c>
      <c r="D735" s="13" t="str">
        <f ca="1">IFERROR(__xludf.DUMMYFUNCTION("""COMPUTED_VALUE"""),"&lt;ruby&gt;不管&lt;rt&gt;bùguăn&lt;/rt&gt;&lt;/ruby&gt;")</f>
        <v>&lt;ruby&gt;不管&lt;rt&gt;bùguăn&lt;/rt&gt;&lt;/ruby&gt;</v>
      </c>
      <c r="E735" s="13" t="str">
        <f ca="1">IFERROR(__xludf.DUMMYFUNCTION("""COMPUTED_VALUE"""),"bùguăn")</f>
        <v>bùguăn</v>
      </c>
      <c r="F735" s="13" t="str">
        <f ca="1">IFERROR(__xludf.DUMMYFUNCTION("""COMPUTED_VALUE"""),"Liên từ")</f>
        <v>Liên từ</v>
      </c>
      <c r="G735" s="13" t="str">
        <f ca="1">IFERROR(__xludf.DUMMYFUNCTION("""COMPUTED_VALUE"""),"bất kể, bất luận")</f>
        <v>bất kể, bất luận</v>
      </c>
      <c r="H735" s="13" t="str">
        <f ca="1">IFERROR(__xludf.DUMMYFUNCTION("""COMPUTED_VALUE"""),"不管父母怎么反对，我还是决定出国留学。")</f>
        <v>不管父母怎么反对，我还是决定出国留学。</v>
      </c>
      <c r="I735" s="13"/>
      <c r="J735" s="13" t="str">
        <f ca="1">IFERROR(__xludf.DUMMYFUNCTION("""COMPUTED_VALUE"""),"Cho dù bố mẹ ngăn cản thế nào, tôi vẫn sẽ đi du học.")</f>
        <v>Cho dù bố mẹ ngăn cản thế nào, tôi vẫn sẽ đi du học.</v>
      </c>
      <c r="K735" s="13" t="str">
        <f ca="1">IFERROR(__xludf.DUMMYFUNCTION("""COMPUTED_VALUE"""),"H4_B3_BG3.png")</f>
        <v>H4_B3_BG3.png</v>
      </c>
      <c r="L735" s="13" t="str">
        <f ca="1">IFERROR(__xludf.DUMMYFUNCTION("""COMPUTED_VALUE"""),"B3_3.mp3")</f>
        <v>B3_3.mp3</v>
      </c>
      <c r="M735" s="13" t="str">
        <f ca="1">IFERROR(__xludf.DUMMYFUNCTION("""COMPUTED_VALUE"""),"B3_VD_3.mp3")</f>
        <v>B3_VD_3.mp3</v>
      </c>
    </row>
    <row r="736" spans="1:13">
      <c r="A736" s="13">
        <f ca="1">IFERROR(__xludf.DUMMYFUNCTION("""COMPUTED_VALUE"""),4)</f>
        <v>4</v>
      </c>
      <c r="B736" s="13"/>
      <c r="C736" s="13" t="str">
        <f ca="1">IFERROR(__xludf.DUMMYFUNCTION("""COMPUTED_VALUE"""),"材料")</f>
        <v>材料</v>
      </c>
      <c r="D736" s="13" t="str">
        <f ca="1">IFERROR(__xludf.DUMMYFUNCTION("""COMPUTED_VALUE"""),"&lt;ruby&gt;材料&lt;rt&gt;cáiliào&lt;/rt&gt;&lt;/ruby&gt;")</f>
        <v>&lt;ruby&gt;材料&lt;rt&gt;cáiliào&lt;/rt&gt;&lt;/ruby&gt;</v>
      </c>
      <c r="E736" s="13" t="str">
        <f ca="1">IFERROR(__xludf.DUMMYFUNCTION("""COMPUTED_VALUE"""),"cáiliào")</f>
        <v>cáiliào</v>
      </c>
      <c r="F736" s="13" t="str">
        <f ca="1">IFERROR(__xludf.DUMMYFUNCTION("""COMPUTED_VALUE"""),"Danh từ")</f>
        <v>Danh từ</v>
      </c>
      <c r="G736" s="13" t="str">
        <f ca="1">IFERROR(__xludf.DUMMYFUNCTION("""COMPUTED_VALUE"""),"tư liệu, tài liệu")</f>
        <v>tư liệu, tài liệu</v>
      </c>
      <c r="H736" s="13" t="str">
        <f ca="1">IFERROR(__xludf.DUMMYFUNCTION("""COMPUTED_VALUE"""),"他已经准备好了下午会议需要的材料。")</f>
        <v>他已经准备好了下午会议需要的材料。</v>
      </c>
      <c r="I736" s="13"/>
      <c r="J736" s="13" t="str">
        <f ca="1">IFERROR(__xludf.DUMMYFUNCTION("""COMPUTED_VALUE"""),"Anh ấy đã chuẩn bị xong tài liệu cho cuộc họp vào chiều nay.")</f>
        <v>Anh ấy đã chuẩn bị xong tài liệu cho cuộc họp vào chiều nay.</v>
      </c>
      <c r="K736" s="13" t="str">
        <f ca="1">IFERROR(__xludf.DUMMYFUNCTION("""COMPUTED_VALUE"""),"H4_B3_BG4.png")</f>
        <v>H4_B3_BG4.png</v>
      </c>
      <c r="L736" s="13" t="str">
        <f ca="1">IFERROR(__xludf.DUMMYFUNCTION("""COMPUTED_VALUE"""),"B3_4.mp3")</f>
        <v>B3_4.mp3</v>
      </c>
      <c r="M736" s="13" t="str">
        <f ca="1">IFERROR(__xludf.DUMMYFUNCTION("""COMPUTED_VALUE"""),"B3_VD_4.mp3")</f>
        <v>B3_VD_4.mp3</v>
      </c>
    </row>
    <row r="737" spans="1:13">
      <c r="A737" s="13">
        <f ca="1">IFERROR(__xludf.DUMMYFUNCTION("""COMPUTED_VALUE"""),5)</f>
        <v>5</v>
      </c>
      <c r="B737" s="13"/>
      <c r="C737" s="13" t="str">
        <f ca="1">IFERROR(__xludf.DUMMYFUNCTION("""COMPUTED_VALUE"""),"诚实")</f>
        <v>诚实</v>
      </c>
      <c r="D737" s="13" t="str">
        <f ca="1">IFERROR(__xludf.DUMMYFUNCTION("""COMPUTED_VALUE"""),"&lt;ruby&gt;诚实&lt;rt&gt;chéngshí&lt;/rt&gt;&lt;/ruby&gt;")</f>
        <v>&lt;ruby&gt;诚实&lt;rt&gt;chéngshí&lt;/rt&gt;&lt;/ruby&gt;</v>
      </c>
      <c r="E737" s="13" t="str">
        <f ca="1">IFERROR(__xludf.DUMMYFUNCTION("""COMPUTED_VALUE"""),"chéngshí")</f>
        <v>chéngshí</v>
      </c>
      <c r="F737" s="13" t="str">
        <f ca="1">IFERROR(__xludf.DUMMYFUNCTION("""COMPUTED_VALUE"""),"Tính từ")</f>
        <v>Tính từ</v>
      </c>
      <c r="G737" s="13" t="str">
        <f ca="1">IFERROR(__xludf.DUMMYFUNCTION("""COMPUTED_VALUE"""),"thành thật")</f>
        <v>thành thật</v>
      </c>
      <c r="H737" s="13" t="str">
        <f ca="1">IFERROR(__xludf.DUMMYFUNCTION("""COMPUTED_VALUE"""),"他们因为昨天的误会，诚实地向对方道歉了。")</f>
        <v>他们因为昨天的误会，诚实地向对方道歉了。</v>
      </c>
      <c r="I737" s="13"/>
      <c r="J737" s="13" t="str">
        <f ca="1">IFERROR(__xludf.DUMMYFUNCTION("""COMPUTED_VALUE"""),"Họ thành thật xin lỗi nhau vì mâu thuẫn hôm qua.")</f>
        <v>Họ thành thật xin lỗi nhau vì mâu thuẫn hôm qua.</v>
      </c>
      <c r="K737" s="13" t="str">
        <f ca="1">IFERROR(__xludf.DUMMYFUNCTION("""COMPUTED_VALUE"""),"H4_B3_BG5.png")</f>
        <v>H4_B3_BG5.png</v>
      </c>
      <c r="L737" s="13" t="str">
        <f ca="1">IFERROR(__xludf.DUMMYFUNCTION("""COMPUTED_VALUE"""),"B3_5.mp3")</f>
        <v>B3_5.mp3</v>
      </c>
      <c r="M737" s="13" t="str">
        <f ca="1">IFERROR(__xludf.DUMMYFUNCTION("""COMPUTED_VALUE"""),"B3_VD_5.mp3")</f>
        <v>B3_VD_5.mp3</v>
      </c>
    </row>
    <row r="738" spans="1:13">
      <c r="A738" s="13">
        <f ca="1">IFERROR(__xludf.DUMMYFUNCTION("""COMPUTED_VALUE"""),6)</f>
        <v>6</v>
      </c>
      <c r="B738" s="13"/>
      <c r="C738" s="13" t="str">
        <f ca="1">IFERROR(__xludf.DUMMYFUNCTION("""COMPUTED_VALUE"""),"符合")</f>
        <v>符合</v>
      </c>
      <c r="D738" s="13" t="str">
        <f ca="1">IFERROR(__xludf.DUMMYFUNCTION("""COMPUTED_VALUE"""),"&lt;ruby&gt;符合&lt;rt&gt;fúhé&lt;/rt&gt;&lt;/ruby&gt;")</f>
        <v>&lt;ruby&gt;符合&lt;rt&gt;fúhé&lt;/rt&gt;&lt;/ruby&gt;</v>
      </c>
      <c r="E738" s="13" t="str">
        <f ca="1">IFERROR(__xludf.DUMMYFUNCTION("""COMPUTED_VALUE"""),"fúhé")</f>
        <v>fúhé</v>
      </c>
      <c r="F738" s="13" t="str">
        <f ca="1">IFERROR(__xludf.DUMMYFUNCTION("""COMPUTED_VALUE"""),"Động từ")</f>
        <v>Động từ</v>
      </c>
      <c r="G738" s="13" t="str">
        <f ca="1">IFERROR(__xludf.DUMMYFUNCTION("""COMPUTED_VALUE"""),"phù hợp")</f>
        <v>phù hợp</v>
      </c>
      <c r="H738" s="13" t="str">
        <f ca="1">IFERROR(__xludf.DUMMYFUNCTION("""COMPUTED_VALUE"""),"她觉得这件裙子很符合我的气质。")</f>
        <v>她觉得这件裙子很符合我的气质。</v>
      </c>
      <c r="I738" s="13"/>
      <c r="J738" s="13" t="str">
        <f ca="1">IFERROR(__xludf.DUMMYFUNCTION("""COMPUTED_VALUE"""),"Cô ấy thấy bộ váy này rất hợp với tôi.")</f>
        <v>Cô ấy thấy bộ váy này rất hợp với tôi.</v>
      </c>
      <c r="K738" s="13" t="str">
        <f ca="1">IFERROR(__xludf.DUMMYFUNCTION("""COMPUTED_VALUE"""),"H4_B3_BG6.png")</f>
        <v>H4_B3_BG6.png</v>
      </c>
      <c r="L738" s="13" t="str">
        <f ca="1">IFERROR(__xludf.DUMMYFUNCTION("""COMPUTED_VALUE"""),"B3_6.mp3")</f>
        <v>B3_6.mp3</v>
      </c>
      <c r="M738" s="13" t="str">
        <f ca="1">IFERROR(__xludf.DUMMYFUNCTION("""COMPUTED_VALUE"""),"B3_VD_6.mp3")</f>
        <v>B3_VD_6.mp3</v>
      </c>
    </row>
    <row r="739" spans="1:13">
      <c r="A739" s="13">
        <f ca="1">IFERROR(__xludf.DUMMYFUNCTION("""COMPUTED_VALUE"""),7)</f>
        <v>7</v>
      </c>
      <c r="B739" s="13"/>
      <c r="C739" s="13" t="str">
        <f ca="1">IFERROR(__xludf.DUMMYFUNCTION("""COMPUTED_VALUE"""),"负责")</f>
        <v>负责</v>
      </c>
      <c r="D739" s="13" t="str">
        <f ca="1">IFERROR(__xludf.DUMMYFUNCTION("""COMPUTED_VALUE"""),"&lt;ruby&gt;负责&lt;rt&gt;fùzé&lt;/rt&gt;&lt;/ruby&gt;")</f>
        <v>&lt;ruby&gt;负责&lt;rt&gt;fùzé&lt;/rt&gt;&lt;/ruby&gt;</v>
      </c>
      <c r="E739" s="13" t="str">
        <f ca="1">IFERROR(__xludf.DUMMYFUNCTION("""COMPUTED_VALUE"""),"fùzé")</f>
        <v>fùzé</v>
      </c>
      <c r="F739" s="13" t="str">
        <f ca="1">IFERROR(__xludf.DUMMYFUNCTION("""COMPUTED_VALUE"""),"Động từ")</f>
        <v>Động từ</v>
      </c>
      <c r="G739" s="13" t="str">
        <f ca="1">IFERROR(__xludf.DUMMYFUNCTION("""COMPUTED_VALUE"""),"Phụ trách, chịu trách nhiệm")</f>
        <v>Phụ trách, chịu trách nhiệm</v>
      </c>
      <c r="H739" s="13" t="str">
        <f ca="1">IFERROR(__xludf.DUMMYFUNCTION("""COMPUTED_VALUE"""),"他负责照顾这棵小树苗。")</f>
        <v>他负责照顾这棵小树苗。</v>
      </c>
      <c r="I739" s="13"/>
      <c r="J739" s="13" t="str">
        <f ca="1">IFERROR(__xludf.DUMMYFUNCTION("""COMPUTED_VALUE"""),"Anh ấy phụ trách chăm sóc cây con này.")</f>
        <v>Anh ấy phụ trách chăm sóc cây con này.</v>
      </c>
      <c r="K739" s="13" t="str">
        <f ca="1">IFERROR(__xludf.DUMMYFUNCTION("""COMPUTED_VALUE"""),"H4_B3_BG7.png")</f>
        <v>H4_B3_BG7.png</v>
      </c>
      <c r="L739" s="13" t="str">
        <f ca="1">IFERROR(__xludf.DUMMYFUNCTION("""COMPUTED_VALUE"""),"B3_7.mp3")</f>
        <v>B3_7.mp3</v>
      </c>
      <c r="M739" s="13" t="str">
        <f ca="1">IFERROR(__xludf.DUMMYFUNCTION("""COMPUTED_VALUE"""),"B3_VD_7.mp3")</f>
        <v>B3_VD_7.mp3</v>
      </c>
    </row>
    <row r="740" spans="1:13">
      <c r="A740" s="13">
        <f ca="1">IFERROR(__xludf.DUMMYFUNCTION("""COMPUTED_VALUE"""),8)</f>
        <v>8</v>
      </c>
      <c r="B740" s="13"/>
      <c r="C740" s="13" t="str">
        <f ca="1">IFERROR(__xludf.DUMMYFUNCTION("""COMPUTED_VALUE"""),"改变")</f>
        <v>改变</v>
      </c>
      <c r="D740" s="13" t="str">
        <f ca="1">IFERROR(__xludf.DUMMYFUNCTION("""COMPUTED_VALUE"""),"&lt;ruby&gt;改变&lt;rt&gt;găibiàn&lt;/rt&gt;&lt;/ruby&gt;")</f>
        <v>&lt;ruby&gt;改变&lt;rt&gt;găibiàn&lt;/rt&gt;&lt;/ruby&gt;</v>
      </c>
      <c r="E740" s="13" t="str">
        <f ca="1">IFERROR(__xludf.DUMMYFUNCTION("""COMPUTED_VALUE"""),"găibiàn")</f>
        <v>găibiàn</v>
      </c>
      <c r="F740" s="13" t="str">
        <f ca="1">IFERROR(__xludf.DUMMYFUNCTION("""COMPUTED_VALUE"""),"Động từ")</f>
        <v>Động từ</v>
      </c>
      <c r="G740" s="13" t="str">
        <f ca="1">IFERROR(__xludf.DUMMYFUNCTION("""COMPUTED_VALUE"""),"thay đổi
")</f>
        <v xml:space="preserve">thay đổi
</v>
      </c>
      <c r="H740" s="13" t="str">
        <f ca="1">IFERROR(__xludf.DUMMYFUNCTION("""COMPUTED_VALUE"""),"我会努力改变自己，让自己更瘦更漂亮。")</f>
        <v>我会努力改变自己，让自己更瘦更漂亮。</v>
      </c>
      <c r="I740" s="13"/>
      <c r="J740" s="13" t="str">
        <f ca="1">IFERROR(__xludf.DUMMYFUNCTION("""COMPUTED_VALUE"""),"Tôi sẽ cố gắng thay đổi bản thân, trở nên gầy và đẹp hơn.")</f>
        <v>Tôi sẽ cố gắng thay đổi bản thân, trở nên gầy và đẹp hơn.</v>
      </c>
      <c r="K740" s="13" t="str">
        <f ca="1">IFERROR(__xludf.DUMMYFUNCTION("""COMPUTED_VALUE"""),"H4_B3_BG8.png")</f>
        <v>H4_B3_BG8.png</v>
      </c>
      <c r="L740" s="13" t="str">
        <f ca="1">IFERROR(__xludf.DUMMYFUNCTION("""COMPUTED_VALUE"""),"B3_8.mp3")</f>
        <v>B3_8.mp3</v>
      </c>
      <c r="M740" s="13" t="str">
        <f ca="1">IFERROR(__xludf.DUMMYFUNCTION("""COMPUTED_VALUE"""),"B3_VD_8.mp3")</f>
        <v>B3_VD_8.mp3</v>
      </c>
    </row>
    <row r="741" spans="1:13">
      <c r="A741" s="13">
        <f ca="1">IFERROR(__xludf.DUMMYFUNCTION("""COMPUTED_VALUE"""),9)</f>
        <v>9</v>
      </c>
      <c r="B741" s="13"/>
      <c r="C741" s="13" t="str">
        <f ca="1">IFERROR(__xludf.DUMMYFUNCTION("""COMPUTED_VALUE"""),"感觉")</f>
        <v>感觉</v>
      </c>
      <c r="D741" s="13" t="str">
        <f ca="1">IFERROR(__xludf.DUMMYFUNCTION("""COMPUTED_VALUE"""),"&lt;ruby&gt;感觉&lt;rt&gt;gănjué&lt;/rt&gt;&lt;/ruby&gt;")</f>
        <v>&lt;ruby&gt;感觉&lt;rt&gt;gănjué&lt;/rt&gt;&lt;/ruby&gt;</v>
      </c>
      <c r="E741" s="13" t="str">
        <f ca="1">IFERROR(__xludf.DUMMYFUNCTION("""COMPUTED_VALUE"""),"gănjué")</f>
        <v>gănjué</v>
      </c>
      <c r="F741" s="13" t="str">
        <f ca="1">IFERROR(__xludf.DUMMYFUNCTION("""COMPUTED_VALUE"""),"Danh từ")</f>
        <v>Danh từ</v>
      </c>
      <c r="G741" s="13" t="str">
        <f ca="1">IFERROR(__xludf.DUMMYFUNCTION("""COMPUTED_VALUE"""),"cảm giác, cảm nghĩ")</f>
        <v>cảm giác, cảm nghĩ</v>
      </c>
      <c r="H741" s="13" t="str">
        <f ca="1">IFERROR(__xludf.DUMMYFUNCTION("""COMPUTED_VALUE"""),"坐飞机的时候，我感觉非常开心。")</f>
        <v>坐飞机的时候，我感觉非常开心。</v>
      </c>
      <c r="I741" s="13"/>
      <c r="J741" s="13" t="str">
        <f ca="1">IFERROR(__xludf.DUMMYFUNCTION("""COMPUTED_VALUE"""),"Tôi cảm thấy rất vui vẻ khi đi máy bay.")</f>
        <v>Tôi cảm thấy rất vui vẻ khi đi máy bay.</v>
      </c>
      <c r="K741" s="13" t="str">
        <f ca="1">IFERROR(__xludf.DUMMYFUNCTION("""COMPUTED_VALUE"""),"H4_B3_BG9.png")</f>
        <v>H4_B3_BG9.png</v>
      </c>
      <c r="L741" s="13" t="str">
        <f ca="1">IFERROR(__xludf.DUMMYFUNCTION("""COMPUTED_VALUE"""),"B3_9.mp3")</f>
        <v>B3_9.mp3</v>
      </c>
      <c r="M741" s="13" t="str">
        <f ca="1">IFERROR(__xludf.DUMMYFUNCTION("""COMPUTED_VALUE"""),"B3_VD_9.mp3")</f>
        <v>B3_VD_9.mp3</v>
      </c>
    </row>
    <row r="742" spans="1:13">
      <c r="A742" s="13">
        <f ca="1">IFERROR(__xludf.DUMMYFUNCTION("""COMPUTED_VALUE"""),10)</f>
        <v>10</v>
      </c>
      <c r="B742" s="13"/>
      <c r="C742" s="13" t="str">
        <f ca="1">IFERROR(__xludf.DUMMYFUNCTION("""COMPUTED_VALUE"""),"顾客")</f>
        <v>顾客</v>
      </c>
      <c r="D742" s="13" t="str">
        <f ca="1">IFERROR(__xludf.DUMMYFUNCTION("""COMPUTED_VALUE"""),"&lt;ruby&gt;顾客&lt;rt&gt;gùkè&lt;/rt&gt;&lt;/ruby&gt;")</f>
        <v>&lt;ruby&gt;顾客&lt;rt&gt;gùkè&lt;/rt&gt;&lt;/ruby&gt;</v>
      </c>
      <c r="E742" s="13" t="str">
        <f ca="1">IFERROR(__xludf.DUMMYFUNCTION("""COMPUTED_VALUE"""),"gùkè")</f>
        <v>gùkè</v>
      </c>
      <c r="F742" s="13" t="str">
        <f ca="1">IFERROR(__xludf.DUMMYFUNCTION("""COMPUTED_VALUE"""),"Danh từ")</f>
        <v>Danh từ</v>
      </c>
      <c r="G742" s="13" t="str">
        <f ca="1">IFERROR(__xludf.DUMMYFUNCTION("""COMPUTED_VALUE"""),"khách hàng")</f>
        <v>khách hàng</v>
      </c>
      <c r="H742" s="13" t="str">
        <f ca="1">IFERROR(__xludf.DUMMYFUNCTION("""COMPUTED_VALUE"""),"我们总是尽力为顾客提供最好的服务。")</f>
        <v>我们总是尽力为顾客提供最好的服务。</v>
      </c>
      <c r="I742" s="13"/>
      <c r="J742" s="13" t="str">
        <f ca="1">IFERROR(__xludf.DUMMYFUNCTION("""COMPUTED_VALUE"""),"Chúng tôi luôn sẵn lòng phục vụ khách hàng một cách tốt nhất.")</f>
        <v>Chúng tôi luôn sẵn lòng phục vụ khách hàng một cách tốt nhất.</v>
      </c>
      <c r="K742" s="13" t="str">
        <f ca="1">IFERROR(__xludf.DUMMYFUNCTION("""COMPUTED_VALUE"""),"H4_B3_BG10.png")</f>
        <v>H4_B3_BG10.png</v>
      </c>
      <c r="L742" s="13" t="str">
        <f ca="1">IFERROR(__xludf.DUMMYFUNCTION("""COMPUTED_VALUE"""),"B3_10.mp3")</f>
        <v>B3_10.mp3</v>
      </c>
      <c r="M742" s="13" t="str">
        <f ca="1">IFERROR(__xludf.DUMMYFUNCTION("""COMPUTED_VALUE"""),"B3_VD_10.mp3")</f>
        <v>B3_VD_10.mp3</v>
      </c>
    </row>
    <row r="743" spans="1:13">
      <c r="A743" s="13">
        <f ca="1">IFERROR(__xludf.DUMMYFUNCTION("""COMPUTED_VALUE"""),11)</f>
        <v>11</v>
      </c>
      <c r="B743" s="13"/>
      <c r="C743" s="13" t="str">
        <f ca="1">IFERROR(__xludf.DUMMYFUNCTION("""COMPUTED_VALUE"""),"紧张")</f>
        <v>紧张</v>
      </c>
      <c r="D743" s="13" t="str">
        <f ca="1">IFERROR(__xludf.DUMMYFUNCTION("""COMPUTED_VALUE"""),"&lt;ruby&gt;紧张&lt;rt&gt;jǐnzhāng&lt;/rt&gt;&lt;/ruby&gt;")</f>
        <v>&lt;ruby&gt;紧张&lt;rt&gt;jǐnzhāng&lt;/rt&gt;&lt;/ruby&gt;</v>
      </c>
      <c r="E743" s="13" t="str">
        <f ca="1">IFERROR(__xludf.DUMMYFUNCTION("""COMPUTED_VALUE"""),"jǐnzhāng")</f>
        <v>jǐnzhāng</v>
      </c>
      <c r="F743" s="13" t="str">
        <f ca="1">IFERROR(__xludf.DUMMYFUNCTION("""COMPUTED_VALUE"""),"Tính từ")</f>
        <v>Tính từ</v>
      </c>
      <c r="G743" s="13" t="str">
        <f ca="1">IFERROR(__xludf.DUMMYFUNCTION("""COMPUTED_VALUE"""),"hồi hộp, căng thẳng")</f>
        <v>hồi hộp, căng thẳng</v>
      </c>
      <c r="H743" s="13" t="str">
        <f ca="1">IFERROR(__xludf.DUMMYFUNCTION("""COMPUTED_VALUE"""),"快轮到我面试了，我感到非常紧张。 ")</f>
        <v xml:space="preserve">快轮到我面试了，我感到非常紧张。 </v>
      </c>
      <c r="I743" s="13"/>
      <c r="J743" s="13" t="str">
        <f ca="1">IFERROR(__xludf.DUMMYFUNCTION("""COMPUTED_VALUE"""),"Chuẩn bị tới lượt phỏng vấn nên tôi cảm thấy rất căng thẳng")</f>
        <v>Chuẩn bị tới lượt phỏng vấn nên tôi cảm thấy rất căng thẳng</v>
      </c>
      <c r="K743" s="13" t="str">
        <f ca="1">IFERROR(__xludf.DUMMYFUNCTION("""COMPUTED_VALUE"""),"H4_B3_BG11.png")</f>
        <v>H4_B3_BG11.png</v>
      </c>
      <c r="L743" s="13" t="str">
        <f ca="1">IFERROR(__xludf.DUMMYFUNCTION("""COMPUTED_VALUE"""),"B3_11.mp3")</f>
        <v>B3_11.mp3</v>
      </c>
      <c r="M743" s="13" t="str">
        <f ca="1">IFERROR(__xludf.DUMMYFUNCTION("""COMPUTED_VALUE"""),"B3_VD_11.mp3")</f>
        <v>B3_VD_11.mp3</v>
      </c>
    </row>
    <row r="744" spans="1:13">
      <c r="A744" s="13">
        <f ca="1">IFERROR(__xludf.DUMMYFUNCTION("""COMPUTED_VALUE"""),12)</f>
        <v>12</v>
      </c>
      <c r="B744" s="13"/>
      <c r="C744" s="13" t="str">
        <f ca="1">IFERROR(__xludf.DUMMYFUNCTION("""COMPUTED_VALUE"""),"另外")</f>
        <v>另外</v>
      </c>
      <c r="D744" s="13" t="str">
        <f ca="1">IFERROR(__xludf.DUMMYFUNCTION("""COMPUTED_VALUE"""),"&lt;ruby&gt;另外&lt;rt&gt;lìngwài&lt;/rt&gt;&lt;/ruby&gt;")</f>
        <v>&lt;ruby&gt;另外&lt;rt&gt;lìngwài&lt;/rt&gt;&lt;/ruby&gt;</v>
      </c>
      <c r="E744" s="13" t="str">
        <f ca="1">IFERROR(__xludf.DUMMYFUNCTION("""COMPUTED_VALUE"""),"lìngwài")</f>
        <v>lìngwài</v>
      </c>
      <c r="F744" s="13" t="str">
        <f ca="1">IFERROR(__xludf.DUMMYFUNCTION("""COMPUTED_VALUE"""),"Liên từ")</f>
        <v>Liên từ</v>
      </c>
      <c r="G744" s="13" t="str">
        <f ca="1">IFERROR(__xludf.DUMMYFUNCTION("""COMPUTED_VALUE"""),"ngoài ra
")</f>
        <v xml:space="preserve">ngoài ra
</v>
      </c>
      <c r="H744" s="13" t="str">
        <f ca="1">IFERROR(__xludf.DUMMYFUNCTION("""COMPUTED_VALUE"""),"她学习很好，另外还擅长运动。")</f>
        <v>她学习很好，另外还擅长运动。</v>
      </c>
      <c r="I744" s="13"/>
      <c r="J744" s="13" t="str">
        <f ca="1">IFERROR(__xludf.DUMMYFUNCTION("""COMPUTED_VALUE"""),"Cô ấy học rất giỏi, ngoài ra còn chơi thể thao tốt.")</f>
        <v>Cô ấy học rất giỏi, ngoài ra còn chơi thể thao tốt.</v>
      </c>
      <c r="K744" s="13" t="str">
        <f ca="1">IFERROR(__xludf.DUMMYFUNCTION("""COMPUTED_VALUE"""),"H4_B3_BG12.png")</f>
        <v>H4_B3_BG12.png</v>
      </c>
      <c r="L744" s="13" t="str">
        <f ca="1">IFERROR(__xludf.DUMMYFUNCTION("""COMPUTED_VALUE"""),"B3_12.mp3")</f>
        <v>B3_12.mp3</v>
      </c>
      <c r="M744" s="13" t="str">
        <f ca="1">IFERROR(__xludf.DUMMYFUNCTION("""COMPUTED_VALUE"""),"B3_VD_12.mp3")</f>
        <v>B3_VD_12.mp3</v>
      </c>
    </row>
    <row r="745" spans="1:13">
      <c r="A745" s="13">
        <f ca="1">IFERROR(__xludf.DUMMYFUNCTION("""COMPUTED_VALUE"""),13)</f>
        <v>13</v>
      </c>
      <c r="B745" s="13"/>
      <c r="C745" s="13" t="str">
        <f ca="1">IFERROR(__xludf.DUMMYFUNCTION("""COMPUTED_VALUE"""),"留")</f>
        <v>留</v>
      </c>
      <c r="D745" s="13" t="str">
        <f ca="1">IFERROR(__xludf.DUMMYFUNCTION("""COMPUTED_VALUE"""),"&lt;ruby&gt;留&lt;rt&gt;liú&lt;/rt&gt;&lt;/ruby&gt;")</f>
        <v>&lt;ruby&gt;留&lt;rt&gt;liú&lt;/rt&gt;&lt;/ruby&gt;</v>
      </c>
      <c r="E745" s="13" t="str">
        <f ca="1">IFERROR(__xludf.DUMMYFUNCTION("""COMPUTED_VALUE"""),"liú")</f>
        <v>liú</v>
      </c>
      <c r="F745" s="13" t="str">
        <f ca="1">IFERROR(__xludf.DUMMYFUNCTION("""COMPUTED_VALUE"""),"Động từ")</f>
        <v>Động từ</v>
      </c>
      <c r="G745" s="13" t="str">
        <f ca="1">IFERROR(__xludf.DUMMYFUNCTION("""COMPUTED_VALUE"""),"để lại")</f>
        <v>để lại</v>
      </c>
      <c r="H745" s="13" t="str">
        <f ca="1">IFERROR(__xludf.DUMMYFUNCTION("""COMPUTED_VALUE"""),"我吃了八块西瓜，留了五块给妹妹。")</f>
        <v>我吃了八块西瓜，留了五块给妹妹。</v>
      </c>
      <c r="I745" s="13"/>
      <c r="J745" s="13" t="str">
        <f ca="1">IFERROR(__xludf.DUMMYFUNCTION("""COMPUTED_VALUE"""),"Tôi ăn 8 miếng dưa hấu, để lại cho em gái 5 miếng.")</f>
        <v>Tôi ăn 8 miếng dưa hấu, để lại cho em gái 5 miếng.</v>
      </c>
      <c r="K745" s="13" t="str">
        <f ca="1">IFERROR(__xludf.DUMMYFUNCTION("""COMPUTED_VALUE"""),"H4_B3_BG13.png")</f>
        <v>H4_B3_BG13.png</v>
      </c>
      <c r="L745" s="13" t="str">
        <f ca="1">IFERROR(__xludf.DUMMYFUNCTION("""COMPUTED_VALUE"""),"B3_13.mp3")</f>
        <v>B3_13.mp3</v>
      </c>
      <c r="M745" s="13" t="str">
        <f ca="1">IFERROR(__xludf.DUMMYFUNCTION("""COMPUTED_VALUE"""),"B3_VD_13.mp3")</f>
        <v>B3_VD_13.mp3</v>
      </c>
    </row>
    <row r="746" spans="1:13">
      <c r="A746" s="13">
        <f ca="1">IFERROR(__xludf.DUMMYFUNCTION("""COMPUTED_VALUE"""),14)</f>
        <v>14</v>
      </c>
      <c r="B746" s="13"/>
      <c r="C746" s="13" t="str">
        <f ca="1">IFERROR(__xludf.DUMMYFUNCTION("""COMPUTED_VALUE"""),"律师")</f>
        <v>律师</v>
      </c>
      <c r="D746" s="13" t="str">
        <f ca="1">IFERROR(__xludf.DUMMYFUNCTION("""COMPUTED_VALUE"""),"&lt;ruby&gt;律师&lt;rt&gt;Lǜshī&lt;/rt&gt;&lt;/ruby&gt;")</f>
        <v>&lt;ruby&gt;律师&lt;rt&gt;Lǜshī&lt;/rt&gt;&lt;/ruby&gt;</v>
      </c>
      <c r="E746" s="13" t="str">
        <f ca="1">IFERROR(__xludf.DUMMYFUNCTION("""COMPUTED_VALUE"""),"Lǜshī")</f>
        <v>Lǜshī</v>
      </c>
      <c r="F746" s="13" t="str">
        <f ca="1">IFERROR(__xludf.DUMMYFUNCTION("""COMPUTED_VALUE"""),"Danh từ")</f>
        <v>Danh từ</v>
      </c>
      <c r="G746" s="13" t="str">
        <f ca="1">IFERROR(__xludf.DUMMYFUNCTION("""COMPUTED_VALUE"""),"luật sư")</f>
        <v>luật sư</v>
      </c>
      <c r="H746" s="13" t="str">
        <f ca="1">IFERROR(__xludf.DUMMYFUNCTION("""COMPUTED_VALUE"""),"她是一位非常优秀的律师。")</f>
        <v>她是一位非常优秀的律师。</v>
      </c>
      <c r="I746" s="13"/>
      <c r="J746" s="13" t="str">
        <f ca="1">IFERROR(__xludf.DUMMYFUNCTION("""COMPUTED_VALUE"""),"Cô ấy là một luật sư rất giỏi.")</f>
        <v>Cô ấy là một luật sư rất giỏi.</v>
      </c>
      <c r="K746" s="13" t="str">
        <f ca="1">IFERROR(__xludf.DUMMYFUNCTION("""COMPUTED_VALUE"""),"H4_B3_BG14.png")</f>
        <v>H4_B3_BG14.png</v>
      </c>
      <c r="L746" s="13" t="str">
        <f ca="1">IFERROR(__xludf.DUMMYFUNCTION("""COMPUTED_VALUE"""),"B3_14.mp3")</f>
        <v>B3_14.mp3</v>
      </c>
      <c r="M746" s="13" t="str">
        <f ca="1">IFERROR(__xludf.DUMMYFUNCTION("""COMPUTED_VALUE"""),"B3_VD_14.mp3")</f>
        <v>B3_VD_14.mp3</v>
      </c>
    </row>
    <row r="747" spans="1:13">
      <c r="A747" s="13">
        <f ca="1">IFERROR(__xludf.DUMMYFUNCTION("""COMPUTED_VALUE"""),15)</f>
        <v>15</v>
      </c>
      <c r="B747" s="13"/>
      <c r="C747" s="13" t="str">
        <f ca="1">IFERROR(__xludf.DUMMYFUNCTION("""COMPUTED_VALUE"""),"能力")</f>
        <v>能力</v>
      </c>
      <c r="D747" s="13" t="str">
        <f ca="1">IFERROR(__xludf.DUMMYFUNCTION("""COMPUTED_VALUE"""),"&lt;ruby&gt;能力&lt;rt&gt;nénglì&lt;/rt&gt;&lt;/ruby&gt;")</f>
        <v>&lt;ruby&gt;能力&lt;rt&gt;nénglì&lt;/rt&gt;&lt;/ruby&gt;</v>
      </c>
      <c r="E747" s="13" t="str">
        <f ca="1">IFERROR(__xludf.DUMMYFUNCTION("""COMPUTED_VALUE"""),"nénglì")</f>
        <v>nénglì</v>
      </c>
      <c r="F747" s="13" t="str">
        <f ca="1">IFERROR(__xludf.DUMMYFUNCTION("""COMPUTED_VALUE"""),"Danh từ")</f>
        <v>Danh từ</v>
      </c>
      <c r="G747" s="13" t="str">
        <f ca="1">IFERROR(__xludf.DUMMYFUNCTION("""COMPUTED_VALUE"""),"năng lực, khả năng")</f>
        <v>năng lực, khả năng</v>
      </c>
      <c r="H747" s="13" t="str">
        <f ca="1">IFERROR(__xludf.DUMMYFUNCTION("""COMPUTED_VALUE"""),"大家都认可了他的能力。")</f>
        <v>大家都认可了他的能力。</v>
      </c>
      <c r="I747" s="13"/>
      <c r="J747" s="13" t="str">
        <f ca="1">IFERROR(__xludf.DUMMYFUNCTION("""COMPUTED_VALUE"""),"Mọi người đều công nhận năng lực của anh ấy.")</f>
        <v>Mọi người đều công nhận năng lực của anh ấy.</v>
      </c>
      <c r="K747" s="13" t="str">
        <f ca="1">IFERROR(__xludf.DUMMYFUNCTION("""COMPUTED_VALUE"""),"H4_B3_BG15.png")</f>
        <v>H4_B3_BG15.png</v>
      </c>
      <c r="L747" s="13" t="str">
        <f ca="1">IFERROR(__xludf.DUMMYFUNCTION("""COMPUTED_VALUE"""),"B3_15.mp3")</f>
        <v>B3_15.mp3</v>
      </c>
      <c r="M747" s="13" t="str">
        <f ca="1">IFERROR(__xludf.DUMMYFUNCTION("""COMPUTED_VALUE"""),"B3_VD_15.mp3")</f>
        <v>B3_VD_15.mp3</v>
      </c>
    </row>
    <row r="748" spans="1:13">
      <c r="A748" s="13">
        <f ca="1">IFERROR(__xludf.DUMMYFUNCTION("""COMPUTED_VALUE"""),16)</f>
        <v>16</v>
      </c>
      <c r="B748" s="13"/>
      <c r="C748" s="13" t="str">
        <f ca="1">IFERROR(__xludf.DUMMYFUNCTION("""COMPUTED_VALUE"""),"判断")</f>
        <v>判断</v>
      </c>
      <c r="D748" s="13" t="str">
        <f ca="1">IFERROR(__xludf.DUMMYFUNCTION("""COMPUTED_VALUE"""),"&lt;ruby&gt;判断&lt;rt&gt;pànduàn&lt;/rt&gt;&lt;/ruby&gt;")</f>
        <v>&lt;ruby&gt;判断&lt;rt&gt;pànduàn&lt;/rt&gt;&lt;/ruby&gt;</v>
      </c>
      <c r="E748" s="13" t="str">
        <f ca="1">IFERROR(__xludf.DUMMYFUNCTION("""COMPUTED_VALUE"""),"pànduàn")</f>
        <v>pànduàn</v>
      </c>
      <c r="F748" s="13" t="str">
        <f ca="1">IFERROR(__xludf.DUMMYFUNCTION("""COMPUTED_VALUE"""),"Động từ")</f>
        <v>Động từ</v>
      </c>
      <c r="G748" s="13" t="str">
        <f ca="1">IFERROR(__xludf.DUMMYFUNCTION("""COMPUTED_VALUE"""),"nhận xét, đánh giá")</f>
        <v>nhận xét, đánh giá</v>
      </c>
      <c r="H748" s="13" t="str">
        <f ca="1">IFERROR(__xludf.DUMMYFUNCTION("""COMPUTED_VALUE"""),"她很难判断谁对谁错。")</f>
        <v>她很难判断谁对谁错。</v>
      </c>
      <c r="I748" s="13"/>
      <c r="J748" s="13" t="str">
        <f ca="1">IFERROR(__xludf.DUMMYFUNCTION("""COMPUTED_VALUE"""),"Cô ấy rất khó đánh giá ai đúng ai sai.")</f>
        <v>Cô ấy rất khó đánh giá ai đúng ai sai.</v>
      </c>
      <c r="K748" s="13" t="str">
        <f ca="1">IFERROR(__xludf.DUMMYFUNCTION("""COMPUTED_VALUE"""),"H4_B3_BG16.png")</f>
        <v>H4_B3_BG16.png</v>
      </c>
      <c r="L748" s="13" t="str">
        <f ca="1">IFERROR(__xludf.DUMMYFUNCTION("""COMPUTED_VALUE"""),"B3_16.mp3")</f>
        <v>B3_16.mp3</v>
      </c>
      <c r="M748" s="13" t="str">
        <f ca="1">IFERROR(__xludf.DUMMYFUNCTION("""COMPUTED_VALUE"""),"B3_VD_16.mp3")</f>
        <v>B3_VD_16.mp3</v>
      </c>
    </row>
    <row r="749" spans="1:13">
      <c r="A749" s="13">
        <f ca="1">IFERROR(__xludf.DUMMYFUNCTION("""COMPUTED_VALUE"""),17)</f>
        <v>17</v>
      </c>
      <c r="B749" s="13"/>
      <c r="C749" s="13" t="str">
        <f ca="1">IFERROR(__xludf.DUMMYFUNCTION("""COMPUTED_VALUE"""),"其次")</f>
        <v>其次</v>
      </c>
      <c r="D749" s="13" t="str">
        <f ca="1">IFERROR(__xludf.DUMMYFUNCTION("""COMPUTED_VALUE"""),"&lt;ruby&gt;其次&lt;rt&gt;qícì&lt;/rt&gt;&lt;/ruby&gt;")</f>
        <v>&lt;ruby&gt;其次&lt;rt&gt;qícì&lt;/rt&gt;&lt;/ruby&gt;</v>
      </c>
      <c r="E749" s="13" t="str">
        <f ca="1">IFERROR(__xludf.DUMMYFUNCTION("""COMPUTED_VALUE"""),"qícì")</f>
        <v>qícì</v>
      </c>
      <c r="F749" s="13" t="str">
        <f ca="1">IFERROR(__xludf.DUMMYFUNCTION("""COMPUTED_VALUE"""),"Danh từ")</f>
        <v>Danh từ</v>
      </c>
      <c r="G749" s="13" t="str">
        <f ca="1">IFERROR(__xludf.DUMMYFUNCTION("""COMPUTED_VALUE"""),"thứ hai, sau đó")</f>
        <v>thứ hai, sau đó</v>
      </c>
      <c r="H749" s="13" t="str">
        <f ca="1">IFERROR(__xludf.DUMMYFUNCTION("""COMPUTED_VALUE"""),"健康是最重要的，其次是工作。")</f>
        <v>健康是最重要的，其次是工作。</v>
      </c>
      <c r="I749" s="13"/>
      <c r="J749" s="13" t="str">
        <f ca="1">IFERROR(__xludf.DUMMYFUNCTION("""COMPUTED_VALUE"""),"Sức khỏe là quan trọng nhất, sau đó là công việc.")</f>
        <v>Sức khỏe là quan trọng nhất, sau đó là công việc.</v>
      </c>
      <c r="K749" s="13" t="str">
        <f ca="1">IFERROR(__xludf.DUMMYFUNCTION("""COMPUTED_VALUE"""),"H4_B3_BG17.png")</f>
        <v>H4_B3_BG17.png</v>
      </c>
      <c r="L749" s="13" t="str">
        <f ca="1">IFERROR(__xludf.DUMMYFUNCTION("""COMPUTED_VALUE"""),"B3_17.mp3")</f>
        <v>B3_17.mp3</v>
      </c>
      <c r="M749" s="13" t="str">
        <f ca="1">IFERROR(__xludf.DUMMYFUNCTION("""COMPUTED_VALUE"""),"B3_VD_17.mp3")</f>
        <v>B3_VD_17.mp3</v>
      </c>
    </row>
    <row r="750" spans="1:13">
      <c r="A750" s="13">
        <f ca="1">IFERROR(__xludf.DUMMYFUNCTION("""COMPUTED_VALUE"""),18)</f>
        <v>18</v>
      </c>
      <c r="B750" s="13"/>
      <c r="C750" s="13" t="str">
        <f ca="1">IFERROR(__xludf.DUMMYFUNCTION("""COMPUTED_VALUE"""),"收入")</f>
        <v>收入</v>
      </c>
      <c r="D750" s="13" t="str">
        <f ca="1">IFERROR(__xludf.DUMMYFUNCTION("""COMPUTED_VALUE"""),"&lt;ruby&gt;收入&lt;rt&gt;shōurù
&lt;/rt&gt;&lt;/ruby&gt;")</f>
        <v>&lt;ruby&gt;收入&lt;rt&gt;shōurù
&lt;/rt&gt;&lt;/ruby&gt;</v>
      </c>
      <c r="E750" s="13" t="str">
        <f ca="1">IFERROR(__xludf.DUMMYFUNCTION("""COMPUTED_VALUE"""),"shōurù
")</f>
        <v xml:space="preserve">shōurù
</v>
      </c>
      <c r="F750" s="13" t="str">
        <f ca="1">IFERROR(__xludf.DUMMYFUNCTION("""COMPUTED_VALUE"""),"Danh từ")</f>
        <v>Danh từ</v>
      </c>
      <c r="G750" s="13" t="str">
        <f ca="1">IFERROR(__xludf.DUMMYFUNCTION("""COMPUTED_VALUE"""),"thu nhập")</f>
        <v>thu nhập</v>
      </c>
      <c r="H750" s="13" t="str">
        <f ca="1">IFERROR(__xludf.DUMMYFUNCTION("""COMPUTED_VALUE"""),"她每个月的收入都很高。")</f>
        <v>她每个月的收入都很高。</v>
      </c>
      <c r="I750" s="13"/>
      <c r="J750" s="13" t="str">
        <f ca="1">IFERROR(__xludf.DUMMYFUNCTION("""COMPUTED_VALUE"""),"Thu nhập mỗi tháng của cô ấy rất cao.")</f>
        <v>Thu nhập mỗi tháng của cô ấy rất cao.</v>
      </c>
      <c r="K750" s="13" t="str">
        <f ca="1">IFERROR(__xludf.DUMMYFUNCTION("""COMPUTED_VALUE"""),"H4_B3_BG18.png")</f>
        <v>H4_B3_BG18.png</v>
      </c>
      <c r="L750" s="13" t="str">
        <f ca="1">IFERROR(__xludf.DUMMYFUNCTION("""COMPUTED_VALUE"""),"B3_18.mp3")</f>
        <v>B3_18.mp3</v>
      </c>
      <c r="M750" s="13" t="str">
        <f ca="1">IFERROR(__xludf.DUMMYFUNCTION("""COMPUTED_VALUE"""),"B3_VD_18.mp3")</f>
        <v>B3_VD_18.mp3</v>
      </c>
    </row>
    <row r="751" spans="1:13">
      <c r="A751" s="13">
        <f ca="1">IFERROR(__xludf.DUMMYFUNCTION("""COMPUTED_VALUE"""),19)</f>
        <v>19</v>
      </c>
      <c r="B751" s="13"/>
      <c r="C751" s="13" t="str">
        <f ca="1">IFERROR(__xludf.DUMMYFUNCTION("""COMPUTED_VALUE"""),"首先")</f>
        <v>首先</v>
      </c>
      <c r="D751" s="13" t="str">
        <f ca="1">IFERROR(__xludf.DUMMYFUNCTION("""COMPUTED_VALUE"""),"&lt;ruby&gt;首先&lt;rt&gt;shǒuxiân&lt;/rt&gt;&lt;/ruby&gt;")</f>
        <v>&lt;ruby&gt;首先&lt;rt&gt;shǒuxiân&lt;/rt&gt;&lt;/ruby&gt;</v>
      </c>
      <c r="E751" s="13" t="str">
        <f ca="1">IFERROR(__xludf.DUMMYFUNCTION("""COMPUTED_VALUE"""),"shǒuxiân")</f>
        <v>shǒuxiân</v>
      </c>
      <c r="F751" s="13" t="str">
        <f ca="1">IFERROR(__xludf.DUMMYFUNCTION("""COMPUTED_VALUE"""),"Danh từ")</f>
        <v>Danh từ</v>
      </c>
      <c r="G751" s="13" t="str">
        <f ca="1">IFERROR(__xludf.DUMMYFUNCTION("""COMPUTED_VALUE"""),"trước hết, trước tiên")</f>
        <v>trước hết, trước tiên</v>
      </c>
      <c r="H751" s="13" t="str">
        <f ca="1">IFERROR(__xludf.DUMMYFUNCTION("""COMPUTED_VALUE"""),"首先请经理上台讲话，然后请各部门依次领奖。")</f>
        <v>首先请经理上台讲话，然后请各部门依次领奖。</v>
      </c>
      <c r="I751" s="13"/>
      <c r="J751" s="13" t="str">
        <f ca="1">IFERROR(__xludf.DUMMYFUNCTION("""COMPUTED_VALUE"""),"Đầu tiên xin mời giám đốc lên phát biểu, sau đó mời từng bộ phận lên nhận giải.")</f>
        <v>Đầu tiên xin mời giám đốc lên phát biểu, sau đó mời từng bộ phận lên nhận giải.</v>
      </c>
      <c r="K751" s="13" t="str">
        <f ca="1">IFERROR(__xludf.DUMMYFUNCTION("""COMPUTED_VALUE"""),"H4_B3_BG19.png")</f>
        <v>H4_B3_BG19.png</v>
      </c>
      <c r="L751" s="13" t="str">
        <f ca="1">IFERROR(__xludf.DUMMYFUNCTION("""COMPUTED_VALUE"""),"B3_19.mp3")</f>
        <v>B3_19.mp3</v>
      </c>
      <c r="M751" s="13" t="str">
        <f ca="1">IFERROR(__xludf.DUMMYFUNCTION("""COMPUTED_VALUE"""),"B3_VD_19.mp3")</f>
        <v>B3_VD_19.mp3</v>
      </c>
    </row>
    <row r="752" spans="1:13">
      <c r="A752" s="13">
        <f ca="1">IFERROR(__xludf.DUMMYFUNCTION("""COMPUTED_VALUE"""),20)</f>
        <v>20</v>
      </c>
      <c r="B752" s="13"/>
      <c r="C752" s="13" t="str">
        <f ca="1">IFERROR(__xludf.DUMMYFUNCTION("""COMPUTED_VALUE"""),"提供")</f>
        <v>提供</v>
      </c>
      <c r="D752" s="13" t="str">
        <f ca="1">IFERROR(__xludf.DUMMYFUNCTION("""COMPUTED_VALUE"""),"&lt;ruby&gt;提供&lt;rt&gt;tígōng&lt;/rt&gt;&lt;/ruby&gt;")</f>
        <v>&lt;ruby&gt;提供&lt;rt&gt;tígōng&lt;/rt&gt;&lt;/ruby&gt;</v>
      </c>
      <c r="E752" s="13" t="str">
        <f ca="1">IFERROR(__xludf.DUMMYFUNCTION("""COMPUTED_VALUE"""),"tígōng")</f>
        <v>tígōng</v>
      </c>
      <c r="F752" s="13" t="str">
        <f ca="1">IFERROR(__xludf.DUMMYFUNCTION("""COMPUTED_VALUE"""),"Động từ")</f>
        <v>Động từ</v>
      </c>
      <c r="G752" s="13" t="str">
        <f ca="1">IFERROR(__xludf.DUMMYFUNCTION("""COMPUTED_VALUE"""),"cung cấp")</f>
        <v>cung cấp</v>
      </c>
      <c r="H752" s="13" t="str">
        <f ca="1">IFERROR(__xludf.DUMMYFUNCTION("""COMPUTED_VALUE"""),"租房收入为我提供了富足的生活。")</f>
        <v>租房收入为我提供了富足的生活。</v>
      </c>
      <c r="I752" s="13"/>
      <c r="J752" s="13" t="str">
        <f ca="1">IFERROR(__xludf.DUMMYFUNCTION("""COMPUTED_VALUE"""),"Số tiền kiếm được từ việc cho thuê nhà đã cung cấp cho tôi cuộc sống sung túc.")</f>
        <v>Số tiền kiếm được từ việc cho thuê nhà đã cung cấp cho tôi cuộc sống sung túc.</v>
      </c>
      <c r="K752" s="13" t="str">
        <f ca="1">IFERROR(__xludf.DUMMYFUNCTION("""COMPUTED_VALUE"""),"H4_B3_BG20.png")</f>
        <v>H4_B3_BG20.png</v>
      </c>
      <c r="L752" s="13" t="str">
        <f ca="1">IFERROR(__xludf.DUMMYFUNCTION("""COMPUTED_VALUE"""),"B3_20.mp3")</f>
        <v>B3_20.mp3</v>
      </c>
      <c r="M752" s="13" t="str">
        <f ca="1">IFERROR(__xludf.DUMMYFUNCTION("""COMPUTED_VALUE"""),"B3_VD_20.mp3")</f>
        <v>B3_VD_20.mp3</v>
      </c>
    </row>
    <row r="753" spans="1:13">
      <c r="A753" s="13">
        <f ca="1">IFERROR(__xludf.DUMMYFUNCTION("""COMPUTED_VALUE"""),21)</f>
        <v>21</v>
      </c>
      <c r="B753" s="13"/>
      <c r="C753" s="13" t="str">
        <f ca="1">IFERROR(__xludf.DUMMYFUNCTION("""COMPUTED_VALUE"""),"挺")</f>
        <v>挺</v>
      </c>
      <c r="D753" s="13" t="str">
        <f ca="1">IFERROR(__xludf.DUMMYFUNCTION("""COMPUTED_VALUE"""),"&lt;ruby&gt;挺&lt;rt&gt;tǐng&lt;/rt&gt;&lt;/ruby&gt;")</f>
        <v>&lt;ruby&gt;挺&lt;rt&gt;tǐng&lt;/rt&gt;&lt;/ruby&gt;</v>
      </c>
      <c r="E753" s="13" t="str">
        <f ca="1">IFERROR(__xludf.DUMMYFUNCTION("""COMPUTED_VALUE"""),"tǐng")</f>
        <v>tǐng</v>
      </c>
      <c r="F753" s="13" t="str">
        <f ca="1">IFERROR(__xludf.DUMMYFUNCTION("""COMPUTED_VALUE"""),"Phó từ")</f>
        <v>Phó từ</v>
      </c>
      <c r="G753" s="13" t="str">
        <f ca="1">IFERROR(__xludf.DUMMYFUNCTION("""COMPUTED_VALUE"""),"rất")</f>
        <v>rất</v>
      </c>
      <c r="H753" s="13" t="str">
        <f ca="1">IFERROR(__xludf.DUMMYFUNCTION("""COMPUTED_VALUE"""),"我觉得这个建议挺不错的。")</f>
        <v>我觉得这个建议挺不错的。</v>
      </c>
      <c r="I753" s="13"/>
      <c r="J753" s="13" t="str">
        <f ca="1">IFERROR(__xludf.DUMMYFUNCTION("""COMPUTED_VALUE"""),"Tôi thấy ý kiến này rất hay.")</f>
        <v>Tôi thấy ý kiến này rất hay.</v>
      </c>
      <c r="K753" s="13" t="str">
        <f ca="1">IFERROR(__xludf.DUMMYFUNCTION("""COMPUTED_VALUE"""),"H4_B3_BG21.png")</f>
        <v>H4_B3_BG21.png</v>
      </c>
      <c r="L753" s="13" t="str">
        <f ca="1">IFERROR(__xludf.DUMMYFUNCTION("""COMPUTED_VALUE"""),"B3_21.mp3")</f>
        <v>B3_21.mp3</v>
      </c>
      <c r="M753" s="13" t="str">
        <f ca="1">IFERROR(__xludf.DUMMYFUNCTION("""COMPUTED_VALUE"""),"B3_VD_21.mp3")</f>
        <v>B3_VD_21.mp3</v>
      </c>
    </row>
    <row r="754" spans="1:13">
      <c r="A754" s="13">
        <f ca="1">IFERROR(__xludf.DUMMYFUNCTION("""COMPUTED_VALUE"""),22)</f>
        <v>22</v>
      </c>
      <c r="B754" s="13"/>
      <c r="C754" s="13" t="str">
        <f ca="1">IFERROR(__xludf.DUMMYFUNCTION("""COMPUTED_VALUE"""),"通知")</f>
        <v>通知</v>
      </c>
      <c r="D754" s="13" t="str">
        <f ca="1">IFERROR(__xludf.DUMMYFUNCTION("""COMPUTED_VALUE"""),"&lt;ruby&gt;通知&lt;rt&gt;tōngzhī&lt;/rt&gt;&lt;/ruby&gt;")</f>
        <v>&lt;ruby&gt;通知&lt;rt&gt;tōngzhī&lt;/rt&gt;&lt;/ruby&gt;</v>
      </c>
      <c r="E754" s="13" t="str">
        <f ca="1">IFERROR(__xludf.DUMMYFUNCTION("""COMPUTED_VALUE"""),"tōngzhī")</f>
        <v>tōngzhī</v>
      </c>
      <c r="F754" s="13" t="str">
        <f ca="1">IFERROR(__xludf.DUMMYFUNCTION("""COMPUTED_VALUE"""),"Động từ")</f>
        <v>Động từ</v>
      </c>
      <c r="G754" s="13" t="str">
        <f ca="1">IFERROR(__xludf.DUMMYFUNCTION("""COMPUTED_VALUE"""),"báo tin, thông báo")</f>
        <v>báo tin, thông báo</v>
      </c>
      <c r="H754" s="13" t="str">
        <f ca="1">IFERROR(__xludf.DUMMYFUNCTION("""COMPUTED_VALUE"""),"老师通知学生到操场集合。")</f>
        <v>老师通知学生到操场集合。</v>
      </c>
      <c r="I754" s="13"/>
      <c r="J754" s="13" t="str">
        <f ca="1">IFERROR(__xludf.DUMMYFUNCTION("""COMPUTED_VALUE"""),"Cô giáo thông báo cho học sinh tập trung tại sân trường.")</f>
        <v>Cô giáo thông báo cho học sinh tập trung tại sân trường.</v>
      </c>
      <c r="K754" s="13" t="str">
        <f ca="1">IFERROR(__xludf.DUMMYFUNCTION("""COMPUTED_VALUE"""),"H4_B3_BG22.png")</f>
        <v>H4_B3_BG22.png</v>
      </c>
      <c r="L754" s="13" t="str">
        <f ca="1">IFERROR(__xludf.DUMMYFUNCTION("""COMPUTED_VALUE"""),"B3_22.mp3")</f>
        <v>B3_22.mp3</v>
      </c>
      <c r="M754" s="13" t="str">
        <f ca="1">IFERROR(__xludf.DUMMYFUNCTION("""COMPUTED_VALUE"""),"B3_VD_22.mp3")</f>
        <v>B3_VD_22.mp3</v>
      </c>
    </row>
    <row r="755" spans="1:13">
      <c r="A755" s="13">
        <f ca="1">IFERROR(__xludf.DUMMYFUNCTION("""COMPUTED_VALUE"""),23)</f>
        <v>23</v>
      </c>
      <c r="B755" s="13"/>
      <c r="C755" s="13" t="str">
        <f ca="1">IFERROR(__xludf.DUMMYFUNCTION("""COMPUTED_VALUE"""),"信心")</f>
        <v>信心</v>
      </c>
      <c r="D755" s="13" t="str">
        <f ca="1">IFERROR(__xludf.DUMMYFUNCTION("""COMPUTED_VALUE"""),"&lt;ruby&gt;信心&lt;rt&gt;xìnxīn&lt;/rt&gt;&lt;/ruby&gt;")</f>
        <v>&lt;ruby&gt;信心&lt;rt&gt;xìnxīn&lt;/rt&gt;&lt;/ruby&gt;</v>
      </c>
      <c r="E755" s="13" t="str">
        <f ca="1">IFERROR(__xludf.DUMMYFUNCTION("""COMPUTED_VALUE"""),"xìnxīn")</f>
        <v>xìnxīn</v>
      </c>
      <c r="F755" s="13" t="str">
        <f ca="1">IFERROR(__xludf.DUMMYFUNCTION("""COMPUTED_VALUE"""),"Danh từ")</f>
        <v>Danh từ</v>
      </c>
      <c r="G755" s="13" t="str">
        <f ca="1">IFERROR(__xludf.DUMMYFUNCTION("""COMPUTED_VALUE"""),"lòng tin, sự tự tin")</f>
        <v>lòng tin, sự tự tin</v>
      </c>
      <c r="H755" s="13" t="str">
        <f ca="1">IFERROR(__xludf.DUMMYFUNCTION("""COMPUTED_VALUE"""),"我们对自己的能力一直充满信心。")</f>
        <v>我们对自己的能力一直充满信心。</v>
      </c>
      <c r="I755" s="13"/>
      <c r="J755" s="13" t="str">
        <f ca="1">IFERROR(__xludf.DUMMYFUNCTION("""COMPUTED_VALUE"""),"Chúng tôi luôn có tự tin về năng lực của mình.")</f>
        <v>Chúng tôi luôn có tự tin về năng lực của mình.</v>
      </c>
      <c r="K755" s="13" t="str">
        <f ca="1">IFERROR(__xludf.DUMMYFUNCTION("""COMPUTED_VALUE"""),"H4_B3_BG23.png")</f>
        <v>H4_B3_BG23.png</v>
      </c>
      <c r="L755" s="13" t="str">
        <f ca="1">IFERROR(__xludf.DUMMYFUNCTION("""COMPUTED_VALUE"""),"B3_23.mp3")</f>
        <v>B3_23.mp3</v>
      </c>
      <c r="M755" s="13" t="str">
        <f ca="1">IFERROR(__xludf.DUMMYFUNCTION("""COMPUTED_VALUE"""),"B3_VD_23.mp3")</f>
        <v>B3_VD_23.mp3</v>
      </c>
    </row>
    <row r="756" spans="1:13">
      <c r="A756" s="13">
        <f ca="1">IFERROR(__xludf.DUMMYFUNCTION("""COMPUTED_VALUE"""),24)</f>
        <v>24</v>
      </c>
      <c r="B756" s="13"/>
      <c r="C756" s="13" t="str">
        <f ca="1">IFERROR(__xludf.DUMMYFUNCTION("""COMPUTED_VALUE"""),"应聘")</f>
        <v>应聘</v>
      </c>
      <c r="D756" s="13" t="str">
        <f ca="1">IFERROR(__xludf.DUMMYFUNCTION("""COMPUTED_VALUE"""),"&lt;ruby&gt;应聘&lt;rt&gt;Yìngpìn&lt;/rt&gt;&lt;/ruby&gt;")</f>
        <v>&lt;ruby&gt;应聘&lt;rt&gt;Yìngpìn&lt;/rt&gt;&lt;/ruby&gt;</v>
      </c>
      <c r="E756" s="13" t="str">
        <f ca="1">IFERROR(__xludf.DUMMYFUNCTION("""COMPUTED_VALUE"""),"Yìngpìn")</f>
        <v>Yìngpìn</v>
      </c>
      <c r="F756" s="13" t="str">
        <f ca="1">IFERROR(__xludf.DUMMYFUNCTION("""COMPUTED_VALUE"""),"Động từ")</f>
        <v>Động từ</v>
      </c>
      <c r="G756" s="13" t="str">
        <f ca="1">IFERROR(__xludf.DUMMYFUNCTION("""COMPUTED_VALUE"""),"xin việc")</f>
        <v>xin việc</v>
      </c>
      <c r="H756" s="13" t="str">
        <f ca="1">IFERROR(__xludf.DUMMYFUNCTION("""COMPUTED_VALUE"""),"她正在应聘秘书这个职位。")</f>
        <v>她正在应聘秘书这个职位。</v>
      </c>
      <c r="I756" s="13"/>
      <c r="J756" s="13" t="str">
        <f ca="1">IFERROR(__xludf.DUMMYFUNCTION("""COMPUTED_VALUE"""),"Cô ấy đang đi ứng tuyển vị trí thư ký.")</f>
        <v>Cô ấy đang đi ứng tuyển vị trí thư ký.</v>
      </c>
      <c r="K756" s="13" t="str">
        <f ca="1">IFERROR(__xludf.DUMMYFUNCTION("""COMPUTED_VALUE"""),"H4_B3_BG24.png")</f>
        <v>H4_B3_BG24.png</v>
      </c>
      <c r="L756" s="13" t="str">
        <f ca="1">IFERROR(__xludf.DUMMYFUNCTION("""COMPUTED_VALUE"""),"B3_24.mp3")</f>
        <v>B3_24.mp3</v>
      </c>
      <c r="M756" s="13" t="str">
        <f ca="1">IFERROR(__xludf.DUMMYFUNCTION("""COMPUTED_VALUE"""),"B3_VD_24.mp3")</f>
        <v>B3_VD_24.mp3</v>
      </c>
    </row>
    <row r="757" spans="1:13">
      <c r="A757" s="13">
        <f ca="1">IFERROR(__xludf.DUMMYFUNCTION("""COMPUTED_VALUE"""),25)</f>
        <v>25</v>
      </c>
      <c r="B757" s="13"/>
      <c r="C757" s="13" t="str">
        <f ca="1">IFERROR(__xludf.DUMMYFUNCTION("""COMPUTED_VALUE"""),"笔试")</f>
        <v>笔试</v>
      </c>
      <c r="D757" s="13" t="str">
        <f ca="1">IFERROR(__xludf.DUMMYFUNCTION("""COMPUTED_VALUE"""),"&lt;ruby&gt;笔试&lt;rt&gt;Bǐshì&lt;/rt&gt;&lt;/ruby&gt;")</f>
        <v>&lt;ruby&gt;笔试&lt;rt&gt;Bǐshì&lt;/rt&gt;&lt;/ruby&gt;</v>
      </c>
      <c r="E757" s="13" t="str">
        <f ca="1">IFERROR(__xludf.DUMMYFUNCTION("""COMPUTED_VALUE"""),"Bǐshì")</f>
        <v>Bǐshì</v>
      </c>
      <c r="F757" s="13" t="str">
        <f ca="1">IFERROR(__xludf.DUMMYFUNCTION("""COMPUTED_VALUE"""),"Danh từ")</f>
        <v>Danh từ</v>
      </c>
      <c r="G757" s="13" t="str">
        <f ca="1">IFERROR(__xludf.DUMMYFUNCTION("""COMPUTED_VALUE"""),"cuộc thi viết")</f>
        <v>cuộc thi viết</v>
      </c>
      <c r="H757" s="13" t="str">
        <f ca="1">IFERROR(__xludf.DUMMYFUNCTION("""COMPUTED_VALUE"""),"今天的面试还包括了一场笔试。")</f>
        <v>今天的面试还包括了一场笔试。</v>
      </c>
      <c r="I757" s="13"/>
      <c r="J757" s="13" t="str">
        <f ca="1">IFERROR(__xludf.DUMMYFUNCTION("""COMPUTED_VALUE"""),"Cuộc phỏng vấn hôm nay có cả thi viết.")</f>
        <v>Cuộc phỏng vấn hôm nay có cả thi viết.</v>
      </c>
      <c r="K757" s="13" t="str">
        <f ca="1">IFERROR(__xludf.DUMMYFUNCTION("""COMPUTED_VALUE"""),"H4_B3_BG25.png")</f>
        <v>H4_B3_BG25.png</v>
      </c>
      <c r="L757" s="13" t="str">
        <f ca="1">IFERROR(__xludf.DUMMYFUNCTION("""COMPUTED_VALUE"""),"B3_25.mp3")</f>
        <v>B3_25.mp3</v>
      </c>
      <c r="M757" s="13" t="str">
        <f ca="1">IFERROR(__xludf.DUMMYFUNCTION("""COMPUTED_VALUE"""),"B3_VD_25.mp3")</f>
        <v>B3_VD_25.mp3</v>
      </c>
    </row>
    <row r="758" spans="1:13">
      <c r="A758" s="13">
        <f ca="1">IFERROR(__xludf.DUMMYFUNCTION("""COMPUTED_VALUE"""),26)</f>
        <v>26</v>
      </c>
      <c r="B758" s="13"/>
      <c r="C758" s="13" t="str">
        <f ca="1">IFERROR(__xludf.DUMMYFUNCTION("""COMPUTED_VALUE"""),"面试")</f>
        <v>面试</v>
      </c>
      <c r="D758" s="13" t="str">
        <f ca="1">IFERROR(__xludf.DUMMYFUNCTION("""COMPUTED_VALUE"""),"&lt;ruby&gt;面试&lt;rt&gt;miànshi&lt;/rt&gt;&lt;/ruby&gt;")</f>
        <v>&lt;ruby&gt;面试&lt;rt&gt;miànshi&lt;/rt&gt;&lt;/ruby&gt;</v>
      </c>
      <c r="E758" s="13" t="str">
        <f ca="1">IFERROR(__xludf.DUMMYFUNCTION("""COMPUTED_VALUE"""),"miànshi")</f>
        <v>miànshi</v>
      </c>
      <c r="F758" s="13" t="str">
        <f ca="1">IFERROR(__xludf.DUMMYFUNCTION("""COMPUTED_VALUE"""),"Danh từ")</f>
        <v>Danh từ</v>
      </c>
      <c r="G758" s="13" t="str">
        <f ca="1">IFERROR(__xludf.DUMMYFUNCTION("""COMPUTED_VALUE"""),"cuộc phỏng vấn")</f>
        <v>cuộc phỏng vấn</v>
      </c>
      <c r="H758" s="13" t="str">
        <f ca="1">IFERROR(__xludf.DUMMYFUNCTION("""COMPUTED_VALUE"""),"面试进行得很顺利。")</f>
        <v>面试进行得很顺利。</v>
      </c>
      <c r="I758" s="13"/>
      <c r="J758" s="13" t="str">
        <f ca="1">IFERROR(__xludf.DUMMYFUNCTION("""COMPUTED_VALUE"""),"Cuộc phỏng vấn đã diễn ra thuận lợi.")</f>
        <v>Cuộc phỏng vấn đã diễn ra thuận lợi.</v>
      </c>
      <c r="K758" s="13" t="str">
        <f ca="1">IFERROR(__xludf.DUMMYFUNCTION("""COMPUTED_VALUE"""),"H4_B3_BG26.png")</f>
        <v>H4_B3_BG26.png</v>
      </c>
      <c r="L758" s="13" t="str">
        <f ca="1">IFERROR(__xludf.DUMMYFUNCTION("""COMPUTED_VALUE"""),"B3_26.mp3")</f>
        <v>B3_26.mp3</v>
      </c>
      <c r="M758" s="13" t="str">
        <f ca="1">IFERROR(__xludf.DUMMYFUNCTION("""COMPUTED_VALUE"""),"B3_VD_26.mp3")</f>
        <v>B3_VD_26.mp3</v>
      </c>
    </row>
    <row r="759" spans="1:13">
      <c r="A759" s="13">
        <f ca="1">IFERROR(__xludf.DUMMYFUNCTION("""COMPUTED_VALUE"""),27)</f>
        <v>27</v>
      </c>
      <c r="B759" s="13"/>
      <c r="C759" s="13" t="str">
        <f ca="1">IFERROR(__xludf.DUMMYFUNCTION("""COMPUTED_VALUE"""),"招聘")</f>
        <v>招聘</v>
      </c>
      <c r="D759" s="13" t="str">
        <f ca="1">IFERROR(__xludf.DUMMYFUNCTION("""COMPUTED_VALUE"""),"&lt;ruby&gt;招聘&lt;rt&gt;zhāopin&lt;/rt&gt;&lt;/ruby&gt;")</f>
        <v>&lt;ruby&gt;招聘&lt;rt&gt;zhāopin&lt;/rt&gt;&lt;/ruby&gt;</v>
      </c>
      <c r="E759" s="13" t="str">
        <f ca="1">IFERROR(__xludf.DUMMYFUNCTION("""COMPUTED_VALUE"""),"zhāopin")</f>
        <v>zhāopin</v>
      </c>
      <c r="F759" s="13" t="str">
        <f ca="1">IFERROR(__xludf.DUMMYFUNCTION("""COMPUTED_VALUE"""),"Động từ")</f>
        <v>Động từ</v>
      </c>
      <c r="G759" s="13" t="str">
        <f ca="1">IFERROR(__xludf.DUMMYFUNCTION("""COMPUTED_VALUE"""),"tuyển dụng")</f>
        <v>tuyển dụng</v>
      </c>
      <c r="H759" s="13" t="str">
        <f ca="1">IFERROR(__xludf.DUMMYFUNCTION("""COMPUTED_VALUE"""),"我们正在招聘客服人员。")</f>
        <v>我们正在招聘客服人员。</v>
      </c>
      <c r="I759" s="13"/>
      <c r="J759" s="13" t="str">
        <f ca="1">IFERROR(__xludf.DUMMYFUNCTION("""COMPUTED_VALUE"""),"Chúng tôi đang tuyển  nhân viên chăm sóc khách hàng.")</f>
        <v>Chúng tôi đang tuyển  nhân viên chăm sóc khách hàng.</v>
      </c>
      <c r="K759" s="13" t="str">
        <f ca="1">IFERROR(__xludf.DUMMYFUNCTION("""COMPUTED_VALUE"""),"H4_B3_BG27.png")</f>
        <v>H4_B3_BG27.png</v>
      </c>
      <c r="L759" s="13" t="str">
        <f ca="1">IFERROR(__xludf.DUMMYFUNCTION("""COMPUTED_VALUE"""),"B3_27.mp3")</f>
        <v>B3_27.mp3</v>
      </c>
      <c r="M759" s="13" t="str">
        <f ca="1">IFERROR(__xludf.DUMMYFUNCTION("""COMPUTED_VALUE"""),"B3_VD_27.mp3")</f>
        <v>B3_VD_27.mp3</v>
      </c>
    </row>
    <row r="760" spans="1:13">
      <c r="A760" s="13">
        <f ca="1">IFERROR(__xludf.DUMMYFUNCTION("""COMPUTED_VALUE"""),28)</f>
        <v>28</v>
      </c>
      <c r="B760" s="13"/>
      <c r="C760" s="13" t="str">
        <f ca="1">IFERROR(__xludf.DUMMYFUNCTION("""COMPUTED_VALUE"""),"与")</f>
        <v>与</v>
      </c>
      <c r="D760" s="13" t="str">
        <f ca="1">IFERROR(__xludf.DUMMYFUNCTION("""COMPUTED_VALUE"""),"&lt;ruby&gt;与&lt;rt&gt;yǔ&lt;/rt&gt;&lt;/ruby&gt;")</f>
        <v>&lt;ruby&gt;与&lt;rt&gt;yǔ&lt;/rt&gt;&lt;/ruby&gt;</v>
      </c>
      <c r="E760" s="13" t="str">
        <f ca="1">IFERROR(__xludf.DUMMYFUNCTION("""COMPUTED_VALUE"""),"yǔ")</f>
        <v>yǔ</v>
      </c>
      <c r="F760" s="13" t="str">
        <f ca="1">IFERROR(__xludf.DUMMYFUNCTION("""COMPUTED_VALUE"""),"Giới từ")</f>
        <v>Giới từ</v>
      </c>
      <c r="G760" s="13" t="str">
        <f ca="1">IFERROR(__xludf.DUMMYFUNCTION("""COMPUTED_VALUE"""),"với, và")</f>
        <v>với, và</v>
      </c>
      <c r="H760" s="13" t="str">
        <f ca="1">IFERROR(__xludf.DUMMYFUNCTION("""COMPUTED_VALUE"""),"我与朋友一起去公园。")</f>
        <v>我与朋友一起去公园。</v>
      </c>
      <c r="I760" s="13"/>
      <c r="J760" s="13" t="str">
        <f ca="1">IFERROR(__xludf.DUMMYFUNCTION("""COMPUTED_VALUE"""),"Tôi cùng bạn đi công viên.")</f>
        <v>Tôi cùng bạn đi công viên.</v>
      </c>
      <c r="K760" s="13" t="str">
        <f ca="1">IFERROR(__xludf.DUMMYFUNCTION("""COMPUTED_VALUE"""),"H4_B3_BG28.png")</f>
        <v>H4_B3_BG28.png</v>
      </c>
      <c r="L760" s="13" t="str">
        <f ca="1">IFERROR(__xludf.DUMMYFUNCTION("""COMPUTED_VALUE"""),"B3_28.mp3")</f>
        <v>B3_28.mp3</v>
      </c>
      <c r="M760" s="13" t="str">
        <f ca="1">IFERROR(__xludf.DUMMYFUNCTION("""COMPUTED_VALUE"""),"B3_VD_28.mp3")</f>
        <v>B3_VD_28.mp3</v>
      </c>
    </row>
    <row r="761" spans="1:13">
      <c r="A761" s="13">
        <f ca="1">IFERROR(__xludf.DUMMYFUNCTION("""COMPUTED_VALUE"""),29)</f>
        <v>29</v>
      </c>
      <c r="B761" s="13"/>
      <c r="C761" s="13" t="str">
        <f ca="1">IFERROR(__xludf.DUMMYFUNCTION("""COMPUTED_VALUE"""),"约会")</f>
        <v>约会</v>
      </c>
      <c r="D761" s="13" t="str">
        <f ca="1">IFERROR(__xludf.DUMMYFUNCTION("""COMPUTED_VALUE"""),"&lt;ruby&gt;约会&lt;rt&gt;yuēhuì&lt;/rt&gt;&lt;/ruby&gt;")</f>
        <v>&lt;ruby&gt;约会&lt;rt&gt;yuēhuì&lt;/rt&gt;&lt;/ruby&gt;</v>
      </c>
      <c r="E761" s="13" t="str">
        <f ca="1">IFERROR(__xludf.DUMMYFUNCTION("""COMPUTED_VALUE"""),"yuēhuì")</f>
        <v>yuēhuì</v>
      </c>
      <c r="F761" s="13" t="str">
        <f ca="1">IFERROR(__xludf.DUMMYFUNCTION("""COMPUTED_VALUE"""),"Động từ")</f>
        <v>Động từ</v>
      </c>
      <c r="G761" s="13" t="str">
        <f ca="1">IFERROR(__xludf.DUMMYFUNCTION("""COMPUTED_VALUE"""),"hẹn găp, hẹn hò")</f>
        <v>hẹn găp, hẹn hò</v>
      </c>
      <c r="H761" s="13" t="str">
        <f ca="1">IFERROR(__xludf.DUMMYFUNCTION("""COMPUTED_VALUE"""),"周末我会和男朋友去公园约会。")</f>
        <v>周末我会和男朋友去公园约会。</v>
      </c>
      <c r="I761" s="13"/>
      <c r="J761" s="13" t="str">
        <f ca="1">IFERROR(__xludf.DUMMYFUNCTION("""COMPUTED_VALUE"""),"Cuối tuần tôi sẽ đi hẹn hò với bạn trai ở công viên.")</f>
        <v>Cuối tuần tôi sẽ đi hẹn hò với bạn trai ở công viên.</v>
      </c>
      <c r="K761" s="13" t="str">
        <f ca="1">IFERROR(__xludf.DUMMYFUNCTION("""COMPUTED_VALUE"""),"H4_B3_BG29.png")</f>
        <v>H4_B3_BG29.png</v>
      </c>
      <c r="L761" s="13" t="str">
        <f ca="1">IFERROR(__xludf.DUMMYFUNCTION("""COMPUTED_VALUE"""),"B3_29.mp3")</f>
        <v>B3_29.mp3</v>
      </c>
      <c r="M761" s="13" t="str">
        <f ca="1">IFERROR(__xludf.DUMMYFUNCTION("""COMPUTED_VALUE"""),"B3_VD_29.mp3")</f>
        <v>B3_VD_29.mp3</v>
      </c>
    </row>
    <row r="762" spans="1:13">
      <c r="A762" s="13">
        <f ca="1">IFERROR(__xludf.DUMMYFUNCTION("""COMPUTED_VALUE"""),30)</f>
        <v>30</v>
      </c>
      <c r="B762" s="13"/>
      <c r="C762" s="13" t="str">
        <f ca="1">IFERROR(__xludf.DUMMYFUNCTION("""COMPUTED_VALUE"""),"咱们")</f>
        <v>咱们</v>
      </c>
      <c r="D762" s="13" t="str">
        <f ca="1">IFERROR(__xludf.DUMMYFUNCTION("""COMPUTED_VALUE"""),"&lt;ruby&gt;咱们&lt;rt&gt;zánmen&lt;/rt&gt;&lt;/ruby&gt;")</f>
        <v>&lt;ruby&gt;咱们&lt;rt&gt;zánmen&lt;/rt&gt;&lt;/ruby&gt;</v>
      </c>
      <c r="E762" s="13" t="str">
        <f ca="1">IFERROR(__xludf.DUMMYFUNCTION("""COMPUTED_VALUE"""),"zánmen")</f>
        <v>zánmen</v>
      </c>
      <c r="F762" s="13" t="str">
        <f ca="1">IFERROR(__xludf.DUMMYFUNCTION("""COMPUTED_VALUE"""),"Danh từ")</f>
        <v>Danh từ</v>
      </c>
      <c r="G762" s="13" t="str">
        <f ca="1">IFERROR(__xludf.DUMMYFUNCTION("""COMPUTED_VALUE"""),"chúng ta, chúng mình")</f>
        <v>chúng ta, chúng mình</v>
      </c>
      <c r="H762" s="13" t="str">
        <f ca="1">IFERROR(__xludf.DUMMYFUNCTION("""COMPUTED_VALUE"""),"咱们一起去上学吧！")</f>
        <v>咱们一起去上学吧！</v>
      </c>
      <c r="I762" s="13"/>
      <c r="J762" s="13" t="str">
        <f ca="1">IFERROR(__xludf.DUMMYFUNCTION("""COMPUTED_VALUE"""),"Chúng ta cùng đi học thôi!")</f>
        <v>Chúng ta cùng đi học thôi!</v>
      </c>
      <c r="K762" s="13" t="str">
        <f ca="1">IFERROR(__xludf.DUMMYFUNCTION("""COMPUTED_VALUE"""),"H4_B3_BG30.png")</f>
        <v>H4_B3_BG30.png</v>
      </c>
      <c r="L762" s="13" t="str">
        <f ca="1">IFERROR(__xludf.DUMMYFUNCTION("""COMPUTED_VALUE"""),"B3_30.mp3")</f>
        <v>B3_30.mp3</v>
      </c>
      <c r="M762" s="13" t="str">
        <f ca="1">IFERROR(__xludf.DUMMYFUNCTION("""COMPUTED_VALUE"""),"B3_VD_30.mp3")</f>
        <v>B3_VD_30.mp3</v>
      </c>
    </row>
    <row r="763" spans="1:13">
      <c r="A763" s="13">
        <f ca="1">IFERROR(__xludf.DUMMYFUNCTION("""COMPUTED_VALUE"""),31)</f>
        <v>31</v>
      </c>
      <c r="B763" s="13"/>
      <c r="C763" s="13" t="str">
        <f ca="1">IFERROR(__xludf.DUMMYFUNCTION("""COMPUTED_VALUE"""),"正式")</f>
        <v>正式</v>
      </c>
      <c r="D763" s="13" t="str">
        <f ca="1">IFERROR(__xludf.DUMMYFUNCTION("""COMPUTED_VALUE"""),"&lt;ruby&gt;正式&lt;rt&gt;zhèngshì&lt;/rt&gt;&lt;/ruby&gt;")</f>
        <v>&lt;ruby&gt;正式&lt;rt&gt;zhèngshì&lt;/rt&gt;&lt;/ruby&gt;</v>
      </c>
      <c r="E763" s="13" t="str">
        <f ca="1">IFERROR(__xludf.DUMMYFUNCTION("""COMPUTED_VALUE"""),"zhèngshì")</f>
        <v>zhèngshì</v>
      </c>
      <c r="F763" s="13" t="str">
        <f ca="1">IFERROR(__xludf.DUMMYFUNCTION("""COMPUTED_VALUE"""),"Tính từ")</f>
        <v>Tính từ</v>
      </c>
      <c r="G763" s="13" t="str">
        <f ca="1">IFERROR(__xludf.DUMMYFUNCTION("""COMPUTED_VALUE"""),"chính thức, trang trọng")</f>
        <v>chính thức, trang trọng</v>
      </c>
      <c r="H763" s="13" t="str">
        <f ca="1">IFERROR(__xludf.DUMMYFUNCTION("""COMPUTED_VALUE"""),"去参加宴会要穿得正式一点。")</f>
        <v>去参加宴会要穿得正式一点。</v>
      </c>
      <c r="I763" s="13"/>
      <c r="J763" s="13" t="str">
        <f ca="1">IFERROR(__xludf.DUMMYFUNCTION("""COMPUTED_VALUE"""),"Đi dự tiệc phải ăn mặc thật trang trọng.")</f>
        <v>Đi dự tiệc phải ăn mặc thật trang trọng.</v>
      </c>
      <c r="K763" s="13" t="str">
        <f ca="1">IFERROR(__xludf.DUMMYFUNCTION("""COMPUTED_VALUE"""),"H4_B3_BG31.png")</f>
        <v>H4_B3_BG31.png</v>
      </c>
      <c r="L763" s="13" t="str">
        <f ca="1">IFERROR(__xludf.DUMMYFUNCTION("""COMPUTED_VALUE"""),"B3_31.mp3")</f>
        <v>B3_31.mp3</v>
      </c>
      <c r="M763" s="13" t="str">
        <f ca="1">IFERROR(__xludf.DUMMYFUNCTION("""COMPUTED_VALUE"""),"B3_VD_31.mp3")</f>
        <v>B3_VD_31.mp3</v>
      </c>
    </row>
    <row r="764" spans="1:13">
      <c r="A764" s="13">
        <f ca="1">IFERROR(__xludf.DUMMYFUNCTION("""COMPUTED_VALUE"""),32)</f>
        <v>32</v>
      </c>
      <c r="B764" s="13"/>
      <c r="C764" s="13" t="str">
        <f ca="1">IFERROR(__xludf.DUMMYFUNCTION("""COMPUTED_VALUE"""),"专业")</f>
        <v>专业</v>
      </c>
      <c r="D764" s="13" t="str">
        <f ca="1">IFERROR(__xludf.DUMMYFUNCTION("""COMPUTED_VALUE"""),"&lt;ruby&gt;专业&lt;rt&gt;zhuãnyè&lt;/rt&gt;&lt;/ruby&gt;")</f>
        <v>&lt;ruby&gt;专业&lt;rt&gt;zhuãnyè&lt;/rt&gt;&lt;/ruby&gt;</v>
      </c>
      <c r="E764" s="13" t="str">
        <f ca="1">IFERROR(__xludf.DUMMYFUNCTION("""COMPUTED_VALUE"""),"zhuãnyè")</f>
        <v>zhuãnyè</v>
      </c>
      <c r="F764" s="13" t="str">
        <f ca="1">IFERROR(__xludf.DUMMYFUNCTION("""COMPUTED_VALUE"""),"Danh từ")</f>
        <v>Danh từ</v>
      </c>
      <c r="G764" s="13" t="str">
        <f ca="1">IFERROR(__xludf.DUMMYFUNCTION("""COMPUTED_VALUE"""),"chuyên ngành")</f>
        <v>chuyên ngành</v>
      </c>
      <c r="H764" s="13" t="str">
        <f ca="1">IFERROR(__xludf.DUMMYFUNCTION("""COMPUTED_VALUE"""),"他学的是医学专业。")</f>
        <v>他学的是医学专业。</v>
      </c>
      <c r="I764" s="13"/>
      <c r="J764" s="13" t="str">
        <f ca="1">IFERROR(__xludf.DUMMYFUNCTION("""COMPUTED_VALUE"""),"Anh ấy học ngành y.")</f>
        <v>Anh ấy học ngành y.</v>
      </c>
      <c r="K764" s="13" t="str">
        <f ca="1">IFERROR(__xludf.DUMMYFUNCTION("""COMPUTED_VALUE"""),"H4_B3_BG32.png")</f>
        <v>H4_B3_BG32.png</v>
      </c>
      <c r="L764" s="13" t="str">
        <f ca="1">IFERROR(__xludf.DUMMYFUNCTION("""COMPUTED_VALUE"""),"B3_32.mp3")</f>
        <v>B3_32.mp3</v>
      </c>
      <c r="M764" s="13" t="str">
        <f ca="1">IFERROR(__xludf.DUMMYFUNCTION("""COMPUTED_VALUE"""),"B3_VD_32.mp3")</f>
        <v>B3_VD_32.mp3</v>
      </c>
    </row>
    <row r="765" spans="1:13">
      <c r="A765" s="13">
        <f ca="1">IFERROR(__xludf.DUMMYFUNCTION("""COMPUTED_VALUE"""),33)</f>
        <v>33</v>
      </c>
      <c r="B765" s="13"/>
      <c r="C765" s="13" t="str">
        <f ca="1">IFERROR(__xludf.DUMMYFUNCTION("""COMPUTED_VALUE"""),"准时")</f>
        <v>准时</v>
      </c>
      <c r="D765" s="13" t="str">
        <f ca="1">IFERROR(__xludf.DUMMYFUNCTION("""COMPUTED_VALUE"""),"&lt;ruby&gt;准时&lt;rt&gt;zhǔnshí&lt;/rt&gt;&lt;/ruby&gt;")</f>
        <v>&lt;ruby&gt;准时&lt;rt&gt;zhǔnshí&lt;/rt&gt;&lt;/ruby&gt;</v>
      </c>
      <c r="E765" s="13" t="str">
        <f ca="1">IFERROR(__xludf.DUMMYFUNCTION("""COMPUTED_VALUE"""),"zhǔnshí")</f>
        <v>zhǔnshí</v>
      </c>
      <c r="F765" s="13" t="str">
        <f ca="1">IFERROR(__xludf.DUMMYFUNCTION("""COMPUTED_VALUE"""),"Tính từ")</f>
        <v>Tính từ</v>
      </c>
      <c r="G765" s="13" t="str">
        <f ca="1">IFERROR(__xludf.DUMMYFUNCTION("""COMPUTED_VALUE"""),"đúng giờ")</f>
        <v>đúng giờ</v>
      </c>
      <c r="H765" s="13" t="str">
        <f ca="1">IFERROR(__xludf.DUMMYFUNCTION("""COMPUTED_VALUE"""),"你记得准时到哦！")</f>
        <v>你记得准时到哦！</v>
      </c>
      <c r="I765" s="13"/>
      <c r="J765" s="13" t="str">
        <f ca="1">IFERROR(__xludf.DUMMYFUNCTION("""COMPUTED_VALUE"""),"Bạn nhớ đến đúng giờ nhé!")</f>
        <v>Bạn nhớ đến đúng giờ nhé!</v>
      </c>
      <c r="K765" s="13" t="str">
        <f ca="1">IFERROR(__xludf.DUMMYFUNCTION("""COMPUTED_VALUE"""),"H4_B3_BG33.png")</f>
        <v>H4_B3_BG33.png</v>
      </c>
      <c r="L765" s="13" t="str">
        <f ca="1">IFERROR(__xludf.DUMMYFUNCTION("""COMPUTED_VALUE"""),"B3_33.mp3")</f>
        <v>B3_33.mp3</v>
      </c>
      <c r="M765" s="13" t="str">
        <f ca="1">IFERROR(__xludf.DUMMYFUNCTION("""COMPUTED_VALUE"""),"B3_VD_33.mp3")</f>
        <v>B3_VD_33.mp3</v>
      </c>
    </row>
    <row r="766" spans="1:13">
      <c r="A766" s="13">
        <f ca="1">IFERROR(__xludf.DUMMYFUNCTION("""COMPUTED_VALUE"""),34)</f>
        <v>34</v>
      </c>
      <c r="B766" s="13"/>
      <c r="C766" s="13" t="str">
        <f ca="1">IFERROR(__xludf.DUMMYFUNCTION("""COMPUTED_VALUE"""),"体育馆")</f>
        <v>体育馆</v>
      </c>
      <c r="D766" s="13" t="str">
        <f ca="1">IFERROR(__xludf.DUMMYFUNCTION("""COMPUTED_VALUE"""),"&lt;ruby&gt;体育馆&lt;rt&gt;Tǐyùguǎn&lt;/rt&gt;&lt;/ruby&gt;")</f>
        <v>&lt;ruby&gt;体育馆&lt;rt&gt;Tǐyùguǎn&lt;/rt&gt;&lt;/ruby&gt;</v>
      </c>
      <c r="E766" s="13" t="str">
        <f ca="1">IFERROR(__xludf.DUMMYFUNCTION("""COMPUTED_VALUE"""),"Tǐyùguǎn")</f>
        <v>Tǐyùguǎn</v>
      </c>
      <c r="F766" s="13" t="str">
        <f ca="1">IFERROR(__xludf.DUMMYFUNCTION("""COMPUTED_VALUE"""),"Danh từ")</f>
        <v>Danh từ</v>
      </c>
      <c r="G766" s="13" t="str">
        <f ca="1">IFERROR(__xludf.DUMMYFUNCTION("""COMPUTED_VALUE"""),"nhà thi đấu")</f>
        <v>nhà thi đấu</v>
      </c>
      <c r="H766" s="13" t="str">
        <f ca="1">IFERROR(__xludf.DUMMYFUNCTION("""COMPUTED_VALUE"""),"明天我会和朋友一起去体育馆。")</f>
        <v>明天我会和朋友一起去体育馆。</v>
      </c>
      <c r="I766" s="13"/>
      <c r="J766" s="13" t="str">
        <f ca="1">IFERROR(__xludf.DUMMYFUNCTION("""COMPUTED_VALUE"""),"Ngày mai tôi sẽ đến nhà thi đấu với bạn bè.")</f>
        <v>Ngày mai tôi sẽ đến nhà thi đấu với bạn bè.</v>
      </c>
      <c r="K766" s="13" t="str">
        <f ca="1">IFERROR(__xludf.DUMMYFUNCTION("""COMPUTED_VALUE"""),"H4_B3_BG34.png")</f>
        <v>H4_B3_BG34.png</v>
      </c>
      <c r="L766" s="13" t="str">
        <f ca="1">IFERROR(__xludf.DUMMYFUNCTION("""COMPUTED_VALUE"""),"B3_34.mp3")</f>
        <v>B3_34.mp3</v>
      </c>
      <c r="M766" s="13" t="str">
        <f ca="1">IFERROR(__xludf.DUMMYFUNCTION("""COMPUTED_VALUE"""),"B3_VD_34.mp3")</f>
        <v>B3_VD_34.mp3</v>
      </c>
    </row>
    <row r="767" spans="1:13">
      <c r="A767" s="13">
        <f ca="1">IFERROR(__xludf.DUMMYFUNCTION("""COMPUTED_VALUE"""),1)</f>
        <v>1</v>
      </c>
      <c r="B767" s="13"/>
      <c r="C767" s="13" t="str">
        <f ca="1">IFERROR(__xludf.DUMMYFUNCTION("""COMPUTED_VALUE"""),"按时")</f>
        <v>按时</v>
      </c>
      <c r="D767" s="13" t="str">
        <f ca="1">IFERROR(__xludf.DUMMYFUNCTION("""COMPUTED_VALUE"""),"&lt;ruby&gt;按时&lt;rt&gt;ànshí&lt;/rt&gt;&lt;/ruby&gt;")</f>
        <v>&lt;ruby&gt;按时&lt;rt&gt;ànshí&lt;/rt&gt;&lt;/ruby&gt;</v>
      </c>
      <c r="E767" s="13" t="str">
        <f ca="1">IFERROR(__xludf.DUMMYFUNCTION("""COMPUTED_VALUE"""),"ànshí")</f>
        <v>ànshí</v>
      </c>
      <c r="F767" s="13" t="str">
        <f ca="1">IFERROR(__xludf.DUMMYFUNCTION("""COMPUTED_VALUE"""),"Phó từ")</f>
        <v>Phó từ</v>
      </c>
      <c r="G767" s="13" t="str">
        <f ca="1">IFERROR(__xludf.DUMMYFUNCTION("""COMPUTED_VALUE"""),"đúng hạn")</f>
        <v>đúng hạn</v>
      </c>
      <c r="H767" s="13" t="str">
        <f ca="1">IFERROR(__xludf.DUMMYFUNCTION("""COMPUTED_VALUE"""),"他总是按时完成任务。")</f>
        <v>他总是按时完成任务。</v>
      </c>
      <c r="I767" s="13"/>
      <c r="J767" s="13" t="str">
        <f ca="1">IFERROR(__xludf.DUMMYFUNCTION("""COMPUTED_VALUE"""),"Anh ấy luôn hoàn thành nhiệm vụ đúng hạn.")</f>
        <v>Anh ấy luôn hoàn thành nhiệm vụ đúng hạn.</v>
      </c>
      <c r="K767" s="13" t="str">
        <f ca="1">IFERROR(__xludf.DUMMYFUNCTION("""COMPUTED_VALUE"""),"H4_B4_BG1.png")</f>
        <v>H4_B4_BG1.png</v>
      </c>
      <c r="L767" s="13" t="str">
        <f ca="1">IFERROR(__xludf.DUMMYFUNCTION("""COMPUTED_VALUE"""),"B4_1.mp3")</f>
        <v>B4_1.mp3</v>
      </c>
      <c r="M767" s="13" t="str">
        <f ca="1">IFERROR(__xludf.DUMMYFUNCTION("""COMPUTED_VALUE"""),"B4_VD_1.mp3")</f>
        <v>B4_VD_1.mp3</v>
      </c>
    </row>
    <row r="768" spans="1:13">
      <c r="A768" s="13">
        <f ca="1">IFERROR(__xludf.DUMMYFUNCTION("""COMPUTED_VALUE"""),2)</f>
        <v>2</v>
      </c>
      <c r="B768" s="13"/>
      <c r="C768" s="13" t="str">
        <f ca="1">IFERROR(__xludf.DUMMYFUNCTION("""COMPUTED_VALUE"""),"按照")</f>
        <v>按照</v>
      </c>
      <c r="D768" s="13" t="str">
        <f ca="1">IFERROR(__xludf.DUMMYFUNCTION("""COMPUTED_VALUE"""),"&lt;ruby&gt;按照&lt;rt&gt;ànzhào&lt;/rt&gt;&lt;/ruby&gt;")</f>
        <v>&lt;ruby&gt;按照&lt;rt&gt;ànzhào&lt;/rt&gt;&lt;/ruby&gt;</v>
      </c>
      <c r="E768" s="13" t="str">
        <f ca="1">IFERROR(__xludf.DUMMYFUNCTION("""COMPUTED_VALUE"""),"ànzhào")</f>
        <v>ànzhào</v>
      </c>
      <c r="F768" s="13" t="str">
        <f ca="1">IFERROR(__xludf.DUMMYFUNCTION("""COMPUTED_VALUE"""),"Giới từ")</f>
        <v>Giới từ</v>
      </c>
      <c r="G768" s="13" t="str">
        <f ca="1">IFERROR(__xludf.DUMMYFUNCTION("""COMPUTED_VALUE"""),"theo")</f>
        <v>theo</v>
      </c>
      <c r="H768" s="13" t="str">
        <f ca="1">IFERROR(__xludf.DUMMYFUNCTION("""COMPUTED_VALUE"""),"按照计划，我们下周开始新的项目。")</f>
        <v>按照计划，我们下周开始新的项目。</v>
      </c>
      <c r="I768" s="13"/>
      <c r="J768" s="13" t="str">
        <f ca="1">IFERROR(__xludf.DUMMYFUNCTION("""COMPUTED_VALUE"""),"Theo kế hoạch, tuần sau chúng ta sẽ bắt đầu dự án mới.")</f>
        <v>Theo kế hoạch, tuần sau chúng ta sẽ bắt đầu dự án mới.</v>
      </c>
      <c r="K768" s="13" t="str">
        <f ca="1">IFERROR(__xludf.DUMMYFUNCTION("""COMPUTED_VALUE"""),"H4_B4_BG2.png")</f>
        <v>H4_B4_BG2.png</v>
      </c>
      <c r="L768" s="13" t="str">
        <f ca="1">IFERROR(__xludf.DUMMYFUNCTION("""COMPUTED_VALUE"""),"B4_2.mp3")</f>
        <v>B4_2.mp3</v>
      </c>
      <c r="M768" s="13" t="str">
        <f ca="1">IFERROR(__xludf.DUMMYFUNCTION("""COMPUTED_VALUE"""),"B4_VD_2.mp3")</f>
        <v>B4_VD_2.mp3</v>
      </c>
    </row>
    <row r="769" spans="1:13">
      <c r="A769" s="13">
        <f ca="1">IFERROR(__xludf.DUMMYFUNCTION("""COMPUTED_VALUE"""),3)</f>
        <v>3</v>
      </c>
      <c r="B769" s="13"/>
      <c r="C769" s="13" t="str">
        <f ca="1">IFERROR(__xludf.DUMMYFUNCTION("""COMPUTED_VALUE"""),"保证")</f>
        <v>保证</v>
      </c>
      <c r="D769" s="13" t="str">
        <f ca="1">IFERROR(__xludf.DUMMYFUNCTION("""COMPUTED_VALUE"""),"&lt;ruby&gt;保证&lt;rt&gt;băozhèng&lt;/rt&gt;&lt;/ruby&gt;")</f>
        <v>&lt;ruby&gt;保证&lt;rt&gt;băozhèng&lt;/rt&gt;&lt;/ruby&gt;</v>
      </c>
      <c r="E769" s="13" t="str">
        <f ca="1">IFERROR(__xludf.DUMMYFUNCTION("""COMPUTED_VALUE"""),"băozhèng")</f>
        <v>băozhèng</v>
      </c>
      <c r="F769" s="13" t="str">
        <f ca="1">IFERROR(__xludf.DUMMYFUNCTION("""COMPUTED_VALUE"""),"Động từ")</f>
        <v>Động từ</v>
      </c>
      <c r="G769" s="13" t="str">
        <f ca="1">IFERROR(__xludf.DUMMYFUNCTION("""COMPUTED_VALUE"""),"cam đoan, bảo đảm")</f>
        <v>cam đoan, bảo đảm</v>
      </c>
      <c r="H769" s="13" t="str">
        <f ca="1">IFERROR(__xludf.DUMMYFUNCTION("""COMPUTED_VALUE"""),"一名士兵大声喊道：“我保证完成任务！”")</f>
        <v>一名士兵大声喊道：“我保证完成任务！”</v>
      </c>
      <c r="I769" s="13"/>
      <c r="J769" s="13" t="str">
        <f ca="1">IFERROR(__xludf.DUMMYFUNCTION("""COMPUTED_VALUE"""),"Người lính hô lớn: ""Tôi đảm bảo hoàn thành nhiệm vụ!""")</f>
        <v>Người lính hô lớn: "Tôi đảm bảo hoàn thành nhiệm vụ!"</v>
      </c>
      <c r="K769" s="13" t="str">
        <f ca="1">IFERROR(__xludf.DUMMYFUNCTION("""COMPUTED_VALUE"""),"H4_B4_BG3.png")</f>
        <v>H4_B4_BG3.png</v>
      </c>
      <c r="L769" s="13" t="str">
        <f ca="1">IFERROR(__xludf.DUMMYFUNCTION("""COMPUTED_VALUE"""),"B4_3.mp3")</f>
        <v>B4_3.mp3</v>
      </c>
      <c r="M769" s="13" t="str">
        <f ca="1">IFERROR(__xludf.DUMMYFUNCTION("""COMPUTED_VALUE"""),"B4_VD_3.mp3")</f>
        <v>B4_VD_3.mp3</v>
      </c>
    </row>
    <row r="770" spans="1:13">
      <c r="A770" s="13">
        <f ca="1">IFERROR(__xludf.DUMMYFUNCTION("""COMPUTED_VALUE"""),4)</f>
        <v>4</v>
      </c>
      <c r="B770" s="13"/>
      <c r="C770" s="13" t="str">
        <f ca="1">IFERROR(__xludf.DUMMYFUNCTION("""COMPUTED_VALUE"""),"不得不")</f>
        <v>不得不</v>
      </c>
      <c r="D770" s="13" t="str">
        <f ca="1">IFERROR(__xludf.DUMMYFUNCTION("""COMPUTED_VALUE"""),"&lt;ruby&gt;不得不&lt;rt&gt;bù dé bú&lt;/rt&gt;&lt;/ruby&gt;")</f>
        <v>&lt;ruby&gt;不得不&lt;rt&gt;bù dé bú&lt;/rt&gt;&lt;/ruby&gt;</v>
      </c>
      <c r="E770" s="13" t="str">
        <f ca="1">IFERROR(__xludf.DUMMYFUNCTION("""COMPUTED_VALUE"""),"bù dé bú")</f>
        <v>bù dé bú</v>
      </c>
      <c r="F770" s="13"/>
      <c r="G770" s="13" t="str">
        <f ca="1">IFERROR(__xludf.DUMMYFUNCTION("""COMPUTED_VALUE"""),"phải, không thể không")</f>
        <v>phải, không thể không</v>
      </c>
      <c r="H770" s="13" t="str">
        <f ca="1">IFERROR(__xludf.DUMMYFUNCTION("""COMPUTED_VALUE"""),"前面的路塌方了，我们不得不返回。")</f>
        <v>前面的路塌方了，我们不得不返回。</v>
      </c>
      <c r="I770" s="13"/>
      <c r="J770" s="13" t="str">
        <f ca="1">IFERROR(__xludf.DUMMYFUNCTION("""COMPUTED_VALUE"""),"Đoạn đường phía trước bị sạt lở, chúng tôi buộc phải quay về.")</f>
        <v>Đoạn đường phía trước bị sạt lở, chúng tôi buộc phải quay về.</v>
      </c>
      <c r="K770" s="13" t="str">
        <f ca="1">IFERROR(__xludf.DUMMYFUNCTION("""COMPUTED_VALUE"""),"H4_B4_BG4.png")</f>
        <v>H4_B4_BG4.png</v>
      </c>
      <c r="L770" s="13" t="str">
        <f ca="1">IFERROR(__xludf.DUMMYFUNCTION("""COMPUTED_VALUE"""),"B4_4.mp3")</f>
        <v>B4_4.mp3</v>
      </c>
      <c r="M770" s="13" t="str">
        <f ca="1">IFERROR(__xludf.DUMMYFUNCTION("""COMPUTED_VALUE"""),"B4_VD_4.mp3")</f>
        <v>B4_VD_4.mp3</v>
      </c>
    </row>
    <row r="771" spans="1:13">
      <c r="A771" s="13">
        <f ca="1">IFERROR(__xludf.DUMMYFUNCTION("""COMPUTED_VALUE"""),5)</f>
        <v>5</v>
      </c>
      <c r="B771" s="13"/>
      <c r="C771" s="13" t="str">
        <f ca="1">IFERROR(__xludf.DUMMYFUNCTION("""COMPUTED_VALUE"""),"成功")</f>
        <v>成功</v>
      </c>
      <c r="D771" s="13" t="str">
        <f ca="1">IFERROR(__xludf.DUMMYFUNCTION("""COMPUTED_VALUE"""),"&lt;ruby&gt;成功&lt;rt&gt;chénggōng&lt;/rt&gt;&lt;/ruby&gt;")</f>
        <v>&lt;ruby&gt;成功&lt;rt&gt;chénggōng&lt;/rt&gt;&lt;/ruby&gt;</v>
      </c>
      <c r="E771" s="13" t="str">
        <f ca="1">IFERROR(__xludf.DUMMYFUNCTION("""COMPUTED_VALUE"""),"chénggōng")</f>
        <v>chénggōng</v>
      </c>
      <c r="F771" s="13" t="str">
        <f ca="1">IFERROR(__xludf.DUMMYFUNCTION("""COMPUTED_VALUE"""),"Tính từ")</f>
        <v>Tính từ</v>
      </c>
      <c r="G771" s="13" t="str">
        <f ca="1">IFERROR(__xludf.DUMMYFUNCTION("""COMPUTED_VALUE"""),"thành công")</f>
        <v>thành công</v>
      </c>
      <c r="H771" s="13" t="str">
        <f ca="1">IFERROR(__xludf.DUMMYFUNCTION("""COMPUTED_VALUE"""),"只要坚持努力，我们一定能取得成功。")</f>
        <v>只要坚持努力，我们一定能取得成功。</v>
      </c>
      <c r="I771" s="13"/>
      <c r="J771" s="13" t="str">
        <f ca="1">IFERROR(__xludf.DUMMYFUNCTION("""COMPUTED_VALUE"""),"Chỉ cần kiên trì nỗ lực, chúng ta nhất định sẽ đạt được thành công.")</f>
        <v>Chỉ cần kiên trì nỗ lực, chúng ta nhất định sẽ đạt được thành công.</v>
      </c>
      <c r="K771" s="13" t="str">
        <f ca="1">IFERROR(__xludf.DUMMYFUNCTION("""COMPUTED_VALUE"""),"H4_B4_BG5.png")</f>
        <v>H4_B4_BG5.png</v>
      </c>
      <c r="L771" s="13" t="str">
        <f ca="1">IFERROR(__xludf.DUMMYFUNCTION("""COMPUTED_VALUE"""),"B4_5.mp3")</f>
        <v>B4_5.mp3</v>
      </c>
      <c r="M771" s="13" t="str">
        <f ca="1">IFERROR(__xludf.DUMMYFUNCTION("""COMPUTED_VALUE"""),"B4_VD_5.mp3")</f>
        <v>B4_VD_5.mp3</v>
      </c>
    </row>
    <row r="772" spans="1:13">
      <c r="A772" s="13">
        <f ca="1">IFERROR(__xludf.DUMMYFUNCTION("""COMPUTED_VALUE"""),6)</f>
        <v>6</v>
      </c>
      <c r="B772" s="13"/>
      <c r="C772" s="13" t="str">
        <f ca="1">IFERROR(__xludf.DUMMYFUNCTION("""COMPUTED_VALUE"""),"调查")</f>
        <v>调查</v>
      </c>
      <c r="D772" s="13" t="str">
        <f ca="1">IFERROR(__xludf.DUMMYFUNCTION("""COMPUTED_VALUE"""),"&lt;ruby&gt;调查&lt;rt&gt;diàochá&lt;/rt&gt;&lt;/ruby&gt;")</f>
        <v>&lt;ruby&gt;调查&lt;rt&gt;diàochá&lt;/rt&gt;&lt;/ruby&gt;</v>
      </c>
      <c r="E772" s="13" t="str">
        <f ca="1">IFERROR(__xludf.DUMMYFUNCTION("""COMPUTED_VALUE"""),"diàochá")</f>
        <v>diàochá</v>
      </c>
      <c r="F772" s="13" t="str">
        <f ca="1">IFERROR(__xludf.DUMMYFUNCTION("""COMPUTED_VALUE"""),"Động từ")</f>
        <v>Động từ</v>
      </c>
      <c r="G772" s="13" t="str">
        <f ca="1">IFERROR(__xludf.DUMMYFUNCTION("""COMPUTED_VALUE"""),"điều tra, khảo sát")</f>
        <v>điều tra, khảo sát</v>
      </c>
      <c r="H772" s="13" t="str">
        <f ca="1">IFERROR(__xludf.DUMMYFUNCTION("""COMPUTED_VALUE"""),"警察正在调查一起案件。")</f>
        <v>警察正在调查一起案件。</v>
      </c>
      <c r="I772" s="13"/>
      <c r="J772" s="13" t="str">
        <f ca="1">IFERROR(__xludf.DUMMYFUNCTION("""COMPUTED_VALUE"""),"Cảnh sát đang điều tra một vụ án.")</f>
        <v>Cảnh sát đang điều tra một vụ án.</v>
      </c>
      <c r="K772" s="13" t="str">
        <f ca="1">IFERROR(__xludf.DUMMYFUNCTION("""COMPUTED_VALUE"""),"H4_B4_BG6.png")</f>
        <v>H4_B4_BG6.png</v>
      </c>
      <c r="L772" s="13" t="str">
        <f ca="1">IFERROR(__xludf.DUMMYFUNCTION("""COMPUTED_VALUE"""),"B4_6.mp3")</f>
        <v>B4_6.mp3</v>
      </c>
      <c r="M772" s="13" t="str">
        <f ca="1">IFERROR(__xludf.DUMMYFUNCTION("""COMPUTED_VALUE"""),"B4_VD_6.mp3")</f>
        <v>B4_VD_6.mp3</v>
      </c>
    </row>
    <row r="773" spans="1:13">
      <c r="A773" s="13">
        <f ca="1">IFERROR(__xludf.DUMMYFUNCTION("""COMPUTED_VALUE"""),7)</f>
        <v>7</v>
      </c>
      <c r="B773" s="13"/>
      <c r="C773" s="13" t="str">
        <f ca="1">IFERROR(__xludf.DUMMYFUNCTION("""COMPUTED_VALUE"""),"方法")</f>
        <v>方法</v>
      </c>
      <c r="D773" s="13" t="str">
        <f ca="1">IFERROR(__xludf.DUMMYFUNCTION("""COMPUTED_VALUE"""),"&lt;ruby&gt;方法&lt;rt&gt;fāngfă&lt;/rt&gt;&lt;/ruby&gt;")</f>
        <v>&lt;ruby&gt;方法&lt;rt&gt;fāngfă&lt;/rt&gt;&lt;/ruby&gt;</v>
      </c>
      <c r="E773" s="13" t="str">
        <f ca="1">IFERROR(__xludf.DUMMYFUNCTION("""COMPUTED_VALUE"""),"fāngfă")</f>
        <v>fāngfă</v>
      </c>
      <c r="F773" s="13" t="str">
        <f ca="1">IFERROR(__xludf.DUMMYFUNCTION("""COMPUTED_VALUE"""),"Danh từ")</f>
        <v>Danh từ</v>
      </c>
      <c r="G773" s="13" t="str">
        <f ca="1">IFERROR(__xludf.DUMMYFUNCTION("""COMPUTED_VALUE"""),"phương pháp, cách thức")</f>
        <v>phương pháp, cách thức</v>
      </c>
      <c r="H773" s="13" t="str">
        <f ca="1">IFERROR(__xludf.DUMMYFUNCTION("""COMPUTED_VALUE"""),"因为有了有效的工作方法，他的工作非常顺利。")</f>
        <v>因为有了有效的工作方法，他的工作非常顺利。</v>
      </c>
      <c r="I773" s="13"/>
      <c r="J773" s="13" t="str">
        <f ca="1">IFERROR(__xludf.DUMMYFUNCTION("""COMPUTED_VALUE"""),"Vì có phương pháp làm việc hiệu quả nên công việc của anh ấy rất thuận lợi.")</f>
        <v>Vì có phương pháp làm việc hiệu quả nên công việc của anh ấy rất thuận lợi.</v>
      </c>
      <c r="K773" s="13" t="str">
        <f ca="1">IFERROR(__xludf.DUMMYFUNCTION("""COMPUTED_VALUE"""),"H4_B4_BG7.png")</f>
        <v>H4_B4_BG7.png</v>
      </c>
      <c r="L773" s="13" t="str">
        <f ca="1">IFERROR(__xludf.DUMMYFUNCTION("""COMPUTED_VALUE"""),"B4_7.mp3")</f>
        <v>B4_7.mp3</v>
      </c>
      <c r="M773" s="13" t="str">
        <f ca="1">IFERROR(__xludf.DUMMYFUNCTION("""COMPUTED_VALUE"""),"B4_VD_7.mp3")</f>
        <v>B4_VD_7.mp3</v>
      </c>
    </row>
    <row r="774" spans="1:13">
      <c r="A774" s="13">
        <f ca="1">IFERROR(__xludf.DUMMYFUNCTION("""COMPUTED_VALUE"""),8)</f>
        <v>8</v>
      </c>
      <c r="B774" s="13"/>
      <c r="C774" s="13" t="str">
        <f ca="1">IFERROR(__xludf.DUMMYFUNCTION("""COMPUTED_VALUE"""),"份")</f>
        <v>份</v>
      </c>
      <c r="D774" s="13" t="str">
        <f ca="1">IFERROR(__xludf.DUMMYFUNCTION("""COMPUTED_VALUE"""),"&lt;ruby&gt;份&lt;rt&gt;fèn&lt;/rt&gt;&lt;/ruby&gt;")</f>
        <v>&lt;ruby&gt;份&lt;rt&gt;fèn&lt;/rt&gt;&lt;/ruby&gt;</v>
      </c>
      <c r="E774" s="13" t="str">
        <f ca="1">IFERROR(__xludf.DUMMYFUNCTION("""COMPUTED_VALUE"""),"fèn")</f>
        <v>fèn</v>
      </c>
      <c r="F774" s="13" t="str">
        <f ca="1">IFERROR(__xludf.DUMMYFUNCTION("""COMPUTED_VALUE"""),"lượg.")</f>
        <v>lượg.</v>
      </c>
      <c r="G774" s="13" t="str">
        <f ca="1">IFERROR(__xludf.DUMMYFUNCTION("""COMPUTED_VALUE"""),"(được dùng cho công việc, báo chí...) tờ, bản")</f>
        <v>(được dùng cho công việc, báo chí...) tờ, bản</v>
      </c>
      <c r="H774" s="13" t="str">
        <f ca="1">IFERROR(__xludf.DUMMYFUNCTION("""COMPUTED_VALUE"""),"他昨天提交了一份详细的计划书。")</f>
        <v>他昨天提交了一份详细的计划书。</v>
      </c>
      <c r="I774" s="13"/>
      <c r="J774" s="13" t="str">
        <f ca="1">IFERROR(__xludf.DUMMYFUNCTION("""COMPUTED_VALUE"""),"Hôm qua anh ấy đã nộp một bản kế hoạch chi tiết.")</f>
        <v>Hôm qua anh ấy đã nộp một bản kế hoạch chi tiết.</v>
      </c>
      <c r="K774" s="13" t="str">
        <f ca="1">IFERROR(__xludf.DUMMYFUNCTION("""COMPUTED_VALUE"""),"H4_B4_BG8.png")</f>
        <v>H4_B4_BG8.png</v>
      </c>
      <c r="L774" s="13" t="str">
        <f ca="1">IFERROR(__xludf.DUMMYFUNCTION("""COMPUTED_VALUE"""),"B4_8.mp3")</f>
        <v>B4_8.mp3</v>
      </c>
      <c r="M774" s="13" t="str">
        <f ca="1">IFERROR(__xludf.DUMMYFUNCTION("""COMPUTED_VALUE"""),"B4_VD_8.mp3")</f>
        <v>B4_VD_8.mp3</v>
      </c>
    </row>
    <row r="775" spans="1:13">
      <c r="A775" s="13">
        <f ca="1">IFERROR(__xludf.DUMMYFUNCTION("""COMPUTED_VALUE"""),9)</f>
        <v>9</v>
      </c>
      <c r="B775" s="13"/>
      <c r="C775" s="13" t="str">
        <f ca="1">IFERROR(__xludf.DUMMYFUNCTION("""COMPUTED_VALUE"""),"感谢")</f>
        <v>感谢</v>
      </c>
      <c r="D775" s="13" t="str">
        <f ca="1">IFERROR(__xludf.DUMMYFUNCTION("""COMPUTED_VALUE"""),"&lt;ruby&gt;感谢&lt;rt&gt;gǎnxiè&lt;/rt&gt;&lt;/ruby&gt;")</f>
        <v>&lt;ruby&gt;感谢&lt;rt&gt;gǎnxiè&lt;/rt&gt;&lt;/ruby&gt;</v>
      </c>
      <c r="E775" s="13" t="str">
        <f ca="1">IFERROR(__xludf.DUMMYFUNCTION("""COMPUTED_VALUE"""),"gǎnxiè")</f>
        <v>gǎnxiè</v>
      </c>
      <c r="F775" s="13" t="str">
        <f ca="1">IFERROR(__xludf.DUMMYFUNCTION("""COMPUTED_VALUE"""),"Động từ")</f>
        <v>Động từ</v>
      </c>
      <c r="G775" s="13" t="str">
        <f ca="1">IFERROR(__xludf.DUMMYFUNCTION("""COMPUTED_VALUE"""),"cảm ơn")</f>
        <v>cảm ơn</v>
      </c>
      <c r="H775" s="13" t="str">
        <f ca="1">IFERROR(__xludf.DUMMYFUNCTION("""COMPUTED_VALUE"""),"我非常感谢你对我的帮助！")</f>
        <v>我非常感谢你对我的帮助！</v>
      </c>
      <c r="I775" s="13"/>
      <c r="J775" s="13" t="str">
        <f ca="1">IFERROR(__xludf.DUMMYFUNCTION("""COMPUTED_VALUE"""),"Tôi rất cảm ơn bạn vì đã giúp đỡ tôi!")</f>
        <v>Tôi rất cảm ơn bạn vì đã giúp đỡ tôi!</v>
      </c>
      <c r="K775" s="13" t="str">
        <f ca="1">IFERROR(__xludf.DUMMYFUNCTION("""COMPUTED_VALUE"""),"H4_B4_BG9.png")</f>
        <v>H4_B4_BG9.png</v>
      </c>
      <c r="L775" s="13" t="str">
        <f ca="1">IFERROR(__xludf.DUMMYFUNCTION("""COMPUTED_VALUE"""),"B4_9.mp3")</f>
        <v>B4_9.mp3</v>
      </c>
      <c r="M775" s="13" t="str">
        <f ca="1">IFERROR(__xludf.DUMMYFUNCTION("""COMPUTED_VALUE"""),"B4_VD_9.mp3")</f>
        <v>B4_VD_9.mp3</v>
      </c>
    </row>
    <row r="776" spans="1:13">
      <c r="A776" s="13">
        <f ca="1">IFERROR(__xludf.DUMMYFUNCTION("""COMPUTED_VALUE"""),10)</f>
        <v>10</v>
      </c>
      <c r="B776" s="13"/>
      <c r="C776" s="13" t="str">
        <f ca="1">IFERROR(__xludf.DUMMYFUNCTION("""COMPUTED_VALUE"""),"工资")</f>
        <v>工资</v>
      </c>
      <c r="D776" s="13" t="str">
        <f ca="1">IFERROR(__xludf.DUMMYFUNCTION("""COMPUTED_VALUE"""),"&lt;ruby&gt;工资&lt;rt&gt;gōngzī&lt;/rt&gt;&lt;/ruby&gt;")</f>
        <v>&lt;ruby&gt;工资&lt;rt&gt;gōngzī&lt;/rt&gt;&lt;/ruby&gt;</v>
      </c>
      <c r="E776" s="13" t="str">
        <f ca="1">IFERROR(__xludf.DUMMYFUNCTION("""COMPUTED_VALUE"""),"gōngzī")</f>
        <v>gōngzī</v>
      </c>
      <c r="F776" s="13" t="str">
        <f ca="1">IFERROR(__xludf.DUMMYFUNCTION("""COMPUTED_VALUE"""),"Danh từ")</f>
        <v>Danh từ</v>
      </c>
      <c r="G776" s="13" t="str">
        <f ca="1">IFERROR(__xludf.DUMMYFUNCTION("""COMPUTED_VALUE"""),"tiền lương")</f>
        <v>tiền lương</v>
      </c>
      <c r="H776" s="13" t="str">
        <f ca="1">IFERROR(__xludf.DUMMYFUNCTION("""COMPUTED_VALUE"""),"今天她刚刚领到了第一份工资。")</f>
        <v>今天她刚刚领到了第一份工资。</v>
      </c>
      <c r="I776" s="13"/>
      <c r="J776" s="13" t="str">
        <f ca="1">IFERROR(__xludf.DUMMYFUNCTION("""COMPUTED_VALUE"""),"Hôm nay cô ấy vừa được nhận lương tháng đầu tiên.")</f>
        <v>Hôm nay cô ấy vừa được nhận lương tháng đầu tiên.</v>
      </c>
      <c r="K776" s="13" t="str">
        <f ca="1">IFERROR(__xludf.DUMMYFUNCTION("""COMPUTED_VALUE"""),"H4_B4_BG10.png")</f>
        <v>H4_B4_BG10.png</v>
      </c>
      <c r="L776" s="13" t="str">
        <f ca="1">IFERROR(__xludf.DUMMYFUNCTION("""COMPUTED_VALUE"""),"B4_10.mp3")</f>
        <v>B4_10.mp3</v>
      </c>
      <c r="M776" s="13" t="str">
        <f ca="1">IFERROR(__xludf.DUMMYFUNCTION("""COMPUTED_VALUE"""),"B4_VD_10.mp3")</f>
        <v>B4_VD_10.mp3</v>
      </c>
    </row>
    <row r="777" spans="1:13">
      <c r="A777" s="13">
        <f ca="1">IFERROR(__xludf.DUMMYFUNCTION("""COMPUTED_VALUE"""),11)</f>
        <v>11</v>
      </c>
      <c r="B777" s="13"/>
      <c r="C777" s="13" t="str">
        <f ca="1">IFERROR(__xludf.DUMMYFUNCTION("""COMPUTED_VALUE"""),"积累")</f>
        <v>积累</v>
      </c>
      <c r="D777" s="13" t="str">
        <f ca="1">IFERROR(__xludf.DUMMYFUNCTION("""COMPUTED_VALUE"""),"&lt;ruby&gt;积累&lt;rt&gt;jīlěi&lt;/rt&gt;&lt;/ruby&gt;")</f>
        <v>&lt;ruby&gt;积累&lt;rt&gt;jīlěi&lt;/rt&gt;&lt;/ruby&gt;</v>
      </c>
      <c r="E777" s="13" t="str">
        <f ca="1">IFERROR(__xludf.DUMMYFUNCTION("""COMPUTED_VALUE"""),"jīlěi")</f>
        <v>jīlěi</v>
      </c>
      <c r="F777" s="13" t="str">
        <f ca="1">IFERROR(__xludf.DUMMYFUNCTION("""COMPUTED_VALUE"""),"Động từ")</f>
        <v>Động từ</v>
      </c>
      <c r="G777" s="13" t="str">
        <f ca="1">IFERROR(__xludf.DUMMYFUNCTION("""COMPUTED_VALUE"""),"tích lũy")</f>
        <v>tích lũy</v>
      </c>
      <c r="H777" s="13" t="str">
        <f ca="1">IFERROR(__xludf.DUMMYFUNCTION("""COMPUTED_VALUE"""),"他通过阅读积累了新的知识。")</f>
        <v>他通过阅读积累了新的知识。</v>
      </c>
      <c r="I777" s="13"/>
      <c r="J777" s="13" t="str">
        <f ca="1">IFERROR(__xludf.DUMMYFUNCTION("""COMPUTED_VALUE"""),"Anh ấy đã tích lũy được kiến thức mới qua việc đọc sách.")</f>
        <v>Anh ấy đã tích lũy được kiến thức mới qua việc đọc sách.</v>
      </c>
      <c r="K777" s="13" t="str">
        <f ca="1">IFERROR(__xludf.DUMMYFUNCTION("""COMPUTED_VALUE"""),"H4_B4_BG11.png")</f>
        <v>H4_B4_BG11.png</v>
      </c>
      <c r="L777" s="13" t="str">
        <f ca="1">IFERROR(__xludf.DUMMYFUNCTION("""COMPUTED_VALUE"""),"B4_11.mp3")</f>
        <v>B4_11.mp3</v>
      </c>
      <c r="M777" s="13" t="str">
        <f ca="1">IFERROR(__xludf.DUMMYFUNCTION("""COMPUTED_VALUE"""),"B4_VD_11.mp3")</f>
        <v>B4_VD_11.mp3</v>
      </c>
    </row>
    <row r="778" spans="1:13">
      <c r="A778" s="13">
        <f ca="1">IFERROR(__xludf.DUMMYFUNCTION("""COMPUTED_VALUE"""),12)</f>
        <v>12</v>
      </c>
      <c r="B778" s="13"/>
      <c r="C778" s="13" t="str">
        <f ca="1">IFERROR(__xludf.DUMMYFUNCTION("""COMPUTED_VALUE"""),"计划")</f>
        <v>计划</v>
      </c>
      <c r="D778" s="13" t="str">
        <f ca="1">IFERROR(__xludf.DUMMYFUNCTION("""COMPUTED_VALUE"""),"&lt;ruby&gt;计划&lt;rt&gt;Jìhuà&lt;/rt&gt;&lt;/ruby&gt;")</f>
        <v>&lt;ruby&gt;计划&lt;rt&gt;Jìhuà&lt;/rt&gt;&lt;/ruby&gt;</v>
      </c>
      <c r="E778" s="13" t="str">
        <f ca="1">IFERROR(__xludf.DUMMYFUNCTION("""COMPUTED_VALUE"""),"Jìhuà")</f>
        <v>Jìhuà</v>
      </c>
      <c r="F778" s="13" t="str">
        <f ca="1">IFERROR(__xludf.DUMMYFUNCTION("""COMPUTED_VALUE"""),"Danh từ /Động từ")</f>
        <v>Danh từ /Động từ</v>
      </c>
      <c r="G778" s="13" t="str">
        <f ca="1">IFERROR(__xludf.DUMMYFUNCTION("""COMPUTED_VALUE"""),"kế hoạch; vạch kế hoạch")</f>
        <v>kế hoạch; vạch kế hoạch</v>
      </c>
      <c r="H778" s="13" t="str">
        <f ca="1">IFERROR(__xludf.DUMMYFUNCTION("""COMPUTED_VALUE"""),"我们需要制定详细的销售计划。")</f>
        <v>我们需要制定详细的销售计划。</v>
      </c>
      <c r="I778" s="13"/>
      <c r="J778" s="13" t="str">
        <f ca="1">IFERROR(__xludf.DUMMYFUNCTION("""COMPUTED_VALUE"""),"Chúng ta cần lập kế hoạch bán hàng chi tiết.")</f>
        <v>Chúng ta cần lập kế hoạch bán hàng chi tiết.</v>
      </c>
      <c r="K778" s="13" t="str">
        <f ca="1">IFERROR(__xludf.DUMMYFUNCTION("""COMPUTED_VALUE"""),"H4_B4_BG12.png")</f>
        <v>H4_B4_BG12.png</v>
      </c>
      <c r="L778" s="13" t="str">
        <f ca="1">IFERROR(__xludf.DUMMYFUNCTION("""COMPUTED_VALUE"""),"B4_12.mp3")</f>
        <v>B4_12.mp3</v>
      </c>
      <c r="M778" s="13" t="str">
        <f ca="1">IFERROR(__xludf.DUMMYFUNCTION("""COMPUTED_VALUE"""),"B4_VD_12.mp3")</f>
        <v>B4_VD_12.mp3</v>
      </c>
    </row>
    <row r="779" spans="1:13">
      <c r="A779" s="13">
        <f ca="1">IFERROR(__xludf.DUMMYFUNCTION("""COMPUTED_VALUE"""),13)</f>
        <v>13</v>
      </c>
      <c r="B779" s="13"/>
      <c r="C779" s="13" t="str">
        <f ca="1">IFERROR(__xludf.DUMMYFUNCTION("""COMPUTED_VALUE"""),"奖金")</f>
        <v>奖金</v>
      </c>
      <c r="D779" s="13" t="str">
        <f ca="1">IFERROR(__xludf.DUMMYFUNCTION("""COMPUTED_VALUE"""),"&lt;ruby&gt;奖金&lt;rt&gt;jiǎngjīn&lt;/rt&gt;&lt;/ruby&gt;")</f>
        <v>&lt;ruby&gt;奖金&lt;rt&gt;jiǎngjīn&lt;/rt&gt;&lt;/ruby&gt;</v>
      </c>
      <c r="E779" s="13" t="str">
        <f ca="1">IFERROR(__xludf.DUMMYFUNCTION("""COMPUTED_VALUE"""),"jiǎngjīn")</f>
        <v>jiǎngjīn</v>
      </c>
      <c r="F779" s="13" t="str">
        <f ca="1">IFERROR(__xludf.DUMMYFUNCTION("""COMPUTED_VALUE"""),"Danh từ")</f>
        <v>Danh từ</v>
      </c>
      <c r="G779" s="13" t="str">
        <f ca="1">IFERROR(__xludf.DUMMYFUNCTION("""COMPUTED_VALUE"""),"tiền thưởng")</f>
        <v>tiền thưởng</v>
      </c>
      <c r="H779" s="13" t="str">
        <f ca="1">IFERROR(__xludf.DUMMYFUNCTION("""COMPUTED_VALUE"""),"完成任务后，员工将获得丰厚的奖金。")</f>
        <v>完成任务后，员工将获得丰厚的奖金。</v>
      </c>
      <c r="I779" s="13"/>
      <c r="J779" s="13" t="str">
        <f ca="1">IFERROR(__xludf.DUMMYFUNCTION("""COMPUTED_VALUE"""),"Sau khi hoàn thành nhiệm vụ, nhân viên sẽ nhận được một khoản tiền thưởng lớn.")</f>
        <v>Sau khi hoàn thành nhiệm vụ, nhân viên sẽ nhận được một khoản tiền thưởng lớn.</v>
      </c>
      <c r="K779" s="13" t="str">
        <f ca="1">IFERROR(__xludf.DUMMYFUNCTION("""COMPUTED_VALUE"""),"H4_B4_BG13.png")</f>
        <v>H4_B4_BG13.png</v>
      </c>
      <c r="L779" s="13" t="str">
        <f ca="1">IFERROR(__xludf.DUMMYFUNCTION("""COMPUTED_VALUE"""),"B4_13.mp3")</f>
        <v>B4_13.mp3</v>
      </c>
      <c r="M779" s="13" t="str">
        <f ca="1">IFERROR(__xludf.DUMMYFUNCTION("""COMPUTED_VALUE"""),"B4_VD_13.mp3")</f>
        <v>B4_VD_13.mp3</v>
      </c>
    </row>
    <row r="780" spans="1:13">
      <c r="A780" s="13">
        <f ca="1">IFERROR(__xludf.DUMMYFUNCTION("""COMPUTED_VALUE"""),14)</f>
        <v>14</v>
      </c>
      <c r="B780" s="13"/>
      <c r="C780" s="13" t="str">
        <f ca="1">IFERROR(__xludf.DUMMYFUNCTION("""COMPUTED_VALUE"""),"经验")</f>
        <v>经验</v>
      </c>
      <c r="D780" s="13" t="str">
        <f ca="1">IFERROR(__xludf.DUMMYFUNCTION("""COMPUTED_VALUE"""),"&lt;ruby&gt;经验&lt;rt&gt;Jīngyàn&lt;/rt&gt;&lt;/ruby&gt;")</f>
        <v>&lt;ruby&gt;经验&lt;rt&gt;Jīngyàn&lt;/rt&gt;&lt;/ruby&gt;</v>
      </c>
      <c r="E780" s="13" t="str">
        <f ca="1">IFERROR(__xludf.DUMMYFUNCTION("""COMPUTED_VALUE"""),"Jīngyàn")</f>
        <v>Jīngyàn</v>
      </c>
      <c r="F780" s="13" t="str">
        <f ca="1">IFERROR(__xludf.DUMMYFUNCTION("""COMPUTED_VALUE"""),"Danh từ")</f>
        <v>Danh từ</v>
      </c>
      <c r="G780" s="13" t="str">
        <f ca="1">IFERROR(__xludf.DUMMYFUNCTION("""COMPUTED_VALUE"""),"kinh nghiệm")</f>
        <v>kinh nghiệm</v>
      </c>
      <c r="H780" s="13" t="str">
        <f ca="1">IFERROR(__xludf.DUMMYFUNCTION("""COMPUTED_VALUE"""),"他有着丰富的工作经验。")</f>
        <v>他有着丰富的工作经验。</v>
      </c>
      <c r="I780" s="13"/>
      <c r="J780" s="13" t="str">
        <f ca="1">IFERROR(__xludf.DUMMYFUNCTION("""COMPUTED_VALUE"""),"Anh ấy có kinh nghiệm làm việc phong phú")</f>
        <v>Anh ấy có kinh nghiệm làm việc phong phú</v>
      </c>
      <c r="K780" s="13" t="str">
        <f ca="1">IFERROR(__xludf.DUMMYFUNCTION("""COMPUTED_VALUE"""),"H4_B4_BG14.png")</f>
        <v>H4_B4_BG14.png</v>
      </c>
      <c r="L780" s="13" t="str">
        <f ca="1">IFERROR(__xludf.DUMMYFUNCTION("""COMPUTED_VALUE"""),"B4_14.mp3")</f>
        <v>B4_14.mp3</v>
      </c>
      <c r="M780" s="13" t="str">
        <f ca="1">IFERROR(__xludf.DUMMYFUNCTION("""COMPUTED_VALUE"""),"B4_VD_14.mp3")</f>
        <v>B4_VD_14.mp3</v>
      </c>
    </row>
    <row r="781" spans="1:13">
      <c r="A781" s="13">
        <f ca="1">IFERROR(__xludf.DUMMYFUNCTION("""COMPUTED_VALUE"""),15)</f>
        <v>15</v>
      </c>
      <c r="B781" s="13"/>
      <c r="C781" s="13" t="str">
        <f ca="1">IFERROR(__xludf.DUMMYFUNCTION("""COMPUTED_VALUE"""),"乱")</f>
        <v>乱</v>
      </c>
      <c r="D781" s="13" t="str">
        <f ca="1">IFERROR(__xludf.DUMMYFUNCTION("""COMPUTED_VALUE"""),"&lt;ruby&gt;乱&lt;rt&gt;luàn&lt;/rt&gt;&lt;/ruby&gt;")</f>
        <v>&lt;ruby&gt;乱&lt;rt&gt;luàn&lt;/rt&gt;&lt;/ruby&gt;</v>
      </c>
      <c r="E781" s="13" t="str">
        <f ca="1">IFERROR(__xludf.DUMMYFUNCTION("""COMPUTED_VALUE"""),"luàn")</f>
        <v>luàn</v>
      </c>
      <c r="F781" s="13" t="str">
        <f ca="1">IFERROR(__xludf.DUMMYFUNCTION("""COMPUTED_VALUE"""),"Tính từ")</f>
        <v>Tính từ</v>
      </c>
      <c r="G781" s="13" t="str">
        <f ca="1">IFERROR(__xludf.DUMMYFUNCTION("""COMPUTED_VALUE"""),"lộn xộn, lúng túng")</f>
        <v>lộn xộn, lúng túng</v>
      </c>
      <c r="H781" s="13" t="str">
        <f ca="1">IFERROR(__xludf.DUMMYFUNCTION("""COMPUTED_VALUE"""),"由于缺乏计划，她的工作变得很乱。")</f>
        <v>由于缺乏计划，她的工作变得很乱。</v>
      </c>
      <c r="I781" s="13"/>
      <c r="J781" s="13" t="str">
        <f ca="1">IFERROR(__xludf.DUMMYFUNCTION("""COMPUTED_VALUE"""),"Vì thiếu kế hoạch, công việc của cô ấy trở nên hỗn loạn.")</f>
        <v>Vì thiếu kế hoạch, công việc của cô ấy trở nên hỗn loạn.</v>
      </c>
      <c r="K781" s="13" t="str">
        <f ca="1">IFERROR(__xludf.DUMMYFUNCTION("""COMPUTED_VALUE"""),"H4_B4_BG15.png")</f>
        <v>H4_B4_BG15.png</v>
      </c>
      <c r="L781" s="13" t="str">
        <f ca="1">IFERROR(__xludf.DUMMYFUNCTION("""COMPUTED_VALUE"""),"B4_15.mp3")</f>
        <v>B4_15.mp3</v>
      </c>
      <c r="M781" s="13" t="str">
        <f ca="1">IFERROR(__xludf.DUMMYFUNCTION("""COMPUTED_VALUE"""),"B4_VD_15.mp3")</f>
        <v>B4_VD_15.mp3</v>
      </c>
    </row>
    <row r="782" spans="1:13">
      <c r="A782" s="13">
        <f ca="1">IFERROR(__xludf.DUMMYFUNCTION("""COMPUTED_VALUE"""),16)</f>
        <v>16</v>
      </c>
      <c r="B782" s="13"/>
      <c r="C782" s="13" t="str">
        <f ca="1">IFERROR(__xludf.DUMMYFUNCTION("""COMPUTED_VALUE"""),"甚至")</f>
        <v>甚至</v>
      </c>
      <c r="D782" s="13" t="str">
        <f ca="1">IFERROR(__xludf.DUMMYFUNCTION("""COMPUTED_VALUE"""),"&lt;ruby&gt;甚至&lt;rt&gt;Shènzhì&lt;/rt&gt;&lt;/ruby&gt;")</f>
        <v>&lt;ruby&gt;甚至&lt;rt&gt;Shènzhì&lt;/rt&gt;&lt;/ruby&gt;</v>
      </c>
      <c r="E782" s="13" t="str">
        <f ca="1">IFERROR(__xludf.DUMMYFUNCTION("""COMPUTED_VALUE"""),"Shènzhì")</f>
        <v>Shènzhì</v>
      </c>
      <c r="F782" s="13" t="str">
        <f ca="1">IFERROR(__xludf.DUMMYFUNCTION("""COMPUTED_VALUE"""),"Liên từ")</f>
        <v>Liên từ</v>
      </c>
      <c r="G782" s="13" t="str">
        <f ca="1">IFERROR(__xludf.DUMMYFUNCTION("""COMPUTED_VALUE"""),"thậm chí")</f>
        <v>thậm chí</v>
      </c>
      <c r="H782" s="13" t="str">
        <f ca="1">IFERROR(__xludf.DUMMYFUNCTION("""COMPUTED_VALUE"""),"他工作很努力，甚至常常加班到很晚。")</f>
        <v>他工作很努力，甚至常常加班到很晚。</v>
      </c>
      <c r="I782" s="13"/>
      <c r="J782" s="13" t="str">
        <f ca="1">IFERROR(__xludf.DUMMYFUNCTION("""COMPUTED_VALUE"""),"Anh ấy làm việc rất chăm chỉ, thậm chí thường xuyên tăng ca đến khuya. ")</f>
        <v xml:space="preserve">Anh ấy làm việc rất chăm chỉ, thậm chí thường xuyên tăng ca đến khuya. </v>
      </c>
      <c r="K782" s="13" t="str">
        <f ca="1">IFERROR(__xludf.DUMMYFUNCTION("""COMPUTED_VALUE"""),"H4_B4_BG16.png")</f>
        <v>H4_B4_BG16.png</v>
      </c>
      <c r="L782" s="13" t="str">
        <f ca="1">IFERROR(__xludf.DUMMYFUNCTION("""COMPUTED_VALUE"""),"B4_16.mp3")</f>
        <v>B4_16.mp3</v>
      </c>
      <c r="M782" s="13" t="str">
        <f ca="1">IFERROR(__xludf.DUMMYFUNCTION("""COMPUTED_VALUE"""),"B4_VD_16.mp3")</f>
        <v>B4_VD_16.mp3</v>
      </c>
    </row>
    <row r="783" spans="1:13">
      <c r="A783" s="13">
        <f ca="1">IFERROR(__xludf.DUMMYFUNCTION("""COMPUTED_VALUE"""),17)</f>
        <v>17</v>
      </c>
      <c r="B783" s="13"/>
      <c r="C783" s="13" t="str">
        <f ca="1">IFERROR(__xludf.DUMMYFUNCTION("""COMPUTED_VALUE"""),"生意")</f>
        <v>生意</v>
      </c>
      <c r="D783" s="13" t="str">
        <f ca="1">IFERROR(__xludf.DUMMYFUNCTION("""COMPUTED_VALUE"""),"&lt;ruby&gt;生意&lt;rt&gt;shēngyì&lt;/rt&gt;&lt;/ruby&gt;")</f>
        <v>&lt;ruby&gt;生意&lt;rt&gt;shēngyì&lt;/rt&gt;&lt;/ruby&gt;</v>
      </c>
      <c r="E783" s="13" t="str">
        <f ca="1">IFERROR(__xludf.DUMMYFUNCTION("""COMPUTED_VALUE"""),"shēngyì")</f>
        <v>shēngyì</v>
      </c>
      <c r="F783" s="13" t="str">
        <f ca="1">IFERROR(__xludf.DUMMYFUNCTION("""COMPUTED_VALUE"""),"Danh từ")</f>
        <v>Danh từ</v>
      </c>
      <c r="G783" s="13" t="str">
        <f ca="1">IFERROR(__xludf.DUMMYFUNCTION("""COMPUTED_VALUE"""),"việc kinh doanh/buôn bán")</f>
        <v>việc kinh doanh/buôn bán</v>
      </c>
      <c r="H783" s="13" t="str">
        <f ca="1">IFERROR(__xludf.DUMMYFUNCTION("""COMPUTED_VALUE"""),"他的房地产生意非常顺利。")</f>
        <v>他的房地产生意非常顺利。</v>
      </c>
      <c r="I783" s="13"/>
      <c r="J783" s="13" t="str">
        <f ca="1">IFERROR(__xludf.DUMMYFUNCTION("""COMPUTED_VALUE"""),"Việc kinh doanh bất động sản của anh ấy rất thuận lợi")</f>
        <v>Việc kinh doanh bất động sản của anh ấy rất thuận lợi</v>
      </c>
      <c r="K783" s="13" t="str">
        <f ca="1">IFERROR(__xludf.DUMMYFUNCTION("""COMPUTED_VALUE"""),"H4_B4_BG17.png")</f>
        <v>H4_B4_BG17.png</v>
      </c>
      <c r="L783" s="13" t="str">
        <f ca="1">IFERROR(__xludf.DUMMYFUNCTION("""COMPUTED_VALUE"""),"B4_17.mp3")</f>
        <v>B4_17.mp3</v>
      </c>
      <c r="M783" s="13" t="str">
        <f ca="1">IFERROR(__xludf.DUMMYFUNCTION("""COMPUTED_VALUE"""),"B4_VD_17.mp3")</f>
        <v>B4_VD_17.mp3</v>
      </c>
    </row>
    <row r="784" spans="1:13">
      <c r="A784" s="13">
        <f ca="1">IFERROR(__xludf.DUMMYFUNCTION("""COMPUTED_VALUE"""),18)</f>
        <v>18</v>
      </c>
      <c r="B784" s="13"/>
      <c r="C784" s="13" t="str">
        <f ca="1">IFERROR(__xludf.DUMMYFUNCTION("""COMPUTED_VALUE"""),"顺利")</f>
        <v>顺利</v>
      </c>
      <c r="D784" s="13" t="str">
        <f ca="1">IFERROR(__xludf.DUMMYFUNCTION("""COMPUTED_VALUE"""),"&lt;ruby&gt;顺利&lt;rt&gt;Shùnlì
&lt;/rt&gt;&lt;/ruby&gt;")</f>
        <v>&lt;ruby&gt;顺利&lt;rt&gt;Shùnlì
&lt;/rt&gt;&lt;/ruby&gt;</v>
      </c>
      <c r="E784" s="13" t="str">
        <f ca="1">IFERROR(__xludf.DUMMYFUNCTION("""COMPUTED_VALUE"""),"Shùnlì
")</f>
        <v xml:space="preserve">Shùnlì
</v>
      </c>
      <c r="F784" s="13" t="str">
        <f ca="1">IFERROR(__xludf.DUMMYFUNCTION("""COMPUTED_VALUE"""),"Tính từ")</f>
        <v>Tính từ</v>
      </c>
      <c r="G784" s="13" t="str">
        <f ca="1">IFERROR(__xludf.DUMMYFUNCTION("""COMPUTED_VALUE"""),"thuận lơi, suôn sẻ")</f>
        <v>thuận lơi, suôn sẻ</v>
      </c>
      <c r="H784" s="13" t="str">
        <f ca="1">IFERROR(__xludf.DUMMYFUNCTION("""COMPUTED_VALUE"""),"他的职业生涯非常顺利。")</f>
        <v>他的职业生涯非常顺利。</v>
      </c>
      <c r="I784" s="13"/>
      <c r="J784" s="13" t="str">
        <f ca="1">IFERROR(__xludf.DUMMYFUNCTION("""COMPUTED_VALUE"""),"Con đường sự nghiệp của anh ấy rất thuận lợi.")</f>
        <v>Con đường sự nghiệp của anh ấy rất thuận lợi.</v>
      </c>
      <c r="K784" s="13" t="str">
        <f ca="1">IFERROR(__xludf.DUMMYFUNCTION("""COMPUTED_VALUE"""),"H4_B4_BG18.png")</f>
        <v>H4_B4_BG18.png</v>
      </c>
      <c r="L784" s="13" t="str">
        <f ca="1">IFERROR(__xludf.DUMMYFUNCTION("""COMPUTED_VALUE"""),"B4_18.mp3")</f>
        <v>B4_18.mp3</v>
      </c>
      <c r="M784" s="13" t="str">
        <f ca="1">IFERROR(__xludf.DUMMYFUNCTION("""COMPUTED_VALUE"""),"B4_VD_18.mp3")</f>
        <v>B4_VD_18.mp3</v>
      </c>
    </row>
    <row r="785" spans="1:13">
      <c r="A785" s="13">
        <f ca="1">IFERROR(__xludf.DUMMYFUNCTION("""COMPUTED_VALUE"""),19)</f>
        <v>19</v>
      </c>
      <c r="B785" s="13"/>
      <c r="C785" s="13" t="str">
        <f ca="1">IFERROR(__xludf.DUMMYFUNCTION("""COMPUTED_VALUE"""),"谈")</f>
        <v>谈</v>
      </c>
      <c r="D785" s="13" t="str">
        <f ca="1">IFERROR(__xludf.DUMMYFUNCTION("""COMPUTED_VALUE"""),"&lt;ruby&gt;谈&lt;rt&gt;Tán&lt;/rt&gt;&lt;/ruby&gt;")</f>
        <v>&lt;ruby&gt;谈&lt;rt&gt;Tán&lt;/rt&gt;&lt;/ruby&gt;</v>
      </c>
      <c r="E785" s="13" t="str">
        <f ca="1">IFERROR(__xludf.DUMMYFUNCTION("""COMPUTED_VALUE"""),"Tán")</f>
        <v>Tán</v>
      </c>
      <c r="F785" s="13" t="str">
        <f ca="1">IFERROR(__xludf.DUMMYFUNCTION("""COMPUTED_VALUE"""),"Động từ")</f>
        <v>Động từ</v>
      </c>
      <c r="G785" s="13" t="str">
        <f ca="1">IFERROR(__xludf.DUMMYFUNCTION("""COMPUTED_VALUE"""),"nói chuyện, thảo luận")</f>
        <v>nói chuyện, thảo luận</v>
      </c>
      <c r="H785" s="13" t="str">
        <f ca="1">IFERROR(__xludf.DUMMYFUNCTION("""COMPUTED_VALUE"""),"他正在与客户谈一个新的合作机会。")</f>
        <v>他正在与客户谈一个新的合作机会。</v>
      </c>
      <c r="I785" s="13"/>
      <c r="J785" s="13" t="str">
        <f ca="1">IFERROR(__xludf.DUMMYFUNCTION("""COMPUTED_VALUE"""),"Anh ấy đang thảo luận với khách hàng về một cơ hội hợp tác mới.")</f>
        <v>Anh ấy đang thảo luận với khách hàng về một cơ hội hợp tác mới.</v>
      </c>
      <c r="K785" s="13" t="str">
        <f ca="1">IFERROR(__xludf.DUMMYFUNCTION("""COMPUTED_VALUE"""),"H4_B4_BG19.png")</f>
        <v>H4_B4_BG19.png</v>
      </c>
      <c r="L785" s="13" t="str">
        <f ca="1">IFERROR(__xludf.DUMMYFUNCTION("""COMPUTED_VALUE"""),"B4_19.mp3")</f>
        <v>B4_19.mp3</v>
      </c>
      <c r="M785" s="13" t="str">
        <f ca="1">IFERROR(__xludf.DUMMYFUNCTION("""COMPUTED_VALUE"""),"B4_VD_19.mp3")</f>
        <v>B4_VD_19.mp3</v>
      </c>
    </row>
    <row r="786" spans="1:13">
      <c r="A786" s="13">
        <f ca="1">IFERROR(__xludf.DUMMYFUNCTION("""COMPUTED_VALUE"""),20)</f>
        <v>20</v>
      </c>
      <c r="B786" s="13"/>
      <c r="C786" s="13" t="str">
        <f ca="1">IFERROR(__xludf.DUMMYFUNCTION("""COMPUTED_VALUE"""),"提")</f>
        <v>提</v>
      </c>
      <c r="D786" s="13" t="str">
        <f ca="1">IFERROR(__xludf.DUMMYFUNCTION("""COMPUTED_VALUE"""),"&lt;ruby&gt;提&lt;rt&gt;tí&lt;/rt&gt;&lt;/ruby&gt;")</f>
        <v>&lt;ruby&gt;提&lt;rt&gt;tí&lt;/rt&gt;&lt;/ruby&gt;</v>
      </c>
      <c r="E786" s="13" t="str">
        <f ca="1">IFERROR(__xludf.DUMMYFUNCTION("""COMPUTED_VALUE"""),"tí")</f>
        <v>tí</v>
      </c>
      <c r="F786" s="13" t="str">
        <f ca="1">IFERROR(__xludf.DUMMYFUNCTION("""COMPUTED_VALUE"""),"Động từ")</f>
        <v>Động từ</v>
      </c>
      <c r="G786" s="13" t="str">
        <f ca="1">IFERROR(__xludf.DUMMYFUNCTION("""COMPUTED_VALUE"""),"nhắc tới")</f>
        <v>nhắc tới</v>
      </c>
      <c r="H786" s="13" t="str">
        <f ca="1">IFERROR(__xludf.DUMMYFUNCTION("""COMPUTED_VALUE"""),"她一提到丈夫就非常高兴。")</f>
        <v>她一提到丈夫就非常高兴。</v>
      </c>
      <c r="I786" s="13"/>
      <c r="J786" s="13" t="str">
        <f ca="1">IFERROR(__xludf.DUMMYFUNCTION("""COMPUTED_VALUE"""),"Hễ nhắc đến chồng là cô ấy lại rất vui.")</f>
        <v>Hễ nhắc đến chồng là cô ấy lại rất vui.</v>
      </c>
      <c r="K786" s="13" t="str">
        <f ca="1">IFERROR(__xludf.DUMMYFUNCTION("""COMPUTED_VALUE"""),"H4_B4_BG20.png")</f>
        <v>H4_B4_BG20.png</v>
      </c>
      <c r="L786" s="13" t="str">
        <f ca="1">IFERROR(__xludf.DUMMYFUNCTION("""COMPUTED_VALUE"""),"B4_20.mp3")</f>
        <v>B4_20.mp3</v>
      </c>
      <c r="M786" s="13" t="str">
        <f ca="1">IFERROR(__xludf.DUMMYFUNCTION("""COMPUTED_VALUE"""),"B4_VD_20.mp3")</f>
        <v>B4_VD_20.mp3</v>
      </c>
    </row>
    <row r="787" spans="1:13">
      <c r="A787" s="13">
        <f ca="1">IFERROR(__xludf.DUMMYFUNCTION("""COMPUTED_VALUE"""),21)</f>
        <v>21</v>
      </c>
      <c r="B787" s="13"/>
      <c r="C787" s="13" t="str">
        <f ca="1">IFERROR(__xludf.DUMMYFUNCTION("""COMPUTED_VALUE"""),"提前")</f>
        <v>提前</v>
      </c>
      <c r="D787" s="13" t="str">
        <f ca="1">IFERROR(__xludf.DUMMYFUNCTION("""COMPUTED_VALUE"""),"&lt;ruby&gt;提前&lt;rt&gt;tíqián&lt;/rt&gt;&lt;/ruby&gt;")</f>
        <v>&lt;ruby&gt;提前&lt;rt&gt;tíqián&lt;/rt&gt;&lt;/ruby&gt;</v>
      </c>
      <c r="E787" s="13" t="str">
        <f ca="1">IFERROR(__xludf.DUMMYFUNCTION("""COMPUTED_VALUE"""),"tíqián")</f>
        <v>tíqián</v>
      </c>
      <c r="F787" s="13" t="str">
        <f ca="1">IFERROR(__xludf.DUMMYFUNCTION("""COMPUTED_VALUE"""),"Động từ")</f>
        <v>Động từ</v>
      </c>
      <c r="G787" s="13" t="str">
        <f ca="1">IFERROR(__xludf.DUMMYFUNCTION("""COMPUTED_VALUE"""),"làm việc gì đó sớm hơn quy định/ trước thời hạn")</f>
        <v>làm việc gì đó sớm hơn quy định/ trước thời hạn</v>
      </c>
      <c r="H787" s="13" t="str">
        <f ca="1">IFERROR(__xludf.DUMMYFUNCTION("""COMPUTED_VALUE"""),"我们需要提前通知大家开会的时间。")</f>
        <v>我们需要提前通知大家开会的时间。</v>
      </c>
      <c r="I787" s="13"/>
      <c r="J787" s="13" t="str">
        <f ca="1">IFERROR(__xludf.DUMMYFUNCTION("""COMPUTED_VALUE"""),"Chúng ta cần thông báo trước với mọi người về thời gian họp.")</f>
        <v>Chúng ta cần thông báo trước với mọi người về thời gian họp.</v>
      </c>
      <c r="K787" s="13" t="str">
        <f ca="1">IFERROR(__xludf.DUMMYFUNCTION("""COMPUTED_VALUE"""),"H4_B4_BG21.png")</f>
        <v>H4_B4_BG21.png</v>
      </c>
      <c r="L787" s="13" t="str">
        <f ca="1">IFERROR(__xludf.DUMMYFUNCTION("""COMPUTED_VALUE"""),"B4_21.mp3")</f>
        <v>B4_21.mp3</v>
      </c>
      <c r="M787" s="13" t="str">
        <f ca="1">IFERROR(__xludf.DUMMYFUNCTION("""COMPUTED_VALUE"""),"B4_VD_21.mp3")</f>
        <v>B4_VD_21.mp3</v>
      </c>
    </row>
    <row r="788" spans="1:13">
      <c r="A788" s="13">
        <f ca="1">IFERROR(__xludf.DUMMYFUNCTION("""COMPUTED_VALUE"""),22)</f>
        <v>22</v>
      </c>
      <c r="B788" s="13"/>
      <c r="C788" s="13" t="str">
        <f ca="1">IFERROR(__xludf.DUMMYFUNCTION("""COMPUTED_VALUE"""),"提醒")</f>
        <v>提醒</v>
      </c>
      <c r="D788" s="13" t="str">
        <f ca="1">IFERROR(__xludf.DUMMYFUNCTION("""COMPUTED_VALUE"""),"&lt;ruby&gt;提醒&lt;rt&gt;tíxǐng&lt;/rt&gt;&lt;/ruby&gt;")</f>
        <v>&lt;ruby&gt;提醒&lt;rt&gt;tíxǐng&lt;/rt&gt;&lt;/ruby&gt;</v>
      </c>
      <c r="E788" s="13" t="str">
        <f ca="1">IFERROR(__xludf.DUMMYFUNCTION("""COMPUTED_VALUE"""),"tíxǐng")</f>
        <v>tíxǐng</v>
      </c>
      <c r="F788" s="13" t="str">
        <f ca="1">IFERROR(__xludf.DUMMYFUNCTION("""COMPUTED_VALUE"""),"Động từ")</f>
        <v>Động từ</v>
      </c>
      <c r="G788" s="13" t="str">
        <f ca="1">IFERROR(__xludf.DUMMYFUNCTION("""COMPUTED_VALUE"""),"nhắc nhở")</f>
        <v>nhắc nhở</v>
      </c>
      <c r="H788" s="13" t="str">
        <f ca="1">IFERROR(__xludf.DUMMYFUNCTION("""COMPUTED_VALUE"""),"老师提醒学生按时提交报告。")</f>
        <v>老师提醒学生按时提交报告。</v>
      </c>
      <c r="I788" s="13"/>
      <c r="J788" s="13" t="str">
        <f ca="1">IFERROR(__xludf.DUMMYFUNCTION("""COMPUTED_VALUE"""),"Giáo viên nhắc nhở học sinh nộp báo cáo đúng hạn.")</f>
        <v>Giáo viên nhắc nhở học sinh nộp báo cáo đúng hạn.</v>
      </c>
      <c r="K788" s="13" t="str">
        <f ca="1">IFERROR(__xludf.DUMMYFUNCTION("""COMPUTED_VALUE"""),"H4_B4_BG22.png")</f>
        <v>H4_B4_BG22.png</v>
      </c>
      <c r="L788" s="13" t="str">
        <f ca="1">IFERROR(__xludf.DUMMYFUNCTION("""COMPUTED_VALUE"""),"B4_22.mp3")</f>
        <v>B4_22.mp3</v>
      </c>
      <c r="M788" s="13" t="str">
        <f ca="1">IFERROR(__xludf.DUMMYFUNCTION("""COMPUTED_VALUE"""),"B4_VD_22.mp3")</f>
        <v>B4_VD_22.mp3</v>
      </c>
    </row>
    <row r="789" spans="1:13">
      <c r="A789" s="13">
        <f ca="1">IFERROR(__xludf.DUMMYFUNCTION("""COMPUTED_VALUE"""),23)</f>
        <v>23</v>
      </c>
      <c r="B789" s="13"/>
      <c r="C789" s="13" t="str">
        <f ca="1">IFERROR(__xludf.DUMMYFUNCTION("""COMPUTED_VALUE"""),"完全")</f>
        <v>完全</v>
      </c>
      <c r="D789" s="13" t="str">
        <f ca="1">IFERROR(__xludf.DUMMYFUNCTION("""COMPUTED_VALUE"""),"&lt;ruby&gt;完全&lt;rt&gt;wánquán&lt;/rt&gt;&lt;/ruby&gt;")</f>
        <v>&lt;ruby&gt;完全&lt;rt&gt;wánquán&lt;/rt&gt;&lt;/ruby&gt;</v>
      </c>
      <c r="E789" s="13" t="str">
        <f ca="1">IFERROR(__xludf.DUMMYFUNCTION("""COMPUTED_VALUE"""),"wánquán")</f>
        <v>wánquán</v>
      </c>
      <c r="F789" s="13" t="str">
        <f ca="1">IFERROR(__xludf.DUMMYFUNCTION("""COMPUTED_VALUE"""),"Phó từ")</f>
        <v>Phó từ</v>
      </c>
      <c r="G789" s="13" t="str">
        <f ca="1">IFERROR(__xludf.DUMMYFUNCTION("""COMPUTED_VALUE"""),"hoàn toàn")</f>
        <v>hoàn toàn</v>
      </c>
      <c r="H789" s="13" t="str">
        <f ca="1">IFERROR(__xludf.DUMMYFUNCTION("""COMPUTED_VALUE"""),"病人已完全康复了。")</f>
        <v>病人已完全康复了。</v>
      </c>
      <c r="I789" s="13"/>
      <c r="J789" s="13" t="str">
        <f ca="1">IFERROR(__xludf.DUMMYFUNCTION("""COMPUTED_VALUE"""),"Bệnh nhân đã bình phục hoàn toàn.")</f>
        <v>Bệnh nhân đã bình phục hoàn toàn.</v>
      </c>
      <c r="K789" s="13" t="str">
        <f ca="1">IFERROR(__xludf.DUMMYFUNCTION("""COMPUTED_VALUE"""),"H4_B4_BG23.png")</f>
        <v>H4_B4_BG23.png</v>
      </c>
      <c r="L789" s="13" t="str">
        <f ca="1">IFERROR(__xludf.DUMMYFUNCTION("""COMPUTED_VALUE"""),"B4_23.mp3")</f>
        <v>B4_23.mp3</v>
      </c>
      <c r="M789" s="13" t="str">
        <f ca="1">IFERROR(__xludf.DUMMYFUNCTION("""COMPUTED_VALUE"""),"B4_VD_23.mp3")</f>
        <v>B4_VD_23.mp3</v>
      </c>
    </row>
    <row r="790" spans="1:13">
      <c r="A790" s="13">
        <f ca="1">IFERROR(__xludf.DUMMYFUNCTION("""COMPUTED_VALUE"""),24)</f>
        <v>24</v>
      </c>
      <c r="B790" s="13"/>
      <c r="C790" s="13" t="str">
        <f ca="1">IFERROR(__xludf.DUMMYFUNCTION("""COMPUTED_VALUE"""),"消息")</f>
        <v>消息</v>
      </c>
      <c r="D790" s="13" t="str">
        <f ca="1">IFERROR(__xludf.DUMMYFUNCTION("""COMPUTED_VALUE"""),"&lt;ruby&gt;消息&lt;rt&gt;xiāoxī &lt;/rt&gt;&lt;/ruby&gt;")</f>
        <v>&lt;ruby&gt;消息&lt;rt&gt;xiāoxī &lt;/rt&gt;&lt;/ruby&gt;</v>
      </c>
      <c r="E790" s="13" t="str">
        <f ca="1">IFERROR(__xludf.DUMMYFUNCTION("""COMPUTED_VALUE"""),"xiāoxī ")</f>
        <v xml:space="preserve">xiāoxī </v>
      </c>
      <c r="F790" s="13" t="str">
        <f ca="1">IFERROR(__xludf.DUMMYFUNCTION("""COMPUTED_VALUE"""),"Danh từ")</f>
        <v>Danh từ</v>
      </c>
      <c r="G790" s="13" t="str">
        <f ca="1">IFERROR(__xludf.DUMMYFUNCTION("""COMPUTED_VALUE"""),"tin tức")</f>
        <v>tin tức</v>
      </c>
      <c r="H790" s="13" t="str">
        <f ca="1">IFERROR(__xludf.DUMMYFUNCTION("""COMPUTED_VALUE"""),"我刚收到一个好消息。")</f>
        <v>我刚收到一个好消息。</v>
      </c>
      <c r="I790" s="13"/>
      <c r="J790" s="13" t="str">
        <f ca="1">IFERROR(__xludf.DUMMYFUNCTION("""COMPUTED_VALUE"""),"Tôi vừa nhận được một tin tức tốt.")</f>
        <v>Tôi vừa nhận được một tin tức tốt.</v>
      </c>
      <c r="K790" s="13" t="str">
        <f ca="1">IFERROR(__xludf.DUMMYFUNCTION("""COMPUTED_VALUE"""),"H4_B4_BG24.png")</f>
        <v>H4_B4_BG24.png</v>
      </c>
      <c r="L790" s="13" t="str">
        <f ca="1">IFERROR(__xludf.DUMMYFUNCTION("""COMPUTED_VALUE"""),"B4_24.mp3")</f>
        <v>B4_24.mp3</v>
      </c>
      <c r="M790" s="13" t="str">
        <f ca="1">IFERROR(__xludf.DUMMYFUNCTION("""COMPUTED_VALUE"""),"B4_VD_24.mp3")</f>
        <v>B4_VD_24.mp3</v>
      </c>
    </row>
    <row r="791" spans="1:13">
      <c r="A791" s="13">
        <f ca="1">IFERROR(__xludf.DUMMYFUNCTION("""COMPUTED_VALUE"""),25)</f>
        <v>25</v>
      </c>
      <c r="B791" s="13"/>
      <c r="C791" s="13" t="str">
        <f ca="1">IFERROR(__xludf.DUMMYFUNCTION("""COMPUTED_VALUE"""),"一切")</f>
        <v>一切</v>
      </c>
      <c r="D791" s="13" t="str">
        <f ca="1">IFERROR(__xludf.DUMMYFUNCTION("""COMPUTED_VALUE"""),"&lt;ruby&gt;一切&lt;rt&gt;yíqiè&lt;/rt&gt;&lt;/ruby&gt;")</f>
        <v>&lt;ruby&gt;一切&lt;rt&gt;yíqiè&lt;/rt&gt;&lt;/ruby&gt;</v>
      </c>
      <c r="E791" s="13" t="str">
        <f ca="1">IFERROR(__xludf.DUMMYFUNCTION("""COMPUTED_VALUE"""),"yíqiè")</f>
        <v>yíqiè</v>
      </c>
      <c r="F791" s="13" t="str">
        <f ca="1">IFERROR(__xludf.DUMMYFUNCTION("""COMPUTED_VALUE"""),"Động từ")</f>
        <v>Động từ</v>
      </c>
      <c r="G791" s="13" t="str">
        <f ca="1">IFERROR(__xludf.DUMMYFUNCTION("""COMPUTED_VALUE"""),"tất cả")</f>
        <v>tất cả</v>
      </c>
      <c r="H791" s="13" t="str">
        <f ca="1">IFERROR(__xludf.DUMMYFUNCTION("""COMPUTED_VALUE"""),"为了学习好一切知识，我每天都认真听课。")</f>
        <v>为了学习好一切知识，我每天都认真听课。</v>
      </c>
      <c r="I791" s="13"/>
      <c r="J791" s="13" t="str">
        <f ca="1">IFERROR(__xludf.DUMMYFUNCTION("""COMPUTED_VALUE"""),"Để học tốt tất cả kiến thức, mỗi ngày tôi đều chăm chỉ nghe giảng.")</f>
        <v>Để học tốt tất cả kiến thức, mỗi ngày tôi đều chăm chỉ nghe giảng.</v>
      </c>
      <c r="K791" s="13" t="str">
        <f ca="1">IFERROR(__xludf.DUMMYFUNCTION("""COMPUTED_VALUE"""),"H4_B4_BG25.png")</f>
        <v>H4_B4_BG25.png</v>
      </c>
      <c r="L791" s="13" t="str">
        <f ca="1">IFERROR(__xludf.DUMMYFUNCTION("""COMPUTED_VALUE"""),"B4_25.mp3")</f>
        <v>B4_25.mp3</v>
      </c>
      <c r="M791" s="13" t="str">
        <f ca="1">IFERROR(__xludf.DUMMYFUNCTION("""COMPUTED_VALUE"""),"B4_VD_25.mp3")</f>
        <v>B4_VD_25.mp3</v>
      </c>
    </row>
    <row r="792" spans="1:13">
      <c r="A792" s="13">
        <f ca="1">IFERROR(__xludf.DUMMYFUNCTION("""COMPUTED_VALUE"""),26)</f>
        <v>26</v>
      </c>
      <c r="B792" s="13"/>
      <c r="C792" s="13" t="str">
        <f ca="1">IFERROR(__xludf.DUMMYFUNCTION("""COMPUTED_VALUE"""),"认为")</f>
        <v>认为</v>
      </c>
      <c r="D792" s="13" t="str">
        <f ca="1">IFERROR(__xludf.DUMMYFUNCTION("""COMPUTED_VALUE"""),"&lt;ruby&gt;认为&lt;rt&gt;yǐwéi&lt;/rt&gt;&lt;/ruby&gt;")</f>
        <v>&lt;ruby&gt;认为&lt;rt&gt;yǐwéi&lt;/rt&gt;&lt;/ruby&gt;</v>
      </c>
      <c r="E792" s="13" t="str">
        <f ca="1">IFERROR(__xludf.DUMMYFUNCTION("""COMPUTED_VALUE"""),"yǐwéi")</f>
        <v>yǐwéi</v>
      </c>
      <c r="F792" s="13" t="str">
        <f ca="1">IFERROR(__xludf.DUMMYFUNCTION("""COMPUTED_VALUE"""),"Động từ")</f>
        <v>Động từ</v>
      </c>
      <c r="G792" s="13" t="str">
        <f ca="1">IFERROR(__xludf.DUMMYFUNCTION("""COMPUTED_VALUE"""),"cho rằng, tuởng là")</f>
        <v>cho rằng, tuởng là</v>
      </c>
      <c r="H792" s="13" t="str">
        <f ca="1">IFERROR(__xludf.DUMMYFUNCTION("""COMPUTED_VALUE"""),"大家认为他可以做到。")</f>
        <v>大家认为他可以做到。</v>
      </c>
      <c r="I792" s="13"/>
      <c r="J792" s="13" t="str">
        <f ca="1">IFERROR(__xludf.DUMMYFUNCTION("""COMPUTED_VALUE"""),"Mọi người cho rằng anh ấy có thể làm được.")</f>
        <v>Mọi người cho rằng anh ấy có thể làm được.</v>
      </c>
      <c r="K792" s="13" t="str">
        <f ca="1">IFERROR(__xludf.DUMMYFUNCTION("""COMPUTED_VALUE"""),"H4_B4_BG26.png")</f>
        <v>H4_B4_BG26.png</v>
      </c>
      <c r="L792" s="13" t="str">
        <f ca="1">IFERROR(__xludf.DUMMYFUNCTION("""COMPUTED_VALUE"""),"B4_26.mp3")</f>
        <v>B4_26.mp3</v>
      </c>
      <c r="M792" s="13" t="str">
        <f ca="1">IFERROR(__xludf.DUMMYFUNCTION("""COMPUTED_VALUE"""),"B4_VD_26.mp3")</f>
        <v>B4_VD_26.mp3</v>
      </c>
    </row>
    <row r="793" spans="1:13">
      <c r="A793" s="13">
        <f ca="1">IFERROR(__xludf.DUMMYFUNCTION("""COMPUTED_VALUE"""),27)</f>
        <v>27</v>
      </c>
      <c r="B793" s="13"/>
      <c r="C793" s="13" t="str">
        <f ca="1">IFERROR(__xludf.DUMMYFUNCTION("""COMPUTED_VALUE"""),"原来")</f>
        <v>原来</v>
      </c>
      <c r="D793" s="13" t="str">
        <f ca="1">IFERROR(__xludf.DUMMYFUNCTION("""COMPUTED_VALUE"""),"&lt;ruby&gt;原来&lt;rt&gt;yuánlái&lt;/rt&gt;&lt;/ruby&gt;")</f>
        <v>&lt;ruby&gt;原来&lt;rt&gt;yuánlái&lt;/rt&gt;&lt;/ruby&gt;</v>
      </c>
      <c r="E793" s="13" t="str">
        <f ca="1">IFERROR(__xludf.DUMMYFUNCTION("""COMPUTED_VALUE"""),"yuánlái")</f>
        <v>yuánlái</v>
      </c>
      <c r="F793" s="13" t="str">
        <f ca="1">IFERROR(__xludf.DUMMYFUNCTION("""COMPUTED_VALUE"""),"Tính từ")</f>
        <v>Tính từ</v>
      </c>
      <c r="G793" s="13" t="str">
        <f ca="1">IFERROR(__xludf.DUMMYFUNCTION("""COMPUTED_VALUE"""),"ban đầu")</f>
        <v>ban đầu</v>
      </c>
      <c r="H793" s="13" t="str">
        <f ca="1">IFERROR(__xludf.DUMMYFUNCTION("""COMPUTED_VALUE"""),"他还住在原来的地方。")</f>
        <v>他还住在原来的地方。</v>
      </c>
      <c r="I793" s="13"/>
      <c r="J793" s="13" t="str">
        <f ca="1">IFERROR(__xludf.DUMMYFUNCTION("""COMPUTED_VALUE"""),"Anh ấy vẫn sống ở chỗ cũ.")</f>
        <v>Anh ấy vẫn sống ở chỗ cũ.</v>
      </c>
      <c r="K793" s="13" t="str">
        <f ca="1">IFERROR(__xludf.DUMMYFUNCTION("""COMPUTED_VALUE"""),"H4_B4_BG27.png")</f>
        <v>H4_B4_BG27.png</v>
      </c>
      <c r="L793" s="13" t="str">
        <f ca="1">IFERROR(__xludf.DUMMYFUNCTION("""COMPUTED_VALUE"""),"B4_27.mp3")</f>
        <v>B4_27.mp3</v>
      </c>
      <c r="M793" s="13" t="str">
        <f ca="1">IFERROR(__xludf.DUMMYFUNCTION("""COMPUTED_VALUE"""),"B4_VD_27.mp3")</f>
        <v>B4_VD_27.mp3</v>
      </c>
    </row>
    <row r="794" spans="1:13">
      <c r="A794" s="13">
        <f ca="1">IFERROR(__xludf.DUMMYFUNCTION("""COMPUTED_VALUE"""),28)</f>
        <v>28</v>
      </c>
      <c r="B794" s="13"/>
      <c r="C794" s="13" t="str">
        <f ca="1">IFERROR(__xludf.DUMMYFUNCTION("""COMPUTED_VALUE"""),"责任")</f>
        <v>责任</v>
      </c>
      <c r="D794" s="13" t="str">
        <f ca="1">IFERROR(__xludf.DUMMYFUNCTION("""COMPUTED_VALUE"""),"&lt;ruby&gt;责任&lt;rt&gt;zérèn&lt;/rt&gt;&lt;/ruby&gt;")</f>
        <v>&lt;ruby&gt;责任&lt;rt&gt;zérèn&lt;/rt&gt;&lt;/ruby&gt;</v>
      </c>
      <c r="E794" s="13" t="str">
        <f ca="1">IFERROR(__xludf.DUMMYFUNCTION("""COMPUTED_VALUE"""),"zérèn")</f>
        <v>zérèn</v>
      </c>
      <c r="F794" s="13" t="str">
        <f ca="1">IFERROR(__xludf.DUMMYFUNCTION("""COMPUTED_VALUE"""),"Danh từ")</f>
        <v>Danh từ</v>
      </c>
      <c r="G794" s="13" t="str">
        <f ca="1">IFERROR(__xludf.DUMMYFUNCTION("""COMPUTED_VALUE"""),"trách nhiệm")</f>
        <v>trách nhiệm</v>
      </c>
      <c r="H794" s="13" t="str">
        <f ca="1">IFERROR(__xludf.DUMMYFUNCTION("""COMPUTED_VALUE"""),"他肩上扛着许多责任。")</f>
        <v>他肩上扛着许多责任。</v>
      </c>
      <c r="I794" s="13"/>
      <c r="J794" s="13" t="str">
        <f ca="1">IFERROR(__xludf.DUMMYFUNCTION("""COMPUTED_VALUE"""),"Anh ấy gánh trên vai rất nhiều trách nhiệm.")</f>
        <v>Anh ấy gánh trên vai rất nhiều trách nhiệm.</v>
      </c>
      <c r="K794" s="13" t="str">
        <f ca="1">IFERROR(__xludf.DUMMYFUNCTION("""COMPUTED_VALUE"""),"H4_B4_BG28.png")</f>
        <v>H4_B4_BG28.png</v>
      </c>
      <c r="L794" s="13" t="str">
        <f ca="1">IFERROR(__xludf.DUMMYFUNCTION("""COMPUTED_VALUE"""),"B4_28.mp3")</f>
        <v>B4_28.mp3</v>
      </c>
      <c r="M794" s="13" t="str">
        <f ca="1">IFERROR(__xludf.DUMMYFUNCTION("""COMPUTED_VALUE"""),"B4_VD_28.mp3")</f>
        <v>B4_VD_28.mp3</v>
      </c>
    </row>
    <row r="795" spans="1:13">
      <c r="A795" s="13">
        <f ca="1">IFERROR(__xludf.DUMMYFUNCTION("""COMPUTED_VALUE"""),29)</f>
        <v>29</v>
      </c>
      <c r="B795" s="13"/>
      <c r="C795" s="13" t="str">
        <f ca="1">IFERROR(__xludf.DUMMYFUNCTION("""COMPUTED_VALUE"""),"知识")</f>
        <v>知识</v>
      </c>
      <c r="D795" s="13" t="str">
        <f ca="1">IFERROR(__xludf.DUMMYFUNCTION("""COMPUTED_VALUE"""),"&lt;ruby&gt;知识&lt;rt&gt;Zhīshì&lt;/rt&gt;&lt;/ruby&gt;")</f>
        <v>&lt;ruby&gt;知识&lt;rt&gt;Zhīshì&lt;/rt&gt;&lt;/ruby&gt;</v>
      </c>
      <c r="E795" s="13" t="str">
        <f ca="1">IFERROR(__xludf.DUMMYFUNCTION("""COMPUTED_VALUE"""),"Zhīshì")</f>
        <v>Zhīshì</v>
      </c>
      <c r="F795" s="13" t="str">
        <f ca="1">IFERROR(__xludf.DUMMYFUNCTION("""COMPUTED_VALUE"""),"Danh từ")</f>
        <v>Danh từ</v>
      </c>
      <c r="G795" s="13" t="str">
        <f ca="1">IFERROR(__xludf.DUMMYFUNCTION("""COMPUTED_VALUE"""),"kiến thức")</f>
        <v>kiến thức</v>
      </c>
      <c r="H795" s="13" t="str">
        <f ca="1">IFERROR(__xludf.DUMMYFUNCTION("""COMPUTED_VALUE"""),"图书馆是知识传播的地方。")</f>
        <v>图书馆是知识传播的地方。</v>
      </c>
      <c r="I795" s="13"/>
      <c r="J795" s="13" t="str">
        <f ca="1">IFERROR(__xludf.DUMMYFUNCTION("""COMPUTED_VALUE"""),"Thư viện là nơi kiến thức được lan tỏa.")</f>
        <v>Thư viện là nơi kiến thức được lan tỏa.</v>
      </c>
      <c r="K795" s="13" t="str">
        <f ca="1">IFERROR(__xludf.DUMMYFUNCTION("""COMPUTED_VALUE"""),"H4_B4_BG29.png")</f>
        <v>H4_B4_BG29.png</v>
      </c>
      <c r="L795" s="13" t="str">
        <f ca="1">IFERROR(__xludf.DUMMYFUNCTION("""COMPUTED_VALUE"""),"B4_29.mp3")</f>
        <v>B4_29.mp3</v>
      </c>
      <c r="M795" s="13" t="str">
        <f ca="1">IFERROR(__xludf.DUMMYFUNCTION("""COMPUTED_VALUE"""),"B4_VD_29.mp3")</f>
        <v>B4_VD_29.mp3</v>
      </c>
    </row>
    <row r="796" spans="1:13">
      <c r="A796" s="13">
        <f ca="1">IFERROR(__xludf.DUMMYFUNCTION("""COMPUTED_VALUE"""),30)</f>
        <v>30</v>
      </c>
      <c r="B796" s="13"/>
      <c r="C796" s="13" t="str">
        <f ca="1">IFERROR(__xludf.DUMMYFUNCTION("""COMPUTED_VALUE"""),"赚")</f>
        <v>赚</v>
      </c>
      <c r="D796" s="13" t="str">
        <f ca="1">IFERROR(__xludf.DUMMYFUNCTION("""COMPUTED_VALUE"""),"&lt;ruby&gt;赚&lt;rt&gt;zhuàn&lt;/rt&gt;&lt;/ruby&gt;")</f>
        <v>&lt;ruby&gt;赚&lt;rt&gt;zhuàn&lt;/rt&gt;&lt;/ruby&gt;</v>
      </c>
      <c r="E796" s="13" t="str">
        <f ca="1">IFERROR(__xludf.DUMMYFUNCTION("""COMPUTED_VALUE"""),"zhuàn")</f>
        <v>zhuàn</v>
      </c>
      <c r="F796" s="13" t="str">
        <f ca="1">IFERROR(__xludf.DUMMYFUNCTION("""COMPUTED_VALUE"""),"Động từ")</f>
        <v>Động từ</v>
      </c>
      <c r="G796" s="13" t="str">
        <f ca="1">IFERROR(__xludf.DUMMYFUNCTION("""COMPUTED_VALUE"""),"kiếm (tiền)")</f>
        <v>kiếm (tiền)</v>
      </c>
      <c r="H796" s="13" t="str">
        <f ca="1">IFERROR(__xludf.DUMMYFUNCTION("""COMPUTED_VALUE"""),"他努力赚钱养家。")</f>
        <v>他努力赚钱养家。</v>
      </c>
      <c r="I796" s="13"/>
      <c r="J796" s="13" t="str">
        <f ca="1">IFERROR(__xludf.DUMMYFUNCTION("""COMPUTED_VALUE"""),"Anh ấy nỗ lực kiếm tiền nuôi gia đình.")</f>
        <v>Anh ấy nỗ lực kiếm tiền nuôi gia đình.</v>
      </c>
      <c r="K796" s="13" t="str">
        <f ca="1">IFERROR(__xludf.DUMMYFUNCTION("""COMPUTED_VALUE"""),"H4_B4_BG30.png")</f>
        <v>H4_B4_BG30.png</v>
      </c>
      <c r="L796" s="13" t="str">
        <f ca="1">IFERROR(__xludf.DUMMYFUNCTION("""COMPUTED_VALUE"""),"B4_30.mp3")</f>
        <v>B4_30.mp3</v>
      </c>
      <c r="M796" s="13" t="str">
        <f ca="1">IFERROR(__xludf.DUMMYFUNCTION("""COMPUTED_VALUE"""),"B4_VD_30.mp3")</f>
        <v>B4_VD_30.mp3</v>
      </c>
    </row>
    <row r="797" spans="1:13">
      <c r="A797" s="13">
        <f ca="1">IFERROR(__xludf.DUMMYFUNCTION("""COMPUTED_VALUE"""),31)</f>
        <v>31</v>
      </c>
      <c r="B797" s="13"/>
      <c r="C797" s="13" t="str">
        <f ca="1">IFERROR(__xludf.DUMMYFUNCTION("""COMPUTED_VALUE"""),"并")</f>
        <v>并</v>
      </c>
      <c r="D797" s="13" t="str">
        <f ca="1">IFERROR(__xludf.DUMMYFUNCTION("""COMPUTED_VALUE"""),"&lt;ruby&gt;并&lt;rt&gt;bìng&lt;/rt&gt;&lt;/ruby&gt;")</f>
        <v>&lt;ruby&gt;并&lt;rt&gt;bìng&lt;/rt&gt;&lt;/ruby&gt;</v>
      </c>
      <c r="E797" s="13" t="str">
        <f ca="1">IFERROR(__xludf.DUMMYFUNCTION("""COMPUTED_VALUE"""),"bìng")</f>
        <v>bìng</v>
      </c>
      <c r="F797" s="13" t="str">
        <f ca="1">IFERROR(__xludf.DUMMYFUNCTION("""COMPUTED_VALUE"""),"Phó từ")</f>
        <v>Phó từ</v>
      </c>
      <c r="G797" s="13" t="str">
        <f ca="1">IFERROR(__xludf.DUMMYFUNCTION("""COMPUTED_VALUE"""),"được dùng trước từ phủ định để nhấn mạnh")</f>
        <v>được dùng trước từ phủ định để nhấn mạnh</v>
      </c>
      <c r="H797" s="13" t="str">
        <f ca="1">IFERROR(__xludf.DUMMYFUNCTION("""COMPUTED_VALUE"""),"他并不喜欢参加聚会。")</f>
        <v>他并不喜欢参加聚会。</v>
      </c>
      <c r="I797" s="13"/>
      <c r="J797" s="13" t="str">
        <f ca="1">IFERROR(__xludf.DUMMYFUNCTION("""COMPUTED_VALUE"""),"Anh ấy hoàn toàn không thích tham gia các buổi tiệc.")</f>
        <v>Anh ấy hoàn toàn không thích tham gia các buổi tiệc.</v>
      </c>
      <c r="K797" s="13" t="str">
        <f ca="1">IFERROR(__xludf.DUMMYFUNCTION("""COMPUTED_VALUE"""),"H4_B4_BG31.png")</f>
        <v>H4_B4_BG31.png</v>
      </c>
      <c r="L797" s="13" t="str">
        <f ca="1">IFERROR(__xludf.DUMMYFUNCTION("""COMPUTED_VALUE"""),"B4_31.mp3")</f>
        <v>B4_31.mp3</v>
      </c>
      <c r="M797" s="13" t="str">
        <f ca="1">IFERROR(__xludf.DUMMYFUNCTION("""COMPUTED_VALUE"""),"B4_VD_31.mp3")</f>
        <v>B4_VD_31.mp3</v>
      </c>
    </row>
    <row r="798" spans="1:13">
      <c r="A798" s="13">
        <f ca="1">IFERROR(__xludf.DUMMYFUNCTION("""COMPUTED_VALUE"""),32)</f>
        <v>32</v>
      </c>
      <c r="B798" s="13"/>
      <c r="C798" s="13" t="str">
        <f ca="1">IFERROR(__xludf.DUMMYFUNCTION("""COMPUTED_VALUE"""),"按")</f>
        <v>按</v>
      </c>
      <c r="D798" s="13" t="str">
        <f ca="1">IFERROR(__xludf.DUMMYFUNCTION("""COMPUTED_VALUE"""),"&lt;ruby&gt;按&lt;rt&gt;àn&lt;/rt&gt;&lt;/ruby&gt;")</f>
        <v>&lt;ruby&gt;按&lt;rt&gt;àn&lt;/rt&gt;&lt;/ruby&gt;</v>
      </c>
      <c r="E798" s="13" t="str">
        <f ca="1">IFERROR(__xludf.DUMMYFUNCTION("""COMPUTED_VALUE"""),"àn")</f>
        <v>àn</v>
      </c>
      <c r="F798" s="13" t="str">
        <f ca="1">IFERROR(__xludf.DUMMYFUNCTION("""COMPUTED_VALUE"""),"Giới từ")</f>
        <v>Giới từ</v>
      </c>
      <c r="G798" s="13" t="str">
        <f ca="1">IFERROR(__xludf.DUMMYFUNCTION("""COMPUTED_VALUE"""),"theo, dựa và")</f>
        <v>theo, dựa và</v>
      </c>
      <c r="H798" s="13" t="str">
        <f ca="1">IFERROR(__xludf.DUMMYFUNCTION("""COMPUTED_VALUE"""),"按规定，这里不能抽烟。")</f>
        <v>按规定，这里不能抽烟。</v>
      </c>
      <c r="I798" s="13"/>
      <c r="J798" s="13" t="str">
        <f ca="1">IFERROR(__xludf.DUMMYFUNCTION("""COMPUTED_VALUE"""),"Theo quy định, ở đây không được hút thuốc.")</f>
        <v>Theo quy định, ở đây không được hút thuốc.</v>
      </c>
      <c r="K798" s="13" t="str">
        <f ca="1">IFERROR(__xludf.DUMMYFUNCTION("""COMPUTED_VALUE"""),"H4_B4_BG32.png")</f>
        <v>H4_B4_BG32.png</v>
      </c>
      <c r="L798" s="13" t="str">
        <f ca="1">IFERROR(__xludf.DUMMYFUNCTION("""COMPUTED_VALUE"""),"B4_32.mp3")</f>
        <v>B4_32.mp3</v>
      </c>
      <c r="M798" s="13" t="str">
        <f ca="1">IFERROR(__xludf.DUMMYFUNCTION("""COMPUTED_VALUE"""),"B4_VD_32.mp3")</f>
        <v>B4_VD_32.mp3</v>
      </c>
    </row>
    <row r="799" spans="1:13">
      <c r="A799" s="13">
        <f ca="1">IFERROR(__xludf.DUMMYFUNCTION("""COMPUTED_VALUE"""),33)</f>
        <v>33</v>
      </c>
      <c r="B799" s="13"/>
      <c r="C799" s="13" t="str">
        <f ca="1">IFERROR(__xludf.DUMMYFUNCTION("""COMPUTED_VALUE"""),"成")</f>
        <v>成</v>
      </c>
      <c r="D799" s="13" t="str">
        <f ca="1">IFERROR(__xludf.DUMMYFUNCTION("""COMPUTED_VALUE"""),"&lt;ruby&gt;成&lt;rt&gt;chéng&lt;/rt&gt;&lt;/ruby&gt;")</f>
        <v>&lt;ruby&gt;成&lt;rt&gt;chéng&lt;/rt&gt;&lt;/ruby&gt;</v>
      </c>
      <c r="E799" s="13" t="str">
        <f ca="1">IFERROR(__xludf.DUMMYFUNCTION("""COMPUTED_VALUE"""),"chéng")</f>
        <v>chéng</v>
      </c>
      <c r="F799" s="13" t="str">
        <f ca="1">IFERROR(__xludf.DUMMYFUNCTION("""COMPUTED_VALUE"""),"Động từ")</f>
        <v>Động từ</v>
      </c>
      <c r="G799" s="13" t="str">
        <f ca="1">IFERROR(__xludf.DUMMYFUNCTION("""COMPUTED_VALUE"""),"thành công, hoàn thành")</f>
        <v>thành công, hoàn thành</v>
      </c>
      <c r="H799" s="13" t="str">
        <f ca="1">IFERROR(__xludf.DUMMYFUNCTION("""COMPUTED_VALUE"""),"他把试卷的错误改成了正确的答案。")</f>
        <v>他把试卷的错误改成了正确的答案。</v>
      </c>
      <c r="I799" s="13"/>
      <c r="J799" s="13" t="str">
        <f ca="1">IFERROR(__xludf.DUMMYFUNCTION("""COMPUTED_VALUE"""),"Anh ấy đã sửa lỗi trong bài thi thành đáp án đúng.")</f>
        <v>Anh ấy đã sửa lỗi trong bài thi thành đáp án đúng.</v>
      </c>
      <c r="K799" s="13" t="str">
        <f ca="1">IFERROR(__xludf.DUMMYFUNCTION("""COMPUTED_VALUE"""),"H4_B4_BG33.png")</f>
        <v>H4_B4_BG33.png</v>
      </c>
      <c r="L799" s="13" t="str">
        <f ca="1">IFERROR(__xludf.DUMMYFUNCTION("""COMPUTED_VALUE"""),"B4_33.mp3")</f>
        <v>B4_33.mp3</v>
      </c>
      <c r="M799" s="13" t="str">
        <f ca="1">IFERROR(__xludf.DUMMYFUNCTION("""COMPUTED_VALUE"""),"B4_VD_33.mp3")</f>
        <v>B4_VD_33.mp3</v>
      </c>
    </row>
    <row r="800" spans="1:13">
      <c r="A800" s="13">
        <f ca="1">IFERROR(__xludf.DUMMYFUNCTION("""COMPUTED_VALUE"""),1)</f>
        <v>1</v>
      </c>
      <c r="B800" s="13"/>
      <c r="C800" s="13" t="str">
        <f ca="1">IFERROR(__xludf.DUMMYFUNCTION("""COMPUTED_VALUE"""),"标准")</f>
        <v>标准</v>
      </c>
      <c r="D800" s="13" t="str">
        <f ca="1">IFERROR(__xludf.DUMMYFUNCTION("""COMPUTED_VALUE"""),"&lt;ruby&gt;标准&lt;rt&gt;biāozhǔn&lt;/rt&gt;&lt;/ruby&gt;")</f>
        <v>&lt;ruby&gt;标准&lt;rt&gt;biāozhǔn&lt;/rt&gt;&lt;/ruby&gt;</v>
      </c>
      <c r="E800" s="13" t="str">
        <f ca="1">IFERROR(__xludf.DUMMYFUNCTION("""COMPUTED_VALUE"""),"biāozhǔn")</f>
        <v>biāozhǔn</v>
      </c>
      <c r="F800" s="13" t="str">
        <f ca="1">IFERROR(__xludf.DUMMYFUNCTION("""COMPUTED_VALUE"""),"Danh từ")</f>
        <v>Danh từ</v>
      </c>
      <c r="G800" s="13" t="str">
        <f ca="1">IFERROR(__xludf.DUMMYFUNCTION("""COMPUTED_VALUE"""),"tiêu chuẩn, chuần mực")</f>
        <v>tiêu chuẩn, chuần mực</v>
      </c>
      <c r="H800" s="13" t="str">
        <f ca="1">IFERROR(__xludf.DUMMYFUNCTION("""COMPUTED_VALUE"""),"她做的菜好吃得像五星级酒店的标准一样。 ")</f>
        <v xml:space="preserve">她做的菜好吃得像五星级酒店的标准一样。 </v>
      </c>
      <c r="I800" s="13"/>
      <c r="J800" s="13" t="str">
        <f ca="1">IFERROR(__xludf.DUMMYFUNCTION("""COMPUTED_VALUE"""),"Món mà cô ấy nấu ngon tới mức đạt tiêu chuẩn của nhà hàng 5 sao.")</f>
        <v>Món mà cô ấy nấu ngon tới mức đạt tiêu chuẩn của nhà hàng 5 sao.</v>
      </c>
      <c r="K800" s="13" t="str">
        <f ca="1">IFERROR(__xludf.DUMMYFUNCTION("""COMPUTED_VALUE"""),"H4_B5_BG1.png")</f>
        <v>H4_B5_BG1.png</v>
      </c>
      <c r="L800" s="13" t="str">
        <f ca="1">IFERROR(__xludf.DUMMYFUNCTION("""COMPUTED_VALUE"""),"B5_1.mp3")</f>
        <v>B5_1.mp3</v>
      </c>
      <c r="M800" s="13" t="str">
        <f ca="1">IFERROR(__xludf.DUMMYFUNCTION("""COMPUTED_VALUE"""),"B5_VD_1.mp3")</f>
        <v>B5_VD_1.mp3</v>
      </c>
    </row>
    <row r="801" spans="1:13">
      <c r="A801" s="13">
        <f ca="1">IFERROR(__xludf.DUMMYFUNCTION("""COMPUTED_VALUE"""),2)</f>
        <v>2</v>
      </c>
      <c r="B801" s="13"/>
      <c r="C801" s="13" t="str">
        <f ca="1">IFERROR(__xludf.DUMMYFUNCTION("""COMPUTED_VALUE"""),"打折")</f>
        <v>打折</v>
      </c>
      <c r="D801" s="13" t="str">
        <f ca="1">IFERROR(__xludf.DUMMYFUNCTION("""COMPUTED_VALUE"""),"&lt;ruby&gt;打折&lt;rt&gt;dă zhé&lt;/rt&gt;&lt;/ruby&gt;")</f>
        <v>&lt;ruby&gt;打折&lt;rt&gt;dă zhé&lt;/rt&gt;&lt;/ruby&gt;</v>
      </c>
      <c r="E801" s="13" t="str">
        <f ca="1">IFERROR(__xludf.DUMMYFUNCTION("""COMPUTED_VALUE"""),"dă zhé")</f>
        <v>dă zhé</v>
      </c>
      <c r="F801" s="13" t="str">
        <f ca="1">IFERROR(__xludf.DUMMYFUNCTION("""COMPUTED_VALUE"""),"Động từ")</f>
        <v>Động từ</v>
      </c>
      <c r="G801" s="13" t="str">
        <f ca="1">IFERROR(__xludf.DUMMYFUNCTION("""COMPUTED_VALUE"""),"giảm giá")</f>
        <v>giảm giá</v>
      </c>
      <c r="H801" s="13" t="str">
        <f ca="1">IFERROR(__xludf.DUMMYFUNCTION("""COMPUTED_VALUE"""),"今天我喜欢的商店全场商品打八折。")</f>
        <v>今天我喜欢的商店全场商品打八折。</v>
      </c>
      <c r="I801" s="13"/>
      <c r="J801" s="13" t="str">
        <f ca="1">IFERROR(__xludf.DUMMYFUNCTION("""COMPUTED_VALUE"""),"Hôm nay cửa hàng tôi thích giảm giá 20% toàn bộ sản phẩm.")</f>
        <v>Hôm nay cửa hàng tôi thích giảm giá 20% toàn bộ sản phẩm.</v>
      </c>
      <c r="K801" s="13" t="str">
        <f ca="1">IFERROR(__xludf.DUMMYFUNCTION("""COMPUTED_VALUE"""),"H4_B5_BG2.png")</f>
        <v>H4_B5_BG2.png</v>
      </c>
      <c r="L801" s="13" t="str">
        <f ca="1">IFERROR(__xludf.DUMMYFUNCTION("""COMPUTED_VALUE"""),"B5_2.mp3")</f>
        <v>B5_2.mp3</v>
      </c>
      <c r="M801" s="13" t="str">
        <f ca="1">IFERROR(__xludf.DUMMYFUNCTION("""COMPUTED_VALUE"""),"B5_VD_2.mp3")</f>
        <v>B5_VD_2.mp3</v>
      </c>
    </row>
    <row r="802" spans="1:13">
      <c r="A802" s="13">
        <f ca="1">IFERROR(__xludf.DUMMYFUNCTION("""COMPUTED_VALUE"""),3)</f>
        <v>3</v>
      </c>
      <c r="B802" s="13"/>
      <c r="C802" s="13" t="str">
        <f ca="1">IFERROR(__xludf.DUMMYFUNCTION("""COMPUTED_VALUE"""),"购物")</f>
        <v>购物</v>
      </c>
      <c r="D802" s="13" t="str">
        <f ca="1">IFERROR(__xludf.DUMMYFUNCTION("""COMPUTED_VALUE"""),"&lt;ruby&gt;购物&lt;rt&gt;gòu wù&lt;/rt&gt;&lt;/ruby&gt;")</f>
        <v>&lt;ruby&gt;购物&lt;rt&gt;gòu wù&lt;/rt&gt;&lt;/ruby&gt;</v>
      </c>
      <c r="E802" s="13" t="str">
        <f ca="1">IFERROR(__xludf.DUMMYFUNCTION("""COMPUTED_VALUE"""),"gòu wù")</f>
        <v>gòu wù</v>
      </c>
      <c r="F802" s="13"/>
      <c r="G802" s="13" t="str">
        <f ca="1">IFERROR(__xludf.DUMMYFUNCTION("""COMPUTED_VALUE"""),"mua sắm, mua hàng")</f>
        <v>mua sắm, mua hàng</v>
      </c>
      <c r="H802" s="13" t="str">
        <f ca="1">IFERROR(__xludf.DUMMYFUNCTION("""COMPUTED_VALUE"""),"今天我和好朋友一起去购物了。")</f>
        <v>今天我和好朋友一起去购物了。</v>
      </c>
      <c r="I802" s="13"/>
      <c r="J802" s="13" t="str">
        <f ca="1">IFERROR(__xludf.DUMMYFUNCTION("""COMPUTED_VALUE"""),"Hôm nay tôi cùng bạn thân đi mua sắm.")</f>
        <v>Hôm nay tôi cùng bạn thân đi mua sắm.</v>
      </c>
      <c r="K802" s="13" t="str">
        <f ca="1">IFERROR(__xludf.DUMMYFUNCTION("""COMPUTED_VALUE"""),"H4_B5_BG3.png")</f>
        <v>H4_B5_BG3.png</v>
      </c>
      <c r="L802" s="13" t="str">
        <f ca="1">IFERROR(__xludf.DUMMYFUNCTION("""COMPUTED_VALUE"""),"B5_3.mp3")</f>
        <v>B5_3.mp3</v>
      </c>
      <c r="M802" s="13" t="str">
        <f ca="1">IFERROR(__xludf.DUMMYFUNCTION("""COMPUTED_VALUE"""),"B5_VD_3.mp3")</f>
        <v>B5_VD_3.mp3</v>
      </c>
    </row>
    <row r="803" spans="1:13">
      <c r="A803" s="13">
        <f ca="1">IFERROR(__xludf.DUMMYFUNCTION("""COMPUTED_VALUE"""),4)</f>
        <v>4</v>
      </c>
      <c r="B803" s="13"/>
      <c r="C803" s="13" t="str">
        <f ca="1">IFERROR(__xludf.DUMMYFUNCTION("""COMPUTED_VALUE"""),"购买")</f>
        <v>购买</v>
      </c>
      <c r="D803" s="13" t="str">
        <f ca="1">IFERROR(__xludf.DUMMYFUNCTION("""COMPUTED_VALUE"""),"&lt;ruby&gt;购买&lt;rt&gt;Gòumǎi&lt;/rt&gt;&lt;/ruby&gt;")</f>
        <v>&lt;ruby&gt;购买&lt;rt&gt;Gòumǎi&lt;/rt&gt;&lt;/ruby&gt;</v>
      </c>
      <c r="E803" s="13" t="str">
        <f ca="1">IFERROR(__xludf.DUMMYFUNCTION("""COMPUTED_VALUE"""),"Gòumǎi")</f>
        <v>Gòumǎi</v>
      </c>
      <c r="F803" s="13" t="str">
        <f ca="1">IFERROR(__xludf.DUMMYFUNCTION("""COMPUTED_VALUE"""),"Động từ")</f>
        <v>Động từ</v>
      </c>
      <c r="G803" s="13" t="str">
        <f ca="1">IFERROR(__xludf.DUMMYFUNCTION("""COMPUTED_VALUE"""),"mua, sắm")</f>
        <v>mua, sắm</v>
      </c>
      <c r="H803" s="13" t="str">
        <f ca="1">IFERROR(__xludf.DUMMYFUNCTION("""COMPUTED_VALUE"""),"今天发工资了，我打算去购买一部新手机。")</f>
        <v>今天发工资了，我打算去购买一部新手机。</v>
      </c>
      <c r="I803" s="13"/>
      <c r="J803" s="13" t="str">
        <f ca="1">IFERROR(__xludf.DUMMYFUNCTION("""COMPUTED_VALUE"""),"Nay tôi lĩnh lương, sẽ đi mua điện thoại mới.")</f>
        <v>Nay tôi lĩnh lương, sẽ đi mua điện thoại mới.</v>
      </c>
      <c r="K803" s="13" t="str">
        <f ca="1">IFERROR(__xludf.DUMMYFUNCTION("""COMPUTED_VALUE"""),"H4_B5_BG4.png")</f>
        <v>H4_B5_BG4.png</v>
      </c>
      <c r="L803" s="13" t="str">
        <f ca="1">IFERROR(__xludf.DUMMYFUNCTION("""COMPUTED_VALUE"""),"B5_4.mp3")</f>
        <v>B5_4.mp3</v>
      </c>
      <c r="M803" s="13" t="str">
        <f ca="1">IFERROR(__xludf.DUMMYFUNCTION("""COMPUTED_VALUE"""),"B5_VD_4.mp3")</f>
        <v>B5_VD_4.mp3</v>
      </c>
    </row>
    <row r="804" spans="1:13">
      <c r="A804" s="13">
        <f ca="1">IFERROR(__xludf.DUMMYFUNCTION("""COMPUTED_VALUE"""),5)</f>
        <v>5</v>
      </c>
      <c r="B804" s="13"/>
      <c r="C804" s="13" t="str">
        <f ca="1">IFERROR(__xludf.DUMMYFUNCTION("""COMPUTED_VALUE"""),"家具")</f>
        <v>家具</v>
      </c>
      <c r="D804" s="13" t="str">
        <f ca="1">IFERROR(__xludf.DUMMYFUNCTION("""COMPUTED_VALUE"""),"&lt;ruby&gt;家具&lt;rt&gt;jiājù&lt;/rt&gt;&lt;/ruby&gt;")</f>
        <v>&lt;ruby&gt;家具&lt;rt&gt;jiājù&lt;/rt&gt;&lt;/ruby&gt;</v>
      </c>
      <c r="E804" s="13" t="str">
        <f ca="1">IFERROR(__xludf.DUMMYFUNCTION("""COMPUTED_VALUE"""),"jiājù")</f>
        <v>jiājù</v>
      </c>
      <c r="F804" s="13" t="str">
        <f ca="1">IFERROR(__xludf.DUMMYFUNCTION("""COMPUTED_VALUE"""),"Danh từ")</f>
        <v>Danh từ</v>
      </c>
      <c r="G804" s="13" t="str">
        <f ca="1">IFERROR(__xludf.DUMMYFUNCTION("""COMPUTED_VALUE"""),"đồ dùng trong nhà")</f>
        <v>đồ dùng trong nhà</v>
      </c>
      <c r="H804" s="13" t="str">
        <f ca="1">IFERROR(__xludf.DUMMYFUNCTION("""COMPUTED_VALUE"""),"今天我把家里的家具都打扫了一遍。")</f>
        <v>今天我把家里的家具都打扫了一遍。</v>
      </c>
      <c r="I804" s="13"/>
      <c r="J804" s="13" t="str">
        <f ca="1">IFERROR(__xludf.DUMMYFUNCTION("""COMPUTED_VALUE"""),"Hôm nay tôi lau dọn hết đồ dùng trong nhà.")</f>
        <v>Hôm nay tôi lau dọn hết đồ dùng trong nhà.</v>
      </c>
      <c r="K804" s="13" t="str">
        <f ca="1">IFERROR(__xludf.DUMMYFUNCTION("""COMPUTED_VALUE"""),"H4_B5_BG5.png")</f>
        <v>H4_B5_BG5.png</v>
      </c>
      <c r="L804" s="13" t="str">
        <f ca="1">IFERROR(__xludf.DUMMYFUNCTION("""COMPUTED_VALUE"""),"B5_5.mp3")</f>
        <v>B5_5.mp3</v>
      </c>
      <c r="M804" s="13" t="str">
        <f ca="1">IFERROR(__xludf.DUMMYFUNCTION("""COMPUTED_VALUE"""),"B5_VD_5.mp3")</f>
        <v>B5_VD_5.mp3</v>
      </c>
    </row>
    <row r="805" spans="1:13">
      <c r="A805" s="13">
        <f ca="1">IFERROR(__xludf.DUMMYFUNCTION("""COMPUTED_VALUE"""),6)</f>
        <v>6</v>
      </c>
      <c r="B805" s="13"/>
      <c r="C805" s="13" t="str">
        <f ca="1">IFERROR(__xludf.DUMMYFUNCTION("""COMPUTED_VALUE"""),"葡萄")</f>
        <v>葡萄</v>
      </c>
      <c r="D805" s="13" t="str">
        <f ca="1">IFERROR(__xludf.DUMMYFUNCTION("""COMPUTED_VALUE"""),"&lt;ruby&gt;葡萄&lt;rt&gt;pútao&lt;/rt&gt;&lt;/ruby&gt;")</f>
        <v>&lt;ruby&gt;葡萄&lt;rt&gt;pútao&lt;/rt&gt;&lt;/ruby&gt;</v>
      </c>
      <c r="E805" s="13" t="str">
        <f ca="1">IFERROR(__xludf.DUMMYFUNCTION("""COMPUTED_VALUE"""),"pútao")</f>
        <v>pútao</v>
      </c>
      <c r="F805" s="13" t="str">
        <f ca="1">IFERROR(__xludf.DUMMYFUNCTION("""COMPUTED_VALUE"""),"Danh từ")</f>
        <v>Danh từ</v>
      </c>
      <c r="G805" s="13" t="str">
        <f ca="1">IFERROR(__xludf.DUMMYFUNCTION("""COMPUTED_VALUE"""),"quả nho")</f>
        <v>quả nho</v>
      </c>
      <c r="H805" s="13" t="str">
        <f ca="1">IFERROR(__xludf.DUMMYFUNCTION("""COMPUTED_VALUE"""),"妈妈买的葡萄好甜啊！")</f>
        <v>妈妈买的葡萄好甜啊！</v>
      </c>
      <c r="I805" s="13"/>
      <c r="J805" s="13" t="str">
        <f ca="1">IFERROR(__xludf.DUMMYFUNCTION("""COMPUTED_VALUE"""),"Nho mà mẹ mua ngọt quá.")</f>
        <v>Nho mà mẹ mua ngọt quá.</v>
      </c>
      <c r="K805" s="13" t="str">
        <f ca="1">IFERROR(__xludf.DUMMYFUNCTION("""COMPUTED_VALUE"""),"H4_B5_BG6.png")</f>
        <v>H4_B5_BG6.png</v>
      </c>
      <c r="L805" s="13" t="str">
        <f ca="1">IFERROR(__xludf.DUMMYFUNCTION("""COMPUTED_VALUE"""),"B5_6.mp3")</f>
        <v>B5_6.mp3</v>
      </c>
      <c r="M805" s="13" t="str">
        <f ca="1">IFERROR(__xludf.DUMMYFUNCTION("""COMPUTED_VALUE"""),"B5_VD_6.mp3")</f>
        <v>B5_VD_6.mp3</v>
      </c>
    </row>
    <row r="806" spans="1:13">
      <c r="A806" s="13">
        <f ca="1">IFERROR(__xludf.DUMMYFUNCTION("""COMPUTED_VALUE"""),7)</f>
        <v>7</v>
      </c>
      <c r="B806" s="13"/>
      <c r="C806" s="13" t="str">
        <f ca="1">IFERROR(__xludf.DUMMYFUNCTION("""COMPUTED_VALUE"""),"制冷")</f>
        <v>制冷</v>
      </c>
      <c r="D806" s="13" t="str">
        <f ca="1">IFERROR(__xludf.DUMMYFUNCTION("""COMPUTED_VALUE"""),"&lt;ruby&gt;制冷&lt;rt&gt;zhìlěng&lt;/rt&gt;&lt;/ruby&gt;")</f>
        <v>&lt;ruby&gt;制冷&lt;rt&gt;zhìlěng&lt;/rt&gt;&lt;/ruby&gt;</v>
      </c>
      <c r="E806" s="13" t="str">
        <f ca="1">IFERROR(__xludf.DUMMYFUNCTION("""COMPUTED_VALUE"""),"zhìlěng")</f>
        <v>zhìlěng</v>
      </c>
      <c r="F806" s="13" t="str">
        <f ca="1">IFERROR(__xludf.DUMMYFUNCTION("""COMPUTED_VALUE"""),"Động từ")</f>
        <v>Động từ</v>
      </c>
      <c r="G806" s="13" t="str">
        <f ca="1">IFERROR(__xludf.DUMMYFUNCTION("""COMPUTED_VALUE"""),"làm lạnh, ướp lạnh")</f>
        <v>làm lạnh, ướp lạnh</v>
      </c>
      <c r="H806" s="13" t="str">
        <f ca="1">IFERROR(__xludf.DUMMYFUNCTION("""COMPUTED_VALUE"""),"这些鱼需要制冷保存。")</f>
        <v>这些鱼需要制冷保存。</v>
      </c>
      <c r="I806" s="13"/>
      <c r="J806" s="13" t="str">
        <f ca="1">IFERROR(__xludf.DUMMYFUNCTION("""COMPUTED_VALUE"""),"Những con cá này cần được làm lạnh để bảo quản.")</f>
        <v>Những con cá này cần được làm lạnh để bảo quản.</v>
      </c>
      <c r="K806" s="13" t="str">
        <f ca="1">IFERROR(__xludf.DUMMYFUNCTION("""COMPUTED_VALUE"""),"H4_B5_BG7.png")</f>
        <v>H4_B5_BG7.png</v>
      </c>
      <c r="L806" s="13" t="str">
        <f ca="1">IFERROR(__xludf.DUMMYFUNCTION("""COMPUTED_VALUE"""),"B5_7.mp3")</f>
        <v>B5_7.mp3</v>
      </c>
      <c r="M806" s="13" t="str">
        <f ca="1">IFERROR(__xludf.DUMMYFUNCTION("""COMPUTED_VALUE"""),"B5_VD_7.mp3")</f>
        <v>B5_VD_7.mp3</v>
      </c>
    </row>
    <row r="807" spans="1:13">
      <c r="A807" s="13">
        <f ca="1">IFERROR(__xludf.DUMMYFUNCTION("""COMPUTED_VALUE"""),8)</f>
        <v>8</v>
      </c>
      <c r="B807" s="13"/>
      <c r="C807" s="13" t="str">
        <f ca="1">IFERROR(__xludf.DUMMYFUNCTION("""COMPUTED_VALUE"""),"沙发")</f>
        <v>沙发</v>
      </c>
      <c r="D807" s="13" t="str">
        <f ca="1">IFERROR(__xludf.DUMMYFUNCTION("""COMPUTED_VALUE"""),"&lt;ruby&gt;沙发&lt;rt&gt;Shāfā&lt;/rt&gt;&lt;/ruby&gt;")</f>
        <v>&lt;ruby&gt;沙发&lt;rt&gt;Shāfā&lt;/rt&gt;&lt;/ruby&gt;</v>
      </c>
      <c r="E807" s="13" t="str">
        <f ca="1">IFERROR(__xludf.DUMMYFUNCTION("""COMPUTED_VALUE"""),"Shāfā")</f>
        <v>Shāfā</v>
      </c>
      <c r="F807" s="13" t="str">
        <f ca="1">IFERROR(__xludf.DUMMYFUNCTION("""COMPUTED_VALUE"""),"Danh từ")</f>
        <v>Danh từ</v>
      </c>
      <c r="G807" s="13" t="str">
        <f ca="1">IFERROR(__xludf.DUMMYFUNCTION("""COMPUTED_VALUE"""),"Ghế sôpha")</f>
        <v>Ghế sôpha</v>
      </c>
      <c r="H807" s="13" t="str">
        <f ca="1">IFERROR(__xludf.DUMMYFUNCTION("""COMPUTED_VALUE"""),"我刚买了这张绿色的沙发。")</f>
        <v>我刚买了这张绿色的沙发。</v>
      </c>
      <c r="I807" s="13"/>
      <c r="J807" s="13" t="str">
        <f ca="1">IFERROR(__xludf.DUMMYFUNCTION("""COMPUTED_VALUE"""),"Tôi vừa mua chiếc ghế sô pha màu xanh này.")</f>
        <v>Tôi vừa mua chiếc ghế sô pha màu xanh này.</v>
      </c>
      <c r="K807" s="13" t="str">
        <f ca="1">IFERROR(__xludf.DUMMYFUNCTION("""COMPUTED_VALUE"""),"H4_B5_BG8.png")</f>
        <v>H4_B5_BG8.png</v>
      </c>
      <c r="L807" s="13" t="str">
        <f ca="1">IFERROR(__xludf.DUMMYFUNCTION("""COMPUTED_VALUE"""),"B5_8.mp3")</f>
        <v>B5_8.mp3</v>
      </c>
      <c r="M807" s="13" t="str">
        <f ca="1">IFERROR(__xludf.DUMMYFUNCTION("""COMPUTED_VALUE"""),"B5_VD_8.mp3")</f>
        <v>B5_VD_8.mp3</v>
      </c>
    </row>
    <row r="808" spans="1:13">
      <c r="A808" s="13">
        <f ca="1">IFERROR(__xludf.DUMMYFUNCTION("""COMPUTED_VALUE"""),9)</f>
        <v>9</v>
      </c>
      <c r="B808" s="13"/>
      <c r="C808" s="13" t="str">
        <f ca="1">IFERROR(__xludf.DUMMYFUNCTION("""COMPUTED_VALUE"""),"价格")</f>
        <v>价格</v>
      </c>
      <c r="D808" s="13" t="str">
        <f ca="1">IFERROR(__xludf.DUMMYFUNCTION("""COMPUTED_VALUE"""),"&lt;ruby&gt;价格&lt;rt&gt;jiàgé&lt;/rt&gt;&lt;/ruby&gt;")</f>
        <v>&lt;ruby&gt;价格&lt;rt&gt;jiàgé&lt;/rt&gt;&lt;/ruby&gt;</v>
      </c>
      <c r="E808" s="13" t="str">
        <f ca="1">IFERROR(__xludf.DUMMYFUNCTION("""COMPUTED_VALUE"""),"jiàgé")</f>
        <v>jiàgé</v>
      </c>
      <c r="F808" s="13" t="str">
        <f ca="1">IFERROR(__xludf.DUMMYFUNCTION("""COMPUTED_VALUE"""),"Danh từ")</f>
        <v>Danh từ</v>
      </c>
      <c r="G808" s="13" t="str">
        <f ca="1">IFERROR(__xludf.DUMMYFUNCTION("""COMPUTED_VALUE"""),"giá cả")</f>
        <v>giá cả</v>
      </c>
      <c r="H808" s="13" t="str">
        <f ca="1">IFERROR(__xludf.DUMMYFUNCTION("""COMPUTED_VALUE"""),"我觉得这房子的价格太高了。")</f>
        <v>我觉得这房子的价格太高了。</v>
      </c>
      <c r="I808" s="13"/>
      <c r="J808" s="13" t="str">
        <f ca="1">IFERROR(__xludf.DUMMYFUNCTION("""COMPUTED_VALUE"""),"Tôi nghĩ giá của căn nhà này rất cao.")</f>
        <v>Tôi nghĩ giá của căn nhà này rất cao.</v>
      </c>
      <c r="K808" s="13" t="str">
        <f ca="1">IFERROR(__xludf.DUMMYFUNCTION("""COMPUTED_VALUE"""),"H4_B5_BG9.png")</f>
        <v>H4_B5_BG9.png</v>
      </c>
      <c r="L808" s="13" t="str">
        <f ca="1">IFERROR(__xludf.DUMMYFUNCTION("""COMPUTED_VALUE"""),"B5_9.mp3")</f>
        <v>B5_9.mp3</v>
      </c>
      <c r="M808" s="13" t="str">
        <f ca="1">IFERROR(__xludf.DUMMYFUNCTION("""COMPUTED_VALUE"""),"B5_VD_9.mp3")</f>
        <v>B5_VD_9.mp3</v>
      </c>
    </row>
    <row r="809" spans="1:13">
      <c r="A809" s="13">
        <f ca="1">IFERROR(__xludf.DUMMYFUNCTION("""COMPUTED_VALUE"""),10)</f>
        <v>10</v>
      </c>
      <c r="B809" s="13"/>
      <c r="C809" s="13" t="str">
        <f ca="1">IFERROR(__xludf.DUMMYFUNCTION("""COMPUTED_VALUE"""),"考虑")</f>
        <v>考虑</v>
      </c>
      <c r="D809" s="13" t="str">
        <f ca="1">IFERROR(__xludf.DUMMYFUNCTION("""COMPUTED_VALUE"""),"&lt;ruby&gt;考虑&lt;rt&gt;kǎolù&lt;/rt&gt;&lt;/ruby&gt;")</f>
        <v>&lt;ruby&gt;考虑&lt;rt&gt;kǎolù&lt;/rt&gt;&lt;/ruby&gt;</v>
      </c>
      <c r="E809" s="13" t="str">
        <f ca="1">IFERROR(__xludf.DUMMYFUNCTION("""COMPUTED_VALUE"""),"kǎolù")</f>
        <v>kǎolù</v>
      </c>
      <c r="F809" s="13" t="str">
        <f ca="1">IFERROR(__xludf.DUMMYFUNCTION("""COMPUTED_VALUE"""),"Động từ")</f>
        <v>Động từ</v>
      </c>
      <c r="G809" s="13" t="str">
        <f ca="1">IFERROR(__xludf.DUMMYFUNCTION("""COMPUTED_VALUE"""),"suy xét, cân nhắc")</f>
        <v>suy xét, cân nhắc</v>
      </c>
      <c r="H809" s="13" t="str">
        <f ca="1">IFERROR(__xludf.DUMMYFUNCTION("""COMPUTED_VALUE"""),"我正在考虑今天是否要去购物。")</f>
        <v>我正在考虑今天是否要去购物。</v>
      </c>
      <c r="I809" s="13"/>
      <c r="J809" s="13" t="str">
        <f ca="1">IFERROR(__xludf.DUMMYFUNCTION("""COMPUTED_VALUE"""),"Tôi đang cân nhắc về việc có nên đi mua sắm vào hôm nay không.")</f>
        <v>Tôi đang cân nhắc về việc có nên đi mua sắm vào hôm nay không.</v>
      </c>
      <c r="K809" s="13" t="str">
        <f ca="1">IFERROR(__xludf.DUMMYFUNCTION("""COMPUTED_VALUE"""),"H4_B5_BG10.png")</f>
        <v>H4_B5_BG10.png</v>
      </c>
      <c r="L809" s="13" t="str">
        <f ca="1">IFERROR(__xludf.DUMMYFUNCTION("""COMPUTED_VALUE"""),"B5_10.mp3")</f>
        <v>B5_10.mp3</v>
      </c>
      <c r="M809" s="13" t="str">
        <f ca="1">IFERROR(__xludf.DUMMYFUNCTION("""COMPUTED_VALUE"""),"B5_VD_10.mp3")</f>
        <v>B5_VD_10.mp3</v>
      </c>
    </row>
    <row r="810" spans="1:13">
      <c r="A810" s="13">
        <f ca="1">IFERROR(__xludf.DUMMYFUNCTION("""COMPUTED_VALUE"""),11)</f>
        <v>11</v>
      </c>
      <c r="B810" s="13"/>
      <c r="C810" s="13" t="str">
        <f ca="1">IFERROR(__xludf.DUMMYFUNCTION("""COMPUTED_VALUE"""),"浪费")</f>
        <v>浪费</v>
      </c>
      <c r="D810" s="13" t="str">
        <f ca="1">IFERROR(__xludf.DUMMYFUNCTION("""COMPUTED_VALUE"""),"&lt;ruby&gt;浪费&lt;rt&gt;làngfèi&lt;/rt&gt;&lt;/ruby&gt;")</f>
        <v>&lt;ruby&gt;浪费&lt;rt&gt;làngfèi&lt;/rt&gt;&lt;/ruby&gt;</v>
      </c>
      <c r="E810" s="13" t="str">
        <f ca="1">IFERROR(__xludf.DUMMYFUNCTION("""COMPUTED_VALUE"""),"làngfèi")</f>
        <v>làngfèi</v>
      </c>
      <c r="F810" s="13" t="str">
        <f ca="1">IFERROR(__xludf.DUMMYFUNCTION("""COMPUTED_VALUE"""),"Động từ")</f>
        <v>Động từ</v>
      </c>
      <c r="G810" s="13" t="str">
        <f ca="1">IFERROR(__xludf.DUMMYFUNCTION("""COMPUTED_VALUE"""),"lãng phí, hoang phí")</f>
        <v>lãng phí, hoang phí</v>
      </c>
      <c r="H810" s="13" t="str">
        <f ca="1">IFERROR(__xludf.DUMMYFUNCTION("""COMPUTED_VALUE"""),"水桶坏了，浪费了很多水。")</f>
        <v>水桶坏了，浪费了很多水。</v>
      </c>
      <c r="I810" s="13"/>
      <c r="J810" s="13" t="str">
        <f ca="1">IFERROR(__xludf.DUMMYFUNCTION("""COMPUTED_VALUE"""),"Xô nước bị hỏng nên bị lãng phí rất nhiều nước.")</f>
        <v>Xô nước bị hỏng nên bị lãng phí rất nhiều nước.</v>
      </c>
      <c r="K810" s="13" t="str">
        <f ca="1">IFERROR(__xludf.DUMMYFUNCTION("""COMPUTED_VALUE"""),"H4_B5_BG11.png")</f>
        <v>H4_B5_BG11.png</v>
      </c>
      <c r="L810" s="13" t="str">
        <f ca="1">IFERROR(__xludf.DUMMYFUNCTION("""COMPUTED_VALUE"""),"B5_11.mp3")</f>
        <v>B5_11.mp3</v>
      </c>
      <c r="M810" s="13" t="str">
        <f ca="1">IFERROR(__xludf.DUMMYFUNCTION("""COMPUTED_VALUE"""),"B5_VD_11.mp3")</f>
        <v>B5_VD_11.mp3</v>
      </c>
    </row>
    <row r="811" spans="1:13">
      <c r="A811" s="13">
        <f ca="1">IFERROR(__xludf.DUMMYFUNCTION("""COMPUTED_VALUE"""),12)</f>
        <v>12</v>
      </c>
      <c r="B811" s="13"/>
      <c r="C811" s="13" t="str">
        <f ca="1">IFERROR(__xludf.DUMMYFUNCTION("""COMPUTED_VALUE"""),"商场")</f>
        <v>商场</v>
      </c>
      <c r="D811" s="13" t="str">
        <f ca="1">IFERROR(__xludf.DUMMYFUNCTION("""COMPUTED_VALUE"""),"&lt;ruby&gt;商场&lt;rt&gt;shāngchăng&lt;/rt&gt;&lt;/ruby&gt;")</f>
        <v>&lt;ruby&gt;商场&lt;rt&gt;shāngchăng&lt;/rt&gt;&lt;/ruby&gt;</v>
      </c>
      <c r="E811" s="13" t="str">
        <f ca="1">IFERROR(__xludf.DUMMYFUNCTION("""COMPUTED_VALUE"""),"shāngchăng")</f>
        <v>shāngchăng</v>
      </c>
      <c r="F811" s="13" t="str">
        <f ca="1">IFERROR(__xludf.DUMMYFUNCTION("""COMPUTED_VALUE"""),"Danh từ")</f>
        <v>Danh từ</v>
      </c>
      <c r="G811" s="13" t="str">
        <f ca="1">IFERROR(__xludf.DUMMYFUNCTION("""COMPUTED_VALUE"""),"trung tâm thương mại")</f>
        <v>trung tâm thương mại</v>
      </c>
      <c r="H811" s="13" t="str">
        <f ca="1">IFERROR(__xludf.DUMMYFUNCTION("""COMPUTED_VALUE"""),"周末我和朋友们去商场玩。")</f>
        <v>周末我和朋友们去商场玩。</v>
      </c>
      <c r="I811" s="13"/>
      <c r="J811" s="13" t="str">
        <f ca="1">IFERROR(__xludf.DUMMYFUNCTION("""COMPUTED_VALUE"""),"Cuối tuần tôi sẽ đi trung tâm thương mại với bạn bè.")</f>
        <v>Cuối tuần tôi sẽ đi trung tâm thương mại với bạn bè.</v>
      </c>
      <c r="K811" s="13" t="str">
        <f ca="1">IFERROR(__xludf.DUMMYFUNCTION("""COMPUTED_VALUE"""),"H4_B5_BG12.png")</f>
        <v>H4_B5_BG12.png</v>
      </c>
      <c r="L811" s="13" t="str">
        <f ca="1">IFERROR(__xludf.DUMMYFUNCTION("""COMPUTED_VALUE"""),"B5_12.mp3")</f>
        <v>B5_12.mp3</v>
      </c>
      <c r="M811" s="13" t="str">
        <f ca="1">IFERROR(__xludf.DUMMYFUNCTION("""COMPUTED_VALUE"""),"B5_VD_12.mp3")</f>
        <v>B5_VD_12.mp3</v>
      </c>
    </row>
    <row r="812" spans="1:13">
      <c r="A812" s="13">
        <f ca="1">IFERROR(__xludf.DUMMYFUNCTION("""COMPUTED_VALUE"""),13)</f>
        <v>13</v>
      </c>
      <c r="B812" s="13"/>
      <c r="C812" s="13" t="str">
        <f ca="1">IFERROR(__xludf.DUMMYFUNCTION("""COMPUTED_VALUE"""),"现金")</f>
        <v>现金</v>
      </c>
      <c r="D812" s="13" t="str">
        <f ca="1">IFERROR(__xludf.DUMMYFUNCTION("""COMPUTED_VALUE"""),"&lt;ruby&gt;现金&lt;rt&gt;Xiànjīn&lt;/rt&gt;&lt;/ruby&gt;")</f>
        <v>&lt;ruby&gt;现金&lt;rt&gt;Xiànjīn&lt;/rt&gt;&lt;/ruby&gt;</v>
      </c>
      <c r="E812" s="13" t="str">
        <f ca="1">IFERROR(__xludf.DUMMYFUNCTION("""COMPUTED_VALUE"""),"Xiànjīn")</f>
        <v>Xiànjīn</v>
      </c>
      <c r="F812" s="13" t="str">
        <f ca="1">IFERROR(__xludf.DUMMYFUNCTION("""COMPUTED_VALUE"""),"Danh từ")</f>
        <v>Danh từ</v>
      </c>
      <c r="G812" s="13" t="str">
        <f ca="1">IFERROR(__xludf.DUMMYFUNCTION("""COMPUTED_VALUE"""),"tiền mặt")</f>
        <v>tiền mặt</v>
      </c>
      <c r="H812" s="13" t="str">
        <f ca="1">IFERROR(__xludf.DUMMYFUNCTION("""COMPUTED_VALUE"""),"她用现金付款买了东西。")</f>
        <v>她用现金付款买了东西。</v>
      </c>
      <c r="I812" s="13"/>
      <c r="J812" s="13" t="str">
        <f ca="1">IFERROR(__xludf.DUMMYFUNCTION("""COMPUTED_VALUE"""),"Cô ấy dùng tiền mặt để mua đồ.")</f>
        <v>Cô ấy dùng tiền mặt để mua đồ.</v>
      </c>
      <c r="K812" s="13" t="str">
        <f ca="1">IFERROR(__xludf.DUMMYFUNCTION("""COMPUTED_VALUE"""),"H4_B5_BG13.png")</f>
        <v>H4_B5_BG13.png</v>
      </c>
      <c r="L812" s="13" t="str">
        <f ca="1">IFERROR(__xludf.DUMMYFUNCTION("""COMPUTED_VALUE"""),"B5_13.mp3")</f>
        <v>B5_13.mp3</v>
      </c>
      <c r="M812" s="13" t="str">
        <f ca="1">IFERROR(__xludf.DUMMYFUNCTION("""COMPUTED_VALUE"""),"B5_VD_13.mp3")</f>
        <v>B5_VD_13.mp3</v>
      </c>
    </row>
    <row r="813" spans="1:13">
      <c r="A813" s="13">
        <f ca="1">IFERROR(__xludf.DUMMYFUNCTION("""COMPUTED_VALUE"""),14)</f>
        <v>14</v>
      </c>
      <c r="B813" s="13"/>
      <c r="C813" s="13" t="str">
        <f ca="1">IFERROR(__xludf.DUMMYFUNCTION("""COMPUTED_VALUE"""),"咱")</f>
        <v>咱</v>
      </c>
      <c r="D813" s="13" t="str">
        <f ca="1">IFERROR(__xludf.DUMMYFUNCTION("""COMPUTED_VALUE"""),"&lt;ruby&gt;咱&lt;rt&gt;zán&lt;/rt&gt;&lt;/ruby&gt;")</f>
        <v>&lt;ruby&gt;咱&lt;rt&gt;zán&lt;/rt&gt;&lt;/ruby&gt;</v>
      </c>
      <c r="E813" s="13" t="str">
        <f ca="1">IFERROR(__xludf.DUMMYFUNCTION("""COMPUTED_VALUE"""),"zán")</f>
        <v>zán</v>
      </c>
      <c r="F813" s="13" t="str">
        <f ca="1">IFERROR(__xludf.DUMMYFUNCTION("""COMPUTED_VALUE"""),"Danh từ")</f>
        <v>Danh từ</v>
      </c>
      <c r="G813" s="13" t="str">
        <f ca="1">IFERROR(__xludf.DUMMYFUNCTION("""COMPUTED_VALUE"""),"ta, chúng ta")</f>
        <v>ta, chúng ta</v>
      </c>
      <c r="H813" s="13" t="str">
        <f ca="1">IFERROR(__xludf.DUMMYFUNCTION("""COMPUTED_VALUE"""),"咱们一起去公园散步吧！")</f>
        <v>咱们一起去公园散步吧！</v>
      </c>
      <c r="I813" s="13"/>
      <c r="J813" s="13" t="str">
        <f ca="1">IFERROR(__xludf.DUMMYFUNCTION("""COMPUTED_VALUE"""),"Chúng ta cùng đi công viên đi dạo nhé!")</f>
        <v>Chúng ta cùng đi công viên đi dạo nhé!</v>
      </c>
      <c r="K813" s="13" t="str">
        <f ca="1">IFERROR(__xludf.DUMMYFUNCTION("""COMPUTED_VALUE"""),"H4_B5_BG14.png")</f>
        <v>H4_B5_BG14.png</v>
      </c>
      <c r="L813" s="13" t="str">
        <f ca="1">IFERROR(__xludf.DUMMYFUNCTION("""COMPUTED_VALUE"""),"B5_14.mp3")</f>
        <v>B5_14.mp3</v>
      </c>
      <c r="M813" s="13" t="str">
        <f ca="1">IFERROR(__xludf.DUMMYFUNCTION("""COMPUTED_VALUE"""),"B5_VD_14.mp3")</f>
        <v>B5_VD_14.mp3</v>
      </c>
    </row>
    <row r="814" spans="1:13">
      <c r="A814" s="13">
        <f ca="1">IFERROR(__xludf.DUMMYFUNCTION("""COMPUTED_VALUE"""),15)</f>
        <v>15</v>
      </c>
      <c r="B814" s="13"/>
      <c r="C814" s="13" t="str">
        <f ca="1">IFERROR(__xludf.DUMMYFUNCTION("""COMPUTED_VALUE"""),"光")</f>
        <v>光</v>
      </c>
      <c r="D814" s="13" t="str">
        <f ca="1">IFERROR(__xludf.DUMMYFUNCTION("""COMPUTED_VALUE"""),"&lt;ruby&gt;光&lt;rt&gt;guāng&lt;/rt&gt;&lt;/ruby&gt;")</f>
        <v>&lt;ruby&gt;光&lt;rt&gt;guāng&lt;/rt&gt;&lt;/ruby&gt;</v>
      </c>
      <c r="E814" s="13" t="str">
        <f ca="1">IFERROR(__xludf.DUMMYFUNCTION("""COMPUTED_VALUE"""),"guāng")</f>
        <v>guāng</v>
      </c>
      <c r="F814" s="13" t="str">
        <f ca="1">IFERROR(__xludf.DUMMYFUNCTION("""COMPUTED_VALUE"""),"Phó từ")</f>
        <v>Phó từ</v>
      </c>
      <c r="G814" s="13" t="str">
        <f ca="1">IFERROR(__xludf.DUMMYFUNCTION("""COMPUTED_VALUE"""),"chỉ")</f>
        <v>chỉ</v>
      </c>
      <c r="H814" s="13" t="str">
        <f ca="1">IFERROR(__xludf.DUMMYFUNCTION("""COMPUTED_VALUE"""),"我光吃了水果，没有吃饭。")</f>
        <v>我光吃了水果，没有吃饭。</v>
      </c>
      <c r="I814" s="13"/>
      <c r="J814" s="13" t="str">
        <f ca="1">IFERROR(__xludf.DUMMYFUNCTION("""COMPUTED_VALUE"""),"Tôi chỉ ăn trái cây, không ăn cơm.")</f>
        <v>Tôi chỉ ăn trái cây, không ăn cơm.</v>
      </c>
      <c r="K814" s="13" t="str">
        <f ca="1">IFERROR(__xludf.DUMMYFUNCTION("""COMPUTED_VALUE"""),"H4_B5_BG15.png")</f>
        <v>H4_B5_BG15.png</v>
      </c>
      <c r="L814" s="13" t="str">
        <f ca="1">IFERROR(__xludf.DUMMYFUNCTION("""COMPUTED_VALUE"""),"B5_15.mp3")</f>
        <v>B5_15.mp3</v>
      </c>
      <c r="M814" s="13" t="str">
        <f ca="1">IFERROR(__xludf.DUMMYFUNCTION("""COMPUTED_VALUE"""),"B5_VD_15.mp3")</f>
        <v>B5_VD_15.mp3</v>
      </c>
    </row>
    <row r="815" spans="1:13">
      <c r="A815" s="13">
        <f ca="1">IFERROR(__xludf.DUMMYFUNCTION("""COMPUTED_VALUE"""),16)</f>
        <v>16</v>
      </c>
      <c r="B815" s="13"/>
      <c r="C815" s="13" t="str">
        <f ca="1">IFERROR(__xludf.DUMMYFUNCTION("""COMPUTED_VALUE"""),"寄")</f>
        <v>寄</v>
      </c>
      <c r="D815" s="13" t="str">
        <f ca="1">IFERROR(__xludf.DUMMYFUNCTION("""COMPUTED_VALUE"""),"&lt;ruby&gt;寄&lt;rt&gt;ji&lt;/rt&gt;&lt;/ruby&gt;")</f>
        <v>&lt;ruby&gt;寄&lt;rt&gt;ji&lt;/rt&gt;&lt;/ruby&gt;</v>
      </c>
      <c r="E815" s="13" t="str">
        <f ca="1">IFERROR(__xludf.DUMMYFUNCTION("""COMPUTED_VALUE"""),"ji")</f>
        <v>ji</v>
      </c>
      <c r="F815" s="13" t="str">
        <f ca="1">IFERROR(__xludf.DUMMYFUNCTION("""COMPUTED_VALUE"""),"Động từ")</f>
        <v>Động từ</v>
      </c>
      <c r="G815" s="13" t="str">
        <f ca="1">IFERROR(__xludf.DUMMYFUNCTION("""COMPUTED_VALUE"""),"gửi")</f>
        <v>gửi</v>
      </c>
      <c r="H815" s="13" t="str">
        <f ca="1">IFERROR(__xludf.DUMMYFUNCTION("""COMPUTED_VALUE"""),"星期六我会去邮局给父母寄信。")</f>
        <v>星期六我会去邮局给父母寄信。</v>
      </c>
      <c r="I815" s="13"/>
      <c r="J815" s="13" t="str">
        <f ca="1">IFERROR(__xludf.DUMMYFUNCTION("""COMPUTED_VALUE"""),"Thứ bảy tôi sẽ ra bưu điện gửi thư cho bố mẹ.")</f>
        <v>Thứ bảy tôi sẽ ra bưu điện gửi thư cho bố mẹ.</v>
      </c>
      <c r="K815" s="13" t="str">
        <f ca="1">IFERROR(__xludf.DUMMYFUNCTION("""COMPUTED_VALUE"""),"H4_B5_BG16.png")</f>
        <v>H4_B5_BG16.png</v>
      </c>
      <c r="L815" s="13" t="str">
        <f ca="1">IFERROR(__xludf.DUMMYFUNCTION("""COMPUTED_VALUE"""),"B5_16.mp3")</f>
        <v>B5_16.mp3</v>
      </c>
      <c r="M815" s="13" t="str">
        <f ca="1">IFERROR(__xludf.DUMMYFUNCTION("""COMPUTED_VALUE"""),"B5_VD_16.mp3")</f>
        <v>B5_VD_16.mp3</v>
      </c>
    </row>
    <row r="816" spans="1:13">
      <c r="A816" s="13">
        <f ca="1">IFERROR(__xludf.DUMMYFUNCTION("""COMPUTED_VALUE"""),17)</f>
        <v>17</v>
      </c>
      <c r="B816" s="13"/>
      <c r="C816" s="13" t="str">
        <f ca="1">IFERROR(__xludf.DUMMYFUNCTION("""COMPUTED_VALUE"""),"肯定")</f>
        <v>肯定</v>
      </c>
      <c r="D816" s="13" t="str">
        <f ca="1">IFERROR(__xludf.DUMMYFUNCTION("""COMPUTED_VALUE"""),"&lt;ruby&gt;肯定&lt;rt&gt;kěndìng&lt;/rt&gt;&lt;/ruby&gt;")</f>
        <v>&lt;ruby&gt;肯定&lt;rt&gt;kěndìng&lt;/rt&gt;&lt;/ruby&gt;</v>
      </c>
      <c r="E816" s="13" t="str">
        <f ca="1">IFERROR(__xludf.DUMMYFUNCTION("""COMPUTED_VALUE"""),"kěndìng")</f>
        <v>kěndìng</v>
      </c>
      <c r="F816" s="13" t="str">
        <f ca="1">IFERROR(__xludf.DUMMYFUNCTION("""COMPUTED_VALUE"""),"Phó từ")</f>
        <v>Phó từ</v>
      </c>
      <c r="G816" s="13" t="str">
        <f ca="1">IFERROR(__xludf.DUMMYFUNCTION("""COMPUTED_VALUE"""),"chắc chắn, nhất định")</f>
        <v>chắc chắn, nhất định</v>
      </c>
      <c r="H816" s="13" t="str">
        <f ca="1">IFERROR(__xludf.DUMMYFUNCTION("""COMPUTED_VALUE"""),"我肯定你能做到。")</f>
        <v>我肯定你能做到。</v>
      </c>
      <c r="I816" s="13"/>
      <c r="J816" s="13" t="str">
        <f ca="1">IFERROR(__xludf.DUMMYFUNCTION("""COMPUTED_VALUE"""),"Tôi chắc chắn bạn sẽ làm được.")</f>
        <v>Tôi chắc chắn bạn sẽ làm được.</v>
      </c>
      <c r="K816" s="13" t="str">
        <f ca="1">IFERROR(__xludf.DUMMYFUNCTION("""COMPUTED_VALUE"""),"H4_B5_BG17.png")</f>
        <v>H4_B5_BG17.png</v>
      </c>
      <c r="L816" s="13" t="str">
        <f ca="1">IFERROR(__xludf.DUMMYFUNCTION("""COMPUTED_VALUE"""),"B5_17.mp3")</f>
        <v>B5_17.mp3</v>
      </c>
      <c r="M816" s="13" t="str">
        <f ca="1">IFERROR(__xludf.DUMMYFUNCTION("""COMPUTED_VALUE"""),"B5_VD_17.mp3")</f>
        <v>B5_VD_17.mp3</v>
      </c>
    </row>
    <row r="817" spans="1:13">
      <c r="A817" s="13">
        <f ca="1">IFERROR(__xludf.DUMMYFUNCTION("""COMPUTED_VALUE"""),18)</f>
        <v>18</v>
      </c>
      <c r="B817" s="13"/>
      <c r="C817" s="13" t="str">
        <f ca="1">IFERROR(__xludf.DUMMYFUNCTION("""COMPUTED_VALUE"""),"任何")</f>
        <v>任何</v>
      </c>
      <c r="D817" s="13" t="str">
        <f ca="1">IFERROR(__xludf.DUMMYFUNCTION("""COMPUTED_VALUE"""),"&lt;ruby&gt;任何&lt;rt&gt;rènhé&lt;/rt&gt;&lt;/ruby&gt;")</f>
        <v>&lt;ruby&gt;任何&lt;rt&gt;rènhé&lt;/rt&gt;&lt;/ruby&gt;</v>
      </c>
      <c r="E817" s="13" t="str">
        <f ca="1">IFERROR(__xludf.DUMMYFUNCTION("""COMPUTED_VALUE"""),"rènhé")</f>
        <v>rènhé</v>
      </c>
      <c r="F817" s="13" t="str">
        <f ca="1">IFERROR(__xludf.DUMMYFUNCTION("""COMPUTED_VALUE"""),"Danh từ")</f>
        <v>Danh từ</v>
      </c>
      <c r="G817" s="13" t="str">
        <f ca="1">IFERROR(__xludf.DUMMYFUNCTION("""COMPUTED_VALUE"""),"bất cứ, bất kỳ")</f>
        <v>bất cứ, bất kỳ</v>
      </c>
      <c r="H817" s="13" t="str">
        <f ca="1">IFERROR(__xludf.DUMMYFUNCTION("""COMPUTED_VALUE"""),"你送我的任何礼物我都喜欢。")</f>
        <v>你送我的任何礼物我都喜欢。</v>
      </c>
      <c r="I817" s="13"/>
      <c r="J817" s="13" t="str">
        <f ca="1">IFERROR(__xludf.DUMMYFUNCTION("""COMPUTED_VALUE"""),"Bạn tặng tôi bất cứ món quà nào tôi đều thích.")</f>
        <v>Bạn tặng tôi bất cứ món quà nào tôi đều thích.</v>
      </c>
      <c r="K817" s="13" t="str">
        <f ca="1">IFERROR(__xludf.DUMMYFUNCTION("""COMPUTED_VALUE"""),"H4_B5_BG18.png")</f>
        <v>H4_B5_BG18.png</v>
      </c>
      <c r="L817" s="13" t="str">
        <f ca="1">IFERROR(__xludf.DUMMYFUNCTION("""COMPUTED_VALUE"""),"B5_18.mp3")</f>
        <v>B5_18.mp3</v>
      </c>
      <c r="M817" s="13" t="str">
        <f ca="1">IFERROR(__xludf.DUMMYFUNCTION("""COMPUTED_VALUE"""),"B5_VD_18.mp3")</f>
        <v>B5_VD_18.mp3</v>
      </c>
    </row>
    <row r="818" spans="1:13">
      <c r="A818" s="13">
        <f ca="1">IFERROR(__xludf.DUMMYFUNCTION("""COMPUTED_VALUE"""),19)</f>
        <v>19</v>
      </c>
      <c r="B818" s="13"/>
      <c r="C818" s="13" t="str">
        <f ca="1">IFERROR(__xludf.DUMMYFUNCTION("""COMPUTED_VALUE"""),"实际")</f>
        <v>实际</v>
      </c>
      <c r="D818" s="13" t="str">
        <f ca="1">IFERROR(__xludf.DUMMYFUNCTION("""COMPUTED_VALUE"""),"&lt;ruby&gt;实际&lt;rt&gt;Shíjì&lt;/rt&gt;&lt;/ruby&gt;")</f>
        <v>&lt;ruby&gt;实际&lt;rt&gt;Shíjì&lt;/rt&gt;&lt;/ruby&gt;</v>
      </c>
      <c r="E818" s="13" t="str">
        <f ca="1">IFERROR(__xludf.DUMMYFUNCTION("""COMPUTED_VALUE"""),"Shíjì")</f>
        <v>Shíjì</v>
      </c>
      <c r="F818" s="13" t="str">
        <f ca="1">IFERROR(__xludf.DUMMYFUNCTION("""COMPUTED_VALUE"""),"Danh từ")</f>
        <v>Danh từ</v>
      </c>
      <c r="G818" s="13" t="str">
        <f ca="1">IFERROR(__xludf.DUMMYFUNCTION("""COMPUTED_VALUE"""),"thực tế")</f>
        <v>thực tế</v>
      </c>
      <c r="H818" s="13" t="str">
        <f ca="1">IFERROR(__xludf.DUMMYFUNCTION("""COMPUTED_VALUE"""),"实际天气很冷。")</f>
        <v>实际天气很冷。</v>
      </c>
      <c r="I818" s="13"/>
      <c r="J818" s="13" t="str">
        <f ca="1">IFERROR(__xludf.DUMMYFUNCTION("""COMPUTED_VALUE"""),"Thực tế thời tiết rất lạnh.")</f>
        <v>Thực tế thời tiết rất lạnh.</v>
      </c>
      <c r="K818" s="13" t="str">
        <f ca="1">IFERROR(__xludf.DUMMYFUNCTION("""COMPUTED_VALUE"""),"H4_B5_BG19.png")</f>
        <v>H4_B5_BG19.png</v>
      </c>
      <c r="L818" s="13" t="str">
        <f ca="1">IFERROR(__xludf.DUMMYFUNCTION("""COMPUTED_VALUE"""),"B5_19.mp3")</f>
        <v>B5_19.mp3</v>
      </c>
      <c r="M818" s="13" t="str">
        <f ca="1">IFERROR(__xludf.DUMMYFUNCTION("""COMPUTED_VALUE"""),"B5_VD_19.mp3")</f>
        <v>B5_VD_19.mp3</v>
      </c>
    </row>
    <row r="819" spans="1:13">
      <c r="A819" s="13">
        <f ca="1">IFERROR(__xludf.DUMMYFUNCTION("""COMPUTED_VALUE"""),20)</f>
        <v>20</v>
      </c>
      <c r="B819" s="13"/>
      <c r="C819" s="13" t="str">
        <f ca="1">IFERROR(__xludf.DUMMYFUNCTION("""COMPUTED_VALUE"""),"实在")</f>
        <v>实在</v>
      </c>
      <c r="D819" s="13" t="str">
        <f ca="1">IFERROR(__xludf.DUMMYFUNCTION("""COMPUTED_VALUE"""),"&lt;ruby&gt;实在&lt;rt&gt;Shí zài&lt;/rt&gt;&lt;/ruby&gt;")</f>
        <v>&lt;ruby&gt;实在&lt;rt&gt;Shí zài&lt;/rt&gt;&lt;/ruby&gt;</v>
      </c>
      <c r="E819" s="13" t="str">
        <f ca="1">IFERROR(__xludf.DUMMYFUNCTION("""COMPUTED_VALUE"""),"Shí zài")</f>
        <v>Shí zài</v>
      </c>
      <c r="F819" s="13" t="str">
        <f ca="1">IFERROR(__xludf.DUMMYFUNCTION("""COMPUTED_VALUE"""),"Phó từ")</f>
        <v>Phó từ</v>
      </c>
      <c r="G819" s="13" t="str">
        <f ca="1">IFERROR(__xludf.DUMMYFUNCTION("""COMPUTED_VALUE"""),"kỳ thực, quả thực")</f>
        <v>kỳ thực, quả thực</v>
      </c>
      <c r="H819" s="13" t="str">
        <f ca="1">IFERROR(__xludf.DUMMYFUNCTION("""COMPUTED_VALUE"""),"这道菜实在是太好吃了。")</f>
        <v>这道菜实在是太好吃了。</v>
      </c>
      <c r="I819" s="13"/>
      <c r="J819" s="13" t="str">
        <f ca="1">IFERROR(__xludf.DUMMYFUNCTION("""COMPUTED_VALUE"""),"Món ăn này quả thực rất ngon.")</f>
        <v>Món ăn này quả thực rất ngon.</v>
      </c>
      <c r="K819" s="13" t="str">
        <f ca="1">IFERROR(__xludf.DUMMYFUNCTION("""COMPUTED_VALUE"""),"H4_B5_BG20.png")</f>
        <v>H4_B5_BG20.png</v>
      </c>
      <c r="L819" s="13" t="str">
        <f ca="1">IFERROR(__xludf.DUMMYFUNCTION("""COMPUTED_VALUE"""),"B5_20.mp3")</f>
        <v>B5_20.mp3</v>
      </c>
      <c r="M819" s="13" t="str">
        <f ca="1">IFERROR(__xludf.DUMMYFUNCTION("""COMPUTED_VALUE"""),"B5_VD_20.mp3")</f>
        <v>B5_VD_20.mp3</v>
      </c>
    </row>
    <row r="820" spans="1:13">
      <c r="A820" s="13">
        <f ca="1">IFERROR(__xludf.DUMMYFUNCTION("""COMPUTED_VALUE"""),21)</f>
        <v>21</v>
      </c>
      <c r="B820" s="13"/>
      <c r="C820" s="13" t="str">
        <f ca="1">IFERROR(__xludf.DUMMYFUNCTION("""COMPUTED_VALUE"""),"受到")</f>
        <v>受到</v>
      </c>
      <c r="D820" s="13" t="str">
        <f ca="1">IFERROR(__xludf.DUMMYFUNCTION("""COMPUTED_VALUE"""),"&lt;ruby&gt;受到&lt;rt&gt;shòudào&lt;/rt&gt;&lt;/ruby&gt;")</f>
        <v>&lt;ruby&gt;受到&lt;rt&gt;shòudào&lt;/rt&gt;&lt;/ruby&gt;</v>
      </c>
      <c r="E820" s="13" t="str">
        <f ca="1">IFERROR(__xludf.DUMMYFUNCTION("""COMPUTED_VALUE"""),"shòudào")</f>
        <v>shòudào</v>
      </c>
      <c r="F820" s="13" t="str">
        <f ca="1">IFERROR(__xludf.DUMMYFUNCTION("""COMPUTED_VALUE"""),"Động từ")</f>
        <v>Động từ</v>
      </c>
      <c r="G820" s="13" t="str">
        <f ca="1">IFERROR(__xludf.DUMMYFUNCTION("""COMPUTED_VALUE"""),"nhận được")</f>
        <v>nhận được</v>
      </c>
      <c r="H820" s="13" t="str">
        <f ca="1">IFERROR(__xludf.DUMMYFUNCTION("""COMPUTED_VALUE"""),"他受到了老师的表扬，因为他考了满分。")</f>
        <v>他受到了老师的表扬，因为他考了满分。</v>
      </c>
      <c r="I820" s="13"/>
      <c r="J820" s="13" t="str">
        <f ca="1">IFERROR(__xludf.DUMMYFUNCTION("""COMPUTED_VALUE"""),"Cậu ấy nhận được lời khen từ giáo viên vì đã đạt điểm tuyệt đối.")</f>
        <v>Cậu ấy nhận được lời khen từ giáo viên vì đã đạt điểm tuyệt đối.</v>
      </c>
      <c r="K820" s="13" t="str">
        <f ca="1">IFERROR(__xludf.DUMMYFUNCTION("""COMPUTED_VALUE"""),"H4_B5_BG21.png")</f>
        <v>H4_B5_BG21.png</v>
      </c>
      <c r="L820" s="13" t="str">
        <f ca="1">IFERROR(__xludf.DUMMYFUNCTION("""COMPUTED_VALUE"""),"B5_21.mp3")</f>
        <v>B5_21.mp3</v>
      </c>
      <c r="M820" s="13" t="str">
        <f ca="1">IFERROR(__xludf.DUMMYFUNCTION("""COMPUTED_VALUE"""),"B5_VD_21.mp3")</f>
        <v>B5_VD_21.mp3</v>
      </c>
    </row>
    <row r="821" spans="1:13">
      <c r="A821" s="13">
        <f ca="1">IFERROR(__xludf.DUMMYFUNCTION("""COMPUTED_VALUE"""),22)</f>
        <v>22</v>
      </c>
      <c r="B821" s="13"/>
      <c r="C821" s="13" t="str">
        <f ca="1">IFERROR(__xludf.DUMMYFUNCTION("""COMPUTED_VALUE"""),"顺便")</f>
        <v>顺便</v>
      </c>
      <c r="D821" s="13" t="str">
        <f ca="1">IFERROR(__xludf.DUMMYFUNCTION("""COMPUTED_VALUE"""),"&lt;ruby&gt;顺便&lt;rt&gt;shùnbiàn&lt;/rt&gt;&lt;/ruby&gt;")</f>
        <v>&lt;ruby&gt;顺便&lt;rt&gt;shùnbiàn&lt;/rt&gt;&lt;/ruby&gt;</v>
      </c>
      <c r="E821" s="13" t="str">
        <f ca="1">IFERROR(__xludf.DUMMYFUNCTION("""COMPUTED_VALUE"""),"shùnbiàn")</f>
        <v>shùnbiàn</v>
      </c>
      <c r="F821" s="13" t="str">
        <f ca="1">IFERROR(__xludf.DUMMYFUNCTION("""COMPUTED_VALUE"""),"Phó từ")</f>
        <v>Phó từ</v>
      </c>
      <c r="G821" s="13" t="str">
        <f ca="1">IFERROR(__xludf.DUMMYFUNCTION("""COMPUTED_VALUE"""),"nhân tiện")</f>
        <v>nhân tiện</v>
      </c>
      <c r="H821" s="13" t="str">
        <f ca="1">IFERROR(__xludf.DUMMYFUNCTION("""COMPUTED_VALUE"""),"手里拿着笔记本，我顺便记下了他说的话。")</f>
        <v>手里拿着笔记本，我顺便记下了他说的话。</v>
      </c>
      <c r="I821" s="13"/>
      <c r="J821" s="13" t="str">
        <f ca="1">IFERROR(__xludf.DUMMYFUNCTION("""COMPUTED_VALUE"""),"Đang cầm quyển sổ trên tay nên tôi tiện ghi chú lại những điều mà anh ấy nhắc nhở.")</f>
        <v>Đang cầm quyển sổ trên tay nên tôi tiện ghi chú lại những điều mà anh ấy nhắc nhở.</v>
      </c>
      <c r="K821" s="13" t="str">
        <f ca="1">IFERROR(__xludf.DUMMYFUNCTION("""COMPUTED_VALUE"""),"H4_B5_BG22.png")</f>
        <v>H4_B5_BG22.png</v>
      </c>
      <c r="L821" s="13" t="str">
        <f ca="1">IFERROR(__xludf.DUMMYFUNCTION("""COMPUTED_VALUE"""),"B5_22.mp3")</f>
        <v>B5_22.mp3</v>
      </c>
      <c r="M821" s="13" t="str">
        <f ca="1">IFERROR(__xludf.DUMMYFUNCTION("""COMPUTED_VALUE"""),"B5_VD_22.mp3")</f>
        <v>B5_VD_22.mp3</v>
      </c>
    </row>
    <row r="822" spans="1:13">
      <c r="A822" s="13">
        <f ca="1">IFERROR(__xludf.DUMMYFUNCTION("""COMPUTED_VALUE"""),23)</f>
        <v>23</v>
      </c>
      <c r="B822" s="13"/>
      <c r="C822" s="13" t="str">
        <f ca="1">IFERROR(__xludf.DUMMYFUNCTION("""COMPUTED_VALUE"""),"做客")</f>
        <v>做客</v>
      </c>
      <c r="D822" s="13" t="str">
        <f ca="1">IFERROR(__xludf.DUMMYFUNCTION("""COMPUTED_VALUE"""),"&lt;ruby&gt;做客&lt;rt&gt;zuò kè&lt;/rt&gt;&lt;/ruby&gt;")</f>
        <v>&lt;ruby&gt;做客&lt;rt&gt;zuò kè&lt;/rt&gt;&lt;/ruby&gt;</v>
      </c>
      <c r="E822" s="13" t="str">
        <f ca="1">IFERROR(__xludf.DUMMYFUNCTION("""COMPUTED_VALUE"""),"zuò kè")</f>
        <v>zuò kè</v>
      </c>
      <c r="F822" s="13" t="str">
        <f ca="1">IFERROR(__xludf.DUMMYFUNCTION("""COMPUTED_VALUE"""),"Động từ")</f>
        <v>Động từ</v>
      </c>
      <c r="G822" s="13" t="str">
        <f ca="1">IFERROR(__xludf.DUMMYFUNCTION("""COMPUTED_VALUE"""),"làm khách")</f>
        <v>làm khách</v>
      </c>
      <c r="H822" s="13" t="str">
        <f ca="1">IFERROR(__xludf.DUMMYFUNCTION("""COMPUTED_VALUE"""),"我邀请同学来我家做客。")</f>
        <v>我邀请同学来我家做客。</v>
      </c>
      <c r="I822" s="13"/>
      <c r="J822" s="13" t="str">
        <f ca="1">IFERROR(__xludf.DUMMYFUNCTION("""COMPUTED_VALUE"""),"Tôi mời bạn cùng lớp đến nhà làm khách.")</f>
        <v>Tôi mời bạn cùng lớp đến nhà làm khách.</v>
      </c>
      <c r="K822" s="13" t="str">
        <f ca="1">IFERROR(__xludf.DUMMYFUNCTION("""COMPUTED_VALUE"""),"H4_B5_BG23.png")</f>
        <v>H4_B5_BG23.png</v>
      </c>
      <c r="L822" s="13" t="str">
        <f ca="1">IFERROR(__xludf.DUMMYFUNCTION("""COMPUTED_VALUE"""),"B5_23.mp3")</f>
        <v>B5_23.mp3</v>
      </c>
      <c r="M822" s="13" t="str">
        <f ca="1">IFERROR(__xludf.DUMMYFUNCTION("""COMPUTED_VALUE"""),"B5_VD_23.mp3")</f>
        <v>B5_VD_23.mp3</v>
      </c>
    </row>
    <row r="823" spans="1:13">
      <c r="A823" s="13">
        <f ca="1">IFERROR(__xludf.DUMMYFUNCTION("""COMPUTED_VALUE"""),24)</f>
        <v>24</v>
      </c>
      <c r="B823" s="13"/>
      <c r="C823" s="13" t="str">
        <f ca="1">IFERROR(__xludf.DUMMYFUNCTION("""COMPUTED_VALUE"""),"邀请")</f>
        <v>邀请</v>
      </c>
      <c r="D823" s="13" t="str">
        <f ca="1">IFERROR(__xludf.DUMMYFUNCTION("""COMPUTED_VALUE"""),"&lt;ruby&gt;邀请&lt;rt&gt;yāoging&lt;/rt&gt;&lt;/ruby&gt;")</f>
        <v>&lt;ruby&gt;邀请&lt;rt&gt;yāoging&lt;/rt&gt;&lt;/ruby&gt;</v>
      </c>
      <c r="E823" s="13" t="str">
        <f ca="1">IFERROR(__xludf.DUMMYFUNCTION("""COMPUTED_VALUE"""),"yāoging")</f>
        <v>yāoging</v>
      </c>
      <c r="F823" s="13" t="str">
        <f ca="1">IFERROR(__xludf.DUMMYFUNCTION("""COMPUTED_VALUE"""),"Động từ")</f>
        <v>Động từ</v>
      </c>
      <c r="G823" s="13" t="str">
        <f ca="1">IFERROR(__xludf.DUMMYFUNCTION("""COMPUTED_VALUE"""),"mời")</f>
        <v>mời</v>
      </c>
      <c r="H823" s="13" t="str">
        <f ca="1">IFERROR(__xludf.DUMMYFUNCTION("""COMPUTED_VALUE"""),"我邀请朋友们来家里参加聚会。")</f>
        <v>我邀请朋友们来家里参加聚会。</v>
      </c>
      <c r="I823" s="13"/>
      <c r="J823" s="13" t="str">
        <f ca="1">IFERROR(__xludf.DUMMYFUNCTION("""COMPUTED_VALUE"""),"Tôi mời bạn bè đến nhà dự tiệc.")</f>
        <v>Tôi mời bạn bè đến nhà dự tiệc.</v>
      </c>
      <c r="K823" s="13" t="str">
        <f ca="1">IFERROR(__xludf.DUMMYFUNCTION("""COMPUTED_VALUE"""),"H4_B5_BG24.png")</f>
        <v>H4_B5_BG24.png</v>
      </c>
      <c r="L823" s="13" t="str">
        <f ca="1">IFERROR(__xludf.DUMMYFUNCTION("""COMPUTED_VALUE"""),"B5_24.mp3")</f>
        <v>B5_24.mp3</v>
      </c>
      <c r="M823" s="13" t="str">
        <f ca="1">IFERROR(__xludf.DUMMYFUNCTION("""COMPUTED_VALUE"""),"B5_VD_24.mp3")</f>
        <v>B5_VD_24.mp3</v>
      </c>
    </row>
    <row r="824" spans="1:13">
      <c r="A824" s="13">
        <f ca="1">IFERROR(__xludf.DUMMYFUNCTION("""COMPUTED_VALUE"""),25)</f>
        <v>25</v>
      </c>
      <c r="B824" s="13"/>
      <c r="C824" s="13" t="str">
        <f ca="1">IFERROR(__xludf.DUMMYFUNCTION("""COMPUTED_VALUE"""),"台")</f>
        <v>台</v>
      </c>
      <c r="D824" s="13" t="str">
        <f ca="1">IFERROR(__xludf.DUMMYFUNCTION("""COMPUTED_VALUE"""),"&lt;ruby&gt;台&lt;rt&gt;tái&lt;/rt&gt;&lt;/ruby&gt;")</f>
        <v>&lt;ruby&gt;台&lt;rt&gt;tái&lt;/rt&gt;&lt;/ruby&gt;</v>
      </c>
      <c r="E824" s="13" t="str">
        <f ca="1">IFERROR(__xludf.DUMMYFUNCTION("""COMPUTED_VALUE"""),"tái")</f>
        <v>tái</v>
      </c>
      <c r="F824" s="13" t="str">
        <f ca="1">IFERROR(__xludf.DUMMYFUNCTION("""COMPUTED_VALUE"""),"Lượng từ")</f>
        <v>Lượng từ</v>
      </c>
      <c r="G824" s="13" t="str">
        <f ca="1">IFERROR(__xludf.DUMMYFUNCTION("""COMPUTED_VALUE"""),"(được dùng cho máy móc) cái, chiếc")</f>
        <v>(được dùng cho máy móc) cái, chiếc</v>
      </c>
      <c r="H824" s="13" t="str">
        <f ca="1">IFERROR(__xludf.DUMMYFUNCTION("""COMPUTED_VALUE"""),"家里有一台新的电脑。")</f>
        <v>家里有一台新的电脑。</v>
      </c>
      <c r="I824" s="13"/>
      <c r="J824" s="13" t="str">
        <f ca="1">IFERROR(__xludf.DUMMYFUNCTION("""COMPUTED_VALUE"""),"Trong nhà có một chiếc máy tính mới.")</f>
        <v>Trong nhà có một chiếc máy tính mới.</v>
      </c>
      <c r="K824" s="13" t="str">
        <f ca="1">IFERROR(__xludf.DUMMYFUNCTION("""COMPUTED_VALUE"""),"H4_B5_BG25.png")</f>
        <v>H4_B5_BG25.png</v>
      </c>
      <c r="L824" s="13" t="str">
        <f ca="1">IFERROR(__xludf.DUMMYFUNCTION("""COMPUTED_VALUE"""),"B5_25.mp3")</f>
        <v>B5_25.mp3</v>
      </c>
      <c r="M824" s="13" t="str">
        <f ca="1">IFERROR(__xludf.DUMMYFUNCTION("""COMPUTED_VALUE"""),"B5_VD_25.mp3")</f>
        <v>B5_VD_25.mp3</v>
      </c>
    </row>
    <row r="825" spans="1:13">
      <c r="A825" s="13">
        <f ca="1">IFERROR(__xludf.DUMMYFUNCTION("""COMPUTED_VALUE"""),26)</f>
        <v>26</v>
      </c>
      <c r="B825" s="13"/>
      <c r="C825" s="13" t="str">
        <f ca="1">IFERROR(__xludf.DUMMYFUNCTION("""COMPUTED_VALUE"""),"味道")</f>
        <v>味道</v>
      </c>
      <c r="D825" s="13" t="str">
        <f ca="1">IFERROR(__xludf.DUMMYFUNCTION("""COMPUTED_VALUE"""),"&lt;ruby&gt;味道&lt;rt&gt;wèidào&lt;/rt&gt;&lt;/ruby&gt;")</f>
        <v>&lt;ruby&gt;味道&lt;rt&gt;wèidào&lt;/rt&gt;&lt;/ruby&gt;</v>
      </c>
      <c r="E825" s="13" t="str">
        <f ca="1">IFERROR(__xludf.DUMMYFUNCTION("""COMPUTED_VALUE"""),"wèidào")</f>
        <v>wèidào</v>
      </c>
      <c r="F825" s="13" t="str">
        <f ca="1">IFERROR(__xludf.DUMMYFUNCTION("""COMPUTED_VALUE"""),"Danh từ")</f>
        <v>Danh từ</v>
      </c>
      <c r="G825" s="13" t="str">
        <f ca="1">IFERROR(__xludf.DUMMYFUNCTION("""COMPUTED_VALUE"""),"mùi")</f>
        <v>mùi</v>
      </c>
      <c r="H825" s="13" t="str">
        <f ca="1">IFERROR(__xludf.DUMMYFUNCTION("""COMPUTED_VALUE"""),"这个咖喱的味道特别好。")</f>
        <v>这个咖喱的味道特别好。</v>
      </c>
      <c r="I825" s="13"/>
      <c r="J825" s="13" t="str">
        <f ca="1">IFERROR(__xludf.DUMMYFUNCTION("""COMPUTED_VALUE"""),"Vị của món cà ri này quá là ngon.")</f>
        <v>Vị của món cà ri này quá là ngon.</v>
      </c>
      <c r="K825" s="13" t="str">
        <f ca="1">IFERROR(__xludf.DUMMYFUNCTION("""COMPUTED_VALUE"""),"H4_B5_BG26.png")</f>
        <v>H4_B5_BG26.png</v>
      </c>
      <c r="L825" s="13" t="str">
        <f ca="1">IFERROR(__xludf.DUMMYFUNCTION("""COMPUTED_VALUE"""),"B5_26.mp3")</f>
        <v>B5_26.mp3</v>
      </c>
      <c r="M825" s="13" t="str">
        <f ca="1">IFERROR(__xludf.DUMMYFUNCTION("""COMPUTED_VALUE"""),"B5_VD_26.mp3")</f>
        <v>B5_VD_26.mp3</v>
      </c>
    </row>
    <row r="826" spans="1:13">
      <c r="A826" s="13">
        <f ca="1">IFERROR(__xludf.DUMMYFUNCTION("""COMPUTED_VALUE"""),27)</f>
        <v>27</v>
      </c>
      <c r="B826" s="13"/>
      <c r="C826" s="13" t="str">
        <f ca="1">IFERROR(__xludf.DUMMYFUNCTION("""COMPUTED_VALUE"""),"效果")</f>
        <v>效果</v>
      </c>
      <c r="D826" s="13" t="str">
        <f ca="1">IFERROR(__xludf.DUMMYFUNCTION("""COMPUTED_VALUE"""),"&lt;ruby&gt;效果&lt;rt&gt;xiàoguǒ&lt;/rt&gt;&lt;/ruby&gt;")</f>
        <v>&lt;ruby&gt;效果&lt;rt&gt;xiàoguǒ&lt;/rt&gt;&lt;/ruby&gt;</v>
      </c>
      <c r="E826" s="13" t="str">
        <f ca="1">IFERROR(__xludf.DUMMYFUNCTION("""COMPUTED_VALUE"""),"xiàoguǒ")</f>
        <v>xiàoguǒ</v>
      </c>
      <c r="F826" s="13" t="str">
        <f ca="1">IFERROR(__xludf.DUMMYFUNCTION("""COMPUTED_VALUE"""),"Danh từ")</f>
        <v>Danh từ</v>
      </c>
      <c r="G826" s="13" t="str">
        <f ca="1">IFERROR(__xludf.DUMMYFUNCTION("""COMPUTED_VALUE"""),"hiệu quả")</f>
        <v>hiệu quả</v>
      </c>
      <c r="H826" s="13" t="str">
        <f ca="1">IFERROR(__xludf.DUMMYFUNCTION("""COMPUTED_VALUE"""),"我的训练方法很有效果，所以拿到了第一名。")</f>
        <v>我的训练方法很有效果，所以拿到了第一名。</v>
      </c>
      <c r="I826" s="13"/>
      <c r="J826" s="13" t="str">
        <f ca="1">IFERROR(__xludf.DUMMYFUNCTION("""COMPUTED_VALUE"""),"Phương pháp luyện tập của tôi rất có hiệu quả nên đã giành được hạng nhất.")</f>
        <v>Phương pháp luyện tập của tôi rất có hiệu quả nên đã giành được hạng nhất.</v>
      </c>
      <c r="K826" s="13" t="str">
        <f ca="1">IFERROR(__xludf.DUMMYFUNCTION("""COMPUTED_VALUE"""),"H4_B5_BG27.png")</f>
        <v>H4_B5_BG27.png</v>
      </c>
      <c r="L826" s="13" t="str">
        <f ca="1">IFERROR(__xludf.DUMMYFUNCTION("""COMPUTED_VALUE"""),"B5_27.mp3")</f>
        <v>B5_27.mp3</v>
      </c>
      <c r="M826" s="13" t="str">
        <f ca="1">IFERROR(__xludf.DUMMYFUNCTION("""COMPUTED_VALUE"""),"B5_VD_27.mp3")</f>
        <v>B5_VD_27.mp3</v>
      </c>
    </row>
    <row r="827" spans="1:13">
      <c r="A827" s="13">
        <f ca="1">IFERROR(__xludf.DUMMYFUNCTION("""COMPUTED_VALUE"""),28)</f>
        <v>28</v>
      </c>
      <c r="B827" s="13"/>
      <c r="C827" s="13" t="str">
        <f ca="1">IFERROR(__xludf.DUMMYFUNCTION("""COMPUTED_VALUE"""),"样子")</f>
        <v>样子</v>
      </c>
      <c r="D827" s="13" t="str">
        <f ca="1">IFERROR(__xludf.DUMMYFUNCTION("""COMPUTED_VALUE"""),"&lt;ruby&gt;样子&lt;rt&gt;yàngzi&lt;/rt&gt;&lt;/ruby&gt;")</f>
        <v>&lt;ruby&gt;样子&lt;rt&gt;yàngzi&lt;/rt&gt;&lt;/ruby&gt;</v>
      </c>
      <c r="E827" s="13" t="str">
        <f ca="1">IFERROR(__xludf.DUMMYFUNCTION("""COMPUTED_VALUE"""),"yàngzi")</f>
        <v>yàngzi</v>
      </c>
      <c r="F827" s="13" t="str">
        <f ca="1">IFERROR(__xludf.DUMMYFUNCTION("""COMPUTED_VALUE"""),"Danh từ")</f>
        <v>Danh từ</v>
      </c>
      <c r="G827" s="13" t="str">
        <f ca="1">IFERROR(__xludf.DUMMYFUNCTION("""COMPUTED_VALUE"""),"kiểu dáng")</f>
        <v>kiểu dáng</v>
      </c>
      <c r="H827" s="13" t="str">
        <f ca="1">IFERROR(__xludf.DUMMYFUNCTION("""COMPUTED_VALUE"""),"她跳芭蕾舞的样子非常优美。")</f>
        <v>她跳芭蕾舞的样子非常优美。</v>
      </c>
      <c r="I827" s="13"/>
      <c r="J827" s="13" t="str">
        <f ca="1">IFERROR(__xludf.DUMMYFUNCTION("""COMPUTED_VALUE"""),"Bộ dáng của cô ấy khi múa ba lê rất đẹp.")</f>
        <v>Bộ dáng của cô ấy khi múa ba lê rất đẹp.</v>
      </c>
      <c r="K827" s="13" t="str">
        <f ca="1">IFERROR(__xludf.DUMMYFUNCTION("""COMPUTED_VALUE"""),"H4_B5_BG28.png")</f>
        <v>H4_B5_BG28.png</v>
      </c>
      <c r="L827" s="13" t="str">
        <f ca="1">IFERROR(__xludf.DUMMYFUNCTION("""COMPUTED_VALUE"""),"B5_28.mp3")</f>
        <v>B5_28.mp3</v>
      </c>
      <c r="M827" s="13" t="str">
        <f ca="1">IFERROR(__xludf.DUMMYFUNCTION("""COMPUTED_VALUE"""),"B5_VD_28.mp3")</f>
        <v>B5_VD_28.mp3</v>
      </c>
    </row>
    <row r="828" spans="1:13">
      <c r="A828" s="13">
        <f ca="1">IFERROR(__xludf.DUMMYFUNCTION("""COMPUTED_VALUE"""),29)</f>
        <v>29</v>
      </c>
      <c r="B828" s="13"/>
      <c r="C828" s="13" t="str">
        <f ca="1">IFERROR(__xludf.DUMMYFUNCTION("""COMPUTED_VALUE"""),"年龄")</f>
        <v>年龄</v>
      </c>
      <c r="D828" s="13" t="str">
        <f ca="1">IFERROR(__xludf.DUMMYFUNCTION("""COMPUTED_VALUE"""),"&lt;ruby&gt;年龄&lt;rt&gt;niánlíng&lt;/rt&gt;&lt;/ruby&gt;")</f>
        <v>&lt;ruby&gt;年龄&lt;rt&gt;niánlíng&lt;/rt&gt;&lt;/ruby&gt;</v>
      </c>
      <c r="E828" s="13" t="str">
        <f ca="1">IFERROR(__xludf.DUMMYFUNCTION("""COMPUTED_VALUE"""),"niánlíng")</f>
        <v>niánlíng</v>
      </c>
      <c r="F828" s="13" t="str">
        <f ca="1">IFERROR(__xludf.DUMMYFUNCTION("""COMPUTED_VALUE"""),"Danh từ")</f>
        <v>Danh từ</v>
      </c>
      <c r="G828" s="13" t="str">
        <f ca="1">IFERROR(__xludf.DUMMYFUNCTION("""COMPUTED_VALUE"""),"tuổi")</f>
        <v>tuổi</v>
      </c>
      <c r="H828" s="13" t="str">
        <f ca="1">IFERROR(__xludf.DUMMYFUNCTION("""COMPUTED_VALUE"""),"在我这个年龄，我爷爷还在战场上。")</f>
        <v>在我这个年龄，我爷爷还在战场上。</v>
      </c>
      <c r="I828" s="13"/>
      <c r="J828" s="13" t="str">
        <f ca="1">IFERROR(__xludf.DUMMYFUNCTION("""COMPUTED_VALUE"""),"Tầm tuổi tôi thì ông tôi đang ở trên chiến trường.")</f>
        <v>Tầm tuổi tôi thì ông tôi đang ở trên chiến trường.</v>
      </c>
      <c r="K828" s="13" t="str">
        <f ca="1">IFERROR(__xludf.DUMMYFUNCTION("""COMPUTED_VALUE"""),"H4_B5_BG29.png")</f>
        <v>H4_B5_BG29.png</v>
      </c>
      <c r="L828" s="13" t="str">
        <f ca="1">IFERROR(__xludf.DUMMYFUNCTION("""COMPUTED_VALUE"""),"B5_29.mp3")</f>
        <v>B5_29.mp3</v>
      </c>
      <c r="M828" s="13" t="str">
        <f ca="1">IFERROR(__xludf.DUMMYFUNCTION("""COMPUTED_VALUE"""),"B5_VD_29.mp3")</f>
        <v>B5_VD_29.mp3</v>
      </c>
    </row>
    <row r="829" spans="1:13">
      <c r="A829" s="13">
        <f ca="1">IFERROR(__xludf.DUMMYFUNCTION("""COMPUTED_VALUE"""),30)</f>
        <v>30</v>
      </c>
      <c r="B829" s="13"/>
      <c r="C829" s="13" t="str">
        <f ca="1">IFERROR(__xludf.DUMMYFUNCTION("""COMPUTED_VALUE"""),"广告")</f>
        <v>广告</v>
      </c>
      <c r="D829" s="13" t="str">
        <f ca="1">IFERROR(__xludf.DUMMYFUNCTION("""COMPUTED_VALUE"""),"&lt;ruby&gt;广告&lt;rt&gt;guănggào&lt;/rt&gt;&lt;/ruby&gt;")</f>
        <v>&lt;ruby&gt;广告&lt;rt&gt;guănggào&lt;/rt&gt;&lt;/ruby&gt;</v>
      </c>
      <c r="E829" s="13" t="str">
        <f ca="1">IFERROR(__xludf.DUMMYFUNCTION("""COMPUTED_VALUE"""),"guănggào")</f>
        <v>guănggào</v>
      </c>
      <c r="F829" s="13" t="str">
        <f ca="1">IFERROR(__xludf.DUMMYFUNCTION("""COMPUTED_VALUE"""),"Danh từ")</f>
        <v>Danh từ</v>
      </c>
      <c r="G829" s="13" t="str">
        <f ca="1">IFERROR(__xludf.DUMMYFUNCTION("""COMPUTED_VALUE"""),"quảng cáo")</f>
        <v>quảng cáo</v>
      </c>
      <c r="H829" s="13" t="str">
        <f ca="1">IFERROR(__xludf.DUMMYFUNCTION("""COMPUTED_VALUE"""),"他们正在为一种新巧克力做广告。")</f>
        <v>他们正在为一种新巧克力做广告。</v>
      </c>
      <c r="I829" s="13"/>
      <c r="J829" s="13" t="str">
        <f ca="1">IFERROR(__xludf.DUMMYFUNCTION("""COMPUTED_VALUE"""),"Họ đang quảng cáo loại sô cô la mới.")</f>
        <v>Họ đang quảng cáo loại sô cô la mới.</v>
      </c>
      <c r="K829" s="13" t="str">
        <f ca="1">IFERROR(__xludf.DUMMYFUNCTION("""COMPUTED_VALUE"""),"H4_B5_BG30.png")</f>
        <v>H4_B5_BG30.png</v>
      </c>
      <c r="L829" s="13" t="str">
        <f ca="1">IFERROR(__xludf.DUMMYFUNCTION("""COMPUTED_VALUE"""),"B5_30.mp3")</f>
        <v>B5_30.mp3</v>
      </c>
      <c r="M829" s="13" t="str">
        <f ca="1">IFERROR(__xludf.DUMMYFUNCTION("""COMPUTED_VALUE"""),"B5_VD_30.mp3")</f>
        <v>B5_VD_30.mp3</v>
      </c>
    </row>
    <row r="830" spans="1:13">
      <c r="A830" s="13">
        <f ca="1">IFERROR(__xludf.DUMMYFUNCTION("""COMPUTED_VALUE"""),31)</f>
        <v>31</v>
      </c>
      <c r="B830" s="13"/>
      <c r="C830" s="13" t="str">
        <f ca="1">IFERROR(__xludf.DUMMYFUNCTION("""COMPUTED_VALUE"""),"艺术")</f>
        <v>艺术</v>
      </c>
      <c r="D830" s="13" t="str">
        <f ca="1">IFERROR(__xludf.DUMMYFUNCTION("""COMPUTED_VALUE"""),"&lt;ruby&gt;艺术&lt;rt&gt;yìshù&lt;/rt&gt;&lt;/ruby&gt;")</f>
        <v>&lt;ruby&gt;艺术&lt;rt&gt;yìshù&lt;/rt&gt;&lt;/ruby&gt;</v>
      </c>
      <c r="E830" s="13" t="str">
        <f ca="1">IFERROR(__xludf.DUMMYFUNCTION("""COMPUTED_VALUE"""),"yìshù")</f>
        <v>yìshù</v>
      </c>
      <c r="F830" s="13" t="str">
        <f ca="1">IFERROR(__xludf.DUMMYFUNCTION("""COMPUTED_VALUE"""),"Danh từ/Tính từ")</f>
        <v>Danh từ/Tính từ</v>
      </c>
      <c r="G830" s="13" t="str">
        <f ca="1">IFERROR(__xludf.DUMMYFUNCTION("""COMPUTED_VALUE"""),"nghệ thuật; có tính nghệ thuật")</f>
        <v>nghệ thuật; có tính nghệ thuật</v>
      </c>
      <c r="H830" s="13" t="str">
        <f ca="1">IFERROR(__xludf.DUMMYFUNCTION("""COMPUTED_VALUE"""),"画画是一种艺术形式。")</f>
        <v>画画是一种艺术形式。</v>
      </c>
      <c r="I830" s="13"/>
      <c r="J830" s="13" t="str">
        <f ca="1">IFERROR(__xludf.DUMMYFUNCTION("""COMPUTED_VALUE"""),"Vẽ tranh là một loại nghệ thuật.")</f>
        <v>Vẽ tranh là một loại nghệ thuật.</v>
      </c>
      <c r="K830" s="13" t="str">
        <f ca="1">IFERROR(__xludf.DUMMYFUNCTION("""COMPUTED_VALUE"""),"H4_B5_BG31.png")</f>
        <v>H4_B5_BG31.png</v>
      </c>
      <c r="L830" s="13" t="str">
        <f ca="1">IFERROR(__xludf.DUMMYFUNCTION("""COMPUTED_VALUE"""),"B5_31.mp3")</f>
        <v>B5_31.mp3</v>
      </c>
      <c r="M830" s="13" t="str">
        <f ca="1">IFERROR(__xludf.DUMMYFUNCTION("""COMPUTED_VALUE"""),"B5_VD_31.mp3")</f>
        <v>B5_VD_31.mp3</v>
      </c>
    </row>
    <row r="831" spans="1:13">
      <c r="A831" s="13">
        <f ca="1">IFERROR(__xludf.DUMMYFUNCTION("""COMPUTED_VALUE"""),32)</f>
        <v>32</v>
      </c>
      <c r="B831" s="13"/>
      <c r="C831" s="13" t="str">
        <f ca="1">IFERROR(__xludf.DUMMYFUNCTION("""COMPUTED_VALUE"""),"流行")</f>
        <v>流行</v>
      </c>
      <c r="D831" s="13" t="str">
        <f ca="1">IFERROR(__xludf.DUMMYFUNCTION("""COMPUTED_VALUE"""),"&lt;ruby&gt;流行&lt;rt&gt;liúxíng&lt;/rt&gt;&lt;/ruby&gt;")</f>
        <v>&lt;ruby&gt;流行&lt;rt&gt;liúxíng&lt;/rt&gt;&lt;/ruby&gt;</v>
      </c>
      <c r="E831" s="13" t="str">
        <f ca="1">IFERROR(__xludf.DUMMYFUNCTION("""COMPUTED_VALUE"""),"liúxíng")</f>
        <v>liúxíng</v>
      </c>
      <c r="F831" s="13" t="str">
        <f ca="1">IFERROR(__xludf.DUMMYFUNCTION("""COMPUTED_VALUE"""),"Động từ")</f>
        <v>Động từ</v>
      </c>
      <c r="G831" s="13" t="str">
        <f ca="1">IFERROR(__xludf.DUMMYFUNCTION("""COMPUTED_VALUE"""),"được nhiều người ưa chuộng")</f>
        <v>được nhiều người ưa chuộng</v>
      </c>
      <c r="H831" s="13" t="str">
        <f ca="1">IFERROR(__xludf.DUMMYFUNCTION("""COMPUTED_VALUE""")," 这个动作最近特别流行。")</f>
        <v xml:space="preserve"> 这个动作最近特别流行。</v>
      </c>
      <c r="I831" s="13"/>
      <c r="J831" s="13" t="str">
        <f ca="1">IFERROR(__xludf.DUMMYFUNCTION("""COMPUTED_VALUE"""),"Động tác này rất thịnh hành.")</f>
        <v>Động tác này rất thịnh hành.</v>
      </c>
      <c r="K831" s="13" t="str">
        <f ca="1">IFERROR(__xludf.DUMMYFUNCTION("""COMPUTED_VALUE"""),"H4_B5_BG32.png")</f>
        <v>H4_B5_BG32.png</v>
      </c>
      <c r="L831" s="13" t="str">
        <f ca="1">IFERROR(__xludf.DUMMYFUNCTION("""COMPUTED_VALUE"""),"B5_32.mp3")</f>
        <v>B5_32.mp3</v>
      </c>
      <c r="M831" s="13" t="str">
        <f ca="1">IFERROR(__xludf.DUMMYFUNCTION("""COMPUTED_VALUE"""),"B5_VD_32.mp3")</f>
        <v>B5_VD_32.mp3</v>
      </c>
    </row>
    <row r="832" spans="1:13">
      <c r="A832" s="13">
        <f ca="1">IFERROR(__xludf.DUMMYFUNCTION("""COMPUTED_VALUE"""),33)</f>
        <v>33</v>
      </c>
      <c r="B832" s="13"/>
      <c r="C832" s="13" t="str">
        <f ca="1">IFERROR(__xludf.DUMMYFUNCTION("""COMPUTED_VALUE"""),"优点")</f>
        <v>优点</v>
      </c>
      <c r="D832" s="13" t="str">
        <f ca="1">IFERROR(__xludf.DUMMYFUNCTION("""COMPUTED_VALUE"""),"&lt;ruby&gt;优点&lt;rt&gt;yōudiăn&lt;/rt&gt;&lt;/ruby&gt;")</f>
        <v>&lt;ruby&gt;优点&lt;rt&gt;yōudiăn&lt;/rt&gt;&lt;/ruby&gt;</v>
      </c>
      <c r="E832" s="13" t="str">
        <f ca="1">IFERROR(__xludf.DUMMYFUNCTION("""COMPUTED_VALUE"""),"yōudiăn")</f>
        <v>yōudiăn</v>
      </c>
      <c r="F832" s="13" t="str">
        <f ca="1">IFERROR(__xludf.DUMMYFUNCTION("""COMPUTED_VALUE"""),"Danh từ")</f>
        <v>Danh từ</v>
      </c>
      <c r="G832" s="13" t="str">
        <f ca="1">IFERROR(__xludf.DUMMYFUNCTION("""COMPUTED_VALUE"""),"ưu điểm")</f>
        <v>ưu điểm</v>
      </c>
      <c r="H832" s="13" t="str">
        <f ca="1">IFERROR(__xludf.DUMMYFUNCTION("""COMPUTED_VALUE"""),"他的优点是体育特别好。")</f>
        <v>他的优点是体育特别好。</v>
      </c>
      <c r="I832" s="13"/>
      <c r="J832" s="13" t="str">
        <f ca="1">IFERROR(__xludf.DUMMYFUNCTION("""COMPUTED_VALUE"""),"Ưu điểm của anh ấy là giỏi thể thao.")</f>
        <v>Ưu điểm của anh ấy là giỏi thể thao.</v>
      </c>
      <c r="K832" s="13" t="str">
        <f ca="1">IFERROR(__xludf.DUMMYFUNCTION("""COMPUTED_VALUE"""),"H4_B5_BG33.png")</f>
        <v>H4_B5_BG33.png</v>
      </c>
      <c r="L832" s="13" t="str">
        <f ca="1">IFERROR(__xludf.DUMMYFUNCTION("""COMPUTED_VALUE"""),"B5_33.mp3")</f>
        <v>B5_33.mp3</v>
      </c>
      <c r="M832" s="13" t="str">
        <f ca="1">IFERROR(__xludf.DUMMYFUNCTION("""COMPUTED_VALUE"""),"B5_VD_33.mp3")</f>
        <v>B5_VD_33.mp3</v>
      </c>
    </row>
    <row r="833" spans="1:13">
      <c r="A833" s="13">
        <f ca="1">IFERROR(__xludf.DUMMYFUNCTION("""COMPUTED_VALUE"""),34)</f>
        <v>34</v>
      </c>
      <c r="B833" s="13"/>
      <c r="C833" s="13" t="str">
        <f ca="1">IFERROR(__xludf.DUMMYFUNCTION("""COMPUTED_VALUE"""),"尤其")</f>
        <v>尤其</v>
      </c>
      <c r="D833" s="13" t="str">
        <f ca="1">IFERROR(__xludf.DUMMYFUNCTION("""COMPUTED_VALUE"""),"&lt;ruby&gt;尤其&lt;rt&gt;yóuqí&lt;/rt&gt;&lt;/ruby&gt;")</f>
        <v>&lt;ruby&gt;尤其&lt;rt&gt;yóuqí&lt;/rt&gt;&lt;/ruby&gt;</v>
      </c>
      <c r="E833" s="13" t="str">
        <f ca="1">IFERROR(__xludf.DUMMYFUNCTION("""COMPUTED_VALUE"""),"yóuqí")</f>
        <v>yóuqí</v>
      </c>
      <c r="F833" s="13" t="str">
        <f ca="1">IFERROR(__xludf.DUMMYFUNCTION("""COMPUTED_VALUE"""),"Phó từ")</f>
        <v>Phó từ</v>
      </c>
      <c r="G833" s="13" t="str">
        <f ca="1">IFERROR(__xludf.DUMMYFUNCTION("""COMPUTED_VALUE"""),"đặc biệt là, nhất là")</f>
        <v>đặc biệt là, nhất là</v>
      </c>
      <c r="H833" s="13" t="str">
        <f ca="1">IFERROR(__xludf.DUMMYFUNCTION("""COMPUTED_VALUE"""),"我们家人喜欢晚饭后在一起聊天，尤其是周末。")</f>
        <v>我们家人喜欢晚饭后在一起聊天，尤其是周末。</v>
      </c>
      <c r="I833" s="13"/>
      <c r="J833" s="13" t="str">
        <f ca="1">IFERROR(__xludf.DUMMYFUNCTION("""COMPUTED_VALUE"""),"Gia đình chúng tôi thích quây quần cùng nhau sau bữa tối, đặc biệt là ngày cuối tuần.")</f>
        <v>Gia đình chúng tôi thích quây quần cùng nhau sau bữa tối, đặc biệt là ngày cuối tuần.</v>
      </c>
      <c r="K833" s="13" t="str">
        <f ca="1">IFERROR(__xludf.DUMMYFUNCTION("""COMPUTED_VALUE"""),"H4_B5_BG34.png")</f>
        <v>H4_B5_BG34.png</v>
      </c>
      <c r="L833" s="13" t="str">
        <f ca="1">IFERROR(__xludf.DUMMYFUNCTION("""COMPUTED_VALUE"""),"B5_34.mp3")</f>
        <v>B5_34.mp3</v>
      </c>
      <c r="M833" s="13" t="str">
        <f ca="1">IFERROR(__xludf.DUMMYFUNCTION("""COMPUTED_VALUE"""),"B5_VD_34.mp3")</f>
        <v>B5_VD_34.mp3</v>
      </c>
    </row>
    <row r="834" spans="1:13">
      <c r="A834" s="13">
        <f ca="1">IFERROR(__xludf.DUMMYFUNCTION("""COMPUTED_VALUE"""),35)</f>
        <v>35</v>
      </c>
      <c r="B834" s="13"/>
      <c r="C834" s="13" t="str">
        <f ca="1">IFERROR(__xludf.DUMMYFUNCTION("""COMPUTED_VALUE"""),"质量")</f>
        <v>质量</v>
      </c>
      <c r="D834" s="13" t="str">
        <f ca="1">IFERROR(__xludf.DUMMYFUNCTION("""COMPUTED_VALUE"""),"&lt;ruby&gt;质量&lt;rt&gt;zhìliàng&lt;/rt&gt;&lt;/ruby&gt;")</f>
        <v>&lt;ruby&gt;质量&lt;rt&gt;zhìliàng&lt;/rt&gt;&lt;/ruby&gt;</v>
      </c>
      <c r="E834" s="13" t="str">
        <f ca="1">IFERROR(__xludf.DUMMYFUNCTION("""COMPUTED_VALUE"""),"zhìliàng")</f>
        <v>zhìliàng</v>
      </c>
      <c r="F834" s="13" t="str">
        <f ca="1">IFERROR(__xludf.DUMMYFUNCTION("""COMPUTED_VALUE"""),"Danh từ")</f>
        <v>Danh từ</v>
      </c>
      <c r="G834" s="13" t="str">
        <f ca="1">IFERROR(__xludf.DUMMYFUNCTION("""COMPUTED_VALUE"""),"chất lượng")</f>
        <v>chất lượng</v>
      </c>
      <c r="H834" s="13" t="str">
        <f ca="1">IFERROR(__xludf.DUMMYFUNCTION("""COMPUTED_VALUE"""),"这家酒店的质量特别好。")</f>
        <v>这家酒店的质量特别好。</v>
      </c>
      <c r="I834" s="13"/>
      <c r="J834" s="13" t="str">
        <f ca="1">IFERROR(__xludf.DUMMYFUNCTION("""COMPUTED_VALUE"""),"Chất lượng của khách sạn này rất tốt.")</f>
        <v>Chất lượng của khách sạn này rất tốt.</v>
      </c>
      <c r="K834" s="13" t="str">
        <f ca="1">IFERROR(__xludf.DUMMYFUNCTION("""COMPUTED_VALUE"""),"H4_B5_BG35.png")</f>
        <v>H4_B5_BG35.png</v>
      </c>
      <c r="L834" s="13" t="str">
        <f ca="1">IFERROR(__xludf.DUMMYFUNCTION("""COMPUTED_VALUE"""),"B5_35.mp3")</f>
        <v>B5_35.mp3</v>
      </c>
      <c r="M834" s="13" t="str">
        <f ca="1">IFERROR(__xludf.DUMMYFUNCTION("""COMPUTED_VALUE"""),"B5_VD_35.mp3")</f>
        <v>B5_VD_35.mp3</v>
      </c>
    </row>
    <row r="835" spans="1:13">
      <c r="A835" s="13">
        <f ca="1">IFERROR(__xludf.DUMMYFUNCTION("""COMPUTED_VALUE"""),1)</f>
        <v>1</v>
      </c>
      <c r="B835" s="13"/>
      <c r="C835" s="13" t="str">
        <f ca="1">IFERROR(__xludf.DUMMYFUNCTION("""COMPUTED_VALUE"""),"百分之")</f>
        <v>百分之</v>
      </c>
      <c r="D835" s="13" t="str">
        <f ca="1">IFERROR(__xludf.DUMMYFUNCTION("""COMPUTED_VALUE"""),"&lt;ruby&gt;百分之&lt;rt&gt;băi fēn zhī&lt;/rt&gt;&lt;/ruby&gt;")</f>
        <v>&lt;ruby&gt;百分之&lt;rt&gt;băi fēn zhī&lt;/rt&gt;&lt;/ruby&gt;</v>
      </c>
      <c r="E835" s="13" t="str">
        <f ca="1">IFERROR(__xludf.DUMMYFUNCTION("""COMPUTED_VALUE"""),"băi fēn zhī")</f>
        <v>băi fēn zhī</v>
      </c>
      <c r="F835" s="13"/>
      <c r="G835" s="13" t="str">
        <f ca="1">IFERROR(__xludf.DUMMYFUNCTION("""COMPUTED_VALUE"""),"phần trăm")</f>
        <v>phần trăm</v>
      </c>
      <c r="H835" s="13" t="str">
        <f ca="1">IFERROR(__xludf.DUMMYFUNCTION("""COMPUTED_VALUE"""),"这只包打了百分之五十的折扣。")</f>
        <v>这只包打了百分之五十的折扣。</v>
      </c>
      <c r="I835" s="13"/>
      <c r="J835" s="13" t="str">
        <f ca="1">IFERROR(__xludf.DUMMYFUNCTION("""COMPUTED_VALUE"""),"Chiếc túi này được giảm 50%.")</f>
        <v>Chiếc túi này được giảm 50%.</v>
      </c>
      <c r="K835" s="13" t="str">
        <f ca="1">IFERROR(__xludf.DUMMYFUNCTION("""COMPUTED_VALUE"""),"H4_B6_BG-01.png")</f>
        <v>H4_B6_BG-01.png</v>
      </c>
      <c r="L835" s="13" t="str">
        <f ca="1">IFERROR(__xludf.DUMMYFUNCTION("""COMPUTED_VALUE"""),"B6_1.mp3")</f>
        <v>B6_1.mp3</v>
      </c>
      <c r="M835" s="13" t="str">
        <f ca="1">IFERROR(__xludf.DUMMYFUNCTION("""COMPUTED_VALUE"""),"B6_VD_1.mp3")</f>
        <v>B6_VD_1.mp3</v>
      </c>
    </row>
    <row r="836" spans="1:13">
      <c r="A836" s="13">
        <f ca="1">IFERROR(__xludf.DUMMYFUNCTION("""COMPUTED_VALUE"""),2)</f>
        <v>2</v>
      </c>
      <c r="B836" s="13"/>
      <c r="C836" s="13" t="str">
        <f ca="1">IFERROR(__xludf.DUMMYFUNCTION("""COMPUTED_VALUE"""),"倍")</f>
        <v>倍</v>
      </c>
      <c r="D836" s="13" t="str">
        <f ca="1">IFERROR(__xludf.DUMMYFUNCTION("""COMPUTED_VALUE"""),"&lt;ruby&gt;倍&lt;rt&gt;bèi&lt;/rt&gt;&lt;/ruby&gt;")</f>
        <v>&lt;ruby&gt;倍&lt;rt&gt;bèi&lt;/rt&gt;&lt;/ruby&gt;</v>
      </c>
      <c r="E836" s="13" t="str">
        <f ca="1">IFERROR(__xludf.DUMMYFUNCTION("""COMPUTED_VALUE"""),"bèi")</f>
        <v>bèi</v>
      </c>
      <c r="F836" s="13" t="str">
        <f ca="1">IFERROR(__xludf.DUMMYFUNCTION("""COMPUTED_VALUE"""),"Lượng từ")</f>
        <v>Lượng từ</v>
      </c>
      <c r="G836" s="13" t="str">
        <f ca="1">IFERROR(__xludf.DUMMYFUNCTION("""COMPUTED_VALUE"""),"lần")</f>
        <v>lần</v>
      </c>
      <c r="H836" s="13" t="str">
        <f ca="1">IFERROR(__xludf.DUMMYFUNCTION("""COMPUTED_VALUE"""),"他今天上学很匆忙，刷牙的速度比平时快了两倍。")</f>
        <v>他今天上学很匆忙，刷牙的速度比平时快了两倍。</v>
      </c>
      <c r="I836" s="13"/>
      <c r="J836" s="13" t="str">
        <f ca="1">IFERROR(__xludf.DUMMYFUNCTION("""COMPUTED_VALUE"""),"Hôm nay anh ấy vội đến trường nên đánh răng nhanh gấp hai lần bình thường.")</f>
        <v>Hôm nay anh ấy vội đến trường nên đánh răng nhanh gấp hai lần bình thường.</v>
      </c>
      <c r="K836" s="13" t="str">
        <f ca="1">IFERROR(__xludf.DUMMYFUNCTION("""COMPUTED_VALUE"""),"H4_B6_BG-02.png")</f>
        <v>H4_B6_BG-02.png</v>
      </c>
      <c r="L836" s="13" t="str">
        <f ca="1">IFERROR(__xludf.DUMMYFUNCTION("""COMPUTED_VALUE"""),"B6_2.mp3")</f>
        <v>B6_2.mp3</v>
      </c>
      <c r="M836" s="13" t="str">
        <f ca="1">IFERROR(__xludf.DUMMYFUNCTION("""COMPUTED_VALUE"""),"B6_VD_2.mp3")</f>
        <v>B6_VD_2.mp3</v>
      </c>
    </row>
    <row r="837" spans="1:13">
      <c r="A837" s="13">
        <f ca="1">IFERROR(__xludf.DUMMYFUNCTION("""COMPUTED_VALUE"""),3)</f>
        <v>3</v>
      </c>
      <c r="B837" s="13"/>
      <c r="C837" s="13" t="str">
        <f ca="1">IFERROR(__xludf.DUMMYFUNCTION("""COMPUTED_VALUE"""),"尝")</f>
        <v>尝</v>
      </c>
      <c r="D837" s="13" t="str">
        <f ca="1">IFERROR(__xludf.DUMMYFUNCTION("""COMPUTED_VALUE"""),"&lt;ruby&gt;尝&lt;rt&gt;cháng&lt;/rt&gt;&lt;/ruby&gt;")</f>
        <v>&lt;ruby&gt;尝&lt;rt&gt;cháng&lt;/rt&gt;&lt;/ruby&gt;</v>
      </c>
      <c r="E837" s="13" t="str">
        <f ca="1">IFERROR(__xludf.DUMMYFUNCTION("""COMPUTED_VALUE"""),"cháng")</f>
        <v>cháng</v>
      </c>
      <c r="F837" s="13" t="str">
        <f ca="1">IFERROR(__xludf.DUMMYFUNCTION("""COMPUTED_VALUE"""),"Động từ")</f>
        <v>Động từ</v>
      </c>
      <c r="G837" s="13" t="str">
        <f ca="1">IFERROR(__xludf.DUMMYFUNCTION("""COMPUTED_VALUE"""),"Thưởng thức, nếm")</f>
        <v>Thưởng thức, nếm</v>
      </c>
      <c r="H837" s="13" t="str">
        <f ca="1">IFERROR(__xludf.DUMMYFUNCTION("""COMPUTED_VALUE"""),"你尝尝这个菜吧，很好吃！")</f>
        <v>你尝尝这个菜吧，很好吃！</v>
      </c>
      <c r="I837" s="13"/>
      <c r="J837" s="13" t="str">
        <f ca="1">IFERROR(__xludf.DUMMYFUNCTION("""COMPUTED_VALUE"""),"Bạn nếm thử món này đi, ngon lắm!")</f>
        <v>Bạn nếm thử món này đi, ngon lắm!</v>
      </c>
      <c r="K837" s="13" t="str">
        <f ca="1">IFERROR(__xludf.DUMMYFUNCTION("""COMPUTED_VALUE"""),"H4_B6_BG-03.png")</f>
        <v>H4_B6_BG-03.png</v>
      </c>
      <c r="L837" s="13" t="str">
        <f ca="1">IFERROR(__xludf.DUMMYFUNCTION("""COMPUTED_VALUE"""),"B6_3.mp3")</f>
        <v>B6_3.mp3</v>
      </c>
      <c r="M837" s="13" t="str">
        <f ca="1">IFERROR(__xludf.DUMMYFUNCTION("""COMPUTED_VALUE"""),"B6_VD_3.mp3")</f>
        <v>B6_VD_3.mp3</v>
      </c>
    </row>
    <row r="838" spans="1:13">
      <c r="A838" s="13">
        <f ca="1">IFERROR(__xludf.DUMMYFUNCTION("""COMPUTED_VALUE"""),4)</f>
        <v>4</v>
      </c>
      <c r="B838" s="13"/>
      <c r="C838" s="13" t="str">
        <f ca="1">IFERROR(__xludf.DUMMYFUNCTION("""COMPUTED_VALUE"""),"免费")</f>
        <v>免费</v>
      </c>
      <c r="D838" s="13" t="str">
        <f ca="1">IFERROR(__xludf.DUMMYFUNCTION("""COMPUTED_VALUE"""),"&lt;ruby&gt;免费&lt;rt&gt;miăn fèi&lt;/rt&gt;&lt;/ruby&gt;")</f>
        <v>&lt;ruby&gt;免费&lt;rt&gt;miăn fèi&lt;/rt&gt;&lt;/ruby&gt;</v>
      </c>
      <c r="E838" s="13" t="str">
        <f ca="1">IFERROR(__xludf.DUMMYFUNCTION("""COMPUTED_VALUE"""),"miăn fèi")</f>
        <v>miăn fèi</v>
      </c>
      <c r="F838" s="13" t="str">
        <f ca="1">IFERROR(__xludf.DUMMYFUNCTION("""COMPUTED_VALUE"""),"Động từ")</f>
        <v>Động từ</v>
      </c>
      <c r="G838" s="13" t="str">
        <f ca="1">IFERROR(__xludf.DUMMYFUNCTION("""COMPUTED_VALUE"""),"miễn phí")</f>
        <v>miễn phí</v>
      </c>
      <c r="H838" s="13" t="str">
        <f ca="1">IFERROR(__xludf.DUMMYFUNCTION("""COMPUTED_VALUE"""),"现在全场包邮，完全免费！")</f>
        <v>现在全场包邮，完全免费！</v>
      </c>
      <c r="I838" s="13"/>
      <c r="J838" s="13" t="str">
        <f ca="1">IFERROR(__xludf.DUMMYFUNCTION("""COMPUTED_VALUE"""),"Hiện tại đang được miễn phí ship toàn quốc.")</f>
        <v>Hiện tại đang được miễn phí ship toàn quốc.</v>
      </c>
      <c r="K838" s="13" t="str">
        <f ca="1">IFERROR(__xludf.DUMMYFUNCTION("""COMPUTED_VALUE"""),"H4_B6_BG-04.png")</f>
        <v>H4_B6_BG-04.png</v>
      </c>
      <c r="L838" s="13" t="str">
        <f ca="1">IFERROR(__xludf.DUMMYFUNCTION("""COMPUTED_VALUE"""),"B6_4.mp3")</f>
        <v>B6_4.mp3</v>
      </c>
      <c r="M838" s="13" t="str">
        <f ca="1">IFERROR(__xludf.DUMMYFUNCTION("""COMPUTED_VALUE"""),"B6_VD_4.mp3")</f>
        <v>B6_VD_4.mp3</v>
      </c>
    </row>
    <row r="839" spans="1:13">
      <c r="A839" s="13">
        <f ca="1">IFERROR(__xludf.DUMMYFUNCTION("""COMPUTED_VALUE"""),5)</f>
        <v>5</v>
      </c>
      <c r="B839" s="13"/>
      <c r="C839" s="13" t="str">
        <f ca="1">IFERROR(__xludf.DUMMYFUNCTION("""COMPUTED_VALUE"""),"售货员")</f>
        <v>售货员</v>
      </c>
      <c r="D839" s="13" t="str">
        <f ca="1">IFERROR(__xludf.DUMMYFUNCTION("""COMPUTED_VALUE"""),"&lt;ruby&gt;售货员&lt;rt&gt;Shòu huò yuán&lt;/rt&gt;&lt;/ruby&gt;")</f>
        <v>&lt;ruby&gt;售货员&lt;rt&gt;Shòu huò yuán&lt;/rt&gt;&lt;/ruby&gt;</v>
      </c>
      <c r="E839" s="13" t="str">
        <f ca="1">IFERROR(__xludf.DUMMYFUNCTION("""COMPUTED_VALUE"""),"Shòu huò yuán")</f>
        <v>Shòu huò yuán</v>
      </c>
      <c r="F839" s="13" t="str">
        <f ca="1">IFERROR(__xludf.DUMMYFUNCTION("""COMPUTED_VALUE"""),"Danh từ")</f>
        <v>Danh từ</v>
      </c>
      <c r="G839" s="13" t="str">
        <f ca="1">IFERROR(__xludf.DUMMYFUNCTION("""COMPUTED_VALUE"""),"nhân viên bán hàng")</f>
        <v>nhân viên bán hàng</v>
      </c>
      <c r="H839" s="13" t="str">
        <f ca="1">IFERROR(__xludf.DUMMYFUNCTION("""COMPUTED_VALUE"""),"售货员正在向顾客介绍新产品。")</f>
        <v>售货员正在向顾客介绍新产品。</v>
      </c>
      <c r="I839" s="13"/>
      <c r="J839" s="13" t="str">
        <f ca="1">IFERROR(__xludf.DUMMYFUNCTION("""COMPUTED_VALUE"""),"Nhân viên bán hàng đang giới thiệu sản phẩm.")</f>
        <v>Nhân viên bán hàng đang giới thiệu sản phẩm.</v>
      </c>
      <c r="K839" s="13" t="str">
        <f ca="1">IFERROR(__xludf.DUMMYFUNCTION("""COMPUTED_VALUE"""),"H4_B6_BG-05.png")</f>
        <v>H4_B6_BG-05.png</v>
      </c>
      <c r="L839" s="13" t="str">
        <f ca="1">IFERROR(__xludf.DUMMYFUNCTION("""COMPUTED_VALUE"""),"B6_5.mp3")</f>
        <v>B6_5.mp3</v>
      </c>
      <c r="M839" s="13" t="str">
        <f ca="1">IFERROR(__xludf.DUMMYFUNCTION("""COMPUTED_VALUE"""),"B6_VD_5.mp3")</f>
        <v>B6_VD_5.mp3</v>
      </c>
    </row>
    <row r="840" spans="1:13">
      <c r="A840" s="13">
        <f ca="1">IFERROR(__xludf.DUMMYFUNCTION("""COMPUTED_VALUE"""),6)</f>
        <v>6</v>
      </c>
      <c r="B840" s="13"/>
      <c r="C840" s="13" t="str">
        <f ca="1">IFERROR(__xludf.DUMMYFUNCTION("""COMPUTED_VALUE"""),"会员卡")</f>
        <v>会员卡</v>
      </c>
      <c r="D840" s="13" t="str">
        <f ca="1">IFERROR(__xludf.DUMMYFUNCTION("""COMPUTED_VALUE"""),"&lt;ruby&gt;会员卡&lt;rt&gt;Huìyuán kǎ&lt;/rt&gt;&lt;/ruby&gt;")</f>
        <v>&lt;ruby&gt;会员卡&lt;rt&gt;Huìyuán kǎ&lt;/rt&gt;&lt;/ruby&gt;</v>
      </c>
      <c r="E840" s="13" t="str">
        <f ca="1">IFERROR(__xludf.DUMMYFUNCTION("""COMPUTED_VALUE"""),"Huìyuán kǎ")</f>
        <v>Huìyuán kǎ</v>
      </c>
      <c r="F840" s="13" t="str">
        <f ca="1">IFERROR(__xludf.DUMMYFUNCTION("""COMPUTED_VALUE"""),"Danh từ")</f>
        <v>Danh từ</v>
      </c>
      <c r="G840" s="13" t="str">
        <f ca="1">IFERROR(__xludf.DUMMYFUNCTION("""COMPUTED_VALUE"""),"thẻ hội viên")</f>
        <v>thẻ hội viên</v>
      </c>
      <c r="H840" s="13" t="str">
        <f ca="1">IFERROR(__xludf.DUMMYFUNCTION("""COMPUTED_VALUE"""),"我已经成功注册了一张会员卡。")</f>
        <v>我已经成功注册了一张会员卡。</v>
      </c>
      <c r="I840" s="13"/>
      <c r="J840" s="13" t="str">
        <f ca="1">IFERROR(__xludf.DUMMYFUNCTION("""COMPUTED_VALUE"""),"Tôi đã đăng kí thành công được thẻ hội viên ở đó.")</f>
        <v>Tôi đã đăng kí thành công được thẻ hội viên ở đó.</v>
      </c>
      <c r="K840" s="13" t="str">
        <f ca="1">IFERROR(__xludf.DUMMYFUNCTION("""COMPUTED_VALUE"""),"H4_B6_BG-06.png")</f>
        <v>H4_B6_BG-06.png</v>
      </c>
      <c r="L840" s="13" t="str">
        <f ca="1">IFERROR(__xludf.DUMMYFUNCTION("""COMPUTED_VALUE"""),"B6_6.mp3")</f>
        <v>B6_6.mp3</v>
      </c>
      <c r="M840" s="13" t="str">
        <f ca="1">IFERROR(__xludf.DUMMYFUNCTION("""COMPUTED_VALUE"""),"B6_VD_6.mp3")</f>
        <v>B6_VD_6.mp3</v>
      </c>
    </row>
    <row r="841" spans="1:13">
      <c r="A841" s="13">
        <f ca="1">IFERROR(__xludf.DUMMYFUNCTION("""COMPUTED_VALUE"""),7)</f>
        <v>7</v>
      </c>
      <c r="B841" s="13"/>
      <c r="C841" s="13" t="str">
        <f ca="1">IFERROR(__xludf.DUMMYFUNCTION("""COMPUTED_VALUE"""),"购")</f>
        <v>购</v>
      </c>
      <c r="D841" s="13" t="str">
        <f ca="1">IFERROR(__xludf.DUMMYFUNCTION("""COMPUTED_VALUE"""),"&lt;ruby&gt;购&lt;rt&gt;gòu&lt;/rt&gt;&lt;/ruby&gt;")</f>
        <v>&lt;ruby&gt;购&lt;rt&gt;gòu&lt;/rt&gt;&lt;/ruby&gt;</v>
      </c>
      <c r="E841" s="13" t="str">
        <f ca="1">IFERROR(__xludf.DUMMYFUNCTION("""COMPUTED_VALUE"""),"gòu")</f>
        <v>gòu</v>
      </c>
      <c r="F841" s="13" t="str">
        <f ca="1">IFERROR(__xludf.DUMMYFUNCTION("""COMPUTED_VALUE"""),"Động từ")</f>
        <v>Động từ</v>
      </c>
      <c r="G841" s="13" t="str">
        <f ca="1">IFERROR(__xludf.DUMMYFUNCTION("""COMPUTED_VALUE"""),"mua")</f>
        <v>mua</v>
      </c>
      <c r="H841" s="13" t="str">
        <f ca="1">IFERROR(__xludf.DUMMYFUNCTION("""COMPUTED_VALUE"""),"我购买了很多东西。")</f>
        <v>我购买了很多东西。</v>
      </c>
      <c r="I841" s="13"/>
      <c r="J841" s="13" t="str">
        <f ca="1">IFERROR(__xludf.DUMMYFUNCTION("""COMPUTED_VALUE"""),"Tôi đã mua được rất nhiều đồ.")</f>
        <v>Tôi đã mua được rất nhiều đồ.</v>
      </c>
      <c r="K841" s="13" t="str">
        <f ca="1">IFERROR(__xludf.DUMMYFUNCTION("""COMPUTED_VALUE"""),"H4_B6_BG-07.png")</f>
        <v>H4_B6_BG-07.png</v>
      </c>
      <c r="L841" s="13" t="str">
        <f ca="1">IFERROR(__xludf.DUMMYFUNCTION("""COMPUTED_VALUE"""),"B6_7.mp3")</f>
        <v>B6_7.mp3</v>
      </c>
      <c r="M841" s="13" t="str">
        <f ca="1">IFERROR(__xludf.DUMMYFUNCTION("""COMPUTED_VALUE"""),"B6_VD_7.mp3")</f>
        <v>B6_VD_7.mp3</v>
      </c>
    </row>
    <row r="842" spans="1:13">
      <c r="A842" s="13">
        <f ca="1">IFERROR(__xludf.DUMMYFUNCTION("""COMPUTED_VALUE"""),8)</f>
        <v>8</v>
      </c>
      <c r="B842" s="13"/>
      <c r="C842" s="13" t="str">
        <f ca="1">IFERROR(__xludf.DUMMYFUNCTION("""COMPUTED_VALUE"""),"货")</f>
        <v>货</v>
      </c>
      <c r="D842" s="13" t="str">
        <f ca="1">IFERROR(__xludf.DUMMYFUNCTION("""COMPUTED_VALUE"""),"&lt;ruby&gt;货&lt;rt&gt;huò&lt;/rt&gt;&lt;/ruby&gt;")</f>
        <v>&lt;ruby&gt;货&lt;rt&gt;huò&lt;/rt&gt;&lt;/ruby&gt;</v>
      </c>
      <c r="E842" s="13" t="str">
        <f ca="1">IFERROR(__xludf.DUMMYFUNCTION("""COMPUTED_VALUE"""),"huò")</f>
        <v>huò</v>
      </c>
      <c r="F842" s="13" t="str">
        <f ca="1">IFERROR(__xludf.DUMMYFUNCTION("""COMPUTED_VALUE"""),"Danh từ")</f>
        <v>Danh từ</v>
      </c>
      <c r="G842" s="13" t="str">
        <f ca="1">IFERROR(__xludf.DUMMYFUNCTION("""COMPUTED_VALUE"""),"hàng, hàng hóa")</f>
        <v>hàng, hàng hóa</v>
      </c>
      <c r="H842" s="13" t="str">
        <f ca="1">IFERROR(__xludf.DUMMYFUNCTION("""COMPUTED_VALUE"""),"这件货物太重了！")</f>
        <v>这件货物太重了！</v>
      </c>
      <c r="I842" s="13"/>
      <c r="J842" s="13" t="str">
        <f ca="1">IFERROR(__xludf.DUMMYFUNCTION("""COMPUTED_VALUE"""),"Món hàng này nặng quá.")</f>
        <v>Món hàng này nặng quá.</v>
      </c>
      <c r="K842" s="13" t="str">
        <f ca="1">IFERROR(__xludf.DUMMYFUNCTION("""COMPUTED_VALUE"""),"H4_B6_BG-08.png")</f>
        <v>H4_B6_BG-08.png</v>
      </c>
      <c r="L842" s="13" t="str">
        <f ca="1">IFERROR(__xludf.DUMMYFUNCTION("""COMPUTED_VALUE"""),"B6_8.mp3")</f>
        <v>B6_8.mp3</v>
      </c>
      <c r="M842" s="13" t="str">
        <f ca="1">IFERROR(__xludf.DUMMYFUNCTION("""COMPUTED_VALUE"""),"B6_VD_8.mp3")</f>
        <v>B6_VD_8.mp3</v>
      </c>
    </row>
    <row r="843" spans="1:13">
      <c r="A843" s="13">
        <f ca="1">IFERROR(__xludf.DUMMYFUNCTION("""COMPUTED_VALUE"""),9)</f>
        <v>9</v>
      </c>
      <c r="B843" s="13"/>
      <c r="C843" s="13" t="str">
        <f ca="1">IFERROR(__xludf.DUMMYFUNCTION("""COMPUTED_VALUE"""),"价钱")</f>
        <v>价钱</v>
      </c>
      <c r="D843" s="13" t="str">
        <f ca="1">IFERROR(__xludf.DUMMYFUNCTION("""COMPUTED_VALUE"""),"&lt;ruby&gt;价钱&lt;rt&gt;jiàqián&lt;/rt&gt;&lt;/ruby&gt;")</f>
        <v>&lt;ruby&gt;价钱&lt;rt&gt;jiàqián&lt;/rt&gt;&lt;/ruby&gt;</v>
      </c>
      <c r="E843" s="13" t="str">
        <f ca="1">IFERROR(__xludf.DUMMYFUNCTION("""COMPUTED_VALUE"""),"jiàqián")</f>
        <v>jiàqián</v>
      </c>
      <c r="F843" s="13" t="str">
        <f ca="1">IFERROR(__xludf.DUMMYFUNCTION("""COMPUTED_VALUE"""),"Danh từ")</f>
        <v>Danh từ</v>
      </c>
      <c r="G843" s="13" t="str">
        <f ca="1">IFERROR(__xludf.DUMMYFUNCTION("""COMPUTED_VALUE"""),"giá tiền, giá cả")</f>
        <v>giá tiền, giá cả</v>
      </c>
      <c r="H843" s="13" t="str">
        <f ca="1">IFERROR(__xludf.DUMMYFUNCTION("""COMPUTED_VALUE"""),"这个手机的价钱很贵。")</f>
        <v>这个手机的价钱很贵。</v>
      </c>
      <c r="I843" s="13"/>
      <c r="J843" s="13" t="str">
        <f ca="1">IFERROR(__xludf.DUMMYFUNCTION("""COMPUTED_VALUE"""),"Giá của chiếc điện thoại này rất đắt.")</f>
        <v>Giá của chiếc điện thoại này rất đắt.</v>
      </c>
      <c r="K843" s="13" t="str">
        <f ca="1">IFERROR(__xludf.DUMMYFUNCTION("""COMPUTED_VALUE"""),"H4_B6_BG-09.png")</f>
        <v>H4_B6_BG-09.png</v>
      </c>
      <c r="L843" s="13" t="str">
        <f ca="1">IFERROR(__xludf.DUMMYFUNCTION("""COMPUTED_VALUE"""),"B6_9.mp3")</f>
        <v>B6_9.mp3</v>
      </c>
      <c r="M843" s="13" t="str">
        <f ca="1">IFERROR(__xludf.DUMMYFUNCTION("""COMPUTED_VALUE"""),"B6_VD_9.mp3")</f>
        <v>B6_VD_9.mp3</v>
      </c>
    </row>
    <row r="844" spans="1:13">
      <c r="A844" s="13">
        <f ca="1">IFERROR(__xludf.DUMMYFUNCTION("""COMPUTED_VALUE"""),10)</f>
        <v>10</v>
      </c>
      <c r="B844" s="13"/>
      <c r="C844" s="13" t="str">
        <f ca="1">IFERROR(__xludf.DUMMYFUNCTION("""COMPUTED_VALUE"""),"折")</f>
        <v>折</v>
      </c>
      <c r="D844" s="13" t="str">
        <f ca="1">IFERROR(__xludf.DUMMYFUNCTION("""COMPUTED_VALUE"""),"&lt;ruby&gt;折&lt;rt&gt;zhé&lt;/rt&gt;&lt;/ruby&gt;")</f>
        <v>&lt;ruby&gt;折&lt;rt&gt;zhé&lt;/rt&gt;&lt;/ruby&gt;</v>
      </c>
      <c r="E844" s="13" t="str">
        <f ca="1">IFERROR(__xludf.DUMMYFUNCTION("""COMPUTED_VALUE"""),"zhé")</f>
        <v>zhé</v>
      </c>
      <c r="F844" s="13" t="str">
        <f ca="1">IFERROR(__xludf.DUMMYFUNCTION("""COMPUTED_VALUE"""),"Danh từ")</f>
        <v>Danh từ</v>
      </c>
      <c r="G844" s="13" t="str">
        <f ca="1">IFERROR(__xludf.DUMMYFUNCTION("""COMPUTED_VALUE"""),"sự giảm giá")</f>
        <v>sự giảm giá</v>
      </c>
      <c r="H844" s="13" t="str">
        <f ca="1">IFERROR(__xludf.DUMMYFUNCTION("""COMPUTED_VALUE"""),"这个包折了多少钱？")</f>
        <v>这个包折了多少钱？</v>
      </c>
      <c r="I844" s="13"/>
      <c r="J844" s="13" t="str">
        <f ca="1">IFERROR(__xludf.DUMMYFUNCTION("""COMPUTED_VALUE"""),"Chiếc túi này được giảm bao nhiêu tiền?")</f>
        <v>Chiếc túi này được giảm bao nhiêu tiền?</v>
      </c>
      <c r="K844" s="13" t="str">
        <f ca="1">IFERROR(__xludf.DUMMYFUNCTION("""COMPUTED_VALUE"""),"H4_B6_BG-10.png")</f>
        <v>H4_B6_BG-10.png</v>
      </c>
      <c r="L844" s="13" t="str">
        <f ca="1">IFERROR(__xludf.DUMMYFUNCTION("""COMPUTED_VALUE"""),"B6_10.mp3")</f>
        <v>B6_10.mp3</v>
      </c>
      <c r="M844" s="13" t="str">
        <f ca="1">IFERROR(__xludf.DUMMYFUNCTION("""COMPUTED_VALUE"""),"B6_VD_10.mp3")</f>
        <v>B6_VD_10.mp3</v>
      </c>
    </row>
    <row r="845" spans="1:13">
      <c r="A845" s="13">
        <f ca="1">IFERROR(__xludf.DUMMYFUNCTION("""COMPUTED_VALUE"""),11)</f>
        <v>11</v>
      </c>
      <c r="B845" s="13"/>
      <c r="C845" s="13" t="str">
        <f ca="1">IFERROR(__xludf.DUMMYFUNCTION("""COMPUTED_VALUE"""),"小朋友")</f>
        <v>小朋友</v>
      </c>
      <c r="D845" s="13" t="str">
        <f ca="1">IFERROR(__xludf.DUMMYFUNCTION("""COMPUTED_VALUE"""),"&lt;ruby&gt;小朋友&lt;rt&gt;Xiǎopéngyou&lt;/rt&gt;&lt;/ruby&gt;")</f>
        <v>&lt;ruby&gt;小朋友&lt;rt&gt;Xiǎopéngyou&lt;/rt&gt;&lt;/ruby&gt;</v>
      </c>
      <c r="E845" s="13" t="str">
        <f ca="1">IFERROR(__xludf.DUMMYFUNCTION("""COMPUTED_VALUE"""),"Xiǎopéngyou")</f>
        <v>Xiǎopéngyou</v>
      </c>
      <c r="F845" s="13" t="str">
        <f ca="1">IFERROR(__xludf.DUMMYFUNCTION("""COMPUTED_VALUE"""),"Danh từ")</f>
        <v>Danh từ</v>
      </c>
      <c r="G845" s="13" t="str">
        <f ca="1">IFERROR(__xludf.DUMMYFUNCTION("""COMPUTED_VALUE"""),"trẻ em, bạn nhỏ")</f>
        <v>trẻ em, bạn nhỏ</v>
      </c>
      <c r="H845" s="13" t="str">
        <f ca="1">IFERROR(__xludf.DUMMYFUNCTION("""COMPUTED_VALUE"""),"小朋友们正在一起唱歌。")</f>
        <v>小朋友们正在一起唱歌。</v>
      </c>
      <c r="I845" s="13"/>
      <c r="J845" s="13" t="str">
        <f ca="1">IFERROR(__xludf.DUMMYFUNCTION("""COMPUTED_VALUE"""),"Các bạn nhỏ đang cùng nhau hát.")</f>
        <v>Các bạn nhỏ đang cùng nhau hát.</v>
      </c>
      <c r="K845" s="13" t="str">
        <f ca="1">IFERROR(__xludf.DUMMYFUNCTION("""COMPUTED_VALUE"""),"H4_B6_BG-11.png")</f>
        <v>H4_B6_BG-11.png</v>
      </c>
      <c r="L845" s="13" t="str">
        <f ca="1">IFERROR(__xludf.DUMMYFUNCTION("""COMPUTED_VALUE"""),"B6_11.mp3")</f>
        <v>B6_11.mp3</v>
      </c>
      <c r="M845" s="13" t="str">
        <f ca="1">IFERROR(__xludf.DUMMYFUNCTION("""COMPUTED_VALUE"""),"B6_VD_11.mp3")</f>
        <v>B6_VD_11.mp3</v>
      </c>
    </row>
    <row r="846" spans="1:13">
      <c r="A846" s="13">
        <f ca="1">IFERROR(__xludf.DUMMYFUNCTION("""COMPUTED_VALUE"""),12)</f>
        <v>12</v>
      </c>
      <c r="B846" s="13"/>
      <c r="C846" s="13" t="str">
        <f ca="1">IFERROR(__xludf.DUMMYFUNCTION("""COMPUTED_VALUE"""),"打扰")</f>
        <v>打扰</v>
      </c>
      <c r="D846" s="13" t="str">
        <f ca="1">IFERROR(__xludf.DUMMYFUNCTION("""COMPUTED_VALUE"""),"&lt;ruby&gt;打扰&lt;rt&gt;dărǎo&lt;/rt&gt;&lt;/ruby&gt;")</f>
        <v>&lt;ruby&gt;打扰&lt;rt&gt;dărǎo&lt;/rt&gt;&lt;/ruby&gt;</v>
      </c>
      <c r="E846" s="13" t="str">
        <f ca="1">IFERROR(__xludf.DUMMYFUNCTION("""COMPUTED_VALUE"""),"dărǎo")</f>
        <v>dărǎo</v>
      </c>
      <c r="F846" s="13" t="str">
        <f ca="1">IFERROR(__xludf.DUMMYFUNCTION("""COMPUTED_VALUE"""),"Động từ")</f>
        <v>Động từ</v>
      </c>
      <c r="G846" s="13" t="str">
        <f ca="1">IFERROR(__xludf.DUMMYFUNCTION("""COMPUTED_VALUE"""),"quấy rầy, làm phiền")</f>
        <v>quấy rầy, làm phiền</v>
      </c>
      <c r="H846" s="13" t="str">
        <f ca="1">IFERROR(__xludf.DUMMYFUNCTION("""COMPUTED_VALUE"""),"噪音严重打扰了我的休息。")</f>
        <v>噪音严重打扰了我的休息。</v>
      </c>
      <c r="I846" s="13"/>
      <c r="J846" s="13" t="str">
        <f ca="1">IFERROR(__xludf.DUMMYFUNCTION("""COMPUTED_VALUE"""),"Tiếng ồn đang làm phiền tôi.")</f>
        <v>Tiếng ồn đang làm phiền tôi.</v>
      </c>
      <c r="K846" s="13" t="str">
        <f ca="1">IFERROR(__xludf.DUMMYFUNCTION("""COMPUTED_VALUE"""),"H4_B6_BG-12.png")</f>
        <v>H4_B6_BG-12.png</v>
      </c>
      <c r="L846" s="13" t="str">
        <f ca="1">IFERROR(__xludf.DUMMYFUNCTION("""COMPUTED_VALUE"""),"B6_12.mp3")</f>
        <v>B6_12.mp3</v>
      </c>
      <c r="M846" s="13" t="str">
        <f ca="1">IFERROR(__xludf.DUMMYFUNCTION("""COMPUTED_VALUE"""),"B6_VD_12.mp3")</f>
        <v>B6_VD_12.mp3</v>
      </c>
    </row>
    <row r="847" spans="1:13">
      <c r="A847" s="13">
        <f ca="1">IFERROR(__xludf.DUMMYFUNCTION("""COMPUTED_VALUE"""),13)</f>
        <v>13</v>
      </c>
      <c r="B847" s="13"/>
      <c r="C847" s="13" t="str">
        <f ca="1">IFERROR(__xludf.DUMMYFUNCTION("""COMPUTED_VALUE"""),"方面")</f>
        <v>方面</v>
      </c>
      <c r="D847" s="13" t="str">
        <f ca="1">IFERROR(__xludf.DUMMYFUNCTION("""COMPUTED_VALUE"""),"&lt;ruby&gt;方面&lt;rt&gt;fāngmiàn&lt;/rt&gt;&lt;/ruby&gt;")</f>
        <v>&lt;ruby&gt;方面&lt;rt&gt;fāngmiàn&lt;/rt&gt;&lt;/ruby&gt;</v>
      </c>
      <c r="E847" s="13" t="str">
        <f ca="1">IFERROR(__xludf.DUMMYFUNCTION("""COMPUTED_VALUE"""),"fāngmiàn")</f>
        <v>fāngmiàn</v>
      </c>
      <c r="F847" s="13" t="str">
        <f ca="1">IFERROR(__xludf.DUMMYFUNCTION("""COMPUTED_VALUE"""),"Danh từ")</f>
        <v>Danh từ</v>
      </c>
      <c r="G847" s="13" t="str">
        <f ca="1">IFERROR(__xludf.DUMMYFUNCTION("""COMPUTED_VALUE"""),"khía cạnh, phương diện")</f>
        <v>khía cạnh, phương diện</v>
      </c>
      <c r="H847" s="13" t="str">
        <f ca="1">IFERROR(__xludf.DUMMYFUNCTION("""COMPUTED_VALUE"""),"在学习方面，她一直很努力。")</f>
        <v>在学习方面，她一直很努力。</v>
      </c>
      <c r="I847" s="13"/>
      <c r="J847" s="13" t="str">
        <f ca="1">IFERROR(__xludf.DUMMYFUNCTION("""COMPUTED_VALUE"""),"Trong khía cạnh học tập, cô ấy luôn rất chăm chỉ.")</f>
        <v>Trong khía cạnh học tập, cô ấy luôn rất chăm chỉ.</v>
      </c>
      <c r="K847" s="13" t="str">
        <f ca="1">IFERROR(__xludf.DUMMYFUNCTION("""COMPUTED_VALUE"""),"H4_B6_BG-13.png")</f>
        <v>H4_B6_BG-13.png</v>
      </c>
      <c r="L847" s="13" t="str">
        <f ca="1">IFERROR(__xludf.DUMMYFUNCTION("""COMPUTED_VALUE"""),"B6_13.mp3")</f>
        <v>B6_13.mp3</v>
      </c>
      <c r="M847" s="13" t="str">
        <f ca="1">IFERROR(__xludf.DUMMYFUNCTION("""COMPUTED_VALUE"""),"B6_VD_13.mp3")</f>
        <v>B6_VD_13.mp3</v>
      </c>
    </row>
    <row r="848" spans="1:13">
      <c r="A848" s="13">
        <f ca="1">IFERROR(__xludf.DUMMYFUNCTION("""COMPUTED_VALUE"""),14)</f>
        <v>14</v>
      </c>
      <c r="B848" s="13"/>
      <c r="C848" s="13" t="str">
        <f ca="1">IFERROR(__xludf.DUMMYFUNCTION("""COMPUTED_VALUE"""),"各")</f>
        <v>各</v>
      </c>
      <c r="D848" s="13" t="str">
        <f ca="1">IFERROR(__xludf.DUMMYFUNCTION("""COMPUTED_VALUE"""),"&lt;ruby&gt;各&lt;rt&gt;gè&lt;/rt&gt;&lt;/ruby&gt;")</f>
        <v>&lt;ruby&gt;各&lt;rt&gt;gè&lt;/rt&gt;&lt;/ruby&gt;</v>
      </c>
      <c r="E848" s="13" t="str">
        <f ca="1">IFERROR(__xludf.DUMMYFUNCTION("""COMPUTED_VALUE"""),"gè")</f>
        <v>gè</v>
      </c>
      <c r="F848" s="13" t="str">
        <f ca="1">IFERROR(__xludf.DUMMYFUNCTION("""COMPUTED_VALUE"""),"Động từ")</f>
        <v>Động từ</v>
      </c>
      <c r="G848" s="13" t="str">
        <f ca="1">IFERROR(__xludf.DUMMYFUNCTION("""COMPUTED_VALUE"""),"các, mỗi")</f>
        <v>các, mỗi</v>
      </c>
      <c r="H848" s="13" t="str">
        <f ca="1">IFERROR(__xludf.DUMMYFUNCTION("""COMPUTED_VALUE"""),"这次活动有各个年级的学生参加。")</f>
        <v>这次活动有各个年级的学生参加。</v>
      </c>
      <c r="I848" s="13"/>
      <c r="J848" s="13" t="str">
        <f ca="1">IFERROR(__xludf.DUMMYFUNCTION("""COMPUTED_VALUE"""),"Hoạt động lần này có học sinh từ các khối lớp tham gia.")</f>
        <v>Hoạt động lần này có học sinh từ các khối lớp tham gia.</v>
      </c>
      <c r="K848" s="13" t="str">
        <f ca="1">IFERROR(__xludf.DUMMYFUNCTION("""COMPUTED_VALUE"""),"H4_B6_BG-14.png")</f>
        <v>H4_B6_BG-14.png</v>
      </c>
      <c r="L848" s="13" t="str">
        <f ca="1">IFERROR(__xludf.DUMMYFUNCTION("""COMPUTED_VALUE"""),"B6_14.mp3")</f>
        <v>B6_14.mp3</v>
      </c>
      <c r="M848" s="13" t="str">
        <f ca="1">IFERROR(__xludf.DUMMYFUNCTION("""COMPUTED_VALUE"""),"B6_VD_14.mp3")</f>
        <v>B6_VD_14.mp3</v>
      </c>
    </row>
    <row r="849" spans="1:13">
      <c r="A849" s="13">
        <f ca="1">IFERROR(__xludf.DUMMYFUNCTION("""COMPUTED_VALUE"""),15)</f>
        <v>15</v>
      </c>
      <c r="B849" s="13"/>
      <c r="C849" s="13" t="str">
        <f ca="1">IFERROR(__xludf.DUMMYFUNCTION("""COMPUTED_VALUE"""),"果汁")</f>
        <v>果汁</v>
      </c>
      <c r="D849" s="13" t="str">
        <f ca="1">IFERROR(__xludf.DUMMYFUNCTION("""COMPUTED_VALUE"""),"&lt;ruby&gt;果汁&lt;rt&gt;guǒzhi&lt;/rt&gt;&lt;/ruby&gt;")</f>
        <v>&lt;ruby&gt;果汁&lt;rt&gt;guǒzhi&lt;/rt&gt;&lt;/ruby&gt;</v>
      </c>
      <c r="E849" s="13" t="str">
        <f ca="1">IFERROR(__xludf.DUMMYFUNCTION("""COMPUTED_VALUE"""),"guǒzhi")</f>
        <v>guǒzhi</v>
      </c>
      <c r="F849" s="13" t="str">
        <f ca="1">IFERROR(__xludf.DUMMYFUNCTION("""COMPUTED_VALUE"""),"Danh từ")</f>
        <v>Danh từ</v>
      </c>
      <c r="G849" s="13" t="str">
        <f ca="1">IFERROR(__xludf.DUMMYFUNCTION("""COMPUTED_VALUE"""),"nước trái cây")</f>
        <v>nước trái cây</v>
      </c>
      <c r="H849" s="13" t="str">
        <f ca="1">IFERROR(__xludf.DUMMYFUNCTION("""COMPUTED_VALUE"""),"喝果汁对身体健康非常有益。")</f>
        <v>喝果汁对身体健康非常有益。</v>
      </c>
      <c r="I849" s="13"/>
      <c r="J849" s="13" t="str">
        <f ca="1">IFERROR(__xludf.DUMMYFUNCTION("""COMPUTED_VALUE"""),"Uống nước trái cây rất tốt cho sức khỏe.")</f>
        <v>Uống nước trái cây rất tốt cho sức khỏe.</v>
      </c>
      <c r="K849" s="13" t="str">
        <f ca="1">IFERROR(__xludf.DUMMYFUNCTION("""COMPUTED_VALUE"""),"H4_B6_BG-15.png")</f>
        <v>H4_B6_BG-15.png</v>
      </c>
      <c r="L849" s="13" t="str">
        <f ca="1">IFERROR(__xludf.DUMMYFUNCTION("""COMPUTED_VALUE"""),"B6_15.mp3")</f>
        <v>B6_15.mp3</v>
      </c>
      <c r="M849" s="13" t="str">
        <f ca="1">IFERROR(__xludf.DUMMYFUNCTION("""COMPUTED_VALUE"""),"B6_VD_15.mp3")</f>
        <v>B6_VD_15.mp3</v>
      </c>
    </row>
    <row r="850" spans="1:13">
      <c r="A850" s="13">
        <f ca="1">IFERROR(__xludf.DUMMYFUNCTION("""COMPUTED_VALUE"""),16)</f>
        <v>16</v>
      </c>
      <c r="B850" s="13"/>
      <c r="C850" s="13" t="str">
        <f ca="1">IFERROR(__xludf.DUMMYFUNCTION("""COMPUTED_VALUE"""),"西红柿")</f>
        <v>西红柿</v>
      </c>
      <c r="D850" s="13" t="str">
        <f ca="1">IFERROR(__xludf.DUMMYFUNCTION("""COMPUTED_VALUE"""),"&lt;ruby&gt;西红柿&lt;rt&gt;xīhóngshì&lt;/rt&gt;&lt;/ruby&gt;")</f>
        <v>&lt;ruby&gt;西红柿&lt;rt&gt;xīhóngshì&lt;/rt&gt;&lt;/ruby&gt;</v>
      </c>
      <c r="E850" s="13" t="str">
        <f ca="1">IFERROR(__xludf.DUMMYFUNCTION("""COMPUTED_VALUE"""),"xīhóngshì")</f>
        <v>xīhóngshì</v>
      </c>
      <c r="F850" s="13" t="str">
        <f ca="1">IFERROR(__xludf.DUMMYFUNCTION("""COMPUTED_VALUE"""),"Danh từ")</f>
        <v>Danh từ</v>
      </c>
      <c r="G850" s="13" t="str">
        <f ca="1">IFERROR(__xludf.DUMMYFUNCTION("""COMPUTED_VALUE"""),"cà chua")</f>
        <v>cà chua</v>
      </c>
      <c r="H850" s="13" t="str">
        <f ca="1">IFERROR(__xludf.DUMMYFUNCTION("""COMPUTED_VALUE"""),"我正在切西红柿准备做沙拉。")</f>
        <v>我正在切西红柿准备做沙拉。</v>
      </c>
      <c r="I850" s="13"/>
      <c r="J850" s="13" t="str">
        <f ca="1">IFERROR(__xludf.DUMMYFUNCTION("""COMPUTED_VALUE"""),"Tôi đang thái cà chua để làm salad.")</f>
        <v>Tôi đang thái cà chua để làm salad.</v>
      </c>
      <c r="K850" s="13" t="str">
        <f ca="1">IFERROR(__xludf.DUMMYFUNCTION("""COMPUTED_VALUE"""),"H4_B6_BG-16.png")</f>
        <v>H4_B6_BG-16.png</v>
      </c>
      <c r="L850" s="13" t="str">
        <f ca="1">IFERROR(__xludf.DUMMYFUNCTION("""COMPUTED_VALUE"""),"B6_16.mp3")</f>
        <v>B6_16.mp3</v>
      </c>
      <c r="M850" s="13" t="str">
        <f ca="1">IFERROR(__xludf.DUMMYFUNCTION("""COMPUTED_VALUE"""),"B6_VD_16.mp3")</f>
        <v>B6_VD_16.mp3</v>
      </c>
    </row>
    <row r="851" spans="1:13">
      <c r="A851" s="13">
        <f ca="1">IFERROR(__xludf.DUMMYFUNCTION("""COMPUTED_VALUE"""),17)</f>
        <v>17</v>
      </c>
      <c r="B851" s="13"/>
      <c r="C851" s="13" t="str">
        <f ca="1">IFERROR(__xludf.DUMMYFUNCTION("""COMPUTED_VALUE"""),"好处")</f>
        <v>好处</v>
      </c>
      <c r="D851" s="13" t="str">
        <f ca="1">IFERROR(__xludf.DUMMYFUNCTION("""COMPUTED_VALUE"""),"&lt;ruby&gt;好处&lt;rt&gt;hăochù&lt;/rt&gt;&lt;/ruby&gt;")</f>
        <v>&lt;ruby&gt;好处&lt;rt&gt;hăochù&lt;/rt&gt;&lt;/ruby&gt;</v>
      </c>
      <c r="E851" s="13" t="str">
        <f ca="1">IFERROR(__xludf.DUMMYFUNCTION("""COMPUTED_VALUE"""),"hăochù")</f>
        <v>hăochù</v>
      </c>
      <c r="F851" s="13" t="str">
        <f ca="1">IFERROR(__xludf.DUMMYFUNCTION("""COMPUTED_VALUE"""),"Danh từ")</f>
        <v>Danh từ</v>
      </c>
      <c r="G851" s="13" t="str">
        <f ca="1">IFERROR(__xludf.DUMMYFUNCTION("""COMPUTED_VALUE"""),"lợi ích, điều tốt")</f>
        <v>lợi ích, điều tốt</v>
      </c>
      <c r="H851" s="13" t="str">
        <f ca="1">IFERROR(__xludf.DUMMYFUNCTION("""COMPUTED_VALUE"""),"少吃盐对健康很有好处。")</f>
        <v>少吃盐对健康很有好处。</v>
      </c>
      <c r="I851" s="13"/>
      <c r="J851" s="13" t="str">
        <f ca="1">IFERROR(__xludf.DUMMYFUNCTION("""COMPUTED_VALUE"""),"Ăn ít muối là một điều tốt cho sức khỏe.")</f>
        <v>Ăn ít muối là một điều tốt cho sức khỏe.</v>
      </c>
      <c r="K851" s="13" t="str">
        <f ca="1">IFERROR(__xludf.DUMMYFUNCTION("""COMPUTED_VALUE"""),"H4_B6_BG-17.png")</f>
        <v>H4_B6_BG-17.png</v>
      </c>
      <c r="L851" s="13" t="str">
        <f ca="1">IFERROR(__xludf.DUMMYFUNCTION("""COMPUTED_VALUE"""),"B6_17.mp3")</f>
        <v>B6_17.mp3</v>
      </c>
      <c r="M851" s="13" t="str">
        <f ca="1">IFERROR(__xludf.DUMMYFUNCTION("""COMPUTED_VALUE"""),"B6_VD_17.mp3")</f>
        <v>B6_VD_17.mp3</v>
      </c>
    </row>
    <row r="852" spans="1:13">
      <c r="A852" s="13">
        <f ca="1">IFERROR(__xludf.DUMMYFUNCTION("""COMPUTED_VALUE"""),18)</f>
        <v>18</v>
      </c>
      <c r="B852" s="13"/>
      <c r="C852" s="13" t="str">
        <f ca="1">IFERROR(__xludf.DUMMYFUNCTION("""COMPUTED_VALUE"""),"活动")</f>
        <v>活动</v>
      </c>
      <c r="D852" s="13" t="str">
        <f ca="1">IFERROR(__xludf.DUMMYFUNCTION("""COMPUTED_VALUE"""),"&lt;ruby&gt;活动&lt;rt&gt;huódòng&lt;/rt&gt;&lt;/ruby&gt;")</f>
        <v>&lt;ruby&gt;活动&lt;rt&gt;huódòng&lt;/rt&gt;&lt;/ruby&gt;</v>
      </c>
      <c r="E852" s="13" t="str">
        <f ca="1">IFERROR(__xludf.DUMMYFUNCTION("""COMPUTED_VALUE"""),"huódòng")</f>
        <v>huódòng</v>
      </c>
      <c r="F852" s="13" t="str">
        <f ca="1">IFERROR(__xludf.DUMMYFUNCTION("""COMPUTED_VALUE"""),"Danh từ")</f>
        <v>Danh từ</v>
      </c>
      <c r="G852" s="13" t="str">
        <f ca="1">IFERROR(__xludf.DUMMYFUNCTION("""COMPUTED_VALUE"""),"hoạt động")</f>
        <v>hoạt động</v>
      </c>
      <c r="H852" s="13" t="str">
        <f ca="1">IFERROR(__xludf.DUMMYFUNCTION("""COMPUTED_VALUE"""),"骑自行车是我最喜欢的户外活动。")</f>
        <v>骑自行车是我最喜欢的户外活动。</v>
      </c>
      <c r="I852" s="13"/>
      <c r="J852" s="13" t="str">
        <f ca="1">IFERROR(__xludf.DUMMYFUNCTION("""COMPUTED_VALUE"""),"Đạp xe là hoạt động ngoài trời mà tôi rất thích.")</f>
        <v>Đạp xe là hoạt động ngoài trời mà tôi rất thích.</v>
      </c>
      <c r="K852" s="13" t="str">
        <f ca="1">IFERROR(__xludf.DUMMYFUNCTION("""COMPUTED_VALUE"""),"H4_B6_BG-18.png")</f>
        <v>H4_B6_BG-18.png</v>
      </c>
      <c r="L852" s="13" t="str">
        <f ca="1">IFERROR(__xludf.DUMMYFUNCTION("""COMPUTED_VALUE"""),"B6_18.mp3")</f>
        <v>B6_18.mp3</v>
      </c>
      <c r="M852" s="13" t="str">
        <f ca="1">IFERROR(__xludf.DUMMYFUNCTION("""COMPUTED_VALUE"""),"B6_VD_18.mp3")</f>
        <v>B6_VD_18.mp3</v>
      </c>
    </row>
    <row r="853" spans="1:13">
      <c r="A853" s="13">
        <f ca="1">IFERROR(__xludf.DUMMYFUNCTION("""COMPUTED_VALUE"""),19)</f>
        <v>19</v>
      </c>
      <c r="B853" s="13"/>
      <c r="C853" s="13" t="str">
        <f ca="1">IFERROR(__xludf.DUMMYFUNCTION("""COMPUTED_VALUE"""),"获得")</f>
        <v>获得</v>
      </c>
      <c r="D853" s="13" t="str">
        <f ca="1">IFERROR(__xludf.DUMMYFUNCTION("""COMPUTED_VALUE"""),"&lt;ruby&gt;获得&lt;rt&gt;huòdé&lt;/rt&gt;&lt;/ruby&gt;")</f>
        <v>&lt;ruby&gt;获得&lt;rt&gt;huòdé&lt;/rt&gt;&lt;/ruby&gt;</v>
      </c>
      <c r="E853" s="13" t="str">
        <f ca="1">IFERROR(__xludf.DUMMYFUNCTION("""COMPUTED_VALUE"""),"huòdé")</f>
        <v>huòdé</v>
      </c>
      <c r="F853" s="13" t="str">
        <f ca="1">IFERROR(__xludf.DUMMYFUNCTION("""COMPUTED_VALUE"""),"Động từ")</f>
        <v>Động từ</v>
      </c>
      <c r="G853" s="13" t="str">
        <f ca="1">IFERROR(__xludf.DUMMYFUNCTION("""COMPUTED_VALUE"""),"được, lấy được")</f>
        <v>được, lấy được</v>
      </c>
      <c r="H853" s="13" t="str">
        <f ca="1">IFERROR(__xludf.DUMMYFUNCTION("""COMPUTED_VALUE"""),"我终于获得了比赛的冠军奖杯！")</f>
        <v>我终于获得了比赛的冠军奖杯！</v>
      </c>
      <c r="I853" s="13"/>
      <c r="J853" s="13" t="str">
        <f ca="1">IFERROR(__xludf.DUMMYFUNCTION("""COMPUTED_VALUE"""),"Tôi đã nhận được cúp chiến thắng.")</f>
        <v>Tôi đã nhận được cúp chiến thắng.</v>
      </c>
      <c r="K853" s="13" t="str">
        <f ca="1">IFERROR(__xludf.DUMMYFUNCTION("""COMPUTED_VALUE"""),"H4_B6_BG-19.png")</f>
        <v>H4_B6_BG-19.png</v>
      </c>
      <c r="L853" s="13" t="str">
        <f ca="1">IFERROR(__xludf.DUMMYFUNCTION("""COMPUTED_VALUE"""),"B6_19.mp3")</f>
        <v>B6_19.mp3</v>
      </c>
      <c r="M853" s="13" t="str">
        <f ca="1">IFERROR(__xludf.DUMMYFUNCTION("""COMPUTED_VALUE"""),"B6_VD_19.mp3")</f>
        <v>B6_VD_19.mp3</v>
      </c>
    </row>
    <row r="854" spans="1:13">
      <c r="A854" s="13">
        <f ca="1">IFERROR(__xludf.DUMMYFUNCTION("""COMPUTED_VALUE"""),20)</f>
        <v>20</v>
      </c>
      <c r="B854" s="13"/>
      <c r="C854" s="13" t="str">
        <f ca="1">IFERROR(__xludf.DUMMYFUNCTION("""COMPUTED_VALUE"""),"降低")</f>
        <v>降低</v>
      </c>
      <c r="D854" s="13" t="str">
        <f ca="1">IFERROR(__xludf.DUMMYFUNCTION("""COMPUTED_VALUE"""),"&lt;ruby&gt;降低&lt;rt&gt;jiàngdi&lt;/rt&gt;&lt;/ruby&gt;")</f>
        <v>&lt;ruby&gt;降低&lt;rt&gt;jiàngdi&lt;/rt&gt;&lt;/ruby&gt;</v>
      </c>
      <c r="E854" s="13" t="str">
        <f ca="1">IFERROR(__xludf.DUMMYFUNCTION("""COMPUTED_VALUE"""),"jiàngdi")</f>
        <v>jiàngdi</v>
      </c>
      <c r="F854" s="13" t="str">
        <f ca="1">IFERROR(__xludf.DUMMYFUNCTION("""COMPUTED_VALUE"""),"Động từ")</f>
        <v>Động từ</v>
      </c>
      <c r="G854" s="13" t="str">
        <f ca="1">IFERROR(__xludf.DUMMYFUNCTION("""COMPUTED_VALUE"""),"giảm")</f>
        <v>giảm</v>
      </c>
      <c r="H854" s="13" t="str">
        <f ca="1">IFERROR(__xludf.DUMMYFUNCTION("""COMPUTED_VALUE"""),"这家超市的商品价格降低了。")</f>
        <v>这家超市的商品价格降低了。</v>
      </c>
      <c r="I854" s="13"/>
      <c r="J854" s="13" t="str">
        <f ca="1">IFERROR(__xludf.DUMMYFUNCTION("""COMPUTED_VALUE"""),"Giá của các mặt hàng trong siêu thị này đã giảm.")</f>
        <v>Giá của các mặt hàng trong siêu thị này đã giảm.</v>
      </c>
      <c r="K854" s="13" t="str">
        <f ca="1">IFERROR(__xludf.DUMMYFUNCTION("""COMPUTED_VALUE"""),"H4_B6_BG-20.png")</f>
        <v>H4_B6_BG-20.png</v>
      </c>
      <c r="L854" s="13" t="str">
        <f ca="1">IFERROR(__xludf.DUMMYFUNCTION("""COMPUTED_VALUE"""),"B6_20.mp3")</f>
        <v>B6_20.mp3</v>
      </c>
      <c r="M854" s="13" t="str">
        <f ca="1">IFERROR(__xludf.DUMMYFUNCTION("""COMPUTED_VALUE"""),"B6_VD_20.mp3")</f>
        <v>B6_VD_20.mp3</v>
      </c>
    </row>
    <row r="855" spans="1:13">
      <c r="A855" s="13">
        <f ca="1">IFERROR(__xludf.DUMMYFUNCTION("""COMPUTED_VALUE"""),21)</f>
        <v>21</v>
      </c>
      <c r="B855" s="13"/>
      <c r="C855" s="13" t="str">
        <f ca="1">IFERROR(__xludf.DUMMYFUNCTION("""COMPUTED_VALUE"""),"竟然")</f>
        <v>竟然</v>
      </c>
      <c r="D855" s="13" t="str">
        <f ca="1">IFERROR(__xludf.DUMMYFUNCTION("""COMPUTED_VALUE"""),"&lt;ruby&gt;竟然&lt;rt&gt;jingrán&lt;/rt&gt;&lt;/ruby&gt;")</f>
        <v>&lt;ruby&gt;竟然&lt;rt&gt;jingrán&lt;/rt&gt;&lt;/ruby&gt;</v>
      </c>
      <c r="E855" s="13" t="str">
        <f ca="1">IFERROR(__xludf.DUMMYFUNCTION("""COMPUTED_VALUE"""),"jingrán")</f>
        <v>jingrán</v>
      </c>
      <c r="F855" s="13" t="str">
        <f ca="1">IFERROR(__xludf.DUMMYFUNCTION("""COMPUTED_VALUE"""),"Phó từ")</f>
        <v>Phó từ</v>
      </c>
      <c r="G855" s="13" t="str">
        <f ca="1">IFERROR(__xludf.DUMMYFUNCTION("""COMPUTED_VALUE"""),"(diễn tả sự bất ngờ) không ngờ, mà, vậy mà")</f>
        <v>(diễn tả sự bất ngờ) không ngờ, mà, vậy mà</v>
      </c>
      <c r="H855" s="13" t="str">
        <f ca="1">IFERROR(__xludf.DUMMYFUNCTION("""COMPUTED_VALUE"""),"我竟然在假期中长胖了！")</f>
        <v>我竟然在假期中长胖了！</v>
      </c>
      <c r="I855" s="13"/>
      <c r="J855" s="13" t="str">
        <f ca="1">IFERROR(__xludf.DUMMYFUNCTION("""COMPUTED_VALUE"""),"Không ngờ là tôi đã tăng cân trong kỳ nghỉ!")</f>
        <v>Không ngờ là tôi đã tăng cân trong kỳ nghỉ!</v>
      </c>
      <c r="K855" s="13" t="str">
        <f ca="1">IFERROR(__xludf.DUMMYFUNCTION("""COMPUTED_VALUE"""),"H4_B6_BG-21.png")</f>
        <v>H4_B6_BG-21.png</v>
      </c>
      <c r="L855" s="13" t="str">
        <f ca="1">IFERROR(__xludf.DUMMYFUNCTION("""COMPUTED_VALUE"""),"B6_21.mp3")</f>
        <v>B6_21.mp3</v>
      </c>
      <c r="M855" s="13" t="str">
        <f ca="1">IFERROR(__xludf.DUMMYFUNCTION("""COMPUTED_VALUE"""),"B6_VD_21.mp3")</f>
        <v>B6_VD_21.mp3</v>
      </c>
    </row>
    <row r="856" spans="1:13">
      <c r="A856" s="13">
        <f ca="1">IFERROR(__xludf.DUMMYFUNCTION("""COMPUTED_VALUE"""),22)</f>
        <v>22</v>
      </c>
      <c r="B856" s="13"/>
      <c r="C856" s="13" t="str">
        <f ca="1">IFERROR(__xludf.DUMMYFUNCTION("""COMPUTED_VALUE"""),"举办")</f>
        <v>举办</v>
      </c>
      <c r="D856" s="13" t="str">
        <f ca="1">IFERROR(__xludf.DUMMYFUNCTION("""COMPUTED_VALUE"""),"&lt;ruby&gt;举办&lt;rt&gt;jŭbàn&lt;/rt&gt;&lt;/ruby&gt;")</f>
        <v>&lt;ruby&gt;举办&lt;rt&gt;jŭbàn&lt;/rt&gt;&lt;/ruby&gt;</v>
      </c>
      <c r="E856" s="13" t="str">
        <f ca="1">IFERROR(__xludf.DUMMYFUNCTION("""COMPUTED_VALUE"""),"jŭbàn")</f>
        <v>jŭbàn</v>
      </c>
      <c r="F856" s="13" t="str">
        <f ca="1">IFERROR(__xludf.DUMMYFUNCTION("""COMPUTED_VALUE"""),"Động từ")</f>
        <v>Động từ</v>
      </c>
      <c r="G856" s="13" t="str">
        <f ca="1">IFERROR(__xludf.DUMMYFUNCTION("""COMPUTED_VALUE"""),"tổ chức, tiến hành")</f>
        <v>tổ chức, tiến hành</v>
      </c>
      <c r="H856" s="13" t="str">
        <f ca="1">IFERROR(__xludf.DUMMYFUNCTION("""COMPUTED_VALUE"""),"学校举办了一个晚会。")</f>
        <v>学校举办了一个晚会。</v>
      </c>
      <c r="I856" s="13"/>
      <c r="J856" s="13" t="str">
        <f ca="1">IFERROR(__xludf.DUMMYFUNCTION("""COMPUTED_VALUE"""),"Trường học tổ chức một buổi dạ tiệc.")</f>
        <v>Trường học tổ chức một buổi dạ tiệc.</v>
      </c>
      <c r="K856" s="13" t="str">
        <f ca="1">IFERROR(__xludf.DUMMYFUNCTION("""COMPUTED_VALUE"""),"H4_B6_BG-22.png")</f>
        <v>H4_B6_BG-22.png</v>
      </c>
      <c r="L856" s="13" t="str">
        <f ca="1">IFERROR(__xludf.DUMMYFUNCTION("""COMPUTED_VALUE"""),"B6_22.mp3")</f>
        <v>B6_22.mp3</v>
      </c>
      <c r="M856" s="13" t="str">
        <f ca="1">IFERROR(__xludf.DUMMYFUNCTION("""COMPUTED_VALUE"""),"B6_VD_22.mp3")</f>
        <v>B6_VD_22.mp3</v>
      </c>
    </row>
    <row r="857" spans="1:13">
      <c r="A857" s="13">
        <f ca="1">IFERROR(__xludf.DUMMYFUNCTION("""COMPUTED_VALUE"""),23)</f>
        <v>23</v>
      </c>
      <c r="B857" s="13"/>
      <c r="C857" s="13" t="str">
        <f ca="1">IFERROR(__xludf.DUMMYFUNCTION("""COMPUTED_VALUE"""),"举行")</f>
        <v>举行</v>
      </c>
      <c r="D857" s="13" t="str">
        <f ca="1">IFERROR(__xludf.DUMMYFUNCTION("""COMPUTED_VALUE"""),"&lt;ruby&gt;举行&lt;rt&gt;jǔxíng&lt;/rt&gt;&lt;/ruby&gt;")</f>
        <v>&lt;ruby&gt;举行&lt;rt&gt;jǔxíng&lt;/rt&gt;&lt;/ruby&gt;</v>
      </c>
      <c r="E857" s="13" t="str">
        <f ca="1">IFERROR(__xludf.DUMMYFUNCTION("""COMPUTED_VALUE"""),"jǔxíng")</f>
        <v>jǔxíng</v>
      </c>
      <c r="F857" s="13" t="str">
        <f ca="1">IFERROR(__xludf.DUMMYFUNCTION("""COMPUTED_VALUE"""),"Động từ")</f>
        <v>Động từ</v>
      </c>
      <c r="G857" s="13" t="str">
        <f ca="1">IFERROR(__xludf.DUMMYFUNCTION("""COMPUTED_VALUE"""),"tổ chức (hội họp, thi đấu...)")</f>
        <v>tổ chức (hội họp, thi đấu...)</v>
      </c>
      <c r="H857" s="13" t="str">
        <f ca="1">IFERROR(__xludf.DUMMYFUNCTION("""COMPUTED_VALUE"""),"我们计划下个月举行婚礼。")</f>
        <v>我们计划下个月举行婚礼。</v>
      </c>
      <c r="I857" s="13"/>
      <c r="J857" s="13" t="str">
        <f ca="1">IFERROR(__xludf.DUMMYFUNCTION("""COMPUTED_VALUE"""),"Chúng tôi dự định tổ chức đám cưới vào tháng sau.")</f>
        <v>Chúng tôi dự định tổ chức đám cưới vào tháng sau.</v>
      </c>
      <c r="K857" s="13" t="str">
        <f ca="1">IFERROR(__xludf.DUMMYFUNCTION("""COMPUTED_VALUE"""),"H4_B6_BG-23.png")</f>
        <v>H4_B6_BG-23.png</v>
      </c>
      <c r="L857" s="13" t="str">
        <f ca="1">IFERROR(__xludf.DUMMYFUNCTION("""COMPUTED_VALUE"""),"B6_23.mp3")</f>
        <v>B6_23.mp3</v>
      </c>
      <c r="M857" s="13" t="str">
        <f ca="1">IFERROR(__xludf.DUMMYFUNCTION("""COMPUTED_VALUE"""),"B6_VD_23.mp3")</f>
        <v>B6_VD_23.mp3</v>
      </c>
    </row>
    <row r="858" spans="1:13">
      <c r="A858" s="13">
        <f ca="1">IFERROR(__xludf.DUMMYFUNCTION("""COMPUTED_VALUE"""),24)</f>
        <v>24</v>
      </c>
      <c r="B858" s="13"/>
      <c r="C858" s="13" t="str">
        <f ca="1">IFERROR(__xludf.DUMMYFUNCTION("""COMPUTED_VALUE"""),"支持")</f>
        <v>支持</v>
      </c>
      <c r="D858" s="13" t="str">
        <f ca="1">IFERROR(__xludf.DUMMYFUNCTION("""COMPUTED_VALUE"""),"&lt;ruby&gt;支持&lt;rt&gt;zhīchí&lt;/rt&gt;&lt;/ruby&gt;")</f>
        <v>&lt;ruby&gt;支持&lt;rt&gt;zhīchí&lt;/rt&gt;&lt;/ruby&gt;</v>
      </c>
      <c r="E858" s="13" t="str">
        <f ca="1">IFERROR(__xludf.DUMMYFUNCTION("""COMPUTED_VALUE"""),"zhīchí")</f>
        <v>zhīchí</v>
      </c>
      <c r="F858" s="13" t="str">
        <f ca="1">IFERROR(__xludf.DUMMYFUNCTION("""COMPUTED_VALUE"""),"Động từ")</f>
        <v>Động từ</v>
      </c>
      <c r="G858" s="13" t="str">
        <f ca="1">IFERROR(__xludf.DUMMYFUNCTION("""COMPUTED_VALUE"""),"ủng hộ")</f>
        <v>ủng hộ</v>
      </c>
      <c r="H858" s="13" t="str">
        <f ca="1">IFERROR(__xludf.DUMMYFUNCTION("""COMPUTED_VALUE"""),"妈妈一直支持我的梦想和选择。")</f>
        <v>妈妈一直支持我的梦想和选择。</v>
      </c>
      <c r="I858" s="13"/>
      <c r="J858" s="13" t="str">
        <f ca="1">IFERROR(__xludf.DUMMYFUNCTION("""COMPUTED_VALUE"""),"Mẹ luôn ủng hộ những ước mơ và lựa chọn của tôi.")</f>
        <v>Mẹ luôn ủng hộ những ước mơ và lựa chọn của tôi.</v>
      </c>
      <c r="K858" s="13" t="str">
        <f ca="1">IFERROR(__xludf.DUMMYFUNCTION("""COMPUTED_VALUE"""),"H4_B6_BG-24.png")</f>
        <v>H4_B6_BG-24.png</v>
      </c>
      <c r="L858" s="13" t="str">
        <f ca="1">IFERROR(__xludf.DUMMYFUNCTION("""COMPUTED_VALUE"""),"B6_24.mp3")</f>
        <v>B6_24.mp3</v>
      </c>
      <c r="M858" s="13" t="str">
        <f ca="1">IFERROR(__xludf.DUMMYFUNCTION("""COMPUTED_VALUE"""),"B6_VD_24.mp3")</f>
        <v>B6_VD_24.mp3</v>
      </c>
    </row>
    <row r="859" spans="1:13">
      <c r="A859" s="13">
        <f ca="1">IFERROR(__xludf.DUMMYFUNCTION("""COMPUTED_VALUE"""),25)</f>
        <v>25</v>
      </c>
      <c r="B859" s="13"/>
      <c r="C859" s="13" t="str">
        <f ca="1">IFERROR(__xludf.DUMMYFUNCTION("""COMPUTED_VALUE"""),"值得")</f>
        <v>值得</v>
      </c>
      <c r="D859" s="13" t="str">
        <f ca="1">IFERROR(__xludf.DUMMYFUNCTION("""COMPUTED_VALUE"""),"&lt;ruby&gt;值得&lt;rt&gt;zhídé&lt;/rt&gt;&lt;/ruby&gt;")</f>
        <v>&lt;ruby&gt;值得&lt;rt&gt;zhídé&lt;/rt&gt;&lt;/ruby&gt;</v>
      </c>
      <c r="E859" s="13" t="str">
        <f ca="1">IFERROR(__xludf.DUMMYFUNCTION("""COMPUTED_VALUE"""),"zhídé")</f>
        <v>zhídé</v>
      </c>
      <c r="F859" s="13" t="str">
        <f ca="1">IFERROR(__xludf.DUMMYFUNCTION("""COMPUTED_VALUE"""),"Động từ")</f>
        <v>Động từ</v>
      </c>
      <c r="G859" s="13" t="str">
        <f ca="1">IFERROR(__xludf.DUMMYFUNCTION("""COMPUTED_VALUE"""),"đáng")</f>
        <v>đáng</v>
      </c>
      <c r="H859" s="13" t="str">
        <f ca="1">IFERROR(__xludf.DUMMYFUNCTION("""COMPUTED_VALUE"""),"这本书非常值得看。")</f>
        <v>这本书非常值得看。</v>
      </c>
      <c r="I859" s="13"/>
      <c r="J859" s="13" t="str">
        <f ca="1">IFERROR(__xludf.DUMMYFUNCTION("""COMPUTED_VALUE"""),"Cuốn sách này rất đáng để đọc.")</f>
        <v>Cuốn sách này rất đáng để đọc.</v>
      </c>
      <c r="K859" s="13" t="str">
        <f ca="1">IFERROR(__xludf.DUMMYFUNCTION("""COMPUTED_VALUE"""),"H4_B6_BG-25.png")</f>
        <v>H4_B6_BG-25.png</v>
      </c>
      <c r="L859" s="13" t="str">
        <f ca="1">IFERROR(__xludf.DUMMYFUNCTION("""COMPUTED_VALUE"""),"B6_25.mp3")</f>
        <v>B6_25.mp3</v>
      </c>
      <c r="M859" s="13" t="str">
        <f ca="1">IFERROR(__xludf.DUMMYFUNCTION("""COMPUTED_VALUE"""),"B6_VD_25.mp3")</f>
        <v>B6_VD_25.mp3</v>
      </c>
    </row>
    <row r="860" spans="1:13">
      <c r="A860" s="13">
        <f ca="1">IFERROR(__xludf.DUMMYFUNCTION("""COMPUTED_VALUE"""),26)</f>
        <v>26</v>
      </c>
      <c r="B860" s="13"/>
      <c r="C860" s="13" t="str">
        <f ca="1">IFERROR(__xludf.DUMMYFUNCTION("""COMPUTED_VALUE"""),"例如")</f>
        <v>例如</v>
      </c>
      <c r="D860" s="13" t="str">
        <f ca="1">IFERROR(__xludf.DUMMYFUNCTION("""COMPUTED_VALUE"""),"&lt;ruby&gt;例如&lt;rt&gt;lìrú&lt;/rt&gt;&lt;/ruby&gt;")</f>
        <v>&lt;ruby&gt;例如&lt;rt&gt;lìrú&lt;/rt&gt;&lt;/ruby&gt;</v>
      </c>
      <c r="E860" s="13" t="str">
        <f ca="1">IFERROR(__xludf.DUMMYFUNCTION("""COMPUTED_VALUE"""),"lìrú")</f>
        <v>lìrú</v>
      </c>
      <c r="F860" s="13" t="str">
        <f ca="1">IFERROR(__xludf.DUMMYFUNCTION("""COMPUTED_VALUE"""),"Động từ")</f>
        <v>Động từ</v>
      </c>
      <c r="G860" s="13" t="str">
        <f ca="1">IFERROR(__xludf.DUMMYFUNCTION("""COMPUTED_VALUE"""),"ví dụ")</f>
        <v>ví dụ</v>
      </c>
      <c r="H860" s="13" t="str">
        <f ca="1">IFERROR(__xludf.DUMMYFUNCTION("""COMPUTED_VALUE"""),"我喜欢运动，例如跑步和游泳。")</f>
        <v>我喜欢运动，例如跑步和游泳。</v>
      </c>
      <c r="I860" s="13"/>
      <c r="J860" s="13" t="str">
        <f ca="1">IFERROR(__xludf.DUMMYFUNCTION("""COMPUTED_VALUE"""),"Tôi thích thể thao, ví dụ như chạy bộ và bơi lội.")</f>
        <v>Tôi thích thể thao, ví dụ như chạy bộ và bơi lội.</v>
      </c>
      <c r="K860" s="13" t="str">
        <f ca="1">IFERROR(__xludf.DUMMYFUNCTION("""COMPUTED_VALUE"""),"H4_B6_BG-26.png")</f>
        <v>H4_B6_BG-26.png</v>
      </c>
      <c r="L860" s="13" t="str">
        <f ca="1">IFERROR(__xludf.DUMMYFUNCTION("""COMPUTED_VALUE"""),"B6_26.mp3")</f>
        <v>B6_26.mp3</v>
      </c>
      <c r="M860" s="13" t="str">
        <f ca="1">IFERROR(__xludf.DUMMYFUNCTION("""COMPUTED_VALUE"""),"B6_VD_26.mp3")</f>
        <v>B6_VD_26.mp3</v>
      </c>
    </row>
    <row r="861" spans="1:13">
      <c r="A861" s="13">
        <f ca="1">IFERROR(__xludf.DUMMYFUNCTION("""COMPUTED_VALUE"""),27)</f>
        <v>27</v>
      </c>
      <c r="B861" s="13"/>
      <c r="C861" s="13" t="str">
        <f ca="1">IFERROR(__xludf.DUMMYFUNCTION("""COMPUTED_VALUE"""),"满")</f>
        <v>满</v>
      </c>
      <c r="D861" s="13" t="str">
        <f ca="1">IFERROR(__xludf.DUMMYFUNCTION("""COMPUTED_VALUE"""),"&lt;ruby&gt;满&lt;rt&gt;măn&lt;/rt&gt;&lt;/ruby&gt;")</f>
        <v>&lt;ruby&gt;满&lt;rt&gt;măn&lt;/rt&gt;&lt;/ruby&gt;</v>
      </c>
      <c r="E861" s="13" t="str">
        <f ca="1">IFERROR(__xludf.DUMMYFUNCTION("""COMPUTED_VALUE"""),"măn")</f>
        <v>măn</v>
      </c>
      <c r="F861" s="13" t="str">
        <f ca="1">IFERROR(__xludf.DUMMYFUNCTION("""COMPUTED_VALUE"""),"Động từ")</f>
        <v>Động từ</v>
      </c>
      <c r="G861" s="13" t="str">
        <f ca="1">IFERROR(__xludf.DUMMYFUNCTION("""COMPUTED_VALUE"""),"(đạt đến một chỉ tiêu hay giới hạn) đủ, đầy, tròn")</f>
        <v>(đạt đến một chỉ tiêu hay giới hạn) đủ, đầy, tròn</v>
      </c>
      <c r="H861" s="13" t="str">
        <f ca="1">IFERROR(__xludf.DUMMYFUNCTION("""COMPUTED_VALUE"""),"这个箱子装满了棉花。")</f>
        <v>这个箱子装满了棉花。</v>
      </c>
      <c r="I861" s="13"/>
      <c r="J861" s="13" t="str">
        <f ca="1">IFERROR(__xludf.DUMMYFUNCTION("""COMPUTED_VALUE"""),"Cái thùng này chứa đầy bông gòn.")</f>
        <v>Cái thùng này chứa đầy bông gòn.</v>
      </c>
      <c r="K861" s="13" t="str">
        <f ca="1">IFERROR(__xludf.DUMMYFUNCTION("""COMPUTED_VALUE"""),"H4_B6_BG-27.png")</f>
        <v>H4_B6_BG-27.png</v>
      </c>
      <c r="L861" s="13" t="str">
        <f ca="1">IFERROR(__xludf.DUMMYFUNCTION("""COMPUTED_VALUE"""),"B6_27.mp3")</f>
        <v>B6_27.mp3</v>
      </c>
      <c r="M861" s="13" t="str">
        <f ca="1">IFERROR(__xludf.DUMMYFUNCTION("""COMPUTED_VALUE"""),"B6_VD_27.mp3")</f>
        <v>B6_VD_27.mp3</v>
      </c>
    </row>
    <row r="862" spans="1:13">
      <c r="A862" s="13">
        <f ca="1">IFERROR(__xludf.DUMMYFUNCTION("""COMPUTED_VALUE"""),28)</f>
        <v>28</v>
      </c>
      <c r="B862" s="13"/>
      <c r="C862" s="13" t="str">
        <f ca="1">IFERROR(__xludf.DUMMYFUNCTION("""COMPUTED_VALUE"""),"内")</f>
        <v>内</v>
      </c>
      <c r="D862" s="13" t="str">
        <f ca="1">IFERROR(__xludf.DUMMYFUNCTION("""COMPUTED_VALUE"""),"&lt;ruby&gt;内&lt;rt&gt;nèi&lt;/rt&gt;&lt;/ruby&gt;")</f>
        <v>&lt;ruby&gt;内&lt;rt&gt;nèi&lt;/rt&gt;&lt;/ruby&gt;</v>
      </c>
      <c r="E862" s="13" t="str">
        <f ca="1">IFERROR(__xludf.DUMMYFUNCTION("""COMPUTED_VALUE"""),"nèi")</f>
        <v>nèi</v>
      </c>
      <c r="F862" s="13" t="str">
        <f ca="1">IFERROR(__xludf.DUMMYFUNCTION("""COMPUTED_VALUE"""),"Danh từ")</f>
        <v>Danh từ</v>
      </c>
      <c r="G862" s="13" t="str">
        <f ca="1">IFERROR(__xludf.DUMMYFUNCTION("""COMPUTED_VALUE"""),"(bên) trong")</f>
        <v>(bên) trong</v>
      </c>
      <c r="H862" s="13" t="str">
        <f ca="1">IFERROR(__xludf.DUMMYFUNCTION("""COMPUTED_VALUE"""),"他正在房间内休息。")</f>
        <v>他正在房间内休息。</v>
      </c>
      <c r="I862" s="13"/>
      <c r="J862" s="13" t="str">
        <f ca="1">IFERROR(__xludf.DUMMYFUNCTION("""COMPUTED_VALUE"""),"Anh ấy đang ở trong phòng.")</f>
        <v>Anh ấy đang ở trong phòng.</v>
      </c>
      <c r="K862" s="13" t="str">
        <f ca="1">IFERROR(__xludf.DUMMYFUNCTION("""COMPUTED_VALUE"""),"H4_B6_BG-28.png")</f>
        <v>H4_B6_BG-28.png</v>
      </c>
      <c r="L862" s="13" t="str">
        <f ca="1">IFERROR(__xludf.DUMMYFUNCTION("""COMPUTED_VALUE"""),"B6_28.mp3")</f>
        <v>B6_28.mp3</v>
      </c>
      <c r="M862" s="13" t="str">
        <f ca="1">IFERROR(__xludf.DUMMYFUNCTION("""COMPUTED_VALUE"""),"B6_VD_28.mp3")</f>
        <v>B6_VD_28.mp3</v>
      </c>
    </row>
    <row r="863" spans="1:13">
      <c r="A863" s="13">
        <f ca="1">IFERROR(__xludf.DUMMYFUNCTION("""COMPUTED_VALUE"""),29)</f>
        <v>29</v>
      </c>
      <c r="B863" s="13"/>
      <c r="C863" s="13" t="str">
        <f ca="1">IFERROR(__xludf.DUMMYFUNCTION("""COMPUTED_VALUE"""),"皮肤")</f>
        <v>皮肤</v>
      </c>
      <c r="D863" s="13" t="str">
        <f ca="1">IFERROR(__xludf.DUMMYFUNCTION("""COMPUTED_VALUE"""),"&lt;ruby&gt;皮肤&lt;rt&gt;pífū&lt;/rt&gt;&lt;/ruby&gt;")</f>
        <v>&lt;ruby&gt;皮肤&lt;rt&gt;pífū&lt;/rt&gt;&lt;/ruby&gt;</v>
      </c>
      <c r="E863" s="13" t="str">
        <f ca="1">IFERROR(__xludf.DUMMYFUNCTION("""COMPUTED_VALUE"""),"pífū")</f>
        <v>pífū</v>
      </c>
      <c r="F863" s="13" t="str">
        <f ca="1">IFERROR(__xludf.DUMMYFUNCTION("""COMPUTED_VALUE"""),"Danh từ")</f>
        <v>Danh từ</v>
      </c>
      <c r="G863" s="13" t="str">
        <f ca="1">IFERROR(__xludf.DUMMYFUNCTION("""COMPUTED_VALUE"""),"da")</f>
        <v>da</v>
      </c>
      <c r="H863" s="13" t="str">
        <f ca="1">IFERROR(__xludf.DUMMYFUNCTION("""COMPUTED_VALUE"""),"夏天的时候，要注意保护皮肤。")</f>
        <v>夏天的时候，要注意保护皮肤。</v>
      </c>
      <c r="I863" s="13"/>
      <c r="J863" s="13" t="str">
        <f ca="1">IFERROR(__xludf.DUMMYFUNCTION("""COMPUTED_VALUE"""),"Vào mùa hè, cần chú ý bảo vệ da.")</f>
        <v>Vào mùa hè, cần chú ý bảo vệ da.</v>
      </c>
      <c r="K863" s="13" t="str">
        <f ca="1">IFERROR(__xludf.DUMMYFUNCTION("""COMPUTED_VALUE"""),"H4_B6_BG-29.png")</f>
        <v>H4_B6_BG-29.png</v>
      </c>
      <c r="L863" s="13" t="str">
        <f ca="1">IFERROR(__xludf.DUMMYFUNCTION("""COMPUTED_VALUE"""),"B6_29.mp3")</f>
        <v>B6_29.mp3</v>
      </c>
      <c r="M863" s="13" t="str">
        <f ca="1">IFERROR(__xludf.DUMMYFUNCTION("""COMPUTED_VALUE"""),"B6_VD_29.mp3")</f>
        <v>B6_VD_29.mp3</v>
      </c>
    </row>
    <row r="864" spans="1:13">
      <c r="A864" s="13">
        <f ca="1">IFERROR(__xludf.DUMMYFUNCTION("""COMPUTED_VALUE"""),30)</f>
        <v>30</v>
      </c>
      <c r="B864" s="13"/>
      <c r="C864" s="13" t="str">
        <f ca="1">IFERROR(__xludf.DUMMYFUNCTION("""COMPUTED_VALUE"""),"其中")</f>
        <v>其中</v>
      </c>
      <c r="D864" s="13" t="str">
        <f ca="1">IFERROR(__xludf.DUMMYFUNCTION("""COMPUTED_VALUE"""),"&lt;ruby&gt;其中&lt;rt&gt;Qízhōng&lt;/rt&gt;&lt;/ruby&gt;")</f>
        <v>&lt;ruby&gt;其中&lt;rt&gt;Qízhōng&lt;/rt&gt;&lt;/ruby&gt;</v>
      </c>
      <c r="E864" s="13" t="str">
        <f ca="1">IFERROR(__xludf.DUMMYFUNCTION("""COMPUTED_VALUE"""),"Qízhōng")</f>
        <v>Qízhōng</v>
      </c>
      <c r="F864" s="13" t="str">
        <f ca="1">IFERROR(__xludf.DUMMYFUNCTION("""COMPUTED_VALUE"""),"Danh từ")</f>
        <v>Danh từ</v>
      </c>
      <c r="G864" s="13" t="str">
        <f ca="1">IFERROR(__xludf.DUMMYFUNCTION("""COMPUTED_VALUE"""),"trong đó")</f>
        <v>trong đó</v>
      </c>
      <c r="H864" s="13" t="str">
        <f ca="1">IFERROR(__xludf.DUMMYFUNCTION("""COMPUTED_VALUE"""),"我喜欢书，其中最喜欢的是历史书。")</f>
        <v>我喜欢书，其中最喜欢的是历史书。</v>
      </c>
      <c r="I864" s="13"/>
      <c r="J864" s="13" t="str">
        <f ca="1">IFERROR(__xludf.DUMMYFUNCTION("""COMPUTED_VALUE"""),"Tôi rất thích sách, trong đó tôi thích nhất là sách lịch sử.")</f>
        <v>Tôi rất thích sách, trong đó tôi thích nhất là sách lịch sử.</v>
      </c>
      <c r="K864" s="13" t="str">
        <f ca="1">IFERROR(__xludf.DUMMYFUNCTION("""COMPUTED_VALUE"""),"H4_B6_BG-30.png")</f>
        <v>H4_B6_BG-30.png</v>
      </c>
      <c r="L864" s="13" t="str">
        <f ca="1">IFERROR(__xludf.DUMMYFUNCTION("""COMPUTED_VALUE"""),"B6_30.mp3")</f>
        <v>B6_30.mp3</v>
      </c>
      <c r="M864" s="13" t="str">
        <f ca="1">IFERROR(__xludf.DUMMYFUNCTION("""COMPUTED_VALUE"""),"B6_VD_30.mp3")</f>
        <v>B6_VD_30.mp3</v>
      </c>
    </row>
    <row r="865" spans="1:13">
      <c r="A865" s="13">
        <f ca="1">IFERROR(__xludf.DUMMYFUNCTION("""COMPUTED_VALUE"""),31)</f>
        <v>31</v>
      </c>
      <c r="B865" s="13"/>
      <c r="C865" s="13" t="str">
        <f ca="1">IFERROR(__xludf.DUMMYFUNCTION("""COMPUTED_VALUE"""),"轻")</f>
        <v>轻</v>
      </c>
      <c r="D865" s="13" t="str">
        <f ca="1">IFERROR(__xludf.DUMMYFUNCTION("""COMPUTED_VALUE"""),"&lt;ruby&gt;轻&lt;rt&gt;qīng&lt;/rt&gt;&lt;/ruby&gt;")</f>
        <v>&lt;ruby&gt;轻&lt;rt&gt;qīng&lt;/rt&gt;&lt;/ruby&gt;</v>
      </c>
      <c r="E865" s="13" t="str">
        <f ca="1">IFERROR(__xludf.DUMMYFUNCTION("""COMPUTED_VALUE"""),"qīng")</f>
        <v>qīng</v>
      </c>
      <c r="F865" s="13" t="str">
        <f ca="1">IFERROR(__xludf.DUMMYFUNCTION("""COMPUTED_VALUE"""),"Tính từ")</f>
        <v>Tính từ</v>
      </c>
      <c r="G865" s="13" t="str">
        <f ca="1">IFERROR(__xludf.DUMMYFUNCTION("""COMPUTED_VALUE"""),"Nhẹ")</f>
        <v>Nhẹ</v>
      </c>
      <c r="H865" s="13" t="str">
        <f ca="1">IFERROR(__xludf.DUMMYFUNCTION("""COMPUTED_VALUE"""),"这个箱子很轻，不用担心搬运。")</f>
        <v>这个箱子很轻，不用担心搬运。</v>
      </c>
      <c r="I865" s="13"/>
      <c r="J865" s="13" t="str">
        <f ca="1">IFERROR(__xludf.DUMMYFUNCTION("""COMPUTED_VALUE"""),"Cái thùng này nhẹ lắm, không cần lo lắng khi mang vác.")</f>
        <v>Cái thùng này nhẹ lắm, không cần lo lắng khi mang vác.</v>
      </c>
      <c r="K865" s="13" t="str">
        <f ca="1">IFERROR(__xludf.DUMMYFUNCTION("""COMPUTED_VALUE"""),"H4_B6_BG-31.png")</f>
        <v>H4_B6_BG-31.png</v>
      </c>
      <c r="L865" s="13" t="str">
        <f ca="1">IFERROR(__xludf.DUMMYFUNCTION("""COMPUTED_VALUE"""),"B6_31.mp3")</f>
        <v>B6_31.mp3</v>
      </c>
      <c r="M865" s="13" t="str">
        <f ca="1">IFERROR(__xludf.DUMMYFUNCTION("""COMPUTED_VALUE"""),"B6_VD_31.mp3")</f>
        <v>B6_VD_31.mp3</v>
      </c>
    </row>
    <row r="866" spans="1:13">
      <c r="A866" s="13">
        <f ca="1">IFERROR(__xludf.DUMMYFUNCTION("""COMPUTED_VALUE"""),32)</f>
        <v>32</v>
      </c>
      <c r="B866" s="13"/>
      <c r="C866" s="13" t="str">
        <f ca="1">IFERROR(__xludf.DUMMYFUNCTION("""COMPUTED_VALUE"""),"情况")</f>
        <v>情况</v>
      </c>
      <c r="D866" s="13" t="str">
        <f ca="1">IFERROR(__xludf.DUMMYFUNCTION("""COMPUTED_VALUE"""),"&lt;ruby&gt;情况&lt;rt&gt;qíngkuàng&lt;/rt&gt;&lt;/ruby&gt;")</f>
        <v>&lt;ruby&gt;情况&lt;rt&gt;qíngkuàng&lt;/rt&gt;&lt;/ruby&gt;</v>
      </c>
      <c r="E866" s="13" t="str">
        <f ca="1">IFERROR(__xludf.DUMMYFUNCTION("""COMPUTED_VALUE"""),"qíngkuàng")</f>
        <v>qíngkuàng</v>
      </c>
      <c r="F866" s="13" t="str">
        <f ca="1">IFERROR(__xludf.DUMMYFUNCTION("""COMPUTED_VALUE"""),"Danh từ")</f>
        <v>Danh từ</v>
      </c>
      <c r="G866" s="13" t="str">
        <f ca="1">IFERROR(__xludf.DUMMYFUNCTION("""COMPUTED_VALUE"""),"tình hình, tình huống")</f>
        <v>tình hình, tình huống</v>
      </c>
      <c r="H866" s="13" t="str">
        <f ca="1">IFERROR(__xludf.DUMMYFUNCTION("""COMPUTED_VALUE"""),"他们在讨论考试的情况。")</f>
        <v>他们在讨论考试的情况。</v>
      </c>
      <c r="I866" s="13"/>
      <c r="J866" s="13" t="str">
        <f ca="1">IFERROR(__xludf.DUMMYFUNCTION("""COMPUTED_VALUE"""),"Họ đang thảo luận về tình hình kỳ thi.")</f>
        <v>Họ đang thảo luận về tình hình kỳ thi.</v>
      </c>
      <c r="K866" s="13" t="str">
        <f ca="1">IFERROR(__xludf.DUMMYFUNCTION("""COMPUTED_VALUE"""),"H4_B6_BG-32.png")</f>
        <v>H4_B6_BG-32.png</v>
      </c>
      <c r="L866" s="13" t="str">
        <f ca="1">IFERROR(__xludf.DUMMYFUNCTION("""COMPUTED_VALUE"""),"B6_32.mp3")</f>
        <v>B6_32.mp3</v>
      </c>
      <c r="M866" s="13" t="str">
        <f ca="1">IFERROR(__xludf.DUMMYFUNCTION("""COMPUTED_VALUE"""),"B6_VD_32.mp3")</f>
        <v>B6_VD_32.mp3</v>
      </c>
    </row>
    <row r="867" spans="1:13">
      <c r="A867" s="13">
        <f ca="1">IFERROR(__xludf.DUMMYFUNCTION("""COMPUTED_VALUE"""),33)</f>
        <v>33</v>
      </c>
      <c r="B867" s="13"/>
      <c r="C867" s="13" t="str">
        <f ca="1">IFERROR(__xludf.DUMMYFUNCTION("""COMPUTED_VALUE"""),"所有")</f>
        <v>所有</v>
      </c>
      <c r="D867" s="13" t="str">
        <f ca="1">IFERROR(__xludf.DUMMYFUNCTION("""COMPUTED_VALUE"""),"&lt;ruby&gt;所有&lt;rt&gt;suŏyǒu&lt;/rt&gt;&lt;/ruby&gt;")</f>
        <v>&lt;ruby&gt;所有&lt;rt&gt;suŏyǒu&lt;/rt&gt;&lt;/ruby&gt;</v>
      </c>
      <c r="E867" s="13" t="str">
        <f ca="1">IFERROR(__xludf.DUMMYFUNCTION("""COMPUTED_VALUE"""),"suŏyǒu")</f>
        <v>suŏyǒu</v>
      </c>
      <c r="F867" s="13" t="str">
        <f ca="1">IFERROR(__xludf.DUMMYFUNCTION("""COMPUTED_VALUE"""),"Tính từ")</f>
        <v>Tính từ</v>
      </c>
      <c r="G867" s="13" t="str">
        <f ca="1">IFERROR(__xludf.DUMMYFUNCTION("""COMPUTED_VALUE"""),"tất cả, toàn bộ")</f>
        <v>tất cả, toàn bộ</v>
      </c>
      <c r="H867" s="13" t="str">
        <f ca="1">IFERROR(__xludf.DUMMYFUNCTION("""COMPUTED_VALUE"""),"所有衣服我都一件件晾好了。")</f>
        <v>所有衣服我都一件件晾好了。</v>
      </c>
      <c r="I867" s="13"/>
      <c r="J867" s="13" t="str">
        <f ca="1">IFERROR(__xludf.DUMMYFUNCTION("""COMPUTED_VALUE"""),"Tất cả quần áo lần lượt được tôi phơi lên.")</f>
        <v>Tất cả quần áo lần lượt được tôi phơi lên.</v>
      </c>
      <c r="K867" s="13" t="str">
        <f ca="1">IFERROR(__xludf.DUMMYFUNCTION("""COMPUTED_VALUE"""),"H4_B6_BG-33.png")</f>
        <v>H4_B6_BG-33.png</v>
      </c>
      <c r="L867" s="13" t="str">
        <f ca="1">IFERROR(__xludf.DUMMYFUNCTION("""COMPUTED_VALUE"""),"B6_33.mp3")</f>
        <v>B6_33.mp3</v>
      </c>
      <c r="M867" s="13" t="str">
        <f ca="1">IFERROR(__xludf.DUMMYFUNCTION("""COMPUTED_VALUE"""),"B6_VD_33.mp3")</f>
        <v>B6_VD_33.mp3</v>
      </c>
    </row>
    <row r="868" spans="1:13">
      <c r="A868" s="13">
        <f ca="1">IFERROR(__xludf.DUMMYFUNCTION("""COMPUTED_VALUE"""),34)</f>
        <v>34</v>
      </c>
      <c r="B868" s="13"/>
      <c r="C868" s="13" t="str">
        <f ca="1">IFERROR(__xludf.DUMMYFUNCTION("""COMPUTED_VALUE"""),"袜子")</f>
        <v>袜子</v>
      </c>
      <c r="D868" s="13" t="str">
        <f ca="1">IFERROR(__xludf.DUMMYFUNCTION("""COMPUTED_VALUE"""),"&lt;ruby&gt;袜子&lt;rt&gt;Wàzi&lt;/rt&gt;&lt;/ruby&gt;")</f>
        <v>&lt;ruby&gt;袜子&lt;rt&gt;Wàzi&lt;/rt&gt;&lt;/ruby&gt;</v>
      </c>
      <c r="E868" s="13" t="str">
        <f ca="1">IFERROR(__xludf.DUMMYFUNCTION("""COMPUTED_VALUE"""),"Wàzi")</f>
        <v>Wàzi</v>
      </c>
      <c r="F868" s="13" t="str">
        <f ca="1">IFERROR(__xludf.DUMMYFUNCTION("""COMPUTED_VALUE"""),"Danh từ")</f>
        <v>Danh từ</v>
      </c>
      <c r="G868" s="13" t="str">
        <f ca="1">IFERROR(__xludf.DUMMYFUNCTION("""COMPUTED_VALUE"""),"tất, vớ")</f>
        <v>tất, vớ</v>
      </c>
      <c r="H868" s="13" t="str">
        <f ca="1">IFERROR(__xludf.DUMMYFUNCTION("""COMPUTED_VALUE"""),"这只袜子已经臭了，得换新的。")</f>
        <v>这只袜子已经臭了，得换新的。</v>
      </c>
      <c r="I868" s="13"/>
      <c r="J868" s="13" t="str">
        <f ca="1">IFERROR(__xludf.DUMMYFUNCTION("""COMPUTED_VALUE"""),"Chiếc tất này đã bốc mùi, cần thay cái mới.")</f>
        <v>Chiếc tất này đã bốc mùi, cần thay cái mới.</v>
      </c>
      <c r="K868" s="13" t="str">
        <f ca="1">IFERROR(__xludf.DUMMYFUNCTION("""COMPUTED_VALUE"""),"H4_B6_BG-34.png")</f>
        <v>H4_B6_BG-34.png</v>
      </c>
      <c r="L868" s="13" t="str">
        <f ca="1">IFERROR(__xludf.DUMMYFUNCTION("""COMPUTED_VALUE"""),"B6_34.mp3")</f>
        <v>B6_34.mp3</v>
      </c>
      <c r="M868" s="13" t="str">
        <f ca="1">IFERROR(__xludf.DUMMYFUNCTION("""COMPUTED_VALUE"""),"B6_VD_34.mp3")</f>
        <v>B6_VD_34.mp3</v>
      </c>
    </row>
    <row r="869" spans="1:13">
      <c r="A869" s="13">
        <f ca="1">IFERROR(__xludf.DUMMYFUNCTION("""COMPUTED_VALUE"""),35)</f>
        <v>35</v>
      </c>
      <c r="B869" s="13"/>
      <c r="C869" s="13" t="str">
        <f ca="1">IFERROR(__xludf.DUMMYFUNCTION("""COMPUTED_VALUE"""),"小说")</f>
        <v>小说</v>
      </c>
      <c r="D869" s="13" t="str">
        <f ca="1">IFERROR(__xludf.DUMMYFUNCTION("""COMPUTED_VALUE"""),"&lt;ruby&gt;小说&lt;rt&gt;xiǎoshuō&lt;/rt&gt;&lt;/ruby&gt;")</f>
        <v>&lt;ruby&gt;小说&lt;rt&gt;xiǎoshuō&lt;/rt&gt;&lt;/ruby&gt;</v>
      </c>
      <c r="E869" s="13" t="str">
        <f ca="1">IFERROR(__xludf.DUMMYFUNCTION("""COMPUTED_VALUE"""),"xiǎoshuō")</f>
        <v>xiǎoshuō</v>
      </c>
      <c r="F869" s="13" t="str">
        <f ca="1">IFERROR(__xludf.DUMMYFUNCTION("""COMPUTED_VALUE"""),"Danh từ")</f>
        <v>Danh từ</v>
      </c>
      <c r="G869" s="13" t="str">
        <f ca="1">IFERROR(__xludf.DUMMYFUNCTION("""COMPUTED_VALUE"""),"tiểu thuyết")</f>
        <v>tiểu thuyết</v>
      </c>
      <c r="H869" s="13" t="str">
        <f ca="1">IFERROR(__xludf.DUMMYFUNCTION("""COMPUTED_VALUE"""),"我正在写一部浪漫爱情小说。")</f>
        <v>我正在写一部浪漫爱情小说。</v>
      </c>
      <c r="I869" s="13"/>
      <c r="J869" s="13" t="str">
        <f ca="1">IFERROR(__xludf.DUMMYFUNCTION("""COMPUTED_VALUE"""),"Tôi đang viết tiểu thuyết tình yêu.")</f>
        <v>Tôi đang viết tiểu thuyết tình yêu.</v>
      </c>
      <c r="K869" s="13" t="str">
        <f ca="1">IFERROR(__xludf.DUMMYFUNCTION("""COMPUTED_VALUE"""),"H4_B6_BG-35.png")</f>
        <v>H4_B6_BG-35.png</v>
      </c>
      <c r="L869" s="13" t="str">
        <f ca="1">IFERROR(__xludf.DUMMYFUNCTION("""COMPUTED_VALUE"""),"B6_35.mp3")</f>
        <v>B6_35.mp3</v>
      </c>
      <c r="M869" s="13" t="str">
        <f ca="1">IFERROR(__xludf.DUMMYFUNCTION("""COMPUTED_VALUE"""),"B6_VD_35.mp3")</f>
        <v>B6_VD_35.mp3</v>
      </c>
    </row>
    <row r="870" spans="1:13">
      <c r="A870" s="13">
        <f ca="1">IFERROR(__xludf.DUMMYFUNCTION("""COMPUTED_VALUE"""),36)</f>
        <v>36</v>
      </c>
      <c r="B870" s="13"/>
      <c r="C870" s="13" t="str">
        <f ca="1">IFERROR(__xludf.DUMMYFUNCTION("""COMPUTED_VALUE"""),"修理")</f>
        <v>修理</v>
      </c>
      <c r="D870" s="13" t="str">
        <f ca="1">IFERROR(__xludf.DUMMYFUNCTION("""COMPUTED_VALUE"""),"&lt;ruby&gt;修理&lt;rt&gt;xiūli&lt;/rt&gt;&lt;/ruby&gt;")</f>
        <v>&lt;ruby&gt;修理&lt;rt&gt;xiūli&lt;/rt&gt;&lt;/ruby&gt;</v>
      </c>
      <c r="E870" s="13" t="str">
        <f ca="1">IFERROR(__xludf.DUMMYFUNCTION("""COMPUTED_VALUE"""),"xiūli")</f>
        <v>xiūli</v>
      </c>
      <c r="F870" s="13" t="str">
        <f ca="1">IFERROR(__xludf.DUMMYFUNCTION("""COMPUTED_VALUE"""),"Động từ")</f>
        <v>Động từ</v>
      </c>
      <c r="G870" s="13" t="str">
        <f ca="1">IFERROR(__xludf.DUMMYFUNCTION("""COMPUTED_VALUE"""),"sửa chữa")</f>
        <v>sửa chữa</v>
      </c>
      <c r="H870" s="13" t="str">
        <f ca="1">IFERROR(__xludf.DUMMYFUNCTION("""COMPUTED_VALUE"""),"我的汽车正在修理中。")</f>
        <v>我的汽车正在修理中。</v>
      </c>
      <c r="I870" s="13"/>
      <c r="J870" s="13" t="str">
        <f ca="1">IFERROR(__xludf.DUMMYFUNCTION("""COMPUTED_VALUE"""),"Xe của tôi đang mang đi sửa chữa lại.")</f>
        <v>Xe của tôi đang mang đi sửa chữa lại.</v>
      </c>
      <c r="K870" s="13" t="str">
        <f ca="1">IFERROR(__xludf.DUMMYFUNCTION("""COMPUTED_VALUE"""),"H4_B6_BG-36.png")</f>
        <v>H4_B6_BG-36.png</v>
      </c>
      <c r="L870" s="13" t="str">
        <f ca="1">IFERROR(__xludf.DUMMYFUNCTION("""COMPUTED_VALUE"""),"B6_36.mp3")</f>
        <v>B6_36.mp3</v>
      </c>
      <c r="M870" s="13" t="str">
        <f ca="1">IFERROR(__xludf.DUMMYFUNCTION("""COMPUTED_VALUE"""),"B6_VD_36.mp3")</f>
        <v>B6_VD_36.mp3</v>
      </c>
    </row>
    <row r="871" spans="1:13">
      <c r="A871" s="13">
        <f ca="1">IFERROR(__xludf.DUMMYFUNCTION("""COMPUTED_VALUE"""),1)</f>
        <v>1</v>
      </c>
      <c r="B871" s="13"/>
      <c r="C871" s="13" t="str">
        <f ca="1">IFERROR(__xludf.DUMMYFUNCTION("""COMPUTED_VALUE"""),"擦")</f>
        <v>擦</v>
      </c>
      <c r="D871" s="13" t="str">
        <f ca="1">IFERROR(__xludf.DUMMYFUNCTION("""COMPUTED_VALUE"""),"&lt;ruby&gt;擦&lt;rt&gt;cā&lt;/rt&gt;&lt;/ruby&gt;")</f>
        <v>&lt;ruby&gt;擦&lt;rt&gt;cā&lt;/rt&gt;&lt;/ruby&gt;</v>
      </c>
      <c r="E871" s="13" t="str">
        <f ca="1">IFERROR(__xludf.DUMMYFUNCTION("""COMPUTED_VALUE"""),"cā")</f>
        <v>cā</v>
      </c>
      <c r="F871" s="13" t="str">
        <f ca="1">IFERROR(__xludf.DUMMYFUNCTION("""COMPUTED_VALUE"""),"Động từ")</f>
        <v>Động từ</v>
      </c>
      <c r="G871" s="13" t="str">
        <f ca="1">IFERROR(__xludf.DUMMYFUNCTION("""COMPUTED_VALUE"""),"lau, chùi")</f>
        <v>lau, chùi</v>
      </c>
      <c r="H871" s="13" t="str">
        <f ca="1">IFERROR(__xludf.DUMMYFUNCTION("""COMPUTED_VALUE"""),"她正在擦窗户。")</f>
        <v>她正在擦窗户。</v>
      </c>
      <c r="I871" s="13"/>
      <c r="J871" s="13" t="str">
        <f ca="1">IFERROR(__xludf.DUMMYFUNCTION("""COMPUTED_VALUE"""),"Cô ấy đang lau cửa sổ.")</f>
        <v>Cô ấy đang lau cửa sổ.</v>
      </c>
      <c r="K871" s="13" t="str">
        <f ca="1">IFERROR(__xludf.DUMMYFUNCTION("""COMPUTED_VALUE"""),"H4_B7-BG-01.png")</f>
        <v>H4_B7-BG-01.png</v>
      </c>
      <c r="L871" s="13" t="str">
        <f ca="1">IFERROR(__xludf.DUMMYFUNCTION("""COMPUTED_VALUE"""),"B7_1.mp3")</f>
        <v>B7_1.mp3</v>
      </c>
      <c r="M871" s="13" t="str">
        <f ca="1">IFERROR(__xludf.DUMMYFUNCTION("""COMPUTED_VALUE"""),"B7_VD_1.mp3")</f>
        <v>B7_VD_1.mp3</v>
      </c>
    </row>
    <row r="872" spans="1:13">
      <c r="A872" s="13">
        <f ca="1">IFERROR(__xludf.DUMMYFUNCTION("""COMPUTED_VALUE"""),2)</f>
        <v>2</v>
      </c>
      <c r="B872" s="13"/>
      <c r="C872" s="13" t="str">
        <f ca="1">IFERROR(__xludf.DUMMYFUNCTION("""COMPUTED_VALUE"""),"窗户")</f>
        <v>窗户</v>
      </c>
      <c r="D872" s="13" t="str">
        <f ca="1">IFERROR(__xludf.DUMMYFUNCTION("""COMPUTED_VALUE"""),"&lt;ruby&gt;窗户&lt;rt&gt;chuānghu&lt;/rt&gt;&lt;/ruby&gt;")</f>
        <v>&lt;ruby&gt;窗户&lt;rt&gt;chuānghu&lt;/rt&gt;&lt;/ruby&gt;</v>
      </c>
      <c r="E872" s="13" t="str">
        <f ca="1">IFERROR(__xludf.DUMMYFUNCTION("""COMPUTED_VALUE"""),"chuānghu")</f>
        <v>chuānghu</v>
      </c>
      <c r="F872" s="13" t="str">
        <f ca="1">IFERROR(__xludf.DUMMYFUNCTION("""COMPUTED_VALUE"""),"Danh từ")</f>
        <v>Danh từ</v>
      </c>
      <c r="G872" s="13" t="str">
        <f ca="1">IFERROR(__xludf.DUMMYFUNCTION("""COMPUTED_VALUE"""),"Cửa sổ")</f>
        <v>Cửa sổ</v>
      </c>
      <c r="H872" s="13" t="str">
        <f ca="1">IFERROR(__xludf.DUMMYFUNCTION("""COMPUTED_VALUE"""),"窗户外的风景真美！")</f>
        <v>窗户外的风景真美！</v>
      </c>
      <c r="I872" s="13"/>
      <c r="J872" s="13" t="str">
        <f ca="1">IFERROR(__xludf.DUMMYFUNCTION("""COMPUTED_VALUE"""),"Phong cảnh ngoài cửa sổ thật đẹp.")</f>
        <v>Phong cảnh ngoài cửa sổ thật đẹp.</v>
      </c>
      <c r="K872" s="13" t="str">
        <f ca="1">IFERROR(__xludf.DUMMYFUNCTION("""COMPUTED_VALUE"""),"H4_B7-BG-02.png")</f>
        <v>H4_B7-BG-02.png</v>
      </c>
      <c r="L872" s="13" t="str">
        <f ca="1">IFERROR(__xludf.DUMMYFUNCTION("""COMPUTED_VALUE"""),"B7_2.mp3")</f>
        <v>B7_2.mp3</v>
      </c>
      <c r="M872" s="13" t="str">
        <f ca="1">IFERROR(__xludf.DUMMYFUNCTION("""COMPUTED_VALUE"""),"B7_VD_2.mp3")</f>
        <v>B7_VD_2.mp3</v>
      </c>
    </row>
    <row r="873" spans="1:13">
      <c r="A873" s="13">
        <f ca="1">IFERROR(__xludf.DUMMYFUNCTION("""COMPUTED_VALUE"""),3)</f>
        <v>3</v>
      </c>
      <c r="B873" s="13"/>
      <c r="C873" s="13" t="str">
        <f ca="1">IFERROR(__xludf.DUMMYFUNCTION("""COMPUTED_VALUE"""),"超过")</f>
        <v>超过</v>
      </c>
      <c r="D873" s="13" t="str">
        <f ca="1">IFERROR(__xludf.DUMMYFUNCTION("""COMPUTED_VALUE"""),"&lt;ruby&gt;超过&lt;rt&gt;chãoguò&lt;/rt&gt;&lt;/ruby&gt;")</f>
        <v>&lt;ruby&gt;超过&lt;rt&gt;chãoguò&lt;/rt&gt;&lt;/ruby&gt;</v>
      </c>
      <c r="E873" s="13" t="str">
        <f ca="1">IFERROR(__xludf.DUMMYFUNCTION("""COMPUTED_VALUE"""),"chãoguò")</f>
        <v>chãoguò</v>
      </c>
      <c r="F873" s="13" t="str">
        <f ca="1">IFERROR(__xludf.DUMMYFUNCTION("""COMPUTED_VALUE"""),"Động từ")</f>
        <v>Động từ</v>
      </c>
      <c r="G873" s="13" t="str">
        <f ca="1">IFERROR(__xludf.DUMMYFUNCTION("""COMPUTED_VALUE"""),"vượt quá")</f>
        <v>vượt quá</v>
      </c>
      <c r="H873" s="13" t="str">
        <f ca="1">IFERROR(__xludf.DUMMYFUNCTION("""COMPUTED_VALUE"""),"这个月的花费超过了我的预算。")</f>
        <v>这个月的花费超过了我的预算。</v>
      </c>
      <c r="I873" s="13"/>
      <c r="J873" s="13" t="str">
        <f ca="1">IFERROR(__xludf.DUMMYFUNCTION("""COMPUTED_VALUE"""),"Chi tiêu tháng này vượt quá dự tính của tôi rồi.")</f>
        <v>Chi tiêu tháng này vượt quá dự tính của tôi rồi.</v>
      </c>
      <c r="K873" s="13" t="str">
        <f ca="1">IFERROR(__xludf.DUMMYFUNCTION("""COMPUTED_VALUE"""),"H4_B7-BG-03.png")</f>
        <v>H4_B7-BG-03.png</v>
      </c>
      <c r="L873" s="13" t="str">
        <f ca="1">IFERROR(__xludf.DUMMYFUNCTION("""COMPUTED_VALUE"""),"B7_3.mp3")</f>
        <v>B7_3.mp3</v>
      </c>
      <c r="M873" s="13" t="str">
        <f ca="1">IFERROR(__xludf.DUMMYFUNCTION("""COMPUTED_VALUE"""),"B7_VD_3.mp3")</f>
        <v>B7_VD_3.mp3</v>
      </c>
    </row>
    <row r="874" spans="1:13">
      <c r="A874" s="13">
        <f ca="1">IFERROR(__xludf.DUMMYFUNCTION("""COMPUTED_VALUE"""),4)</f>
        <v>4</v>
      </c>
      <c r="B874" s="13"/>
      <c r="C874" s="13" t="str">
        <f ca="1">IFERROR(__xludf.DUMMYFUNCTION("""COMPUTED_VALUE"""),"抽烟")</f>
        <v>抽烟</v>
      </c>
      <c r="D874" s="13" t="str">
        <f ca="1">IFERROR(__xludf.DUMMYFUNCTION("""COMPUTED_VALUE"""),"&lt;ruby&gt;抽烟&lt;rt&gt;chōu yān&lt;/rt&gt;&lt;/ruby&gt;")</f>
        <v>&lt;ruby&gt;抽烟&lt;rt&gt;chōu yān&lt;/rt&gt;&lt;/ruby&gt;</v>
      </c>
      <c r="E874" s="13" t="str">
        <f ca="1">IFERROR(__xludf.DUMMYFUNCTION("""COMPUTED_VALUE"""),"chōu yān")</f>
        <v>chōu yān</v>
      </c>
      <c r="F874" s="13"/>
      <c r="G874" s="13" t="str">
        <f ca="1">IFERROR(__xludf.DUMMYFUNCTION("""COMPUTED_VALUE"""),"hút thuốc")</f>
        <v>hút thuốc</v>
      </c>
      <c r="H874" s="13" t="str">
        <f ca="1">IFERROR(__xludf.DUMMYFUNCTION("""COMPUTED_VALUE"""),"从今天开始，我再也不抽烟了！")</f>
        <v>从今天开始，我再也不抽烟了！</v>
      </c>
      <c r="I874" s="13"/>
      <c r="J874" s="13" t="str">
        <f ca="1">IFERROR(__xludf.DUMMYFUNCTION("""COMPUTED_VALUE"""),"Từ hôm nay tôi sẽ không hút thuốc nữa.")</f>
        <v>Từ hôm nay tôi sẽ không hút thuốc nữa.</v>
      </c>
      <c r="K874" s="13" t="str">
        <f ca="1">IFERROR(__xludf.DUMMYFUNCTION("""COMPUTED_VALUE"""),"H4_B7-BG-04.png")</f>
        <v>H4_B7-BG-04.png</v>
      </c>
      <c r="L874" s="13" t="str">
        <f ca="1">IFERROR(__xludf.DUMMYFUNCTION("""COMPUTED_VALUE"""),"B7_4.mp3")</f>
        <v>B7_4.mp3</v>
      </c>
      <c r="M874" s="13" t="str">
        <f ca="1">IFERROR(__xludf.DUMMYFUNCTION("""COMPUTED_VALUE"""),"B7_VD_4.mp3")</f>
        <v>B7_VD_4.mp3</v>
      </c>
    </row>
    <row r="875" spans="1:13">
      <c r="A875" s="13">
        <f ca="1">IFERROR(__xludf.DUMMYFUNCTION("""COMPUTED_VALUE"""),5)</f>
        <v>5</v>
      </c>
      <c r="B875" s="13"/>
      <c r="C875" s="13" t="str">
        <f ca="1">IFERROR(__xludf.DUMMYFUNCTION("""COMPUTED_VALUE"""),"出现")</f>
        <v>出现</v>
      </c>
      <c r="D875" s="13" t="str">
        <f ca="1">IFERROR(__xludf.DUMMYFUNCTION("""COMPUTED_VALUE"""),"&lt;ruby&gt;出现&lt;rt&gt;chūxiàn&lt;/rt&gt;&lt;/ruby&gt;")</f>
        <v>&lt;ruby&gt;出现&lt;rt&gt;chūxiàn&lt;/rt&gt;&lt;/ruby&gt;</v>
      </c>
      <c r="E875" s="13" t="str">
        <f ca="1">IFERROR(__xludf.DUMMYFUNCTION("""COMPUTED_VALUE"""),"chūxiàn")</f>
        <v>chūxiàn</v>
      </c>
      <c r="F875" s="13" t="str">
        <f ca="1">IFERROR(__xludf.DUMMYFUNCTION("""COMPUTED_VALUE"""),"Động từ")</f>
        <v>Động từ</v>
      </c>
      <c r="G875" s="13" t="str">
        <f ca="1">IFERROR(__xludf.DUMMYFUNCTION("""COMPUTED_VALUE"""),"xuất hiện, nảy sinh")</f>
        <v>xuất hiện, nảy sinh</v>
      </c>
      <c r="H875" s="13" t="str">
        <f ca="1">IFERROR(__xludf.DUMMYFUNCTION("""COMPUTED_VALUE"""),"我好像生病了，现在出现了咳嗽和喉咙痛。")</f>
        <v>我好像生病了，现在出现了咳嗽和喉咙痛。</v>
      </c>
      <c r="I875" s="13"/>
      <c r="J875" s="13" t="str">
        <f ca="1">IFERROR(__xludf.DUMMYFUNCTION("""COMPUTED_VALUE"""),"Hình như tôi bị ốm rồi, bây giờ đang xuất hiện cơn ho và đau họng.")</f>
        <v>Hình như tôi bị ốm rồi, bây giờ đang xuất hiện cơn ho và đau họng.</v>
      </c>
      <c r="K875" s="13" t="str">
        <f ca="1">IFERROR(__xludf.DUMMYFUNCTION("""COMPUTED_VALUE"""),"H4_B7-BG-05.png")</f>
        <v>H4_B7-BG-05.png</v>
      </c>
      <c r="L875" s="13" t="str">
        <f ca="1">IFERROR(__xludf.DUMMYFUNCTION("""COMPUTED_VALUE"""),"B7_5.mp3")</f>
        <v>B7_5.mp3</v>
      </c>
      <c r="M875" s="13" t="str">
        <f ca="1">IFERROR(__xludf.DUMMYFUNCTION("""COMPUTED_VALUE"""),"B7_VD_5.mp3")</f>
        <v>B7_VD_5.mp3</v>
      </c>
    </row>
    <row r="876" spans="1:13">
      <c r="A876" s="13">
        <f ca="1">IFERROR(__xludf.DUMMYFUNCTION("""COMPUTED_VALUE"""),6)</f>
        <v>6</v>
      </c>
      <c r="B876" s="13"/>
      <c r="C876" s="13" t="str">
        <f ca="1">IFERROR(__xludf.DUMMYFUNCTION("""COMPUTED_VALUE"""),"大夫")</f>
        <v>大夫</v>
      </c>
      <c r="D876" s="13" t="str">
        <f ca="1">IFERROR(__xludf.DUMMYFUNCTION("""COMPUTED_VALUE"""),"&lt;ruby&gt;大夫&lt;rt&gt;dàifu&lt;/rt&gt;&lt;/ruby&gt;")</f>
        <v>&lt;ruby&gt;大夫&lt;rt&gt;dàifu&lt;/rt&gt;&lt;/ruby&gt;</v>
      </c>
      <c r="E876" s="13" t="str">
        <f ca="1">IFERROR(__xludf.DUMMYFUNCTION("""COMPUTED_VALUE"""),"dàifu")</f>
        <v>dàifu</v>
      </c>
      <c r="F876" s="13" t="str">
        <f ca="1">IFERROR(__xludf.DUMMYFUNCTION("""COMPUTED_VALUE"""),"Danh từ")</f>
        <v>Danh từ</v>
      </c>
      <c r="G876" s="13" t="str">
        <f ca="1">IFERROR(__xludf.DUMMYFUNCTION("""COMPUTED_VALUE"""),"bác sĩ")</f>
        <v>bác sĩ</v>
      </c>
      <c r="H876" s="13" t="str">
        <f ca="1">IFERROR(__xludf.DUMMYFUNCTION("""COMPUTED_VALUE"""),"她是一位很优秀的大夫。")</f>
        <v>她是一位很优秀的大夫。</v>
      </c>
      <c r="I876" s="13"/>
      <c r="J876" s="13" t="str">
        <f ca="1">IFERROR(__xludf.DUMMYFUNCTION("""COMPUTED_VALUE"""),"Cô ấy là một bác sĩ tài giỏi.")</f>
        <v>Cô ấy là một bác sĩ tài giỏi.</v>
      </c>
      <c r="K876" s="13" t="str">
        <f ca="1">IFERROR(__xludf.DUMMYFUNCTION("""COMPUTED_VALUE"""),"H4_B7-BG-06.png")</f>
        <v>H4_B7-BG-06.png</v>
      </c>
      <c r="L876" s="13" t="str">
        <f ca="1">IFERROR(__xludf.DUMMYFUNCTION("""COMPUTED_VALUE"""),"B7_6.mp3")</f>
        <v>B7_6.mp3</v>
      </c>
      <c r="M876" s="13" t="str">
        <f ca="1">IFERROR(__xludf.DUMMYFUNCTION("""COMPUTED_VALUE"""),"B7_VD_6.mp3")</f>
        <v>B7_VD_6.mp3</v>
      </c>
    </row>
    <row r="877" spans="1:13">
      <c r="A877" s="13">
        <f ca="1">IFERROR(__xludf.DUMMYFUNCTION("""COMPUTED_VALUE"""),7)</f>
        <v>7</v>
      </c>
      <c r="B877" s="13"/>
      <c r="C877" s="13" t="str">
        <f ca="1">IFERROR(__xludf.DUMMYFUNCTION("""COMPUTED_VALUE"""),"减肥")</f>
        <v>减肥</v>
      </c>
      <c r="D877" s="13" t="str">
        <f ca="1">IFERROR(__xludf.DUMMYFUNCTION("""COMPUTED_VALUE"""),"&lt;ruby&gt;减肥&lt;rt&gt;jiăn féi&lt;/rt&gt;&lt;/ruby&gt;")</f>
        <v>&lt;ruby&gt;减肥&lt;rt&gt;jiăn féi&lt;/rt&gt;&lt;/ruby&gt;</v>
      </c>
      <c r="E877" s="13" t="str">
        <f ca="1">IFERROR(__xludf.DUMMYFUNCTION("""COMPUTED_VALUE"""),"jiăn féi")</f>
        <v>jiăn féi</v>
      </c>
      <c r="F877" s="13" t="str">
        <f ca="1">IFERROR(__xludf.DUMMYFUNCTION("""COMPUTED_VALUE"""),"Động từ")</f>
        <v>Động từ</v>
      </c>
      <c r="G877" s="13" t="str">
        <f ca="1">IFERROR(__xludf.DUMMYFUNCTION("""COMPUTED_VALUE"""),"giảm cân")</f>
        <v>giảm cân</v>
      </c>
      <c r="H877" s="13" t="str">
        <f ca="1">IFERROR(__xludf.DUMMYFUNCTION("""COMPUTED_VALUE"""),"我在六个月内成功减肥了")</f>
        <v>我在六个月内成功减肥了</v>
      </c>
      <c r="I877" s="13"/>
      <c r="J877" s="13" t="str">
        <f ca="1">IFERROR(__xludf.DUMMYFUNCTION("""COMPUTED_VALUE"""),"Tôi đã giảm cân thành công trong vòng 6 tháng rồi.")</f>
        <v>Tôi đã giảm cân thành công trong vòng 6 tháng rồi.</v>
      </c>
      <c r="K877" s="13" t="str">
        <f ca="1">IFERROR(__xludf.DUMMYFUNCTION("""COMPUTED_VALUE"""),"H4_B7-BG-07.png")</f>
        <v>H4_B7-BG-07.png</v>
      </c>
      <c r="L877" s="13" t="str">
        <f ca="1">IFERROR(__xludf.DUMMYFUNCTION("""COMPUTED_VALUE"""),"B7_7.mp3")</f>
        <v>B7_7.mp3</v>
      </c>
      <c r="M877" s="13" t="str">
        <f ca="1">IFERROR(__xludf.DUMMYFUNCTION("""COMPUTED_VALUE"""),"B7_VD_7.mp3")</f>
        <v>B7_VD_7.mp3</v>
      </c>
    </row>
    <row r="878" spans="1:13">
      <c r="A878" s="13">
        <f ca="1">IFERROR(__xludf.DUMMYFUNCTION("""COMPUTED_VALUE"""),8)</f>
        <v>8</v>
      </c>
      <c r="B878" s="13"/>
      <c r="C878" s="13" t="str">
        <f ca="1">IFERROR(__xludf.DUMMYFUNCTION("""COMPUTED_VALUE"""),"肚子")</f>
        <v>肚子</v>
      </c>
      <c r="D878" s="13" t="str">
        <f ca="1">IFERROR(__xludf.DUMMYFUNCTION("""COMPUTED_VALUE"""),"&lt;ruby&gt;肚子&lt;rt&gt;dùzi&lt;/rt&gt;&lt;/ruby&gt;")</f>
        <v>&lt;ruby&gt;肚子&lt;rt&gt;dùzi&lt;/rt&gt;&lt;/ruby&gt;</v>
      </c>
      <c r="E878" s="13" t="str">
        <f ca="1">IFERROR(__xludf.DUMMYFUNCTION("""COMPUTED_VALUE"""),"dùzi")</f>
        <v>dùzi</v>
      </c>
      <c r="F878" s="13" t="str">
        <f ca="1">IFERROR(__xludf.DUMMYFUNCTION("""COMPUTED_VALUE"""),"Danh từ")</f>
        <v>Danh từ</v>
      </c>
      <c r="G878" s="13" t="str">
        <f ca="1">IFERROR(__xludf.DUMMYFUNCTION("""COMPUTED_VALUE"""),"bụng")</f>
        <v>bụng</v>
      </c>
      <c r="H878" s="13" t="str">
        <f ca="1">IFERROR(__xludf.DUMMYFUNCTION("""COMPUTED_VALUE"""),"她好像吃了坏东西，肚子疼得厉害。")</f>
        <v>她好像吃了坏东西，肚子疼得厉害。</v>
      </c>
      <c r="I878" s="13"/>
      <c r="J878" s="13" t="str">
        <f ca="1">IFERROR(__xludf.DUMMYFUNCTION("""COMPUTED_VALUE"""),"Hình như ăn phải đồ hỏng nên cô ấy đã bị đau bụng.")</f>
        <v>Hình như ăn phải đồ hỏng nên cô ấy đã bị đau bụng.</v>
      </c>
      <c r="K878" s="13" t="str">
        <f ca="1">IFERROR(__xludf.DUMMYFUNCTION("""COMPUTED_VALUE"""),"H4_B7-BG-08.png")</f>
        <v>H4_B7-BG-08.png</v>
      </c>
      <c r="L878" s="13" t="str">
        <f ca="1">IFERROR(__xludf.DUMMYFUNCTION("""COMPUTED_VALUE"""),"B7_8.mp3")</f>
        <v>B7_8.mp3</v>
      </c>
      <c r="M878" s="13" t="str">
        <f ca="1">IFERROR(__xludf.DUMMYFUNCTION("""COMPUTED_VALUE"""),"B7_VD_8.mp3")</f>
        <v>B7_VD_8.mp3</v>
      </c>
    </row>
    <row r="879" spans="1:13">
      <c r="A879" s="13">
        <f ca="1">IFERROR(__xludf.DUMMYFUNCTION("""COMPUTED_VALUE"""),9)</f>
        <v>9</v>
      </c>
      <c r="B879" s="13"/>
      <c r="C879" s="13" t="str">
        <f ca="1">IFERROR(__xludf.DUMMYFUNCTION("""COMPUTED_VALUE"""),"严重")</f>
        <v>严重</v>
      </c>
      <c r="D879" s="13" t="str">
        <f ca="1">IFERROR(__xludf.DUMMYFUNCTION("""COMPUTED_VALUE"""),"&lt;ruby&gt;严重&lt;rt&gt;yánzhòng&lt;/rt&gt;&lt;/ruby&gt;")</f>
        <v>&lt;ruby&gt;严重&lt;rt&gt;yánzhòng&lt;/rt&gt;&lt;/ruby&gt;</v>
      </c>
      <c r="E879" s="13" t="str">
        <f ca="1">IFERROR(__xludf.DUMMYFUNCTION("""COMPUTED_VALUE"""),"yánzhòng")</f>
        <v>yánzhòng</v>
      </c>
      <c r="F879" s="13" t="str">
        <f ca="1">IFERROR(__xludf.DUMMYFUNCTION("""COMPUTED_VALUE"""),"Tính từ")</f>
        <v>Tính từ</v>
      </c>
      <c r="G879" s="13" t="str">
        <f ca="1">IFERROR(__xludf.DUMMYFUNCTION("""COMPUTED_VALUE"""),"nghiêm trọng")</f>
        <v>nghiêm trọng</v>
      </c>
      <c r="H879" s="13" t="str">
        <f ca="1">IFERROR(__xludf.DUMMYFUNCTION("""COMPUTED_VALUE"""),"他的伤很严重，流了很多血。")</f>
        <v>他的伤很严重，流了很多血。</v>
      </c>
      <c r="I879" s="13"/>
      <c r="J879" s="13" t="str">
        <f ca="1">IFERROR(__xludf.DUMMYFUNCTION("""COMPUTED_VALUE"""),"Vết thương của anh ấy rất nghiêm trọng, chảy rất nhiều máu.")</f>
        <v>Vết thương của anh ấy rất nghiêm trọng, chảy rất nhiều máu.</v>
      </c>
      <c r="K879" s="13" t="str">
        <f ca="1">IFERROR(__xludf.DUMMYFUNCTION("""COMPUTED_VALUE"""),"H4_B7-BG-09.png")</f>
        <v>H4_B7-BG-09.png</v>
      </c>
      <c r="L879" s="13" t="str">
        <f ca="1">IFERROR(__xludf.DUMMYFUNCTION("""COMPUTED_VALUE"""),"B7_9.mp3")</f>
        <v>B7_9.mp3</v>
      </c>
      <c r="M879" s="13" t="str">
        <f ca="1">IFERROR(__xludf.DUMMYFUNCTION("""COMPUTED_VALUE"""),"B7_VD_9.mp3")</f>
        <v>B7_VD_9.mp3</v>
      </c>
    </row>
    <row r="880" spans="1:13">
      <c r="A880" s="13">
        <f ca="1">IFERROR(__xludf.DUMMYFUNCTION("""COMPUTED_VALUE"""),10)</f>
        <v>10</v>
      </c>
      <c r="B880" s="13"/>
      <c r="C880" s="13" t="str">
        <f ca="1">IFERROR(__xludf.DUMMYFUNCTION("""COMPUTED_VALUE"""),"精神")</f>
        <v>精神</v>
      </c>
      <c r="D880" s="13" t="str">
        <f ca="1">IFERROR(__xludf.DUMMYFUNCTION("""COMPUTED_VALUE"""),"&lt;ruby&gt;精神&lt;rt&gt;jīngshén&lt;/rt&gt;&lt;/ruby&gt;")</f>
        <v>&lt;ruby&gt;精神&lt;rt&gt;jīngshén&lt;/rt&gt;&lt;/ruby&gt;</v>
      </c>
      <c r="E880" s="13" t="str">
        <f ca="1">IFERROR(__xludf.DUMMYFUNCTION("""COMPUTED_VALUE"""),"jīngshén")</f>
        <v>jīngshén</v>
      </c>
      <c r="F880" s="13" t="str">
        <f ca="1">IFERROR(__xludf.DUMMYFUNCTION("""COMPUTED_VALUE"""),"Danh từ")</f>
        <v>Danh từ</v>
      </c>
      <c r="G880" s="13" t="str">
        <f ca="1">IFERROR(__xludf.DUMMYFUNCTION("""COMPUTED_VALUE"""),"tinh thần")</f>
        <v>tinh thần</v>
      </c>
      <c r="H880" s="13" t="str">
        <f ca="1">IFERROR(__xludf.DUMMYFUNCTION("""COMPUTED_VALUE"""),"每天跑步让我的精神更放松。")</f>
        <v>每天跑步让我的精神更放松。</v>
      </c>
      <c r="I880" s="13"/>
      <c r="J880" s="13" t="str">
        <f ca="1">IFERROR(__xludf.DUMMYFUNCTION("""COMPUTED_VALUE"""),"Chạy bộ hàng ngày giúp tinh thần thoải mái hơn.")</f>
        <v>Chạy bộ hàng ngày giúp tinh thần thoải mái hơn.</v>
      </c>
      <c r="K880" s="13" t="str">
        <f ca="1">IFERROR(__xludf.DUMMYFUNCTION("""COMPUTED_VALUE"""),"H4_B7-BG-10.png")</f>
        <v>H4_B7-BG-10.png</v>
      </c>
      <c r="L880" s="13" t="str">
        <f ca="1">IFERROR(__xludf.DUMMYFUNCTION("""COMPUTED_VALUE"""),"B7_10.mp3")</f>
        <v>B7_10.mp3</v>
      </c>
      <c r="M880" s="13" t="str">
        <f ca="1">IFERROR(__xludf.DUMMYFUNCTION("""COMPUTED_VALUE"""),"B7_VD_10.mp3")</f>
        <v>B7_VD_10.mp3</v>
      </c>
    </row>
    <row r="881" spans="1:13">
      <c r="A881" s="13">
        <f ca="1">IFERROR(__xludf.DUMMYFUNCTION("""COMPUTED_VALUE"""),11)</f>
        <v>11</v>
      </c>
      <c r="B881" s="13"/>
      <c r="C881" s="13" t="str">
        <f ca="1">IFERROR(__xludf.DUMMYFUNCTION("""COMPUTED_VALUE"""),"流血")</f>
        <v>流血</v>
      </c>
      <c r="D881" s="13" t="str">
        <f ca="1">IFERROR(__xludf.DUMMYFUNCTION("""COMPUTED_VALUE"""),"&lt;ruby&gt;流血&lt;rt&gt;liú xiě&lt;/rt&gt;&lt;/ruby&gt;")</f>
        <v>&lt;ruby&gt;流血&lt;rt&gt;liú xiě&lt;/rt&gt;&lt;/ruby&gt;</v>
      </c>
      <c r="E881" s="13" t="str">
        <f ca="1">IFERROR(__xludf.DUMMYFUNCTION("""COMPUTED_VALUE"""),"liú xiě")</f>
        <v>liú xiě</v>
      </c>
      <c r="F881" s="13" t="str">
        <f ca="1">IFERROR(__xludf.DUMMYFUNCTION("""COMPUTED_VALUE"""),"Động từ")</f>
        <v>Động từ</v>
      </c>
      <c r="G881" s="13" t="str">
        <f ca="1">IFERROR(__xludf.DUMMYFUNCTION("""COMPUTED_VALUE"""),"chảy máu")</f>
        <v>chảy máu</v>
      </c>
      <c r="H881" s="13" t="str">
        <f ca="1">IFERROR(__xludf.DUMMYFUNCTION("""COMPUTED_VALUE"""),"她的鼻子正在流血。")</f>
        <v>她的鼻子正在流血。</v>
      </c>
      <c r="I881" s="13"/>
      <c r="J881" s="13" t="str">
        <f ca="1">IFERROR(__xludf.DUMMYFUNCTION("""COMPUTED_VALUE"""),"Cô ấy đang bị chảy máu mũi.")</f>
        <v>Cô ấy đang bị chảy máu mũi.</v>
      </c>
      <c r="K881" s="13" t="str">
        <f ca="1">IFERROR(__xludf.DUMMYFUNCTION("""COMPUTED_VALUE"""),"H4_B7-BG-11.png")</f>
        <v>H4_B7-BG-11.png</v>
      </c>
      <c r="L881" s="13" t="str">
        <f ca="1">IFERROR(__xludf.DUMMYFUNCTION("""COMPUTED_VALUE"""),"B7_11.mp3")</f>
        <v>B7_11.mp3</v>
      </c>
      <c r="M881" s="13" t="str">
        <f ca="1">IFERROR(__xludf.DUMMYFUNCTION("""COMPUTED_VALUE"""),"B7_VD_11.mp3")</f>
        <v>B7_VD_11.mp3</v>
      </c>
    </row>
    <row r="882" spans="1:13">
      <c r="A882" s="13">
        <f ca="1">IFERROR(__xludf.DUMMYFUNCTION("""COMPUTED_VALUE"""),12)</f>
        <v>12</v>
      </c>
      <c r="B882" s="13"/>
      <c r="C882" s="13" t="str">
        <f ca="1">IFERROR(__xludf.DUMMYFUNCTION("""COMPUTED_VALUE"""),"辛苦")</f>
        <v>辛苦</v>
      </c>
      <c r="D882" s="13" t="str">
        <f ca="1">IFERROR(__xludf.DUMMYFUNCTION("""COMPUTED_VALUE"""),"&lt;ruby&gt;辛苦&lt;rt&gt;xīnkǔ&lt;/rt&gt;&lt;/ruby&gt;")</f>
        <v>&lt;ruby&gt;辛苦&lt;rt&gt;xīnkǔ&lt;/rt&gt;&lt;/ruby&gt;</v>
      </c>
      <c r="E882" s="13" t="str">
        <f ca="1">IFERROR(__xludf.DUMMYFUNCTION("""COMPUTED_VALUE"""),"xīnkǔ")</f>
        <v>xīnkǔ</v>
      </c>
      <c r="F882" s="13" t="str">
        <f ca="1">IFERROR(__xludf.DUMMYFUNCTION("""COMPUTED_VALUE"""),"Tính từ")</f>
        <v>Tính từ</v>
      </c>
      <c r="G882" s="13" t="str">
        <f ca="1">IFERROR(__xludf.DUMMYFUNCTION("""COMPUTED_VALUE"""),"vất vả, cực nhọc")</f>
        <v>vất vả, cực nhọc</v>
      </c>
      <c r="H882" s="13" t="str">
        <f ca="1">IFERROR(__xludf.DUMMYFUNCTION("""COMPUTED_VALUE"""),"经过多天辛苦学习，他终于毕业了。")</f>
        <v>经过多天辛苦学习，他终于毕业了。</v>
      </c>
      <c r="I882" s="13"/>
      <c r="J882" s="13" t="str">
        <f ca="1">IFERROR(__xludf.DUMMYFUNCTION("""COMPUTED_VALUE"""),"Sau nhiều ngày học tập vất vả, cuối cùng anh ấy cũng đã tốt nghiệp.")</f>
        <v>Sau nhiều ngày học tập vất vả, cuối cùng anh ấy cũng đã tốt nghiệp.</v>
      </c>
      <c r="K882" s="13" t="str">
        <f ca="1">IFERROR(__xludf.DUMMYFUNCTION("""COMPUTED_VALUE"""),"H4_B7-BG-12.png")</f>
        <v>H4_B7-BG-12.png</v>
      </c>
      <c r="L882" s="13" t="str">
        <f ca="1">IFERROR(__xludf.DUMMYFUNCTION("""COMPUTED_VALUE"""),"B7_12.mp3")</f>
        <v>B7_12.mp3</v>
      </c>
      <c r="M882" s="13" t="str">
        <f ca="1">IFERROR(__xludf.DUMMYFUNCTION("""COMPUTED_VALUE"""),"B7_VD_12.mp3")</f>
        <v>B7_VD_12.mp3</v>
      </c>
    </row>
    <row r="883" spans="1:13">
      <c r="A883" s="13">
        <f ca="1">IFERROR(__xludf.DUMMYFUNCTION("""COMPUTED_VALUE"""),13)</f>
        <v>13</v>
      </c>
      <c r="B883" s="13"/>
      <c r="C883" s="13" t="str">
        <f ca="1">IFERROR(__xludf.DUMMYFUNCTION("""COMPUTED_VALUE"""),"教授")</f>
        <v>教授</v>
      </c>
      <c r="D883" s="13" t="str">
        <f ca="1">IFERROR(__xludf.DUMMYFUNCTION("""COMPUTED_VALUE"""),"&lt;ruby&gt;教授&lt;rt&gt;Jiàoshòu&lt;/rt&gt;&lt;/ruby&gt;")</f>
        <v>&lt;ruby&gt;教授&lt;rt&gt;Jiàoshòu&lt;/rt&gt;&lt;/ruby&gt;</v>
      </c>
      <c r="E883" s="13" t="str">
        <f ca="1">IFERROR(__xludf.DUMMYFUNCTION("""COMPUTED_VALUE"""),"Jiàoshòu")</f>
        <v>Jiàoshòu</v>
      </c>
      <c r="F883" s="13" t="str">
        <f ca="1">IFERROR(__xludf.DUMMYFUNCTION("""COMPUTED_VALUE"""),"Danh từ")</f>
        <v>Danh từ</v>
      </c>
      <c r="G883" s="13" t="str">
        <f ca="1">IFERROR(__xludf.DUMMYFUNCTION("""COMPUTED_VALUE"""),"giáo sư")</f>
        <v>giáo sư</v>
      </c>
      <c r="H883" s="13" t="str">
        <f ca="1">IFERROR(__xludf.DUMMYFUNCTION("""COMPUTED_VALUE"""),"他是一所著名大学的教授。")</f>
        <v>他是一所著名大学的教授。</v>
      </c>
      <c r="I883" s="13"/>
      <c r="J883" s="13" t="str">
        <f ca="1">IFERROR(__xludf.DUMMYFUNCTION("""COMPUTED_VALUE"""),"Ông ấy là giáo sư của một trường đại học nổi tiếng.")</f>
        <v>Ông ấy là giáo sư của một trường đại học nổi tiếng.</v>
      </c>
      <c r="K883" s="13" t="str">
        <f ca="1">IFERROR(__xludf.DUMMYFUNCTION("""COMPUTED_VALUE"""),"H4_B7-BG-13.png")</f>
        <v>H4_B7-BG-13.png</v>
      </c>
      <c r="L883" s="13" t="str">
        <f ca="1">IFERROR(__xludf.DUMMYFUNCTION("""COMPUTED_VALUE"""),"B7_13.mp3")</f>
        <v>B7_13.mp3</v>
      </c>
      <c r="M883" s="13" t="str">
        <f ca="1">IFERROR(__xludf.DUMMYFUNCTION("""COMPUTED_VALUE"""),"B7_VD_13.mp3")</f>
        <v>B7_VD_13.mp3</v>
      </c>
    </row>
    <row r="884" spans="1:13">
      <c r="A884" s="13">
        <f ca="1">IFERROR(__xludf.DUMMYFUNCTION("""COMPUTED_VALUE"""),14)</f>
        <v>14</v>
      </c>
      <c r="B884" s="13"/>
      <c r="C884" s="13" t="str">
        <f ca="1">IFERROR(__xludf.DUMMYFUNCTION("""COMPUTED_VALUE"""),"研究")</f>
        <v>研究</v>
      </c>
      <c r="D884" s="13" t="str">
        <f ca="1">IFERROR(__xludf.DUMMYFUNCTION("""COMPUTED_VALUE"""),"&lt;ruby&gt;研究&lt;rt&gt;yánjiū&lt;/rt&gt;&lt;/ruby&gt;")</f>
        <v>&lt;ruby&gt;研究&lt;rt&gt;yánjiū&lt;/rt&gt;&lt;/ruby&gt;</v>
      </c>
      <c r="E884" s="13" t="str">
        <f ca="1">IFERROR(__xludf.DUMMYFUNCTION("""COMPUTED_VALUE"""),"yánjiū")</f>
        <v>yánjiū</v>
      </c>
      <c r="F884" s="13" t="str">
        <f ca="1">IFERROR(__xludf.DUMMYFUNCTION("""COMPUTED_VALUE"""),"Động từ")</f>
        <v>Động từ</v>
      </c>
      <c r="G884" s="13" t="str">
        <f ca="1">IFERROR(__xludf.DUMMYFUNCTION("""COMPUTED_VALUE"""),"nghiên cứu")</f>
        <v>nghiên cứu</v>
      </c>
      <c r="H884" s="13" t="str">
        <f ca="1">IFERROR(__xludf.DUMMYFUNCTION("""COMPUTED_VALUE"""),"他正在研究这种植物的种植方法。")</f>
        <v>他正在研究这种植物的种植方法。</v>
      </c>
      <c r="I884" s="13"/>
      <c r="J884" s="13" t="str">
        <f ca="1">IFERROR(__xludf.DUMMYFUNCTION("""COMPUTED_VALUE"""),"Anh ấy đang nghiên cứu cách trồng loại cây này.")</f>
        <v>Anh ấy đang nghiên cứu cách trồng loại cây này.</v>
      </c>
      <c r="K884" s="13" t="str">
        <f ca="1">IFERROR(__xludf.DUMMYFUNCTION("""COMPUTED_VALUE"""),"H4_B7-BG-14.png")</f>
        <v>H4_B7-BG-14.png</v>
      </c>
      <c r="L884" s="13" t="str">
        <f ca="1">IFERROR(__xludf.DUMMYFUNCTION("""COMPUTED_VALUE"""),"B7_14.mp3")</f>
        <v>B7_14.mp3</v>
      </c>
      <c r="M884" s="13" t="str">
        <f ca="1">IFERROR(__xludf.DUMMYFUNCTION("""COMPUTED_VALUE"""),"B7_VD_14.mp3")</f>
        <v>B7_VD_14.mp3</v>
      </c>
    </row>
    <row r="885" spans="1:13">
      <c r="A885" s="13">
        <f ca="1">IFERROR(__xludf.DUMMYFUNCTION("""COMPUTED_VALUE"""),15)</f>
        <v>15</v>
      </c>
      <c r="B885" s="13"/>
      <c r="C885" s="13" t="str">
        <f ca="1">IFERROR(__xludf.DUMMYFUNCTION("""COMPUTED_VALUE"""),"纸")</f>
        <v>纸</v>
      </c>
      <c r="D885" s="13" t="str">
        <f ca="1">IFERROR(__xludf.DUMMYFUNCTION("""COMPUTED_VALUE"""),"&lt;ruby&gt;纸&lt;rt&gt;Zhǐ&lt;/rt&gt;&lt;/ruby&gt;")</f>
        <v>&lt;ruby&gt;纸&lt;rt&gt;Zhǐ&lt;/rt&gt;&lt;/ruby&gt;</v>
      </c>
      <c r="E885" s="13" t="str">
        <f ca="1">IFERROR(__xludf.DUMMYFUNCTION("""COMPUTED_VALUE"""),"Zhǐ")</f>
        <v>Zhǐ</v>
      </c>
      <c r="F885" s="13" t="str">
        <f ca="1">IFERROR(__xludf.DUMMYFUNCTION("""COMPUTED_VALUE"""),"Danh từ")</f>
        <v>Danh từ</v>
      </c>
      <c r="G885" s="13" t="str">
        <f ca="1">IFERROR(__xludf.DUMMYFUNCTION("""COMPUTED_VALUE"""),"giấy")</f>
        <v>giấy</v>
      </c>
      <c r="H885" s="13" t="str">
        <f ca="1">IFERROR(__xludf.DUMMYFUNCTION("""COMPUTED_VALUE"""),"我要买几张纸。")</f>
        <v>我要买几张纸。</v>
      </c>
      <c r="I885" s="13"/>
      <c r="J885" s="13" t="str">
        <f ca="1">IFERROR(__xludf.DUMMYFUNCTION("""COMPUTED_VALUE"""),"Tôi muốn mua vài tờ giấy.")</f>
        <v>Tôi muốn mua vài tờ giấy.</v>
      </c>
      <c r="K885" s="13" t="str">
        <f ca="1">IFERROR(__xludf.DUMMYFUNCTION("""COMPUTED_VALUE"""),"H4_B7-BG-15.png")</f>
        <v>H4_B7-BG-15.png</v>
      </c>
      <c r="L885" s="13" t="str">
        <f ca="1">IFERROR(__xludf.DUMMYFUNCTION("""COMPUTED_VALUE"""),"B7_15.mp3")</f>
        <v>B7_15.mp3</v>
      </c>
      <c r="M885" s="13" t="str">
        <f ca="1">IFERROR(__xludf.DUMMYFUNCTION("""COMPUTED_VALUE"""),"B7_VD_15.mp3")</f>
        <v>B7_VD_15.mp3</v>
      </c>
    </row>
    <row r="886" spans="1:13">
      <c r="A886" s="13">
        <f ca="1">IFERROR(__xludf.DUMMYFUNCTION("""COMPUTED_VALUE"""),16)</f>
        <v>16</v>
      </c>
      <c r="B886" s="13"/>
      <c r="C886" s="13" t="str">
        <f ca="1">IFERROR(__xludf.DUMMYFUNCTION("""COMPUTED_VALUE"""),"要是")</f>
        <v>要是</v>
      </c>
      <c r="D886" s="13" t="str">
        <f ca="1">IFERROR(__xludf.DUMMYFUNCTION("""COMPUTED_VALUE"""),"&lt;ruby&gt;要是&lt;rt&gt;yàoshi&lt;/rt&gt;&lt;/ruby&gt;")</f>
        <v>&lt;ruby&gt;要是&lt;rt&gt;yàoshi&lt;/rt&gt;&lt;/ruby&gt;</v>
      </c>
      <c r="E886" s="13" t="str">
        <f ca="1">IFERROR(__xludf.DUMMYFUNCTION("""COMPUTED_VALUE"""),"yàoshi")</f>
        <v>yàoshi</v>
      </c>
      <c r="F886" s="13" t="str">
        <f ca="1">IFERROR(__xludf.DUMMYFUNCTION("""COMPUTED_VALUE"""),"Liên từ")</f>
        <v>Liên từ</v>
      </c>
      <c r="G886" s="13" t="str">
        <f ca="1">IFERROR(__xludf.DUMMYFUNCTION("""COMPUTED_VALUE"""),"nếu như, nếu")</f>
        <v>nếu như, nếu</v>
      </c>
      <c r="H886" s="13" t="str">
        <f ca="1">IFERROR(__xludf.DUMMYFUNCTION("""COMPUTED_VALUE"""),"要是经常打扫，房子就会很干净。")</f>
        <v>要是经常打扫，房子就会很干净。</v>
      </c>
      <c r="I886" s="13"/>
      <c r="J886" s="13" t="str">
        <f ca="1">IFERROR(__xludf.DUMMYFUNCTION("""COMPUTED_VALUE"""),"Nếu như dọn dẹp thường xuyên thì nhà cửa sẽ sạch sẽ.")</f>
        <v>Nếu như dọn dẹp thường xuyên thì nhà cửa sẽ sạch sẽ.</v>
      </c>
      <c r="K886" s="13" t="str">
        <f ca="1">IFERROR(__xludf.DUMMYFUNCTION("""COMPUTED_VALUE"""),"H4_B7-BG-16.png")</f>
        <v>H4_B7-BG-16.png</v>
      </c>
      <c r="L886" s="13" t="str">
        <f ca="1">IFERROR(__xludf.DUMMYFUNCTION("""COMPUTED_VALUE"""),"B7_16.mp3")</f>
        <v>B7_16.mp3</v>
      </c>
      <c r="M886" s="13" t="str">
        <f ca="1">IFERROR(__xludf.DUMMYFUNCTION("""COMPUTED_VALUE"""),"B7_VD_16.mp3")</f>
        <v>B7_VD_16.mp3</v>
      </c>
    </row>
    <row r="887" spans="1:13">
      <c r="A887" s="13">
        <f ca="1">IFERROR(__xludf.DUMMYFUNCTION("""COMPUTED_VALUE"""),17)</f>
        <v>17</v>
      </c>
      <c r="B887" s="13"/>
      <c r="C887" s="13" t="str">
        <f ca="1">IFERROR(__xludf.DUMMYFUNCTION("""COMPUTED_VALUE"""),"植物")</f>
        <v>植物</v>
      </c>
      <c r="D887" s="13" t="str">
        <f ca="1">IFERROR(__xludf.DUMMYFUNCTION("""COMPUTED_VALUE"""),"&lt;ruby&gt;植物&lt;rt&gt;zhíwù&lt;/rt&gt;&lt;/ruby&gt;")</f>
        <v>&lt;ruby&gt;植物&lt;rt&gt;zhíwù&lt;/rt&gt;&lt;/ruby&gt;</v>
      </c>
      <c r="E887" s="13" t="str">
        <f ca="1">IFERROR(__xludf.DUMMYFUNCTION("""COMPUTED_VALUE"""),"zhíwù")</f>
        <v>zhíwù</v>
      </c>
      <c r="F887" s="13" t="str">
        <f ca="1">IFERROR(__xludf.DUMMYFUNCTION("""COMPUTED_VALUE"""),"Danh từ")</f>
        <v>Danh từ</v>
      </c>
      <c r="G887" s="13" t="str">
        <f ca="1">IFERROR(__xludf.DUMMYFUNCTION("""COMPUTED_VALUE"""),"thực vật")</f>
        <v>thực vật</v>
      </c>
      <c r="H887" s="13" t="str">
        <f ca="1">IFERROR(__xludf.DUMMYFUNCTION("""COMPUTED_VALUE"""),"他正在研究森林里的各种植物。")</f>
        <v>他正在研究森林里的各种植物。</v>
      </c>
      <c r="I887" s="13"/>
      <c r="J887" s="13" t="str">
        <f ca="1">IFERROR(__xludf.DUMMYFUNCTION("""COMPUTED_VALUE"""),"Anh ấy đang nghiên cứu các loại thực vật trong khu rừng này,")</f>
        <v>Anh ấy đang nghiên cứu các loại thực vật trong khu rừng này,</v>
      </c>
      <c r="K887" s="13" t="str">
        <f ca="1">IFERROR(__xludf.DUMMYFUNCTION("""COMPUTED_VALUE"""),"H4_B7-BG-17.png")</f>
        <v>H4_B7-BG-17.png</v>
      </c>
      <c r="L887" s="13" t="str">
        <f ca="1">IFERROR(__xludf.DUMMYFUNCTION("""COMPUTED_VALUE"""),"B7_17.mp3")</f>
        <v>B7_17.mp3</v>
      </c>
      <c r="M887" s="13" t="str">
        <f ca="1">IFERROR(__xludf.DUMMYFUNCTION("""COMPUTED_VALUE"""),"B7_VD_17.mp3")</f>
        <v>B7_VD_17.mp3</v>
      </c>
    </row>
    <row r="888" spans="1:13">
      <c r="A888" s="13">
        <f ca="1">IFERROR(__xludf.DUMMYFUNCTION("""COMPUTED_VALUE"""),18)</f>
        <v>18</v>
      </c>
      <c r="B888" s="13"/>
      <c r="C888" s="13" t="str">
        <f ca="1">IFERROR(__xludf.DUMMYFUNCTION("""COMPUTED_VALUE"""),"指")</f>
        <v>指</v>
      </c>
      <c r="D888" s="13" t="str">
        <f ca="1">IFERROR(__xludf.DUMMYFUNCTION("""COMPUTED_VALUE"""),"&lt;ruby&gt;指&lt;rt&gt;Zhǐ&lt;/rt&gt;&lt;/ruby&gt;")</f>
        <v>&lt;ruby&gt;指&lt;rt&gt;Zhǐ&lt;/rt&gt;&lt;/ruby&gt;</v>
      </c>
      <c r="E888" s="13" t="str">
        <f ca="1">IFERROR(__xludf.DUMMYFUNCTION("""COMPUTED_VALUE"""),"Zhǐ")</f>
        <v>Zhǐ</v>
      </c>
      <c r="F888" s="13" t="str">
        <f ca="1">IFERROR(__xludf.DUMMYFUNCTION("""COMPUTED_VALUE"""),"Động từ")</f>
        <v>Động từ</v>
      </c>
      <c r="G888" s="13" t="str">
        <f ca="1">IFERROR(__xludf.DUMMYFUNCTION("""COMPUTED_VALUE"""),"chỉ về, nói đến")</f>
        <v>chỉ về, nói đến</v>
      </c>
      <c r="H888" s="13" t="str">
        <f ca="1">IFERROR(__xludf.DUMMYFUNCTION("""COMPUTED_VALUE"""),"老师指了指黑板上的重点内容。")</f>
        <v>老师指了指黑板上的重点内容。</v>
      </c>
      <c r="I888" s="13"/>
      <c r="J888" s="13" t="str">
        <f ca="1">IFERROR(__xludf.DUMMYFUNCTION("""COMPUTED_VALUE"""),"Giáo viên chỉ vào nội dung chính trên bảng đen.")</f>
        <v>Giáo viên chỉ vào nội dung chính trên bảng đen.</v>
      </c>
      <c r="K888" s="13" t="str">
        <f ca="1">IFERROR(__xludf.DUMMYFUNCTION("""COMPUTED_VALUE"""),"H4_B7-BG-18.png")</f>
        <v>H4_B7-BG-18.png</v>
      </c>
      <c r="L888" s="13" t="str">
        <f ca="1">IFERROR(__xludf.DUMMYFUNCTION("""COMPUTED_VALUE"""),"B7_18.mp3")</f>
        <v>B7_18.mp3</v>
      </c>
      <c r="M888" s="13" t="str">
        <f ca="1">IFERROR(__xludf.DUMMYFUNCTION("""COMPUTED_VALUE"""),"B7_VD_18.mp3")</f>
        <v>B7_VD_18.mp3</v>
      </c>
    </row>
    <row r="889" spans="1:13">
      <c r="A889" s="13">
        <f ca="1">IFERROR(__xludf.DUMMYFUNCTION("""COMPUTED_VALUE"""),19)</f>
        <v>19</v>
      </c>
      <c r="B889" s="13"/>
      <c r="C889" s="13" t="str">
        <f ca="1">IFERROR(__xludf.DUMMYFUNCTION("""COMPUTED_VALUE"""),"既")</f>
        <v>既</v>
      </c>
      <c r="D889" s="13" t="str">
        <f ca="1">IFERROR(__xludf.DUMMYFUNCTION("""COMPUTED_VALUE"""),"&lt;ruby&gt;既&lt;rt&gt;jì&lt;/rt&gt;&lt;/ruby&gt;")</f>
        <v>&lt;ruby&gt;既&lt;rt&gt;jì&lt;/rt&gt;&lt;/ruby&gt;</v>
      </c>
      <c r="E889" s="13" t="str">
        <f ca="1">IFERROR(__xludf.DUMMYFUNCTION("""COMPUTED_VALUE"""),"jì")</f>
        <v>jì</v>
      </c>
      <c r="F889" s="13" t="str">
        <f ca="1">IFERROR(__xludf.DUMMYFUNCTION("""COMPUTED_VALUE"""),"Phó từ")</f>
        <v>Phó từ</v>
      </c>
      <c r="G889" s="13" t="str">
        <f ca="1">IFERROR(__xludf.DUMMYFUNCTION("""COMPUTED_VALUE"""),"(được dùng kết hợp với 又 ) đã... lại..., vừa... vừa...")</f>
        <v>(được dùng kết hợp với 又 ) đã... lại..., vừa... vừa...</v>
      </c>
      <c r="H889" s="13" t="str">
        <f ca="1">IFERROR(__xludf.DUMMYFUNCTION("""COMPUTED_VALUE"""),"那道菜既辣又香，我非常喜欢吃。")</f>
        <v>那道菜既辣又香，我非常喜欢吃。</v>
      </c>
      <c r="I889" s="13"/>
      <c r="J889" s="13" t="str">
        <f ca="1">IFERROR(__xludf.DUMMYFUNCTION("""COMPUTED_VALUE"""),"Món ăn đó vừa cay vừa thơm, tôi rất thích ăn.")</f>
        <v>Món ăn đó vừa cay vừa thơm, tôi rất thích ăn.</v>
      </c>
      <c r="K889" s="13" t="str">
        <f ca="1">IFERROR(__xludf.DUMMYFUNCTION("""COMPUTED_VALUE"""),"H4_B7-BG-19.png")</f>
        <v>H4_B7-BG-19.png</v>
      </c>
      <c r="L889" s="13" t="str">
        <f ca="1">IFERROR(__xludf.DUMMYFUNCTION("""COMPUTED_VALUE"""),"B7_19.mp3")</f>
        <v>B7_19.mp3</v>
      </c>
      <c r="M889" s="13" t="str">
        <f ca="1">IFERROR(__xludf.DUMMYFUNCTION("""COMPUTED_VALUE"""),"B7_VD_19.mp3")</f>
        <v>B7_VD_19.mp3</v>
      </c>
    </row>
    <row r="890" spans="1:13">
      <c r="A890" s="13">
        <f ca="1">IFERROR(__xludf.DUMMYFUNCTION("""COMPUTED_VALUE"""),20)</f>
        <v>20</v>
      </c>
      <c r="B890" s="13"/>
      <c r="C890" s="13" t="str">
        <f ca="1">IFERROR(__xludf.DUMMYFUNCTION("""COMPUTED_VALUE"""),"掉")</f>
        <v>掉</v>
      </c>
      <c r="D890" s="13" t="str">
        <f ca="1">IFERROR(__xludf.DUMMYFUNCTION("""COMPUTED_VALUE"""),"&lt;ruby&gt;掉&lt;rt&gt;diào&lt;/rt&gt;&lt;/ruby&gt;")</f>
        <v>&lt;ruby&gt;掉&lt;rt&gt;diào&lt;/rt&gt;&lt;/ruby&gt;</v>
      </c>
      <c r="E890" s="13" t="str">
        <f ca="1">IFERROR(__xludf.DUMMYFUNCTION("""COMPUTED_VALUE"""),"diào")</f>
        <v>diào</v>
      </c>
      <c r="F890" s="13" t="str">
        <f ca="1">IFERROR(__xludf.DUMMYFUNCTION("""COMPUTED_VALUE"""),"Động từ")</f>
        <v>Động từ</v>
      </c>
      <c r="G890" s="13" t="str">
        <f ca="1">IFERROR(__xludf.DUMMYFUNCTION("""COMPUTED_VALUE"""),"(được dùng sau một số động từ để chỉ kết quả của hành động) mất, đi, hết")</f>
        <v>(được dùng sau một số động từ để chỉ kết quả của hành động) mất, đi, hết</v>
      </c>
      <c r="H890" s="13" t="str">
        <f ca="1">IFERROR(__xludf.DUMMYFUNCTION("""COMPUTED_VALUE"""),"我的照片丢掉了。")</f>
        <v>我的照片丢掉了。</v>
      </c>
      <c r="I890" s="13"/>
      <c r="J890" s="13" t="str">
        <f ca="1">IFERROR(__xludf.DUMMYFUNCTION("""COMPUTED_VALUE"""),"Tôi mất bức ảnh rồi.")</f>
        <v>Tôi mất bức ảnh rồi.</v>
      </c>
      <c r="K890" s="13" t="str">
        <f ca="1">IFERROR(__xludf.DUMMYFUNCTION("""COMPUTED_VALUE"""),"H4_B7-BG-20.png")</f>
        <v>H4_B7-BG-20.png</v>
      </c>
      <c r="L890" s="13" t="str">
        <f ca="1">IFERROR(__xludf.DUMMYFUNCTION("""COMPUTED_VALUE"""),"B7_20.mp3")</f>
        <v>B7_20.mp3</v>
      </c>
      <c r="M890" s="13" t="str">
        <f ca="1">IFERROR(__xludf.DUMMYFUNCTION("""COMPUTED_VALUE"""),"B7_VD_20.mp3")</f>
        <v>B7_VD_20.mp3</v>
      </c>
    </row>
    <row r="891" spans="1:13">
      <c r="A891" s="13">
        <f ca="1">IFERROR(__xludf.DUMMYFUNCTION("""COMPUTED_VALUE"""),21)</f>
        <v>21</v>
      </c>
      <c r="B891" s="13"/>
      <c r="C891" s="13" t="str">
        <f ca="1">IFERROR(__xludf.DUMMYFUNCTION("""COMPUTED_VALUE"""),"动作")</f>
        <v>动作</v>
      </c>
      <c r="D891" s="13" t="str">
        <f ca="1">IFERROR(__xludf.DUMMYFUNCTION("""COMPUTED_VALUE"""),"&lt;ruby&gt;动作&lt;rt&gt;dòngzuò&lt;/rt&gt;&lt;/ruby&gt;")</f>
        <v>&lt;ruby&gt;动作&lt;rt&gt;dòngzuò&lt;/rt&gt;&lt;/ruby&gt;</v>
      </c>
      <c r="E891" s="13" t="str">
        <f ca="1">IFERROR(__xludf.DUMMYFUNCTION("""COMPUTED_VALUE"""),"dòngzuò")</f>
        <v>dòngzuò</v>
      </c>
      <c r="F891" s="13" t="str">
        <f ca="1">IFERROR(__xludf.DUMMYFUNCTION("""COMPUTED_VALUE"""),"Danh từ")</f>
        <v>Danh từ</v>
      </c>
      <c r="G891" s="13" t="str">
        <f ca="1">IFERROR(__xludf.DUMMYFUNCTION("""COMPUTED_VALUE"""),"động tác, hành động")</f>
        <v>động tác, hành động</v>
      </c>
      <c r="H891" s="13" t="str">
        <f ca="1">IFERROR(__xludf.DUMMYFUNCTION("""COMPUTED_VALUE"""),"剪纸的动作真熟练！")</f>
        <v>剪纸的动作真熟练！</v>
      </c>
      <c r="I891" s="13"/>
      <c r="J891" s="13" t="str">
        <f ca="1">IFERROR(__xludf.DUMMYFUNCTION("""COMPUTED_VALUE"""),"Động tác cắt giấy này thật thành thạo.")</f>
        <v>Động tác cắt giấy này thật thành thạo.</v>
      </c>
      <c r="K891" s="13" t="str">
        <f ca="1">IFERROR(__xludf.DUMMYFUNCTION("""COMPUTED_VALUE"""),"H4_B7-BG-21.png")</f>
        <v>H4_B7-BG-21.png</v>
      </c>
      <c r="L891" s="13" t="str">
        <f ca="1">IFERROR(__xludf.DUMMYFUNCTION("""COMPUTED_VALUE"""),"B7_21.mp3")</f>
        <v>B7_21.mp3</v>
      </c>
      <c r="M891" s="13" t="str">
        <f ca="1">IFERROR(__xludf.DUMMYFUNCTION("""COMPUTED_VALUE"""),"B7_VD_21.mp3")</f>
        <v>B7_VD_21.mp3</v>
      </c>
    </row>
    <row r="892" spans="1:13">
      <c r="A892" s="13">
        <f ca="1">IFERROR(__xludf.DUMMYFUNCTION("""COMPUTED_VALUE"""),22)</f>
        <v>22</v>
      </c>
      <c r="B892" s="13"/>
      <c r="C892" s="13" t="str">
        <f ca="1">IFERROR(__xludf.DUMMYFUNCTION("""COMPUTED_VALUE"""),"烦恼")</f>
        <v>烦恼</v>
      </c>
      <c r="D892" s="13" t="str">
        <f ca="1">IFERROR(__xludf.DUMMYFUNCTION("""COMPUTED_VALUE"""),"&lt;ruby&gt;烦恼&lt;rt&gt;fánnǎo&lt;/rt&gt;&lt;/ruby&gt;")</f>
        <v>&lt;ruby&gt;烦恼&lt;rt&gt;fánnǎo&lt;/rt&gt;&lt;/ruby&gt;</v>
      </c>
      <c r="E892" s="13" t="str">
        <f ca="1">IFERROR(__xludf.DUMMYFUNCTION("""COMPUTED_VALUE"""),"fánnǎo")</f>
        <v>fánnǎo</v>
      </c>
      <c r="F892" s="13" t="str">
        <f ca="1">IFERROR(__xludf.DUMMYFUNCTION("""COMPUTED_VALUE"""),"Tính từ")</f>
        <v>Tính từ</v>
      </c>
      <c r="G892" s="13" t="str">
        <f ca="1">IFERROR(__xludf.DUMMYFUNCTION("""COMPUTED_VALUE"""),"phiền muộn, buồn phiền")</f>
        <v>phiền muộn, buồn phiền</v>
      </c>
      <c r="H892" s="13" t="str">
        <f ca="1">IFERROR(__xludf.DUMMYFUNCTION("""COMPUTED_VALUE"""),"他因为考试成绩比预期低而感到烦恼。")</f>
        <v>他因为考试成绩比预期低而感到烦恼。</v>
      </c>
      <c r="I892" s="13"/>
      <c r="J892" s="13" t="str">
        <f ca="1">IFERROR(__xludf.DUMMYFUNCTION("""COMPUTED_VALUE"""),"Anh ấy rất buồn phiền vì điểm kiểm tra thấp hơn dự tính.")</f>
        <v>Anh ấy rất buồn phiền vì điểm kiểm tra thấp hơn dự tính.</v>
      </c>
      <c r="K892" s="13" t="str">
        <f ca="1">IFERROR(__xludf.DUMMYFUNCTION("""COMPUTED_VALUE"""),"H4_B7-BG-22.png")</f>
        <v>H4_B7-BG-22.png</v>
      </c>
      <c r="L892" s="13" t="str">
        <f ca="1">IFERROR(__xludf.DUMMYFUNCTION("""COMPUTED_VALUE"""),"B7_22.mp3")</f>
        <v>B7_22.mp3</v>
      </c>
      <c r="M892" s="13" t="str">
        <f ca="1">IFERROR(__xludf.DUMMYFUNCTION("""COMPUTED_VALUE"""),"B7_VD_22.mp3")</f>
        <v>B7_VD_22.mp3</v>
      </c>
    </row>
    <row r="893" spans="1:13">
      <c r="A893" s="13">
        <f ca="1">IFERROR(__xludf.DUMMYFUNCTION("""COMPUTED_VALUE"""),23)</f>
        <v>23</v>
      </c>
      <c r="B893" s="13"/>
      <c r="C893" s="13" t="str">
        <f ca="1">IFERROR(__xludf.DUMMYFUNCTION("""COMPUTED_VALUE"""),"说明")</f>
        <v>说明</v>
      </c>
      <c r="D893" s="13" t="str">
        <f ca="1">IFERROR(__xludf.DUMMYFUNCTION("""COMPUTED_VALUE"""),"&lt;ruby&gt;说明&lt;rt&gt;Shuōmíng&lt;/rt&gt;&lt;/ruby&gt;")</f>
        <v>&lt;ruby&gt;说明&lt;rt&gt;Shuōmíng&lt;/rt&gt;&lt;/ruby&gt;</v>
      </c>
      <c r="E893" s="13" t="str">
        <f ca="1">IFERROR(__xludf.DUMMYFUNCTION("""COMPUTED_VALUE"""),"Shuōmíng")</f>
        <v>Shuōmíng</v>
      </c>
      <c r="F893" s="13" t="str">
        <f ca="1">IFERROR(__xludf.DUMMYFUNCTION("""COMPUTED_VALUE"""),"Động từ")</f>
        <v>Động từ</v>
      </c>
      <c r="G893" s="13" t="str">
        <f ca="1">IFERROR(__xludf.DUMMYFUNCTION("""COMPUTED_VALUE"""),"giài thích rõ, nói rõ")</f>
        <v>giài thích rõ, nói rõ</v>
      </c>
      <c r="H893" s="13" t="str">
        <f ca="1">IFERROR(__xludf.DUMMYFUNCTION("""COMPUTED_VALUE"""),"我已经说明了，但他还是不愿意听。")</f>
        <v>我已经说明了，但他还是不愿意听。</v>
      </c>
      <c r="I893" s="13"/>
      <c r="J893" s="13" t="str">
        <f ca="1">IFERROR(__xludf.DUMMYFUNCTION("""COMPUTED_VALUE"""),"Tôi đã giải thích rõ nhưng anh ta không chịu lắng nghe.")</f>
        <v>Tôi đã giải thích rõ nhưng anh ta không chịu lắng nghe.</v>
      </c>
      <c r="K893" s="13" t="str">
        <f ca="1">IFERROR(__xludf.DUMMYFUNCTION("""COMPUTED_VALUE"""),"H4_B7-BG-23.png")</f>
        <v>H4_B7-BG-23.png</v>
      </c>
      <c r="L893" s="13" t="str">
        <f ca="1">IFERROR(__xludf.DUMMYFUNCTION("""COMPUTED_VALUE"""),"B7_23.mp3")</f>
        <v>B7_23.mp3</v>
      </c>
      <c r="M893" s="13" t="str">
        <f ca="1">IFERROR(__xludf.DUMMYFUNCTION("""COMPUTED_VALUE"""),"B7_VD_23.mp3")</f>
        <v>B7_VD_23.mp3</v>
      </c>
    </row>
    <row r="894" spans="1:13">
      <c r="A894" s="13">
        <f ca="1">IFERROR(__xludf.DUMMYFUNCTION("""COMPUTED_VALUE"""),24)</f>
        <v>24</v>
      </c>
      <c r="B894" s="13"/>
      <c r="C894" s="13" t="str">
        <f ca="1">IFERROR(__xludf.DUMMYFUNCTION("""COMPUTED_VALUE"""),"反对")</f>
        <v>反对</v>
      </c>
      <c r="D894" s="13" t="str">
        <f ca="1">IFERROR(__xludf.DUMMYFUNCTION("""COMPUTED_VALUE"""),"&lt;ruby&gt;反对&lt;rt&gt;făndui&lt;/rt&gt;&lt;/ruby&gt;")</f>
        <v>&lt;ruby&gt;反对&lt;rt&gt;făndui&lt;/rt&gt;&lt;/ruby&gt;</v>
      </c>
      <c r="E894" s="13" t="str">
        <f ca="1">IFERROR(__xludf.DUMMYFUNCTION("""COMPUTED_VALUE"""),"făndui")</f>
        <v>făndui</v>
      </c>
      <c r="F894" s="13" t="str">
        <f ca="1">IFERROR(__xludf.DUMMYFUNCTION("""COMPUTED_VALUE"""),"Động từ")</f>
        <v>Động từ</v>
      </c>
      <c r="G894" s="13" t="str">
        <f ca="1">IFERROR(__xludf.DUMMYFUNCTION("""COMPUTED_VALUE"""),"phản đối")</f>
        <v>phản đối</v>
      </c>
      <c r="H894" s="13" t="str">
        <f ca="1">IFERROR(__xludf.DUMMYFUNCTION("""COMPUTED_VALUE"""),"他反对经理的决定。")</f>
        <v>他反对经理的决定。</v>
      </c>
      <c r="I894" s="13"/>
      <c r="J894" s="13" t="str">
        <f ca="1">IFERROR(__xludf.DUMMYFUNCTION("""COMPUTED_VALUE"""),"Anh ấy phản đối quyết định của quản lý.")</f>
        <v>Anh ấy phản đối quyết định của quản lý.</v>
      </c>
      <c r="K894" s="13" t="str">
        <f ca="1">IFERROR(__xludf.DUMMYFUNCTION("""COMPUTED_VALUE"""),"H4_B7-BG-24.png")</f>
        <v>H4_B7-BG-24.png</v>
      </c>
      <c r="L894" s="13" t="str">
        <f ca="1">IFERROR(__xludf.DUMMYFUNCTION("""COMPUTED_VALUE"""),"B7_24.mp3")</f>
        <v>B7_24.mp3</v>
      </c>
      <c r="M894" s="13" t="str">
        <f ca="1">IFERROR(__xludf.DUMMYFUNCTION("""COMPUTED_VALUE"""),"B7_VD_24.mp3")</f>
        <v>B7_VD_24.mp3</v>
      </c>
    </row>
    <row r="895" spans="1:13">
      <c r="A895" s="13">
        <f ca="1">IFERROR(__xludf.DUMMYFUNCTION("""COMPUTED_VALUE"""),25)</f>
        <v>25</v>
      </c>
      <c r="B895" s="13"/>
      <c r="C895" s="13" t="str">
        <f ca="1">IFERROR(__xludf.DUMMYFUNCTION("""COMPUTED_VALUE"""),"感情")</f>
        <v>感情</v>
      </c>
      <c r="D895" s="13" t="str">
        <f ca="1">IFERROR(__xludf.DUMMYFUNCTION("""COMPUTED_VALUE"""),"&lt;ruby&gt;感情&lt;rt&gt;găngíng&lt;/rt&gt;&lt;/ruby&gt;")</f>
        <v>&lt;ruby&gt;感情&lt;rt&gt;găngíng&lt;/rt&gt;&lt;/ruby&gt;</v>
      </c>
      <c r="E895" s="13" t="str">
        <f ca="1">IFERROR(__xludf.DUMMYFUNCTION("""COMPUTED_VALUE"""),"găngíng")</f>
        <v>găngíng</v>
      </c>
      <c r="F895" s="13" t="str">
        <f ca="1">IFERROR(__xludf.DUMMYFUNCTION("""COMPUTED_VALUE"""),"Danh từ")</f>
        <v>Danh từ</v>
      </c>
      <c r="G895" s="13" t="str">
        <f ca="1">IFERROR(__xludf.DUMMYFUNCTION("""COMPUTED_VALUE"""),"tình cảm")</f>
        <v>tình cảm</v>
      </c>
      <c r="H895" s="13" t="str">
        <f ca="1">IFERROR(__xludf.DUMMYFUNCTION("""COMPUTED_VALUE"""),"她对即将出生的孩子充满了感情。")</f>
        <v>她对即将出生的孩子充满了感情。</v>
      </c>
      <c r="I895" s="13"/>
      <c r="J895" s="13" t="str">
        <f ca="1">IFERROR(__xludf.DUMMYFUNCTION("""COMPUTED_VALUE"""),"Cô ấy dành rất nhiều tình cảm cho đứa con sắp chào đời.")</f>
        <v>Cô ấy dành rất nhiều tình cảm cho đứa con sắp chào đời.</v>
      </c>
      <c r="K895" s="13" t="str">
        <f ca="1">IFERROR(__xludf.DUMMYFUNCTION("""COMPUTED_VALUE"""),"H4_B7-BG-25.png")</f>
        <v>H4_B7-BG-25.png</v>
      </c>
      <c r="L895" s="13" t="str">
        <f ca="1">IFERROR(__xludf.DUMMYFUNCTION("""COMPUTED_VALUE"""),"B7_25.mp3")</f>
        <v>B7_25.mp3</v>
      </c>
      <c r="M895" s="13" t="str">
        <f ca="1">IFERROR(__xludf.DUMMYFUNCTION("""COMPUTED_VALUE"""),"B7_VD_25.mp3")</f>
        <v>B7_VD_25.mp3</v>
      </c>
    </row>
    <row r="896" spans="1:13">
      <c r="A896" s="13">
        <f ca="1">IFERROR(__xludf.DUMMYFUNCTION("""COMPUTED_VALUE"""),26)</f>
        <v>26</v>
      </c>
      <c r="B896" s="13"/>
      <c r="C896" s="13" t="str">
        <f ca="1">IFERROR(__xludf.DUMMYFUNCTION("""COMPUTED_VALUE"""),"帅")</f>
        <v>帅</v>
      </c>
      <c r="D896" s="13" t="str">
        <f ca="1">IFERROR(__xludf.DUMMYFUNCTION("""COMPUTED_VALUE"""),"&lt;ruby&gt;帅&lt;rt&gt;shuài&lt;/rt&gt;&lt;/ruby&gt;")</f>
        <v>&lt;ruby&gt;帅&lt;rt&gt;shuài&lt;/rt&gt;&lt;/ruby&gt;</v>
      </c>
      <c r="E896" s="13" t="str">
        <f ca="1">IFERROR(__xludf.DUMMYFUNCTION("""COMPUTED_VALUE"""),"shuài")</f>
        <v>shuài</v>
      </c>
      <c r="F896" s="13" t="str">
        <f ca="1">IFERROR(__xludf.DUMMYFUNCTION("""COMPUTED_VALUE"""),"Tính từ")</f>
        <v>Tính từ</v>
      </c>
      <c r="G896" s="13" t="str">
        <f ca="1">IFERROR(__xludf.DUMMYFUNCTION("""COMPUTED_VALUE"""),"Đẹp trai")</f>
        <v>Đẹp trai</v>
      </c>
      <c r="H896" s="13" t="str">
        <f ca="1">IFERROR(__xludf.DUMMYFUNCTION("""COMPUTED_VALUE"""),"他做饭时的样子很帅。")</f>
        <v>他做饭时的样子很帅。</v>
      </c>
      <c r="I896" s="13"/>
      <c r="J896" s="13" t="str">
        <f ca="1">IFERROR(__xludf.DUMMYFUNCTION("""COMPUTED_VALUE"""),"Dáng vẻ lúc anh ấy nấu ăn rất đẹp trai.")</f>
        <v>Dáng vẻ lúc anh ấy nấu ăn rất đẹp trai.</v>
      </c>
      <c r="K896" s="13" t="str">
        <f ca="1">IFERROR(__xludf.DUMMYFUNCTION("""COMPUTED_VALUE"""),"H4_B7-BG-26.png")</f>
        <v>H4_B7-BG-26.png</v>
      </c>
      <c r="L896" s="13" t="str">
        <f ca="1">IFERROR(__xludf.DUMMYFUNCTION("""COMPUTED_VALUE"""),"B7_26.mp3")</f>
        <v>B7_26.mp3</v>
      </c>
      <c r="M896" s="13" t="str">
        <f ca="1">IFERROR(__xludf.DUMMYFUNCTION("""COMPUTED_VALUE"""),"B7_VD_26.mp3")</f>
        <v>B7_VD_26.mp3</v>
      </c>
    </row>
    <row r="897" spans="1:13">
      <c r="A897" s="13">
        <f ca="1">IFERROR(__xludf.DUMMYFUNCTION("""COMPUTED_VALUE"""),27)</f>
        <v>27</v>
      </c>
      <c r="B897" s="13"/>
      <c r="C897" s="13" t="str">
        <f ca="1">IFERROR(__xludf.DUMMYFUNCTION("""COMPUTED_VALUE"""),"估计")</f>
        <v>估计</v>
      </c>
      <c r="D897" s="13" t="str">
        <f ca="1">IFERROR(__xludf.DUMMYFUNCTION("""COMPUTED_VALUE"""),"&lt;ruby&gt;估计&lt;rt&gt;gūji&lt;/rt&gt;&lt;/ruby&gt;")</f>
        <v>&lt;ruby&gt;估计&lt;rt&gt;gūji&lt;/rt&gt;&lt;/ruby&gt;</v>
      </c>
      <c r="E897" s="13" t="str">
        <f ca="1">IFERROR(__xludf.DUMMYFUNCTION("""COMPUTED_VALUE"""),"gūji")</f>
        <v>gūji</v>
      </c>
      <c r="F897" s="13" t="str">
        <f ca="1">IFERROR(__xludf.DUMMYFUNCTION("""COMPUTED_VALUE"""),"Động từ")</f>
        <v>Động từ</v>
      </c>
      <c r="G897" s="13" t="str">
        <f ca="1">IFERROR(__xludf.DUMMYFUNCTION("""COMPUTED_VALUE"""),"đoán chừng, dự đoán")</f>
        <v>đoán chừng, dự đoán</v>
      </c>
      <c r="H897" s="13" t="str">
        <f ca="1">IFERROR(__xludf.DUMMYFUNCTION("""COMPUTED_VALUE"""),"最近几天估计会下雨。")</f>
        <v>最近几天估计会下雨。</v>
      </c>
      <c r="I897" s="13"/>
      <c r="J897" s="13" t="str">
        <f ca="1">IFERROR(__xludf.DUMMYFUNCTION("""COMPUTED_VALUE"""),"Dự đoán mấy ngày này sẽ mưa.")</f>
        <v>Dự đoán mấy ngày này sẽ mưa.</v>
      </c>
      <c r="K897" s="13" t="str">
        <f ca="1">IFERROR(__xludf.DUMMYFUNCTION("""COMPUTED_VALUE"""),"H4_B7-BG-27.png")</f>
        <v>H4_B7-BG-27.png</v>
      </c>
      <c r="L897" s="13" t="str">
        <f ca="1">IFERROR(__xludf.DUMMYFUNCTION("""COMPUTED_VALUE"""),"B7_27.mp3")</f>
        <v>B7_27.mp3</v>
      </c>
      <c r="M897" s="13" t="str">
        <f ca="1">IFERROR(__xludf.DUMMYFUNCTION("""COMPUTED_VALUE"""),"B7_VD_27.mp3")</f>
        <v>B7_VD_27.mp3</v>
      </c>
    </row>
    <row r="898" spans="1:13">
      <c r="A898" s="13">
        <f ca="1">IFERROR(__xludf.DUMMYFUNCTION("""COMPUTED_VALUE"""),28)</f>
        <v>28</v>
      </c>
      <c r="B898" s="13"/>
      <c r="C898" s="13" t="str">
        <f ca="1">IFERROR(__xludf.DUMMYFUNCTION("""COMPUTED_VALUE"""),"后悔")</f>
        <v>后悔</v>
      </c>
      <c r="D898" s="13" t="str">
        <f ca="1">IFERROR(__xludf.DUMMYFUNCTION("""COMPUTED_VALUE"""),"&lt;ruby&gt;后悔&lt;rt&gt;Hòuhuǐ&lt;/rt&gt;&lt;/ruby&gt;")</f>
        <v>&lt;ruby&gt;后悔&lt;rt&gt;Hòuhuǐ&lt;/rt&gt;&lt;/ruby&gt;</v>
      </c>
      <c r="E898" s="13" t="str">
        <f ca="1">IFERROR(__xludf.DUMMYFUNCTION("""COMPUTED_VALUE"""),"Hòuhuǐ")</f>
        <v>Hòuhuǐ</v>
      </c>
      <c r="F898" s="13" t="str">
        <f ca="1">IFERROR(__xludf.DUMMYFUNCTION("""COMPUTED_VALUE"""),"Động từ")</f>
        <v>Động từ</v>
      </c>
      <c r="G898" s="13" t="str">
        <f ca="1">IFERROR(__xludf.DUMMYFUNCTION("""COMPUTED_VALUE"""),"ân hận")</f>
        <v>ân hận</v>
      </c>
      <c r="H898" s="13" t="str">
        <f ca="1">IFERROR(__xludf.DUMMYFUNCTION("""COMPUTED_VALUE"""),"她后悔和男朋友吵架了。")</f>
        <v>她后悔和男朋友吵架了。</v>
      </c>
      <c r="I898" s="13"/>
      <c r="J898" s="13" t="str">
        <f ca="1">IFERROR(__xludf.DUMMYFUNCTION("""COMPUTED_VALUE"""),"Cô ấy hối hận vì đã cãi nhau với bạn trai.")</f>
        <v>Cô ấy hối hận vì đã cãi nhau với bạn trai.</v>
      </c>
      <c r="K898" s="13" t="str">
        <f ca="1">IFERROR(__xludf.DUMMYFUNCTION("""COMPUTED_VALUE"""),"H4_B7-BG-28.png")</f>
        <v>H4_B7-BG-28.png</v>
      </c>
      <c r="L898" s="13" t="str">
        <f ca="1">IFERROR(__xludf.DUMMYFUNCTION("""COMPUTED_VALUE"""),"B7_28.mp3")</f>
        <v>B7_28.mp3</v>
      </c>
      <c r="M898" s="13" t="str">
        <f ca="1">IFERROR(__xludf.DUMMYFUNCTION("""COMPUTED_VALUE"""),"B7_VD_28.mp3")</f>
        <v>B7_VD_28.mp3</v>
      </c>
    </row>
    <row r="899" spans="1:13">
      <c r="A899" s="13">
        <f ca="1">IFERROR(__xludf.DUMMYFUNCTION("""COMPUTED_VALUE"""),29)</f>
        <v>29</v>
      </c>
      <c r="B899" s="13"/>
      <c r="C899" s="13" t="str">
        <f ca="1">IFERROR(__xludf.DUMMYFUNCTION("""COMPUTED_VALUE"""),"咳嗽")</f>
        <v>咳嗽</v>
      </c>
      <c r="D899" s="13" t="str">
        <f ca="1">IFERROR(__xludf.DUMMYFUNCTION("""COMPUTED_VALUE"""),"&lt;ruby&gt;咳嗽&lt;rt&gt;késou&lt;/rt&gt;&lt;/ruby&gt;")</f>
        <v>&lt;ruby&gt;咳嗽&lt;rt&gt;késou&lt;/rt&gt;&lt;/ruby&gt;</v>
      </c>
      <c r="E899" s="13" t="str">
        <f ca="1">IFERROR(__xludf.DUMMYFUNCTION("""COMPUTED_VALUE"""),"késou")</f>
        <v>késou</v>
      </c>
      <c r="F899" s="13" t="str">
        <f ca="1">IFERROR(__xludf.DUMMYFUNCTION("""COMPUTED_VALUE"""),"Động từ")</f>
        <v>Động từ</v>
      </c>
      <c r="G899" s="13" t="str">
        <f ca="1">IFERROR(__xludf.DUMMYFUNCTION("""COMPUTED_VALUE"""),"ho")</f>
        <v>ho</v>
      </c>
      <c r="H899" s="13" t="str">
        <f ca="1">IFERROR(__xludf.DUMMYFUNCTION("""COMPUTED_VALUE"""),"天气冷了，他咳嗽得很厉害。")</f>
        <v>天气冷了，他咳嗽得很厉害。</v>
      </c>
      <c r="I899" s="13"/>
      <c r="J899" s="13" t="str">
        <f ca="1">IFERROR(__xludf.DUMMYFUNCTION("""COMPUTED_VALUE"""),"Trời lạnh nên anh ấy ho rất nhiều.")</f>
        <v>Trời lạnh nên anh ấy ho rất nhiều.</v>
      </c>
      <c r="K899" s="13" t="str">
        <f ca="1">IFERROR(__xludf.DUMMYFUNCTION("""COMPUTED_VALUE"""),"H4_B7-BG-29.png")</f>
        <v>H4_B7-BG-29.png</v>
      </c>
      <c r="L899" s="13" t="str">
        <f ca="1">IFERROR(__xludf.DUMMYFUNCTION("""COMPUTED_VALUE"""),"B7_29.mp3")</f>
        <v>B7_29.mp3</v>
      </c>
      <c r="M899" s="13" t="str">
        <f ca="1">IFERROR(__xludf.DUMMYFUNCTION("""COMPUTED_VALUE"""),"B7_VD_29.mp3")</f>
        <v>B7_VD_29.mp3</v>
      </c>
    </row>
    <row r="900" spans="1:13">
      <c r="A900" s="13">
        <f ca="1">IFERROR(__xludf.DUMMYFUNCTION("""COMPUTED_VALUE"""),30)</f>
        <v>30</v>
      </c>
      <c r="B900" s="13"/>
      <c r="C900" s="13" t="str">
        <f ca="1">IFERROR(__xludf.DUMMYFUNCTION("""COMPUTED_VALUE"""),"空气")</f>
        <v>空气</v>
      </c>
      <c r="D900" s="13" t="str">
        <f ca="1">IFERROR(__xludf.DUMMYFUNCTION("""COMPUTED_VALUE"""),"&lt;ruby&gt;空气&lt;rt&gt;kōngqi&lt;/rt&gt;&lt;/ruby&gt;")</f>
        <v>&lt;ruby&gt;空气&lt;rt&gt;kōngqi&lt;/rt&gt;&lt;/ruby&gt;</v>
      </c>
      <c r="E900" s="13" t="str">
        <f ca="1">IFERROR(__xludf.DUMMYFUNCTION("""COMPUTED_VALUE"""),"kōngqi")</f>
        <v>kōngqi</v>
      </c>
      <c r="F900" s="13" t="str">
        <f ca="1">IFERROR(__xludf.DUMMYFUNCTION("""COMPUTED_VALUE"""),"Danh từ")</f>
        <v>Danh từ</v>
      </c>
      <c r="G900" s="13" t="str">
        <f ca="1">IFERROR(__xludf.DUMMYFUNCTION("""COMPUTED_VALUE"""),"không khí")</f>
        <v>không khí</v>
      </c>
      <c r="H900" s="13" t="str">
        <f ca="1">IFERROR(__xludf.DUMMYFUNCTION("""COMPUTED_VALUE"""),"由于工厂排放的废气，空气污染越来越严重。")</f>
        <v>由于工厂排放的废气，空气污染越来越严重。</v>
      </c>
      <c r="I900" s="13"/>
      <c r="J900" s="13" t="str">
        <f ca="1">IFERROR(__xludf.DUMMYFUNCTION("""COMPUTED_VALUE"""),"Không khí ngày càng bị ô nhiễm trầm trọng do khí thải của nhà máy thải ra.")</f>
        <v>Không khí ngày càng bị ô nhiễm trầm trọng do khí thải của nhà máy thải ra.</v>
      </c>
      <c r="K900" s="13" t="str">
        <f ca="1">IFERROR(__xludf.DUMMYFUNCTION("""COMPUTED_VALUE"""),"H4_B7-BG-30.png")</f>
        <v>H4_B7-BG-30.png</v>
      </c>
      <c r="L900" s="13" t="str">
        <f ca="1">IFERROR(__xludf.DUMMYFUNCTION("""COMPUTED_VALUE"""),"B7_30.mp3")</f>
        <v>B7_30.mp3</v>
      </c>
      <c r="M900" s="13" t="str">
        <f ca="1">IFERROR(__xludf.DUMMYFUNCTION("""COMPUTED_VALUE"""),"B7_VD_30.mp3")</f>
        <v>B7_VD_30.mp3</v>
      </c>
    </row>
    <row r="901" spans="1:13">
      <c r="A901" s="13">
        <f ca="1">IFERROR(__xludf.DUMMYFUNCTION("""COMPUTED_VALUE"""),31)</f>
        <v>31</v>
      </c>
      <c r="B901" s="13"/>
      <c r="C901" s="13" t="str">
        <f ca="1">IFERROR(__xludf.DUMMYFUNCTION("""COMPUTED_VALUE"""),"来不及")</f>
        <v>来不及</v>
      </c>
      <c r="D901" s="13" t="str">
        <f ca="1">IFERROR(__xludf.DUMMYFUNCTION("""COMPUTED_VALUE"""),"&lt;ruby&gt;来不及&lt;rt&gt;Lái bù jí&lt;/rt&gt;&lt;/ruby&gt;")</f>
        <v>&lt;ruby&gt;来不及&lt;rt&gt;Lái bù jí&lt;/rt&gt;&lt;/ruby&gt;</v>
      </c>
      <c r="E901" s="13" t="str">
        <f ca="1">IFERROR(__xludf.DUMMYFUNCTION("""COMPUTED_VALUE"""),"Lái bù jí")</f>
        <v>Lái bù jí</v>
      </c>
      <c r="F901" s="13" t="str">
        <f ca="1">IFERROR(__xludf.DUMMYFUNCTION("""COMPUTED_VALUE"""),"Động từ")</f>
        <v>Động từ</v>
      </c>
      <c r="G901" s="13" t="str">
        <f ca="1">IFERROR(__xludf.DUMMYFUNCTION("""COMPUTED_VALUE"""),"không kịp")</f>
        <v>không kịp</v>
      </c>
      <c r="H901" s="13" t="str">
        <f ca="1">IFERROR(__xludf.DUMMYFUNCTION("""COMPUTED_VALUE"""),"那个男孩跑得很快，但是还是来不及追上骑自行车的朋友。")</f>
        <v>那个男孩跑得很快，但是还是来不及追上骑自行车的朋友。</v>
      </c>
      <c r="I901" s="13"/>
      <c r="J901" s="13" t="str">
        <f ca="1">IFERROR(__xludf.DUMMYFUNCTION("""COMPUTED_VALUE"""),"Cậu bé đó chạy rất nhanh, nhưng vẫn không kịp đuổi theo người bạn đang đi xe đạp.")</f>
        <v>Cậu bé đó chạy rất nhanh, nhưng vẫn không kịp đuổi theo người bạn đang đi xe đạp.</v>
      </c>
      <c r="K901" s="13" t="str">
        <f ca="1">IFERROR(__xludf.DUMMYFUNCTION("""COMPUTED_VALUE"""),"H4_B7-BG-31.png")</f>
        <v>H4_B7-BG-31.png</v>
      </c>
      <c r="L901" s="13" t="str">
        <f ca="1">IFERROR(__xludf.DUMMYFUNCTION("""COMPUTED_VALUE"""),"B7_31.mp3")</f>
        <v>B7_31.mp3</v>
      </c>
      <c r="M901" s="13" t="str">
        <f ca="1">IFERROR(__xludf.DUMMYFUNCTION("""COMPUTED_VALUE"""),"B7_VD_31.mp3")</f>
        <v>B7_VD_31.mp3</v>
      </c>
    </row>
    <row r="902" spans="1:13">
      <c r="A902" s="13">
        <f ca="1">IFERROR(__xludf.DUMMYFUNCTION("""COMPUTED_VALUE"""),32)</f>
        <v>32</v>
      </c>
      <c r="B902" s="13"/>
      <c r="C902" s="13" t="str">
        <f ca="1">IFERROR(__xludf.DUMMYFUNCTION("""COMPUTED_VALUE"""),"气候")</f>
        <v>气候</v>
      </c>
      <c r="D902" s="13" t="str">
        <f ca="1">IFERROR(__xludf.DUMMYFUNCTION("""COMPUTED_VALUE"""),"&lt;ruby&gt;气候&lt;rt&gt;Qìhòu&lt;/rt&gt;&lt;/ruby&gt;")</f>
        <v>&lt;ruby&gt;气候&lt;rt&gt;Qìhòu&lt;/rt&gt;&lt;/ruby&gt;</v>
      </c>
      <c r="E902" s="13" t="str">
        <f ca="1">IFERROR(__xludf.DUMMYFUNCTION("""COMPUTED_VALUE"""),"Qìhòu")</f>
        <v>Qìhòu</v>
      </c>
      <c r="F902" s="13" t="str">
        <f ca="1">IFERROR(__xludf.DUMMYFUNCTION("""COMPUTED_VALUE"""),"Danh từ")</f>
        <v>Danh từ</v>
      </c>
      <c r="G902" s="13" t="str">
        <f ca="1">IFERROR(__xludf.DUMMYFUNCTION("""COMPUTED_VALUE"""),"khí hậu")</f>
        <v>khí hậu</v>
      </c>
      <c r="H902" s="13" t="str">
        <f ca="1">IFERROR(__xludf.DUMMYFUNCTION("""COMPUTED_VALUE"""),"今天的气候比昨天更热。")</f>
        <v>今天的气候比昨天更热。</v>
      </c>
      <c r="I902" s="13"/>
      <c r="J902" s="13" t="str">
        <f ca="1">IFERROR(__xludf.DUMMYFUNCTION("""COMPUTED_VALUE"""),"Thời tiết hôm nay nóng hơn hôm qua.")</f>
        <v>Thời tiết hôm nay nóng hơn hôm qua.</v>
      </c>
      <c r="K902" s="13" t="str">
        <f ca="1">IFERROR(__xludf.DUMMYFUNCTION("""COMPUTED_VALUE"""),"H4_B7-BG-32.png")</f>
        <v>H4_B7-BG-32.png</v>
      </c>
      <c r="L902" s="13" t="str">
        <f ca="1">IFERROR(__xludf.DUMMYFUNCTION("""COMPUTED_VALUE"""),"B7_32.mp3")</f>
        <v>B7_32.mp3</v>
      </c>
      <c r="M902" s="13" t="str">
        <f ca="1">IFERROR(__xludf.DUMMYFUNCTION("""COMPUTED_VALUE"""),"B7_VD_32.mp3")</f>
        <v>B7_VD_32.mp3</v>
      </c>
    </row>
    <row r="903" spans="1:13">
      <c r="A903" s="13">
        <f ca="1">IFERROR(__xludf.DUMMYFUNCTION("""COMPUTED_VALUE"""),33)</f>
        <v>33</v>
      </c>
      <c r="B903" s="13"/>
      <c r="C903" s="13" t="str">
        <f ca="1">IFERROR(__xludf.DUMMYFUNCTION("""COMPUTED_VALUE"""),"散步")</f>
        <v>散步</v>
      </c>
      <c r="D903" s="13" t="str">
        <f ca="1">IFERROR(__xludf.DUMMYFUNCTION("""COMPUTED_VALUE"""),"&lt;ruby&gt;散步&lt;rt&gt;sàn bù&lt;/rt&gt;&lt;/ruby&gt;")</f>
        <v>&lt;ruby&gt;散步&lt;rt&gt;sàn bù&lt;/rt&gt;&lt;/ruby&gt;</v>
      </c>
      <c r="E903" s="13" t="str">
        <f ca="1">IFERROR(__xludf.DUMMYFUNCTION("""COMPUTED_VALUE"""),"sàn bù")</f>
        <v>sàn bù</v>
      </c>
      <c r="F903" s="13" t="str">
        <f ca="1">IFERROR(__xludf.DUMMYFUNCTION("""COMPUTED_VALUE"""),"Động từ")</f>
        <v>Động từ</v>
      </c>
      <c r="G903" s="13" t="str">
        <f ca="1">IFERROR(__xludf.DUMMYFUNCTION("""COMPUTED_VALUE"""),"đi dạo")</f>
        <v>đi dạo</v>
      </c>
      <c r="H903" s="13" t="str">
        <f ca="1">IFERROR(__xludf.DUMMYFUNCTION("""COMPUTED_VALUE"""),"他正在公园里散步。")</f>
        <v>他正在公园里散步。</v>
      </c>
      <c r="I903" s="13"/>
      <c r="J903" s="13" t="str">
        <f ca="1">IFERROR(__xludf.DUMMYFUNCTION("""COMPUTED_VALUE"""),"Anh ấy đang đi dạo ở công viên.")</f>
        <v>Anh ấy đang đi dạo ở công viên.</v>
      </c>
      <c r="K903" s="13" t="str">
        <f ca="1">IFERROR(__xludf.DUMMYFUNCTION("""COMPUTED_VALUE"""),"H4_B7-BG-33.png")</f>
        <v>H4_B7-BG-33.png</v>
      </c>
      <c r="L903" s="13" t="str">
        <f ca="1">IFERROR(__xludf.DUMMYFUNCTION("""COMPUTED_VALUE"""),"B7_33.mp3")</f>
        <v>B7_33.mp3</v>
      </c>
      <c r="M903" s="13" t="str">
        <f ca="1">IFERROR(__xludf.DUMMYFUNCTION("""COMPUTED_VALUE"""),"B7_VD_33.mp3")</f>
        <v>B7_VD_33.mp3</v>
      </c>
    </row>
    <row r="904" spans="1:13">
      <c r="A904" s="13">
        <f ca="1">IFERROR(__xludf.DUMMYFUNCTION("""COMPUTED_VALUE"""),34)</f>
        <v>34</v>
      </c>
      <c r="B904" s="13"/>
      <c r="C904" s="13" t="str">
        <f ca="1">IFERROR(__xludf.DUMMYFUNCTION("""COMPUTED_VALUE"""),"数字")</f>
        <v>数字</v>
      </c>
      <c r="D904" s="13" t="str">
        <f ca="1">IFERROR(__xludf.DUMMYFUNCTION("""COMPUTED_VALUE"""),"&lt;ruby&gt;数字&lt;rt&gt;shùzi&lt;/rt&gt;&lt;/ruby&gt;")</f>
        <v>&lt;ruby&gt;数字&lt;rt&gt;shùzi&lt;/rt&gt;&lt;/ruby&gt;</v>
      </c>
      <c r="E904" s="13" t="str">
        <f ca="1">IFERROR(__xludf.DUMMYFUNCTION("""COMPUTED_VALUE"""),"shùzi")</f>
        <v>shùzi</v>
      </c>
      <c r="F904" s="13" t="str">
        <f ca="1">IFERROR(__xludf.DUMMYFUNCTION("""COMPUTED_VALUE"""),"Danh từ")</f>
        <v>Danh từ</v>
      </c>
      <c r="G904" s="13" t="str">
        <f ca="1">IFERROR(__xludf.DUMMYFUNCTION("""COMPUTED_VALUE"""),"con số")</f>
        <v>con số</v>
      </c>
      <c r="H904" s="13" t="str">
        <f ca="1">IFERROR(__xludf.DUMMYFUNCTION("""COMPUTED_VALUE"""),"她正在用数字玩传统游戏。")</f>
        <v>她正在用数字玩传统游戏。</v>
      </c>
      <c r="I904" s="13"/>
      <c r="J904" s="13" t="str">
        <f ca="1">IFERROR(__xludf.DUMMYFUNCTION("""COMPUTED_VALUE"""),"Cô ấy đang chơi trò chơi dân gian với những con số.")</f>
        <v>Cô ấy đang chơi trò chơi dân gian với những con số.</v>
      </c>
      <c r="K904" s="13" t="str">
        <f ca="1">IFERROR(__xludf.DUMMYFUNCTION("""COMPUTED_VALUE"""),"H4_B7-BG-34.png")</f>
        <v>H4_B7-BG-34.png</v>
      </c>
      <c r="L904" s="13" t="str">
        <f ca="1">IFERROR(__xludf.DUMMYFUNCTION("""COMPUTED_VALUE"""),"B7_34.mp3")</f>
        <v>B7_34.mp3</v>
      </c>
      <c r="M904" s="13" t="str">
        <f ca="1">IFERROR(__xludf.DUMMYFUNCTION("""COMPUTED_VALUE"""),"B7_VD_34.mp3")</f>
        <v>B7_VD_34.mp3</v>
      </c>
    </row>
    <row r="905" spans="1:13">
      <c r="A905" s="13">
        <f ca="1">IFERROR(__xludf.DUMMYFUNCTION("""COMPUTED_VALUE"""),35)</f>
        <v>35</v>
      </c>
      <c r="B905" s="13"/>
      <c r="C905" s="13" t="str">
        <f ca="1">IFERROR(__xludf.DUMMYFUNCTION("""COMPUTED_VALUE"""),"加")</f>
        <v>加</v>
      </c>
      <c r="D905" s="13" t="str">
        <f ca="1">IFERROR(__xludf.DUMMYFUNCTION("""COMPUTED_VALUE"""),"&lt;ruby&gt;加&lt;rt&gt;Jiā&lt;/rt&gt;&lt;/ruby&gt;")</f>
        <v>&lt;ruby&gt;加&lt;rt&gt;Jiā&lt;/rt&gt;&lt;/ruby&gt;</v>
      </c>
      <c r="E905" s="13" t="str">
        <f ca="1">IFERROR(__xludf.DUMMYFUNCTION("""COMPUTED_VALUE"""),"Jiā")</f>
        <v>Jiā</v>
      </c>
      <c r="F905" s="13" t="str">
        <f ca="1">IFERROR(__xludf.DUMMYFUNCTION("""COMPUTED_VALUE"""),"Động từ")</f>
        <v>Động từ</v>
      </c>
      <c r="G905" s="13" t="str">
        <f ca="1">IFERROR(__xludf.DUMMYFUNCTION("""COMPUTED_VALUE"""),"tăng, thêm")</f>
        <v>tăng, thêm</v>
      </c>
      <c r="H905" s="13" t="str">
        <f ca="1">IFERROR(__xludf.DUMMYFUNCTION("""COMPUTED_VALUE"""),"请再给我加三个苹果。")</f>
        <v>请再给我加三个苹果。</v>
      </c>
      <c r="I905" s="13"/>
      <c r="J905" s="13" t="str">
        <f ca="1">IFERROR(__xludf.DUMMYFUNCTION("""COMPUTED_VALUE"""),"Lấy thêm cho tôi 3 quả táo đi.")</f>
        <v>Lấy thêm cho tôi 3 quả táo đi.</v>
      </c>
      <c r="K905" s="13" t="str">
        <f ca="1">IFERROR(__xludf.DUMMYFUNCTION("""COMPUTED_VALUE"""),"H4_B7-BG-35.png")</f>
        <v>H4_B7-BG-35.png</v>
      </c>
      <c r="L905" s="13" t="str">
        <f ca="1">IFERROR(__xludf.DUMMYFUNCTION("""COMPUTED_VALUE"""),"B7_35.mp3")</f>
        <v>B7_35.mp3</v>
      </c>
      <c r="M905" s="13" t="str">
        <f ca="1">IFERROR(__xludf.DUMMYFUNCTION("""COMPUTED_VALUE"""),"B7_VD_35.mp3")</f>
        <v>B7_VD_35.mp3</v>
      </c>
    </row>
    <row r="906" spans="1:13">
      <c r="A906" s="13">
        <f ca="1">IFERROR(__xludf.DUMMYFUNCTION("""COMPUTED_VALUE"""),36)</f>
        <v>36</v>
      </c>
      <c r="B906" s="13"/>
      <c r="C906" s="13" t="str">
        <f ca="1">IFERROR(__xludf.DUMMYFUNCTION("""COMPUTED_VALUE"""),"保")</f>
        <v>保</v>
      </c>
      <c r="D906" s="13" t="str">
        <f ca="1">IFERROR(__xludf.DUMMYFUNCTION("""COMPUTED_VALUE"""),"&lt;ruby&gt;保&lt;rt&gt;băo&lt;/rt&gt;&lt;/ruby&gt;")</f>
        <v>&lt;ruby&gt;保&lt;rt&gt;băo&lt;/rt&gt;&lt;/ruby&gt;</v>
      </c>
      <c r="E906" s="13" t="str">
        <f ca="1">IFERROR(__xludf.DUMMYFUNCTION("""COMPUTED_VALUE"""),"băo")</f>
        <v>băo</v>
      </c>
      <c r="F906" s="13" t="str">
        <f ca="1">IFERROR(__xludf.DUMMYFUNCTION("""COMPUTED_VALUE"""),"Động từ")</f>
        <v>Động từ</v>
      </c>
      <c r="G906" s="13" t="str">
        <f ca="1">IFERROR(__xludf.DUMMYFUNCTION("""COMPUTED_VALUE"""),"bảo đảm, giữ")</f>
        <v>bảo đảm, giữ</v>
      </c>
      <c r="H906" s="13" t="str">
        <f ca="1">IFERROR(__xludf.DUMMYFUNCTION("""COMPUTED_VALUE"""),"我们必须保护环境。")</f>
        <v>我们必须保护环境。</v>
      </c>
      <c r="I906" s="13"/>
      <c r="J906" s="13" t="str">
        <f ca="1">IFERROR(__xludf.DUMMYFUNCTION("""COMPUTED_VALUE"""),"Chúng ta phải bảo vệ môi trường.")</f>
        <v>Chúng ta phải bảo vệ môi trường.</v>
      </c>
      <c r="K906" s="13" t="str">
        <f ca="1">IFERROR(__xludf.DUMMYFUNCTION("""COMPUTED_VALUE"""),"H4_B7-BG-36.png")</f>
        <v>H4_B7-BG-36.png</v>
      </c>
      <c r="L906" s="13" t="str">
        <f ca="1">IFERROR(__xludf.DUMMYFUNCTION("""COMPUTED_VALUE"""),"B7_36.mp3")</f>
        <v>B7_36.mp3</v>
      </c>
      <c r="M906" s="13" t="str">
        <f ca="1">IFERROR(__xludf.DUMMYFUNCTION("""COMPUTED_VALUE"""),"B7_VD_36.mp3")</f>
        <v>B7_VD_36.mp3</v>
      </c>
    </row>
    <row r="907" spans="1:13">
      <c r="A907" s="13">
        <f ca="1">IFERROR(__xludf.DUMMYFUNCTION("""COMPUTED_VALUE"""),37)</f>
        <v>37</v>
      </c>
      <c r="B907" s="13"/>
      <c r="C907" s="13" t="str">
        <f ca="1">IFERROR(__xludf.DUMMYFUNCTION("""COMPUTED_VALUE"""),"处")</f>
        <v>处</v>
      </c>
      <c r="D907" s="13" t="str">
        <f ca="1">IFERROR(__xludf.DUMMYFUNCTION("""COMPUTED_VALUE"""),"&lt;ruby&gt;处&lt;rt&gt;chù&lt;/rt&gt;&lt;/ruby&gt;")</f>
        <v>&lt;ruby&gt;处&lt;rt&gt;chù&lt;/rt&gt;&lt;/ruby&gt;</v>
      </c>
      <c r="E907" s="13" t="str">
        <f ca="1">IFERROR(__xludf.DUMMYFUNCTION("""COMPUTED_VALUE"""),"chù")</f>
        <v>chù</v>
      </c>
      <c r="F907" s="13" t="str">
        <f ca="1">IFERROR(__xludf.DUMMYFUNCTION("""COMPUTED_VALUE"""),"Danh từ")</f>
        <v>Danh từ</v>
      </c>
      <c r="G907" s="13" t="str">
        <f ca="1">IFERROR(__xludf.DUMMYFUNCTION("""COMPUTED_VALUE"""),"nơi, chỗ")</f>
        <v>nơi, chỗ</v>
      </c>
      <c r="H907" s="13" t="str">
        <f ca="1">IFERROR(__xludf.DUMMYFUNCTION("""COMPUTED_VALUE"""),"有两处不开门")</f>
        <v>有两处不开门</v>
      </c>
      <c r="I907" s="13"/>
      <c r="J907" s="13" t="str">
        <f ca="1">IFERROR(__xludf.DUMMYFUNCTION("""COMPUTED_VALUE"""),"Có 2 nơi không mở cửa")</f>
        <v>Có 2 nơi không mở cửa</v>
      </c>
      <c r="K907" s="13" t="str">
        <f ca="1">IFERROR(__xludf.DUMMYFUNCTION("""COMPUTED_VALUE"""),"H4_B7-BG-37.png")</f>
        <v>H4_B7-BG-37.png</v>
      </c>
      <c r="L907" s="13" t="str">
        <f ca="1">IFERROR(__xludf.DUMMYFUNCTION("""COMPUTED_VALUE"""),"B7_37.mp3")</f>
        <v>B7_37.mp3</v>
      </c>
      <c r="M907" s="13" t="str">
        <f ca="1">IFERROR(__xludf.DUMMYFUNCTION("""COMPUTED_VALUE"""),"B7_VD_37.mp3")</f>
        <v>B7_VD_37.mp3</v>
      </c>
    </row>
    <row r="908" spans="1:13">
      <c r="A908" s="13">
        <f ca="1">IFERROR(__xludf.DUMMYFUNCTION("""COMPUTED_VALUE"""),1)</f>
        <v>1</v>
      </c>
      <c r="B908" s="13"/>
      <c r="C908" s="13" t="str">
        <f ca="1">IFERROR(__xludf.DUMMYFUNCTION("""COMPUTED_VALUE"""),"成为")</f>
        <v>成为</v>
      </c>
      <c r="D908" s="13" t="str">
        <f ca="1">IFERROR(__xludf.DUMMYFUNCTION("""COMPUTED_VALUE"""),"&lt;ruby&gt;成为&lt;rt&gt;chéngwéi&lt;/rt&gt;&lt;/ruby&gt;")</f>
        <v>&lt;ruby&gt;成为&lt;rt&gt;chéngwéi&lt;/rt&gt;&lt;/ruby&gt;</v>
      </c>
      <c r="E908" s="13" t="str">
        <f ca="1">IFERROR(__xludf.DUMMYFUNCTION("""COMPUTED_VALUE"""),"chéngwéi")</f>
        <v>chéngwéi</v>
      </c>
      <c r="F908" s="13" t="str">
        <f ca="1">IFERROR(__xludf.DUMMYFUNCTION("""COMPUTED_VALUE"""),"Động từ")</f>
        <v>Động từ</v>
      </c>
      <c r="G908" s="13" t="str">
        <f ca="1">IFERROR(__xludf.DUMMYFUNCTION("""COMPUTED_VALUE"""),"trở thành")</f>
        <v>trở thành</v>
      </c>
      <c r="H908" s="13" t="str">
        <f ca="1">IFERROR(__xludf.DUMMYFUNCTION("""COMPUTED_VALUE"""),"我想成为一名植物学家。")</f>
        <v>我想成为一名植物学家。</v>
      </c>
      <c r="I908" s="13"/>
      <c r="J908" s="13" t="str">
        <f ca="1">IFERROR(__xludf.DUMMYFUNCTION("""COMPUTED_VALUE"""),"Tôi muốn trở thành nhà thực vật học.")</f>
        <v>Tôi muốn trở thành nhà thực vật học.</v>
      </c>
      <c r="K908" s="13" t="str">
        <f ca="1">IFERROR(__xludf.DUMMYFUNCTION("""COMPUTED_VALUE"""),"H4_B8_BG-01.png")</f>
        <v>H4_B8_BG-01.png</v>
      </c>
      <c r="L908" s="13" t="str">
        <f ca="1">IFERROR(__xludf.DUMMYFUNCTION("""COMPUTED_VALUE"""),"B8_1.mp3")</f>
        <v>B8_1.mp3</v>
      </c>
      <c r="M908" s="13" t="str">
        <f ca="1">IFERROR(__xludf.DUMMYFUNCTION("""COMPUTED_VALUE"""),"B8_VD_1.mp3")</f>
        <v>B8_VD_1.mp3</v>
      </c>
    </row>
    <row r="909" spans="1:13">
      <c r="A909" s="13">
        <f ca="1">IFERROR(__xludf.DUMMYFUNCTION("""COMPUTED_VALUE"""),2)</f>
        <v>2</v>
      </c>
      <c r="B909" s="13"/>
      <c r="C909" s="13" t="str">
        <f ca="1">IFERROR(__xludf.DUMMYFUNCTION("""COMPUTED_VALUE"""),"大使馆")</f>
        <v>大使馆</v>
      </c>
      <c r="D909" s="13" t="str">
        <f ca="1">IFERROR(__xludf.DUMMYFUNCTION("""COMPUTED_VALUE"""),"&lt;ruby&gt;大使馆&lt;rt&gt;dàshǐguán&lt;/rt&gt;&lt;/ruby&gt;")</f>
        <v>&lt;ruby&gt;大使馆&lt;rt&gt;dàshǐguán&lt;/rt&gt;&lt;/ruby&gt;</v>
      </c>
      <c r="E909" s="13" t="str">
        <f ca="1">IFERROR(__xludf.DUMMYFUNCTION("""COMPUTED_VALUE"""),"dàshǐguán")</f>
        <v>dàshǐguán</v>
      </c>
      <c r="F909" s="13" t="str">
        <f ca="1">IFERROR(__xludf.DUMMYFUNCTION("""COMPUTED_VALUE"""),"Danh từ")</f>
        <v>Danh từ</v>
      </c>
      <c r="G909" s="13" t="str">
        <f ca="1">IFERROR(__xludf.DUMMYFUNCTION("""COMPUTED_VALUE"""),"đại sứ quán")</f>
        <v>đại sứ quán</v>
      </c>
      <c r="H909" s="13" t="str">
        <f ca="1">IFERROR(__xludf.DUMMYFUNCTION("""COMPUTED_VALUE"""),"你知道去大使馆的路吗？")</f>
        <v>你知道去大使馆的路吗？</v>
      </c>
      <c r="I909" s="13"/>
      <c r="J909" s="13" t="str">
        <f ca="1">IFERROR(__xludf.DUMMYFUNCTION("""COMPUTED_VALUE"""),"Bạn biết đường đến đại sứ quán không?")</f>
        <v>Bạn biết đường đến đại sứ quán không?</v>
      </c>
      <c r="K909" s="13" t="str">
        <f ca="1">IFERROR(__xludf.DUMMYFUNCTION("""COMPUTED_VALUE"""),"H4_B8_BG-02.png")</f>
        <v>H4_B8_BG-02.png</v>
      </c>
      <c r="L909" s="13" t="str">
        <f ca="1">IFERROR(__xludf.DUMMYFUNCTION("""COMPUTED_VALUE"""),"B8_2.mp3")</f>
        <v>B8_2.mp3</v>
      </c>
      <c r="M909" s="13" t="str">
        <f ca="1">IFERROR(__xludf.DUMMYFUNCTION("""COMPUTED_VALUE"""),"B8_VD_2.mp3")</f>
        <v>B8_VD_2.mp3</v>
      </c>
    </row>
    <row r="910" spans="1:13">
      <c r="A910" s="13">
        <f ca="1">IFERROR(__xludf.DUMMYFUNCTION("""COMPUTED_VALUE"""),3)</f>
        <v>3</v>
      </c>
      <c r="B910" s="13"/>
      <c r="C910" s="13" t="str">
        <f ca="1">IFERROR(__xludf.DUMMYFUNCTION("""COMPUTED_VALUE"""),"到处")</f>
        <v>到处</v>
      </c>
      <c r="D910" s="13" t="str">
        <f ca="1">IFERROR(__xludf.DUMMYFUNCTION("""COMPUTED_VALUE"""),"&lt;ruby&gt;到处&lt;rt&gt;Dàochù&lt;/rt&gt;&lt;/ruby&gt;")</f>
        <v>&lt;ruby&gt;到处&lt;rt&gt;Dàochù&lt;/rt&gt;&lt;/ruby&gt;</v>
      </c>
      <c r="E910" s="13" t="str">
        <f ca="1">IFERROR(__xludf.DUMMYFUNCTION("""COMPUTED_VALUE"""),"Dàochù")</f>
        <v>Dàochù</v>
      </c>
      <c r="F910" s="13" t="str">
        <f ca="1">IFERROR(__xludf.DUMMYFUNCTION("""COMPUTED_VALUE"""),"Phó từ")</f>
        <v>Phó từ</v>
      </c>
      <c r="G910" s="13" t="str">
        <f ca="1">IFERROR(__xludf.DUMMYFUNCTION("""COMPUTED_VALUE"""),"khắp nơi, đâu đâu")</f>
        <v>khắp nơi, đâu đâu</v>
      </c>
      <c r="H910" s="13" t="str">
        <f ca="1">IFERROR(__xludf.DUMMYFUNCTION("""COMPUTED_VALUE"""),"到处都是车。")</f>
        <v>到处都是车。</v>
      </c>
      <c r="I910" s="13"/>
      <c r="J910" s="13" t="str">
        <f ca="1">IFERROR(__xludf.DUMMYFUNCTION("""COMPUTED_VALUE"""),"Khắp nơi đều là xe.")</f>
        <v>Khắp nơi đều là xe.</v>
      </c>
      <c r="K910" s="13" t="str">
        <f ca="1">IFERROR(__xludf.DUMMYFUNCTION("""COMPUTED_VALUE"""),"H4_B8_BG-03.png")</f>
        <v>H4_B8_BG-03.png</v>
      </c>
      <c r="L910" s="13" t="str">
        <f ca="1">IFERROR(__xludf.DUMMYFUNCTION("""COMPUTED_VALUE"""),"B8_3.mp3")</f>
        <v>B8_3.mp3</v>
      </c>
      <c r="M910" s="13" t="str">
        <f ca="1">IFERROR(__xludf.DUMMYFUNCTION("""COMPUTED_VALUE"""),"B8_VD_3.mp3")</f>
        <v>B8_VD_3.mp3</v>
      </c>
    </row>
    <row r="911" spans="1:13">
      <c r="A911" s="13">
        <f ca="1">IFERROR(__xludf.DUMMYFUNCTION("""COMPUTED_VALUE"""),4)</f>
        <v>4</v>
      </c>
      <c r="B911" s="13"/>
      <c r="C911" s="13" t="str">
        <f ca="1">IFERROR(__xludf.DUMMYFUNCTION("""COMPUTED_VALUE"""),"堵车")</f>
        <v>堵车</v>
      </c>
      <c r="D911" s="13" t="str">
        <f ca="1">IFERROR(__xludf.DUMMYFUNCTION("""COMPUTED_VALUE"""),"&lt;ruby&gt;堵车&lt;rt&gt;dŭ chē&lt;/rt&gt;&lt;/ruby&gt;")</f>
        <v>&lt;ruby&gt;堵车&lt;rt&gt;dŭ chē&lt;/rt&gt;&lt;/ruby&gt;</v>
      </c>
      <c r="E911" s="13" t="str">
        <f ca="1">IFERROR(__xludf.DUMMYFUNCTION("""COMPUTED_VALUE"""),"dŭ chē")</f>
        <v>dŭ chē</v>
      </c>
      <c r="F911" s="13" t="str">
        <f ca="1">IFERROR(__xludf.DUMMYFUNCTION("""COMPUTED_VALUE"""),"Động từ")</f>
        <v>Động từ</v>
      </c>
      <c r="G911" s="13" t="str">
        <f ca="1">IFERROR(__xludf.DUMMYFUNCTION("""COMPUTED_VALUE"""),"kẹt xe")</f>
        <v>kẹt xe</v>
      </c>
      <c r="H911" s="13" t="str">
        <f ca="1">IFERROR(__xludf.DUMMYFUNCTION("""COMPUTED_VALUE"""),"今天堵车太厉害，我快迟到了。")</f>
        <v>今天堵车太厉害，我快迟到了。</v>
      </c>
      <c r="I911" s="13"/>
      <c r="J911" s="13" t="str">
        <f ca="1">IFERROR(__xludf.DUMMYFUNCTION("""COMPUTED_VALUE"""),"Hôm nay tắc đường quá, tôi sắp đến muộn rồi.")</f>
        <v>Hôm nay tắc đường quá, tôi sắp đến muộn rồi.</v>
      </c>
      <c r="K911" s="13" t="str">
        <f ca="1">IFERROR(__xludf.DUMMYFUNCTION("""COMPUTED_VALUE"""),"H4_B8_BG-04.png")</f>
        <v>H4_B8_BG-04.png</v>
      </c>
      <c r="L911" s="13" t="str">
        <f ca="1">IFERROR(__xludf.DUMMYFUNCTION("""COMPUTED_VALUE"""),"B8_4.mp3")</f>
        <v>B8_4.mp3</v>
      </c>
      <c r="M911" s="13" t="str">
        <f ca="1">IFERROR(__xludf.DUMMYFUNCTION("""COMPUTED_VALUE"""),"B8_VD_4.mp3")</f>
        <v>B8_VD_4.mp3</v>
      </c>
    </row>
    <row r="912" spans="1:13">
      <c r="A912" s="13">
        <f ca="1">IFERROR(__xludf.DUMMYFUNCTION("""COMPUTED_VALUE"""),5)</f>
        <v>5</v>
      </c>
      <c r="B912" s="13"/>
      <c r="C912" s="13" t="str">
        <f ca="1">IFERROR(__xludf.DUMMYFUNCTION("""COMPUTED_VALUE"""),"堵")</f>
        <v>堵</v>
      </c>
      <c r="D912" s="13" t="str">
        <f ca="1">IFERROR(__xludf.DUMMYFUNCTION("""COMPUTED_VALUE"""),"&lt;ruby&gt;堵&lt;rt&gt;dǔ&lt;/rt&gt;&lt;/ruby&gt;")</f>
        <v>&lt;ruby&gt;堵&lt;rt&gt;dǔ&lt;/rt&gt;&lt;/ruby&gt;</v>
      </c>
      <c r="E912" s="13" t="str">
        <f ca="1">IFERROR(__xludf.DUMMYFUNCTION("""COMPUTED_VALUE"""),"dǔ")</f>
        <v>dǔ</v>
      </c>
      <c r="F912" s="13" t="str">
        <f ca="1">IFERROR(__xludf.DUMMYFUNCTION("""COMPUTED_VALUE"""),"Động từ")</f>
        <v>Động từ</v>
      </c>
      <c r="G912" s="13" t="str">
        <f ca="1">IFERROR(__xludf.DUMMYFUNCTION("""COMPUTED_VALUE"""),"buồn, tắc nghẽn")</f>
        <v>buồn, tắc nghẽn</v>
      </c>
      <c r="H912" s="13" t="str">
        <f ca="1">IFERROR(__xludf.DUMMYFUNCTION("""COMPUTED_VALUE"""),"这根管子堵了。")</f>
        <v>这根管子堵了。</v>
      </c>
      <c r="I912" s="13"/>
      <c r="J912" s="13" t="str">
        <f ca="1">IFERROR(__xludf.DUMMYFUNCTION("""COMPUTED_VALUE"""),"Cái ống này bị tắc rồi.")</f>
        <v>Cái ống này bị tắc rồi.</v>
      </c>
      <c r="K912" s="13" t="str">
        <f ca="1">IFERROR(__xludf.DUMMYFUNCTION("""COMPUTED_VALUE"""),"H4_B8_BG-05.png")</f>
        <v>H4_B8_BG-05.png</v>
      </c>
      <c r="L912" s="13" t="str">
        <f ca="1">IFERROR(__xludf.DUMMYFUNCTION("""COMPUTED_VALUE"""),"B8_5.mp3")</f>
        <v>B8_5.mp3</v>
      </c>
      <c r="M912" s="13" t="str">
        <f ca="1">IFERROR(__xludf.DUMMYFUNCTION("""COMPUTED_VALUE"""),"B8_VD_5.mp3")</f>
        <v>B8_VD_5.mp3</v>
      </c>
    </row>
    <row r="913" spans="1:13">
      <c r="A913" s="13">
        <f ca="1">IFERROR(__xludf.DUMMYFUNCTION("""COMPUTED_VALUE"""),6)</f>
        <v>6</v>
      </c>
      <c r="B913" s="13"/>
      <c r="C913" s="13" t="str">
        <f ca="1">IFERROR(__xludf.DUMMYFUNCTION("""COMPUTED_VALUE"""),"师傅")</f>
        <v>师傅</v>
      </c>
      <c r="D913" s="13" t="str">
        <f ca="1">IFERROR(__xludf.DUMMYFUNCTION("""COMPUTED_VALUE"""),"&lt;ruby&gt;师傅&lt;rt&gt;Shīfù&lt;/rt&gt;&lt;/ruby&gt;")</f>
        <v>&lt;ruby&gt;师傅&lt;rt&gt;Shīfù&lt;/rt&gt;&lt;/ruby&gt;</v>
      </c>
      <c r="E913" s="13" t="str">
        <f ca="1">IFERROR(__xludf.DUMMYFUNCTION("""COMPUTED_VALUE"""),"Shīfù")</f>
        <v>Shīfù</v>
      </c>
      <c r="F913" s="13" t="str">
        <f ca="1">IFERROR(__xludf.DUMMYFUNCTION("""COMPUTED_VALUE"""),"Danh từ")</f>
        <v>Danh từ</v>
      </c>
      <c r="G913" s="13" t="str">
        <f ca="1">IFERROR(__xludf.DUMMYFUNCTION("""COMPUTED_VALUE"""),"sư phụ (cách gọi kính trọng dành cho những người có tay nghề)")</f>
        <v>sư phụ (cách gọi kính trọng dành cho những người có tay nghề)</v>
      </c>
      <c r="H913" s="13" t="str">
        <f ca="1">IFERROR(__xludf.DUMMYFUNCTION("""COMPUTED_VALUE"""),"师傅，您的厨艺真是太棒了！")</f>
        <v>师傅，您的厨艺真是太棒了！</v>
      </c>
      <c r="I913" s="13"/>
      <c r="J913" s="13" t="str">
        <f ca="1">IFERROR(__xludf.DUMMYFUNCTION("""COMPUTED_VALUE"""),"Sư phụ, tay nghề nấu ăn của ngài thật tuyệt vời!")</f>
        <v>Sư phụ, tay nghề nấu ăn của ngài thật tuyệt vời!</v>
      </c>
      <c r="K913" s="13" t="str">
        <f ca="1">IFERROR(__xludf.DUMMYFUNCTION("""COMPUTED_VALUE"""),"H4_B8_BG-06.png")</f>
        <v>H4_B8_BG-06.png</v>
      </c>
      <c r="L913" s="13" t="str">
        <f ca="1">IFERROR(__xludf.DUMMYFUNCTION("""COMPUTED_VALUE"""),"B8_6.mp3")</f>
        <v>B8_6.mp3</v>
      </c>
      <c r="M913" s="13" t="str">
        <f ca="1">IFERROR(__xludf.DUMMYFUNCTION("""COMPUTED_VALUE"""),"B8_VD_6.mp3")</f>
        <v>B8_VD_6.mp3</v>
      </c>
    </row>
    <row r="914" spans="1:13">
      <c r="A914" s="13">
        <f ca="1">IFERROR(__xludf.DUMMYFUNCTION("""COMPUTED_VALUE"""),7)</f>
        <v>7</v>
      </c>
      <c r="B914" s="13"/>
      <c r="C914" s="13" t="str">
        <f ca="1">IFERROR(__xludf.DUMMYFUNCTION("""COMPUTED_VALUE"""),"发生")</f>
        <v>发生</v>
      </c>
      <c r="D914" s="13" t="str">
        <f ca="1">IFERROR(__xludf.DUMMYFUNCTION("""COMPUTED_VALUE"""),"&lt;ruby&gt;发生&lt;rt&gt;Fāshēng&lt;/rt&gt;&lt;/ruby&gt;")</f>
        <v>&lt;ruby&gt;发生&lt;rt&gt;Fāshēng&lt;/rt&gt;&lt;/ruby&gt;</v>
      </c>
      <c r="E914" s="13" t="str">
        <f ca="1">IFERROR(__xludf.DUMMYFUNCTION("""COMPUTED_VALUE"""),"Fāshēng")</f>
        <v>Fāshēng</v>
      </c>
      <c r="F914" s="13" t="str">
        <f ca="1">IFERROR(__xludf.DUMMYFUNCTION("""COMPUTED_VALUE"""),"Động từ")</f>
        <v>Động từ</v>
      </c>
      <c r="G914" s="13" t="str">
        <f ca="1">IFERROR(__xludf.DUMMYFUNCTION("""COMPUTED_VALUE"""),"xảy ra")</f>
        <v>xảy ra</v>
      </c>
      <c r="H914" s="13" t="str">
        <f ca="1">IFERROR(__xludf.DUMMYFUNCTION("""COMPUTED_VALUE"""),"发生了什么事情，让天气越来越热？")</f>
        <v>发生了什么事情，让天气越来越热？</v>
      </c>
      <c r="I914" s="13"/>
      <c r="J914" s="13" t="str">
        <f ca="1">IFERROR(__xludf.DUMMYFUNCTION("""COMPUTED_VALUE"""),"Xảy ra chuyện gì mà thời tiết ngày càng nóng lên vậy?")</f>
        <v>Xảy ra chuyện gì mà thời tiết ngày càng nóng lên vậy?</v>
      </c>
      <c r="K914" s="13" t="str">
        <f ca="1">IFERROR(__xludf.DUMMYFUNCTION("""COMPUTED_VALUE"""),"H4_B8_BG-07.png")</f>
        <v>H4_B8_BG-07.png</v>
      </c>
      <c r="L914" s="13" t="str">
        <f ca="1">IFERROR(__xludf.DUMMYFUNCTION("""COMPUTED_VALUE"""),"B8_7.mp3")</f>
        <v>B8_7.mp3</v>
      </c>
      <c r="M914" s="13" t="str">
        <f ca="1">IFERROR(__xludf.DUMMYFUNCTION("""COMPUTED_VALUE"""),"B8_VD_7.mp3")</f>
        <v>B8_VD_7.mp3</v>
      </c>
    </row>
    <row r="915" spans="1:13">
      <c r="A915" s="13">
        <f ca="1">IFERROR(__xludf.DUMMYFUNCTION("""COMPUTED_VALUE"""),8)</f>
        <v>8</v>
      </c>
      <c r="B915" s="13"/>
      <c r="C915" s="13" t="str">
        <f ca="1">IFERROR(__xludf.DUMMYFUNCTION("""COMPUTED_VALUE"""),"回忆")</f>
        <v>回忆</v>
      </c>
      <c r="D915" s="13" t="str">
        <f ca="1">IFERROR(__xludf.DUMMYFUNCTION("""COMPUTED_VALUE"""),"&lt;ruby&gt;回忆&lt;rt&gt;Huíyì&lt;/rt&gt;&lt;/ruby&gt;")</f>
        <v>&lt;ruby&gt;回忆&lt;rt&gt;Huíyì&lt;/rt&gt;&lt;/ruby&gt;</v>
      </c>
      <c r="E915" s="13" t="str">
        <f ca="1">IFERROR(__xludf.DUMMYFUNCTION("""COMPUTED_VALUE"""),"Huíyì")</f>
        <v>Huíyì</v>
      </c>
      <c r="F915" s="13" t="str">
        <f ca="1">IFERROR(__xludf.DUMMYFUNCTION("""COMPUTED_VALUE"""),"Động từ")</f>
        <v>Động từ</v>
      </c>
      <c r="G915" s="13" t="str">
        <f ca="1">IFERROR(__xludf.DUMMYFUNCTION("""COMPUTED_VALUE"""),"nhớ lại")</f>
        <v>nhớ lại</v>
      </c>
      <c r="H915" s="13" t="str">
        <f ca="1">IFERROR(__xludf.DUMMYFUNCTION("""COMPUTED_VALUE"""),"他回忆起昨天的天气。")</f>
        <v>他回忆起昨天的天气。</v>
      </c>
      <c r="I915" s="13"/>
      <c r="J915" s="13" t="str">
        <f ca="1">IFERROR(__xludf.DUMMYFUNCTION("""COMPUTED_VALUE"""),"Anh ấy nhớ lại thời tiết hôm qua.")</f>
        <v>Anh ấy nhớ lại thời tiết hôm qua.</v>
      </c>
      <c r="K915" s="13" t="str">
        <f ca="1">IFERROR(__xludf.DUMMYFUNCTION("""COMPUTED_VALUE"""),"H4_B8_BG-08.png")</f>
        <v>H4_B8_BG-08.png</v>
      </c>
      <c r="L915" s="13" t="str">
        <f ca="1">IFERROR(__xludf.DUMMYFUNCTION("""COMPUTED_VALUE"""),"B8_8.mp3")</f>
        <v>B8_8.mp3</v>
      </c>
      <c r="M915" s="13" t="str">
        <f ca="1">IFERROR(__xludf.DUMMYFUNCTION("""COMPUTED_VALUE"""),"B8_VD_8.mp3")</f>
        <v>B8_VD_8.mp3</v>
      </c>
    </row>
    <row r="916" spans="1:13">
      <c r="A916" s="13">
        <f ca="1">IFERROR(__xludf.DUMMYFUNCTION("""COMPUTED_VALUE"""),9)</f>
        <v>9</v>
      </c>
      <c r="B916" s="13"/>
      <c r="C916" s="13" t="str">
        <f ca="1">IFERROR(__xludf.DUMMYFUNCTION("""COMPUTED_VALUE"""),"生命")</f>
        <v>生命</v>
      </c>
      <c r="D916" s="13" t="str">
        <f ca="1">IFERROR(__xludf.DUMMYFUNCTION("""COMPUTED_VALUE"""),"&lt;ruby&gt;生命&lt;rt&gt;shēngmìng&lt;/rt&gt;&lt;/ruby&gt;")</f>
        <v>&lt;ruby&gt;生命&lt;rt&gt;shēngmìng&lt;/rt&gt;&lt;/ruby&gt;</v>
      </c>
      <c r="E916" s="13" t="str">
        <f ca="1">IFERROR(__xludf.DUMMYFUNCTION("""COMPUTED_VALUE"""),"shēngmìng")</f>
        <v>shēngmìng</v>
      </c>
      <c r="F916" s="13" t="str">
        <f ca="1">IFERROR(__xludf.DUMMYFUNCTION("""COMPUTED_VALUE"""),"Danh từ")</f>
        <v>Danh từ</v>
      </c>
      <c r="G916" s="13" t="str">
        <f ca="1">IFERROR(__xludf.DUMMYFUNCTION("""COMPUTED_VALUE"""),"sự sống, tính mạng")</f>
        <v>sự sống, tính mạng</v>
      </c>
      <c r="H916" s="13" t="str">
        <f ca="1">IFERROR(__xludf.DUMMYFUNCTION("""COMPUTED_VALUE"""),"小树的生命需要阳光和水。")</f>
        <v>小树的生命需要阳光和水。</v>
      </c>
      <c r="I916" s="13"/>
      <c r="J916" s="13" t="str">
        <f ca="1">IFERROR(__xludf.DUMMYFUNCTION("""COMPUTED_VALUE"""),"Sự sống của cây nhỏ cần ánh sáng mặt trời và nước.")</f>
        <v>Sự sống của cây nhỏ cần ánh sáng mặt trời và nước.</v>
      </c>
      <c r="K916" s="13" t="str">
        <f ca="1">IFERROR(__xludf.DUMMYFUNCTION("""COMPUTED_VALUE"""),"H4_B8_BG-09.png")</f>
        <v>H4_B8_BG-09.png</v>
      </c>
      <c r="L916" s="13" t="str">
        <f ca="1">IFERROR(__xludf.DUMMYFUNCTION("""COMPUTED_VALUE"""),"B8_9.mp3")</f>
        <v>B8_9.mp3</v>
      </c>
      <c r="M916" s="13" t="str">
        <f ca="1">IFERROR(__xludf.DUMMYFUNCTION("""COMPUTED_VALUE"""),"B8_VD_9.mp3")</f>
        <v>B8_VD_9.mp3</v>
      </c>
    </row>
    <row r="917" spans="1:13">
      <c r="A917" s="13">
        <f ca="1">IFERROR(__xludf.DUMMYFUNCTION("""COMPUTED_VALUE"""),10)</f>
        <v>10</v>
      </c>
      <c r="B917" s="13"/>
      <c r="C917" s="13" t="str">
        <f ca="1">IFERROR(__xludf.DUMMYFUNCTION("""COMPUTED_VALUE"""),"使")</f>
        <v>使</v>
      </c>
      <c r="D917" s="13" t="str">
        <f ca="1">IFERROR(__xludf.DUMMYFUNCTION("""COMPUTED_VALUE"""),"&lt;ruby&gt;使&lt;rt&gt;shǐ&lt;/rt&gt;&lt;/ruby&gt;")</f>
        <v>&lt;ruby&gt;使&lt;rt&gt;shǐ&lt;/rt&gt;&lt;/ruby&gt;</v>
      </c>
      <c r="E917" s="13" t="str">
        <f ca="1">IFERROR(__xludf.DUMMYFUNCTION("""COMPUTED_VALUE"""),"shǐ")</f>
        <v>shǐ</v>
      </c>
      <c r="F917" s="13" t="str">
        <f ca="1">IFERROR(__xludf.DUMMYFUNCTION("""COMPUTED_VALUE"""),"Động từ")</f>
        <v>Động từ</v>
      </c>
      <c r="G917" s="13" t="str">
        <f ca="1">IFERROR(__xludf.DUMMYFUNCTION("""COMPUTED_VALUE"""),"khiến cho, làm cho")</f>
        <v>khiến cho, làm cho</v>
      </c>
      <c r="H917" s="13" t="str">
        <f ca="1">IFERROR(__xludf.DUMMYFUNCTION("""COMPUTED_VALUE"""),"天气使我觉得冷。")</f>
        <v>天气使我觉得冷。</v>
      </c>
      <c r="I917" s="13"/>
      <c r="J917" s="13" t="str">
        <f ca="1">IFERROR(__xludf.DUMMYFUNCTION("""COMPUTED_VALUE"""),"Thời tiết khiến tôi cảm thấy lạnh.")</f>
        <v>Thời tiết khiến tôi cảm thấy lạnh.</v>
      </c>
      <c r="K917" s="13" t="str">
        <f ca="1">IFERROR(__xludf.DUMMYFUNCTION("""COMPUTED_VALUE"""),"H4_B8_BG-10.png")</f>
        <v>H4_B8_BG-10.png</v>
      </c>
      <c r="L917" s="13" t="str">
        <f ca="1">IFERROR(__xludf.DUMMYFUNCTION("""COMPUTED_VALUE"""),"B8_10.mp3")</f>
        <v>B8_10.mp3</v>
      </c>
      <c r="M917" s="13" t="str">
        <f ca="1">IFERROR(__xludf.DUMMYFUNCTION("""COMPUTED_VALUE"""),"B8_VD_10.mp3")</f>
        <v>B8_VD_10.mp3</v>
      </c>
    </row>
    <row r="918" spans="1:13">
      <c r="A918" s="13">
        <f ca="1">IFERROR(__xludf.DUMMYFUNCTION("""COMPUTED_VALUE"""),11)</f>
        <v>11</v>
      </c>
      <c r="B918" s="13"/>
      <c r="C918" s="13" t="str">
        <f ca="1">IFERROR(__xludf.DUMMYFUNCTION("""COMPUTED_VALUE"""),"距离")</f>
        <v>距离</v>
      </c>
      <c r="D918" s="13" t="str">
        <f ca="1">IFERROR(__xludf.DUMMYFUNCTION("""COMPUTED_VALUE"""),"&lt;ruby&gt;距离&lt;rt&gt;jùlí&lt;/rt&gt;&lt;/ruby&gt;")</f>
        <v>&lt;ruby&gt;距离&lt;rt&gt;jùlí&lt;/rt&gt;&lt;/ruby&gt;</v>
      </c>
      <c r="E918" s="13" t="str">
        <f ca="1">IFERROR(__xludf.DUMMYFUNCTION("""COMPUTED_VALUE"""),"jùlí")</f>
        <v>jùlí</v>
      </c>
      <c r="F918" s="13" t="str">
        <f ca="1">IFERROR(__xludf.DUMMYFUNCTION("""COMPUTED_VALUE"""),"Danh từ")</f>
        <v>Danh từ</v>
      </c>
      <c r="G918" s="13" t="str">
        <f ca="1">IFERROR(__xludf.DUMMYFUNCTION("""COMPUTED_VALUE"""),"khoảng cách")</f>
        <v>khoảng cách</v>
      </c>
      <c r="H918" s="13" t="str">
        <f ca="1">IFERROR(__xludf.DUMMYFUNCTION("""COMPUTED_VALUE"""),"地球和太阳的距离有多远？")</f>
        <v>地球和太阳的距离有多远？</v>
      </c>
      <c r="I918" s="13"/>
      <c r="J918" s="13" t="str">
        <f ca="1">IFERROR(__xludf.DUMMYFUNCTION("""COMPUTED_VALUE"""),"Khoảng cách từ trái đất đến mặt trời là bao xa?")</f>
        <v>Khoảng cách từ trái đất đến mặt trời là bao xa?</v>
      </c>
      <c r="K918" s="13" t="str">
        <f ca="1">IFERROR(__xludf.DUMMYFUNCTION("""COMPUTED_VALUE"""),"H4_B8_BG-11.png")</f>
        <v>H4_B8_BG-11.png</v>
      </c>
      <c r="L918" s="13" t="str">
        <f ca="1">IFERROR(__xludf.DUMMYFUNCTION("""COMPUTED_VALUE"""),"B8_11.mp3")</f>
        <v>B8_11.mp3</v>
      </c>
      <c r="M918" s="13" t="str">
        <f ca="1">IFERROR(__xludf.DUMMYFUNCTION("""COMPUTED_VALUE"""),"B8_VD_11.mp3")</f>
        <v>B8_VD_11.mp3</v>
      </c>
    </row>
    <row r="919" spans="1:13">
      <c r="A919" s="13">
        <f ca="1">IFERROR(__xludf.DUMMYFUNCTION("""COMPUTED_VALUE"""),12)</f>
        <v>12</v>
      </c>
      <c r="B919" s="13"/>
      <c r="C919" s="13" t="str">
        <f ca="1">IFERROR(__xludf.DUMMYFUNCTION("""COMPUTED_VALUE"""),"耐心")</f>
        <v>耐心</v>
      </c>
      <c r="D919" s="13" t="str">
        <f ca="1">IFERROR(__xludf.DUMMYFUNCTION("""COMPUTED_VALUE"""),"&lt;ruby&gt;耐心&lt;rt&gt;nàixīn&lt;/rt&gt;&lt;/ruby&gt;")</f>
        <v>&lt;ruby&gt;耐心&lt;rt&gt;nàixīn&lt;/rt&gt;&lt;/ruby&gt;</v>
      </c>
      <c r="E919" s="13" t="str">
        <f ca="1">IFERROR(__xludf.DUMMYFUNCTION("""COMPUTED_VALUE"""),"nàixīn")</f>
        <v>nàixīn</v>
      </c>
      <c r="F919" s="13" t="str">
        <f ca="1">IFERROR(__xludf.DUMMYFUNCTION("""COMPUTED_VALUE"""),"Danh từ")</f>
        <v>Danh từ</v>
      </c>
      <c r="G919" s="13" t="str">
        <f ca="1">IFERROR(__xludf.DUMMYFUNCTION("""COMPUTED_VALUE"""),"lòng kiên nhẫn, sự nhẫn nại")</f>
        <v>lòng kiên nhẫn, sự nhẫn nại</v>
      </c>
      <c r="H919" s="13" t="str">
        <f ca="1">IFERROR(__xludf.DUMMYFUNCTION("""COMPUTED_VALUE"""),"学中文需要很多耐心和努力。")</f>
        <v>学中文需要很多耐心和努力。</v>
      </c>
      <c r="I919" s="13"/>
      <c r="J919" s="13" t="str">
        <f ca="1">IFERROR(__xludf.DUMMYFUNCTION("""COMPUTED_VALUE"""),"Học tiếng Trung cần rất nhiều lòng kiên nhẫn và sự nỗ lực.")</f>
        <v>Học tiếng Trung cần rất nhiều lòng kiên nhẫn và sự nỗ lực.</v>
      </c>
      <c r="K919" s="13" t="str">
        <f ca="1">IFERROR(__xludf.DUMMYFUNCTION("""COMPUTED_VALUE"""),"H4_B8_BG-12.png")</f>
        <v>H4_B8_BG-12.png</v>
      </c>
      <c r="L919" s="13" t="str">
        <f ca="1">IFERROR(__xludf.DUMMYFUNCTION("""COMPUTED_VALUE"""),"B8_12.mp3")</f>
        <v>B8_12.mp3</v>
      </c>
      <c r="M919" s="13" t="str">
        <f ca="1">IFERROR(__xludf.DUMMYFUNCTION("""COMPUTED_VALUE"""),"B8_VD_12.mp3")</f>
        <v>B8_VD_12.mp3</v>
      </c>
    </row>
    <row r="920" spans="1:13">
      <c r="A920" s="13">
        <f ca="1">IFERROR(__xludf.DUMMYFUNCTION("""COMPUTED_VALUE"""),13)</f>
        <v>13</v>
      </c>
      <c r="B920" s="13"/>
      <c r="C920" s="13" t="str">
        <f ca="1">IFERROR(__xludf.DUMMYFUNCTION("""COMPUTED_VALUE"""),"亲戚")</f>
        <v>亲戚</v>
      </c>
      <c r="D920" s="13" t="str">
        <f ca="1">IFERROR(__xludf.DUMMYFUNCTION("""COMPUTED_VALUE"""),"&lt;ruby&gt;亲戚&lt;rt&gt;Qīnqī&lt;/rt&gt;&lt;/ruby&gt;")</f>
        <v>&lt;ruby&gt;亲戚&lt;rt&gt;Qīnqī&lt;/rt&gt;&lt;/ruby&gt;</v>
      </c>
      <c r="E920" s="13" t="str">
        <f ca="1">IFERROR(__xludf.DUMMYFUNCTION("""COMPUTED_VALUE"""),"Qīnqī")</f>
        <v>Qīnqī</v>
      </c>
      <c r="F920" s="13" t="str">
        <f ca="1">IFERROR(__xludf.DUMMYFUNCTION("""COMPUTED_VALUE"""),"Danh từ")</f>
        <v>Danh từ</v>
      </c>
      <c r="G920" s="13" t="str">
        <f ca="1">IFERROR(__xludf.DUMMYFUNCTION("""COMPUTED_VALUE"""),"họ hàng thân thích")</f>
        <v>họ hàng thân thích</v>
      </c>
      <c r="H920" s="13" t="str">
        <f ca="1">IFERROR(__xludf.DUMMYFUNCTION("""COMPUTED_VALUE"""),"我和亲戚的关系非常好。")</f>
        <v>我和亲戚的关系非常好。</v>
      </c>
      <c r="I920" s="13"/>
      <c r="J920" s="13" t="str">
        <f ca="1">IFERROR(__xludf.DUMMYFUNCTION("""COMPUTED_VALUE"""),"Mối quan hệ giữa tôi và họ hàng rất tốt.")</f>
        <v>Mối quan hệ giữa tôi và họ hàng rất tốt.</v>
      </c>
      <c r="K920" s="13" t="str">
        <f ca="1">IFERROR(__xludf.DUMMYFUNCTION("""COMPUTED_VALUE"""),"H4_B8_BG-13.png")</f>
        <v>H4_B8_BG-13.png</v>
      </c>
      <c r="L920" s="13" t="str">
        <f ca="1">IFERROR(__xludf.DUMMYFUNCTION("""COMPUTED_VALUE"""),"B8_13.mp3")</f>
        <v>B8_13.mp3</v>
      </c>
      <c r="M920" s="13" t="str">
        <f ca="1">IFERROR(__xludf.DUMMYFUNCTION("""COMPUTED_VALUE"""),"B8_VD_13.mp3")</f>
        <v>B8_VD_13.mp3</v>
      </c>
    </row>
    <row r="921" spans="1:13">
      <c r="A921" s="13">
        <f ca="1">IFERROR(__xludf.DUMMYFUNCTION("""COMPUTED_VALUE"""),14)</f>
        <v>14</v>
      </c>
      <c r="B921" s="13"/>
      <c r="C921" s="13" t="str">
        <f ca="1">IFERROR(__xludf.DUMMYFUNCTION("""COMPUTED_VALUE"""),"缺少")</f>
        <v>缺少</v>
      </c>
      <c r="D921" s="13" t="str">
        <f ca="1">IFERROR(__xludf.DUMMYFUNCTION("""COMPUTED_VALUE"""),"&lt;ruby&gt;缺少&lt;rt&gt;quēshăo&lt;/rt&gt;&lt;/ruby&gt;")</f>
        <v>&lt;ruby&gt;缺少&lt;rt&gt;quēshăo&lt;/rt&gt;&lt;/ruby&gt;</v>
      </c>
      <c r="E921" s="13" t="str">
        <f ca="1">IFERROR(__xludf.DUMMYFUNCTION("""COMPUTED_VALUE"""),"quēshăo")</f>
        <v>quēshăo</v>
      </c>
      <c r="F921" s="13" t="str">
        <f ca="1">IFERROR(__xludf.DUMMYFUNCTION("""COMPUTED_VALUE"""),"Động từ")</f>
        <v>Động từ</v>
      </c>
      <c r="G921" s="13" t="str">
        <f ca="1">IFERROR(__xludf.DUMMYFUNCTION("""COMPUTED_VALUE"""),"thiếu")</f>
        <v>thiếu</v>
      </c>
      <c r="H921" s="13" t="str">
        <f ca="1">IFERROR(__xludf.DUMMYFUNCTION("""COMPUTED_VALUE"""),"篮子里缺少一个橙子。")</f>
        <v>篮子里缺少一个橙子。</v>
      </c>
      <c r="I921" s="13"/>
      <c r="J921" s="13" t="str">
        <f ca="1">IFERROR(__xludf.DUMMYFUNCTION("""COMPUTED_VALUE"""),"Trong rổ thiếu mất một quả cam.")</f>
        <v>Trong rổ thiếu mất một quả cam.</v>
      </c>
      <c r="K921" s="13" t="str">
        <f ca="1">IFERROR(__xludf.DUMMYFUNCTION("""COMPUTED_VALUE"""),"H4_B8_BG-14.png")</f>
        <v>H4_B8_BG-14.png</v>
      </c>
      <c r="L921" s="13" t="str">
        <f ca="1">IFERROR(__xludf.DUMMYFUNCTION("""COMPUTED_VALUE"""),"B8_14.mp3")</f>
        <v>B8_14.mp3</v>
      </c>
      <c r="M921" s="13" t="str">
        <f ca="1">IFERROR(__xludf.DUMMYFUNCTION("""COMPUTED_VALUE"""),"B8_VD_14.mp3")</f>
        <v>B8_VD_14.mp3</v>
      </c>
    </row>
    <row r="922" spans="1:13">
      <c r="A922" s="13">
        <f ca="1">IFERROR(__xludf.DUMMYFUNCTION("""COMPUTED_VALUE"""),15)</f>
        <v>15</v>
      </c>
      <c r="B922" s="13"/>
      <c r="C922" s="13" t="str">
        <f ca="1">IFERROR(__xludf.DUMMYFUNCTION("""COMPUTED_VALUE"""),"伤心")</f>
        <v>伤心</v>
      </c>
      <c r="D922" s="13" t="str">
        <f ca="1">IFERROR(__xludf.DUMMYFUNCTION("""COMPUTED_VALUE"""),"&lt;ruby&gt;伤心&lt;rt&gt;shāng xīn&lt;/rt&gt;&lt;/ruby&gt;")</f>
        <v>&lt;ruby&gt;伤心&lt;rt&gt;shāng xīn&lt;/rt&gt;&lt;/ruby&gt;</v>
      </c>
      <c r="E922" s="13" t="str">
        <f ca="1">IFERROR(__xludf.DUMMYFUNCTION("""COMPUTED_VALUE"""),"shāng xīn")</f>
        <v>shāng xīn</v>
      </c>
      <c r="F922" s="13" t="str">
        <f ca="1">IFERROR(__xludf.DUMMYFUNCTION("""COMPUTED_VALUE"""),"Tính từ")</f>
        <v>Tính từ</v>
      </c>
      <c r="G922" s="13" t="str">
        <f ca="1">IFERROR(__xludf.DUMMYFUNCTION("""COMPUTED_VALUE"""),"đau lòng")</f>
        <v>đau lòng</v>
      </c>
      <c r="H922" s="13" t="str">
        <f ca="1">IFERROR(__xludf.DUMMYFUNCTION("""COMPUTED_VALUE"""),"她因为丢了钱包而很伤心。")</f>
        <v>她因为丢了钱包而很伤心。</v>
      </c>
      <c r="I922" s="13"/>
      <c r="J922" s="13" t="str">
        <f ca="1">IFERROR(__xludf.DUMMYFUNCTION("""COMPUTED_VALUE"""),"Cô ấy rất đau lòng vì làm mất ví tiền.")</f>
        <v>Cô ấy rất đau lòng vì làm mất ví tiền.</v>
      </c>
      <c r="K922" s="13" t="str">
        <f ca="1">IFERROR(__xludf.DUMMYFUNCTION("""COMPUTED_VALUE"""),"H4_B8_BG-15.png")</f>
        <v>H4_B8_BG-15.png</v>
      </c>
      <c r="L922" s="13" t="str">
        <f ca="1">IFERROR(__xludf.DUMMYFUNCTION("""COMPUTED_VALUE"""),"B8_15.mp3")</f>
        <v>B8_15.mp3</v>
      </c>
      <c r="M922" s="13" t="str">
        <f ca="1">IFERROR(__xludf.DUMMYFUNCTION("""COMPUTED_VALUE"""),"B8_VD_15.mp3")</f>
        <v>B8_VD_15.mp3</v>
      </c>
    </row>
    <row r="923" spans="1:13">
      <c r="A923" s="13">
        <f ca="1">IFERROR(__xludf.DUMMYFUNCTION("""COMPUTED_VALUE"""),16)</f>
        <v>16</v>
      </c>
      <c r="B923" s="13"/>
      <c r="C923" s="13" t="str">
        <f ca="1">IFERROR(__xludf.DUMMYFUNCTION("""COMPUTED_VALUE"""),"态度")</f>
        <v>态度</v>
      </c>
      <c r="D923" s="13" t="str">
        <f ca="1">IFERROR(__xludf.DUMMYFUNCTION("""COMPUTED_VALUE"""),"&lt;ruby&gt;态度&lt;rt&gt;tàidù&lt;/rt&gt;&lt;/ruby&gt;")</f>
        <v>&lt;ruby&gt;态度&lt;rt&gt;tàidù&lt;/rt&gt;&lt;/ruby&gt;</v>
      </c>
      <c r="E923" s="13" t="str">
        <f ca="1">IFERROR(__xludf.DUMMYFUNCTION("""COMPUTED_VALUE"""),"tàidù")</f>
        <v>tàidù</v>
      </c>
      <c r="F923" s="13" t="str">
        <f ca="1">IFERROR(__xludf.DUMMYFUNCTION("""COMPUTED_VALUE"""),"Danh từ")</f>
        <v>Danh từ</v>
      </c>
      <c r="G923" s="13" t="str">
        <f ca="1">IFERROR(__xludf.DUMMYFUNCTION("""COMPUTED_VALUE"""),"thái độ")</f>
        <v>thái độ</v>
      </c>
      <c r="H923" s="13" t="str">
        <f ca="1">IFERROR(__xludf.DUMMYFUNCTION("""COMPUTED_VALUE"""),"她表现出了拒绝的态度。")</f>
        <v>她表现出了拒绝的态度。</v>
      </c>
      <c r="I923" s="13"/>
      <c r="J923" s="13" t="str">
        <f ca="1">IFERROR(__xludf.DUMMYFUNCTION("""COMPUTED_VALUE"""),"Cô ấy tỏ thái độ từ chối.")</f>
        <v>Cô ấy tỏ thái độ từ chối.</v>
      </c>
      <c r="K923" s="13" t="str">
        <f ca="1">IFERROR(__xludf.DUMMYFUNCTION("""COMPUTED_VALUE"""),"H4_B8_BG-16.png")</f>
        <v>H4_B8_BG-16.png</v>
      </c>
      <c r="L923" s="13" t="str">
        <f ca="1">IFERROR(__xludf.DUMMYFUNCTION("""COMPUTED_VALUE"""),"B8_16.mp3")</f>
        <v>B8_16.mp3</v>
      </c>
      <c r="M923" s="13" t="str">
        <f ca="1">IFERROR(__xludf.DUMMYFUNCTION("""COMPUTED_VALUE"""),"B8_VD_16.mp3")</f>
        <v>B8_VD_16.mp3</v>
      </c>
    </row>
    <row r="924" spans="1:13">
      <c r="A924" s="13">
        <f ca="1">IFERROR(__xludf.DUMMYFUNCTION("""COMPUTED_VALUE"""),17)</f>
        <v>17</v>
      </c>
      <c r="B924" s="13"/>
      <c r="C924" s="13" t="str">
        <f ca="1">IFERROR(__xludf.DUMMYFUNCTION("""COMPUTED_VALUE"""),"特点")</f>
        <v>特点</v>
      </c>
      <c r="D924" s="13" t="str">
        <f ca="1">IFERROR(__xludf.DUMMYFUNCTION("""COMPUTED_VALUE"""),"&lt;ruby&gt;特点&lt;rt&gt;tèdiǎn&lt;/rt&gt;&lt;/ruby&gt;")</f>
        <v>&lt;ruby&gt;特点&lt;rt&gt;tèdiǎn&lt;/rt&gt;&lt;/ruby&gt;</v>
      </c>
      <c r="E924" s="13" t="str">
        <f ca="1">IFERROR(__xludf.DUMMYFUNCTION("""COMPUTED_VALUE"""),"tèdiǎn")</f>
        <v>tèdiǎn</v>
      </c>
      <c r="F924" s="13" t="str">
        <f ca="1">IFERROR(__xludf.DUMMYFUNCTION("""COMPUTED_VALUE"""),"Danh từ")</f>
        <v>Danh từ</v>
      </c>
      <c r="G924" s="13" t="str">
        <f ca="1">IFERROR(__xludf.DUMMYFUNCTION("""COMPUTED_VALUE"""),"đặc điểm")</f>
        <v>đặc điểm</v>
      </c>
      <c r="H924" s="13" t="str">
        <f ca="1">IFERROR(__xludf.DUMMYFUNCTION("""COMPUTED_VALUE"""),"他的特点是右眼旁有一颗痣。")</f>
        <v>他的特点是右眼旁有一颗痣。</v>
      </c>
      <c r="I924" s="13"/>
      <c r="J924" s="13" t="str">
        <f ca="1">IFERROR(__xludf.DUMMYFUNCTION("""COMPUTED_VALUE"""),"Đặc điểm nhận diện của anh ấy là có một cái nốt ruồi ở bên mắt phải.")</f>
        <v>Đặc điểm nhận diện của anh ấy là có một cái nốt ruồi ở bên mắt phải.</v>
      </c>
      <c r="K924" s="13" t="str">
        <f ca="1">IFERROR(__xludf.DUMMYFUNCTION("""COMPUTED_VALUE"""),"H4_B8_BG-17.png")</f>
        <v>H4_B8_BG-17.png</v>
      </c>
      <c r="L924" s="13" t="str">
        <f ca="1">IFERROR(__xludf.DUMMYFUNCTION("""COMPUTED_VALUE"""),"B8_17.mp3")</f>
        <v>B8_17.mp3</v>
      </c>
      <c r="M924" s="13" t="str">
        <f ca="1">IFERROR(__xludf.DUMMYFUNCTION("""COMPUTED_VALUE"""),"B8_VD_17.mp3")</f>
        <v>B8_VD_17.mp3</v>
      </c>
    </row>
    <row r="925" spans="1:13">
      <c r="A925" s="13">
        <f ca="1">IFERROR(__xludf.DUMMYFUNCTION("""COMPUTED_VALUE"""),18)</f>
        <v>18</v>
      </c>
      <c r="B925" s="13"/>
      <c r="C925" s="13" t="str">
        <f ca="1">IFERROR(__xludf.DUMMYFUNCTION("""COMPUTED_VALUE"""),"往往
")</f>
        <v xml:space="preserve">往往
</v>
      </c>
      <c r="D925" s="13" t="str">
        <f ca="1">IFERROR(__xludf.DUMMYFUNCTION("""COMPUTED_VALUE"""),"&lt;ruby&gt;往往
&lt;rt&gt;wǎngwǎng&lt;/rt&gt;&lt;/ruby&gt;")</f>
        <v>&lt;ruby&gt;往往
&lt;rt&gt;wǎngwǎng&lt;/rt&gt;&lt;/ruby&gt;</v>
      </c>
      <c r="E925" s="13" t="str">
        <f ca="1">IFERROR(__xludf.DUMMYFUNCTION("""COMPUTED_VALUE"""),"wǎngwǎng")</f>
        <v>wǎngwǎng</v>
      </c>
      <c r="F925" s="13" t="str">
        <f ca="1">IFERROR(__xludf.DUMMYFUNCTION("""COMPUTED_VALUE"""),"Phó từ")</f>
        <v>Phó từ</v>
      </c>
      <c r="G925" s="13" t="str">
        <f ca="1">IFERROR(__xludf.DUMMYFUNCTION("""COMPUTED_VALUE"""),"thường thường")</f>
        <v>thường thường</v>
      </c>
      <c r="H925" s="13" t="str">
        <f ca="1">IFERROR(__xludf.DUMMYFUNCTION("""COMPUTED_VALUE"""),"她往往会帮妈妈擦窗户。")</f>
        <v>她往往会帮妈妈擦窗户。</v>
      </c>
      <c r="I925" s="13"/>
      <c r="J925" s="13" t="str">
        <f ca="1">IFERROR(__xludf.DUMMYFUNCTION("""COMPUTED_VALUE"""),"Cô ấy thường lau cửa sổ giúp mẹ.")</f>
        <v>Cô ấy thường lau cửa sổ giúp mẹ.</v>
      </c>
      <c r="K925" s="13" t="str">
        <f ca="1">IFERROR(__xludf.DUMMYFUNCTION("""COMPUTED_VALUE"""),"H4_B8_BG-18.png")</f>
        <v>H4_B8_BG-18.png</v>
      </c>
      <c r="L925" s="13" t="str">
        <f ca="1">IFERROR(__xludf.DUMMYFUNCTION("""COMPUTED_VALUE"""),"B8_18.mp3")</f>
        <v>B8_18.mp3</v>
      </c>
      <c r="M925" s="13" t="str">
        <f ca="1">IFERROR(__xludf.DUMMYFUNCTION("""COMPUTED_VALUE"""),"B8_VD_18.mp3")</f>
        <v>B8_VD_18.mp3</v>
      </c>
    </row>
    <row r="926" spans="1:13">
      <c r="A926" s="13">
        <f ca="1">IFERROR(__xludf.DUMMYFUNCTION("""COMPUTED_VALUE"""),19)</f>
        <v>19</v>
      </c>
      <c r="B926" s="13"/>
      <c r="C926" s="13" t="str">
        <f ca="1">IFERROR(__xludf.DUMMYFUNCTION("""COMPUTED_VALUE"""),"心情")</f>
        <v>心情</v>
      </c>
      <c r="D926" s="13" t="str">
        <f ca="1">IFERROR(__xludf.DUMMYFUNCTION("""COMPUTED_VALUE"""),"&lt;ruby&gt;心情&lt;rt&gt;xīnqíng&lt;/rt&gt;&lt;/ruby&gt;")</f>
        <v>&lt;ruby&gt;心情&lt;rt&gt;xīnqíng&lt;/rt&gt;&lt;/ruby&gt;</v>
      </c>
      <c r="E926" s="13" t="str">
        <f ca="1">IFERROR(__xludf.DUMMYFUNCTION("""COMPUTED_VALUE"""),"xīnqíng")</f>
        <v>xīnqíng</v>
      </c>
      <c r="F926" s="13" t="str">
        <f ca="1">IFERROR(__xludf.DUMMYFUNCTION("""COMPUTED_VALUE"""),"Danh từ")</f>
        <v>Danh từ</v>
      </c>
      <c r="G926" s="13" t="str">
        <f ca="1">IFERROR(__xludf.DUMMYFUNCTION("""COMPUTED_VALUE"""),"tâm trạng")</f>
        <v>tâm trạng</v>
      </c>
      <c r="H926" s="13" t="str">
        <f ca="1">IFERROR(__xludf.DUMMYFUNCTION("""COMPUTED_VALUE"""),"他刚刚完成了10公里的跑步目标，心情非常愉快。")</f>
        <v>他刚刚完成了10公里的跑步目标，心情非常愉快。</v>
      </c>
      <c r="I926" s="13"/>
      <c r="J926" s="13" t="str">
        <f ca="1">IFERROR(__xludf.DUMMYFUNCTION("""COMPUTED_VALUE"""),"Anh ấy vừa hoàn thành mục tiêu chạy xong quãng đường 10km nên tâm trạng rất vui vẻ.")</f>
        <v>Anh ấy vừa hoàn thành mục tiêu chạy xong quãng đường 10km nên tâm trạng rất vui vẻ.</v>
      </c>
      <c r="K926" s="13" t="str">
        <f ca="1">IFERROR(__xludf.DUMMYFUNCTION("""COMPUTED_VALUE"""),"H4_B8_BG-19.png")</f>
        <v>H4_B8_BG-19.png</v>
      </c>
      <c r="L926" s="13" t="str">
        <f ca="1">IFERROR(__xludf.DUMMYFUNCTION("""COMPUTED_VALUE"""),"B8_19.mp3")</f>
        <v>B8_19.mp3</v>
      </c>
      <c r="M926" s="13" t="str">
        <f ca="1">IFERROR(__xludf.DUMMYFUNCTION("""COMPUTED_VALUE"""),"B8_VD_19.mp3")</f>
        <v>B8_VD_19.mp3</v>
      </c>
    </row>
    <row r="927" spans="1:13">
      <c r="A927" s="13">
        <f ca="1">IFERROR(__xludf.DUMMYFUNCTION("""COMPUTED_VALUE"""),20)</f>
        <v>20</v>
      </c>
      <c r="B927" s="13"/>
      <c r="C927" s="13" t="str">
        <f ca="1">IFERROR(__xludf.DUMMYFUNCTION("""COMPUTED_VALUE"""),"压力")</f>
        <v>压力</v>
      </c>
      <c r="D927" s="13" t="str">
        <f ca="1">IFERROR(__xludf.DUMMYFUNCTION("""COMPUTED_VALUE"""),"&lt;ruby&gt;压力&lt;rt&gt;yālì&lt;/rt&gt;&lt;/ruby&gt;")</f>
        <v>&lt;ruby&gt;压力&lt;rt&gt;yālì&lt;/rt&gt;&lt;/ruby&gt;</v>
      </c>
      <c r="E927" s="13" t="str">
        <f ca="1">IFERROR(__xludf.DUMMYFUNCTION("""COMPUTED_VALUE"""),"yālì")</f>
        <v>yālì</v>
      </c>
      <c r="F927" s="13" t="str">
        <f ca="1">IFERROR(__xludf.DUMMYFUNCTION("""COMPUTED_VALUE"""),"Danh từ")</f>
        <v>Danh từ</v>
      </c>
      <c r="G927" s="13" t="str">
        <f ca="1">IFERROR(__xludf.DUMMYFUNCTION("""COMPUTED_VALUE"""),"áp lực")</f>
        <v>áp lực</v>
      </c>
      <c r="H927" s="13" t="str">
        <f ca="1">IFERROR(__xludf.DUMMYFUNCTION("""COMPUTED_VALUE"""),"因为工作的压力，她掉了很多头发。")</f>
        <v>因为工作的压力，她掉了很多头发。</v>
      </c>
      <c r="I927" s="13"/>
      <c r="J927" s="13" t="str">
        <f ca="1">IFERROR(__xludf.DUMMYFUNCTION("""COMPUTED_VALUE"""),"Bởi vì áp lực công việc nên cô ấy bị rụng tóc rất nhiều.")</f>
        <v>Bởi vì áp lực công việc nên cô ấy bị rụng tóc rất nhiều.</v>
      </c>
      <c r="K927" s="13" t="str">
        <f ca="1">IFERROR(__xludf.DUMMYFUNCTION("""COMPUTED_VALUE"""),"H4_B8_BG-20.png")</f>
        <v>H4_B8_BG-20.png</v>
      </c>
      <c r="L927" s="13" t="str">
        <f ca="1">IFERROR(__xludf.DUMMYFUNCTION("""COMPUTED_VALUE"""),"B8_20.mp3")</f>
        <v>B8_20.mp3</v>
      </c>
      <c r="M927" s="13" t="str">
        <f ca="1">IFERROR(__xludf.DUMMYFUNCTION("""COMPUTED_VALUE"""),"B8_VD_20.mp3")</f>
        <v>B8_VD_20.mp3</v>
      </c>
    </row>
    <row r="928" spans="1:13">
      <c r="A928" s="13">
        <f ca="1">IFERROR(__xludf.DUMMYFUNCTION("""COMPUTED_VALUE"""),21)</f>
        <v>21</v>
      </c>
      <c r="B928" s="13"/>
      <c r="C928" s="13" t="str">
        <f ca="1">IFERROR(__xludf.DUMMYFUNCTION("""COMPUTED_VALUE"""),"阳光")</f>
        <v>阳光</v>
      </c>
      <c r="D928" s="13" t="str">
        <f ca="1">IFERROR(__xludf.DUMMYFUNCTION("""COMPUTED_VALUE"""),"&lt;ruby&gt;阳光&lt;rt&gt;yángguāng&lt;/rt&gt;&lt;/ruby&gt;")</f>
        <v>&lt;ruby&gt;阳光&lt;rt&gt;yángguāng&lt;/rt&gt;&lt;/ruby&gt;</v>
      </c>
      <c r="E928" s="13" t="str">
        <f ca="1">IFERROR(__xludf.DUMMYFUNCTION("""COMPUTED_VALUE"""),"yángguāng")</f>
        <v>yángguāng</v>
      </c>
      <c r="F928" s="13" t="str">
        <f ca="1">IFERROR(__xludf.DUMMYFUNCTION("""COMPUTED_VALUE"""),"Tính từ")</f>
        <v>Tính từ</v>
      </c>
      <c r="G928" s="13" t="str">
        <f ca="1">IFERROR(__xludf.DUMMYFUNCTION("""COMPUTED_VALUE"""),"lạc quan, vui vẻ")</f>
        <v>lạc quan, vui vẻ</v>
      </c>
      <c r="H928" s="13" t="str">
        <f ca="1">IFERROR(__xludf.DUMMYFUNCTION("""COMPUTED_VALUE"""),"她的性格非常阳光。")</f>
        <v>她的性格非常阳光。</v>
      </c>
      <c r="I928" s="13"/>
      <c r="J928" s="13" t="str">
        <f ca="1">IFERROR(__xludf.DUMMYFUNCTION("""COMPUTED_VALUE"""),"Tính cách của cô ấy rất lạc quan.")</f>
        <v>Tính cách của cô ấy rất lạc quan.</v>
      </c>
      <c r="K928" s="13" t="str">
        <f ca="1">IFERROR(__xludf.DUMMYFUNCTION("""COMPUTED_VALUE"""),"H4_B8_BG-21.png")</f>
        <v>H4_B8_BG-21.png</v>
      </c>
      <c r="L928" s="13" t="str">
        <f ca="1">IFERROR(__xludf.DUMMYFUNCTION("""COMPUTED_VALUE"""),"B8_21.mp3")</f>
        <v>B8_21.mp3</v>
      </c>
      <c r="M928" s="13" t="str">
        <f ca="1">IFERROR(__xludf.DUMMYFUNCTION("""COMPUTED_VALUE"""),"B8_VD_21.mp3")</f>
        <v>B8_VD_21.mp3</v>
      </c>
    </row>
    <row r="929" spans="1:13">
      <c r="A929" s="13">
        <f ca="1">IFERROR(__xludf.DUMMYFUNCTION("""COMPUTED_VALUE"""),22)</f>
        <v>22</v>
      </c>
      <c r="B929" s="13"/>
      <c r="C929" s="13" t="str">
        <f ca="1">IFERROR(__xludf.DUMMYFUNCTION("""COMPUTED_VALUE"""),"积极")</f>
        <v>积极</v>
      </c>
      <c r="D929" s="13" t="str">
        <f ca="1">IFERROR(__xludf.DUMMYFUNCTION("""COMPUTED_VALUE"""),"&lt;ruby&gt;积极&lt;rt&gt;Jījí&lt;/rt&gt;&lt;/ruby&gt;")</f>
        <v>&lt;ruby&gt;积极&lt;rt&gt;Jījí&lt;/rt&gt;&lt;/ruby&gt;</v>
      </c>
      <c r="E929" s="13" t="str">
        <f ca="1">IFERROR(__xludf.DUMMYFUNCTION("""COMPUTED_VALUE"""),"Jījí")</f>
        <v>Jījí</v>
      </c>
      <c r="F929" s="13" t="str">
        <f ca="1">IFERROR(__xludf.DUMMYFUNCTION("""COMPUTED_VALUE"""),"Tính từ")</f>
        <v>Tính từ</v>
      </c>
      <c r="G929" s="13" t="str">
        <f ca="1">IFERROR(__xludf.DUMMYFUNCTION("""COMPUTED_VALUE"""),"tích cực")</f>
        <v>tích cực</v>
      </c>
      <c r="H929" s="13" t="str">
        <f ca="1">IFERROR(__xludf.DUMMYFUNCTION("""COMPUTED_VALUE"""),"她学习非常积极。")</f>
        <v>她学习非常积极。</v>
      </c>
      <c r="I929" s="13"/>
      <c r="J929" s="13" t="str">
        <f ca="1">IFERROR(__xludf.DUMMYFUNCTION("""COMPUTED_VALUE"""),"Cô ấy học tập rất tích cực.")</f>
        <v>Cô ấy học tập rất tích cực.</v>
      </c>
      <c r="K929" s="13" t="str">
        <f ca="1">IFERROR(__xludf.DUMMYFUNCTION("""COMPUTED_VALUE"""),"H4_B8_BG-22.png")</f>
        <v>H4_B8_BG-22.png</v>
      </c>
      <c r="L929" s="13" t="str">
        <f ca="1">IFERROR(__xludf.DUMMYFUNCTION("""COMPUTED_VALUE"""),"B8_22.mp3")</f>
        <v>B8_22.mp3</v>
      </c>
      <c r="M929" s="13" t="str">
        <f ca="1">IFERROR(__xludf.DUMMYFUNCTION("""COMPUTED_VALUE"""),"B8_VD_22.mp3")</f>
        <v>B8_VD_22.mp3</v>
      </c>
    </row>
    <row r="930" spans="1:13">
      <c r="A930" s="13">
        <f ca="1">IFERROR(__xludf.DUMMYFUNCTION("""COMPUTED_VALUE"""),23)</f>
        <v>23</v>
      </c>
      <c r="B930" s="13"/>
      <c r="C930" s="13" t="str">
        <f ca="1">IFERROR(__xludf.DUMMYFUNCTION("""COMPUTED_VALUE"""),"放松")</f>
        <v>放松</v>
      </c>
      <c r="D930" s="13" t="str">
        <f ca="1">IFERROR(__xludf.DUMMYFUNCTION("""COMPUTED_VALUE"""),"&lt;ruby&gt;放松&lt;rt&gt;fàngsōng&lt;/rt&gt;&lt;/ruby&gt;")</f>
        <v>&lt;ruby&gt;放松&lt;rt&gt;fàngsōng&lt;/rt&gt;&lt;/ruby&gt;</v>
      </c>
      <c r="E930" s="13" t="str">
        <f ca="1">IFERROR(__xludf.DUMMYFUNCTION("""COMPUTED_VALUE"""),"fàngsōng")</f>
        <v>fàngsōng</v>
      </c>
      <c r="F930" s="13" t="str">
        <f ca="1">IFERROR(__xludf.DUMMYFUNCTION("""COMPUTED_VALUE"""),"Động từ")</f>
        <v>Động từ</v>
      </c>
      <c r="G930" s="13" t="str">
        <f ca="1">IFERROR(__xludf.DUMMYFUNCTION("""COMPUTED_VALUE"""),"thả lỏng, thư giãn")</f>
        <v>thả lỏng, thư giãn</v>
      </c>
      <c r="H930" s="13" t="str">
        <f ca="1">IFERROR(__xludf.DUMMYFUNCTION("""COMPUTED_VALUE"""),"他通过冥想来放松身体。")</f>
        <v>他通过冥想来放松身体。</v>
      </c>
      <c r="I930" s="13"/>
      <c r="J930" s="13" t="str">
        <f ca="1">IFERROR(__xludf.DUMMYFUNCTION("""COMPUTED_VALUE"""),"Anh ấy ngồi thiền để thả lỏng cơ thể.")</f>
        <v>Anh ấy ngồi thiền để thả lỏng cơ thể.</v>
      </c>
      <c r="K930" s="13" t="str">
        <f ca="1">IFERROR(__xludf.DUMMYFUNCTION("""COMPUTED_VALUE"""),"H4_B8_BG-23.png")</f>
        <v>H4_B8_BG-23.png</v>
      </c>
      <c r="L930" s="13" t="str">
        <f ca="1">IFERROR(__xludf.DUMMYFUNCTION("""COMPUTED_VALUE"""),"B8_23.mp3")</f>
        <v>B8_23.mp3</v>
      </c>
      <c r="M930" s="13" t="str">
        <f ca="1">IFERROR(__xludf.DUMMYFUNCTION("""COMPUTED_VALUE"""),"B8_VD_23.mp3")</f>
        <v>B8_VD_23.mp3</v>
      </c>
    </row>
    <row r="931" spans="1:13">
      <c r="A931" s="13">
        <f ca="1">IFERROR(__xludf.DUMMYFUNCTION("""COMPUTED_VALUE"""),24)</f>
        <v>24</v>
      </c>
      <c r="B931" s="13"/>
      <c r="C931" s="13" t="str">
        <f ca="1">IFERROR(__xludf.DUMMYFUNCTION("""COMPUTED_VALUE"""),"景色")</f>
        <v>景色</v>
      </c>
      <c r="D931" s="13" t="str">
        <f ca="1">IFERROR(__xludf.DUMMYFUNCTION("""COMPUTED_VALUE"""),"&lt;ruby&gt;景色&lt;rt&gt;jǐngsè&lt;/rt&gt;&lt;/ruby&gt;")</f>
        <v>&lt;ruby&gt;景色&lt;rt&gt;jǐngsè&lt;/rt&gt;&lt;/ruby&gt;</v>
      </c>
      <c r="E931" s="13" t="str">
        <f ca="1">IFERROR(__xludf.DUMMYFUNCTION("""COMPUTED_VALUE"""),"jǐngsè")</f>
        <v>jǐngsè</v>
      </c>
      <c r="F931" s="13" t="str">
        <f ca="1">IFERROR(__xludf.DUMMYFUNCTION("""COMPUTED_VALUE"""),"Danh từ")</f>
        <v>Danh từ</v>
      </c>
      <c r="G931" s="13" t="str">
        <f ca="1">IFERROR(__xludf.DUMMYFUNCTION("""COMPUTED_VALUE"""),"phong cảnh, cảnh vật")</f>
        <v>phong cảnh, cảnh vật</v>
      </c>
      <c r="H931" s="13" t="str">
        <f ca="1">IFERROR(__xludf.DUMMYFUNCTION("""COMPUTED_VALUE"""),"这个地方的景色真美")</f>
        <v>这个地方的景色真美</v>
      </c>
      <c r="I931" s="13"/>
      <c r="J931" s="13" t="str">
        <f ca="1">IFERROR(__xludf.DUMMYFUNCTION("""COMPUTED_VALUE"""),"Phong cảnh nơi này thật đẹp.")</f>
        <v>Phong cảnh nơi này thật đẹp.</v>
      </c>
      <c r="K931" s="13" t="str">
        <f ca="1">IFERROR(__xludf.DUMMYFUNCTION("""COMPUTED_VALUE"""),"H4_B8_BG-24.png")</f>
        <v>H4_B8_BG-24.png</v>
      </c>
      <c r="L931" s="13" t="str">
        <f ca="1">IFERROR(__xludf.DUMMYFUNCTION("""COMPUTED_VALUE"""),"B8_24.mp3")</f>
        <v>B8_24.mp3</v>
      </c>
      <c r="M931" s="13" t="str">
        <f ca="1">IFERROR(__xludf.DUMMYFUNCTION("""COMPUTED_VALUE"""),"B8_VD_24.mp3")</f>
        <v>B8_VD_24.mp3</v>
      </c>
    </row>
    <row r="932" spans="1:13">
      <c r="A932" s="13">
        <f ca="1">IFERROR(__xludf.DUMMYFUNCTION("""COMPUTED_VALUE"""),25)</f>
        <v>25</v>
      </c>
      <c r="B932" s="13"/>
      <c r="C932" s="13" t="str">
        <f ca="1">IFERROR(__xludf.DUMMYFUNCTION("""COMPUTED_VALUE"""),"窗")</f>
        <v>窗</v>
      </c>
      <c r="D932" s="13" t="str">
        <f ca="1">IFERROR(__xludf.DUMMYFUNCTION("""COMPUTED_VALUE"""),"&lt;ruby&gt;窗&lt;rt&gt;chuāng&lt;/rt&gt;&lt;/ruby&gt;")</f>
        <v>&lt;ruby&gt;窗&lt;rt&gt;chuāng&lt;/rt&gt;&lt;/ruby&gt;</v>
      </c>
      <c r="E932" s="13" t="str">
        <f ca="1">IFERROR(__xludf.DUMMYFUNCTION("""COMPUTED_VALUE"""),"chuāng")</f>
        <v>chuāng</v>
      </c>
      <c r="F932" s="13" t="str">
        <f ca="1">IFERROR(__xludf.DUMMYFUNCTION("""COMPUTED_VALUE"""),"Danh từ")</f>
        <v>Danh từ</v>
      </c>
      <c r="G932" s="13" t="str">
        <f ca="1">IFERROR(__xludf.DUMMYFUNCTION("""COMPUTED_VALUE"""),"cửa sổ")</f>
        <v>cửa sổ</v>
      </c>
      <c r="H932" s="13" t="str">
        <f ca="1">IFERROR(__xludf.DUMMYFUNCTION("""COMPUTED_VALUE"""),"窗户被风吹开了。")</f>
        <v>窗户被风吹开了。</v>
      </c>
      <c r="I932" s="13"/>
      <c r="J932" s="13" t="str">
        <f ca="1">IFERROR(__xludf.DUMMYFUNCTION("""COMPUTED_VALUE"""),"Cửa sổ bị gió thổi mở ra.")</f>
        <v>Cửa sổ bị gió thổi mở ra.</v>
      </c>
      <c r="K932" s="13" t="str">
        <f ca="1">IFERROR(__xludf.DUMMYFUNCTION("""COMPUTED_VALUE"""),"H4_B8_BG-25.png")</f>
        <v>H4_B8_BG-25.png</v>
      </c>
      <c r="L932" s="13" t="str">
        <f ca="1">IFERROR(__xludf.DUMMYFUNCTION("""COMPUTED_VALUE"""),"B8_25.mp3")</f>
        <v>B8_25.mp3</v>
      </c>
      <c r="M932" s="13" t="str">
        <f ca="1">IFERROR(__xludf.DUMMYFUNCTION("""COMPUTED_VALUE"""),"B8_VD_25.mp3")</f>
        <v>B8_VD_25.mp3</v>
      </c>
    </row>
    <row r="933" spans="1:13">
      <c r="A933" s="13">
        <f ca="1">IFERROR(__xludf.DUMMYFUNCTION("""COMPUTED_VALUE"""),26)</f>
        <v>26</v>
      </c>
      <c r="B933" s="13"/>
      <c r="C933" s="13" t="str">
        <f ca="1">IFERROR(__xludf.DUMMYFUNCTION("""COMPUTED_VALUE"""),"愉快")</f>
        <v>愉快</v>
      </c>
      <c r="D933" s="13" t="str">
        <f ca="1">IFERROR(__xludf.DUMMYFUNCTION("""COMPUTED_VALUE"""),"&lt;ruby&gt;愉快&lt;rt&gt;yúkuài&lt;/rt&gt;&lt;/ruby&gt;")</f>
        <v>&lt;ruby&gt;愉快&lt;rt&gt;yúkuài&lt;/rt&gt;&lt;/ruby&gt;</v>
      </c>
      <c r="E933" s="13" t="str">
        <f ca="1">IFERROR(__xludf.DUMMYFUNCTION("""COMPUTED_VALUE"""),"yúkuài")</f>
        <v>yúkuài</v>
      </c>
      <c r="F933" s="13" t="str">
        <f ca="1">IFERROR(__xludf.DUMMYFUNCTION("""COMPUTED_VALUE"""),"Tính từ")</f>
        <v>Tính từ</v>
      </c>
      <c r="G933" s="13" t="str">
        <f ca="1">IFERROR(__xludf.DUMMYFUNCTION("""COMPUTED_VALUE"""),"vui vẻ")</f>
        <v>vui vẻ</v>
      </c>
      <c r="H933" s="13" t="str">
        <f ca="1">IFERROR(__xludf.DUMMYFUNCTION("""COMPUTED_VALUE"""),"今天的聚会非常愉快。")</f>
        <v>今天的聚会非常愉快。</v>
      </c>
      <c r="I933" s="13"/>
      <c r="J933" s="13" t="str">
        <f ca="1">IFERROR(__xludf.DUMMYFUNCTION("""COMPUTED_VALUE"""),"Buổi tụ họp hôm nay rất vui vẻ.")</f>
        <v>Buổi tụ họp hôm nay rất vui vẻ.</v>
      </c>
      <c r="K933" s="13" t="str">
        <f ca="1">IFERROR(__xludf.DUMMYFUNCTION("""COMPUTED_VALUE"""),"H4_B8_BG-26.png")</f>
        <v>H4_B8_BG-26.png</v>
      </c>
      <c r="L933" s="13" t="str">
        <f ca="1">IFERROR(__xludf.DUMMYFUNCTION("""COMPUTED_VALUE"""),"B8_26.mp3")</f>
        <v>B8_26.mp3</v>
      </c>
      <c r="M933" s="13" t="str">
        <f ca="1">IFERROR(__xludf.DUMMYFUNCTION("""COMPUTED_VALUE"""),"B8_VD_26.mp3")</f>
        <v>B8_VD_26.mp3</v>
      </c>
    </row>
    <row r="934" spans="1:13">
      <c r="A934" s="13">
        <f ca="1">IFERROR(__xludf.DUMMYFUNCTION("""COMPUTED_VALUE"""),27)</f>
        <v>27</v>
      </c>
      <c r="B934" s="13"/>
      <c r="C934" s="13" t="str">
        <f ca="1">IFERROR(__xludf.DUMMYFUNCTION("""COMPUTED_VALUE"""),"巧克力")</f>
        <v>巧克力</v>
      </c>
      <c r="D934" s="13" t="str">
        <f ca="1">IFERROR(__xludf.DUMMYFUNCTION("""COMPUTED_VALUE"""),"&lt;ruby&gt;巧克力&lt;rt&gt;qiǎokèli&lt;/rt&gt;&lt;/ruby&gt;")</f>
        <v>&lt;ruby&gt;巧克力&lt;rt&gt;qiǎokèli&lt;/rt&gt;&lt;/ruby&gt;</v>
      </c>
      <c r="E934" s="13" t="str">
        <f ca="1">IFERROR(__xludf.DUMMYFUNCTION("""COMPUTED_VALUE"""),"qiǎokèli")</f>
        <v>qiǎokèli</v>
      </c>
      <c r="F934" s="13" t="str">
        <f ca="1">IFERROR(__xludf.DUMMYFUNCTION("""COMPUTED_VALUE"""),"Danh từ")</f>
        <v>Danh từ</v>
      </c>
      <c r="G934" s="13" t="str">
        <f ca="1">IFERROR(__xludf.DUMMYFUNCTION("""COMPUTED_VALUE"""),"sôcôla")</f>
        <v>sôcôla</v>
      </c>
      <c r="H934" s="13" t="str">
        <f ca="1">IFERROR(__xludf.DUMMYFUNCTION("""COMPUTED_VALUE"""),"这块巧克力很好吃，你尝尝吧。")</f>
        <v>这块巧克力很好吃，你尝尝吧。</v>
      </c>
      <c r="I934" s="13"/>
      <c r="J934" s="13" t="str">
        <f ca="1">IFERROR(__xludf.DUMMYFUNCTION("""COMPUTED_VALUE"""),"Sô cô la này ngon lắm, bạn nếm thử đi")</f>
        <v>Sô cô la này ngon lắm, bạn nếm thử đi</v>
      </c>
      <c r="K934" s="13" t="str">
        <f ca="1">IFERROR(__xludf.DUMMYFUNCTION("""COMPUTED_VALUE"""),"H4_B8_BG-27.png")</f>
        <v>H4_B8_BG-27.png</v>
      </c>
      <c r="L934" s="13" t="str">
        <f ca="1">IFERROR(__xludf.DUMMYFUNCTION("""COMPUTED_VALUE"""),"B8_27.mp3")</f>
        <v>B8_27.mp3</v>
      </c>
      <c r="M934" s="13" t="str">
        <f ca="1">IFERROR(__xludf.DUMMYFUNCTION("""COMPUTED_VALUE"""),"B8_VD_27.mp3")</f>
        <v>B8_VD_27.mp3</v>
      </c>
    </row>
    <row r="935" spans="1:13">
      <c r="A935" s="13">
        <f ca="1">IFERROR(__xludf.DUMMYFUNCTION("""COMPUTED_VALUE"""),28)</f>
        <v>28</v>
      </c>
      <c r="B935" s="13"/>
      <c r="C935" s="13" t="str">
        <f ca="1">IFERROR(__xludf.DUMMYFUNCTION("""COMPUTED_VALUE"""),"因此")</f>
        <v>因此</v>
      </c>
      <c r="D935" s="13" t="str">
        <f ca="1">IFERROR(__xludf.DUMMYFUNCTION("""COMPUTED_VALUE"""),"&lt;ruby&gt;因此&lt;rt&gt;Yīncǐ&lt;/rt&gt;&lt;/ruby&gt;")</f>
        <v>&lt;ruby&gt;因此&lt;rt&gt;Yīncǐ&lt;/rt&gt;&lt;/ruby&gt;</v>
      </c>
      <c r="E935" s="13" t="str">
        <f ca="1">IFERROR(__xludf.DUMMYFUNCTION("""COMPUTED_VALUE"""),"Yīncǐ")</f>
        <v>Yīncǐ</v>
      </c>
      <c r="F935" s="13" t="str">
        <f ca="1">IFERROR(__xludf.DUMMYFUNCTION("""COMPUTED_VALUE"""),"Liên từ")</f>
        <v>Liên từ</v>
      </c>
      <c r="G935" s="13" t="str">
        <f ca="1">IFERROR(__xludf.DUMMYFUNCTION("""COMPUTED_VALUE"""),"do đó, vì vậy")</f>
        <v>do đó, vì vậy</v>
      </c>
      <c r="H935" s="13" t="str">
        <f ca="1">IFERROR(__xludf.DUMMYFUNCTION("""COMPUTED_VALUE"""),"天气不好，因此我们取消了旅行计划。")</f>
        <v>天气不好，因此我们取消了旅行计划。</v>
      </c>
      <c r="I935" s="13"/>
      <c r="J935" s="13" t="str">
        <f ca="1">IFERROR(__xludf.DUMMYFUNCTION("""COMPUTED_VALUE"""),"Thời tiết không tốt, vì vậy chúng tôi đã hủy kế hoạch du lịch.")</f>
        <v>Thời tiết không tốt, vì vậy chúng tôi đã hủy kế hoạch du lịch.</v>
      </c>
      <c r="K935" s="13" t="str">
        <f ca="1">IFERROR(__xludf.DUMMYFUNCTION("""COMPUTED_VALUE"""),"H4_B8_BG-28.png")</f>
        <v>H4_B8_BG-28.png</v>
      </c>
      <c r="L935" s="13" t="str">
        <f ca="1">IFERROR(__xludf.DUMMYFUNCTION("""COMPUTED_VALUE"""),"B8_28.mp3")</f>
        <v>B8_28.mp3</v>
      </c>
      <c r="M935" s="13" t="str">
        <f ca="1">IFERROR(__xludf.DUMMYFUNCTION("""COMPUTED_VALUE"""),"B8_VD_28.mp3")</f>
        <v>B8_VD_28.mp3</v>
      </c>
    </row>
    <row r="936" spans="1:13">
      <c r="A936" s="13">
        <f ca="1">IFERROR(__xludf.DUMMYFUNCTION("""COMPUTED_VALUE"""),29)</f>
        <v>29</v>
      </c>
      <c r="B936" s="13"/>
      <c r="C936" s="13" t="str">
        <f ca="1">IFERROR(__xludf.DUMMYFUNCTION("""COMPUTED_VALUE"""),"科学")</f>
        <v>科学</v>
      </c>
      <c r="D936" s="13" t="str">
        <f ca="1">IFERROR(__xludf.DUMMYFUNCTION("""COMPUTED_VALUE"""),"&lt;ruby&gt;科学&lt;rt&gt;kēxué&lt;/rt&gt;&lt;/ruby&gt;")</f>
        <v>&lt;ruby&gt;科学&lt;rt&gt;kēxué&lt;/rt&gt;&lt;/ruby&gt;</v>
      </c>
      <c r="E936" s="13" t="str">
        <f ca="1">IFERROR(__xludf.DUMMYFUNCTION("""COMPUTED_VALUE"""),"kēxué")</f>
        <v>kēxué</v>
      </c>
      <c r="F936" s="13" t="str">
        <f ca="1">IFERROR(__xludf.DUMMYFUNCTION("""COMPUTED_VALUE"""),"Danh từ")</f>
        <v>Danh từ</v>
      </c>
      <c r="G936" s="13" t="str">
        <f ca="1">IFERROR(__xludf.DUMMYFUNCTION("""COMPUTED_VALUE"""),"khoa học")</f>
        <v>khoa học</v>
      </c>
      <c r="H936" s="13" t="str">
        <f ca="1">IFERROR(__xludf.DUMMYFUNCTION("""COMPUTED_VALUE"""),"我想成为一名科学家。")</f>
        <v>我想成为一名科学家。</v>
      </c>
      <c r="I936" s="13"/>
      <c r="J936" s="13" t="str">
        <f ca="1">IFERROR(__xludf.DUMMYFUNCTION("""COMPUTED_VALUE"""),"Tôi muốn trở thành nhà khoa học.")</f>
        <v>Tôi muốn trở thành nhà khoa học.</v>
      </c>
      <c r="K936" s="13" t="str">
        <f ca="1">IFERROR(__xludf.DUMMYFUNCTION("""COMPUTED_VALUE"""),"H4_B8_BG-29.png")</f>
        <v>H4_B8_BG-29.png</v>
      </c>
      <c r="L936" s="13" t="str">
        <f ca="1">IFERROR(__xludf.DUMMYFUNCTION("""COMPUTED_VALUE"""),"B8_29.mp3")</f>
        <v>B8_29.mp3</v>
      </c>
      <c r="M936" s="13" t="str">
        <f ca="1">IFERROR(__xludf.DUMMYFUNCTION("""COMPUTED_VALUE"""),"B8_VD_29.mp3")</f>
        <v>B8_VD_29.mp3</v>
      </c>
    </row>
    <row r="937" spans="1:13">
      <c r="A937" s="13">
        <f ca="1">IFERROR(__xludf.DUMMYFUNCTION("""COMPUTED_VALUE"""),30)</f>
        <v>30</v>
      </c>
      <c r="B937" s="13"/>
      <c r="C937" s="13" t="str">
        <f ca="1">IFERROR(__xludf.DUMMYFUNCTION("""COMPUTED_VALUE"""),"证明")</f>
        <v>证明</v>
      </c>
      <c r="D937" s="13" t="str">
        <f ca="1">IFERROR(__xludf.DUMMYFUNCTION("""COMPUTED_VALUE"""),"&lt;ruby&gt;证明&lt;rt&gt;zhèngmíng&lt;/rt&gt;&lt;/ruby&gt;")</f>
        <v>&lt;ruby&gt;证明&lt;rt&gt;zhèngmíng&lt;/rt&gt;&lt;/ruby&gt;</v>
      </c>
      <c r="E937" s="13" t="str">
        <f ca="1">IFERROR(__xludf.DUMMYFUNCTION("""COMPUTED_VALUE"""),"zhèngmíng")</f>
        <v>zhèngmíng</v>
      </c>
      <c r="F937" s="13" t="str">
        <f ca="1">IFERROR(__xludf.DUMMYFUNCTION("""COMPUTED_VALUE"""),"Động từ")</f>
        <v>Động từ</v>
      </c>
      <c r="G937" s="13" t="str">
        <f ca="1">IFERROR(__xludf.DUMMYFUNCTION("""COMPUTED_VALUE"""),"chứng minh")</f>
        <v>chứng minh</v>
      </c>
      <c r="H937" s="13" t="str">
        <f ca="1">IFERROR(__xludf.DUMMYFUNCTION("""COMPUTED_VALUE"""),"请出示您的身份证来证明您的身份。")</f>
        <v>请出示您的身份证来证明您的身份。</v>
      </c>
      <c r="I937" s="13"/>
      <c r="J937" s="13" t="str">
        <f ca="1">IFERROR(__xludf.DUMMYFUNCTION("""COMPUTED_VALUE"""),"Vui lòng xuất trình chứng minh thư để xác minh danh tính của bạn.")</f>
        <v>Vui lòng xuất trình chứng minh thư để xác minh danh tính của bạn.</v>
      </c>
      <c r="K937" s="13" t="str">
        <f ca="1">IFERROR(__xludf.DUMMYFUNCTION("""COMPUTED_VALUE"""),"H4_B8_BG-30.png")</f>
        <v>H4_B8_BG-30.png</v>
      </c>
      <c r="L937" s="13" t="str">
        <f ca="1">IFERROR(__xludf.DUMMYFUNCTION("""COMPUTED_VALUE"""),"B8_30.mp3")</f>
        <v>B8_30.mp3</v>
      </c>
      <c r="M937" s="13" t="str">
        <f ca="1">IFERROR(__xludf.DUMMYFUNCTION("""COMPUTED_VALUE"""),"B8_VD_30.mp3")</f>
        <v>B8_VD_30.mp3</v>
      </c>
    </row>
    <row r="938" spans="1:13">
      <c r="A938" s="13">
        <f ca="1">IFERROR(__xludf.DUMMYFUNCTION("""COMPUTED_VALUE"""),31)</f>
        <v>31</v>
      </c>
      <c r="B938" s="13"/>
      <c r="C938" s="13" t="str">
        <f ca="1">IFERROR(__xludf.DUMMYFUNCTION("""COMPUTED_VALUE"""),"只要")</f>
        <v>只要</v>
      </c>
      <c r="D938" s="13" t="str">
        <f ca="1">IFERROR(__xludf.DUMMYFUNCTION("""COMPUTED_VALUE"""),"&lt;ruby&gt;只要&lt;rt&gt;zhǐyào&lt;/rt&gt;&lt;/ruby&gt;")</f>
        <v>&lt;ruby&gt;只要&lt;rt&gt;zhǐyào&lt;/rt&gt;&lt;/ruby&gt;</v>
      </c>
      <c r="E938" s="13" t="str">
        <f ca="1">IFERROR(__xludf.DUMMYFUNCTION("""COMPUTED_VALUE"""),"zhǐyào")</f>
        <v>zhǐyào</v>
      </c>
      <c r="F938" s="13" t="str">
        <f ca="1">IFERROR(__xludf.DUMMYFUNCTION("""COMPUTED_VALUE"""),"Liên từ")</f>
        <v>Liên từ</v>
      </c>
      <c r="G938" s="13" t="str">
        <f ca="1">IFERROR(__xludf.DUMMYFUNCTION("""COMPUTED_VALUE"""),"chỉ cần, miễn là")</f>
        <v>chỉ cần, miễn là</v>
      </c>
      <c r="H938" s="13" t="str">
        <f ca="1">IFERROR(__xludf.DUMMYFUNCTION("""COMPUTED_VALUE"""),"只要你努力，就一定能成功。")</f>
        <v>只要你努力，就一定能成功。</v>
      </c>
      <c r="I938" s="13"/>
      <c r="J938" s="13" t="str">
        <f ca="1">IFERROR(__xludf.DUMMYFUNCTION("""COMPUTED_VALUE"""),"Chỉ cần bạn nỗ lực, nhất định sẽ thành công.")</f>
        <v>Chỉ cần bạn nỗ lực, nhất định sẽ thành công.</v>
      </c>
      <c r="K938" s="13" t="str">
        <f ca="1">IFERROR(__xludf.DUMMYFUNCTION("""COMPUTED_VALUE"""),"H4_B8_BG-31.png")</f>
        <v>H4_B8_BG-31.png</v>
      </c>
      <c r="L938" s="13" t="str">
        <f ca="1">IFERROR(__xludf.DUMMYFUNCTION("""COMPUTED_VALUE"""),"B8_31.mp3")</f>
        <v>B8_31.mp3</v>
      </c>
      <c r="M938" s="13" t="str">
        <f ca="1">IFERROR(__xludf.DUMMYFUNCTION("""COMPUTED_VALUE"""),"B8_VD_31.mp3")</f>
        <v>B8_VD_31.mp3</v>
      </c>
    </row>
    <row r="939" spans="1:13">
      <c r="A939" s="13">
        <f ca="1">IFERROR(__xludf.DUMMYFUNCTION("""COMPUTED_VALUE"""),32)</f>
        <v>32</v>
      </c>
      <c r="B939" s="13"/>
      <c r="C939" s="13" t="str">
        <f ca="1">IFERROR(__xludf.DUMMYFUNCTION("""COMPUTED_VALUE"""),"长期")</f>
        <v>长期</v>
      </c>
      <c r="D939" s="13" t="str">
        <f ca="1">IFERROR(__xludf.DUMMYFUNCTION("""COMPUTED_VALUE"""),"&lt;ruby&gt;长期&lt;rt&gt;chángqī&lt;/rt&gt;&lt;/ruby&gt;")</f>
        <v>&lt;ruby&gt;长期&lt;rt&gt;chángqī&lt;/rt&gt;&lt;/ruby&gt;</v>
      </c>
      <c r="E939" s="13" t="str">
        <f ca="1">IFERROR(__xludf.DUMMYFUNCTION("""COMPUTED_VALUE"""),"chángqī")</f>
        <v>chángqī</v>
      </c>
      <c r="F939" s="13" t="str">
        <f ca="1">IFERROR(__xludf.DUMMYFUNCTION("""COMPUTED_VALUE"""),"Danh từ")</f>
        <v>Danh từ</v>
      </c>
      <c r="G939" s="13" t="str">
        <f ca="1">IFERROR(__xludf.DUMMYFUNCTION("""COMPUTED_VALUE"""),"thời gian dài")</f>
        <v>thời gian dài</v>
      </c>
      <c r="H939" s="13" t="str">
        <f ca="1">IFERROR(__xludf.DUMMYFUNCTION("""COMPUTED_VALUE"""),"长期坚持锻炼对健康很有好处。")</f>
        <v>长期坚持锻炼对健康很有好处。</v>
      </c>
      <c r="I939" s="13"/>
      <c r="J939" s="13" t="str">
        <f ca="1">IFERROR(__xludf.DUMMYFUNCTION("""COMPUTED_VALUE"""),"Kiên trì tập thể dục trong thời gian dài rất có lợi cho sức khỏe.")</f>
        <v>Kiên trì tập thể dục trong thời gian dài rất có lợi cho sức khỏe.</v>
      </c>
      <c r="K939" s="13" t="str">
        <f ca="1">IFERROR(__xludf.DUMMYFUNCTION("""COMPUTED_VALUE"""),"H4_B8_BG-32.png")</f>
        <v>H4_B8_BG-32.png</v>
      </c>
      <c r="L939" s="13" t="str">
        <f ca="1">IFERROR(__xludf.DUMMYFUNCTION("""COMPUTED_VALUE"""),"B8_32.mp3")</f>
        <v>B8_32.mp3</v>
      </c>
      <c r="M939" s="13" t="str">
        <f ca="1">IFERROR(__xludf.DUMMYFUNCTION("""COMPUTED_VALUE"""),"B8_VD_32.mp3")</f>
        <v>B8_VD_32.mp3</v>
      </c>
    </row>
    <row r="940" spans="1:13">
      <c r="A940" s="13">
        <f ca="1">IFERROR(__xludf.DUMMYFUNCTION("""COMPUTED_VALUE"""),33)</f>
        <v>33</v>
      </c>
      <c r="B940" s="13"/>
      <c r="C940" s="13" t="str">
        <f ca="1">IFERROR(__xludf.DUMMYFUNCTION("""COMPUTED_VALUE"""),"得到")</f>
        <v>得到</v>
      </c>
      <c r="D940" s="13" t="str">
        <f ca="1">IFERROR(__xludf.DUMMYFUNCTION("""COMPUTED_VALUE"""),"&lt;ruby&gt;得到&lt;rt&gt;dédào&lt;/rt&gt;&lt;/ruby&gt;")</f>
        <v>&lt;ruby&gt;得到&lt;rt&gt;dédào&lt;/rt&gt;&lt;/ruby&gt;</v>
      </c>
      <c r="E940" s="13" t="str">
        <f ca="1">IFERROR(__xludf.DUMMYFUNCTION("""COMPUTED_VALUE"""),"dédào")</f>
        <v>dédào</v>
      </c>
      <c r="F940" s="13" t="str">
        <f ca="1">IFERROR(__xludf.DUMMYFUNCTION("""COMPUTED_VALUE"""),"Động từ")</f>
        <v>Động từ</v>
      </c>
      <c r="G940" s="13" t="str">
        <f ca="1">IFERROR(__xludf.DUMMYFUNCTION("""COMPUTED_VALUE"""),"được, nhận được")</f>
        <v>được, nhận được</v>
      </c>
      <c r="H940" s="13" t="str">
        <f ca="1">IFERROR(__xludf.DUMMYFUNCTION("""COMPUTED_VALUE"""),"我得到了体育比赛的一等奖。")</f>
        <v>我得到了体育比赛的一等奖。</v>
      </c>
      <c r="I940" s="13"/>
      <c r="J940" s="13" t="str">
        <f ca="1">IFERROR(__xludf.DUMMYFUNCTION("""COMPUTED_VALUE"""),"Tôi đã giành được giải nhất của cuộc thi thể thao.")</f>
        <v>Tôi đã giành được giải nhất của cuộc thi thể thao.</v>
      </c>
      <c r="K940" s="13" t="str">
        <f ca="1">IFERROR(__xludf.DUMMYFUNCTION("""COMPUTED_VALUE"""),"H4_B8_BG-33.png")</f>
        <v>H4_B8_BG-33.png</v>
      </c>
      <c r="L940" s="13" t="str">
        <f ca="1">IFERROR(__xludf.DUMMYFUNCTION("""COMPUTED_VALUE"""),"B8_33.mp3")</f>
        <v>B8_33.mp3</v>
      </c>
      <c r="M940" s="13" t="str">
        <f ca="1">IFERROR(__xludf.DUMMYFUNCTION("""COMPUTED_VALUE"""),"B8_VD_33.mp3")</f>
        <v>B8_VD_33.mp3</v>
      </c>
    </row>
    <row r="941" spans="1:13">
      <c r="A941" s="13">
        <f ca="1">IFERROR(__xludf.DUMMYFUNCTION("""COMPUTED_VALUE"""),34)</f>
        <v>34</v>
      </c>
      <c r="B941" s="13"/>
      <c r="C941" s="13" t="str">
        <f ca="1">IFERROR(__xludf.DUMMYFUNCTION("""COMPUTED_VALUE"""),"美")</f>
        <v>美</v>
      </c>
      <c r="D941" s="13" t="str">
        <f ca="1">IFERROR(__xludf.DUMMYFUNCTION("""COMPUTED_VALUE"""),"&lt;ruby&gt;美&lt;rt&gt;měi&lt;/rt&gt;&lt;/ruby&gt;")</f>
        <v>&lt;ruby&gt;美&lt;rt&gt;měi&lt;/rt&gt;&lt;/ruby&gt;</v>
      </c>
      <c r="E941" s="13" t="str">
        <f ca="1">IFERROR(__xludf.DUMMYFUNCTION("""COMPUTED_VALUE"""),"měi")</f>
        <v>měi</v>
      </c>
      <c r="F941" s="13" t="str">
        <f ca="1">IFERROR(__xludf.DUMMYFUNCTION("""COMPUTED_VALUE"""),"Tính từ")</f>
        <v>Tính từ</v>
      </c>
      <c r="G941" s="13" t="str">
        <f ca="1">IFERROR(__xludf.DUMMYFUNCTION("""COMPUTED_VALUE"""),"đẹp")</f>
        <v>đẹp</v>
      </c>
      <c r="H941" s="13" t="str">
        <f ca="1">IFERROR(__xludf.DUMMYFUNCTION("""COMPUTED_VALUE"""),"她是我见过最美的女孩。")</f>
        <v>她是我见过最美的女孩。</v>
      </c>
      <c r="I941" s="13"/>
      <c r="J941" s="13" t="str">
        <f ca="1">IFERROR(__xludf.DUMMYFUNCTION("""COMPUTED_VALUE"""),"Cô ấy là cô gái đẹp nhất mà tôi từng gặp.")</f>
        <v>Cô ấy là cô gái đẹp nhất mà tôi từng gặp.</v>
      </c>
      <c r="K941" s="13" t="str">
        <f ca="1">IFERROR(__xludf.DUMMYFUNCTION("""COMPUTED_VALUE"""),"H4_B8_BG-34.png")</f>
        <v>H4_B8_BG-34.png</v>
      </c>
      <c r="L941" s="13" t="str">
        <f ca="1">IFERROR(__xludf.DUMMYFUNCTION("""COMPUTED_VALUE"""),"B8_34.mp3")</f>
        <v>B8_34.mp3</v>
      </c>
      <c r="M941" s="13" t="str">
        <f ca="1">IFERROR(__xludf.DUMMYFUNCTION("""COMPUTED_VALUE"""),"B8_VD_34.mp3")</f>
        <v>B8_VD_34.mp3</v>
      </c>
    </row>
    <row r="942" spans="1:13">
      <c r="A942" s="13">
        <f ca="1">IFERROR(__xludf.DUMMYFUNCTION("""COMPUTED_VALUE"""),35)</f>
        <v>35</v>
      </c>
      <c r="B942" s="13"/>
      <c r="C942" s="13" t="str">
        <f ca="1">IFERROR(__xludf.DUMMYFUNCTION("""COMPUTED_VALUE"""),"女性")</f>
        <v>女性</v>
      </c>
      <c r="D942" s="13" t="str">
        <f ca="1">IFERROR(__xludf.DUMMYFUNCTION("""COMPUTED_VALUE"""),"&lt;ruby&gt;女性&lt;rt&gt;Nǚxìng&lt;/rt&gt;&lt;/ruby&gt;")</f>
        <v>&lt;ruby&gt;女性&lt;rt&gt;Nǚxìng&lt;/rt&gt;&lt;/ruby&gt;</v>
      </c>
      <c r="E942" s="13" t="str">
        <f ca="1">IFERROR(__xludf.DUMMYFUNCTION("""COMPUTED_VALUE"""),"Nǚxìng")</f>
        <v>Nǚxìng</v>
      </c>
      <c r="F942" s="13" t="str">
        <f ca="1">IFERROR(__xludf.DUMMYFUNCTION("""COMPUTED_VALUE"""),"Danh từ")</f>
        <v>Danh từ</v>
      </c>
      <c r="G942" s="13" t="str">
        <f ca="1">IFERROR(__xludf.DUMMYFUNCTION("""COMPUTED_VALUE"""),"phụ nữ")</f>
        <v>phụ nữ</v>
      </c>
      <c r="H942" s="13" t="str">
        <f ca="1">IFERROR(__xludf.DUMMYFUNCTION("""COMPUTED_VALUE"""),"我发现记者往往是女性。")</f>
        <v>我发现记者往往是女性。</v>
      </c>
      <c r="I942" s="13"/>
      <c r="J942" s="13" t="str">
        <f ca="1">IFERROR(__xludf.DUMMYFUNCTION("""COMPUTED_VALUE"""),"Tôi thấy phóng viên thường là con gái.")</f>
        <v>Tôi thấy phóng viên thường là con gái.</v>
      </c>
      <c r="K942" s="13" t="str">
        <f ca="1">IFERROR(__xludf.DUMMYFUNCTION("""COMPUTED_VALUE"""),"H4_B8_BG-35.png")</f>
        <v>H4_B8_BG-35.png</v>
      </c>
      <c r="L942" s="13" t="str">
        <f ca="1">IFERROR(__xludf.DUMMYFUNCTION("""COMPUTED_VALUE"""),"B8_35.mp3")</f>
        <v>B8_35.mp3</v>
      </c>
      <c r="M942" s="13" t="str">
        <f ca="1">IFERROR(__xludf.DUMMYFUNCTION("""COMPUTED_VALUE"""),"B8_VD_35.mp3")</f>
        <v>B8_VD_35.mp3</v>
      </c>
    </row>
    <row r="943" spans="1:13">
      <c r="A943" s="13">
        <f ca="1">IFERROR(__xludf.DUMMYFUNCTION("""COMPUTED_VALUE"""),36)</f>
        <v>36</v>
      </c>
      <c r="B943" s="13"/>
      <c r="C943" s="13" t="str">
        <f ca="1">IFERROR(__xludf.DUMMYFUNCTION("""COMPUTED_VALUE"""),"有关")</f>
        <v>有关</v>
      </c>
      <c r="D943" s="13" t="str">
        <f ca="1">IFERROR(__xludf.DUMMYFUNCTION("""COMPUTED_VALUE"""),"&lt;ruby&gt;有关&lt;rt&gt;yŏuguān&lt;/rt&gt;&lt;/ruby&gt;")</f>
        <v>&lt;ruby&gt;有关&lt;rt&gt;yŏuguān&lt;/rt&gt;&lt;/ruby&gt;</v>
      </c>
      <c r="E943" s="13" t="str">
        <f ca="1">IFERROR(__xludf.DUMMYFUNCTION("""COMPUTED_VALUE"""),"yŏuguān")</f>
        <v>yŏuguān</v>
      </c>
      <c r="F943" s="13" t="str">
        <f ca="1">IFERROR(__xludf.DUMMYFUNCTION("""COMPUTED_VALUE"""),"Động từ")</f>
        <v>Động từ</v>
      </c>
      <c r="G943" s="13" t="str">
        <f ca="1">IFERROR(__xludf.DUMMYFUNCTION("""COMPUTED_VALUE"""),"có liên quan")</f>
        <v>có liên quan</v>
      </c>
      <c r="H943" s="13" t="str">
        <f ca="1">IFERROR(__xludf.DUMMYFUNCTION("""COMPUTED_VALUE"""),"这本书的内容和历史有关。")</f>
        <v>这本书的内容和历史有关。</v>
      </c>
      <c r="I943" s="13"/>
      <c r="J943" s="13" t="str">
        <f ca="1">IFERROR(__xludf.DUMMYFUNCTION("""COMPUTED_VALUE"""),"Nội dung của cuốn sách này có liên quan đến lịch sử.")</f>
        <v>Nội dung của cuốn sách này có liên quan đến lịch sử.</v>
      </c>
      <c r="K943" s="13" t="str">
        <f ca="1">IFERROR(__xludf.DUMMYFUNCTION("""COMPUTED_VALUE"""),"H4_B8_BG-36.png")</f>
        <v>H4_B8_BG-36.png</v>
      </c>
      <c r="L943" s="13" t="str">
        <f ca="1">IFERROR(__xludf.DUMMYFUNCTION("""COMPUTED_VALUE"""),"B8_36.mp3")</f>
        <v>B8_36.mp3</v>
      </c>
      <c r="M943" s="13" t="str">
        <f ca="1">IFERROR(__xludf.DUMMYFUNCTION("""COMPUTED_VALUE"""),"B8_VD_36.mp3")</f>
        <v>B8_VD_36.mp3</v>
      </c>
    </row>
    <row r="944" spans="1:13">
      <c r="A944" s="13">
        <f ca="1">IFERROR(__xludf.DUMMYFUNCTION("""COMPUTED_VALUE"""),1)</f>
        <v>1</v>
      </c>
      <c r="B944" s="13"/>
      <c r="C944" s="13" t="str">
        <f ca="1">IFERROR(__xludf.DUMMYFUNCTION("""COMPUTED_VALUE"""),"当时")</f>
        <v>当时</v>
      </c>
      <c r="D944" s="13" t="str">
        <f ca="1">IFERROR(__xludf.DUMMYFUNCTION("""COMPUTED_VALUE"""),"&lt;ruby&gt;当时&lt;rt&gt;Dāngshí&lt;/rt&gt;&lt;/ruby&gt;")</f>
        <v>&lt;ruby&gt;当时&lt;rt&gt;Dāngshí&lt;/rt&gt;&lt;/ruby&gt;</v>
      </c>
      <c r="E944" s="13" t="str">
        <f ca="1">IFERROR(__xludf.DUMMYFUNCTION("""COMPUTED_VALUE"""),"Dāngshí")</f>
        <v>Dāngshí</v>
      </c>
      <c r="F944" s="13" t="str">
        <f ca="1">IFERROR(__xludf.DUMMYFUNCTION("""COMPUTED_VALUE"""),"Danh từ")</f>
        <v>Danh từ</v>
      </c>
      <c r="G944" s="13" t="str">
        <f ca="1">IFERROR(__xludf.DUMMYFUNCTION("""COMPUTED_VALUE"""),"lúc đó")</f>
        <v>lúc đó</v>
      </c>
      <c r="H944" s="13" t="str">
        <f ca="1">IFERROR(__xludf.DUMMYFUNCTION("""COMPUTED_VALUE"""),"我们当时都很高兴。")</f>
        <v>我们当时都很高兴。</v>
      </c>
      <c r="I944" s="13"/>
      <c r="J944" s="13" t="str">
        <f ca="1">IFERROR(__xludf.DUMMYFUNCTION("""COMPUTED_VALUE"""),"Lúc đó chúng tôi đều rất vui.")</f>
        <v>Lúc đó chúng tôi đều rất vui.</v>
      </c>
      <c r="K944" s="13" t="str">
        <f ca="1">IFERROR(__xludf.DUMMYFUNCTION("""COMPUTED_VALUE"""),"H4_B9_BG-01.png")</f>
        <v>H4_B9_BG-01.png</v>
      </c>
      <c r="L944" s="13" t="str">
        <f ca="1">IFERROR(__xludf.DUMMYFUNCTION("""COMPUTED_VALUE"""),"B9_1.mp3")</f>
        <v>B9_1.mp3</v>
      </c>
      <c r="M944" s="13" t="str">
        <f ca="1">IFERROR(__xludf.DUMMYFUNCTION("""COMPUTED_VALUE"""),"B9_VD_1.mp3")</f>
        <v>B9_VD_1.mp3</v>
      </c>
    </row>
    <row r="945" spans="1:13">
      <c r="A945" s="13">
        <f ca="1">IFERROR(__xludf.DUMMYFUNCTION("""COMPUTED_VALUE"""),2)</f>
        <v>2</v>
      </c>
      <c r="B945" s="13"/>
      <c r="C945" s="13" t="str">
        <f ca="1">IFERROR(__xludf.DUMMYFUNCTION("""COMPUTED_VALUE"""),"得")</f>
        <v>得</v>
      </c>
      <c r="D945" s="13" t="str">
        <f ca="1">IFERROR(__xludf.DUMMYFUNCTION("""COMPUTED_VALUE"""),"&lt;ruby&gt;得&lt;rt&gt;děi&lt;/rt&gt;&lt;/ruby&gt;")</f>
        <v>&lt;ruby&gt;得&lt;rt&gt;děi&lt;/rt&gt;&lt;/ruby&gt;</v>
      </c>
      <c r="E945" s="13" t="str">
        <f ca="1">IFERROR(__xludf.DUMMYFUNCTION("""COMPUTED_VALUE"""),"děi")</f>
        <v>děi</v>
      </c>
      <c r="F945" s="13" t="str">
        <f ca="1">IFERROR(__xludf.DUMMYFUNCTION("""COMPUTED_VALUE"""),"Động từ năng nguyện ")</f>
        <v xml:space="preserve">Động từ năng nguyện </v>
      </c>
      <c r="G945" s="13" t="str">
        <f ca="1">IFERROR(__xludf.DUMMYFUNCTION("""COMPUTED_VALUE"""),"phải")</f>
        <v>phải</v>
      </c>
      <c r="H945" s="13" t="str">
        <f ca="1">IFERROR(__xludf.DUMMYFUNCTION("""COMPUTED_VALUE"""),"我得去上课了。")</f>
        <v>我得去上课了。</v>
      </c>
      <c r="I945" s="13"/>
      <c r="J945" s="13" t="str">
        <f ca="1">IFERROR(__xludf.DUMMYFUNCTION("""COMPUTED_VALUE"""),"Tôi phải đi học rồi.")</f>
        <v>Tôi phải đi học rồi.</v>
      </c>
      <c r="K945" s="13" t="str">
        <f ca="1">IFERROR(__xludf.DUMMYFUNCTION("""COMPUTED_VALUE"""),"H4_B9_BG-02.png")</f>
        <v>H4_B9_BG-02.png</v>
      </c>
      <c r="L945" s="13" t="str">
        <f ca="1">IFERROR(__xludf.DUMMYFUNCTION("""COMPUTED_VALUE"""),"B9_2.mp3")</f>
        <v>B9_2.mp3</v>
      </c>
      <c r="M945" s="13" t="str">
        <f ca="1">IFERROR(__xludf.DUMMYFUNCTION("""COMPUTED_VALUE"""),"B9_VD_2.mp3")</f>
        <v>B9_VD_2.mp3</v>
      </c>
    </row>
    <row r="946" spans="1:13">
      <c r="A946" s="13">
        <f ca="1">IFERROR(__xludf.DUMMYFUNCTION("""COMPUTED_VALUE"""),3)</f>
        <v>3</v>
      </c>
      <c r="B946" s="13"/>
      <c r="C946" s="13" t="str">
        <f ca="1">IFERROR(__xludf.DUMMYFUNCTION("""COMPUTED_VALUE"""),"过程")</f>
        <v>过程</v>
      </c>
      <c r="D946" s="13" t="str">
        <f ca="1">IFERROR(__xludf.DUMMYFUNCTION("""COMPUTED_VALUE"""),"&lt;ruby&gt;过程&lt;rt&gt;guòchéng&lt;/rt&gt;&lt;/ruby&gt;")</f>
        <v>&lt;ruby&gt;过程&lt;rt&gt;guòchéng&lt;/rt&gt;&lt;/ruby&gt;</v>
      </c>
      <c r="E946" s="13" t="str">
        <f ca="1">IFERROR(__xludf.DUMMYFUNCTION("""COMPUTED_VALUE"""),"guòchéng")</f>
        <v>guòchéng</v>
      </c>
      <c r="F946" s="13" t="str">
        <f ca="1">IFERROR(__xludf.DUMMYFUNCTION("""COMPUTED_VALUE"""),"Danh từ")</f>
        <v>Danh từ</v>
      </c>
      <c r="G946" s="13" t="str">
        <f ca="1">IFERROR(__xludf.DUMMYFUNCTION("""COMPUTED_VALUE"""),"quá trình")</f>
        <v>quá trình</v>
      </c>
      <c r="H946" s="13" t="str">
        <f ca="1">IFERROR(__xludf.DUMMYFUNCTION("""COMPUTED_VALUE"""),"做饭是一个有趣的过程。")</f>
        <v>做饭是一个有趣的过程。</v>
      </c>
      <c r="I946" s="13"/>
      <c r="J946" s="13" t="str">
        <f ca="1">IFERROR(__xludf.DUMMYFUNCTION("""COMPUTED_VALUE"""),"Nấu ăn là một quá trình thú vị.")</f>
        <v>Nấu ăn là một quá trình thú vị.</v>
      </c>
      <c r="K946" s="13" t="str">
        <f ca="1">IFERROR(__xludf.DUMMYFUNCTION("""COMPUTED_VALUE"""),"H4_B9_BG-03.png")</f>
        <v>H4_B9_BG-03.png</v>
      </c>
      <c r="L946" s="13" t="str">
        <f ca="1">IFERROR(__xludf.DUMMYFUNCTION("""COMPUTED_VALUE"""),"B9_3.mp3")</f>
        <v>B9_3.mp3</v>
      </c>
      <c r="M946" s="13" t="str">
        <f ca="1">IFERROR(__xludf.DUMMYFUNCTION("""COMPUTED_VALUE"""),"B9_VD_3.mp3")</f>
        <v>B9_VD_3.mp3</v>
      </c>
    </row>
    <row r="947" spans="1:13">
      <c r="A947" s="13">
        <f ca="1">IFERROR(__xludf.DUMMYFUNCTION("""COMPUTED_VALUE"""),4)</f>
        <v>4</v>
      </c>
      <c r="B947" s="13"/>
      <c r="C947" s="13" t="str">
        <f ca="1">IFERROR(__xludf.DUMMYFUNCTION("""COMPUTED_VALUE"""),"汗")</f>
        <v>汗</v>
      </c>
      <c r="D947" s="13" t="str">
        <f ca="1">IFERROR(__xludf.DUMMYFUNCTION("""COMPUTED_VALUE"""),"&lt;ruby&gt;汗&lt;rt&gt;hàn&lt;/rt&gt;&lt;/ruby&gt;")</f>
        <v>&lt;ruby&gt;汗&lt;rt&gt;hàn&lt;/rt&gt;&lt;/ruby&gt;</v>
      </c>
      <c r="E947" s="13" t="str">
        <f ca="1">IFERROR(__xludf.DUMMYFUNCTION("""COMPUTED_VALUE"""),"hàn")</f>
        <v>hàn</v>
      </c>
      <c r="F947" s="13" t="str">
        <f ca="1">IFERROR(__xludf.DUMMYFUNCTION("""COMPUTED_VALUE"""),"Danh từ")</f>
        <v>Danh từ</v>
      </c>
      <c r="G947" s="13" t="str">
        <f ca="1">IFERROR(__xludf.DUMMYFUNCTION("""COMPUTED_VALUE"""),"mồ hôi")</f>
        <v>mồ hôi</v>
      </c>
      <c r="H947" s="13" t="str">
        <f ca="1">IFERROR(__xludf.DUMMYFUNCTION("""COMPUTED_VALUE"""),"运动后，我全身都是汗。")</f>
        <v>运动后，我全身都是汗。</v>
      </c>
      <c r="I947" s="13"/>
      <c r="J947" s="13" t="str">
        <f ca="1">IFERROR(__xludf.DUMMYFUNCTION("""COMPUTED_VALUE"""),"Sau khi tập thể dục, toàn thân tôi đầy mồ hôi.")</f>
        <v>Sau khi tập thể dục, toàn thân tôi đầy mồ hôi.</v>
      </c>
      <c r="K947" s="13" t="str">
        <f ca="1">IFERROR(__xludf.DUMMYFUNCTION("""COMPUTED_VALUE"""),"H4_B9_BG-04.png")</f>
        <v>H4_B9_BG-04.png</v>
      </c>
      <c r="L947" s="13" t="str">
        <f ca="1">IFERROR(__xludf.DUMMYFUNCTION("""COMPUTED_VALUE"""),"B9_4.mp3")</f>
        <v>B9_4.mp3</v>
      </c>
      <c r="M947" s="13" t="str">
        <f ca="1">IFERROR(__xludf.DUMMYFUNCTION("""COMPUTED_VALUE"""),"B9_VD_4.mp3")</f>
        <v>B9_VD_4.mp3</v>
      </c>
    </row>
    <row r="948" spans="1:13">
      <c r="A948" s="13">
        <f ca="1">IFERROR(__xludf.DUMMYFUNCTION("""COMPUTED_VALUE"""),5)</f>
        <v>5</v>
      </c>
      <c r="B948" s="13"/>
      <c r="C948" s="13" t="str">
        <f ca="1">IFERROR(__xludf.DUMMYFUNCTION("""COMPUTED_VALUE"""),"坚持")</f>
        <v>坚持</v>
      </c>
      <c r="D948" s="13" t="str">
        <f ca="1">IFERROR(__xludf.DUMMYFUNCTION("""COMPUTED_VALUE"""),"&lt;ruby&gt;坚持&lt;rt&gt;jiānchí&lt;/rt&gt;&lt;/ruby&gt;")</f>
        <v>&lt;ruby&gt;坚持&lt;rt&gt;jiānchí&lt;/rt&gt;&lt;/ruby&gt;</v>
      </c>
      <c r="E948" s="13" t="str">
        <f ca="1">IFERROR(__xludf.DUMMYFUNCTION("""COMPUTED_VALUE"""),"jiānchí")</f>
        <v>jiānchí</v>
      </c>
      <c r="F948" s="13" t="str">
        <f ca="1">IFERROR(__xludf.DUMMYFUNCTION("""COMPUTED_VALUE"""),"Động từ")</f>
        <v>Động từ</v>
      </c>
      <c r="G948" s="13" t="str">
        <f ca="1">IFERROR(__xludf.DUMMYFUNCTION("""COMPUTED_VALUE"""),"kiên trì, khăng khăng giữ")</f>
        <v>kiên trì, khăng khăng giữ</v>
      </c>
      <c r="H948" s="13" t="str">
        <f ca="1">IFERROR(__xludf.DUMMYFUNCTION("""COMPUTED_VALUE"""),"他每天坚持练武。")</f>
        <v>他每天坚持练武。</v>
      </c>
      <c r="I948" s="13"/>
      <c r="J948" s="13" t="str">
        <f ca="1">IFERROR(__xludf.DUMMYFUNCTION("""COMPUTED_VALUE"""),"Anh ấy kiên trì tập võ mỗi ngày.")</f>
        <v>Anh ấy kiên trì tập võ mỗi ngày.</v>
      </c>
      <c r="K948" s="13" t="str">
        <f ca="1">IFERROR(__xludf.DUMMYFUNCTION("""COMPUTED_VALUE"""),"H4_B9_BG-05.png")</f>
        <v>H4_B9_BG-05.png</v>
      </c>
      <c r="L948" s="13" t="str">
        <f ca="1">IFERROR(__xludf.DUMMYFUNCTION("""COMPUTED_VALUE"""),"B9_5.mp3")</f>
        <v>B9_5.mp3</v>
      </c>
      <c r="M948" s="13" t="str">
        <f ca="1">IFERROR(__xludf.DUMMYFUNCTION("""COMPUTED_VALUE"""),"B9_VD_5.mp3")</f>
        <v>B9_VD_5.mp3</v>
      </c>
    </row>
    <row r="949" spans="1:13">
      <c r="A949" s="13">
        <f ca="1">IFERROR(__xludf.DUMMYFUNCTION("""COMPUTED_VALUE"""),6)</f>
        <v>6</v>
      </c>
      <c r="B949" s="13"/>
      <c r="C949" s="13" t="str">
        <f ca="1">IFERROR(__xludf.DUMMYFUNCTION("""COMPUTED_VALUE"""),"结果")</f>
        <v>结果</v>
      </c>
      <c r="D949" s="13" t="str">
        <f ca="1">IFERROR(__xludf.DUMMYFUNCTION("""COMPUTED_VALUE"""),"&lt;ruby&gt;结果&lt;rt&gt;jiéguǒ&lt;/rt&gt;&lt;/ruby&gt;")</f>
        <v>&lt;ruby&gt;结果&lt;rt&gt;jiéguǒ&lt;/rt&gt;&lt;/ruby&gt;</v>
      </c>
      <c r="E949" s="13" t="str">
        <f ca="1">IFERROR(__xludf.DUMMYFUNCTION("""COMPUTED_VALUE"""),"jiéguǒ")</f>
        <v>jiéguǒ</v>
      </c>
      <c r="F949" s="13" t="str">
        <f ca="1">IFERROR(__xludf.DUMMYFUNCTION("""COMPUTED_VALUE"""),"Danh từ")</f>
        <v>Danh từ</v>
      </c>
      <c r="G949" s="13" t="str">
        <f ca="1">IFERROR(__xludf.DUMMYFUNCTION("""COMPUTED_VALUE"""),"kết quả")</f>
        <v>kết quả</v>
      </c>
      <c r="H949" s="13" t="str">
        <f ca="1">IFERROR(__xludf.DUMMYFUNCTION("""COMPUTED_VALUE"""),"她的努力终于有了好结果。")</f>
        <v>她的努力终于有了好结果。</v>
      </c>
      <c r="I949" s="13"/>
      <c r="J949" s="13" t="str">
        <f ca="1">IFERROR(__xludf.DUMMYFUNCTION("""COMPUTED_VALUE"""),"Sự nỗ lực của cô ấy cuối cùng đã có kết quả tốt.")</f>
        <v>Sự nỗ lực của cô ấy cuối cùng đã có kết quả tốt.</v>
      </c>
      <c r="K949" s="13" t="str">
        <f ca="1">IFERROR(__xludf.DUMMYFUNCTION("""COMPUTED_VALUE"""),"H4_B9_BG-06.png")</f>
        <v>H4_B9_BG-06.png</v>
      </c>
      <c r="L949" s="13" t="str">
        <f ca="1">IFERROR(__xludf.DUMMYFUNCTION("""COMPUTED_VALUE"""),"B9_6.mp3")</f>
        <v>B9_6.mp3</v>
      </c>
      <c r="M949" s="13" t="str">
        <f ca="1">IFERROR(__xludf.DUMMYFUNCTION("""COMPUTED_VALUE"""),"B9_VD_6.mp3")</f>
        <v>B9_VD_6.mp3</v>
      </c>
    </row>
    <row r="950" spans="1:13">
      <c r="A950" s="13">
        <f ca="1">IFERROR(__xludf.DUMMYFUNCTION("""COMPUTED_VALUE"""),7)</f>
        <v>7</v>
      </c>
      <c r="B950" s="13"/>
      <c r="C950" s="13" t="str">
        <f ca="1">IFERROR(__xludf.DUMMYFUNCTION("""COMPUTED_VALUE"""),"总结")</f>
        <v>总结</v>
      </c>
      <c r="D950" s="13" t="str">
        <f ca="1">IFERROR(__xludf.DUMMYFUNCTION("""COMPUTED_VALUE"""),"&lt;ruby&gt;总结&lt;rt&gt;zǒngjié&lt;/rt&gt;&lt;/ruby&gt;")</f>
        <v>&lt;ruby&gt;总结&lt;rt&gt;zǒngjié&lt;/rt&gt;&lt;/ruby&gt;</v>
      </c>
      <c r="E950" s="13" t="str">
        <f ca="1">IFERROR(__xludf.DUMMYFUNCTION("""COMPUTED_VALUE"""),"zǒngjié")</f>
        <v>zǒngjié</v>
      </c>
      <c r="F950" s="13" t="str">
        <f ca="1">IFERROR(__xludf.DUMMYFUNCTION("""COMPUTED_VALUE"""),"Động từ")</f>
        <v>Động từ</v>
      </c>
      <c r="G950" s="13" t="str">
        <f ca="1">IFERROR(__xludf.DUMMYFUNCTION("""COMPUTED_VALUE"""),"tổng kết")</f>
        <v>tổng kết</v>
      </c>
      <c r="H950" s="13" t="str">
        <f ca="1">IFERROR(__xludf.DUMMYFUNCTION("""COMPUTED_VALUE"""),"老师在黑板上总结内容。")</f>
        <v>老师在黑板上总结内容。</v>
      </c>
      <c r="I950" s="13"/>
      <c r="J950" s="13" t="str">
        <f ca="1">IFERROR(__xludf.DUMMYFUNCTION("""COMPUTED_VALUE"""),"Giáo viên tổng kết nội dung trên bảng đen.")</f>
        <v>Giáo viên tổng kết nội dung trên bảng đen.</v>
      </c>
      <c r="K950" s="13" t="str">
        <f ca="1">IFERROR(__xludf.DUMMYFUNCTION("""COMPUTED_VALUE"""),"H4_B9_BG-07.png")</f>
        <v>H4_B9_BG-07.png</v>
      </c>
      <c r="L950" s="13" t="str">
        <f ca="1">IFERROR(__xludf.DUMMYFUNCTION("""COMPUTED_VALUE"""),"B9_7.mp3")</f>
        <v>B9_7.mp3</v>
      </c>
      <c r="M950" s="13" t="str">
        <f ca="1">IFERROR(__xludf.DUMMYFUNCTION("""COMPUTED_VALUE"""),"B9_VD_7.mp3")</f>
        <v>B9_VD_7.mp3</v>
      </c>
    </row>
    <row r="951" spans="1:13">
      <c r="A951" s="13">
        <f ca="1">IFERROR(__xludf.DUMMYFUNCTION("""COMPUTED_VALUE"""),8)</f>
        <v>8</v>
      </c>
      <c r="B951" s="13"/>
      <c r="C951" s="13" t="str">
        <f ca="1">IFERROR(__xludf.DUMMYFUNCTION("""COMPUTED_VALUE"""),"作家")</f>
        <v>作家</v>
      </c>
      <c r="D951" s="13" t="str">
        <f ca="1">IFERROR(__xludf.DUMMYFUNCTION("""COMPUTED_VALUE"""),"&lt;ruby&gt;作家&lt;rt&gt;zuòjiā&lt;/rt&gt;&lt;/ruby&gt;")</f>
        <v>&lt;ruby&gt;作家&lt;rt&gt;zuòjiā&lt;/rt&gt;&lt;/ruby&gt;</v>
      </c>
      <c r="E951" s="13" t="str">
        <f ca="1">IFERROR(__xludf.DUMMYFUNCTION("""COMPUTED_VALUE"""),"zuòjiā")</f>
        <v>zuòjiā</v>
      </c>
      <c r="F951" s="13" t="str">
        <f ca="1">IFERROR(__xludf.DUMMYFUNCTION("""COMPUTED_VALUE"""),"Danh từ")</f>
        <v>Danh từ</v>
      </c>
      <c r="G951" s="13" t="str">
        <f ca="1">IFERROR(__xludf.DUMMYFUNCTION("""COMPUTED_VALUE"""),"nhà văn")</f>
        <v>nhà văn</v>
      </c>
      <c r="H951" s="13" t="str">
        <f ca="1">IFERROR(__xludf.DUMMYFUNCTION("""COMPUTED_VALUE"""),"她梦想成为一名作家。")</f>
        <v>她梦想成为一名作家。</v>
      </c>
      <c r="I951" s="13"/>
      <c r="J951" s="13" t="str">
        <f ca="1">IFERROR(__xludf.DUMMYFUNCTION("""COMPUTED_VALUE"""),"Cô ấy mơ ước trở thành một nhà văn.")</f>
        <v>Cô ấy mơ ước trở thành một nhà văn.</v>
      </c>
      <c r="K951" s="13" t="str">
        <f ca="1">IFERROR(__xludf.DUMMYFUNCTION("""COMPUTED_VALUE"""),"H4_B9_BG-08.png")</f>
        <v>H4_B9_BG-08.png</v>
      </c>
      <c r="L951" s="13" t="str">
        <f ca="1">IFERROR(__xludf.DUMMYFUNCTION("""COMPUTED_VALUE"""),"B9_8.mp3")</f>
        <v>B9_8.mp3</v>
      </c>
      <c r="M951" s="13" t="str">
        <f ca="1">IFERROR(__xludf.DUMMYFUNCTION("""COMPUTED_VALUE"""),"B9_VD_8.mp3")</f>
        <v>B9_VD_8.mp3</v>
      </c>
    </row>
    <row r="952" spans="1:13">
      <c r="A952" s="13">
        <f ca="1">IFERROR(__xludf.DUMMYFUNCTION("""COMPUTED_VALUE"""),9)</f>
        <v>9</v>
      </c>
      <c r="B952" s="13"/>
      <c r="C952" s="13" t="str">
        <f ca="1">IFERROR(__xludf.DUMMYFUNCTION("""COMPUTED_VALUE"""),"篇")</f>
        <v>篇</v>
      </c>
      <c r="D952" s="13" t="str">
        <f ca="1">IFERROR(__xludf.DUMMYFUNCTION("""COMPUTED_VALUE"""),"&lt;ruby&gt;篇&lt;rt&gt;piān&lt;/rt&gt;&lt;/ruby&gt;")</f>
        <v>&lt;ruby&gt;篇&lt;rt&gt;piān&lt;/rt&gt;&lt;/ruby&gt;</v>
      </c>
      <c r="E952" s="13" t="str">
        <f ca="1">IFERROR(__xludf.DUMMYFUNCTION("""COMPUTED_VALUE"""),"piān")</f>
        <v>piān</v>
      </c>
      <c r="F952" s="13" t="str">
        <f ca="1">IFERROR(__xludf.DUMMYFUNCTION("""COMPUTED_VALUE"""),"Lượng từ")</f>
        <v>Lượng từ</v>
      </c>
      <c r="G952" s="13" t="str">
        <f ca="1">IFERROR(__xludf.DUMMYFUNCTION("""COMPUTED_VALUE"""),"(được dùng cho bài vǎn, giấy...) bài, tờ...")</f>
        <v>(được dùng cho bài vǎn, giấy...) bài, tờ...</v>
      </c>
      <c r="H952" s="13" t="str">
        <f ca="1">IFERROR(__xludf.DUMMYFUNCTION("""COMPUTED_VALUE"""),"这是我写的一篇文章。")</f>
        <v>这是我写的一篇文章。</v>
      </c>
      <c r="I952" s="13"/>
      <c r="J952" s="13" t="str">
        <f ca="1">IFERROR(__xludf.DUMMYFUNCTION("""COMPUTED_VALUE"""),"Đây là một bài văn tôi đã viết.")</f>
        <v>Đây là một bài văn tôi đã viết.</v>
      </c>
      <c r="K952" s="13" t="str">
        <f ca="1">IFERROR(__xludf.DUMMYFUNCTION("""COMPUTED_VALUE"""),"H4_B9_BG-09.png")</f>
        <v>H4_B9_BG-09.png</v>
      </c>
      <c r="L952" s="13" t="str">
        <f ca="1">IFERROR(__xludf.DUMMYFUNCTION("""COMPUTED_VALUE"""),"B9_9.mp3")</f>
        <v>B9_9.mp3</v>
      </c>
      <c r="M952" s="13" t="str">
        <f ca="1">IFERROR(__xludf.DUMMYFUNCTION("""COMPUTED_VALUE"""),"B9_VD_9.mp3")</f>
        <v>B9_VD_9.mp3</v>
      </c>
    </row>
    <row r="953" spans="1:13">
      <c r="A953" s="13">
        <f ca="1">IFERROR(__xludf.DUMMYFUNCTION("""COMPUTED_VALUE"""),10)</f>
        <v>10</v>
      </c>
      <c r="B953" s="13"/>
      <c r="C953" s="13" t="str">
        <f ca="1">IFERROR(__xludf.DUMMYFUNCTION("""COMPUTED_VALUE"""),"国际")</f>
        <v>国际</v>
      </c>
      <c r="D953" s="13" t="str">
        <f ca="1">IFERROR(__xludf.DUMMYFUNCTION("""COMPUTED_VALUE"""),"&lt;ruby&gt;国际&lt;rt&gt;guóji&lt;/rt&gt;&lt;/ruby&gt;")</f>
        <v>&lt;ruby&gt;国际&lt;rt&gt;guóji&lt;/rt&gt;&lt;/ruby&gt;</v>
      </c>
      <c r="E953" s="13" t="str">
        <f ca="1">IFERROR(__xludf.DUMMYFUNCTION("""COMPUTED_VALUE"""),"guóji")</f>
        <v>guóji</v>
      </c>
      <c r="F953" s="13" t="str">
        <f ca="1">IFERROR(__xludf.DUMMYFUNCTION("""COMPUTED_VALUE"""),"Danh từ")</f>
        <v>Danh từ</v>
      </c>
      <c r="G953" s="13" t="str">
        <f ca="1">IFERROR(__xludf.DUMMYFUNCTION("""COMPUTED_VALUE"""),"quốc tế")</f>
        <v>quốc tế</v>
      </c>
      <c r="H953" s="13" t="str">
        <f ca="1">IFERROR(__xludf.DUMMYFUNCTION("""COMPUTED_VALUE"""),"保护环境是国际社会共同的责任。")</f>
        <v>保护环境是国际社会共同的责任。</v>
      </c>
      <c r="I953" s="13"/>
      <c r="J953" s="13" t="str">
        <f ca="1">IFERROR(__xludf.DUMMYFUNCTION("""COMPUTED_VALUE"""),"Bảo vệ môi trường là trách nhiệm chung của cộng đồng quốc tế.")</f>
        <v>Bảo vệ môi trường là trách nhiệm chung của cộng đồng quốc tế.</v>
      </c>
      <c r="K953" s="13" t="str">
        <f ca="1">IFERROR(__xludf.DUMMYFUNCTION("""COMPUTED_VALUE"""),"H4_B9_BG-10.png")</f>
        <v>H4_B9_BG-10.png</v>
      </c>
      <c r="L953" s="13" t="str">
        <f ca="1">IFERROR(__xludf.DUMMYFUNCTION("""COMPUTED_VALUE"""),"B9_10.mp3")</f>
        <v>B9_10.mp3</v>
      </c>
      <c r="M953" s="13" t="str">
        <f ca="1">IFERROR(__xludf.DUMMYFUNCTION("""COMPUTED_VALUE"""),"B9_VD_10.mp3")</f>
        <v>B9_VD_10.mp3</v>
      </c>
    </row>
    <row r="954" spans="1:13">
      <c r="A954" s="13">
        <f ca="1">IFERROR(__xludf.DUMMYFUNCTION("""COMPUTED_VALUE"""),11)</f>
        <v>11</v>
      </c>
      <c r="B954" s="13"/>
      <c r="C954" s="13" t="str">
        <f ca="1">IFERROR(__xludf.DUMMYFUNCTION("""COMPUTED_VALUE"""),"经历")</f>
        <v>经历</v>
      </c>
      <c r="D954" s="13" t="str">
        <f ca="1">IFERROR(__xludf.DUMMYFUNCTION("""COMPUTED_VALUE"""),"&lt;ruby&gt;经历&lt;rt&gt;Jīnglì&lt;/rt&gt;&lt;/ruby&gt;")</f>
        <v>&lt;ruby&gt;经历&lt;rt&gt;Jīnglì&lt;/rt&gt;&lt;/ruby&gt;</v>
      </c>
      <c r="E954" s="13" t="str">
        <f ca="1">IFERROR(__xludf.DUMMYFUNCTION("""COMPUTED_VALUE"""),"Jīnglì")</f>
        <v>Jīnglì</v>
      </c>
      <c r="F954" s="13" t="str">
        <f ca="1">IFERROR(__xludf.DUMMYFUNCTION("""COMPUTED_VALUE"""),"Động từ")</f>
        <v>Động từ</v>
      </c>
      <c r="G954" s="13" t="str">
        <f ca="1">IFERROR(__xludf.DUMMYFUNCTION("""COMPUTED_VALUE"""),"trải qua")</f>
        <v>trải qua</v>
      </c>
      <c r="H954" s="13" t="str">
        <f ca="1">IFERROR(__xludf.DUMMYFUNCTION("""COMPUTED_VALUE"""),"每个人都会经历失败。")</f>
        <v>每个人都会经历失败。</v>
      </c>
      <c r="I954" s="13"/>
      <c r="J954" s="13" t="str">
        <f ca="1">IFERROR(__xludf.DUMMYFUNCTION("""COMPUTED_VALUE"""),"Mỗi người đều sẽ trải qua thất bại.")</f>
        <v>Mỗi người đều sẽ trải qua thất bại.</v>
      </c>
      <c r="K954" s="13" t="str">
        <f ca="1">IFERROR(__xludf.DUMMYFUNCTION("""COMPUTED_VALUE"""),"H4_B9_BG-11.png")</f>
        <v>H4_B9_BG-11.png</v>
      </c>
      <c r="L954" s="13" t="str">
        <f ca="1">IFERROR(__xludf.DUMMYFUNCTION("""COMPUTED_VALUE"""),"B9_11.mp3")</f>
        <v>B9_11.mp3</v>
      </c>
      <c r="M954" s="13" t="str">
        <f ca="1">IFERROR(__xludf.DUMMYFUNCTION("""COMPUTED_VALUE"""),"B9_VD_11.mp3")</f>
        <v>B9_VD_11.mp3</v>
      </c>
    </row>
    <row r="955" spans="1:13">
      <c r="A955" s="13">
        <f ca="1">IFERROR(__xludf.DUMMYFUNCTION("""COMPUTED_VALUE"""),12)</f>
        <v>12</v>
      </c>
      <c r="B955" s="13"/>
      <c r="C955" s="13" t="str">
        <f ca="1">IFERROR(__xludf.DUMMYFUNCTION("""COMPUTED_VALUE"""),"可是")</f>
        <v>可是</v>
      </c>
      <c r="D955" s="13" t="str">
        <f ca="1">IFERROR(__xludf.DUMMYFUNCTION("""COMPUTED_VALUE"""),"&lt;ruby&gt;可是&lt;rt&gt;kěshi&lt;/rt&gt;&lt;/ruby&gt;")</f>
        <v>&lt;ruby&gt;可是&lt;rt&gt;kěshi&lt;/rt&gt;&lt;/ruby&gt;</v>
      </c>
      <c r="E955" s="13" t="str">
        <f ca="1">IFERROR(__xludf.DUMMYFUNCTION("""COMPUTED_VALUE"""),"kěshi")</f>
        <v>kěshi</v>
      </c>
      <c r="F955" s="13" t="str">
        <f ca="1">IFERROR(__xludf.DUMMYFUNCTION("""COMPUTED_VALUE"""),"Liên từ")</f>
        <v>Liên từ</v>
      </c>
      <c r="G955" s="13" t="str">
        <f ca="1">IFERROR(__xludf.DUMMYFUNCTION("""COMPUTED_VALUE"""),"nhưng")</f>
        <v>nhưng</v>
      </c>
      <c r="H955" s="13" t="str">
        <f ca="1">IFERROR(__xludf.DUMMYFUNCTION("""COMPUTED_VALUE"""),"我想去旅行，可是没有时间。")</f>
        <v>我想去旅行，可是没有时间。</v>
      </c>
      <c r="I955" s="13"/>
      <c r="J955" s="13" t="str">
        <f ca="1">IFERROR(__xludf.DUMMYFUNCTION("""COMPUTED_VALUE"""),"Tôi muốn đi du lịch, nhưng không có thời gian.")</f>
        <v>Tôi muốn đi du lịch, nhưng không có thời gian.</v>
      </c>
      <c r="K955" s="13" t="str">
        <f ca="1">IFERROR(__xludf.DUMMYFUNCTION("""COMPUTED_VALUE"""),"H4_B9_BG-12.png")</f>
        <v>H4_B9_BG-12.png</v>
      </c>
      <c r="L955" s="13" t="str">
        <f ca="1">IFERROR(__xludf.DUMMYFUNCTION("""COMPUTED_VALUE"""),"B9_12.mp3")</f>
        <v>B9_12.mp3</v>
      </c>
      <c r="M955" s="13" t="str">
        <f ca="1">IFERROR(__xludf.DUMMYFUNCTION("""COMPUTED_VALUE"""),"B9_VD_12.mp3")</f>
        <v>B9_VD_12.mp3</v>
      </c>
    </row>
    <row r="956" spans="1:13">
      <c r="A956" s="13">
        <f ca="1">IFERROR(__xludf.DUMMYFUNCTION("""COMPUTED_VALUE"""),13)</f>
        <v>13</v>
      </c>
      <c r="B956" s="13"/>
      <c r="C956" s="13" t="str">
        <f ca="1">IFERROR(__xludf.DUMMYFUNCTION("""COMPUTED_VALUE"""),"理想")</f>
        <v>理想</v>
      </c>
      <c r="D956" s="13" t="str">
        <f ca="1">IFERROR(__xludf.DUMMYFUNCTION("""COMPUTED_VALUE"""),"&lt;ruby&gt;理想&lt;rt&gt;lǐxiǎng&lt;/rt&gt;&lt;/ruby&gt;")</f>
        <v>&lt;ruby&gt;理想&lt;rt&gt;lǐxiǎng&lt;/rt&gt;&lt;/ruby&gt;</v>
      </c>
      <c r="E956" s="13" t="str">
        <f ca="1">IFERROR(__xludf.DUMMYFUNCTION("""COMPUTED_VALUE"""),"lǐxiǎng")</f>
        <v>lǐxiǎng</v>
      </c>
      <c r="F956" s="13" t="str">
        <f ca="1">IFERROR(__xludf.DUMMYFUNCTION("""COMPUTED_VALUE"""),"Danh từ")</f>
        <v>Danh từ</v>
      </c>
      <c r="G956" s="13" t="str">
        <f ca="1">IFERROR(__xludf.DUMMYFUNCTION("""COMPUTED_VALUE"""),"Lý tưởng")</f>
        <v>Lý tưởng</v>
      </c>
      <c r="H956" s="13" t="str">
        <f ca="1">IFERROR(__xludf.DUMMYFUNCTION("""COMPUTED_VALUE"""),"他的理想是成为一名飞行员。")</f>
        <v>他的理想是成为一名飞行员。</v>
      </c>
      <c r="I956" s="13"/>
      <c r="J956" s="13" t="str">
        <f ca="1">IFERROR(__xludf.DUMMYFUNCTION("""COMPUTED_VALUE"""),"Lý tưởng của anh ấy là trở thành một phi công.")</f>
        <v>Lý tưởng của anh ấy là trở thành một phi công.</v>
      </c>
      <c r="K956" s="13" t="str">
        <f ca="1">IFERROR(__xludf.DUMMYFUNCTION("""COMPUTED_VALUE"""),"H4_B9_BG-13.png")</f>
        <v>H4_B9_BG-13.png</v>
      </c>
      <c r="L956" s="13" t="str">
        <f ca="1">IFERROR(__xludf.DUMMYFUNCTION("""COMPUTED_VALUE"""),"B9_13.mp3")</f>
        <v>B9_13.mp3</v>
      </c>
      <c r="M956" s="13" t="str">
        <f ca="1">IFERROR(__xludf.DUMMYFUNCTION("""COMPUTED_VALUE"""),"B9_VD_13.mp3")</f>
        <v>B9_VD_13.mp3</v>
      </c>
    </row>
    <row r="957" spans="1:13">
      <c r="A957" s="13">
        <f ca="1">IFERROR(__xludf.DUMMYFUNCTION("""COMPUTED_VALUE"""),14)</f>
        <v>14</v>
      </c>
      <c r="B957" s="13"/>
      <c r="C957" s="13" t="str">
        <f ca="1">IFERROR(__xludf.DUMMYFUNCTION("""COMPUTED_VALUE"""),"难道")</f>
        <v>难道</v>
      </c>
      <c r="D957" s="13" t="str">
        <f ca="1">IFERROR(__xludf.DUMMYFUNCTION("""COMPUTED_VALUE"""),"&lt;ruby&gt;难道&lt;rt&gt;nándào&lt;/rt&gt;&lt;/ruby&gt;")</f>
        <v>&lt;ruby&gt;难道&lt;rt&gt;nándào&lt;/rt&gt;&lt;/ruby&gt;</v>
      </c>
      <c r="E957" s="13" t="str">
        <f ca="1">IFERROR(__xludf.DUMMYFUNCTION("""COMPUTED_VALUE"""),"nándào")</f>
        <v>nándào</v>
      </c>
      <c r="F957" s="13" t="str">
        <f ca="1">IFERROR(__xludf.DUMMYFUNCTION("""COMPUTED_VALUE"""),"Phó từ")</f>
        <v>Phó từ</v>
      </c>
      <c r="G957" s="13" t="str">
        <f ca="1">IFERROR(__xludf.DUMMYFUNCTION("""COMPUTED_VALUE"""),"(được dùng trong câu hỏi tu từ để nhấn mạnh) chẳng lẽ")</f>
        <v>(được dùng trong câu hỏi tu từ để nhấn mạnh) chẳng lẽ</v>
      </c>
      <c r="H957" s="13" t="str">
        <f ca="1">IFERROR(__xludf.DUMMYFUNCTION("""COMPUTED_VALUE"""),"难道你不喜欢小猫吗？")</f>
        <v>难道你不喜欢小猫吗？</v>
      </c>
      <c r="I957" s="13"/>
      <c r="J957" s="13" t="str">
        <f ca="1">IFERROR(__xludf.DUMMYFUNCTION("""COMPUTED_VALUE"""),"Chẳng lẽ bạn không thích mèo sao?")</f>
        <v>Chẳng lẽ bạn không thích mèo sao?</v>
      </c>
      <c r="K957" s="13" t="str">
        <f ca="1">IFERROR(__xludf.DUMMYFUNCTION("""COMPUTED_VALUE"""),"H4_B9_BG-14.png")</f>
        <v>H4_B9_BG-14.png</v>
      </c>
      <c r="L957" s="13" t="str">
        <f ca="1">IFERROR(__xludf.DUMMYFUNCTION("""COMPUTED_VALUE"""),"B9_14.mp3")</f>
        <v>B9_14.mp3</v>
      </c>
      <c r="M957" s="13" t="str">
        <f ca="1">IFERROR(__xludf.DUMMYFUNCTION("""COMPUTED_VALUE"""),"B9_VD_14.mp3")</f>
        <v>B9_VD_14.mp3</v>
      </c>
    </row>
    <row r="958" spans="1:13">
      <c r="A958" s="13">
        <f ca="1">IFERROR(__xludf.DUMMYFUNCTION("""COMPUTED_VALUE"""),15)</f>
        <v>15</v>
      </c>
      <c r="B958" s="13"/>
      <c r="C958" s="13" t="str">
        <f ca="1">IFERROR(__xludf.DUMMYFUNCTION("""COMPUTED_VALUE"""),"轻松")</f>
        <v>轻松</v>
      </c>
      <c r="D958" s="13" t="str">
        <f ca="1">IFERROR(__xludf.DUMMYFUNCTION("""COMPUTED_VALUE"""),"&lt;ruby&gt;轻松&lt;rt&gt;qīngsōng&lt;/rt&gt;&lt;/ruby&gt;")</f>
        <v>&lt;ruby&gt;轻松&lt;rt&gt;qīngsōng&lt;/rt&gt;&lt;/ruby&gt;</v>
      </c>
      <c r="E958" s="13" t="str">
        <f ca="1">IFERROR(__xludf.DUMMYFUNCTION("""COMPUTED_VALUE"""),"qīngsōng")</f>
        <v>qīngsōng</v>
      </c>
      <c r="F958" s="13" t="str">
        <f ca="1">IFERROR(__xludf.DUMMYFUNCTION("""COMPUTED_VALUE"""),"Tính từ")</f>
        <v>Tính từ</v>
      </c>
      <c r="G958" s="13" t="str">
        <f ca="1">IFERROR(__xludf.DUMMYFUNCTION("""COMPUTED_VALUE"""),"nhẹ nhàng, dễ dàng")</f>
        <v>nhẹ nhàng, dễ dàng</v>
      </c>
      <c r="H958" s="13" t="str">
        <f ca="1">IFERROR(__xludf.DUMMYFUNCTION("""COMPUTED_VALUE"""),"她轻松地解决了这道数学题。")</f>
        <v>她轻松地解决了这道数学题。</v>
      </c>
      <c r="I958" s="13"/>
      <c r="J958" s="13" t="str">
        <f ca="1">IFERROR(__xludf.DUMMYFUNCTION("""COMPUTED_VALUE"""),"Cô ấy dễ dàng giải được bài toán này.")</f>
        <v>Cô ấy dễ dàng giải được bài toán này.</v>
      </c>
      <c r="K958" s="13" t="str">
        <f ca="1">IFERROR(__xludf.DUMMYFUNCTION("""COMPUTED_VALUE"""),"H4_B9_BG-15.png")</f>
        <v>H4_B9_BG-15.png</v>
      </c>
      <c r="L958" s="13" t="str">
        <f ca="1">IFERROR(__xludf.DUMMYFUNCTION("""COMPUTED_VALUE"""),"B9_15.mp3")</f>
        <v>B9_15.mp3</v>
      </c>
      <c r="M958" s="13" t="str">
        <f ca="1">IFERROR(__xludf.DUMMYFUNCTION("""COMPUTED_VALUE"""),"B9_VD_15.mp3")</f>
        <v>B9_VD_15.mp3</v>
      </c>
    </row>
    <row r="959" spans="1:13">
      <c r="A959" s="13">
        <f ca="1">IFERROR(__xludf.DUMMYFUNCTION("""COMPUTED_VALUE"""),16)</f>
        <v>16</v>
      </c>
      <c r="B959" s="13"/>
      <c r="C959" s="13" t="str">
        <f ca="1">IFERROR(__xludf.DUMMYFUNCTION("""COMPUTED_VALUE"""),"区别")</f>
        <v>区别</v>
      </c>
      <c r="D959" s="13" t="str">
        <f ca="1">IFERROR(__xludf.DUMMYFUNCTION("""COMPUTED_VALUE"""),"&lt;ruby&gt;区别&lt;rt&gt;qūbié&lt;/rt&gt;&lt;/ruby&gt;")</f>
        <v>&lt;ruby&gt;区别&lt;rt&gt;qūbié&lt;/rt&gt;&lt;/ruby&gt;</v>
      </c>
      <c r="E959" s="13" t="str">
        <f ca="1">IFERROR(__xludf.DUMMYFUNCTION("""COMPUTED_VALUE"""),"qūbié")</f>
        <v>qūbié</v>
      </c>
      <c r="F959" s="13" t="str">
        <f ca="1">IFERROR(__xludf.DUMMYFUNCTION("""COMPUTED_VALUE"""),"Danh từ")</f>
        <v>Danh từ</v>
      </c>
      <c r="G959" s="13" t="str">
        <f ca="1">IFERROR(__xludf.DUMMYFUNCTION("""COMPUTED_VALUE"""),"Sự khác biệt")</f>
        <v>Sự khác biệt</v>
      </c>
      <c r="H959" s="13" t="str">
        <f ca="1">IFERROR(__xludf.DUMMYFUNCTION("""COMPUTED_VALUE"""),"这两个苹果有什么区别？")</f>
        <v>这两个苹果有什么区别？</v>
      </c>
      <c r="I959" s="13"/>
      <c r="J959" s="13" t="str">
        <f ca="1">IFERROR(__xludf.DUMMYFUNCTION("""COMPUTED_VALUE"""),"Hai quả táo này có gì khác nhau?")</f>
        <v>Hai quả táo này có gì khác nhau?</v>
      </c>
      <c r="K959" s="13" t="str">
        <f ca="1">IFERROR(__xludf.DUMMYFUNCTION("""COMPUTED_VALUE"""),"H4_B9_BG-16.png")</f>
        <v>H4_B9_BG-16.png</v>
      </c>
      <c r="L959" s="13" t="str">
        <f ca="1">IFERROR(__xludf.DUMMYFUNCTION("""COMPUTED_VALUE"""),"B9_16.mp3")</f>
        <v>B9_16.mp3</v>
      </c>
      <c r="M959" s="13" t="str">
        <f ca="1">IFERROR(__xludf.DUMMYFUNCTION("""COMPUTED_VALUE"""),"B9_VD_16.mp3")</f>
        <v>B9_VD_16.mp3</v>
      </c>
    </row>
    <row r="960" spans="1:13">
      <c r="A960" s="13">
        <f ca="1">IFERROR(__xludf.DUMMYFUNCTION("""COMPUTED_VALUE"""),17)</f>
        <v>17</v>
      </c>
      <c r="B960" s="13"/>
      <c r="C960" s="13" t="str">
        <f ca="1">IFERROR(__xludf.DUMMYFUNCTION("""COMPUTED_VALUE"""),"随便")</f>
        <v>随便</v>
      </c>
      <c r="D960" s="13" t="str">
        <f ca="1">IFERROR(__xludf.DUMMYFUNCTION("""COMPUTED_VALUE"""),"&lt;ruby&gt;随便&lt;rt&gt;Suíbiàn&lt;/rt&gt;&lt;/ruby&gt;")</f>
        <v>&lt;ruby&gt;随便&lt;rt&gt;Suíbiàn&lt;/rt&gt;&lt;/ruby&gt;</v>
      </c>
      <c r="E960" s="13" t="str">
        <f ca="1">IFERROR(__xludf.DUMMYFUNCTION("""COMPUTED_VALUE"""),"Suíbiàn")</f>
        <v>Suíbiàn</v>
      </c>
      <c r="F960" s="13" t="str">
        <f ca="1">IFERROR(__xludf.DUMMYFUNCTION("""COMPUTED_VALUE"""),"Động từ")</f>
        <v>Động từ</v>
      </c>
      <c r="G960" s="13" t="str">
        <f ca="1">IFERROR(__xludf.DUMMYFUNCTION("""COMPUTED_VALUE"""),"tình cờ, tùy tiện")</f>
        <v>tình cờ, tùy tiện</v>
      </c>
      <c r="H960" s="13" t="str">
        <f ca="1">IFERROR(__xludf.DUMMYFUNCTION("""COMPUTED_VALUE"""),"他随便扔垃圾。")</f>
        <v>他随便扔垃圾。</v>
      </c>
      <c r="I960" s="13"/>
      <c r="J960" s="13" t="str">
        <f ca="1">IFERROR(__xludf.DUMMYFUNCTION("""COMPUTED_VALUE"""),"Anh ấy tùy tiện vứt rác.")</f>
        <v>Anh ấy tùy tiện vứt rác.</v>
      </c>
      <c r="K960" s="13" t="str">
        <f ca="1">IFERROR(__xludf.DUMMYFUNCTION("""COMPUTED_VALUE"""),"H4_B9_BG-17.png")</f>
        <v>H4_B9_BG-17.png</v>
      </c>
      <c r="L960" s="13" t="str">
        <f ca="1">IFERROR(__xludf.DUMMYFUNCTION("""COMPUTED_VALUE"""),"B9_17.mp3")</f>
        <v>B9_17.mp3</v>
      </c>
      <c r="M960" s="13" t="str">
        <f ca="1">IFERROR(__xludf.DUMMYFUNCTION("""COMPUTED_VALUE"""),"B9_VD_17.mp3")</f>
        <v>B9_VD_17.mp3</v>
      </c>
    </row>
    <row r="961" spans="1:13">
      <c r="A961" s="13">
        <f ca="1">IFERROR(__xludf.DUMMYFUNCTION("""COMPUTED_VALUE"""),18)</f>
        <v>18</v>
      </c>
      <c r="B961" s="13"/>
      <c r="C961" s="13" t="str">
        <f ca="1">IFERROR(__xludf.DUMMYFUNCTION("""COMPUTED_VALUE"""),"通过")</f>
        <v>通过</v>
      </c>
      <c r="D961" s="13" t="str">
        <f ca="1">IFERROR(__xludf.DUMMYFUNCTION("""COMPUTED_VALUE"""),"&lt;ruby&gt;通过&lt;rt&gt;tōngguò&lt;/rt&gt;&lt;/ruby&gt;")</f>
        <v>&lt;ruby&gt;通过&lt;rt&gt;tōngguò&lt;/rt&gt;&lt;/ruby&gt;</v>
      </c>
      <c r="E961" s="13" t="str">
        <f ca="1">IFERROR(__xludf.DUMMYFUNCTION("""COMPUTED_VALUE"""),"tōngguò")</f>
        <v>tōngguò</v>
      </c>
      <c r="F961" s="13" t="str">
        <f ca="1">IFERROR(__xludf.DUMMYFUNCTION("""COMPUTED_VALUE"""),"Giới từ")</f>
        <v>Giới từ</v>
      </c>
      <c r="G961" s="13" t="str">
        <f ca="1">IFERROR(__xludf.DUMMYFUNCTION("""COMPUTED_VALUE"""),"qua, nhờ vào")</f>
        <v>qua, nhờ vào</v>
      </c>
      <c r="H961" s="13" t="str">
        <f ca="1">IFERROR(__xludf.DUMMYFUNCTION("""COMPUTED_VALUE"""),"他通过考试了。")</f>
        <v>他通过考试了。</v>
      </c>
      <c r="I961" s="13"/>
      <c r="J961" s="13" t="str">
        <f ca="1">IFERROR(__xludf.DUMMYFUNCTION("""COMPUTED_VALUE"""),"Anh ấy đã vượt qua kỳ thi.")</f>
        <v>Anh ấy đã vượt qua kỳ thi.</v>
      </c>
      <c r="K961" s="13" t="str">
        <f ca="1">IFERROR(__xludf.DUMMYFUNCTION("""COMPUTED_VALUE"""),"H4_B9_BG-18.png")</f>
        <v>H4_B9_BG-18.png</v>
      </c>
      <c r="L961" s="13" t="str">
        <f ca="1">IFERROR(__xludf.DUMMYFUNCTION("""COMPUTED_VALUE"""),"B9_18.mp3")</f>
        <v>B9_18.mp3</v>
      </c>
      <c r="M961" s="13" t="str">
        <f ca="1">IFERROR(__xludf.DUMMYFUNCTION("""COMPUTED_VALUE"""),"B9_VD_18.mp3")</f>
        <v>B9_VD_18.mp3</v>
      </c>
    </row>
    <row r="962" spans="1:13">
      <c r="A962" s="13">
        <f ca="1">IFERROR(__xludf.DUMMYFUNCTION("""COMPUTED_VALUE"""),19)</f>
        <v>19</v>
      </c>
      <c r="B962" s="13"/>
      <c r="C962" s="13" t="str">
        <f ca="1">IFERROR(__xludf.DUMMYFUNCTION("""COMPUTED_VALUE"""),"网球")</f>
        <v>网球</v>
      </c>
      <c r="D962" s="13" t="str">
        <f ca="1">IFERROR(__xludf.DUMMYFUNCTION("""COMPUTED_VALUE"""),"&lt;ruby&gt;网球&lt;rt&gt;wǎngqiú&lt;/rt&gt;&lt;/ruby&gt;")</f>
        <v>&lt;ruby&gt;网球&lt;rt&gt;wǎngqiú&lt;/rt&gt;&lt;/ruby&gt;</v>
      </c>
      <c r="E962" s="13" t="str">
        <f ca="1">IFERROR(__xludf.DUMMYFUNCTION("""COMPUTED_VALUE"""),"wǎngqiú")</f>
        <v>wǎngqiú</v>
      </c>
      <c r="F962" s="13" t="str">
        <f ca="1">IFERROR(__xludf.DUMMYFUNCTION("""COMPUTED_VALUE"""),"Danh từ")</f>
        <v>Danh từ</v>
      </c>
      <c r="G962" s="13" t="str">
        <f ca="1">IFERROR(__xludf.DUMMYFUNCTION("""COMPUTED_VALUE"""),"quần vợt")</f>
        <v>quần vợt</v>
      </c>
      <c r="H962" s="13" t="str">
        <f ca="1">IFERROR(__xludf.DUMMYFUNCTION("""COMPUTED_VALUE"""),"她每天早上打网球。")</f>
        <v>她每天早上打网球。</v>
      </c>
      <c r="I962" s="13"/>
      <c r="J962" s="13" t="str">
        <f ca="1">IFERROR(__xludf.DUMMYFUNCTION("""COMPUTED_VALUE"""),"Cô ấy chơi quần vợt mỗi sáng.")</f>
        <v>Cô ấy chơi quần vợt mỗi sáng.</v>
      </c>
      <c r="K962" s="13" t="str">
        <f ca="1">IFERROR(__xludf.DUMMYFUNCTION("""COMPUTED_VALUE"""),"H4_B9_BG-19.png")</f>
        <v>H4_B9_BG-19.png</v>
      </c>
      <c r="L962" s="13" t="str">
        <f ca="1">IFERROR(__xludf.DUMMYFUNCTION("""COMPUTED_VALUE"""),"B9_19.mp3")</f>
        <v>B9_19.mp3</v>
      </c>
      <c r="M962" s="13" t="str">
        <f ca="1">IFERROR(__xludf.DUMMYFUNCTION("""COMPUTED_VALUE"""),"B9_VD_19.mp3")</f>
        <v>B9_VD_19.mp3</v>
      </c>
    </row>
    <row r="963" spans="1:13">
      <c r="A963" s="13">
        <f ca="1">IFERROR(__xludf.DUMMYFUNCTION("""COMPUTED_VALUE"""),20)</f>
        <v>20</v>
      </c>
      <c r="B963" s="13"/>
      <c r="C963" s="13" t="str">
        <f ca="1">IFERROR(__xludf.DUMMYFUNCTION("""COMPUTED_VALUE"""),"取")</f>
        <v>取</v>
      </c>
      <c r="D963" s="13" t="str">
        <f ca="1">IFERROR(__xludf.DUMMYFUNCTION("""COMPUTED_VALUE"""),"&lt;ruby&gt;取&lt;rt&gt;qǔ&lt;/rt&gt;&lt;/ruby&gt;")</f>
        <v>&lt;ruby&gt;取&lt;rt&gt;qǔ&lt;/rt&gt;&lt;/ruby&gt;</v>
      </c>
      <c r="E963" s="13" t="str">
        <f ca="1">IFERROR(__xludf.DUMMYFUNCTION("""COMPUTED_VALUE"""),"qǔ")</f>
        <v>qǔ</v>
      </c>
      <c r="F963" s="13" t="str">
        <f ca="1">IFERROR(__xludf.DUMMYFUNCTION("""COMPUTED_VALUE"""),"Động từ")</f>
        <v>Động từ</v>
      </c>
      <c r="G963" s="13" t="str">
        <f ca="1">IFERROR(__xludf.DUMMYFUNCTION("""COMPUTED_VALUE"""),"đạt được, lấy được")</f>
        <v>đạt được, lấy được</v>
      </c>
      <c r="H963" s="13" t="str">
        <f ca="1">IFERROR(__xludf.DUMMYFUNCTION("""COMPUTED_VALUE"""),"他通过努力取到了比赛的冠军。")</f>
        <v>他通过努力取到了比赛的冠军。</v>
      </c>
      <c r="I963" s="13"/>
      <c r="J963" s="13" t="str">
        <f ca="1">IFERROR(__xludf.DUMMYFUNCTION("""COMPUTED_VALUE"""),"Anh ấy đã đạt được chức vô địch cuộc thi nhờ sự nỗ lực.")</f>
        <v>Anh ấy đã đạt được chức vô địch cuộc thi nhờ sự nỗ lực.</v>
      </c>
      <c r="K963" s="13" t="str">
        <f ca="1">IFERROR(__xludf.DUMMYFUNCTION("""COMPUTED_VALUE"""),"H4_B9_BG-20.png")</f>
        <v>H4_B9_BG-20.png</v>
      </c>
      <c r="L963" s="13" t="str">
        <f ca="1">IFERROR(__xludf.DUMMYFUNCTION("""COMPUTED_VALUE"""),"B9_20.mp3")</f>
        <v>B9_20.mp3</v>
      </c>
      <c r="M963" s="13" t="str">
        <f ca="1">IFERROR(__xludf.DUMMYFUNCTION("""COMPUTED_VALUE"""),"B9_VD_20.mp3")</f>
        <v>B9_VD_20.mp3</v>
      </c>
    </row>
    <row r="964" spans="1:13">
      <c r="A964" s="13">
        <f ca="1">IFERROR(__xludf.DUMMYFUNCTION("""COMPUTED_VALUE"""),21)</f>
        <v>21</v>
      </c>
      <c r="B964" s="13"/>
      <c r="C964" s="13" t="str">
        <f ca="1">IFERROR(__xludf.DUMMYFUNCTION("""COMPUTED_VALUE"""),"失败")</f>
        <v>失败</v>
      </c>
      <c r="D964" s="13" t="str">
        <f ca="1">IFERROR(__xludf.DUMMYFUNCTION("""COMPUTED_VALUE"""),"&lt;ruby&gt;失败&lt;rt&gt;shībài&lt;/rt&gt;&lt;/ruby&gt;")</f>
        <v>&lt;ruby&gt;失败&lt;rt&gt;shībài&lt;/rt&gt;&lt;/ruby&gt;</v>
      </c>
      <c r="E964" s="13" t="str">
        <f ca="1">IFERROR(__xludf.DUMMYFUNCTION("""COMPUTED_VALUE"""),"shībài")</f>
        <v>shībài</v>
      </c>
      <c r="F964" s="13" t="str">
        <f ca="1">IFERROR(__xludf.DUMMYFUNCTION("""COMPUTED_VALUE"""),"Động từ")</f>
        <v>Động từ</v>
      </c>
      <c r="G964" s="13" t="str">
        <f ca="1">IFERROR(__xludf.DUMMYFUNCTION("""COMPUTED_VALUE"""),"thất bại")</f>
        <v>thất bại</v>
      </c>
      <c r="H964" s="13" t="str">
        <f ca="1">IFERROR(__xludf.DUMMYFUNCTION("""COMPUTED_VALUE"""),"他在比赛中失败了，非常难过。")</f>
        <v>他在比赛中失败了，非常难过。</v>
      </c>
      <c r="I964" s="13"/>
      <c r="J964" s="13" t="str">
        <f ca="1">IFERROR(__xludf.DUMMYFUNCTION("""COMPUTED_VALUE"""),"Anh ấy đã thất bại trong cuộc thi, cảm thấy rất buồn.")</f>
        <v>Anh ấy đã thất bại trong cuộc thi, cảm thấy rất buồn.</v>
      </c>
      <c r="K964" s="13" t="str">
        <f ca="1">IFERROR(__xludf.DUMMYFUNCTION("""COMPUTED_VALUE"""),"H4_B9_BG-21.png")</f>
        <v>H4_B9_BG-21.png</v>
      </c>
      <c r="L964" s="13" t="str">
        <f ca="1">IFERROR(__xludf.DUMMYFUNCTION("""COMPUTED_VALUE"""),"B9_21.mp3")</f>
        <v>B9_21.mp3</v>
      </c>
      <c r="M964" s="13" t="str">
        <f ca="1">IFERROR(__xludf.DUMMYFUNCTION("""COMPUTED_VALUE"""),"B9_VD_21.mp3")</f>
        <v>B9_VD_21.mp3</v>
      </c>
    </row>
    <row r="965" spans="1:13">
      <c r="A965" s="13">
        <f ca="1">IFERROR(__xludf.DUMMYFUNCTION("""COMPUTED_VALUE"""),22)</f>
        <v>22</v>
      </c>
      <c r="B965" s="13"/>
      <c r="C965" s="13" t="str">
        <f ca="1">IFERROR(__xludf.DUMMYFUNCTION("""COMPUTED_VALUE"""),"放弃")</f>
        <v>放弃</v>
      </c>
      <c r="D965" s="13" t="str">
        <f ca="1">IFERROR(__xludf.DUMMYFUNCTION("""COMPUTED_VALUE"""),"&lt;ruby&gt;放弃&lt;rt&gt;fàngqì&lt;/rt&gt;&lt;/ruby&gt;")</f>
        <v>&lt;ruby&gt;放弃&lt;rt&gt;fàngqì&lt;/rt&gt;&lt;/ruby&gt;</v>
      </c>
      <c r="E965" s="13" t="str">
        <f ca="1">IFERROR(__xludf.DUMMYFUNCTION("""COMPUTED_VALUE"""),"fàngqì")</f>
        <v>fàngqì</v>
      </c>
      <c r="F965" s="13" t="str">
        <f ca="1">IFERROR(__xludf.DUMMYFUNCTION("""COMPUTED_VALUE"""),"Động từ")</f>
        <v>Động từ</v>
      </c>
      <c r="G965" s="13" t="str">
        <f ca="1">IFERROR(__xludf.DUMMYFUNCTION("""COMPUTED_VALUE"""),"từ bỏ, bỏ cuộc")</f>
        <v>từ bỏ, bỏ cuộc</v>
      </c>
      <c r="H965" s="13" t="str">
        <f ca="1">IFERROR(__xludf.DUMMYFUNCTION("""COMPUTED_VALUE"""),"无论多困难，他都不会放弃。")</f>
        <v>无论多困难，他都不会放弃。</v>
      </c>
      <c r="I965" s="13"/>
      <c r="J965" s="13" t="str">
        <f ca="1">IFERROR(__xludf.DUMMYFUNCTION("""COMPUTED_VALUE"""),"Dù khó khăn thế nào, anh ấy cũng sẽ không bỏ cuộc.")</f>
        <v>Dù khó khăn thế nào, anh ấy cũng sẽ không bỏ cuộc.</v>
      </c>
      <c r="K965" s="13" t="str">
        <f ca="1">IFERROR(__xludf.DUMMYFUNCTION("""COMPUTED_VALUE"""),"H4_B9_BG-22.png")</f>
        <v>H4_B9_BG-22.png</v>
      </c>
      <c r="L965" s="13" t="str">
        <f ca="1">IFERROR(__xludf.DUMMYFUNCTION("""COMPUTED_VALUE"""),"B9_22.mp3")</f>
        <v>B9_22.mp3</v>
      </c>
      <c r="M965" s="13" t="str">
        <f ca="1">IFERROR(__xludf.DUMMYFUNCTION("""COMPUTED_VALUE"""),"B9_VD_22.mp3")</f>
        <v>B9_VD_22.mp3</v>
      </c>
    </row>
    <row r="966" spans="1:13">
      <c r="A966" s="13">
        <f ca="1">IFERROR(__xludf.DUMMYFUNCTION("""COMPUTED_VALUE"""),23)</f>
        <v>23</v>
      </c>
      <c r="B966" s="13"/>
      <c r="C966" s="13" t="str">
        <f ca="1">IFERROR(__xludf.DUMMYFUNCTION("""COMPUTED_VALUE"""),"面对")</f>
        <v>面对</v>
      </c>
      <c r="D966" s="13" t="str">
        <f ca="1">IFERROR(__xludf.DUMMYFUNCTION("""COMPUTED_VALUE"""),"&lt;ruby&gt;面对&lt;rt&gt;miàndui&lt;/rt&gt;&lt;/ruby&gt;")</f>
        <v>&lt;ruby&gt;面对&lt;rt&gt;miàndui&lt;/rt&gt;&lt;/ruby&gt;</v>
      </c>
      <c r="E966" s="13" t="str">
        <f ca="1">IFERROR(__xludf.DUMMYFUNCTION("""COMPUTED_VALUE"""),"miàndui")</f>
        <v>miàndui</v>
      </c>
      <c r="F966" s="13" t="str">
        <f ca="1">IFERROR(__xludf.DUMMYFUNCTION("""COMPUTED_VALUE"""),"Động từ")</f>
        <v>Động từ</v>
      </c>
      <c r="G966" s="13" t="str">
        <f ca="1">IFERROR(__xludf.DUMMYFUNCTION("""COMPUTED_VALUE"""),"đương đầu, đối mặt")</f>
        <v>đương đầu, đối mặt</v>
      </c>
      <c r="H966" s="13" t="str">
        <f ca="1">IFERROR(__xludf.DUMMYFUNCTION("""COMPUTED_VALUE"""),"我们要勇敢地面对困难。")</f>
        <v>我们要勇敢地面对困难。</v>
      </c>
      <c r="I966" s="13"/>
      <c r="J966" s="13" t="str">
        <f ca="1">IFERROR(__xludf.DUMMYFUNCTION("""COMPUTED_VALUE"""),"Chúng ta phải dũng cảm đối mặt với khó khăn.")</f>
        <v>Chúng ta phải dũng cảm đối mặt với khó khăn.</v>
      </c>
      <c r="K966" s="13" t="str">
        <f ca="1">IFERROR(__xludf.DUMMYFUNCTION("""COMPUTED_VALUE"""),"H4_B9_BG-23.png")</f>
        <v>H4_B9_BG-23.png</v>
      </c>
      <c r="L966" s="13" t="str">
        <f ca="1">IFERROR(__xludf.DUMMYFUNCTION("""COMPUTED_VALUE"""),"B9_23.mp3")</f>
        <v>B9_23.mp3</v>
      </c>
      <c r="M966" s="13" t="str">
        <f ca="1">IFERROR(__xludf.DUMMYFUNCTION("""COMPUTED_VALUE"""),"B9_VD_23.mp3")</f>
        <v>B9_VD_23.mp3</v>
      </c>
    </row>
    <row r="967" spans="1:13">
      <c r="A967" s="13">
        <f ca="1">IFERROR(__xludf.DUMMYFUNCTION("""COMPUTED_VALUE"""),24)</f>
        <v>24</v>
      </c>
      <c r="B967" s="13"/>
      <c r="C967" s="13" t="str">
        <f ca="1">IFERROR(__xludf.DUMMYFUNCTION("""COMPUTED_VALUE"""),"赢")</f>
        <v>赢</v>
      </c>
      <c r="D967" s="13" t="str">
        <f ca="1">IFERROR(__xludf.DUMMYFUNCTION("""COMPUTED_VALUE"""),"&lt;ruby&gt;赢&lt;rt&gt;yíng&lt;/rt&gt;&lt;/ruby&gt;")</f>
        <v>&lt;ruby&gt;赢&lt;rt&gt;yíng&lt;/rt&gt;&lt;/ruby&gt;</v>
      </c>
      <c r="E967" s="13" t="str">
        <f ca="1">IFERROR(__xludf.DUMMYFUNCTION("""COMPUTED_VALUE"""),"yíng")</f>
        <v>yíng</v>
      </c>
      <c r="F967" s="13" t="str">
        <f ca="1">IFERROR(__xludf.DUMMYFUNCTION("""COMPUTED_VALUE"""),"Động từ")</f>
        <v>Động từ</v>
      </c>
      <c r="G967" s="13" t="str">
        <f ca="1">IFERROR(__xludf.DUMMYFUNCTION("""COMPUTED_VALUE"""),"thắng")</f>
        <v>thắng</v>
      </c>
      <c r="H967" s="13" t="str">
        <f ca="1">IFERROR(__xludf.DUMMYFUNCTION("""COMPUTED_VALUE"""),"这次比赛，我们一定要赢！")</f>
        <v>这次比赛，我们一定要赢！</v>
      </c>
      <c r="I967" s="13"/>
      <c r="J967" s="13" t="str">
        <f ca="1">IFERROR(__xludf.DUMMYFUNCTION("""COMPUTED_VALUE"""),"Trận đấu này, chúng ta nhất định phải thắng!")</f>
        <v>Trận đấu này, chúng ta nhất định phải thắng!</v>
      </c>
      <c r="K967" s="13" t="str">
        <f ca="1">IFERROR(__xludf.DUMMYFUNCTION("""COMPUTED_VALUE"""),"H4_B9_BG-24.png")</f>
        <v>H4_B9_BG-24.png</v>
      </c>
      <c r="L967" s="13" t="str">
        <f ca="1">IFERROR(__xludf.DUMMYFUNCTION("""COMPUTED_VALUE"""),"B9_24.mp3")</f>
        <v>B9_24.mp3</v>
      </c>
      <c r="M967" s="13" t="str">
        <f ca="1">IFERROR(__xludf.DUMMYFUNCTION("""COMPUTED_VALUE"""),"B9_VD_24.mp3")</f>
        <v>B9_VD_24.mp3</v>
      </c>
    </row>
    <row r="968" spans="1:13">
      <c r="A968" s="13">
        <f ca="1">IFERROR(__xludf.DUMMYFUNCTION("""COMPUTED_VALUE"""),25)</f>
        <v>25</v>
      </c>
      <c r="B968" s="13"/>
      <c r="C968" s="13" t="str">
        <f ca="1">IFERROR(__xludf.DUMMYFUNCTION("""COMPUTED_VALUE"""),"奖")</f>
        <v>奖</v>
      </c>
      <c r="D968" s="13" t="str">
        <f ca="1">IFERROR(__xludf.DUMMYFUNCTION("""COMPUTED_VALUE"""),"&lt;ruby&gt;奖&lt;rt&gt;jiǎng&lt;/rt&gt;&lt;/ruby&gt;")</f>
        <v>&lt;ruby&gt;奖&lt;rt&gt;jiǎng&lt;/rt&gt;&lt;/ruby&gt;</v>
      </c>
      <c r="E968" s="13" t="str">
        <f ca="1">IFERROR(__xludf.DUMMYFUNCTION("""COMPUTED_VALUE"""),"jiǎng")</f>
        <v>jiǎng</v>
      </c>
      <c r="F968" s="13" t="str">
        <f ca="1">IFERROR(__xludf.DUMMYFUNCTION("""COMPUTED_VALUE"""),"Danh từ")</f>
        <v>Danh từ</v>
      </c>
      <c r="G968" s="13" t="str">
        <f ca="1">IFERROR(__xludf.DUMMYFUNCTION("""COMPUTED_VALUE"""),"phần thưởng")</f>
        <v>phần thưởng</v>
      </c>
      <c r="H968" s="13" t="str">
        <f ca="1">IFERROR(__xludf.DUMMYFUNCTION("""COMPUTED_VALUE"""),"他因为表现优秀得到了一个奖。")</f>
        <v>他因为表现优秀得到了一个奖。</v>
      </c>
      <c r="I968" s="13"/>
      <c r="J968" s="13" t="str">
        <f ca="1">IFERROR(__xludf.DUMMYFUNCTION("""COMPUTED_VALUE"""),"Anh ấy nhận được một phần thưởng vì có thành tích xuất sắc.")</f>
        <v>Anh ấy nhận được một phần thưởng vì có thành tích xuất sắc.</v>
      </c>
      <c r="K968" s="13" t="str">
        <f ca="1">IFERROR(__xludf.DUMMYFUNCTION("""COMPUTED_VALUE"""),"H4_B9_BG-25.png")</f>
        <v>H4_B9_BG-25.png</v>
      </c>
      <c r="L968" s="13" t="str">
        <f ca="1">IFERROR(__xludf.DUMMYFUNCTION("""COMPUTED_VALUE"""),"B9_25.mp3")</f>
        <v>B9_25.mp3</v>
      </c>
      <c r="M968" s="13" t="str">
        <f ca="1">IFERROR(__xludf.DUMMYFUNCTION("""COMPUTED_VALUE"""),"B9_VD_25.mp3")</f>
        <v>B9_VD_25.mp3</v>
      </c>
    </row>
    <row r="969" spans="1:13">
      <c r="A969" s="13">
        <f ca="1">IFERROR(__xludf.DUMMYFUNCTION("""COMPUTED_VALUE"""),26)</f>
        <v>26</v>
      </c>
      <c r="B969" s="13"/>
      <c r="C969" s="13" t="str">
        <f ca="1">IFERROR(__xludf.DUMMYFUNCTION("""COMPUTED_VALUE"""),"勇敢")</f>
        <v>勇敢</v>
      </c>
      <c r="D969" s="13" t="str">
        <f ca="1">IFERROR(__xludf.DUMMYFUNCTION("""COMPUTED_VALUE"""),"&lt;ruby&gt;勇敢&lt;rt&gt;yǒnggǎn&lt;/rt&gt;&lt;/ruby&gt;")</f>
        <v>&lt;ruby&gt;勇敢&lt;rt&gt;yǒnggǎn&lt;/rt&gt;&lt;/ruby&gt;</v>
      </c>
      <c r="E969" s="13" t="str">
        <f ca="1">IFERROR(__xludf.DUMMYFUNCTION("""COMPUTED_VALUE"""),"yǒnggǎn")</f>
        <v>yǒnggǎn</v>
      </c>
      <c r="F969" s="13" t="str">
        <f ca="1">IFERROR(__xludf.DUMMYFUNCTION("""COMPUTED_VALUE"""),"Tính từ")</f>
        <v>Tính từ</v>
      </c>
      <c r="G969" s="13" t="str">
        <f ca="1">IFERROR(__xludf.DUMMYFUNCTION("""COMPUTED_VALUE"""),"dũng cảm, gan dạ")</f>
        <v>dũng cảm, gan dạ</v>
      </c>
      <c r="H969" s="13" t="str">
        <f ca="1">IFERROR(__xludf.DUMMYFUNCTION("""COMPUTED_VALUE"""),"小女孩勇敢地拉弓射箭。")</f>
        <v>小女孩勇敢地拉弓射箭。</v>
      </c>
      <c r="I969" s="13"/>
      <c r="J969" s="13" t="str">
        <f ca="1">IFERROR(__xludf.DUMMYFUNCTION("""COMPUTED_VALUE"""),"Cô bé dũng cảm kéo cung bắn tên.")</f>
        <v>Cô bé dũng cảm kéo cung bắn tên.</v>
      </c>
      <c r="K969" s="13" t="str">
        <f ca="1">IFERROR(__xludf.DUMMYFUNCTION("""COMPUTED_VALUE"""),"H4_B9_BG-26.png")</f>
        <v>H4_B9_BG-26.png</v>
      </c>
      <c r="L969" s="13" t="str">
        <f ca="1">IFERROR(__xludf.DUMMYFUNCTION("""COMPUTED_VALUE"""),"B9_26.mp3")</f>
        <v>B9_26.mp3</v>
      </c>
      <c r="M969" s="13" t="str">
        <f ca="1">IFERROR(__xludf.DUMMYFUNCTION("""COMPUTED_VALUE"""),"B9_VD_26.mp3")</f>
        <v>B9_VD_26.mp3</v>
      </c>
    </row>
    <row r="970" spans="1:13">
      <c r="A970" s="13">
        <f ca="1">IFERROR(__xludf.DUMMYFUNCTION("""COMPUTED_VALUE"""),27)</f>
        <v>27</v>
      </c>
      <c r="B970" s="13"/>
      <c r="C970" s="13" t="str">
        <f ca="1">IFERROR(__xludf.DUMMYFUNCTION("""COMPUTED_VALUE"""),"许多")</f>
        <v>许多</v>
      </c>
      <c r="D970" s="13" t="str">
        <f ca="1">IFERROR(__xludf.DUMMYFUNCTION("""COMPUTED_VALUE"""),"&lt;ruby&gt;许多&lt;rt&gt;xŭduō&lt;/rt&gt;&lt;/ruby&gt;")</f>
        <v>&lt;ruby&gt;许多&lt;rt&gt;xŭduō&lt;/rt&gt;&lt;/ruby&gt;</v>
      </c>
      <c r="E970" s="13" t="str">
        <f ca="1">IFERROR(__xludf.DUMMYFUNCTION("""COMPUTED_VALUE"""),"xŭduō")</f>
        <v>xŭduō</v>
      </c>
      <c r="F970" s="13" t="str">
        <f ca="1">IFERROR(__xludf.DUMMYFUNCTION("""COMPUTED_VALUE"""),"Số từ")</f>
        <v>Số từ</v>
      </c>
      <c r="G970" s="13" t="str">
        <f ca="1">IFERROR(__xludf.DUMMYFUNCTION("""COMPUTED_VALUE"""),"rất nhiều")</f>
        <v>rất nhiều</v>
      </c>
      <c r="H970" s="13" t="str">
        <f ca="1">IFERROR(__xludf.DUMMYFUNCTION("""COMPUTED_VALUE"""),"我有许多书。")</f>
        <v>我有许多书。</v>
      </c>
      <c r="I970" s="13"/>
      <c r="J970" s="13" t="str">
        <f ca="1">IFERROR(__xludf.DUMMYFUNCTION("""COMPUTED_VALUE"""),"Tôi có rất nhiều sách.")</f>
        <v>Tôi có rất nhiều sách.</v>
      </c>
      <c r="K970" s="13" t="str">
        <f ca="1">IFERROR(__xludf.DUMMYFUNCTION("""COMPUTED_VALUE"""),"H4_B9_BG-27.png")</f>
        <v>H4_B9_BG-27.png</v>
      </c>
      <c r="L970" s="13" t="str">
        <f ca="1">IFERROR(__xludf.DUMMYFUNCTION("""COMPUTED_VALUE"""),"B9_27.mp3")</f>
        <v>B9_27.mp3</v>
      </c>
      <c r="M970" s="13" t="str">
        <f ca="1">IFERROR(__xludf.DUMMYFUNCTION("""COMPUTED_VALUE"""),"B9_VD_27.mp3")</f>
        <v>B9_VD_27.mp3</v>
      </c>
    </row>
    <row r="971" spans="1:13">
      <c r="A971" s="13">
        <f ca="1">IFERROR(__xludf.DUMMYFUNCTION("""COMPUTED_VALUE"""),28)</f>
        <v>28</v>
      </c>
      <c r="B971" s="13"/>
      <c r="C971" s="13" t="str">
        <f ca="1">IFERROR(__xludf.DUMMYFUNCTION("""COMPUTED_VALUE"""),"暂时")</f>
        <v>暂时</v>
      </c>
      <c r="D971" s="13" t="str">
        <f ca="1">IFERROR(__xludf.DUMMYFUNCTION("""COMPUTED_VALUE"""),"&lt;ruby&gt;暂时&lt;rt&gt;zànshí&lt;/rt&gt;&lt;/ruby&gt;")</f>
        <v>&lt;ruby&gt;暂时&lt;rt&gt;zànshí&lt;/rt&gt;&lt;/ruby&gt;</v>
      </c>
      <c r="E971" s="13" t="str">
        <f ca="1">IFERROR(__xludf.DUMMYFUNCTION("""COMPUTED_VALUE"""),"zànshí")</f>
        <v>zànshí</v>
      </c>
      <c r="F971" s="13" t="str">
        <f ca="1">IFERROR(__xludf.DUMMYFUNCTION("""COMPUTED_VALUE"""),"Danh từ")</f>
        <v>Danh từ</v>
      </c>
      <c r="G971" s="13" t="str">
        <f ca="1">IFERROR(__xludf.DUMMYFUNCTION("""COMPUTED_VALUE"""),"tạm thời, nhất thời")</f>
        <v>tạm thời, nhất thời</v>
      </c>
      <c r="H971" s="13" t="str">
        <f ca="1">IFERROR(__xludf.DUMMYFUNCTION("""COMPUTED_VALUE"""),"我暂时住在这里。")</f>
        <v>我暂时住在这里。</v>
      </c>
      <c r="I971" s="13"/>
      <c r="J971" s="13" t="str">
        <f ca="1">IFERROR(__xludf.DUMMYFUNCTION("""COMPUTED_VALUE"""),"Tôi tạm thời sống ở đây.")</f>
        <v>Tôi tạm thời sống ở đây.</v>
      </c>
      <c r="K971" s="13" t="str">
        <f ca="1">IFERROR(__xludf.DUMMYFUNCTION("""COMPUTED_VALUE"""),"H4_B9_BG-28.png")</f>
        <v>H4_B9_BG-28.png</v>
      </c>
      <c r="L971" s="13" t="str">
        <f ca="1">IFERROR(__xludf.DUMMYFUNCTION("""COMPUTED_VALUE"""),"B9_28.mp3")</f>
        <v>B9_28.mp3</v>
      </c>
      <c r="M971" s="13" t="str">
        <f ca="1">IFERROR(__xludf.DUMMYFUNCTION("""COMPUTED_VALUE"""),"B9_VD_28.mp3")</f>
        <v>B9_VD_28.mp3</v>
      </c>
    </row>
    <row r="972" spans="1:13">
      <c r="A972" s="13">
        <f ca="1">IFERROR(__xludf.DUMMYFUNCTION("""COMPUTED_VALUE"""),29)</f>
        <v>29</v>
      </c>
      <c r="B972" s="13"/>
      <c r="C972" s="13" t="str">
        <f ca="1">IFERROR(__xludf.DUMMYFUNCTION("""COMPUTED_VALUE"""),"正确")</f>
        <v>正确</v>
      </c>
      <c r="D972" s="13" t="str">
        <f ca="1">IFERROR(__xludf.DUMMYFUNCTION("""COMPUTED_VALUE"""),"&lt;ruby&gt;正确&lt;rt&gt;zhèngquè&lt;/rt&gt;&lt;/ruby&gt;")</f>
        <v>&lt;ruby&gt;正确&lt;rt&gt;zhèngquè&lt;/rt&gt;&lt;/ruby&gt;</v>
      </c>
      <c r="E972" s="13" t="str">
        <f ca="1">IFERROR(__xludf.DUMMYFUNCTION("""COMPUTED_VALUE"""),"zhèngquè")</f>
        <v>zhèngquè</v>
      </c>
      <c r="F972" s="13" t="str">
        <f ca="1">IFERROR(__xludf.DUMMYFUNCTION("""COMPUTED_VALUE"""),"Tính từ")</f>
        <v>Tính từ</v>
      </c>
      <c r="G972" s="13" t="str">
        <f ca="1">IFERROR(__xludf.DUMMYFUNCTION("""COMPUTED_VALUE"""),"đúng, chính xác")</f>
        <v>đúng, chính xác</v>
      </c>
      <c r="H972" s="13" t="str">
        <f ca="1">IFERROR(__xludf.DUMMYFUNCTION("""COMPUTED_VALUE"""),"这个女孩正确地把垃圾放进了可回收垃圾桶。")</f>
        <v>这个女孩正确地把垃圾放进了可回收垃圾桶。</v>
      </c>
      <c r="I972" s="13"/>
      <c r="J972" s="13" t="str">
        <f ca="1">IFERROR(__xludf.DUMMYFUNCTION("""COMPUTED_VALUE"""),"Cô bé này đã đúng khi bỏ rác vào thùng rác tái chế.")</f>
        <v>Cô bé này đã đúng khi bỏ rác vào thùng rác tái chế.</v>
      </c>
      <c r="K972" s="13" t="str">
        <f ca="1">IFERROR(__xludf.DUMMYFUNCTION("""COMPUTED_VALUE"""),"H4_B9_BG-29.png")</f>
        <v>H4_B9_BG-29.png</v>
      </c>
      <c r="L972" s="13" t="str">
        <f ca="1">IFERROR(__xludf.DUMMYFUNCTION("""COMPUTED_VALUE"""),"B9_29.mp3")</f>
        <v>B9_29.mp3</v>
      </c>
      <c r="M972" s="13" t="str">
        <f ca="1">IFERROR(__xludf.DUMMYFUNCTION("""COMPUTED_VALUE"""),"B9_VD_29.mp3")</f>
        <v>B9_VD_29.mp3</v>
      </c>
    </row>
    <row r="973" spans="1:13">
      <c r="A973" s="13">
        <f ca="1">IFERROR(__xludf.DUMMYFUNCTION("""COMPUTED_VALUE"""),30)</f>
        <v>30</v>
      </c>
      <c r="B973" s="13"/>
      <c r="C973" s="13" t="str">
        <f ca="1">IFERROR(__xludf.DUMMYFUNCTION("""COMPUTED_VALUE"""),"至少")</f>
        <v>至少</v>
      </c>
      <c r="D973" s="13" t="str">
        <f ca="1">IFERROR(__xludf.DUMMYFUNCTION("""COMPUTED_VALUE"""),"&lt;ruby&gt;至少&lt;rt&gt;Zhìshǎo&lt;/rt&gt;&lt;/ruby&gt;")</f>
        <v>&lt;ruby&gt;至少&lt;rt&gt;Zhìshǎo&lt;/rt&gt;&lt;/ruby&gt;</v>
      </c>
      <c r="E973" s="13" t="str">
        <f ca="1">IFERROR(__xludf.DUMMYFUNCTION("""COMPUTED_VALUE"""),"Zhìshǎo")</f>
        <v>Zhìshǎo</v>
      </c>
      <c r="F973" s="13" t="str">
        <f ca="1">IFERROR(__xludf.DUMMYFUNCTION("""COMPUTED_VALUE"""),"Phó từ")</f>
        <v>Phó từ</v>
      </c>
      <c r="G973" s="13" t="str">
        <f ca="1">IFERROR(__xludf.DUMMYFUNCTION("""COMPUTED_VALUE"""),"ít nhất")</f>
        <v>ít nhất</v>
      </c>
      <c r="H973" s="13" t="str">
        <f ca="1">IFERROR(__xludf.DUMMYFUNCTION("""COMPUTED_VALUE"""),"我每天至少跑步十分钟。")</f>
        <v>我每天至少跑步十分钟。</v>
      </c>
      <c r="I973" s="13"/>
      <c r="J973" s="13" t="str">
        <f ca="1">IFERROR(__xludf.DUMMYFUNCTION("""COMPUTED_VALUE"""),"Mỗi ngày tôi chạy bộ ít nhất 10 phút.")</f>
        <v>Mỗi ngày tôi chạy bộ ít nhất 10 phút.</v>
      </c>
      <c r="K973" s="13" t="str">
        <f ca="1">IFERROR(__xludf.DUMMYFUNCTION("""COMPUTED_VALUE"""),"H4_B9_BG-30.png")</f>
        <v>H4_B9_BG-30.png</v>
      </c>
      <c r="L973" s="13" t="str">
        <f ca="1">IFERROR(__xludf.DUMMYFUNCTION("""COMPUTED_VALUE"""),"B9_30.mp3")</f>
        <v>B9_30.mp3</v>
      </c>
      <c r="M973" s="13" t="str">
        <f ca="1">IFERROR(__xludf.DUMMYFUNCTION("""COMPUTED_VALUE"""),"B9_VD_30.mp3")</f>
        <v>B9_VD_30.mp3</v>
      </c>
    </row>
    <row r="974" spans="1:13">
      <c r="A974" s="13">
        <f ca="1">IFERROR(__xludf.DUMMYFUNCTION("""COMPUTED_VALUE"""),31)</f>
        <v>31</v>
      </c>
      <c r="B974" s="13"/>
      <c r="C974" s="13" t="str">
        <f ca="1">IFERROR(__xludf.DUMMYFUNCTION("""COMPUTED_VALUE"""),"主意")</f>
        <v>主意</v>
      </c>
      <c r="D974" s="13" t="str">
        <f ca="1">IFERROR(__xludf.DUMMYFUNCTION("""COMPUTED_VALUE"""),"&lt;ruby&gt;主意&lt;rt&gt;zhǔyì&lt;/rt&gt;&lt;/ruby&gt;")</f>
        <v>&lt;ruby&gt;主意&lt;rt&gt;zhǔyì&lt;/rt&gt;&lt;/ruby&gt;</v>
      </c>
      <c r="E974" s="13" t="str">
        <f ca="1">IFERROR(__xludf.DUMMYFUNCTION("""COMPUTED_VALUE"""),"zhǔyì")</f>
        <v>zhǔyì</v>
      </c>
      <c r="F974" s="13" t="str">
        <f ca="1">IFERROR(__xludf.DUMMYFUNCTION("""COMPUTED_VALUE"""),"Danh từ")</f>
        <v>Danh từ</v>
      </c>
      <c r="G974" s="13" t="str">
        <f ca="1">IFERROR(__xludf.DUMMYFUNCTION("""COMPUTED_VALUE"""),"ý định, ý kiến")</f>
        <v>ý định, ý kiến</v>
      </c>
      <c r="H974" s="13" t="str">
        <f ca="1">IFERROR(__xludf.DUMMYFUNCTION("""COMPUTED_VALUE"""),"我有一个好主意！")</f>
        <v>我有一个好主意！</v>
      </c>
      <c r="I974" s="13"/>
      <c r="J974" s="13" t="str">
        <f ca="1">IFERROR(__xludf.DUMMYFUNCTION("""COMPUTED_VALUE"""),"Tôi có một ý kiến hay!")</f>
        <v>Tôi có một ý kiến hay!</v>
      </c>
      <c r="K974" s="13" t="str">
        <f ca="1">IFERROR(__xludf.DUMMYFUNCTION("""COMPUTED_VALUE"""),"H4_B9_BG-31.png")</f>
        <v>H4_B9_BG-31.png</v>
      </c>
      <c r="L974" s="13" t="str">
        <f ca="1">IFERROR(__xludf.DUMMYFUNCTION("""COMPUTED_VALUE"""),"B9_31.mp3")</f>
        <v>B9_31.mp3</v>
      </c>
      <c r="M974" s="13" t="str">
        <f ca="1">IFERROR(__xludf.DUMMYFUNCTION("""COMPUTED_VALUE"""),"B9_VD_31.mp3")</f>
        <v>B9_VD_31.mp3</v>
      </c>
    </row>
    <row r="975" spans="1:13">
      <c r="A975" s="13">
        <f ca="1">IFERROR(__xludf.DUMMYFUNCTION("""COMPUTED_VALUE"""),32)</f>
        <v>32</v>
      </c>
      <c r="B975" s="13"/>
      <c r="C975" s="13" t="str">
        <f ca="1">IFERROR(__xludf.DUMMYFUNCTION("""COMPUTED_VALUE"""),"餐")</f>
        <v>餐</v>
      </c>
      <c r="D975" s="13" t="str">
        <f ca="1">IFERROR(__xludf.DUMMYFUNCTION("""COMPUTED_VALUE"""),"&lt;ruby&gt;餐&lt;rt&gt;cān&lt;/rt&gt;&lt;/ruby&gt;")</f>
        <v>&lt;ruby&gt;餐&lt;rt&gt;cān&lt;/rt&gt;&lt;/ruby&gt;</v>
      </c>
      <c r="E975" s="13" t="str">
        <f ca="1">IFERROR(__xludf.DUMMYFUNCTION("""COMPUTED_VALUE"""),"cān")</f>
        <v>cān</v>
      </c>
      <c r="F975" s="13" t="str">
        <f ca="1">IFERROR(__xludf.DUMMYFUNCTION("""COMPUTED_VALUE"""),"Danh từ")</f>
        <v>Danh từ</v>
      </c>
      <c r="G975" s="13" t="str">
        <f ca="1">IFERROR(__xludf.DUMMYFUNCTION("""COMPUTED_VALUE"""),"bữa ăn")</f>
        <v>bữa ăn</v>
      </c>
      <c r="H975" s="13" t="str">
        <f ca="1">IFERROR(__xludf.DUMMYFUNCTION("""COMPUTED_VALUE"""),"这家餐厅的午餐很好吃。")</f>
        <v>这家餐厅的午餐很好吃。</v>
      </c>
      <c r="I975" s="13"/>
      <c r="J975" s="13" t="str">
        <f ca="1">IFERROR(__xludf.DUMMYFUNCTION("""COMPUTED_VALUE"""),"Bữa trưa của nhà hàng này rất ngon.")</f>
        <v>Bữa trưa của nhà hàng này rất ngon.</v>
      </c>
      <c r="K975" s="13" t="str">
        <f ca="1">IFERROR(__xludf.DUMMYFUNCTION("""COMPUTED_VALUE"""),"H4_B9_BG-32.png")</f>
        <v>H4_B9_BG-32.png</v>
      </c>
      <c r="L975" s="13" t="str">
        <f ca="1">IFERROR(__xludf.DUMMYFUNCTION("""COMPUTED_VALUE"""),"B9_32.mp3")</f>
        <v>B9_32.mp3</v>
      </c>
      <c r="M975" s="13" t="str">
        <f ca="1">IFERROR(__xludf.DUMMYFUNCTION("""COMPUTED_VALUE"""),"B9_VD_32.mp3")</f>
        <v>B9_VD_32.mp3</v>
      </c>
    </row>
    <row r="976" spans="1:13">
      <c r="A976" s="13">
        <f ca="1">IFERROR(__xludf.DUMMYFUNCTION("""COMPUTED_VALUE"""),33)</f>
        <v>33</v>
      </c>
      <c r="B976" s="13"/>
      <c r="C976" s="13" t="str">
        <f ca="1">IFERROR(__xludf.DUMMYFUNCTION("""COMPUTED_VALUE"""),"饼干")</f>
        <v>饼干</v>
      </c>
      <c r="D976" s="13" t="str">
        <f ca="1">IFERROR(__xludf.DUMMYFUNCTION("""COMPUTED_VALUE"""),"&lt;ruby&gt;饼千&lt;rt&gt;bǐnggān&lt;/rt&gt;&lt;/ruby&gt;")</f>
        <v>&lt;ruby&gt;饼千&lt;rt&gt;bǐnggān&lt;/rt&gt;&lt;/ruby&gt;</v>
      </c>
      <c r="E976" s="13" t="str">
        <f ca="1">IFERROR(__xludf.DUMMYFUNCTION("""COMPUTED_VALUE"""),"bǐnggān")</f>
        <v>bǐnggān</v>
      </c>
      <c r="F976" s="13" t="str">
        <f ca="1">IFERROR(__xludf.DUMMYFUNCTION("""COMPUTED_VALUE"""),"Danh từ")</f>
        <v>Danh từ</v>
      </c>
      <c r="G976" s="13" t="str">
        <f ca="1">IFERROR(__xludf.DUMMYFUNCTION("""COMPUTED_VALUE"""),"bánh quy")</f>
        <v>bánh quy</v>
      </c>
      <c r="H976" s="13" t="str">
        <f ca="1">IFERROR(__xludf.DUMMYFUNCTION("""COMPUTED_VALUE"""),"我喜欢吃巧克力味的饼干。")</f>
        <v>我喜欢吃巧克力味的饼干。</v>
      </c>
      <c r="I976" s="13"/>
      <c r="J976" s="13" t="str">
        <f ca="1">IFERROR(__xludf.DUMMYFUNCTION("""COMPUTED_VALUE"""),"Tôi thích ăn bánh quy vị sô cô la.")</f>
        <v>Tôi thích ăn bánh quy vị sô cô la.</v>
      </c>
      <c r="K976" s="13" t="str">
        <f ca="1">IFERROR(__xludf.DUMMYFUNCTION("""COMPUTED_VALUE"""),"H4_B9_BG-33.png")</f>
        <v>H4_B9_BG-33.png</v>
      </c>
      <c r="L976" s="13" t="str">
        <f ca="1">IFERROR(__xludf.DUMMYFUNCTION("""COMPUTED_VALUE"""),"B9_33.mp3")</f>
        <v>B9_33.mp3</v>
      </c>
      <c r="M976" s="13" t="str">
        <f ca="1">IFERROR(__xludf.DUMMYFUNCTION("""COMPUTED_VALUE"""),"B9_VD_33.mp3")</f>
        <v>B9_VD_33.mp3</v>
      </c>
    </row>
    <row r="977" spans="1:13">
      <c r="A977" s="13">
        <f ca="1">IFERROR(__xludf.DUMMYFUNCTION("""COMPUTED_VALUE"""),34)</f>
        <v>34</v>
      </c>
      <c r="B977" s="13"/>
      <c r="C977" s="13" t="str">
        <f ca="1">IFERROR(__xludf.DUMMYFUNCTION("""COMPUTED_VALUE"""),"父母")</f>
        <v>父母</v>
      </c>
      <c r="D977" s="13" t="str">
        <f ca="1">IFERROR(__xludf.DUMMYFUNCTION("""COMPUTED_VALUE"""),"&lt;ruby&gt;父母&lt;rt&gt;fùmǔ&lt;/rt&gt;&lt;/ruby&gt;")</f>
        <v>&lt;ruby&gt;父母&lt;rt&gt;fùmǔ&lt;/rt&gt;&lt;/ruby&gt;</v>
      </c>
      <c r="E977" s="13" t="str">
        <f ca="1">IFERROR(__xludf.DUMMYFUNCTION("""COMPUTED_VALUE"""),"fùmǔ")</f>
        <v>fùmǔ</v>
      </c>
      <c r="F977" s="13" t="str">
        <f ca="1">IFERROR(__xludf.DUMMYFUNCTION("""COMPUTED_VALUE"""),"Danh từ")</f>
        <v>Danh từ</v>
      </c>
      <c r="G977" s="13" t="str">
        <f ca="1">IFERROR(__xludf.DUMMYFUNCTION("""COMPUTED_VALUE"""),"cha mẹ")</f>
        <v>cha mẹ</v>
      </c>
      <c r="H977" s="13" t="str">
        <f ca="1">IFERROR(__xludf.DUMMYFUNCTION("""COMPUTED_VALUE"""),"父母是世界上最爱我们的人。")</f>
        <v>父母是世界上最爱我们的人。</v>
      </c>
      <c r="I977" s="13"/>
      <c r="J977" s="13" t="str">
        <f ca="1">IFERROR(__xludf.DUMMYFUNCTION("""COMPUTED_VALUE"""),"Cha mẹ là những người yêu thương chúng ta nhất trên thế giới.")</f>
        <v>Cha mẹ là những người yêu thương chúng ta nhất trên thế giới.</v>
      </c>
      <c r="K977" s="13" t="str">
        <f ca="1">IFERROR(__xludf.DUMMYFUNCTION("""COMPUTED_VALUE"""),"H4_B9_BG-34.png")</f>
        <v>H4_B9_BG-34.png</v>
      </c>
      <c r="L977" s="13" t="str">
        <f ca="1">IFERROR(__xludf.DUMMYFUNCTION("""COMPUTED_VALUE"""),"B9_34.mp3")</f>
        <v>B9_34.mp3</v>
      </c>
      <c r="M977" s="13" t="str">
        <f ca="1">IFERROR(__xludf.DUMMYFUNCTION("""COMPUTED_VALUE"""),"B9_VD_34.mp3")</f>
        <v>B9_VD_34.mp3</v>
      </c>
    </row>
    <row r="978" spans="1:13">
      <c r="A978" s="13">
        <f ca="1">IFERROR(__xludf.DUMMYFUNCTION("""COMPUTED_VALUE"""),1)</f>
        <v>1</v>
      </c>
      <c r="B978" s="13"/>
      <c r="C978" s="13" t="str">
        <f ca="1">IFERROR(__xludf.DUMMYFUNCTION("""COMPUTED_VALUE"""),"比如")</f>
        <v>比如</v>
      </c>
      <c r="D978" s="13" t="str">
        <f ca="1">IFERROR(__xludf.DUMMYFUNCTION("""COMPUTED_VALUE"""),"&lt;ruby&gt;比如&lt;rt&gt;bǐrú&lt;/rt&gt;&lt;/ruby&gt;")</f>
        <v>&lt;ruby&gt;比如&lt;rt&gt;bǐrú&lt;/rt&gt;&lt;/ruby&gt;</v>
      </c>
      <c r="E978" s="13" t="str">
        <f ca="1">IFERROR(__xludf.DUMMYFUNCTION("""COMPUTED_VALUE"""),"bǐrú")</f>
        <v>bǐrú</v>
      </c>
      <c r="F978" s="13" t="str">
        <f ca="1">IFERROR(__xludf.DUMMYFUNCTION("""COMPUTED_VALUE"""),"Động từ")</f>
        <v>Động từ</v>
      </c>
      <c r="G978" s="13" t="str">
        <f ca="1">IFERROR(__xludf.DUMMYFUNCTION("""COMPUTED_VALUE"""),"ví dụ, chẳng hạn")</f>
        <v>ví dụ, chẳng hạn</v>
      </c>
      <c r="H978" s="13" t="str">
        <f ca="1">IFERROR(__xludf.DUMMYFUNCTION("""COMPUTED_VALUE"""),"我喜欢吃水果，比如苹果和葡萄。")</f>
        <v>我喜欢吃水果，比如苹果和葡萄。</v>
      </c>
      <c r="I978" s="13"/>
      <c r="J978" s="13" t="str">
        <f ca="1">IFERROR(__xludf.DUMMYFUNCTION("""COMPUTED_VALUE"""),"Tôi thích ăn trái cây, chẳng hạn như táo và nho.")</f>
        <v>Tôi thích ăn trái cây, chẳng hạn như táo và nho.</v>
      </c>
      <c r="K978" s="13" t="str">
        <f ca="1">IFERROR(__xludf.DUMMYFUNCTION("""COMPUTED_VALUE"""),"H4_B10_BG-01.png")</f>
        <v>H4_B10_BG-01.png</v>
      </c>
      <c r="L978" s="13" t="str">
        <f ca="1">IFERROR(__xludf.DUMMYFUNCTION("""COMPUTED_VALUE"""),"B10_1.mp3")</f>
        <v>B10_1.mp3</v>
      </c>
      <c r="M978" s="13" t="str">
        <f ca="1">IFERROR(__xludf.DUMMYFUNCTION("""COMPUTED_VALUE"""),"B10_VD_1.mp3")</f>
        <v>B10_VD_1.mp3</v>
      </c>
    </row>
    <row r="979" spans="1:13">
      <c r="A979" s="13">
        <f ca="1">IFERROR(__xludf.DUMMYFUNCTION("""COMPUTED_VALUE"""),2)</f>
        <v>2</v>
      </c>
      <c r="B979" s="13"/>
      <c r="C979" s="13" t="str">
        <f ca="1">IFERROR(__xludf.DUMMYFUNCTION("""COMPUTED_VALUE"""),"不过")</f>
        <v>不过</v>
      </c>
      <c r="D979" s="13" t="str">
        <f ca="1">IFERROR(__xludf.DUMMYFUNCTION("""COMPUTED_VALUE"""),"&lt;ruby&gt;不过&lt;rt&gt;búguò&lt;/rt&gt;&lt;/ruby&gt;")</f>
        <v>&lt;ruby&gt;不过&lt;rt&gt;búguò&lt;/rt&gt;&lt;/ruby&gt;</v>
      </c>
      <c r="E979" s="13" t="str">
        <f ca="1">IFERROR(__xludf.DUMMYFUNCTION("""COMPUTED_VALUE"""),"búguò")</f>
        <v>búguò</v>
      </c>
      <c r="F979" s="13" t="str">
        <f ca="1">IFERROR(__xludf.DUMMYFUNCTION("""COMPUTED_VALUE"""),"Liên từ")</f>
        <v>Liên từ</v>
      </c>
      <c r="G979" s="13" t="str">
        <f ca="1">IFERROR(__xludf.DUMMYFUNCTION("""COMPUTED_VALUE"""),"nhưng, song")</f>
        <v>nhưng, song</v>
      </c>
      <c r="H979" s="13" t="str">
        <f ca="1">IFERROR(__xludf.DUMMYFUNCTION("""COMPUTED_VALUE"""),"她很努力，不过成绩一般。")</f>
        <v>她很努力，不过成绩一般。</v>
      </c>
      <c r="I979" s="13"/>
      <c r="J979" s="13" t="str">
        <f ca="1">IFERROR(__xludf.DUMMYFUNCTION("""COMPUTED_VALUE"""),"Cô ấy rất chăm chỉ, nhưng kết quả bình thường.")</f>
        <v>Cô ấy rất chăm chỉ, nhưng kết quả bình thường.</v>
      </c>
      <c r="K979" s="13" t="str">
        <f ca="1">IFERROR(__xludf.DUMMYFUNCTION("""COMPUTED_VALUE"""),"H4_B10_BG-02.png")</f>
        <v>H4_B10_BG-02.png</v>
      </c>
      <c r="L979" s="13" t="str">
        <f ca="1">IFERROR(__xludf.DUMMYFUNCTION("""COMPUTED_VALUE"""),"B10_2.mp3")</f>
        <v>B10_2.mp3</v>
      </c>
      <c r="M979" s="13" t="str">
        <f ca="1">IFERROR(__xludf.DUMMYFUNCTION("""COMPUTED_VALUE"""),"B10_VD_2.mp3")</f>
        <v>B10_VD_2.mp3</v>
      </c>
    </row>
    <row r="980" spans="1:13">
      <c r="A980" s="13">
        <f ca="1">IFERROR(__xludf.DUMMYFUNCTION("""COMPUTED_VALUE"""),3)</f>
        <v>3</v>
      </c>
      <c r="B980" s="13"/>
      <c r="C980" s="13" t="str">
        <f ca="1">IFERROR(__xludf.DUMMYFUNCTION("""COMPUTED_VALUE"""),"答案")</f>
        <v>答案</v>
      </c>
      <c r="D980" s="13" t="str">
        <f ca="1">IFERROR(__xludf.DUMMYFUNCTION("""COMPUTED_VALUE"""),"&lt;ruby&gt;答案&lt;rt&gt;Dá'àn&lt;/rt&gt;&lt;/ruby&gt;")</f>
        <v>&lt;ruby&gt;答案&lt;rt&gt;Dá'àn&lt;/rt&gt;&lt;/ruby&gt;</v>
      </c>
      <c r="E980" s="13" t="str">
        <f ca="1">IFERROR(__xludf.DUMMYFUNCTION("""COMPUTED_VALUE"""),"Dá'àn")</f>
        <v>Dá'àn</v>
      </c>
      <c r="F980" s="13" t="str">
        <f ca="1">IFERROR(__xludf.DUMMYFUNCTION("""COMPUTED_VALUE"""),"Danh từ")</f>
        <v>Danh từ</v>
      </c>
      <c r="G980" s="13" t="str">
        <f ca="1">IFERROR(__xludf.DUMMYFUNCTION("""COMPUTED_VALUE"""),"đáp án, câu trả lời, lời giải")</f>
        <v>đáp án, câu trả lời, lời giải</v>
      </c>
      <c r="H980" s="13" t="str">
        <f ca="1">IFERROR(__xludf.DUMMYFUNCTION("""COMPUTED_VALUE"""),"她终于找到答案了。")</f>
        <v>她终于找到答案了。</v>
      </c>
      <c r="I980" s="13"/>
      <c r="J980" s="13" t="str">
        <f ca="1">IFERROR(__xludf.DUMMYFUNCTION("""COMPUTED_VALUE"""),"Cuối cùng cô ấy đã tìm được câu trả lời.")</f>
        <v>Cuối cùng cô ấy đã tìm được câu trả lời.</v>
      </c>
      <c r="K980" s="13" t="str">
        <f ca="1">IFERROR(__xludf.DUMMYFUNCTION("""COMPUTED_VALUE"""),"H4_B10_BG-03.png")</f>
        <v>H4_B10_BG-03.png</v>
      </c>
      <c r="L980" s="13" t="str">
        <f ca="1">IFERROR(__xludf.DUMMYFUNCTION("""COMPUTED_VALUE"""),"B10_3.mp3")</f>
        <v>B10_3.mp3</v>
      </c>
      <c r="M980" s="13" t="str">
        <f ca="1">IFERROR(__xludf.DUMMYFUNCTION("""COMPUTED_VALUE"""),"B10_VD_3.mp3")</f>
        <v>B10_VD_3.mp3</v>
      </c>
    </row>
    <row r="981" spans="1:13">
      <c r="A981" s="13">
        <f ca="1">IFERROR(__xludf.DUMMYFUNCTION("""COMPUTED_VALUE"""),4)</f>
        <v>4</v>
      </c>
      <c r="B981" s="13"/>
      <c r="C981" s="13" t="str">
        <f ca="1">IFERROR(__xludf.DUMMYFUNCTION("""COMPUTED_VALUE"""),"等")</f>
        <v>等</v>
      </c>
      <c r="D981" s="13" t="str">
        <f ca="1">IFERROR(__xludf.DUMMYFUNCTION("""COMPUTED_VALUE"""),"&lt;ruby&gt;等&lt;rt&gt;děng&lt;/rt&gt;&lt;/ruby&gt;")</f>
        <v>&lt;ruby&gt;等&lt;rt&gt;děng&lt;/rt&gt;&lt;/ruby&gt;</v>
      </c>
      <c r="E981" s="13" t="str">
        <f ca="1">IFERROR(__xludf.DUMMYFUNCTION("""COMPUTED_VALUE"""),"děng")</f>
        <v>děng</v>
      </c>
      <c r="F981" s="13" t="str">
        <f ca="1">IFERROR(__xludf.DUMMYFUNCTION("""COMPUTED_VALUE"""),"Trợ từ")</f>
        <v>Trợ từ</v>
      </c>
      <c r="G981" s="13" t="str">
        <f ca="1">IFERROR(__xludf.DUMMYFUNCTION("""COMPUTED_VALUE"""),"vân vân")</f>
        <v>vân vân</v>
      </c>
      <c r="H981" s="13" t="str">
        <f ca="1">IFERROR(__xludf.DUMMYFUNCTION("""COMPUTED_VALUE"""),"我买了苹果、香蕉等水果。")</f>
        <v>我买了苹果、香蕉等水果。</v>
      </c>
      <c r="I981" s="13"/>
      <c r="J981" s="13" t="str">
        <f ca="1">IFERROR(__xludf.DUMMYFUNCTION("""COMPUTED_VALUE"""),"Tôi đã mua táo, chuối, v.v.")</f>
        <v>Tôi đã mua táo, chuối, v.v.</v>
      </c>
      <c r="K981" s="13" t="str">
        <f ca="1">IFERROR(__xludf.DUMMYFUNCTION("""COMPUTED_VALUE"""),"H4_B10_BG-04.png")</f>
        <v>H4_B10_BG-04.png</v>
      </c>
      <c r="L981" s="13" t="str">
        <f ca="1">IFERROR(__xludf.DUMMYFUNCTION("""COMPUTED_VALUE"""),"B10_4.mp3")</f>
        <v>B10_4.mp3</v>
      </c>
      <c r="M981" s="13" t="str">
        <f ca="1">IFERROR(__xludf.DUMMYFUNCTION("""COMPUTED_VALUE"""),"B10_VD_4.mp3")</f>
        <v>B10_VD_4.mp3</v>
      </c>
    </row>
    <row r="982" spans="1:13">
      <c r="A982" s="13">
        <f ca="1">IFERROR(__xludf.DUMMYFUNCTION("""COMPUTED_VALUE"""),5)</f>
        <v>5</v>
      </c>
      <c r="B982" s="13"/>
      <c r="C982" s="13" t="str">
        <f ca="1">IFERROR(__xludf.DUMMYFUNCTION("""COMPUTED_VALUE"""),"低")</f>
        <v>低</v>
      </c>
      <c r="D982" s="13" t="str">
        <f ca="1">IFERROR(__xludf.DUMMYFUNCTION("""COMPUTED_VALUE"""),"&lt;ruby&gt;低&lt;rt&gt;dì&lt;/rt&gt;&lt;/ruby&gt;")</f>
        <v>&lt;ruby&gt;低&lt;rt&gt;dì&lt;/rt&gt;&lt;/ruby&gt;</v>
      </c>
      <c r="E982" s="13" t="str">
        <f ca="1">IFERROR(__xludf.DUMMYFUNCTION("""COMPUTED_VALUE"""),"dì")</f>
        <v>dì</v>
      </c>
      <c r="F982" s="13" t="str">
        <f ca="1">IFERROR(__xludf.DUMMYFUNCTION("""COMPUTED_VALUE"""),"Tính từ")</f>
        <v>Tính từ</v>
      </c>
      <c r="G982" s="13" t="str">
        <f ca="1">IFERROR(__xludf.DUMMYFUNCTION("""COMPUTED_VALUE"""),"thấp")</f>
        <v>thấp</v>
      </c>
      <c r="H982" s="13" t="str">
        <f ca="1">IFERROR(__xludf.DUMMYFUNCTION("""COMPUTED_VALUE"""),"小女孩坐在高柱子上，而小男孩坐在更低的方块上。")</f>
        <v>小女孩坐在高柱子上，而小男孩坐在更低的方块上。</v>
      </c>
      <c r="I982" s="13"/>
      <c r="J982" s="13" t="str">
        <f ca="1">IFERROR(__xludf.DUMMYFUNCTION("""COMPUTED_VALUE"""),"Cô bé ngồi trên cột cao, còn cậu bé ngồi trên khối thấp hơn.")</f>
        <v>Cô bé ngồi trên cột cao, còn cậu bé ngồi trên khối thấp hơn.</v>
      </c>
      <c r="K982" s="13" t="str">
        <f ca="1">IFERROR(__xludf.DUMMYFUNCTION("""COMPUTED_VALUE"""),"H4_B10_BG-05.png")</f>
        <v>H4_B10_BG-05.png</v>
      </c>
      <c r="L982" s="13" t="str">
        <f ca="1">IFERROR(__xludf.DUMMYFUNCTION("""COMPUTED_VALUE"""),"B10_5.mp3")</f>
        <v>B10_5.mp3</v>
      </c>
      <c r="M982" s="13" t="str">
        <f ca="1">IFERROR(__xludf.DUMMYFUNCTION("""COMPUTED_VALUE"""),"B10_VD_5.mp3")</f>
        <v>B10_VD_5.mp3</v>
      </c>
    </row>
    <row r="983" spans="1:13">
      <c r="A983" s="13">
        <f ca="1">IFERROR(__xludf.DUMMYFUNCTION("""COMPUTED_VALUE"""),6)</f>
        <v>6</v>
      </c>
      <c r="B983" s="13"/>
      <c r="C983" s="13" t="str">
        <f ca="1">IFERROR(__xludf.DUMMYFUNCTION("""COMPUTED_VALUE"""),"发展")</f>
        <v>发展</v>
      </c>
      <c r="D983" s="13" t="str">
        <f ca="1">IFERROR(__xludf.DUMMYFUNCTION("""COMPUTED_VALUE"""),"&lt;ruby&gt;发展&lt;rt&gt;Fāzhǎn&lt;/rt&gt;&lt;/ruby&gt;")</f>
        <v>&lt;ruby&gt;发展&lt;rt&gt;Fāzhǎn&lt;/rt&gt;&lt;/ruby&gt;</v>
      </c>
      <c r="E983" s="13" t="str">
        <f ca="1">IFERROR(__xludf.DUMMYFUNCTION("""COMPUTED_VALUE"""),"Fāzhǎn")</f>
        <v>Fāzhǎn</v>
      </c>
      <c r="F983" s="13" t="str">
        <f ca="1">IFERROR(__xludf.DUMMYFUNCTION("""COMPUTED_VALUE"""),"Động từ")</f>
        <v>Động từ</v>
      </c>
      <c r="G983" s="13" t="str">
        <f ca="1">IFERROR(__xludf.DUMMYFUNCTION("""COMPUTED_VALUE"""),"phát triển")</f>
        <v>phát triển</v>
      </c>
      <c r="H983" s="13" t="str">
        <f ca="1">IFERROR(__xludf.DUMMYFUNCTION("""COMPUTED_VALUE"""),"城市发展得很快。")</f>
        <v>城市发展得很快。</v>
      </c>
      <c r="I983" s="13"/>
      <c r="J983" s="13" t="str">
        <f ca="1">IFERROR(__xludf.DUMMYFUNCTION("""COMPUTED_VALUE"""),"Thành phố phát triển rất nhanh.")</f>
        <v>Thành phố phát triển rất nhanh.</v>
      </c>
      <c r="K983" s="13" t="str">
        <f ca="1">IFERROR(__xludf.DUMMYFUNCTION("""COMPUTED_VALUE"""),"H4_B10_BG-06.png")</f>
        <v>H4_B10_BG-06.png</v>
      </c>
      <c r="L983" s="13" t="str">
        <f ca="1">IFERROR(__xludf.DUMMYFUNCTION("""COMPUTED_VALUE"""),"B10_6.mp3")</f>
        <v>B10_6.mp3</v>
      </c>
      <c r="M983" s="13" t="str">
        <f ca="1">IFERROR(__xludf.DUMMYFUNCTION("""COMPUTED_VALUE"""),"B10_VD_6.mp3")</f>
        <v>B10_VD_6.mp3</v>
      </c>
    </row>
    <row r="984" spans="1:13">
      <c r="A984" s="13">
        <f ca="1">IFERROR(__xludf.DUMMYFUNCTION("""COMPUTED_VALUE"""),7)</f>
        <v>7</v>
      </c>
      <c r="B984" s="13"/>
      <c r="C984" s="13" t="str">
        <f ca="1">IFERROR(__xludf.DUMMYFUNCTION("""COMPUTED_VALUE"""),"富")</f>
        <v>富</v>
      </c>
      <c r="D984" s="13" t="str">
        <f ca="1">IFERROR(__xludf.DUMMYFUNCTION("""COMPUTED_VALUE"""),"&lt;ruby&gt;富&lt;rt&gt;fù&lt;/rt&gt;&lt;/ruby&gt;")</f>
        <v>&lt;ruby&gt;富&lt;rt&gt;fù&lt;/rt&gt;&lt;/ruby&gt;</v>
      </c>
      <c r="E984" s="13" t="str">
        <f ca="1">IFERROR(__xludf.DUMMYFUNCTION("""COMPUTED_VALUE"""),"fù")</f>
        <v>fù</v>
      </c>
      <c r="F984" s="13" t="str">
        <f ca="1">IFERROR(__xludf.DUMMYFUNCTION("""COMPUTED_VALUE"""),"Tính từ")</f>
        <v>Tính từ</v>
      </c>
      <c r="G984" s="13" t="str">
        <f ca="1">IFERROR(__xludf.DUMMYFUNCTION("""COMPUTED_VALUE"""),"giàu")</f>
        <v>giàu</v>
      </c>
      <c r="H984" s="13" t="str">
        <f ca="1">IFERROR(__xludf.DUMMYFUNCTION("""COMPUTED_VALUE"""),"他家非常富，有很多钱。")</f>
        <v>他家非常富，有很多钱。</v>
      </c>
      <c r="I984" s="13"/>
      <c r="J984" s="13" t="str">
        <f ca="1">IFERROR(__xludf.DUMMYFUNCTION("""COMPUTED_VALUE"""),"Gia đình anh ấy rất giàu, có rất nhiều tiền.")</f>
        <v>Gia đình anh ấy rất giàu, có rất nhiều tiền.</v>
      </c>
      <c r="K984" s="13" t="str">
        <f ca="1">IFERROR(__xludf.DUMMYFUNCTION("""COMPUTED_VALUE"""),"H4_B10_BG-07.png")</f>
        <v>H4_B10_BG-07.png</v>
      </c>
      <c r="L984" s="13" t="str">
        <f ca="1">IFERROR(__xludf.DUMMYFUNCTION("""COMPUTED_VALUE"""),"B10_7.mp3")</f>
        <v>B10_7.mp3</v>
      </c>
      <c r="M984" s="13" t="str">
        <f ca="1">IFERROR(__xludf.DUMMYFUNCTION("""COMPUTED_VALUE"""),"B10_VD_7.mp3")</f>
        <v>B10_VD_7.mp3</v>
      </c>
    </row>
    <row r="985" spans="1:13">
      <c r="A985" s="13">
        <f ca="1">IFERROR(__xludf.DUMMYFUNCTION("""COMPUTED_VALUE"""),8)</f>
        <v>8</v>
      </c>
      <c r="B985" s="13"/>
      <c r="C985" s="13" t="str">
        <f ca="1">IFERROR(__xludf.DUMMYFUNCTION("""COMPUTED_VALUE"""),"穷")</f>
        <v>穷</v>
      </c>
      <c r="D985" s="13" t="str">
        <f ca="1">IFERROR(__xludf.DUMMYFUNCTION("""COMPUTED_VALUE"""),"&lt;ruby&gt;穷&lt;rt&gt;qióng&lt;/rt&gt;&lt;/ruby&gt;")</f>
        <v>&lt;ruby&gt;穷&lt;rt&gt;qióng&lt;/rt&gt;&lt;/ruby&gt;</v>
      </c>
      <c r="E985" s="13" t="str">
        <f ca="1">IFERROR(__xludf.DUMMYFUNCTION("""COMPUTED_VALUE"""),"qióng")</f>
        <v>qióng</v>
      </c>
      <c r="F985" s="13" t="str">
        <f ca="1">IFERROR(__xludf.DUMMYFUNCTION("""COMPUTED_VALUE"""),"Tính từ")</f>
        <v>Tính từ</v>
      </c>
      <c r="G985" s="13" t="str">
        <f ca="1">IFERROR(__xludf.DUMMYFUNCTION("""COMPUTED_VALUE"""),"nghèo")</f>
        <v>nghèo</v>
      </c>
      <c r="H985" s="13" t="str">
        <f ca="1">IFERROR(__xludf.DUMMYFUNCTION("""COMPUTED_VALUE"""),"虽然他很穷，但他从不抱怨。")</f>
        <v>虽然他很穷，但他从不抱怨。</v>
      </c>
      <c r="I985" s="13"/>
      <c r="J985" s="13" t="str">
        <f ca="1">IFERROR(__xludf.DUMMYFUNCTION("""COMPUTED_VALUE"""),"Dù anh ấy rất nghèo, nhưng anh ấy không bao giờ than vãn.")</f>
        <v>Dù anh ấy rất nghèo, nhưng anh ấy không bao giờ than vãn.</v>
      </c>
      <c r="K985" s="13" t="str">
        <f ca="1">IFERROR(__xludf.DUMMYFUNCTION("""COMPUTED_VALUE"""),"H4_B10_BG-08.png")</f>
        <v>H4_B10_BG-08.png</v>
      </c>
      <c r="L985" s="13" t="str">
        <f ca="1">IFERROR(__xludf.DUMMYFUNCTION("""COMPUTED_VALUE"""),"B10_8.mp3")</f>
        <v>B10_8.mp3</v>
      </c>
      <c r="M985" s="13" t="str">
        <f ca="1">IFERROR(__xludf.DUMMYFUNCTION("""COMPUTED_VALUE"""),"B10_VD_8.mp3")</f>
        <v>B10_VD_8.mp3</v>
      </c>
    </row>
    <row r="986" spans="1:13">
      <c r="A986" s="13">
        <f ca="1">IFERROR(__xludf.DUMMYFUNCTION("""COMPUTED_VALUE"""),9)</f>
        <v>9</v>
      </c>
      <c r="B986" s="13"/>
      <c r="C986" s="13" t="str">
        <f ca="1">IFERROR(__xludf.DUMMYFUNCTION("""COMPUTED_VALUE"""),"永远")</f>
        <v>永远</v>
      </c>
      <c r="D986" s="13" t="str">
        <f ca="1">IFERROR(__xludf.DUMMYFUNCTION("""COMPUTED_VALUE"""),"&lt;ruby&gt;永远&lt;rt&gt;yǒngyuăn&lt;/rt&gt;&lt;/ruby&gt;")</f>
        <v>&lt;ruby&gt;永远&lt;rt&gt;yǒngyuăn&lt;/rt&gt;&lt;/ruby&gt;</v>
      </c>
      <c r="E986" s="13" t="str">
        <f ca="1">IFERROR(__xludf.DUMMYFUNCTION("""COMPUTED_VALUE"""),"yǒngyuăn")</f>
        <v>yǒngyuăn</v>
      </c>
      <c r="F986" s="13" t="str">
        <f ca="1">IFERROR(__xludf.DUMMYFUNCTION("""COMPUTED_VALUE"""),"Phó từ")</f>
        <v>Phó từ</v>
      </c>
      <c r="G986" s="13" t="str">
        <f ca="1">IFERROR(__xludf.DUMMYFUNCTION("""COMPUTED_VALUE"""),"vĩnh viễn, mãi mãi")</f>
        <v>vĩnh viễn, mãi mãi</v>
      </c>
      <c r="H986" s="13" t="str">
        <f ca="1">IFERROR(__xludf.DUMMYFUNCTION("""COMPUTED_VALUE"""),"我们的友谊会永远存在。")</f>
        <v>我们的友谊会永远存在。</v>
      </c>
      <c r="I986" s="13"/>
      <c r="J986" s="13" t="str">
        <f ca="1">IFERROR(__xludf.DUMMYFUNCTION("""COMPUTED_VALUE"""),"Tình bạn của chúng ta sẽ mãi mãi tồn tại.")</f>
        <v>Tình bạn của chúng ta sẽ mãi mãi tồn tại.</v>
      </c>
      <c r="K986" s="13" t="str">
        <f ca="1">IFERROR(__xludf.DUMMYFUNCTION("""COMPUTED_VALUE"""),"H4_B10_BG-09.png")</f>
        <v>H4_B10_BG-09.png</v>
      </c>
      <c r="L986" s="13" t="str">
        <f ca="1">IFERROR(__xludf.DUMMYFUNCTION("""COMPUTED_VALUE"""),"B10_9.mp3")</f>
        <v>B10_9.mp3</v>
      </c>
      <c r="M986" s="13" t="str">
        <f ca="1">IFERROR(__xludf.DUMMYFUNCTION("""COMPUTED_VALUE"""),"B10_VD_9.mp3")</f>
        <v>B10_VD_9.mp3</v>
      </c>
    </row>
    <row r="987" spans="1:13">
      <c r="A987" s="13">
        <f ca="1">IFERROR(__xludf.DUMMYFUNCTION("""COMPUTED_VALUE"""),10)</f>
        <v>10</v>
      </c>
      <c r="B987" s="13"/>
      <c r="C987" s="13" t="str">
        <f ca="1">IFERROR(__xludf.DUMMYFUNCTION("""COMPUTED_VALUE"""),"由于")</f>
        <v>由于</v>
      </c>
      <c r="D987" s="13" t="str">
        <f ca="1">IFERROR(__xludf.DUMMYFUNCTION("""COMPUTED_VALUE"""),"&lt;ruby&gt;由于&lt;rt&gt;yóuyú&lt;/rt&gt;&lt;/ruby&gt;")</f>
        <v>&lt;ruby&gt;由于&lt;rt&gt;yóuyú&lt;/rt&gt;&lt;/ruby&gt;</v>
      </c>
      <c r="E987" s="13" t="str">
        <f ca="1">IFERROR(__xludf.DUMMYFUNCTION("""COMPUTED_VALUE"""),"yóuyú")</f>
        <v>yóuyú</v>
      </c>
      <c r="F987" s="13" t="str">
        <f ca="1">IFERROR(__xludf.DUMMYFUNCTION("""COMPUTED_VALUE"""),"Liên từ")</f>
        <v>Liên từ</v>
      </c>
      <c r="G987" s="13" t="str">
        <f ca="1">IFERROR(__xludf.DUMMYFUNCTION("""COMPUTED_VALUE"""),"vì, bởi vì")</f>
        <v>vì, bởi vì</v>
      </c>
      <c r="H987" s="13" t="str">
        <f ca="1">IFERROR(__xludf.DUMMYFUNCTION("""COMPUTED_VALUE"""),"由于天气不好，我们没去公园。")</f>
        <v>由于天气不好，我们没去公园。</v>
      </c>
      <c r="I987" s="13"/>
      <c r="J987" s="13" t="str">
        <f ca="1">IFERROR(__xludf.DUMMYFUNCTION("""COMPUTED_VALUE"""),"Vì thời tiết không tốt, chúng tôi không đi công viên.")</f>
        <v>Vì thời tiết không tốt, chúng tôi không đi công viên.</v>
      </c>
      <c r="K987" s="13" t="str">
        <f ca="1">IFERROR(__xludf.DUMMYFUNCTION("""COMPUTED_VALUE"""),"H4_B10_BG-10.png")</f>
        <v>H4_B10_BG-10.png</v>
      </c>
      <c r="L987" s="13" t="str">
        <f ca="1">IFERROR(__xludf.DUMMYFUNCTION("""COMPUTED_VALUE"""),"B10_10.mp3")</f>
        <v>B10_10.mp3</v>
      </c>
      <c r="M987" s="13" t="str">
        <f ca="1">IFERROR(__xludf.DUMMYFUNCTION("""COMPUTED_VALUE"""),"B10_VD_10.mp3")</f>
        <v>B10_VD_10.mp3</v>
      </c>
    </row>
    <row r="988" spans="1:13">
      <c r="A988" s="13">
        <f ca="1">IFERROR(__xludf.DUMMYFUNCTION("""COMPUTED_VALUE"""),11)</f>
        <v>11</v>
      </c>
      <c r="B988" s="13"/>
      <c r="C988" s="13" t="str">
        <f ca="1">IFERROR(__xludf.DUMMYFUNCTION("""COMPUTED_VALUE"""),"职业")</f>
        <v>职业</v>
      </c>
      <c r="D988" s="13" t="str">
        <f ca="1">IFERROR(__xludf.DUMMYFUNCTION("""COMPUTED_VALUE"""),"&lt;ruby&gt;职业&lt;rt&gt;zhíyè&lt;/rt&gt;&lt;/ruby&gt;")</f>
        <v>&lt;ruby&gt;职业&lt;rt&gt;zhíyè&lt;/rt&gt;&lt;/ruby&gt;</v>
      </c>
      <c r="E988" s="13" t="str">
        <f ca="1">IFERROR(__xludf.DUMMYFUNCTION("""COMPUTED_VALUE"""),"zhíyè")</f>
        <v>zhíyè</v>
      </c>
      <c r="F988" s="13" t="str">
        <f ca="1">IFERROR(__xludf.DUMMYFUNCTION("""COMPUTED_VALUE"""),"Danh từ")</f>
        <v>Danh từ</v>
      </c>
      <c r="G988" s="13" t="str">
        <f ca="1">IFERROR(__xludf.DUMMYFUNCTION("""COMPUTED_VALUE"""),"nghề nghiệp")</f>
        <v>nghề nghiệp</v>
      </c>
      <c r="H988" s="13" t="str">
        <f ca="1">IFERROR(__xludf.DUMMYFUNCTION("""COMPUTED_VALUE"""),"她的职业是老师。")</f>
        <v>她的职业是老师。</v>
      </c>
      <c r="I988" s="13"/>
      <c r="J988" s="13" t="str">
        <f ca="1">IFERROR(__xludf.DUMMYFUNCTION("""COMPUTED_VALUE"""),"Nghề nghiệp của cô ấy là giáo viên.")</f>
        <v>Nghề nghiệp của cô ấy là giáo viên.</v>
      </c>
      <c r="K988" s="13" t="str">
        <f ca="1">IFERROR(__xludf.DUMMYFUNCTION("""COMPUTED_VALUE"""),"H4_B10_BG-11.png")</f>
        <v>H4_B10_BG-11.png</v>
      </c>
      <c r="L988" s="13" t="str">
        <f ca="1">IFERROR(__xludf.DUMMYFUNCTION("""COMPUTED_VALUE"""),"B10_11.mp3")</f>
        <v>B10_11.mp3</v>
      </c>
      <c r="M988" s="13" t="str">
        <f ca="1">IFERROR(__xludf.DUMMYFUNCTION("""COMPUTED_VALUE"""),"B10_VD_11.mp3")</f>
        <v>B10_VD_11.mp3</v>
      </c>
    </row>
    <row r="989" spans="1:13">
      <c r="A989" s="13">
        <f ca="1">IFERROR(__xludf.DUMMYFUNCTION("""COMPUTED_VALUE"""),12)</f>
        <v>12</v>
      </c>
      <c r="B989" s="13"/>
      <c r="C989" s="13" t="str">
        <f ca="1">IFERROR(__xludf.DUMMYFUNCTION("""COMPUTED_VALUE"""),"翻译")</f>
        <v>翻译</v>
      </c>
      <c r="D989" s="13" t="str">
        <f ca="1">IFERROR(__xludf.DUMMYFUNCTION("""COMPUTED_VALUE"""),"&lt;ruby&gt;翻译&lt;rt&gt;fānyì&lt;/rt&gt;&lt;/ruby&gt;")</f>
        <v>&lt;ruby&gt;翻译&lt;rt&gt;fānyì&lt;/rt&gt;&lt;/ruby&gt;</v>
      </c>
      <c r="E989" s="13" t="str">
        <f ca="1">IFERROR(__xludf.DUMMYFUNCTION("""COMPUTED_VALUE"""),"fānyì")</f>
        <v>fānyì</v>
      </c>
      <c r="F989" s="13" t="str">
        <f ca="1">IFERROR(__xludf.DUMMYFUNCTION("""COMPUTED_VALUE"""),"Danh từ")</f>
        <v>Danh từ</v>
      </c>
      <c r="G989" s="13" t="str">
        <f ca="1">IFERROR(__xludf.DUMMYFUNCTION("""COMPUTED_VALUE"""),"phiên dịch viên")</f>
        <v>phiên dịch viên</v>
      </c>
      <c r="H989" s="13" t="str">
        <f ca="1">IFERROR(__xludf.DUMMYFUNCTION("""COMPUTED_VALUE"""),"她的职业是翻译。")</f>
        <v>她的职业是翻译。</v>
      </c>
      <c r="I989" s="13"/>
      <c r="J989" s="13" t="str">
        <f ca="1">IFERROR(__xludf.DUMMYFUNCTION("""COMPUTED_VALUE"""),"Nghề nghiệp của cô ấy là phiên dịch viên.")</f>
        <v>Nghề nghiệp của cô ấy là phiên dịch viên.</v>
      </c>
      <c r="K989" s="13" t="str">
        <f ca="1">IFERROR(__xludf.DUMMYFUNCTION("""COMPUTED_VALUE"""),"H4_B10_BG-12.png")</f>
        <v>H4_B10_BG-12.png</v>
      </c>
      <c r="L989" s="13" t="str">
        <f ca="1">IFERROR(__xludf.DUMMYFUNCTION("""COMPUTED_VALUE"""),"B10_12.mp3")</f>
        <v>B10_12.mp3</v>
      </c>
      <c r="M989" s="13" t="str">
        <f ca="1">IFERROR(__xludf.DUMMYFUNCTION("""COMPUTED_VALUE"""),"B10_VD_12.mp3")</f>
        <v>B10_VD_12.mp3</v>
      </c>
    </row>
    <row r="990" spans="1:13">
      <c r="A990" s="13">
        <f ca="1">IFERROR(__xludf.DUMMYFUNCTION("""COMPUTED_VALUE"""),13)</f>
        <v>13</v>
      </c>
      <c r="B990" s="13"/>
      <c r="C990" s="13" t="str">
        <f ca="1">IFERROR(__xludf.DUMMYFUNCTION("""COMPUTED_VALUE"""),"硕士")</f>
        <v>硕士</v>
      </c>
      <c r="D990" s="13" t="str">
        <f ca="1">IFERROR(__xludf.DUMMYFUNCTION("""COMPUTED_VALUE"""),"&lt;ruby&gt;硕士&lt;rt&gt;shuòshì&lt;/rt&gt;&lt;/ruby&gt;")</f>
        <v>&lt;ruby&gt;硕士&lt;rt&gt;shuòshì&lt;/rt&gt;&lt;/ruby&gt;</v>
      </c>
      <c r="E990" s="13" t="str">
        <f ca="1">IFERROR(__xludf.DUMMYFUNCTION("""COMPUTED_VALUE"""),"shuòshì")</f>
        <v>shuòshì</v>
      </c>
      <c r="F990" s="13" t="str">
        <f ca="1">IFERROR(__xludf.DUMMYFUNCTION("""COMPUTED_VALUE"""),"Danh từ")</f>
        <v>Danh từ</v>
      </c>
      <c r="G990" s="13" t="str">
        <f ca="1">IFERROR(__xludf.DUMMYFUNCTION("""COMPUTED_VALUE"""),"thạc sĩ")</f>
        <v>thạc sĩ</v>
      </c>
      <c r="H990" s="13" t="str">
        <f ca="1">IFERROR(__xludf.DUMMYFUNCTION("""COMPUTED_VALUE"""),"他毕业后拿到了硕士学位。")</f>
        <v>他毕业后拿到了硕士学位。</v>
      </c>
      <c r="I990" s="13"/>
      <c r="J990" s="13" t="str">
        <f ca="1">IFERROR(__xludf.DUMMYFUNCTION("""COMPUTED_VALUE"""),"Sau khi tốt nghiệp, anh ấy đã nhận bằng thạc sĩ.")</f>
        <v>Sau khi tốt nghiệp, anh ấy đã nhận bằng thạc sĩ.</v>
      </c>
      <c r="K990" s="13" t="str">
        <f ca="1">IFERROR(__xludf.DUMMYFUNCTION("""COMPUTED_VALUE"""),"H4_B10_BG-13.png")</f>
        <v>H4_B10_BG-13.png</v>
      </c>
      <c r="L990" s="13" t="str">
        <f ca="1">IFERROR(__xludf.DUMMYFUNCTION("""COMPUTED_VALUE"""),"B10_13.mp3")</f>
        <v>B10_13.mp3</v>
      </c>
      <c r="M990" s="13" t="str">
        <f ca="1">IFERROR(__xludf.DUMMYFUNCTION("""COMPUTED_VALUE"""),"B10_VD_13.mp3")</f>
        <v>B10_VD_13.mp3</v>
      </c>
    </row>
    <row r="991" spans="1:13">
      <c r="A991" s="13">
        <f ca="1">IFERROR(__xludf.DUMMYFUNCTION("""COMPUTED_VALUE"""),14)</f>
        <v>14</v>
      </c>
      <c r="B991" s="13"/>
      <c r="C991" s="13" t="str">
        <f ca="1">IFERROR(__xludf.DUMMYFUNCTION("""COMPUTED_VALUE"""),"优秀")</f>
        <v>优秀</v>
      </c>
      <c r="D991" s="13" t="str">
        <f ca="1">IFERROR(__xludf.DUMMYFUNCTION("""COMPUTED_VALUE"""),"&lt;ruby&gt;优秀&lt;rt&gt;yōuxiù&lt;/rt&gt;&lt;/ruby&gt;")</f>
        <v>&lt;ruby&gt;优秀&lt;rt&gt;yōuxiù&lt;/rt&gt;&lt;/ruby&gt;</v>
      </c>
      <c r="E991" s="13" t="str">
        <f ca="1">IFERROR(__xludf.DUMMYFUNCTION("""COMPUTED_VALUE"""),"yōuxiù")</f>
        <v>yōuxiù</v>
      </c>
      <c r="F991" s="13" t="str">
        <f ca="1">IFERROR(__xludf.DUMMYFUNCTION("""COMPUTED_VALUE"""),"Tính từ")</f>
        <v>Tính từ</v>
      </c>
      <c r="G991" s="13" t="str">
        <f ca="1">IFERROR(__xludf.DUMMYFUNCTION("""COMPUTED_VALUE"""),"xuất sắc, ưu tú")</f>
        <v>xuất sắc, ưu tú</v>
      </c>
      <c r="H991" s="13" t="str">
        <f ca="1">IFERROR(__xludf.DUMMYFUNCTION("""COMPUTED_VALUE"""),"他是一个非常优秀的学生。")</f>
        <v>他是一个非常优秀的学生。</v>
      </c>
      <c r="I991" s="13"/>
      <c r="J991" s="13" t="str">
        <f ca="1">IFERROR(__xludf.DUMMYFUNCTION("""COMPUTED_VALUE"""),"Anh ấy là một sinh viên rất xuất sắc.")</f>
        <v>Anh ấy là một sinh viên rất xuất sắc.</v>
      </c>
      <c r="K991" s="13" t="str">
        <f ca="1">IFERROR(__xludf.DUMMYFUNCTION("""COMPUTED_VALUE"""),"H4_B10_BG-14.png")</f>
        <v>H4_B10_BG-14.png</v>
      </c>
      <c r="L991" s="13" t="str">
        <f ca="1">IFERROR(__xludf.DUMMYFUNCTION("""COMPUTED_VALUE"""),"B10_14.mp3")</f>
        <v>B10_14.mp3</v>
      </c>
      <c r="M991" s="13" t="str">
        <f ca="1">IFERROR(__xludf.DUMMYFUNCTION("""COMPUTED_VALUE"""),"B10_VD_14.mp3")</f>
        <v>B10_VD_14.mp3</v>
      </c>
    </row>
    <row r="992" spans="1:13">
      <c r="A992" s="13">
        <f ca="1">IFERROR(__xludf.DUMMYFUNCTION("""COMPUTED_VALUE"""),15)</f>
        <v>15</v>
      </c>
      <c r="B992" s="13"/>
      <c r="C992" s="13" t="str">
        <f ca="1">IFERROR(__xludf.DUMMYFUNCTION("""COMPUTED_VALUE"""),"方向")</f>
        <v>方向</v>
      </c>
      <c r="D992" s="13" t="str">
        <f ca="1">IFERROR(__xludf.DUMMYFUNCTION("""COMPUTED_VALUE"""),"&lt;ruby&gt;方向&lt;rt&gt;fängxiàng&lt;/rt&gt;&lt;/ruby&gt;")</f>
        <v>&lt;ruby&gt;方向&lt;rt&gt;fängxiàng&lt;/rt&gt;&lt;/ruby&gt;</v>
      </c>
      <c r="E992" s="13" t="str">
        <f ca="1">IFERROR(__xludf.DUMMYFUNCTION("""COMPUTED_VALUE"""),"fängxiàng")</f>
        <v>fängxiàng</v>
      </c>
      <c r="F992" s="13" t="str">
        <f ca="1">IFERROR(__xludf.DUMMYFUNCTION("""COMPUTED_VALUE"""),"Danh từ")</f>
        <v>Danh từ</v>
      </c>
      <c r="G992" s="13" t="str">
        <f ca="1">IFERROR(__xludf.DUMMYFUNCTION("""COMPUTED_VALUE"""),"phương hướng, sự định hướng")</f>
        <v>phương hướng, sự định hướng</v>
      </c>
      <c r="H992" s="13" t="str">
        <f ca="1">IFERROR(__xludf.DUMMYFUNCTION("""COMPUTED_VALUE"""),"我迷路了，不知道方向在哪里。")</f>
        <v>我迷路了，不知道方向在哪里。</v>
      </c>
      <c r="I992" s="13"/>
      <c r="J992" s="13" t="str">
        <f ca="1">IFERROR(__xludf.DUMMYFUNCTION("""COMPUTED_VALUE"""),"Tôi bị lạc, không biết phương hướng ở đâu.")</f>
        <v>Tôi bị lạc, không biết phương hướng ở đâu.</v>
      </c>
      <c r="K992" s="13" t="str">
        <f ca="1">IFERROR(__xludf.DUMMYFUNCTION("""COMPUTED_VALUE"""),"H4_B10_BG-15.png")</f>
        <v>H4_B10_BG-15.png</v>
      </c>
      <c r="L992" s="13" t="str">
        <f ca="1">IFERROR(__xludf.DUMMYFUNCTION("""COMPUTED_VALUE"""),"B10_15.mp3")</f>
        <v>B10_15.mp3</v>
      </c>
      <c r="M992" s="13" t="str">
        <f ca="1">IFERROR(__xludf.DUMMYFUNCTION("""COMPUTED_VALUE"""),"B10_VD_15.mp3")</f>
        <v>B10_VD_15.mp3</v>
      </c>
    </row>
    <row r="993" spans="1:13">
      <c r="A993" s="13">
        <f ca="1">IFERROR(__xludf.DUMMYFUNCTION("""COMPUTED_VALUE"""),16)</f>
        <v>16</v>
      </c>
      <c r="B993" s="13"/>
      <c r="C993" s="13" t="str">
        <f ca="1">IFERROR(__xludf.DUMMYFUNCTION("""COMPUTED_VALUE"""),"关键")</f>
        <v>关键</v>
      </c>
      <c r="D993" s="13" t="str">
        <f ca="1">IFERROR(__xludf.DUMMYFUNCTION("""COMPUTED_VALUE"""),"&lt;ruby&gt;关键&lt;rt&gt;guānjiàn&lt;/rt&gt;&lt;/ruby&gt;")</f>
        <v>&lt;ruby&gt;关键&lt;rt&gt;guānjiàn&lt;/rt&gt;&lt;/ruby&gt;</v>
      </c>
      <c r="E993" s="13" t="str">
        <f ca="1">IFERROR(__xludf.DUMMYFUNCTION("""COMPUTED_VALUE"""),"guānjiàn")</f>
        <v>guānjiàn</v>
      </c>
      <c r="F993" s="13" t="str">
        <f ca="1">IFERROR(__xludf.DUMMYFUNCTION("""COMPUTED_VALUE"""),"Danh từ")</f>
        <v>Danh từ</v>
      </c>
      <c r="G993" s="13" t="str">
        <f ca="1">IFERROR(__xludf.DUMMYFUNCTION("""COMPUTED_VALUE"""),"điều quan trọng, điểm mấu chốt")</f>
        <v>điều quan trọng, điểm mấu chốt</v>
      </c>
      <c r="H993" s="13" t="str">
        <f ca="1">IFERROR(__xludf.DUMMYFUNCTION("""COMPUTED_VALUE"""),"学习汉语的关键是多练习。")</f>
        <v>学习汉语的关键是多练习。</v>
      </c>
      <c r="I993" s="13"/>
      <c r="J993" s="13" t="str">
        <f ca="1">IFERROR(__xludf.DUMMYFUNCTION("""COMPUTED_VALUE"""),"Điểm mấu chốt để học tiếng Trung là luyện tập thật nhiều.")</f>
        <v>Điểm mấu chốt để học tiếng Trung là luyện tập thật nhiều.</v>
      </c>
      <c r="K993" s="13" t="str">
        <f ca="1">IFERROR(__xludf.DUMMYFUNCTION("""COMPUTED_VALUE"""),"H4_B10_BG-16.png")</f>
        <v>H4_B10_BG-16.png</v>
      </c>
      <c r="L993" s="13" t="str">
        <f ca="1">IFERROR(__xludf.DUMMYFUNCTION("""COMPUTED_VALUE"""),"B10_16.mp3")</f>
        <v>B10_16.mp3</v>
      </c>
      <c r="M993" s="13" t="str">
        <f ca="1">IFERROR(__xludf.DUMMYFUNCTION("""COMPUTED_VALUE"""),"B10_VD_16.mp3")</f>
        <v>B10_VD_16.mp3</v>
      </c>
    </row>
    <row r="994" spans="1:13">
      <c r="A994" s="13">
        <f ca="1">IFERROR(__xludf.DUMMYFUNCTION("""COMPUTED_VALUE"""),17)</f>
        <v>17</v>
      </c>
      <c r="B994" s="13"/>
      <c r="C994" s="13" t="str">
        <f ca="1">IFERROR(__xludf.DUMMYFUNCTION("""COMPUTED_VALUE"""),"建议")</f>
        <v>建议</v>
      </c>
      <c r="D994" s="13" t="str">
        <f ca="1">IFERROR(__xludf.DUMMYFUNCTION("""COMPUTED_VALUE"""),"&lt;ruby&gt;建议&lt;rt&gt;jiànyi&lt;/rt&gt;&lt;/ruby&gt;")</f>
        <v>&lt;ruby&gt;建议&lt;rt&gt;jiànyi&lt;/rt&gt;&lt;/ruby&gt;</v>
      </c>
      <c r="E994" s="13" t="str">
        <f ca="1">IFERROR(__xludf.DUMMYFUNCTION("""COMPUTED_VALUE"""),"jiànyi")</f>
        <v>jiànyi</v>
      </c>
      <c r="F994" s="13" t="str">
        <f ca="1">IFERROR(__xludf.DUMMYFUNCTION("""COMPUTED_VALUE"""),"Danh từ")</f>
        <v>Danh từ</v>
      </c>
      <c r="G994" s="13" t="str">
        <f ca="1">IFERROR(__xludf.DUMMYFUNCTION("""COMPUTED_VALUE"""),"kiến nghị, sự đề nghị")</f>
        <v>kiến nghị, sự đề nghị</v>
      </c>
      <c r="H994" s="13" t="str">
        <f ca="1">IFERROR(__xludf.DUMMYFUNCTION("""COMPUTED_VALUE"""),"他有一个建议，希望老师能考虑一下。")</f>
        <v>他有一个建议，希望老师能考虑一下。</v>
      </c>
      <c r="I994" s="13"/>
      <c r="J994" s="13" t="str">
        <f ca="1">IFERROR(__xludf.DUMMYFUNCTION("""COMPUTED_VALUE"""),"Anh ấy có một đề nghị, hy vọng giáo viên có thể xem xét.")</f>
        <v>Anh ấy có một đề nghị, hy vọng giáo viên có thể xem xét.</v>
      </c>
      <c r="K994" s="13" t="str">
        <f ca="1">IFERROR(__xludf.DUMMYFUNCTION("""COMPUTED_VALUE"""),"H4_B10_BG-17.png")</f>
        <v>H4_B10_BG-17.png</v>
      </c>
      <c r="L994" s="13" t="str">
        <f ca="1">IFERROR(__xludf.DUMMYFUNCTION("""COMPUTED_VALUE"""),"B10_17.mp3")</f>
        <v>B10_17.mp3</v>
      </c>
      <c r="M994" s="13" t="str">
        <f ca="1">IFERROR(__xludf.DUMMYFUNCTION("""COMPUTED_VALUE"""),"B10_VD_17.mp3")</f>
        <v>B10_VD_17.mp3</v>
      </c>
    </row>
    <row r="995" spans="1:13">
      <c r="A995" s="13">
        <f ca="1">IFERROR(__xludf.DUMMYFUNCTION("""COMPUTED_VALUE"""),18)</f>
        <v>18</v>
      </c>
      <c r="B995" s="13"/>
      <c r="C995" s="13" t="str">
        <f ca="1">IFERROR(__xludf.DUMMYFUNCTION("""COMPUTED_VALUE"""),"将来")</f>
        <v>将来</v>
      </c>
      <c r="D995" s="13" t="str">
        <f ca="1">IFERROR(__xludf.DUMMYFUNCTION("""COMPUTED_VALUE"""),"&lt;ruby&gt;将来&lt;rt&gt;jiānglái&lt;/rt&gt;&lt;/ruby&gt;")</f>
        <v>&lt;ruby&gt;将来&lt;rt&gt;jiānglái&lt;/rt&gt;&lt;/ruby&gt;</v>
      </c>
      <c r="E995" s="13" t="str">
        <f ca="1">IFERROR(__xludf.DUMMYFUNCTION("""COMPUTED_VALUE"""),"jiānglái")</f>
        <v>jiānglái</v>
      </c>
      <c r="F995" s="13" t="str">
        <f ca="1">IFERROR(__xludf.DUMMYFUNCTION("""COMPUTED_VALUE"""),"Danh từ")</f>
        <v>Danh từ</v>
      </c>
      <c r="G995" s="13" t="str">
        <f ca="1">IFERROR(__xludf.DUMMYFUNCTION("""COMPUTED_VALUE"""),"tương lai")</f>
        <v>tương lai</v>
      </c>
      <c r="H995" s="13" t="str">
        <f ca="1">IFERROR(__xludf.DUMMYFUNCTION("""COMPUTED_VALUE"""),"将来他要当医生。")</f>
        <v>将来他要当医生。</v>
      </c>
      <c r="I995" s="13"/>
      <c r="J995" s="13" t="str">
        <f ca="1">IFERROR(__xludf.DUMMYFUNCTION("""COMPUTED_VALUE"""),"Tương lai anh ấy muốn làm bác sĩ.")</f>
        <v>Tương lai anh ấy muốn làm bác sĩ.</v>
      </c>
      <c r="K995" s="13" t="str">
        <f ca="1">IFERROR(__xludf.DUMMYFUNCTION("""COMPUTED_VALUE"""),"H4_B10_BG-18.png")</f>
        <v>H4_B10_BG-18.png</v>
      </c>
      <c r="L995" s="13" t="str">
        <f ca="1">IFERROR(__xludf.DUMMYFUNCTION("""COMPUTED_VALUE"""),"B10_18.mp3")</f>
        <v>B10_18.mp3</v>
      </c>
      <c r="M995" s="13" t="str">
        <f ca="1">IFERROR(__xludf.DUMMYFUNCTION("""COMPUTED_VALUE"""),"B10_VD_18.mp3")</f>
        <v>B10_VD_18.mp3</v>
      </c>
    </row>
    <row r="996" spans="1:13">
      <c r="A996" s="13">
        <f ca="1">IFERROR(__xludf.DUMMYFUNCTION("""COMPUTED_VALUE"""),19)</f>
        <v>19</v>
      </c>
      <c r="B996" s="13"/>
      <c r="C996" s="13" t="str">
        <f ca="1">IFERROR(__xludf.DUMMYFUNCTION("""COMPUTED_VALUE"""),"条件")</f>
        <v>条件</v>
      </c>
      <c r="D996" s="13" t="str">
        <f ca="1">IFERROR(__xludf.DUMMYFUNCTION("""COMPUTED_VALUE"""),"&lt;ruby&gt;条件&lt;rt&gt;tiáojiàn&lt;/rt&gt;&lt;/ruby&gt;")</f>
        <v>&lt;ruby&gt;条件&lt;rt&gt;tiáojiàn&lt;/rt&gt;&lt;/ruby&gt;</v>
      </c>
      <c r="E996" s="13" t="str">
        <f ca="1">IFERROR(__xludf.DUMMYFUNCTION("""COMPUTED_VALUE"""),"tiáojiàn")</f>
        <v>tiáojiàn</v>
      </c>
      <c r="F996" s="13" t="str">
        <f ca="1">IFERROR(__xludf.DUMMYFUNCTION("""COMPUTED_VALUE"""),"Danh từ")</f>
        <v>Danh từ</v>
      </c>
      <c r="G996" s="13" t="str">
        <f ca="1">IFERROR(__xludf.DUMMYFUNCTION("""COMPUTED_VALUE"""),"điều kiện")</f>
        <v>điều kiện</v>
      </c>
      <c r="H996" s="13" t="str">
        <f ca="1">IFERROR(__xludf.DUMMYFUNCTION("""COMPUTED_VALUE"""),"他工作的条件很好。")</f>
        <v>他工作的条件很好。</v>
      </c>
      <c r="I996" s="13"/>
      <c r="J996" s="13" t="str">
        <f ca="1">IFERROR(__xludf.DUMMYFUNCTION("""COMPUTED_VALUE"""),"Anh ấy có điều kiện làm việc rất tốt.")</f>
        <v>Anh ấy có điều kiện làm việc rất tốt.</v>
      </c>
      <c r="K996" s="13" t="str">
        <f ca="1">IFERROR(__xludf.DUMMYFUNCTION("""COMPUTED_VALUE"""),"H4_B10_BG-19.png")</f>
        <v>H4_B10_BG-19.png</v>
      </c>
      <c r="L996" s="13" t="str">
        <f ca="1">IFERROR(__xludf.DUMMYFUNCTION("""COMPUTED_VALUE"""),"B10_19.mp3")</f>
        <v>B10_19.mp3</v>
      </c>
      <c r="M996" s="13" t="str">
        <f ca="1">IFERROR(__xludf.DUMMYFUNCTION("""COMPUTED_VALUE"""),"B10_VD_19.mp3")</f>
        <v>B10_VD_19.mp3</v>
      </c>
    </row>
    <row r="997" spans="1:13">
      <c r="A997" s="13">
        <f ca="1">IFERROR(__xludf.DUMMYFUNCTION("""COMPUTED_VALUE"""),20)</f>
        <v>20</v>
      </c>
      <c r="B997" s="13"/>
      <c r="C997" s="13" t="str">
        <f ca="1">IFERROR(__xludf.DUMMYFUNCTION("""COMPUTED_VALUE"""),"经济")</f>
        <v>经济</v>
      </c>
      <c r="D997" s="13" t="str">
        <f ca="1">IFERROR(__xludf.DUMMYFUNCTION("""COMPUTED_VALUE"""),"&lt;ruby&gt;经济&lt;rt&gt;Jīngjì&lt;/rt&gt;&lt;/ruby&gt;")</f>
        <v>&lt;ruby&gt;经济&lt;rt&gt;Jīngjì&lt;/rt&gt;&lt;/ruby&gt;</v>
      </c>
      <c r="E997" s="13" t="str">
        <f ca="1">IFERROR(__xludf.DUMMYFUNCTION("""COMPUTED_VALUE"""),"Jīngjì")</f>
        <v>Jīngjì</v>
      </c>
      <c r="F997" s="13" t="str">
        <f ca="1">IFERROR(__xludf.DUMMYFUNCTION("""COMPUTED_VALUE"""),"Danh từ")</f>
        <v>Danh từ</v>
      </c>
      <c r="G997" s="13" t="str">
        <f ca="1">IFERROR(__xludf.DUMMYFUNCTION("""COMPUTED_VALUE"""),"kinh tế")</f>
        <v>kinh tế</v>
      </c>
      <c r="H997" s="13" t="str">
        <f ca="1">IFERROR(__xludf.DUMMYFUNCTION("""COMPUTED_VALUE"""),"经济发展让人们生活更好。")</f>
        <v>经济发展让人们生活更好。</v>
      </c>
      <c r="I997" s="13"/>
      <c r="J997" s="13" t="str">
        <f ca="1">IFERROR(__xludf.DUMMYFUNCTION("""COMPUTED_VALUE"""),"Sự phát triển của kinh tế giúp cong người có cuộc sống tốt hơn.")</f>
        <v>Sự phát triển của kinh tế giúp cong người có cuộc sống tốt hơn.</v>
      </c>
      <c r="K997" s="13" t="str">
        <f ca="1">IFERROR(__xludf.DUMMYFUNCTION("""COMPUTED_VALUE"""),"H4_B10_BG-20.png")</f>
        <v>H4_B10_BG-20.png</v>
      </c>
      <c r="L997" s="13" t="str">
        <f ca="1">IFERROR(__xludf.DUMMYFUNCTION("""COMPUTED_VALUE"""),"B10_20.mp3")</f>
        <v>B10_20.mp3</v>
      </c>
      <c r="M997" s="13" t="str">
        <f ca="1">IFERROR(__xludf.DUMMYFUNCTION("""COMPUTED_VALUE"""),"B10_VD_20.mp3")</f>
        <v>B10_VD_20.mp3</v>
      </c>
    </row>
    <row r="998" spans="1:13">
      <c r="A998" s="13">
        <f ca="1">IFERROR(__xludf.DUMMYFUNCTION("""COMPUTED_VALUE"""),21)</f>
        <v>21</v>
      </c>
      <c r="B998" s="13"/>
      <c r="C998" s="13" t="str">
        <f ca="1">IFERROR(__xludf.DUMMYFUNCTION("""COMPUTED_VALUE"""),"空儿")</f>
        <v>空儿</v>
      </c>
      <c r="D998" s="13" t="str">
        <f ca="1">IFERROR(__xludf.DUMMYFUNCTION("""COMPUTED_VALUE"""),"&lt;ruby&gt;空儿&lt;rt&gt;kòngr&lt;/rt&gt;&lt;/ruby&gt;")</f>
        <v>&lt;ruby&gt;空儿&lt;rt&gt;kòngr&lt;/rt&gt;&lt;/ruby&gt;</v>
      </c>
      <c r="E998" s="13" t="str">
        <f ca="1">IFERROR(__xludf.DUMMYFUNCTION("""COMPUTED_VALUE"""),"kòngr")</f>
        <v>kòngr</v>
      </c>
      <c r="F998" s="13" t="str">
        <f ca="1">IFERROR(__xludf.DUMMYFUNCTION("""COMPUTED_VALUE"""),"Danh từ")</f>
        <v>Danh từ</v>
      </c>
      <c r="G998" s="13" t="str">
        <f ca="1">IFERROR(__xludf.DUMMYFUNCTION("""COMPUTED_VALUE"""),"thời gian rảnh")</f>
        <v>thời gian rảnh</v>
      </c>
      <c r="H998" s="13" t="str">
        <f ca="1">IFERROR(__xludf.DUMMYFUNCTION("""COMPUTED_VALUE"""),"每天下班后，我都会利用空儿练习冥想。")</f>
        <v>每天下班后，我都会利用空儿练习冥想。</v>
      </c>
      <c r="I998" s="13"/>
      <c r="J998" s="13" t="str">
        <f ca="1">IFERROR(__xludf.DUMMYFUNCTION("""COMPUTED_VALUE"""),"Mỗi ngày sau giờ làm, tôi đều dành thời gian rảnh để tập thiền.")</f>
        <v>Mỗi ngày sau giờ làm, tôi đều dành thời gian rảnh để tập thiền.</v>
      </c>
      <c r="K998" s="13" t="str">
        <f ca="1">IFERROR(__xludf.DUMMYFUNCTION("""COMPUTED_VALUE"""),"H4_B10_BG-21.png")</f>
        <v>H4_B10_BG-21.png</v>
      </c>
      <c r="L998" s="13" t="str">
        <f ca="1">IFERROR(__xludf.DUMMYFUNCTION("""COMPUTED_VALUE"""),"B10_21.mp3")</f>
        <v>B10_21.mp3</v>
      </c>
      <c r="M998" s="13" t="str">
        <f ca="1">IFERROR(__xludf.DUMMYFUNCTION("""COMPUTED_VALUE"""),"B10_VD_21.mp3")</f>
        <v>B10_VD_21.mp3</v>
      </c>
    </row>
    <row r="999" spans="1:13">
      <c r="A999" s="13">
        <f ca="1">IFERROR(__xludf.DUMMYFUNCTION("""COMPUTED_VALUE"""),22)</f>
        <v>22</v>
      </c>
      <c r="B999" s="13"/>
      <c r="C999" s="13" t="str">
        <f ca="1">IFERROR(__xludf.DUMMYFUNCTION("""COMPUTED_VALUE"""),"困")</f>
        <v>困</v>
      </c>
      <c r="D999" s="13" t="str">
        <f ca="1">IFERROR(__xludf.DUMMYFUNCTION("""COMPUTED_VALUE"""),"&lt;ruby&gt;困&lt;rt&gt;kùn&lt;/rt&gt;&lt;/ruby&gt;")</f>
        <v>&lt;ruby&gt;困&lt;rt&gt;kùn&lt;/rt&gt;&lt;/ruby&gt;</v>
      </c>
      <c r="E999" s="13" t="str">
        <f ca="1">IFERROR(__xludf.DUMMYFUNCTION("""COMPUTED_VALUE"""),"kùn")</f>
        <v>kùn</v>
      </c>
      <c r="F999" s="13" t="str">
        <f ca="1">IFERROR(__xludf.DUMMYFUNCTION("""COMPUTED_VALUE"""),"Tính từ")</f>
        <v>Tính từ</v>
      </c>
      <c r="G999" s="13" t="str">
        <f ca="1">IFERROR(__xludf.DUMMYFUNCTION("""COMPUTED_VALUE"""),"buồn ngủ")</f>
        <v>buồn ngủ</v>
      </c>
      <c r="H999" s="13" t="str">
        <f ca="1">IFERROR(__xludf.DUMMYFUNCTION("""COMPUTED_VALUE"""),"昨天晚上她睡得很晚，现在很困。")</f>
        <v>昨天晚上她睡得很晚，现在很困。</v>
      </c>
      <c r="I999" s="13"/>
      <c r="J999" s="13" t="str">
        <f ca="1">IFERROR(__xludf.DUMMYFUNCTION("""COMPUTED_VALUE"""),"Tối qua tôi ngủ rất muộn, bây giờ rất buồn ngủ.")</f>
        <v>Tối qua tôi ngủ rất muộn, bây giờ rất buồn ngủ.</v>
      </c>
      <c r="K999" s="13" t="str">
        <f ca="1">IFERROR(__xludf.DUMMYFUNCTION("""COMPUTED_VALUE"""),"H4_B10_BG-22.png")</f>
        <v>H4_B10_BG-22.png</v>
      </c>
      <c r="L999" s="13" t="str">
        <f ca="1">IFERROR(__xludf.DUMMYFUNCTION("""COMPUTED_VALUE"""),"B10_22.mp3")</f>
        <v>B10_22.mp3</v>
      </c>
      <c r="M999" s="13" t="str">
        <f ca="1">IFERROR(__xludf.DUMMYFUNCTION("""COMPUTED_VALUE"""),"B10_VD_22.mp3")</f>
        <v>B10_VD_22.mp3</v>
      </c>
    </row>
    <row r="1000" spans="1:13">
      <c r="A1000" s="13">
        <f ca="1">IFERROR(__xludf.DUMMYFUNCTION("""COMPUTED_VALUE"""),23)</f>
        <v>23</v>
      </c>
      <c r="B1000" s="13"/>
      <c r="C1000" s="13" t="str">
        <f ca="1">IFERROR(__xludf.DUMMYFUNCTION("""COMPUTED_VALUE"""),"躺")</f>
        <v>躺</v>
      </c>
      <c r="D1000" s="13" t="str">
        <f ca="1">IFERROR(__xludf.DUMMYFUNCTION("""COMPUTED_VALUE"""),"&lt;ruby&gt;躺&lt;rt&gt;tǎng&lt;/rt&gt;&lt;/ruby&gt;")</f>
        <v>&lt;ruby&gt;躺&lt;rt&gt;tǎng&lt;/rt&gt;&lt;/ruby&gt;</v>
      </c>
      <c r="E1000" s="13" t="str">
        <f ca="1">IFERROR(__xludf.DUMMYFUNCTION("""COMPUTED_VALUE"""),"tǎng")</f>
        <v>tǎng</v>
      </c>
      <c r="F1000" s="13" t="str">
        <f ca="1">IFERROR(__xludf.DUMMYFUNCTION("""COMPUTED_VALUE"""),"Động từ")</f>
        <v>Động từ</v>
      </c>
      <c r="G1000" s="13" t="str">
        <f ca="1">IFERROR(__xludf.DUMMYFUNCTION("""COMPUTED_VALUE"""),"nằm")</f>
        <v>nằm</v>
      </c>
      <c r="H1000" s="13" t="str">
        <f ca="1">IFERROR(__xludf.DUMMYFUNCTION("""COMPUTED_VALUE"""),"她喜欢躺在床上看书。")</f>
        <v>她喜欢躺在床上看书。</v>
      </c>
      <c r="I1000" s="13"/>
      <c r="J1000" s="13" t="str">
        <f ca="1">IFERROR(__xludf.DUMMYFUNCTION("""COMPUTED_VALUE"""),"Cô ấy thích nằm trên giường đọc sách.")</f>
        <v>Cô ấy thích nằm trên giường đọc sách.</v>
      </c>
      <c r="K1000" s="13" t="str">
        <f ca="1">IFERROR(__xludf.DUMMYFUNCTION("""COMPUTED_VALUE"""),"H4_B10_BG-23.png")</f>
        <v>H4_B10_BG-23.png</v>
      </c>
      <c r="L1000" s="13" t="str">
        <f ca="1">IFERROR(__xludf.DUMMYFUNCTION("""COMPUTED_VALUE"""),"B10_23.mp3")</f>
        <v>B10_23.mp3</v>
      </c>
      <c r="M1000" s="13" t="str">
        <f ca="1">IFERROR(__xludf.DUMMYFUNCTION("""COMPUTED_VALUE"""),"B10_VD_23.mp3")</f>
        <v>B10_VD_23.mp3</v>
      </c>
    </row>
    <row r="1001" spans="1:13">
      <c r="A1001" s="13">
        <f ca="1">IFERROR(__xludf.DUMMYFUNCTION("""COMPUTED_VALUE"""),24)</f>
        <v>24</v>
      </c>
      <c r="B1001" s="13"/>
      <c r="C1001" s="13" t="str">
        <f ca="1">IFERROR(__xludf.DUMMYFUNCTION("""COMPUTED_VALUE"""),"拉")</f>
        <v>拉</v>
      </c>
      <c r="D1001" s="13" t="str">
        <f ca="1">IFERROR(__xludf.DUMMYFUNCTION("""COMPUTED_VALUE"""),"&lt;ruby&gt;拉&lt;rt&gt;lā&lt;/rt&gt;&lt;/ruby&gt;")</f>
        <v>&lt;ruby&gt;拉&lt;rt&gt;lā&lt;/rt&gt;&lt;/ruby&gt;</v>
      </c>
      <c r="E1001" s="13" t="str">
        <f ca="1">IFERROR(__xludf.DUMMYFUNCTION("""COMPUTED_VALUE"""),"lā")</f>
        <v>lā</v>
      </c>
      <c r="F1001" s="13" t="str">
        <f ca="1">IFERROR(__xludf.DUMMYFUNCTION("""COMPUTED_VALUE"""),"Động từ")</f>
        <v>Động từ</v>
      </c>
      <c r="G1001" s="13" t="str">
        <f ca="1">IFERROR(__xludf.DUMMYFUNCTION("""COMPUTED_VALUE"""),"kéo, lôi, dắt")</f>
        <v>kéo, lôi, dắt</v>
      </c>
      <c r="H1001" s="13" t="str">
        <f ca="1">IFERROR(__xludf.DUMMYFUNCTION("""COMPUTED_VALUE"""),"他拉着狗的项链，准备带它去打猎。")</f>
        <v>他拉着狗的项链，准备带它去打猎。</v>
      </c>
      <c r="I1001" s="13"/>
      <c r="J1001" s="13" t="str">
        <f ca="1">IFERROR(__xludf.DUMMYFUNCTION("""COMPUTED_VALUE"""),"Anh ấy dắt dây cổ của con chó, chuẩn bị dẫn nó đi săn.")</f>
        <v>Anh ấy dắt dây cổ của con chó, chuẩn bị dẫn nó đi săn.</v>
      </c>
      <c r="K1001" s="13" t="str">
        <f ca="1">IFERROR(__xludf.DUMMYFUNCTION("""COMPUTED_VALUE"""),"H4_B10_BG-24.png")</f>
        <v>H4_B10_BG-24.png</v>
      </c>
      <c r="L1001" s="13" t="str">
        <f ca="1">IFERROR(__xludf.DUMMYFUNCTION("""COMPUTED_VALUE"""),"B10_24.mp3")</f>
        <v>B10_24.mp3</v>
      </c>
      <c r="M1001" s="13" t="str">
        <f ca="1">IFERROR(__xludf.DUMMYFUNCTION("""COMPUTED_VALUE"""),"B10_VD_24.mp3")</f>
        <v>B10_VD_24.mp3</v>
      </c>
    </row>
    <row r="1002" spans="1:13">
      <c r="A1002" s="13">
        <f ca="1">IFERROR(__xludf.DUMMYFUNCTION("""COMPUTED_VALUE"""),25)</f>
        <v>25</v>
      </c>
      <c r="B1002" s="13"/>
      <c r="C1002" s="13" t="str">
        <f ca="1">IFERROR(__xludf.DUMMYFUNCTION("""COMPUTED_VALUE"""),"礼拜天")</f>
        <v>礼拜天</v>
      </c>
      <c r="D1002" s="13" t="str">
        <f ca="1">IFERROR(__xludf.DUMMYFUNCTION("""COMPUTED_VALUE"""),"&lt;ruby&gt;礼拜天&lt;rt&gt;Lǐbài tiān&lt;/rt&gt;&lt;/ruby&gt;")</f>
        <v>&lt;ruby&gt;礼拜天&lt;rt&gt;Lǐbài tiān&lt;/rt&gt;&lt;/ruby&gt;</v>
      </c>
      <c r="E1002" s="13" t="str">
        <f ca="1">IFERROR(__xludf.DUMMYFUNCTION("""COMPUTED_VALUE"""),"Lǐbài tiān")</f>
        <v>Lǐbài tiān</v>
      </c>
      <c r="F1002" s="13" t="str">
        <f ca="1">IFERROR(__xludf.DUMMYFUNCTION("""COMPUTED_VALUE"""),"Danh từ")</f>
        <v>Danh từ</v>
      </c>
      <c r="G1002" s="13" t="str">
        <f ca="1">IFERROR(__xludf.DUMMYFUNCTION("""COMPUTED_VALUE"""),"chủ nhật")</f>
        <v>chủ nhật</v>
      </c>
      <c r="H1002" s="13" t="str">
        <f ca="1">IFERROR(__xludf.DUMMYFUNCTION("""COMPUTED_VALUE"""),"礼拜天我们一起去公园吧！")</f>
        <v>礼拜天我们一起去公园吧！</v>
      </c>
      <c r="I1002" s="13"/>
      <c r="J1002" s="13" t="str">
        <f ca="1">IFERROR(__xludf.DUMMYFUNCTION("""COMPUTED_VALUE"""),"Chủ nhật chúng ta cùng đi công viên nhé!")</f>
        <v>Chủ nhật chúng ta cùng đi công viên nhé!</v>
      </c>
      <c r="K1002" s="13" t="str">
        <f ca="1">IFERROR(__xludf.DUMMYFUNCTION("""COMPUTED_VALUE"""),"H4_B10_BG-25.png")</f>
        <v>H4_B10_BG-25.png</v>
      </c>
      <c r="L1002" s="13" t="str">
        <f ca="1">IFERROR(__xludf.DUMMYFUNCTION("""COMPUTED_VALUE"""),"B10_25.mp3")</f>
        <v>B10_25.mp3</v>
      </c>
      <c r="M1002" s="13" t="str">
        <f ca="1">IFERROR(__xludf.DUMMYFUNCTION("""COMPUTED_VALUE"""),"B10_VD_25.mp3")</f>
        <v>B10_VD_25.mp3</v>
      </c>
    </row>
    <row r="1003" spans="1:13">
      <c r="A1003" s="13">
        <f ca="1">IFERROR(__xludf.DUMMYFUNCTION("""COMPUTED_VALUE"""),26)</f>
        <v>26</v>
      </c>
      <c r="B1003" s="13"/>
      <c r="C1003" s="13" t="str">
        <f ca="1">IFERROR(__xludf.DUMMYFUNCTION("""COMPUTED_VALUE"""),"母亲")</f>
        <v>母亲</v>
      </c>
      <c r="D1003" s="13" t="str">
        <f ca="1">IFERROR(__xludf.DUMMYFUNCTION("""COMPUTED_VALUE"""),"&lt;ruby&gt;母亲&lt;rt&gt;mŭqīn&lt;/rt&gt;&lt;/ruby&gt;")</f>
        <v>&lt;ruby&gt;母亲&lt;rt&gt;mŭqīn&lt;/rt&gt;&lt;/ruby&gt;</v>
      </c>
      <c r="E1003" s="13" t="str">
        <f ca="1">IFERROR(__xludf.DUMMYFUNCTION("""COMPUTED_VALUE"""),"mŭqīn")</f>
        <v>mŭqīn</v>
      </c>
      <c r="F1003" s="13" t="str">
        <f ca="1">IFERROR(__xludf.DUMMYFUNCTION("""COMPUTED_VALUE"""),"Danh từ")</f>
        <v>Danh từ</v>
      </c>
      <c r="G1003" s="13" t="str">
        <f ca="1">IFERROR(__xludf.DUMMYFUNCTION("""COMPUTED_VALUE"""),"mẹ")</f>
        <v>mẹ</v>
      </c>
      <c r="H1003" s="13" t="str">
        <f ca="1">IFERROR(__xludf.DUMMYFUNCTION("""COMPUTED_VALUE"""),"母亲的爱是世界上最伟大的。")</f>
        <v>母亲的爱是世界上最伟大的。</v>
      </c>
      <c r="I1003" s="13"/>
      <c r="J1003" s="13" t="str">
        <f ca="1">IFERROR(__xludf.DUMMYFUNCTION("""COMPUTED_VALUE"""),"Tình yêu của mẹ là điều vĩ đại nhất trên thế giới.")</f>
        <v>Tình yêu của mẹ là điều vĩ đại nhất trên thế giới.</v>
      </c>
      <c r="K1003" s="13" t="str">
        <f ca="1">IFERROR(__xludf.DUMMYFUNCTION("""COMPUTED_VALUE"""),"H4_B10_BG-26.png")</f>
        <v>H4_B10_BG-26.png</v>
      </c>
      <c r="L1003" s="13" t="str">
        <f ca="1">IFERROR(__xludf.DUMMYFUNCTION("""COMPUTED_VALUE"""),"B10_26.mp3")</f>
        <v>B10_26.mp3</v>
      </c>
      <c r="M1003" s="13" t="str">
        <f ca="1">IFERROR(__xludf.DUMMYFUNCTION("""COMPUTED_VALUE"""),"B10_VD_26.mp3")</f>
        <v>B10_VD_26.mp3</v>
      </c>
    </row>
    <row r="1004" spans="1:13">
      <c r="A1004" s="13">
        <f ca="1">IFERROR(__xludf.DUMMYFUNCTION("""COMPUTED_VALUE"""),27)</f>
        <v>27</v>
      </c>
      <c r="B1004" s="13"/>
      <c r="C1004" s="13" t="str">
        <f ca="1">IFERROR(__xludf.DUMMYFUNCTION("""COMPUTED_VALUE"""),"确实")</f>
        <v>确实</v>
      </c>
      <c r="D1004" s="13" t="str">
        <f ca="1">IFERROR(__xludf.DUMMYFUNCTION("""COMPUTED_VALUE"""),"&lt;ruby&gt;确实&lt;rt&gt;quèshí&lt;/rt&gt;&lt;/ruby&gt;")</f>
        <v>&lt;ruby&gt;确实&lt;rt&gt;quèshí&lt;/rt&gt;&lt;/ruby&gt;</v>
      </c>
      <c r="E1004" s="13" t="str">
        <f ca="1">IFERROR(__xludf.DUMMYFUNCTION("""COMPUTED_VALUE"""),"quèshí")</f>
        <v>quèshí</v>
      </c>
      <c r="F1004" s="13" t="str">
        <f ca="1">IFERROR(__xludf.DUMMYFUNCTION("""COMPUTED_VALUE"""),"Phó từ")</f>
        <v>Phó từ</v>
      </c>
      <c r="G1004" s="13" t="str">
        <f ca="1">IFERROR(__xludf.DUMMYFUNCTION("""COMPUTED_VALUE"""),"thực sự")</f>
        <v>thực sự</v>
      </c>
      <c r="H1004" s="13" t="str">
        <f ca="1">IFERROR(__xludf.DUMMYFUNCTION("""COMPUTED_VALUE"""),"这道菜确实很好吃。")</f>
        <v>这道菜确实很好吃。</v>
      </c>
      <c r="I1004" s="13"/>
      <c r="J1004" s="13" t="str">
        <f ca="1">IFERROR(__xludf.DUMMYFUNCTION("""COMPUTED_VALUE"""),"Món ăn này thật sự rất ngon.")</f>
        <v>Món ăn này thật sự rất ngon.</v>
      </c>
      <c r="K1004" s="13" t="str">
        <f ca="1">IFERROR(__xludf.DUMMYFUNCTION("""COMPUTED_VALUE"""),"H4_B10_BG-27.png")</f>
        <v>H4_B10_BG-27.png</v>
      </c>
      <c r="L1004" s="13" t="str">
        <f ca="1">IFERROR(__xludf.DUMMYFUNCTION("""COMPUTED_VALUE"""),"B10_27.mp3")</f>
        <v>B10_27.mp3</v>
      </c>
      <c r="M1004" s="13" t="str">
        <f ca="1">IFERROR(__xludf.DUMMYFUNCTION("""COMPUTED_VALUE"""),"B10_VD_27.mp3")</f>
        <v>B10_VD_27.mp3</v>
      </c>
    </row>
    <row r="1005" spans="1:13">
      <c r="A1005" s="13">
        <f ca="1">IFERROR(__xludf.DUMMYFUNCTION("""COMPUTED_VALUE"""),28)</f>
        <v>28</v>
      </c>
      <c r="B1005" s="13"/>
      <c r="C1005" s="13" t="str">
        <f ca="1">IFERROR(__xludf.DUMMYFUNCTION("""COMPUTED_VALUE"""),"糖")</f>
        <v>糖</v>
      </c>
      <c r="D1005" s="13" t="str">
        <f ca="1">IFERROR(__xludf.DUMMYFUNCTION("""COMPUTED_VALUE"""),"&lt;ruby&gt;糖&lt;rt&gt;táng&lt;/rt&gt;&lt;/ruby&gt;")</f>
        <v>&lt;ruby&gt;糖&lt;rt&gt;táng&lt;/rt&gt;&lt;/ruby&gt;</v>
      </c>
      <c r="E1005" s="13" t="str">
        <f ca="1">IFERROR(__xludf.DUMMYFUNCTION("""COMPUTED_VALUE"""),"táng")</f>
        <v>táng</v>
      </c>
      <c r="F1005" s="13" t="str">
        <f ca="1">IFERROR(__xludf.DUMMYFUNCTION("""COMPUTED_VALUE"""),"Danh từ")</f>
        <v>Danh từ</v>
      </c>
      <c r="G1005" s="13" t="str">
        <f ca="1">IFERROR(__xludf.DUMMYFUNCTION("""COMPUTED_VALUE"""),"kẹo, đường")</f>
        <v>kẹo, đường</v>
      </c>
      <c r="H1005" s="13" t="str">
        <f ca="1">IFERROR(__xludf.DUMMYFUNCTION("""COMPUTED_VALUE"""),"小孩子都喜欢吃糖。")</f>
        <v>小孩子都喜欢吃糖。</v>
      </c>
      <c r="I1005" s="13"/>
      <c r="J1005" s="13" t="str">
        <f ca="1">IFERROR(__xludf.DUMMYFUNCTION("""COMPUTED_VALUE"""),"Trẻ con đều thích ăn kẹo.")</f>
        <v>Trẻ con đều thích ăn kẹo.</v>
      </c>
      <c r="K1005" s="13" t="str">
        <f ca="1">IFERROR(__xludf.DUMMYFUNCTION("""COMPUTED_VALUE"""),"H4_B10_BG-28.png")</f>
        <v>H4_B10_BG-28.png</v>
      </c>
      <c r="L1005" s="13" t="str">
        <f ca="1">IFERROR(__xludf.DUMMYFUNCTION("""COMPUTED_VALUE"""),"B10_28.mp3")</f>
        <v>B10_28.mp3</v>
      </c>
      <c r="M1005" s="13" t="str">
        <f ca="1">IFERROR(__xludf.DUMMYFUNCTION("""COMPUTED_VALUE"""),"B10_VD_28.mp3")</f>
        <v>B10_VD_28.mp3</v>
      </c>
    </row>
    <row r="1006" spans="1:13">
      <c r="A1006" s="13">
        <f ca="1">IFERROR(__xludf.DUMMYFUNCTION("""COMPUTED_VALUE"""),29)</f>
        <v>29</v>
      </c>
      <c r="B1006" s="13"/>
      <c r="C1006" s="13" t="str">
        <f ca="1">IFERROR(__xludf.DUMMYFUNCTION("""COMPUTED_VALUE"""),"兴奋")</f>
        <v>兴奋</v>
      </c>
      <c r="D1006" s="13" t="str">
        <f ca="1">IFERROR(__xludf.DUMMYFUNCTION("""COMPUTED_VALUE"""),"&lt;ruby&gt;兴奋&lt;rt&gt;xīngfèn&lt;/rt&gt;&lt;/ruby&gt;")</f>
        <v>&lt;ruby&gt;兴奋&lt;rt&gt;xīngfèn&lt;/rt&gt;&lt;/ruby&gt;</v>
      </c>
      <c r="E1006" s="13" t="str">
        <f ca="1">IFERROR(__xludf.DUMMYFUNCTION("""COMPUTED_VALUE"""),"xīngfèn")</f>
        <v>xīngfèn</v>
      </c>
      <c r="F1006" s="13" t="str">
        <f ca="1">IFERROR(__xludf.DUMMYFUNCTION("""COMPUTED_VALUE"""),"Tính từ")</f>
        <v>Tính từ</v>
      </c>
      <c r="G1006" s="13" t="str">
        <f ca="1">IFERROR(__xludf.DUMMYFUNCTION("""COMPUTED_VALUE"""),"hăng hái, phấn khởi")</f>
        <v>hăng hái, phấn khởi</v>
      </c>
      <c r="H1006" s="13" t="str">
        <f ca="1">IFERROR(__xludf.DUMMYFUNCTION("""COMPUTED_VALUE"""),"听到这个好消息，她非常兴奋。")</f>
        <v>听到这个好消息，她非常兴奋。</v>
      </c>
      <c r="I1006" s="13"/>
      <c r="J1006" s="13" t="str">
        <f ca="1">IFERROR(__xludf.DUMMYFUNCTION("""COMPUTED_VALUE"""),"Nghe tin tốt này, cô ấy rất phấn khởi.")</f>
        <v>Nghe tin tốt này, cô ấy rất phấn khởi.</v>
      </c>
      <c r="K1006" s="13" t="str">
        <f ca="1">IFERROR(__xludf.DUMMYFUNCTION("""COMPUTED_VALUE"""),"H4_B10_BG-29.png")</f>
        <v>H4_B10_BG-29.png</v>
      </c>
      <c r="L1006" s="13" t="str">
        <f ca="1">IFERROR(__xludf.DUMMYFUNCTION("""COMPUTED_VALUE"""),"B10_29.mp3")</f>
        <v>B10_29.mp3</v>
      </c>
      <c r="M1006" s="13" t="str">
        <f ca="1">IFERROR(__xludf.DUMMYFUNCTION("""COMPUTED_VALUE"""),"B10_VD_29.mp3")</f>
        <v>B10_VD_29.mp3</v>
      </c>
    </row>
    <row r="1007" spans="1:13">
      <c r="A1007" s="13">
        <f ca="1">IFERROR(__xludf.DUMMYFUNCTION("""COMPUTED_VALUE"""),30)</f>
        <v>30</v>
      </c>
      <c r="B1007" s="13"/>
      <c r="C1007" s="13" t="str">
        <f ca="1">IFERROR(__xludf.DUMMYFUNCTION("""COMPUTED_VALUE"""),"橡皮")</f>
        <v>橡皮</v>
      </c>
      <c r="D1007" s="13" t="str">
        <f ca="1">IFERROR(__xludf.DUMMYFUNCTION("""COMPUTED_VALUE"""),"&lt;ruby&gt;橡皮&lt;rt&gt;xiàngpí&lt;/rt&gt;&lt;/ruby&gt;")</f>
        <v>&lt;ruby&gt;橡皮&lt;rt&gt;xiàngpí&lt;/rt&gt;&lt;/ruby&gt;</v>
      </c>
      <c r="E1007" s="13" t="str">
        <f ca="1">IFERROR(__xludf.DUMMYFUNCTION("""COMPUTED_VALUE"""),"xiàngpí")</f>
        <v>xiàngpí</v>
      </c>
      <c r="F1007" s="13" t="str">
        <f ca="1">IFERROR(__xludf.DUMMYFUNCTION("""COMPUTED_VALUE"""),"Danh từ")</f>
        <v>Danh từ</v>
      </c>
      <c r="G1007" s="13" t="str">
        <f ca="1">IFERROR(__xludf.DUMMYFUNCTION("""COMPUTED_VALUE"""),"(cục) gôm, tẩy")</f>
        <v>(cục) gôm, tẩy</v>
      </c>
      <c r="H1007" s="13" t="str">
        <f ca="1">IFERROR(__xludf.DUMMYFUNCTION("""COMPUTED_VALUE"""),"我的橡皮丢了，能借我一下吗？")</f>
        <v>我的橡皮丢了，能借我一下吗？</v>
      </c>
      <c r="I1007" s="13"/>
      <c r="J1007" s="13" t="str">
        <f ca="1">IFERROR(__xludf.DUMMYFUNCTION("""COMPUTED_VALUE"""),"Cục tẩy của tôi bị mất rồi, bạn có thể cho tôi mượn không?")</f>
        <v>Cục tẩy của tôi bị mất rồi, bạn có thể cho tôi mượn không?</v>
      </c>
      <c r="K1007" s="13" t="str">
        <f ca="1">IFERROR(__xludf.DUMMYFUNCTION("""COMPUTED_VALUE"""),"H4_B10_BG-30.png")</f>
        <v>H4_B10_BG-30.png</v>
      </c>
      <c r="L1007" s="13" t="str">
        <f ca="1">IFERROR(__xludf.DUMMYFUNCTION("""COMPUTED_VALUE"""),"B10_30.mp3")</f>
        <v>B10_30.mp3</v>
      </c>
      <c r="M1007" s="13" t="str">
        <f ca="1">IFERROR(__xludf.DUMMYFUNCTION("""COMPUTED_VALUE"""),"B10_VD_30.mp3")</f>
        <v>B10_VD_30.mp3</v>
      </c>
    </row>
    <row r="1008" spans="1:13">
      <c r="A1008" s="13">
        <f ca="1">IFERROR(__xludf.DUMMYFUNCTION("""COMPUTED_VALUE"""),1)</f>
        <v>1</v>
      </c>
      <c r="B1008" s="13"/>
      <c r="C1008" s="13" t="str">
        <f ca="1">IFERROR(__xludf.DUMMYFUNCTION("""COMPUTED_VALUE"""),"厉害")</f>
        <v>厉害</v>
      </c>
      <c r="D1008" s="13" t="str">
        <f ca="1">IFERROR(__xludf.DUMMYFUNCTION("""COMPUTED_VALUE"""),"&lt;ruby&gt;厉害&lt;rt&gt;lìhai&lt;/rt&gt;&lt;/ruby&gt;")</f>
        <v>&lt;ruby&gt;厉害&lt;rt&gt;lìhai&lt;/rt&gt;&lt;/ruby&gt;</v>
      </c>
      <c r="E1008" s="13" t="str">
        <f ca="1">IFERROR(__xludf.DUMMYFUNCTION("""COMPUTED_VALUE"""),"lìhai")</f>
        <v>lìhai</v>
      </c>
      <c r="F1008" s="13" t="str">
        <f ca="1">IFERROR(__xludf.DUMMYFUNCTION("""COMPUTED_VALUE"""),"Tính từ")</f>
        <v>Tính từ</v>
      </c>
      <c r="G1008" s="13" t="str">
        <f ca="1">IFERROR(__xludf.DUMMYFUNCTION("""COMPUTED_VALUE"""),"lợi hại")</f>
        <v>lợi hại</v>
      </c>
      <c r="H1008" s="13" t="str">
        <f ca="1">IFERROR(__xludf.DUMMYFUNCTION("""COMPUTED_VALUE"""),"他的厨艺很厉害。")</f>
        <v>他的厨艺很厉害。</v>
      </c>
      <c r="I1008" s="13"/>
      <c r="J1008" s="13" t="str">
        <f ca="1">IFERROR(__xludf.DUMMYFUNCTION("""COMPUTED_VALUE"""),"kỹ năng nấu ăn của anh ấy rất lợi hại")</f>
        <v>kỹ năng nấu ăn của anh ấy rất lợi hại</v>
      </c>
      <c r="K1008" s="13" t="str">
        <f ca="1">IFERROR(__xludf.DUMMYFUNCTION("""COMPUTED_VALUE"""),"H4_B11_BG-01.png")</f>
        <v>H4_B11_BG-01.png</v>
      </c>
      <c r="L1008" s="13" t="str">
        <f ca="1">IFERROR(__xludf.DUMMYFUNCTION("""COMPUTED_VALUE"""),"B11_1.mp3")</f>
        <v>B11_1.mp3</v>
      </c>
      <c r="M1008" s="13" t="str">
        <f ca="1">IFERROR(__xludf.DUMMYFUNCTION("""COMPUTED_VALUE"""),"B11_VD_1.mp3")</f>
        <v>B11_VD_1.mp3</v>
      </c>
    </row>
    <row r="1009" spans="1:13">
      <c r="A1009" s="13">
        <f ca="1">IFERROR(__xludf.DUMMYFUNCTION("""COMPUTED_VALUE"""),2)</f>
        <v>2</v>
      </c>
      <c r="B1009" s="13"/>
      <c r="C1009" s="13" t="str">
        <f ca="1">IFERROR(__xludf.DUMMYFUNCTION("""COMPUTED_VALUE"""),"连")</f>
        <v>连</v>
      </c>
      <c r="D1009" s="13" t="str">
        <f ca="1">IFERROR(__xludf.DUMMYFUNCTION("""COMPUTED_VALUE"""),"&lt;ruby&gt;连&lt;rt&gt;lián&lt;/rt&gt;&lt;/ruby&gt;")</f>
        <v>&lt;ruby&gt;连&lt;rt&gt;lián&lt;/rt&gt;&lt;/ruby&gt;</v>
      </c>
      <c r="E1009" s="13" t="str">
        <f ca="1">IFERROR(__xludf.DUMMYFUNCTION("""COMPUTED_VALUE"""),"lián")</f>
        <v>lián</v>
      </c>
      <c r="F1009" s="13" t="str">
        <f ca="1">IFERROR(__xludf.DUMMYFUNCTION("""COMPUTED_VALUE"""),"Giới từ")</f>
        <v>Giới từ</v>
      </c>
      <c r="G1009" s="13" t="str">
        <f ca="1">IFERROR(__xludf.DUMMYFUNCTION("""COMPUTED_VALUE"""),"ngay cả")</f>
        <v>ngay cả</v>
      </c>
      <c r="H1009" s="13" t="str">
        <f ca="1">IFERROR(__xludf.DUMMYFUNCTION("""COMPUTED_VALUE"""),"连我都觉得很不好意思。")</f>
        <v>连我都觉得很不好意思。</v>
      </c>
      <c r="I1009" s="13"/>
      <c r="J1009" s="13" t="str">
        <f ca="1">IFERROR(__xludf.DUMMYFUNCTION("""COMPUTED_VALUE"""),"Đến cả tôi cũng cảm thấy rất ngại.")</f>
        <v>Đến cả tôi cũng cảm thấy rất ngại.</v>
      </c>
      <c r="K1009" s="13" t="str">
        <f ca="1">IFERROR(__xludf.DUMMYFUNCTION("""COMPUTED_VALUE"""),"H4_B11_BG-02.png")</f>
        <v>H4_B11_BG-02.png</v>
      </c>
      <c r="L1009" s="13" t="str">
        <f ca="1">IFERROR(__xludf.DUMMYFUNCTION("""COMPUTED_VALUE"""),"B11_2.mp3")</f>
        <v>B11_2.mp3</v>
      </c>
      <c r="M1009" s="13" t="str">
        <f ca="1">IFERROR(__xludf.DUMMYFUNCTION("""COMPUTED_VALUE"""),"B11_VD_2.mp3")</f>
        <v>B11_VD_2.mp3</v>
      </c>
    </row>
    <row r="1010" spans="1:13">
      <c r="A1010" s="13">
        <f ca="1">IFERROR(__xludf.DUMMYFUNCTION("""COMPUTED_VALUE"""),3)</f>
        <v>3</v>
      </c>
      <c r="B1010" s="13"/>
      <c r="C1010" s="13" t="str">
        <f ca="1">IFERROR(__xludf.DUMMYFUNCTION("""COMPUTED_VALUE"""),"来得及")</f>
        <v>来得及</v>
      </c>
      <c r="D1010" s="13" t="str">
        <f ca="1">IFERROR(__xludf.DUMMYFUNCTION("""COMPUTED_VALUE"""),"&lt;ruby&gt;来得及&lt;rt&gt;láidejí&lt;/rt&gt;&lt;/ruby&gt;")</f>
        <v>&lt;ruby&gt;来得及&lt;rt&gt;láidejí&lt;/rt&gt;&lt;/ruby&gt;</v>
      </c>
      <c r="E1010" s="13" t="str">
        <f ca="1">IFERROR(__xludf.DUMMYFUNCTION("""COMPUTED_VALUE"""),"láidejí")</f>
        <v>láidejí</v>
      </c>
      <c r="F1010" s="13" t="str">
        <f ca="1">IFERROR(__xludf.DUMMYFUNCTION("""COMPUTED_VALUE"""),"Động từ")</f>
        <v>Động từ</v>
      </c>
      <c r="G1010" s="13" t="str">
        <f ca="1">IFERROR(__xludf.DUMMYFUNCTION("""COMPUTED_VALUE"""),"kịp, còn kịp")</f>
        <v>kịp, còn kịp</v>
      </c>
      <c r="H1010" s="13" t="str">
        <f ca="1">IFERROR(__xludf.DUMMYFUNCTION("""COMPUTED_VALUE"""),"我得快点送货，才能来得及。")</f>
        <v>我得快点送货，才能来得及。</v>
      </c>
      <c r="I1010" s="13"/>
      <c r="J1010" s="13" t="str">
        <f ca="1">IFERROR(__xludf.DUMMYFUNCTION("""COMPUTED_VALUE"""),"tôi phải đi giao hàng thật nhanh để kịp thời gian")</f>
        <v>tôi phải đi giao hàng thật nhanh để kịp thời gian</v>
      </c>
      <c r="K1010" s="13" t="str">
        <f ca="1">IFERROR(__xludf.DUMMYFUNCTION("""COMPUTED_VALUE"""),"H4_B11_BG-03.png")</f>
        <v>H4_B11_BG-03.png</v>
      </c>
      <c r="L1010" s="13" t="str">
        <f ca="1">IFERROR(__xludf.DUMMYFUNCTION("""COMPUTED_VALUE"""),"B11_3.mp3")</f>
        <v>B11_3.mp3</v>
      </c>
      <c r="M1010" s="13" t="str">
        <f ca="1">IFERROR(__xludf.DUMMYFUNCTION("""COMPUTED_VALUE"""),"B11_VD_3.mp3")</f>
        <v>B11_VD_3.mp3</v>
      </c>
    </row>
    <row r="1011" spans="1:13">
      <c r="A1011" s="13">
        <f ca="1">IFERROR(__xludf.DUMMYFUNCTION("""COMPUTED_VALUE"""),4)</f>
        <v>4</v>
      </c>
      <c r="B1011" s="13"/>
      <c r="C1011" s="13" t="str">
        <f ca="1">IFERROR(__xludf.DUMMYFUNCTION("""COMPUTED_VALUE"""),"复杂")</f>
        <v>复杂</v>
      </c>
      <c r="D1011" s="13" t="str">
        <f ca="1">IFERROR(__xludf.DUMMYFUNCTION("""COMPUTED_VALUE"""),"&lt;ruby&gt;复杂&lt;rt&gt;fùzá&lt;/rt&gt;&lt;/ruby&gt;")</f>
        <v>&lt;ruby&gt;复杂&lt;rt&gt;fùzá&lt;/rt&gt;&lt;/ruby&gt;</v>
      </c>
      <c r="E1011" s="13" t="str">
        <f ca="1">IFERROR(__xludf.DUMMYFUNCTION("""COMPUTED_VALUE"""),"fùzá")</f>
        <v>fùzá</v>
      </c>
      <c r="F1011" s="13" t="str">
        <f ca="1">IFERROR(__xludf.DUMMYFUNCTION("""COMPUTED_VALUE"""),"Tính từ")</f>
        <v>Tính từ</v>
      </c>
      <c r="G1011" s="13" t="str">
        <f ca="1">IFERROR(__xludf.DUMMYFUNCTION("""COMPUTED_VALUE"""),"phức tạp, rắc rối")</f>
        <v>phức tạp, rắc rối</v>
      </c>
      <c r="H1011" s="13" t="str">
        <f ca="1">IFERROR(__xludf.DUMMYFUNCTION("""COMPUTED_VALUE"""),"复杂的设计花费了很多时间。")</f>
        <v>复杂的设计花费了很多时间。</v>
      </c>
      <c r="I1011" s="13"/>
      <c r="J1011" s="13" t="str">
        <f ca="1">IFERROR(__xludf.DUMMYFUNCTION("""COMPUTED_VALUE"""),"Thiết kế phức tạp tốn rất nhiều thời gian.")</f>
        <v>Thiết kế phức tạp tốn rất nhiều thời gian.</v>
      </c>
      <c r="K1011" s="13" t="str">
        <f ca="1">IFERROR(__xludf.DUMMYFUNCTION("""COMPUTED_VALUE"""),"H4_B11_BG-04.png")</f>
        <v>H4_B11_BG-04.png</v>
      </c>
      <c r="L1011" s="13" t="str">
        <f ca="1">IFERROR(__xludf.DUMMYFUNCTION("""COMPUTED_VALUE"""),"B11_4.mp3")</f>
        <v>B11_4.mp3</v>
      </c>
      <c r="M1011" s="13" t="str">
        <f ca="1">IFERROR(__xludf.DUMMYFUNCTION("""COMPUTED_VALUE"""),"B11_VD_4.mp3")</f>
        <v>B11_VD_4.mp3</v>
      </c>
    </row>
    <row r="1012" spans="1:13">
      <c r="A1012" s="13">
        <f ca="1">IFERROR(__xludf.DUMMYFUNCTION("""COMPUTED_VALUE"""),5)</f>
        <v>5</v>
      </c>
      <c r="B1012" s="13"/>
      <c r="C1012" s="13" t="str">
        <f ca="1">IFERROR(__xludf.DUMMYFUNCTION("""COMPUTED_VALUE"""),"只好")</f>
        <v>只好</v>
      </c>
      <c r="D1012" s="13" t="str">
        <f ca="1">IFERROR(__xludf.DUMMYFUNCTION("""COMPUTED_VALUE"""),"&lt;ruby&gt;只好&lt;rt&gt;zhǐhǎo&lt;/rt&gt;&lt;/ruby&gt;")</f>
        <v>&lt;ruby&gt;只好&lt;rt&gt;zhǐhǎo&lt;/rt&gt;&lt;/ruby&gt;</v>
      </c>
      <c r="E1012" s="13" t="str">
        <f ca="1">IFERROR(__xludf.DUMMYFUNCTION("""COMPUTED_VALUE"""),"zhǐhǎo")</f>
        <v>zhǐhǎo</v>
      </c>
      <c r="F1012" s="13" t="str">
        <f ca="1">IFERROR(__xludf.DUMMYFUNCTION("""COMPUTED_VALUE"""),"Phó từ")</f>
        <v>Phó từ</v>
      </c>
      <c r="G1012" s="13" t="str">
        <f ca="1">IFERROR(__xludf.DUMMYFUNCTION("""COMPUTED_VALUE"""),"đành phải, buộc phải")</f>
        <v>đành phải, buộc phải</v>
      </c>
      <c r="H1012" s="13" t="str">
        <f ca="1">IFERROR(__xludf.DUMMYFUNCTION("""COMPUTED_VALUE"""),"我只好为了健康戒烟。")</f>
        <v>我只好为了健康戒烟。</v>
      </c>
      <c r="I1012" s="13"/>
      <c r="J1012" s="13" t="str">
        <f ca="1">IFERROR(__xludf.DUMMYFUNCTION("""COMPUTED_VALUE"""),"tôi chỉ có thể bỏ thuốc vì sức khỏe của mình")</f>
        <v>tôi chỉ có thể bỏ thuốc vì sức khỏe của mình</v>
      </c>
      <c r="K1012" s="13" t="str">
        <f ca="1">IFERROR(__xludf.DUMMYFUNCTION("""COMPUTED_VALUE"""),"H4_B11_BG-05.png")</f>
        <v>H4_B11_BG-05.png</v>
      </c>
      <c r="L1012" s="13" t="str">
        <f ca="1">IFERROR(__xludf.DUMMYFUNCTION("""COMPUTED_VALUE"""),"B11_5.mp3")</f>
        <v>B11_5.mp3</v>
      </c>
      <c r="M1012" s="13" t="str">
        <f ca="1">IFERROR(__xludf.DUMMYFUNCTION("""COMPUTED_VALUE"""),"B11_VD_5.mp3")</f>
        <v>B11_VD_5.mp3</v>
      </c>
    </row>
    <row r="1013" spans="1:13">
      <c r="A1013" s="13">
        <f ca="1">IFERROR(__xludf.DUMMYFUNCTION("""COMPUTED_VALUE"""),6)</f>
        <v>6</v>
      </c>
      <c r="B1013" s="13"/>
      <c r="C1013" s="13" t="str">
        <f ca="1">IFERROR(__xludf.DUMMYFUNCTION("""COMPUTED_VALUE"""),"否则")</f>
        <v>否则</v>
      </c>
      <c r="D1013" s="13" t="str">
        <f ca="1">IFERROR(__xludf.DUMMYFUNCTION("""COMPUTED_VALUE"""),"&lt;ruby&gt;否则&lt;rt&gt;fǒuzé&lt;/rt&gt;&lt;/ruby&gt;")</f>
        <v>&lt;ruby&gt;否则&lt;rt&gt;fǒuzé&lt;/rt&gt;&lt;/ruby&gt;</v>
      </c>
      <c r="E1013" s="13" t="str">
        <f ca="1">IFERROR(__xludf.DUMMYFUNCTION("""COMPUTED_VALUE"""),"fǒuzé")</f>
        <v>fǒuzé</v>
      </c>
      <c r="F1013" s="13" t="str">
        <f ca="1">IFERROR(__xludf.DUMMYFUNCTION("""COMPUTED_VALUE"""),"Liên từ")</f>
        <v>Liên từ</v>
      </c>
      <c r="G1013" s="13" t="str">
        <f ca="1">IFERROR(__xludf.DUMMYFUNCTION("""COMPUTED_VALUE"""),"nếu không thì, bằng không")</f>
        <v>nếu không thì, bằng không</v>
      </c>
      <c r="H1013" s="13" t="str">
        <f ca="1">IFERROR(__xludf.DUMMYFUNCTION("""COMPUTED_VALUE"""),"我必须减肥，否则会得肥胖症。")</f>
        <v>我必须减肥，否则会得肥胖症。</v>
      </c>
      <c r="I1013" s="13"/>
      <c r="J1013" s="13" t="str">
        <f ca="1">IFERROR(__xludf.DUMMYFUNCTION("""COMPUTED_VALUE"""),"tôi phải giảm cân nếu không thì tôi sẽ béo phì")</f>
        <v>tôi phải giảm cân nếu không thì tôi sẽ béo phì</v>
      </c>
      <c r="K1013" s="13" t="str">
        <f ca="1">IFERROR(__xludf.DUMMYFUNCTION("""COMPUTED_VALUE"""),"H4_B11_BG-06.png")</f>
        <v>H4_B11_BG-06.png</v>
      </c>
      <c r="L1013" s="13" t="str">
        <f ca="1">IFERROR(__xludf.DUMMYFUNCTION("""COMPUTED_VALUE"""),"B11_6.mp3")</f>
        <v>B11_6.mp3</v>
      </c>
      <c r="M1013" s="13" t="str">
        <f ca="1">IFERROR(__xludf.DUMMYFUNCTION("""COMPUTED_VALUE"""),"B11_VD_6.mp3")</f>
        <v>B11_VD_6.mp3</v>
      </c>
    </row>
    <row r="1014" spans="1:13">
      <c r="A1014" s="13">
        <f ca="1">IFERROR(__xludf.DUMMYFUNCTION("""COMPUTED_VALUE"""),7)</f>
        <v>7</v>
      </c>
      <c r="B1014" s="13"/>
      <c r="C1014" s="13" t="str">
        <f ca="1">IFERROR(__xludf.DUMMYFUNCTION("""COMPUTED_VALUE"""),"无论")</f>
        <v>无论</v>
      </c>
      <c r="D1014" s="13" t="str">
        <f ca="1">IFERROR(__xludf.DUMMYFUNCTION("""COMPUTED_VALUE"""),"&lt;ruby&gt;无论&lt;rt&gt;wúlùn&lt;/rt&gt;&lt;/ruby&gt;")</f>
        <v>&lt;ruby&gt;无论&lt;rt&gt;wúlùn&lt;/rt&gt;&lt;/ruby&gt;</v>
      </c>
      <c r="E1014" s="13" t="str">
        <f ca="1">IFERROR(__xludf.DUMMYFUNCTION("""COMPUTED_VALUE"""),"wúlùn")</f>
        <v>wúlùn</v>
      </c>
      <c r="F1014" s="13" t="str">
        <f ca="1">IFERROR(__xludf.DUMMYFUNCTION("""COMPUTED_VALUE"""),"Liên từ")</f>
        <v>Liên từ</v>
      </c>
      <c r="G1014" s="13" t="str">
        <f ca="1">IFERROR(__xludf.DUMMYFUNCTION("""COMPUTED_VALUE"""),"bất kể")</f>
        <v>bất kể</v>
      </c>
      <c r="H1014" s="13" t="str">
        <f ca="1">IFERROR(__xludf.DUMMYFUNCTION("""COMPUTED_VALUE"""),"无论付出多大代价，都要保护环境。")</f>
        <v>无论付出多大代价，都要保护环境。</v>
      </c>
      <c r="I1014" s="13"/>
      <c r="J1014" s="13" t="str">
        <f ca="1">IFERROR(__xludf.DUMMYFUNCTION("""COMPUTED_VALUE"""),"hãy bảo vệ môi trường bằng bất kể giá nào")</f>
        <v>hãy bảo vệ môi trường bằng bất kể giá nào</v>
      </c>
      <c r="K1014" s="13" t="str">
        <f ca="1">IFERROR(__xludf.DUMMYFUNCTION("""COMPUTED_VALUE"""),"H4_B11_BG-07.png")</f>
        <v>H4_B11_BG-07.png</v>
      </c>
      <c r="L1014" s="13" t="str">
        <f ca="1">IFERROR(__xludf.DUMMYFUNCTION("""COMPUTED_VALUE"""),"B11_7.mp3")</f>
        <v>B11_7.mp3</v>
      </c>
      <c r="M1014" s="13" t="str">
        <f ca="1">IFERROR(__xludf.DUMMYFUNCTION("""COMPUTED_VALUE"""),"B11_VD_7.mp3")</f>
        <v>B11_VD_7.mp3</v>
      </c>
    </row>
    <row r="1015" spans="1:13">
      <c r="A1015" s="13">
        <f ca="1">IFERROR(__xludf.DUMMYFUNCTION("""COMPUTED_VALUE"""),8)</f>
        <v>8</v>
      </c>
      <c r="B1015" s="13"/>
      <c r="C1015" s="13" t="str">
        <f ca="1">IFERROR(__xludf.DUMMYFUNCTION("""COMPUTED_VALUE"""),"然而")</f>
        <v>然而</v>
      </c>
      <c r="D1015" s="13" t="str">
        <f ca="1">IFERROR(__xludf.DUMMYFUNCTION("""COMPUTED_VALUE"""),"&lt;ruby&gt;然而&lt;rt&gt;ránér&lt;/rt&gt;&lt;/ruby&gt;")</f>
        <v>&lt;ruby&gt;然而&lt;rt&gt;ránér&lt;/rt&gt;&lt;/ruby&gt;</v>
      </c>
      <c r="E1015" s="13" t="str">
        <f ca="1">IFERROR(__xludf.DUMMYFUNCTION("""COMPUTED_VALUE"""),"ránér")</f>
        <v>ránér</v>
      </c>
      <c r="F1015" s="13" t="str">
        <f ca="1">IFERROR(__xludf.DUMMYFUNCTION("""COMPUTED_VALUE"""),"Liên từ")</f>
        <v>Liên từ</v>
      </c>
      <c r="G1015" s="13" t="str">
        <f ca="1">IFERROR(__xludf.DUMMYFUNCTION("""COMPUTED_VALUE"""),"nhưng, song")</f>
        <v>nhưng, song</v>
      </c>
      <c r="H1015" s="13" t="str">
        <f ca="1">IFERROR(__xludf.DUMMYFUNCTION("""COMPUTED_VALUE"""),"我很想去旅行，然而没有时间。")</f>
        <v>我很想去旅行，然而没有时间。</v>
      </c>
      <c r="I1015" s="13"/>
      <c r="J1015" s="13" t="str">
        <f ca="1">IFERROR(__xludf.DUMMYFUNCTION("""COMPUTED_VALUE"""),"Tôi rất muốn đi du lịch, nhưng không có thời gian.")</f>
        <v>Tôi rất muốn đi du lịch, nhưng không có thời gian.</v>
      </c>
      <c r="K1015" s="13" t="str">
        <f ca="1">IFERROR(__xludf.DUMMYFUNCTION("""COMPUTED_VALUE"""),"H4_B11_BG-08.png")</f>
        <v>H4_B11_BG-08.png</v>
      </c>
      <c r="L1015" s="13" t="str">
        <f ca="1">IFERROR(__xludf.DUMMYFUNCTION("""COMPUTED_VALUE"""),"B11_8.mp3")</f>
        <v>B11_8.mp3</v>
      </c>
      <c r="M1015" s="13" t="str">
        <f ca="1">IFERROR(__xludf.DUMMYFUNCTION("""COMPUTED_VALUE"""),"B11_VD_8.mp3")</f>
        <v>B11_VD_8.mp3</v>
      </c>
    </row>
    <row r="1016" spans="1:13">
      <c r="A1016" s="13">
        <f ca="1">IFERROR(__xludf.DUMMYFUNCTION("""COMPUTED_VALUE"""),9)</f>
        <v>9</v>
      </c>
      <c r="B1016" s="13"/>
      <c r="C1016" s="13" t="str">
        <f ca="1">IFERROR(__xludf.DUMMYFUNCTION("""COMPUTED_VALUE"""),"同时")</f>
        <v>同时</v>
      </c>
      <c r="D1016" s="13" t="str">
        <f ca="1">IFERROR(__xludf.DUMMYFUNCTION("""COMPUTED_VALUE"""),"&lt;ruby&gt;同时&lt;rt&gt;tóngshí&lt;/rt&gt;&lt;/ruby&gt;")</f>
        <v>&lt;ruby&gt;同时&lt;rt&gt;tóngshí&lt;/rt&gt;&lt;/ruby&gt;</v>
      </c>
      <c r="E1016" s="13" t="str">
        <f ca="1">IFERROR(__xludf.DUMMYFUNCTION("""COMPUTED_VALUE"""),"tóngshí")</f>
        <v>tóngshí</v>
      </c>
      <c r="F1016" s="13" t="str">
        <f ca="1">IFERROR(__xludf.DUMMYFUNCTION("""COMPUTED_VALUE"""),"Liên từ")</f>
        <v>Liên từ</v>
      </c>
      <c r="G1016" s="13" t="str">
        <f ca="1">IFERROR(__xludf.DUMMYFUNCTION("""COMPUTED_VALUE"""),"đồng thời, hơn nữa")</f>
        <v>đồng thời, hơn nữa</v>
      </c>
      <c r="H1016" s="13" t="str">
        <f ca="1">IFERROR(__xludf.DUMMYFUNCTION("""COMPUTED_VALUE"""),"我很喜欢游泳，同时也喜欢骑自行车。")</f>
        <v>我很喜欢游泳，同时也喜欢骑自行车。</v>
      </c>
      <c r="I1016" s="13"/>
      <c r="J1016" s="13" t="str">
        <f ca="1">IFERROR(__xludf.DUMMYFUNCTION("""COMPUTED_VALUE"""),"tôi rất thích bơi lội đồng thời cũng rất thích đạp xe")</f>
        <v>tôi rất thích bơi lội đồng thời cũng rất thích đạp xe</v>
      </c>
      <c r="K1016" s="13" t="str">
        <f ca="1">IFERROR(__xludf.DUMMYFUNCTION("""COMPUTED_VALUE"""),"H4_B11_BG-09.png")</f>
        <v>H4_B11_BG-09.png</v>
      </c>
      <c r="L1016" s="13" t="str">
        <f ca="1">IFERROR(__xludf.DUMMYFUNCTION("""COMPUTED_VALUE"""),"B11_9.mp3")</f>
        <v>B11_9.mp3</v>
      </c>
      <c r="M1016" s="13" t="str">
        <f ca="1">IFERROR(__xludf.DUMMYFUNCTION("""COMPUTED_VALUE"""),"B11_VD_9.mp3")</f>
        <v>B11_VD_9.mp3</v>
      </c>
    </row>
    <row r="1017" spans="1:13">
      <c r="A1017" s="13">
        <f ca="1">IFERROR(__xludf.DUMMYFUNCTION("""COMPUTED_VALUE"""),10)</f>
        <v>10</v>
      </c>
      <c r="B1017" s="13"/>
      <c r="C1017" s="13" t="str">
        <f ca="1">IFERROR(__xludf.DUMMYFUNCTION("""COMPUTED_VALUE"""),"之")</f>
        <v>之</v>
      </c>
      <c r="D1017" s="13" t="str">
        <f ca="1">IFERROR(__xludf.DUMMYFUNCTION("""COMPUTED_VALUE"""),"&lt;ruby&gt;之&lt;rt&gt;zhī&lt;/rt&gt;&lt;/ruby&gt;")</f>
        <v>&lt;ruby&gt;之&lt;rt&gt;zhī&lt;/rt&gt;&lt;/ruby&gt;</v>
      </c>
      <c r="E1017" s="13" t="str">
        <f ca="1">IFERROR(__xludf.DUMMYFUNCTION("""COMPUTED_VALUE"""),"zhī")</f>
        <v>zhī</v>
      </c>
      <c r="F1017" s="13" t="str">
        <f ca="1">IFERROR(__xludf.DUMMYFUNCTION("""COMPUTED_VALUE"""),"Trợ từ")</f>
        <v>Trợ từ</v>
      </c>
      <c r="G1017" s="13" t="str">
        <f ca="1">IFERROR(__xludf.DUMMYFUNCTION("""COMPUTED_VALUE"""),"được dùng để nối từ bổ nghĩa và từ được bổ nghĩa")</f>
        <v>được dùng để nối từ bổ nghĩa và từ được bổ nghĩa</v>
      </c>
      <c r="H1017" s="13" t="str">
        <f ca="1">IFERROR(__xludf.DUMMYFUNCTION("""COMPUTED_VALUE"""),"老虎是森林之王。")</f>
        <v>老虎是森林之王。</v>
      </c>
      <c r="I1017" s="13"/>
      <c r="J1017" s="13" t="str">
        <f ca="1">IFERROR(__xludf.DUMMYFUNCTION("""COMPUTED_VALUE"""),"Hổ là chúa sơn lâm.")</f>
        <v>Hổ là chúa sơn lâm.</v>
      </c>
      <c r="K1017" s="13" t="str">
        <f ca="1">IFERROR(__xludf.DUMMYFUNCTION("""COMPUTED_VALUE"""),"H4_B11_BG-10.png")</f>
        <v>H4_B11_BG-10.png</v>
      </c>
      <c r="L1017" s="13" t="str">
        <f ca="1">IFERROR(__xludf.DUMMYFUNCTION("""COMPUTED_VALUE"""),"B11_10.mp3")</f>
        <v>B11_10.mp3</v>
      </c>
      <c r="M1017" s="13" t="str">
        <f ca="1">IFERROR(__xludf.DUMMYFUNCTION("""COMPUTED_VALUE"""),"B11_VD_10.mp3")</f>
        <v>B11_VD_10.mp3</v>
      </c>
    </row>
    <row r="1018" spans="1:13">
      <c r="A1018" s="13">
        <f ca="1">IFERROR(__xludf.DUMMYFUNCTION("""COMPUTED_VALUE"""),11)</f>
        <v>11</v>
      </c>
      <c r="B1018" s="13"/>
      <c r="C1018" s="13" t="str">
        <f ca="1">IFERROR(__xludf.DUMMYFUNCTION("""COMPUTED_VALUE"""),"内容")</f>
        <v>内容</v>
      </c>
      <c r="D1018" s="13" t="str">
        <f ca="1">IFERROR(__xludf.DUMMYFUNCTION("""COMPUTED_VALUE"""),"&lt;ruby&gt;内容&lt;rt&gt;nèiróng&lt;/rt&gt;&lt;/ruby&gt;")</f>
        <v>&lt;ruby&gt;内容&lt;rt&gt;nèiróng&lt;/rt&gt;&lt;/ruby&gt;</v>
      </c>
      <c r="E1018" s="13" t="str">
        <f ca="1">IFERROR(__xludf.DUMMYFUNCTION("""COMPUTED_VALUE"""),"nèiróng")</f>
        <v>nèiróng</v>
      </c>
      <c r="F1018" s="13" t="str">
        <f ca="1">IFERROR(__xludf.DUMMYFUNCTION("""COMPUTED_VALUE"""),"Danh từ")</f>
        <v>Danh từ</v>
      </c>
      <c r="G1018" s="13" t="str">
        <f ca="1">IFERROR(__xludf.DUMMYFUNCTION("""COMPUTED_VALUE"""),"nội dung")</f>
        <v>nội dung</v>
      </c>
      <c r="H1018" s="13" t="str">
        <f ca="1">IFERROR(__xludf.DUMMYFUNCTION("""COMPUTED_VALUE"""),"这本书的内容很精彩。")</f>
        <v>这本书的内容很精彩。</v>
      </c>
      <c r="I1018" s="13"/>
      <c r="J1018" s="13" t="str">
        <f ca="1">IFERROR(__xludf.DUMMYFUNCTION("""COMPUTED_VALUE"""),"nội dung cuốn sách rất hay")</f>
        <v>nội dung cuốn sách rất hay</v>
      </c>
      <c r="K1018" s="13" t="str">
        <f ca="1">IFERROR(__xludf.DUMMYFUNCTION("""COMPUTED_VALUE"""),"H4_B11_BG-11.png")</f>
        <v>H4_B11_BG-11.png</v>
      </c>
      <c r="L1018" s="13" t="str">
        <f ca="1">IFERROR(__xludf.DUMMYFUNCTION("""COMPUTED_VALUE"""),"B11_11.mp3")</f>
        <v>B11_11.mp3</v>
      </c>
      <c r="M1018" s="13" t="str">
        <f ca="1">IFERROR(__xludf.DUMMYFUNCTION("""COMPUTED_VALUE"""),"B11_VD_11.mp3")</f>
        <v>B11_VD_11.mp3</v>
      </c>
    </row>
    <row r="1019" spans="1:13">
      <c r="A1019" s="13">
        <f ca="1">IFERROR(__xludf.DUMMYFUNCTION("""COMPUTED_VALUE"""),12)</f>
        <v>12</v>
      </c>
      <c r="B1019" s="13"/>
      <c r="C1019" s="13" t="str">
        <f ca="1">IFERROR(__xludf.DUMMYFUNCTION("""COMPUTED_VALUE"""),"看法")</f>
        <v>看法</v>
      </c>
      <c r="D1019" s="13" t="str">
        <f ca="1">IFERROR(__xludf.DUMMYFUNCTION("""COMPUTED_VALUE"""),"&lt;ruby&gt;看法&lt;rt&gt;kànfǎ&lt;/rt&gt;&lt;/ruby&gt;")</f>
        <v>&lt;ruby&gt;看法&lt;rt&gt;kànfǎ&lt;/rt&gt;&lt;/ruby&gt;</v>
      </c>
      <c r="E1019" s="13" t="str">
        <f ca="1">IFERROR(__xludf.DUMMYFUNCTION("""COMPUTED_VALUE"""),"kànfǎ")</f>
        <v>kànfǎ</v>
      </c>
      <c r="F1019" s="13" t="str">
        <f ca="1">IFERROR(__xludf.DUMMYFUNCTION("""COMPUTED_VALUE"""),"Danh từ")</f>
        <v>Danh từ</v>
      </c>
      <c r="G1019" s="13" t="str">
        <f ca="1">IFERROR(__xludf.DUMMYFUNCTION("""COMPUTED_VALUE"""),"quan điểm, cách nhìn")</f>
        <v>quan điểm, cách nhìn</v>
      </c>
      <c r="H1019" s="13" t="str">
        <f ca="1">IFERROR(__xludf.DUMMYFUNCTION("""COMPUTED_VALUE"""),"我们的生活看法很相同。")</f>
        <v>我们的生活看法很相同。</v>
      </c>
      <c r="I1019" s="13"/>
      <c r="J1019" s="13" t="str">
        <f ca="1">IFERROR(__xludf.DUMMYFUNCTION("""COMPUTED_VALUE"""),"chúng tôi rất hợp nhau về quan điểm sống")</f>
        <v>chúng tôi rất hợp nhau về quan điểm sống</v>
      </c>
      <c r="K1019" s="13" t="str">
        <f ca="1">IFERROR(__xludf.DUMMYFUNCTION("""COMPUTED_VALUE"""),"H4_B11_BG-12.png")</f>
        <v>H4_B11_BG-12.png</v>
      </c>
      <c r="L1019" s="13" t="str">
        <f ca="1">IFERROR(__xludf.DUMMYFUNCTION("""COMPUTED_VALUE"""),"B11_12.mp3")</f>
        <v>B11_12.mp3</v>
      </c>
      <c r="M1019" s="13" t="str">
        <f ca="1">IFERROR(__xludf.DUMMYFUNCTION("""COMPUTED_VALUE"""),"B11_VD_12.mp3")</f>
        <v>B11_VD_12.mp3</v>
      </c>
    </row>
    <row r="1020" spans="1:13">
      <c r="A1020" s="13">
        <f ca="1">IFERROR(__xludf.DUMMYFUNCTION("""COMPUTED_VALUE"""),13)</f>
        <v>13</v>
      </c>
      <c r="B1020" s="13"/>
      <c r="C1020" s="13" t="str">
        <f ca="1">IFERROR(__xludf.DUMMYFUNCTION("""COMPUTED_VALUE"""),"相同")</f>
        <v>相同</v>
      </c>
      <c r="D1020" s="13" t="str">
        <f ca="1">IFERROR(__xludf.DUMMYFUNCTION("""COMPUTED_VALUE"""),"&lt;ruby&gt;相同&lt;rt&gt;xiāngtóng&lt;/rt&gt;&lt;/ruby&gt;")</f>
        <v>&lt;ruby&gt;相同&lt;rt&gt;xiāngtóng&lt;/rt&gt;&lt;/ruby&gt;</v>
      </c>
      <c r="E1020" s="13" t="str">
        <f ca="1">IFERROR(__xludf.DUMMYFUNCTION("""COMPUTED_VALUE"""),"xiāngtóng")</f>
        <v>xiāngtóng</v>
      </c>
      <c r="F1020" s="13" t="str">
        <f ca="1">IFERROR(__xludf.DUMMYFUNCTION("""COMPUTED_VALUE"""),"Tính từ")</f>
        <v>Tính từ</v>
      </c>
      <c r="G1020" s="13" t="str">
        <f ca="1">IFERROR(__xludf.DUMMYFUNCTION("""COMPUTED_VALUE"""),"giống nhau, như nhau")</f>
        <v>giống nhau, như nhau</v>
      </c>
      <c r="H1020" s="13" t="str">
        <f ca="1">IFERROR(__xludf.DUMMYFUNCTION("""COMPUTED_VALUE"""),"我和妹妹的性格相同，都很开朗。")</f>
        <v>我和妹妹的性格相同，都很开朗。</v>
      </c>
      <c r="I1020" s="13"/>
      <c r="J1020" s="13" t="str">
        <f ca="1">IFERROR(__xludf.DUMMYFUNCTION("""COMPUTED_VALUE"""),"tôi với em gái đều có tính cách vui vẻ giống nhau")</f>
        <v>tôi với em gái đều có tính cách vui vẻ giống nhau</v>
      </c>
      <c r="K1020" s="13" t="str">
        <f ca="1">IFERROR(__xludf.DUMMYFUNCTION("""COMPUTED_VALUE"""),"H4_B11_BG-13.png")</f>
        <v>H4_B11_BG-13.png</v>
      </c>
      <c r="L1020" s="13" t="str">
        <f ca="1">IFERROR(__xludf.DUMMYFUNCTION("""COMPUTED_VALUE"""),"B11_13.mp3")</f>
        <v>B11_13.mp3</v>
      </c>
      <c r="M1020" s="13" t="str">
        <f ca="1">IFERROR(__xludf.DUMMYFUNCTION("""COMPUTED_VALUE"""),"B11_VD_13.mp3")</f>
        <v>B11_VD_13.mp3</v>
      </c>
    </row>
    <row r="1021" spans="1:13">
      <c r="A1021" s="13">
        <f ca="1">IFERROR(__xludf.DUMMYFUNCTION("""COMPUTED_VALUE"""),14)</f>
        <v>14</v>
      </c>
      <c r="B1021" s="13"/>
      <c r="C1021" s="13" t="str">
        <f ca="1">IFERROR(__xludf.DUMMYFUNCTION("""COMPUTED_VALUE"""),"顺序")</f>
        <v>顺序</v>
      </c>
      <c r="D1021" s="13" t="str">
        <f ca="1">IFERROR(__xludf.DUMMYFUNCTION("""COMPUTED_VALUE"""),"&lt;ruby&gt;顺序&lt;rt&gt;shùnxù&lt;/rt&gt;&lt;/ruby&gt;")</f>
        <v>&lt;ruby&gt;顺序&lt;rt&gt;shùnxù&lt;/rt&gt;&lt;/ruby&gt;</v>
      </c>
      <c r="E1021" s="13" t="str">
        <f ca="1">IFERROR(__xludf.DUMMYFUNCTION("""COMPUTED_VALUE"""),"shùnxù")</f>
        <v>shùnxù</v>
      </c>
      <c r="F1021" s="13" t="str">
        <f ca="1">IFERROR(__xludf.DUMMYFUNCTION("""COMPUTED_VALUE"""),"Danh từ")</f>
        <v>Danh từ</v>
      </c>
      <c r="G1021" s="13" t="str">
        <f ca="1">IFERROR(__xludf.DUMMYFUNCTION("""COMPUTED_VALUE"""),"trật tự, thứ tự")</f>
        <v>trật tự, thứ tự</v>
      </c>
      <c r="H1021" s="13" t="str">
        <f ca="1">IFERROR(__xludf.DUMMYFUNCTION("""COMPUTED_VALUE"""),"我因为无法安排好生活顺序而感到压力很大。")</f>
        <v>我因为无法安排好生活顺序而感到压力很大。</v>
      </c>
      <c r="I1021" s="13"/>
      <c r="J1021" s="13" t="str">
        <f ca="1">IFERROR(__xludf.DUMMYFUNCTION("""COMPUTED_VALUE"""),"tôi áp lực vì không thể sắp xếp được trật tự cuộc sống")</f>
        <v>tôi áp lực vì không thể sắp xếp được trật tự cuộc sống</v>
      </c>
      <c r="K1021" s="13" t="str">
        <f ca="1">IFERROR(__xludf.DUMMYFUNCTION("""COMPUTED_VALUE"""),"H4_B11_BG-14.png")</f>
        <v>H4_B11_BG-14.png</v>
      </c>
      <c r="L1021" s="13" t="str">
        <f ca="1">IFERROR(__xludf.DUMMYFUNCTION("""COMPUTED_VALUE"""),"B11_14.mp3")</f>
        <v>B11_14.mp3</v>
      </c>
      <c r="M1021" s="13" t="str">
        <f ca="1">IFERROR(__xludf.DUMMYFUNCTION("""COMPUTED_VALUE"""),"B11_VD_14.mp3")</f>
        <v>B11_VD_14.mp3</v>
      </c>
    </row>
    <row r="1022" spans="1:13">
      <c r="A1022" s="13">
        <f ca="1">IFERROR(__xludf.DUMMYFUNCTION("""COMPUTED_VALUE"""),15)</f>
        <v>15</v>
      </c>
      <c r="B1022" s="13"/>
      <c r="C1022" s="13" t="str">
        <f ca="1">IFERROR(__xludf.DUMMYFUNCTION("""COMPUTED_VALUE"""),"表示")</f>
        <v>表示</v>
      </c>
      <c r="D1022" s="13" t="str">
        <f ca="1">IFERROR(__xludf.DUMMYFUNCTION("""COMPUTED_VALUE"""),"&lt;ruby&gt;表示&lt;rt&gt;biǎoshì&lt;/rt&gt;&lt;/ruby&gt;")</f>
        <v>&lt;ruby&gt;表示&lt;rt&gt;biǎoshì&lt;/rt&gt;&lt;/ruby&gt;</v>
      </c>
      <c r="E1022" s="13" t="str">
        <f ca="1">IFERROR(__xludf.DUMMYFUNCTION("""COMPUTED_VALUE"""),"biǎoshì")</f>
        <v>biǎoshì</v>
      </c>
      <c r="F1022" s="13" t="str">
        <f ca="1">IFERROR(__xludf.DUMMYFUNCTION("""COMPUTED_VALUE"""),"Động từ")</f>
        <v>Động từ</v>
      </c>
      <c r="G1022" s="13" t="str">
        <f ca="1">IFERROR(__xludf.DUMMYFUNCTION("""COMPUTED_VALUE"""),"có ý nghĩa, biểu thị")</f>
        <v>có ý nghĩa, biểu thị</v>
      </c>
      <c r="H1022" s="13" t="str">
        <f ca="1">IFERROR(__xludf.DUMMYFUNCTION("""COMPUTED_VALUE"""),"她表示愿意帮助我们。")</f>
        <v>她表示愿意帮助我们。</v>
      </c>
      <c r="I1022" s="13"/>
      <c r="J1022" s="13" t="str">
        <f ca="1">IFERROR(__xludf.DUMMYFUNCTION("""COMPUTED_VALUE"""),"Cô ấy tỏ ý muốn giúp đỡ chúng tôi.")</f>
        <v>Cô ấy tỏ ý muốn giúp đỡ chúng tôi.</v>
      </c>
      <c r="K1022" s="13" t="str">
        <f ca="1">IFERROR(__xludf.DUMMYFUNCTION("""COMPUTED_VALUE"""),"H4_B11_BG-15.png")</f>
        <v>H4_B11_BG-15.png</v>
      </c>
      <c r="L1022" s="13" t="str">
        <f ca="1">IFERROR(__xludf.DUMMYFUNCTION("""COMPUTED_VALUE"""),"B11_15.mp3")</f>
        <v>B11_15.mp3</v>
      </c>
      <c r="M1022" s="13" t="str">
        <f ca="1">IFERROR(__xludf.DUMMYFUNCTION("""COMPUTED_VALUE"""),"B11_VD_15.mp3")</f>
        <v>B11_VD_15.mp3</v>
      </c>
    </row>
    <row r="1023" spans="1:13">
      <c r="A1023" s="13">
        <f ca="1">IFERROR(__xludf.DUMMYFUNCTION("""COMPUTED_VALUE"""),16)</f>
        <v>16</v>
      </c>
      <c r="B1023" s="13"/>
      <c r="C1023" s="13" t="str">
        <f ca="1">IFERROR(__xludf.DUMMYFUNCTION("""COMPUTED_VALUE"""),"养成")</f>
        <v>养成</v>
      </c>
      <c r="D1023" s="13" t="str">
        <f ca="1">IFERROR(__xludf.DUMMYFUNCTION("""COMPUTED_VALUE"""),"&lt;ruby&gt;养成&lt;rt&gt;yǎngchéng&lt;/rt&gt;&lt;/ruby&gt;")</f>
        <v>&lt;ruby&gt;养成&lt;rt&gt;yǎngchéng&lt;/rt&gt;&lt;/ruby&gt;</v>
      </c>
      <c r="E1023" s="13" t="str">
        <f ca="1">IFERROR(__xludf.DUMMYFUNCTION("""COMPUTED_VALUE"""),"yǎngchéng")</f>
        <v>yǎngchéng</v>
      </c>
      <c r="F1023" s="13" t="str">
        <f ca="1">IFERROR(__xludf.DUMMYFUNCTION("""COMPUTED_VALUE"""),"Động từ")</f>
        <v>Động từ</v>
      </c>
      <c r="G1023" s="13" t="str">
        <f ca="1">IFERROR(__xludf.DUMMYFUNCTION("""COMPUTED_VALUE"""),"hình thành/tạo (thói quen)")</f>
        <v>hình thành/tạo (thói quen)</v>
      </c>
      <c r="H1023" s="13" t="str">
        <f ca="1">IFERROR(__xludf.DUMMYFUNCTION("""COMPUTED_VALUE"""),"记笔记的习惯是我上学时养成的。")</f>
        <v>记笔记的习惯是我上学时养成的。</v>
      </c>
      <c r="I1023" s="13"/>
      <c r="J1023" s="13" t="str">
        <f ca="1">IFERROR(__xludf.DUMMYFUNCTION("""COMPUTED_VALUE"""),"thói quen ghi chú được hình thành từ khi tôi mới đi học")</f>
        <v>thói quen ghi chú được hình thành từ khi tôi mới đi học</v>
      </c>
      <c r="K1023" s="13" t="str">
        <f ca="1">IFERROR(__xludf.DUMMYFUNCTION("""COMPUTED_VALUE"""),"H4_B11_BG-16.png")</f>
        <v>H4_B11_BG-16.png</v>
      </c>
      <c r="L1023" s="13" t="str">
        <f ca="1">IFERROR(__xludf.DUMMYFUNCTION("""COMPUTED_VALUE"""),"B11_16.mp3")</f>
        <v>B11_16.mp3</v>
      </c>
      <c r="M1023" s="13" t="str">
        <f ca="1">IFERROR(__xludf.DUMMYFUNCTION("""COMPUTED_VALUE"""),"B11_VD_16.mp3")</f>
        <v>B11_VD_16.mp3</v>
      </c>
    </row>
    <row r="1024" spans="1:13">
      <c r="A1024" s="13">
        <f ca="1">IFERROR(__xludf.DUMMYFUNCTION("""COMPUTED_VALUE"""),17)</f>
        <v>17</v>
      </c>
      <c r="B1024" s="13"/>
      <c r="C1024" s="13" t="str">
        <f ca="1">IFERROR(__xludf.DUMMYFUNCTION("""COMPUTED_VALUE"""),"精彩")</f>
        <v>精彩</v>
      </c>
      <c r="D1024" s="13" t="str">
        <f ca="1">IFERROR(__xludf.DUMMYFUNCTION("""COMPUTED_VALUE"""),"&lt;ruby&gt;精彩&lt;rt&gt;jīngcǎi&lt;/rt&gt;&lt;/ruby&gt;")</f>
        <v>&lt;ruby&gt;精彩&lt;rt&gt;jīngcǎi&lt;/rt&gt;&lt;/ruby&gt;</v>
      </c>
      <c r="E1024" s="13" t="str">
        <f ca="1">IFERROR(__xludf.DUMMYFUNCTION("""COMPUTED_VALUE"""),"jīngcǎi")</f>
        <v>jīngcǎi</v>
      </c>
      <c r="F1024" s="13" t="str">
        <f ca="1">IFERROR(__xludf.DUMMYFUNCTION("""COMPUTED_VALUE"""),"Tính từ")</f>
        <v>Tính từ</v>
      </c>
      <c r="G1024" s="13" t="str">
        <f ca="1">IFERROR(__xludf.DUMMYFUNCTION("""COMPUTED_VALUE"""),"tuyệt vời, xuất sắc")</f>
        <v>tuyệt vời, xuất sắc</v>
      </c>
      <c r="H1024" s="13" t="str">
        <f ca="1">IFERROR(__xludf.DUMMYFUNCTION("""COMPUTED_VALUE"""),"这个瑜伽动作非常精彩。")</f>
        <v>这个瑜伽动作非常精彩。</v>
      </c>
      <c r="I1024" s="13"/>
      <c r="J1024" s="13" t="str">
        <f ca="1">IFERROR(__xludf.DUMMYFUNCTION("""COMPUTED_VALUE"""),"Động tác yoga này rất tuyệt vời.")</f>
        <v>Động tác yoga này rất tuyệt vời.</v>
      </c>
      <c r="K1024" s="13" t="str">
        <f ca="1">IFERROR(__xludf.DUMMYFUNCTION("""COMPUTED_VALUE"""),"H4_B11_BG-17.png")</f>
        <v>H4_B11_BG-17.png</v>
      </c>
      <c r="L1024" s="13" t="str">
        <f ca="1">IFERROR(__xludf.DUMMYFUNCTION("""COMPUTED_VALUE"""),"B11_17.mp3")</f>
        <v>B11_17.mp3</v>
      </c>
      <c r="M1024" s="13" t="str">
        <f ca="1">IFERROR(__xludf.DUMMYFUNCTION("""COMPUTED_VALUE"""),"B11_VD_17.mp3")</f>
        <v>B11_VD_17.mp3</v>
      </c>
    </row>
    <row r="1025" spans="1:13">
      <c r="A1025" s="13">
        <f ca="1">IFERROR(__xludf.DUMMYFUNCTION("""COMPUTED_VALUE"""),18)</f>
        <v>18</v>
      </c>
      <c r="B1025" s="13"/>
      <c r="C1025" s="13" t="str">
        <f ca="1">IFERROR(__xludf.DUMMYFUNCTION("""COMPUTED_VALUE"""),"流利")</f>
        <v>流利</v>
      </c>
      <c r="D1025" s="13" t="str">
        <f ca="1">IFERROR(__xludf.DUMMYFUNCTION("""COMPUTED_VALUE"""),"&lt;ruby&gt;流利&lt;rt&gt;liúlì&lt;/rt&gt;&lt;/ruby&gt;")</f>
        <v>&lt;ruby&gt;流利&lt;rt&gt;liúlì&lt;/rt&gt;&lt;/ruby&gt;</v>
      </c>
      <c r="E1025" s="13" t="str">
        <f ca="1">IFERROR(__xludf.DUMMYFUNCTION("""COMPUTED_VALUE"""),"liúlì")</f>
        <v>liúlì</v>
      </c>
      <c r="F1025" s="13" t="str">
        <f ca="1">IFERROR(__xludf.DUMMYFUNCTION("""COMPUTED_VALUE"""),"Tính từ")</f>
        <v>Tính từ</v>
      </c>
      <c r="G1025" s="13" t="str">
        <f ca="1">IFERROR(__xludf.DUMMYFUNCTION("""COMPUTED_VALUE"""),"lưu loát, trôi chảy")</f>
        <v>lưu loát, trôi chảy</v>
      </c>
      <c r="H1025" s="13" t="str">
        <f ca="1">IFERROR(__xludf.DUMMYFUNCTION("""COMPUTED_VALUE"""),"她的演讲非常流利。")</f>
        <v>她的演讲非常流利。</v>
      </c>
      <c r="I1025" s="13"/>
      <c r="J1025" s="13" t="str">
        <f ca="1">IFERROR(__xludf.DUMMYFUNCTION("""COMPUTED_VALUE"""),"Cô ấy thuyết trình rất trôi chảy.")</f>
        <v>Cô ấy thuyết trình rất trôi chảy.</v>
      </c>
      <c r="K1025" s="13" t="str">
        <f ca="1">IFERROR(__xludf.DUMMYFUNCTION("""COMPUTED_VALUE"""),"H4_B11_BG-18.png")</f>
        <v>H4_B11_BG-18.png</v>
      </c>
      <c r="L1025" s="13" t="str">
        <f ca="1">IFERROR(__xludf.DUMMYFUNCTION("""COMPUTED_VALUE"""),"B11_18.mp3")</f>
        <v>B11_18.mp3</v>
      </c>
      <c r="M1025" s="13" t="str">
        <f ca="1">IFERROR(__xludf.DUMMYFUNCTION("""COMPUTED_VALUE"""),"B11_VD_18.mp3")</f>
        <v>B11_VD_18.mp3</v>
      </c>
    </row>
    <row r="1026" spans="1:13">
      <c r="A1026" s="13">
        <f ca="1">IFERROR(__xludf.DUMMYFUNCTION("""COMPUTED_VALUE"""),19)</f>
        <v>19</v>
      </c>
      <c r="B1026" s="13"/>
      <c r="C1026" s="13" t="str">
        <f ca="1">IFERROR(__xludf.DUMMYFUNCTION("""COMPUTED_VALUE"""),"语法")</f>
        <v>语法</v>
      </c>
      <c r="D1026" s="13" t="str">
        <f ca="1">IFERROR(__xludf.DUMMYFUNCTION("""COMPUTED_VALUE"""),"&lt;ruby&gt;语法&lt;rt&gt;yǔfǎ&lt;/rt&gt;&lt;/ruby&gt;")</f>
        <v>&lt;ruby&gt;语法&lt;rt&gt;yǔfǎ&lt;/rt&gt;&lt;/ruby&gt;</v>
      </c>
      <c r="E1026" s="13" t="str">
        <f ca="1">IFERROR(__xludf.DUMMYFUNCTION("""COMPUTED_VALUE"""),"yǔfǎ")</f>
        <v>yǔfǎ</v>
      </c>
      <c r="F1026" s="13" t="str">
        <f ca="1">IFERROR(__xludf.DUMMYFUNCTION("""COMPUTED_VALUE"""),"Danh từ")</f>
        <v>Danh từ</v>
      </c>
      <c r="G1026" s="13" t="str">
        <f ca="1">IFERROR(__xludf.DUMMYFUNCTION("""COMPUTED_VALUE"""),"ngữ pháp")</f>
        <v>ngữ pháp</v>
      </c>
      <c r="H1026" s="13" t="str">
        <f ca="1">IFERROR(__xludf.DUMMYFUNCTION("""COMPUTED_VALUE"""),"他不记得这课的语法。")</f>
        <v>他不记得这课的语法。</v>
      </c>
      <c r="I1026" s="13"/>
      <c r="J1026" s="13" t="str">
        <f ca="1">IFERROR(__xludf.DUMMYFUNCTION("""COMPUTED_VALUE"""),"Anh ấy không nhớ ngữ pháp của bài này.")</f>
        <v>Anh ấy không nhớ ngữ pháp của bài này.</v>
      </c>
      <c r="K1026" s="13" t="str">
        <f ca="1">IFERROR(__xludf.DUMMYFUNCTION("""COMPUTED_VALUE"""),"H4_B11_BG-19.png")</f>
        <v>H4_B11_BG-19.png</v>
      </c>
      <c r="L1026" s="13" t="str">
        <f ca="1">IFERROR(__xludf.DUMMYFUNCTION("""COMPUTED_VALUE"""),"B11_19.mp3")</f>
        <v>B11_19.mp3</v>
      </c>
      <c r="M1026" s="13" t="str">
        <f ca="1">IFERROR(__xludf.DUMMYFUNCTION("""COMPUTED_VALUE"""),"B11_VD_19.mp3")</f>
        <v>B11_VD_19.mp3</v>
      </c>
    </row>
    <row r="1027" spans="1:13">
      <c r="A1027" s="13">
        <f ca="1">IFERROR(__xludf.DUMMYFUNCTION("""COMPUTED_VALUE"""),20)</f>
        <v>20</v>
      </c>
      <c r="B1027" s="13"/>
      <c r="C1027" s="13" t="str">
        <f ca="1">IFERROR(__xludf.DUMMYFUNCTION("""COMPUTED_VALUE"""),"准确")</f>
        <v>准确</v>
      </c>
      <c r="D1027" s="13" t="str">
        <f ca="1">IFERROR(__xludf.DUMMYFUNCTION("""COMPUTED_VALUE"""),"&lt;ruby&gt;准确&lt;rt&gt;zhǔnquè&lt;/rt&gt;&lt;/ruby&gt;")</f>
        <v>&lt;ruby&gt;准确&lt;rt&gt;zhǔnquè&lt;/rt&gt;&lt;/ruby&gt;</v>
      </c>
      <c r="E1027" s="13" t="str">
        <f ca="1">IFERROR(__xludf.DUMMYFUNCTION("""COMPUTED_VALUE"""),"zhǔnquè")</f>
        <v>zhǔnquè</v>
      </c>
      <c r="F1027" s="13" t="str">
        <f ca="1">IFERROR(__xludf.DUMMYFUNCTION("""COMPUTED_VALUE"""),"Tính từ")</f>
        <v>Tính từ</v>
      </c>
      <c r="G1027" s="13" t="str">
        <f ca="1">IFERROR(__xludf.DUMMYFUNCTION("""COMPUTED_VALUE"""),"chính xác, đúng")</f>
        <v>chính xác, đúng</v>
      </c>
      <c r="H1027" s="13" t="str">
        <f ca="1">IFERROR(__xludf.DUMMYFUNCTION("""COMPUTED_VALUE"""),"她的这道数学题做得非常准确。")</f>
        <v>她的这道数学题做得非常准确。</v>
      </c>
      <c r="I1027" s="13"/>
      <c r="J1027" s="13" t="str">
        <f ca="1">IFERROR(__xludf.DUMMYFUNCTION("""COMPUTED_VALUE"""),"Cô ấy làm bài toán này hoàn toàn chính xác.")</f>
        <v>Cô ấy làm bài toán này hoàn toàn chính xác.</v>
      </c>
      <c r="K1027" s="13" t="str">
        <f ca="1">IFERROR(__xludf.DUMMYFUNCTION("""COMPUTED_VALUE"""),"H4_B11_BG-20.png")</f>
        <v>H4_B11_BG-20.png</v>
      </c>
      <c r="L1027" s="13" t="str">
        <f ca="1">IFERROR(__xludf.DUMMYFUNCTION("""COMPUTED_VALUE"""),"B11_20.mp3")</f>
        <v>B11_20.mp3</v>
      </c>
      <c r="M1027" s="13" t="str">
        <f ca="1">IFERROR(__xludf.DUMMYFUNCTION("""COMPUTED_VALUE"""),"B11_VD_20.mp3")</f>
        <v>B11_VD_20.mp3</v>
      </c>
    </row>
    <row r="1028" spans="1:13">
      <c r="A1028" s="13">
        <f ca="1">IFERROR(__xludf.DUMMYFUNCTION("""COMPUTED_VALUE"""),21)</f>
        <v>21</v>
      </c>
      <c r="B1028" s="13"/>
      <c r="C1028" s="13" t="str">
        <f ca="1">IFERROR(__xludf.DUMMYFUNCTION("""COMPUTED_VALUE"""),"词语")</f>
        <v>词语</v>
      </c>
      <c r="D1028" s="13" t="str">
        <f ca="1">IFERROR(__xludf.DUMMYFUNCTION("""COMPUTED_VALUE"""),"&lt;ruby&gt;词语&lt;rt&gt;cíyǔ&lt;/rt&gt;&lt;/ruby&gt;")</f>
        <v>&lt;ruby&gt;词语&lt;rt&gt;cíyǔ&lt;/rt&gt;&lt;/ruby&gt;</v>
      </c>
      <c r="E1028" s="13" t="str">
        <f ca="1">IFERROR(__xludf.DUMMYFUNCTION("""COMPUTED_VALUE"""),"cíyǔ")</f>
        <v>cíyǔ</v>
      </c>
      <c r="F1028" s="13" t="str">
        <f ca="1">IFERROR(__xludf.DUMMYFUNCTION("""COMPUTED_VALUE"""),"Danh từ")</f>
        <v>Danh từ</v>
      </c>
      <c r="G1028" s="13" t="str">
        <f ca="1">IFERROR(__xludf.DUMMYFUNCTION("""COMPUTED_VALUE"""),"từ ngữ, cách diễn đạt")</f>
        <v>từ ngữ, cách diễn đạt</v>
      </c>
      <c r="H1028" s="13" t="str">
        <f ca="1">IFERROR(__xludf.DUMMYFUNCTION("""COMPUTED_VALUE"""),"我的词语让她不高兴了。")</f>
        <v>我的词语让她不高兴了。</v>
      </c>
      <c r="I1028" s="13"/>
      <c r="J1028" s="13" t="str">
        <f ca="1">IFERROR(__xludf.DUMMYFUNCTION("""COMPUTED_VALUE"""),"Lời nói của tôi làm cô ấy khó chịu.")</f>
        <v>Lời nói của tôi làm cô ấy khó chịu.</v>
      </c>
      <c r="K1028" s="13" t="str">
        <f ca="1">IFERROR(__xludf.DUMMYFUNCTION("""COMPUTED_VALUE"""),"H4_B11_BG-21.png")</f>
        <v>H4_B11_BG-21.png</v>
      </c>
      <c r="L1028" s="13" t="str">
        <f ca="1">IFERROR(__xludf.DUMMYFUNCTION("""COMPUTED_VALUE"""),"B11_21.mp3")</f>
        <v>B11_21.mp3</v>
      </c>
      <c r="M1028" s="13" t="str">
        <f ca="1">IFERROR(__xludf.DUMMYFUNCTION("""COMPUTED_VALUE"""),"B11_VD_21.mp3")</f>
        <v>B11_VD_21.mp3</v>
      </c>
    </row>
    <row r="1029" spans="1:13">
      <c r="A1029" s="13">
        <f ca="1">IFERROR(__xludf.DUMMYFUNCTION("""COMPUTED_VALUE"""),22)</f>
        <v>22</v>
      </c>
      <c r="B1029" s="13"/>
      <c r="C1029" s="13" t="str">
        <f ca="1">IFERROR(__xludf.DUMMYFUNCTION("""COMPUTED_VALUE"""),"阅读")</f>
        <v>阅读</v>
      </c>
      <c r="D1029" s="13" t="str">
        <f ca="1">IFERROR(__xludf.DUMMYFUNCTION("""COMPUTED_VALUE"""),"&lt;ruby&gt;阅读&lt;rt&gt;yuèdú&lt;/rt&gt;&lt;/ruby&gt;")</f>
        <v>&lt;ruby&gt;阅读&lt;rt&gt;yuèdú&lt;/rt&gt;&lt;/ruby&gt;</v>
      </c>
      <c r="E1029" s="13" t="str">
        <f ca="1">IFERROR(__xludf.DUMMYFUNCTION("""COMPUTED_VALUE"""),"yuèdú")</f>
        <v>yuèdú</v>
      </c>
      <c r="F1029" s="13" t="str">
        <f ca="1">IFERROR(__xludf.DUMMYFUNCTION("""COMPUTED_VALUE"""),"Động từ")</f>
        <v>Động từ</v>
      </c>
      <c r="G1029" s="13" t="str">
        <f ca="1">IFERROR(__xludf.DUMMYFUNCTION("""COMPUTED_VALUE"""),"đọc")</f>
        <v>đọc</v>
      </c>
      <c r="H1029" s="13" t="str">
        <f ca="1">IFERROR(__xludf.DUMMYFUNCTION("""COMPUTED_VALUE"""),"我每天阅读新闻。")</f>
        <v>我每天阅读新闻。</v>
      </c>
      <c r="I1029" s="13"/>
      <c r="J1029" s="13" t="str">
        <f ca="1">IFERROR(__xludf.DUMMYFUNCTION("""COMPUTED_VALUE"""),"Tôi đọc tin tức mỗi ngày.")</f>
        <v>Tôi đọc tin tức mỗi ngày.</v>
      </c>
      <c r="K1029" s="13" t="str">
        <f ca="1">IFERROR(__xludf.DUMMYFUNCTION("""COMPUTED_VALUE"""),"H4_B11_BG-22.png")</f>
        <v>H4_B11_BG-22.png</v>
      </c>
      <c r="L1029" s="13" t="str">
        <f ca="1">IFERROR(__xludf.DUMMYFUNCTION("""COMPUTED_VALUE"""),"B11_22.mp3")</f>
        <v>B11_22.mp3</v>
      </c>
      <c r="M1029" s="13" t="str">
        <f ca="1">IFERROR(__xludf.DUMMYFUNCTION("""COMPUTED_VALUE"""),"B11_VD_22.mp3")</f>
        <v>B11_VD_22.mp3</v>
      </c>
    </row>
    <row r="1030" spans="1:13">
      <c r="A1030" s="13">
        <f ca="1">IFERROR(__xludf.DUMMYFUNCTION("""COMPUTED_VALUE"""),23)</f>
        <v>23</v>
      </c>
      <c r="B1030" s="13"/>
      <c r="C1030" s="13" t="str">
        <f ca="1">IFERROR(__xludf.DUMMYFUNCTION("""COMPUTED_VALUE"""),"填空")</f>
        <v>填空</v>
      </c>
      <c r="D1030" s="13" t="str">
        <f ca="1">IFERROR(__xludf.DUMMYFUNCTION("""COMPUTED_VALUE"""),"&lt;ruby&gt;填空&lt;rt&gt;tiánkòng&lt;/rt&gt;&lt;/ruby&gt;")</f>
        <v>&lt;ruby&gt;填空&lt;rt&gt;tiánkòng&lt;/rt&gt;&lt;/ruby&gt;</v>
      </c>
      <c r="E1030" s="13" t="str">
        <f ca="1">IFERROR(__xludf.DUMMYFUNCTION("""COMPUTED_VALUE"""),"tiánkòng")</f>
        <v>tiánkòng</v>
      </c>
      <c r="F1030" s="13" t="str">
        <f ca="1">IFERROR(__xludf.DUMMYFUNCTION("""COMPUTED_VALUE"""),"Động từ")</f>
        <v>Động từ</v>
      </c>
      <c r="G1030" s="13" t="str">
        <f ca="1">IFERROR(__xludf.DUMMYFUNCTION("""COMPUTED_VALUE"""),"điền vào chỗ trống")</f>
        <v>điền vào chỗ trống</v>
      </c>
      <c r="H1030" s="13" t="str">
        <f ca="1">IFERROR(__xludf.DUMMYFUNCTION("""COMPUTED_VALUE"""),"请填空！")</f>
        <v>请填空！</v>
      </c>
      <c r="I1030" s="13"/>
      <c r="J1030" s="13" t="str">
        <f ca="1">IFERROR(__xludf.DUMMYFUNCTION("""COMPUTED_VALUE"""),"Hãy điền vào chỗ trống!")</f>
        <v>Hãy điền vào chỗ trống!</v>
      </c>
      <c r="K1030" s="13" t="str">
        <f ca="1">IFERROR(__xludf.DUMMYFUNCTION("""COMPUTED_VALUE"""),"H4_B11_BG-23.png")</f>
        <v>H4_B11_BG-23.png</v>
      </c>
      <c r="L1030" s="13" t="str">
        <f ca="1">IFERROR(__xludf.DUMMYFUNCTION("""COMPUTED_VALUE"""),"B11_23.mp3")</f>
        <v>B11_23.mp3</v>
      </c>
      <c r="M1030" s="13" t="str">
        <f ca="1">IFERROR(__xludf.DUMMYFUNCTION("""COMPUTED_VALUE"""),"B11_VD_23.mp3")</f>
        <v>B11_VD_23.mp3</v>
      </c>
    </row>
    <row r="1031" spans="1:13">
      <c r="A1031" s="13">
        <f ca="1">IFERROR(__xludf.DUMMYFUNCTION("""COMPUTED_VALUE"""),24)</f>
        <v>24</v>
      </c>
      <c r="B1031" s="13"/>
      <c r="C1031" s="13" t="str">
        <f ca="1">IFERROR(__xludf.DUMMYFUNCTION("""COMPUTED_VALUE"""),"猜")</f>
        <v>猜</v>
      </c>
      <c r="D1031" s="13" t="str">
        <f ca="1">IFERROR(__xludf.DUMMYFUNCTION("""COMPUTED_VALUE"""),"&lt;ruby&gt;猜&lt;rt&gt;cāi&lt;/rt&gt;&lt;/ruby&gt;")</f>
        <v>&lt;ruby&gt;猜&lt;rt&gt;cāi&lt;/rt&gt;&lt;/ruby&gt;</v>
      </c>
      <c r="E1031" s="13" t="str">
        <f ca="1">IFERROR(__xludf.DUMMYFUNCTION("""COMPUTED_VALUE"""),"cāi")</f>
        <v>cāi</v>
      </c>
      <c r="F1031" s="13" t="str">
        <f ca="1">IFERROR(__xludf.DUMMYFUNCTION("""COMPUTED_VALUE"""),"Động từ")</f>
        <v>Động từ</v>
      </c>
      <c r="G1031" s="13" t="str">
        <f ca="1">IFERROR(__xludf.DUMMYFUNCTION("""COMPUTED_VALUE"""),"đoán ")</f>
        <v xml:space="preserve">đoán </v>
      </c>
      <c r="H1031" s="13" t="str">
        <f ca="1">IFERROR(__xludf.DUMMYFUNCTION("""COMPUTED_VALUE""")," 我猜今天会下雨。")</f>
        <v xml:space="preserve"> 我猜今天会下雨。</v>
      </c>
      <c r="I1031" s="13"/>
      <c r="J1031" s="13" t="str">
        <f ca="1">IFERROR(__xludf.DUMMYFUNCTION("""COMPUTED_VALUE"""),"Tôi đoán hôm nay trời sẽ mưa.")</f>
        <v>Tôi đoán hôm nay trời sẽ mưa.</v>
      </c>
      <c r="K1031" s="13" t="str">
        <f ca="1">IFERROR(__xludf.DUMMYFUNCTION("""COMPUTED_VALUE"""),"H4_B11_BG-24.png")</f>
        <v>H4_B11_BG-24.png</v>
      </c>
      <c r="L1031" s="13" t="str">
        <f ca="1">IFERROR(__xludf.DUMMYFUNCTION("""COMPUTED_VALUE"""),"B11_24.mp3")</f>
        <v>B11_24.mp3</v>
      </c>
      <c r="M1031" s="13" t="str">
        <f ca="1">IFERROR(__xludf.DUMMYFUNCTION("""COMPUTED_VALUE"""),"B11_VD_24.mp3")</f>
        <v>B11_VD_24.mp3</v>
      </c>
    </row>
    <row r="1032" spans="1:13">
      <c r="A1032" s="13">
        <f ca="1">IFERROR(__xludf.DUMMYFUNCTION("""COMPUTED_VALUE"""),25)</f>
        <v>25</v>
      </c>
      <c r="B1032" s="13"/>
      <c r="C1032" s="13" t="str">
        <f ca="1">IFERROR(__xludf.DUMMYFUNCTION("""COMPUTED_VALUE"""),"客厅")</f>
        <v>客厅</v>
      </c>
      <c r="D1032" s="13" t="str">
        <f ca="1">IFERROR(__xludf.DUMMYFUNCTION("""COMPUTED_VALUE"""),"&lt;ruby&gt;客厅&lt;rt&gt;kètīng&lt;/rt&gt;&lt;/ruby&gt;")</f>
        <v>&lt;ruby&gt;客厅&lt;rt&gt;kètīng&lt;/rt&gt;&lt;/ruby&gt;</v>
      </c>
      <c r="E1032" s="13" t="str">
        <f ca="1">IFERROR(__xludf.DUMMYFUNCTION("""COMPUTED_VALUE"""),"kètīng")</f>
        <v>kètīng</v>
      </c>
      <c r="F1032" s="13" t="str">
        <f ca="1">IFERROR(__xludf.DUMMYFUNCTION("""COMPUTED_VALUE"""),"Danh từ")</f>
        <v>Danh từ</v>
      </c>
      <c r="G1032" s="13" t="str">
        <f ca="1">IFERROR(__xludf.DUMMYFUNCTION("""COMPUTED_VALUE"""),"phòng khách")</f>
        <v>phòng khách</v>
      </c>
      <c r="H1032" s="13" t="str">
        <f ca="1">IFERROR(__xludf.DUMMYFUNCTION("""COMPUTED_VALUE"""),"我们全家正在客厅看电视。")</f>
        <v>我们全家正在客厅看电视。</v>
      </c>
      <c r="I1032" s="13"/>
      <c r="J1032" s="13" t="str">
        <f ca="1">IFERROR(__xludf.DUMMYFUNCTION("""COMPUTED_VALUE"""),"Cả nhà chúng tôi đang xem ti vi ở phòng khách.")</f>
        <v>Cả nhà chúng tôi đang xem ti vi ở phòng khách.</v>
      </c>
      <c r="K1032" s="13" t="str">
        <f ca="1">IFERROR(__xludf.DUMMYFUNCTION("""COMPUTED_VALUE"""),"H4_B11_BG-25.png")</f>
        <v>H4_B11_BG-25.png</v>
      </c>
      <c r="L1032" s="13" t="str">
        <f ca="1">IFERROR(__xludf.DUMMYFUNCTION("""COMPUTED_VALUE"""),"B11_25.mp3")</f>
        <v>B11_25.mp3</v>
      </c>
      <c r="M1032" s="13" t="str">
        <f ca="1">IFERROR(__xludf.DUMMYFUNCTION("""COMPUTED_VALUE"""),"B11_VD_25.mp3")</f>
        <v>B11_VD_25.mp3</v>
      </c>
    </row>
    <row r="1033" spans="1:13">
      <c r="A1033" s="13">
        <f ca="1">IFERROR(__xludf.DUMMYFUNCTION("""COMPUTED_VALUE"""),26)</f>
        <v>26</v>
      </c>
      <c r="B1033" s="13"/>
      <c r="C1033" s="13" t="str">
        <f ca="1">IFERROR(__xludf.DUMMYFUNCTION("""COMPUTED_VALUE"""),"杂志")</f>
        <v>杂志</v>
      </c>
      <c r="D1033" s="13" t="str">
        <f ca="1">IFERROR(__xludf.DUMMYFUNCTION("""COMPUTED_VALUE"""),"&lt;ruby&gt;杂志&lt;rt&gt;zázhì&lt;/rt&gt;&lt;/ruby&gt;")</f>
        <v>&lt;ruby&gt;杂志&lt;rt&gt;zázhì&lt;/rt&gt;&lt;/ruby&gt;</v>
      </c>
      <c r="E1033" s="13" t="str">
        <f ca="1">IFERROR(__xludf.DUMMYFUNCTION("""COMPUTED_VALUE"""),"zázhì")</f>
        <v>zázhì</v>
      </c>
      <c r="F1033" s="13" t="str">
        <f ca="1">IFERROR(__xludf.DUMMYFUNCTION("""COMPUTED_VALUE"""),"Danh từ")</f>
        <v>Danh từ</v>
      </c>
      <c r="G1033" s="13" t="str">
        <f ca="1">IFERROR(__xludf.DUMMYFUNCTION("""COMPUTED_VALUE"""),"tạp chí")</f>
        <v>tạp chí</v>
      </c>
      <c r="H1033" s="13" t="str">
        <f ca="1">IFERROR(__xludf.DUMMYFUNCTION("""COMPUTED_VALUE"""),"因为今年的优异成绩，我登上了学校杂志的封面。")</f>
        <v>因为今年的优异成绩，我登上了学校杂志的封面。</v>
      </c>
      <c r="I1033" s="13"/>
      <c r="J1033" s="13" t="str">
        <f ca="1">IFERROR(__xludf.DUMMYFUNCTION("""COMPUTED_VALUE"""),"tôi được xuất hiện trên bìa tạp chí của trường vì thành thích cao trong năm")</f>
        <v>tôi được xuất hiện trên bìa tạp chí của trường vì thành thích cao trong năm</v>
      </c>
      <c r="K1033" s="13" t="str">
        <f ca="1">IFERROR(__xludf.DUMMYFUNCTION("""COMPUTED_VALUE"""),"H4_B11_BG-26.png")</f>
        <v>H4_B11_BG-26.png</v>
      </c>
      <c r="L1033" s="13" t="str">
        <f ca="1">IFERROR(__xludf.DUMMYFUNCTION("""COMPUTED_VALUE"""),"B11_26.mp3")</f>
        <v>B11_26.mp3</v>
      </c>
      <c r="M1033" s="13" t="str">
        <f ca="1">IFERROR(__xludf.DUMMYFUNCTION("""COMPUTED_VALUE"""),"B11_VD_26.mp3")</f>
        <v>B11_VD_26.mp3</v>
      </c>
    </row>
    <row r="1034" spans="1:13">
      <c r="A1034" s="13">
        <f ca="1">IFERROR(__xludf.DUMMYFUNCTION("""COMPUTED_VALUE"""),27)</f>
        <v>27</v>
      </c>
      <c r="B1034" s="13"/>
      <c r="C1034" s="13" t="str">
        <f ca="1">IFERROR(__xludf.DUMMYFUNCTION("""COMPUTED_VALUE"""),"著名")</f>
        <v>著名</v>
      </c>
      <c r="D1034" s="13" t="str">
        <f ca="1">IFERROR(__xludf.DUMMYFUNCTION("""COMPUTED_VALUE"""),"&lt;ruby&gt;著名&lt;rt&gt;zhùmíng&lt;/rt&gt;&lt;/ruby&gt;")</f>
        <v>&lt;ruby&gt;著名&lt;rt&gt;zhùmíng&lt;/rt&gt;&lt;/ruby&gt;</v>
      </c>
      <c r="E1034" s="13" t="str">
        <f ca="1">IFERROR(__xludf.DUMMYFUNCTION("""COMPUTED_VALUE"""),"zhùmíng")</f>
        <v>zhùmíng</v>
      </c>
      <c r="F1034" s="13" t="str">
        <f ca="1">IFERROR(__xludf.DUMMYFUNCTION("""COMPUTED_VALUE"""),"Tính từ")</f>
        <v>Tính từ</v>
      </c>
      <c r="G1034" s="13" t="str">
        <f ca="1">IFERROR(__xludf.DUMMYFUNCTION("""COMPUTED_VALUE"""),"nổi tiếng")</f>
        <v>nổi tiếng</v>
      </c>
      <c r="H1034" s="13" t="str">
        <f ca="1">IFERROR(__xludf.DUMMYFUNCTION("""COMPUTED_VALUE"""),"我们的乐队在学校里很著名。")</f>
        <v>我们的乐队在学校里很著名。</v>
      </c>
      <c r="I1034" s="13"/>
      <c r="J1034" s="13" t="str">
        <f ca="1">IFERROR(__xludf.DUMMYFUNCTION("""COMPUTED_VALUE"""),"nhóm nhạc của chúng tôi khá nổi tiếng trong trường")</f>
        <v>nhóm nhạc của chúng tôi khá nổi tiếng trong trường</v>
      </c>
      <c r="K1034" s="13" t="str">
        <f ca="1">IFERROR(__xludf.DUMMYFUNCTION("""COMPUTED_VALUE"""),"H4_B11_BG-27.png")</f>
        <v>H4_B11_BG-27.png</v>
      </c>
      <c r="L1034" s="13" t="str">
        <f ca="1">IFERROR(__xludf.DUMMYFUNCTION("""COMPUTED_VALUE"""),"B11_27.mp3")</f>
        <v>B11_27.mp3</v>
      </c>
      <c r="M1034" s="13" t="str">
        <f ca="1">IFERROR(__xludf.DUMMYFUNCTION("""COMPUTED_VALUE"""),"B11_VD_27.mp3")</f>
        <v>B11_VD_27.mp3</v>
      </c>
    </row>
    <row r="1035" spans="1:13">
      <c r="A1035" s="13">
        <f ca="1">IFERROR(__xludf.DUMMYFUNCTION("""COMPUTED_VALUE"""),28)</f>
        <v>28</v>
      </c>
      <c r="B1035" s="13"/>
      <c r="C1035" s="13" t="str">
        <f ca="1">IFERROR(__xludf.DUMMYFUNCTION("""COMPUTED_VALUE"""),"页")</f>
        <v>页</v>
      </c>
      <c r="D1035" s="13" t="str">
        <f ca="1">IFERROR(__xludf.DUMMYFUNCTION("""COMPUTED_VALUE"""),"&lt;ruby&gt;页&lt;rt&gt;nan&lt;/rt&gt;&lt;/ruby&gt;")</f>
        <v>&lt;ruby&gt;页&lt;rt&gt;nan&lt;/rt&gt;&lt;/ruby&gt;</v>
      </c>
      <c r="E1035" s="13" t="str">
        <f ca="1">IFERROR(__xludf.DUMMYFUNCTION("""COMPUTED_VALUE"""),"yè")</f>
        <v>yè</v>
      </c>
      <c r="F1035" s="13" t="str">
        <f ca="1">IFERROR(__xludf.DUMMYFUNCTION("""COMPUTED_VALUE"""),"Lượng từ")</f>
        <v>Lượng từ</v>
      </c>
      <c r="G1035" s="13" t="str">
        <f ca="1">IFERROR(__xludf.DUMMYFUNCTION("""COMPUTED_VALUE"""),"trang")</f>
        <v>trang</v>
      </c>
      <c r="H1035" s="13" t="str">
        <f ca="1">IFERROR(__xludf.DUMMYFUNCTION("""COMPUTED_VALUE"""),"这本书有三百页。")</f>
        <v>这本书有三百页。</v>
      </c>
      <c r="I1035" s="13"/>
      <c r="J1035" s="13" t="str">
        <f ca="1">IFERROR(__xludf.DUMMYFUNCTION("""COMPUTED_VALUE"""),"Cuốn sách này có ba trăm trang.")</f>
        <v>Cuốn sách này có ba trăm trang.</v>
      </c>
      <c r="K1035" s="13" t="str">
        <f ca="1">IFERROR(__xludf.DUMMYFUNCTION("""COMPUTED_VALUE"""),"H4_B11_BG-28.png")</f>
        <v>H4_B11_BG-28.png</v>
      </c>
      <c r="L1035" s="13" t="str">
        <f ca="1">IFERROR(__xludf.DUMMYFUNCTION("""COMPUTED_VALUE"""),"B11_28.mp3")</f>
        <v>B11_28.mp3</v>
      </c>
      <c r="M1035" s="13" t="str">
        <f ca="1">IFERROR(__xludf.DUMMYFUNCTION("""COMPUTED_VALUE"""),"B11_VD_28.mp3")</f>
        <v>B11_VD_28.mp3</v>
      </c>
    </row>
    <row r="1036" spans="1:13">
      <c r="A1036" s="13">
        <f ca="1">IFERROR(__xludf.DUMMYFUNCTION("""COMPUTED_VALUE"""),29)</f>
        <v>29</v>
      </c>
      <c r="B1036" s="13"/>
      <c r="C1036" s="13" t="str">
        <f ca="1">IFERROR(__xludf.DUMMYFUNCTION("""COMPUTED_VALUE"""),"增加")</f>
        <v>增加</v>
      </c>
      <c r="D1036" s="13" t="str">
        <f ca="1">IFERROR(__xludf.DUMMYFUNCTION("""COMPUTED_VALUE"""),"&lt;ruby&gt;增加&lt;rt&gt;zēngjiā&lt;/rt&gt;&lt;/ruby&gt;")</f>
        <v>&lt;ruby&gt;增加&lt;rt&gt;zēngjiā&lt;/rt&gt;&lt;/ruby&gt;</v>
      </c>
      <c r="E1036" s="13" t="str">
        <f ca="1">IFERROR(__xludf.DUMMYFUNCTION("""COMPUTED_VALUE"""),"zēngjiā")</f>
        <v>zēngjiā</v>
      </c>
      <c r="F1036" s="13" t="str">
        <f ca="1">IFERROR(__xludf.DUMMYFUNCTION("""COMPUTED_VALUE"""),"Động từ")</f>
        <v>Động từ</v>
      </c>
      <c r="G1036" s="13" t="str">
        <f ca="1">IFERROR(__xludf.DUMMYFUNCTION("""COMPUTED_VALUE"""),"tăng thêm")</f>
        <v>tăng thêm</v>
      </c>
      <c r="H1036" s="13" t="str">
        <f ca="1">IFERROR(__xludf.DUMMYFUNCTION("""COMPUTED_VALUE"""),"通过训练，我的反应能力增加了。")</f>
        <v>通过训练，我的反应能力增加了。</v>
      </c>
      <c r="I1036" s="13"/>
      <c r="J1036" s="13" t="str">
        <f ca="1">IFERROR(__xludf.DUMMYFUNCTION("""COMPUTED_VALUE"""),"kỹ năng phản xạ của tôi được tăng thêm qua quá trình rèn luyện")</f>
        <v>kỹ năng phản xạ của tôi được tăng thêm qua quá trình rèn luyện</v>
      </c>
      <c r="K1036" s="13" t="str">
        <f ca="1">IFERROR(__xludf.DUMMYFUNCTION("""COMPUTED_VALUE"""),"H4_B11_BG-29.png")</f>
        <v>H4_B11_BG-29.png</v>
      </c>
      <c r="L1036" s="13" t="str">
        <f ca="1">IFERROR(__xludf.DUMMYFUNCTION("""COMPUTED_VALUE"""),"B11_29.mp3")</f>
        <v>B11_29.mp3</v>
      </c>
      <c r="M1036" s="13" t="str">
        <f ca="1">IFERROR(__xludf.DUMMYFUNCTION("""COMPUTED_VALUE"""),"B11_VD_29.mp3")</f>
        <v>B11_VD_29.mp3</v>
      </c>
    </row>
    <row r="1037" spans="1:13">
      <c r="A1037" s="13">
        <f ca="1">IFERROR(__xludf.DUMMYFUNCTION("""COMPUTED_VALUE"""),30)</f>
        <v>30</v>
      </c>
      <c r="B1037" s="13"/>
      <c r="C1037" s="13" t="str">
        <f ca="1">IFERROR(__xludf.DUMMYFUNCTION("""COMPUTED_VALUE"""),"文章")</f>
        <v>文章</v>
      </c>
      <c r="D1037" s="13" t="str">
        <f ca="1">IFERROR(__xludf.DUMMYFUNCTION("""COMPUTED_VALUE"""),"&lt;ruby&gt;文章&lt;rt&gt;wénzhāng&lt;/rt&gt;&lt;/ruby&gt;")</f>
        <v>&lt;ruby&gt;文章&lt;rt&gt;wénzhāng&lt;/rt&gt;&lt;/ruby&gt;</v>
      </c>
      <c r="E1037" s="13" t="str">
        <f ca="1">IFERROR(__xludf.DUMMYFUNCTION("""COMPUTED_VALUE"""),"wénzhāng")</f>
        <v>wénzhāng</v>
      </c>
      <c r="F1037" s="13" t="str">
        <f ca="1">IFERROR(__xludf.DUMMYFUNCTION("""COMPUTED_VALUE"""),"Danh từ")</f>
        <v>Danh từ</v>
      </c>
      <c r="G1037" s="13" t="str">
        <f ca="1">IFERROR(__xludf.DUMMYFUNCTION("""COMPUTED_VALUE"""),"bài văn, bài báo")</f>
        <v>bài văn, bài báo</v>
      </c>
      <c r="H1037" s="13" t="str">
        <f ca="1">IFERROR(__xludf.DUMMYFUNCTION("""COMPUTED_VALUE"""),"他的文章得了满分。")</f>
        <v>他的文章得了满分。</v>
      </c>
      <c r="I1037" s="13"/>
      <c r="J1037" s="13" t="str">
        <f ca="1">IFERROR(__xludf.DUMMYFUNCTION("""COMPUTED_VALUE"""),"Bài văn của anh ấy được điểm tối đa.")</f>
        <v>Bài văn của anh ấy được điểm tối đa.</v>
      </c>
      <c r="K1037" s="13" t="str">
        <f ca="1">IFERROR(__xludf.DUMMYFUNCTION("""COMPUTED_VALUE"""),"H4_B11_BG-30.png")</f>
        <v>H4_B11_BG-30.png</v>
      </c>
      <c r="L1037" s="13" t="str">
        <f ca="1">IFERROR(__xludf.DUMMYFUNCTION("""COMPUTED_VALUE"""),"B11_30.mp3")</f>
        <v>B11_30.mp3</v>
      </c>
      <c r="M1037" s="13" t="str">
        <f ca="1">IFERROR(__xludf.DUMMYFUNCTION("""COMPUTED_VALUE"""),"B11_VD_30.mp3")</f>
        <v>B11_VD_30.mp3</v>
      </c>
    </row>
    <row r="1038" spans="1:13">
      <c r="A1038" s="13">
        <f ca="1">IFERROR(__xludf.DUMMYFUNCTION("""COMPUTED_VALUE"""),1)</f>
        <v>1</v>
      </c>
      <c r="B1038" s="13"/>
      <c r="C1038" s="13" t="str">
        <f ca="1">IFERROR(__xludf.DUMMYFUNCTION("""COMPUTED_VALUE"""),"规定")</f>
        <v>规定</v>
      </c>
      <c r="D1038" s="13" t="str">
        <f ca="1">IFERROR(__xludf.DUMMYFUNCTION("""COMPUTED_VALUE"""),"&lt;ruby&gt;规定&lt;rt&gt;guīdìng&lt;/rt&gt;&lt;/ruby&gt;")</f>
        <v>&lt;ruby&gt;规定&lt;rt&gt;guīdìng&lt;/rt&gt;&lt;/ruby&gt;</v>
      </c>
      <c r="E1038" s="13" t="str">
        <f ca="1">IFERROR(__xludf.DUMMYFUNCTION("""COMPUTED_VALUE"""),"guīdìng")</f>
        <v>guīdìng</v>
      </c>
      <c r="F1038" s="13" t="str">
        <f ca="1">IFERROR(__xludf.DUMMYFUNCTION("""COMPUTED_VALUE"""),"Danh từ")</f>
        <v>Danh từ</v>
      </c>
      <c r="G1038" s="13" t="str">
        <f ca="1">IFERROR(__xludf.DUMMYFUNCTION("""COMPUTED_VALUE"""),"quy định")</f>
        <v>quy định</v>
      </c>
      <c r="H1038" s="13" t="str">
        <f ca="1">IFERROR(__xludf.DUMMYFUNCTION("""COMPUTED_VALUE""")," 这里的规定是不允许往河里扔垃圾。")</f>
        <v xml:space="preserve"> 这里的规定是不允许往河里扔垃圾。</v>
      </c>
      <c r="I1038" s="13"/>
      <c r="J1038" s="13" t="str">
        <f ca="1">IFERROR(__xludf.DUMMYFUNCTION("""COMPUTED_VALUE"""),"Quy định ở đây là không được đổ rác xuống sông.")</f>
        <v>Quy định ở đây là không được đổ rác xuống sông.</v>
      </c>
      <c r="K1038" s="13" t="str">
        <f ca="1">IFERROR(__xludf.DUMMYFUNCTION("""COMPUTED_VALUE"""),"H4_B12_BG-01.png")</f>
        <v>H4_B12_BG-01.png</v>
      </c>
      <c r="L1038" s="13" t="str">
        <f ca="1">IFERROR(__xludf.DUMMYFUNCTION("""COMPUTED_VALUE"""),"B12_1.mp3")</f>
        <v>B12_1.mp3</v>
      </c>
      <c r="M1038" s="13" t="str">
        <f ca="1">IFERROR(__xludf.DUMMYFUNCTION("""COMPUTED_VALUE"""),"B12_VD_1.mp3")</f>
        <v>B12_VD_1.mp3</v>
      </c>
    </row>
    <row r="1039" spans="1:13">
      <c r="A1039" s="13">
        <f ca="1">IFERROR(__xludf.DUMMYFUNCTION("""COMPUTED_VALUE"""),2)</f>
        <v>2</v>
      </c>
      <c r="B1039" s="13"/>
      <c r="C1039" s="13" t="str">
        <f ca="1">IFERROR(__xludf.DUMMYFUNCTION("""COMPUTED_VALUE"""),"解释")</f>
        <v>解释</v>
      </c>
      <c r="D1039" s="13" t="str">
        <f ca="1">IFERROR(__xludf.DUMMYFUNCTION("""COMPUTED_VALUE"""),"&lt;ruby&gt;解释&lt;rt&gt;jiěshì&lt;/rt&gt;&lt;/ruby&gt;")</f>
        <v>&lt;ruby&gt;解释&lt;rt&gt;jiěshì&lt;/rt&gt;&lt;/ruby&gt;</v>
      </c>
      <c r="E1039" s="13" t="str">
        <f ca="1">IFERROR(__xludf.DUMMYFUNCTION("""COMPUTED_VALUE"""),"jiěshì")</f>
        <v>jiěshì</v>
      </c>
      <c r="F1039" s="13" t="str">
        <f ca="1">IFERROR(__xludf.DUMMYFUNCTION("""COMPUTED_VALUE"""),"Động từ")</f>
        <v>Động từ</v>
      </c>
      <c r="G1039" s="13" t="str">
        <f ca="1">IFERROR(__xludf.DUMMYFUNCTION("""COMPUTED_VALUE"""),"giải thích")</f>
        <v>giải thích</v>
      </c>
      <c r="H1039" s="13" t="str">
        <f ca="1">IFERROR(__xludf.DUMMYFUNCTION("""COMPUTED_VALUE"""),"她正在向我解释今天早上的会议内容。")</f>
        <v>她正在向我解释今天早上的会议内容。</v>
      </c>
      <c r="I1039" s="13"/>
      <c r="J1039" s="13" t="str">
        <f ca="1">IFERROR(__xludf.DUMMYFUNCTION("""COMPUTED_VALUE"""),"Cô ấy đang giải thích cho tôi về nội dung họp sáng nay.")</f>
        <v>Cô ấy đang giải thích cho tôi về nội dung họp sáng nay.</v>
      </c>
      <c r="K1039" s="13" t="str">
        <f ca="1">IFERROR(__xludf.DUMMYFUNCTION("""COMPUTED_VALUE"""),"H4_B12_BG-02.png")</f>
        <v>H4_B12_BG-02.png</v>
      </c>
      <c r="L1039" s="13" t="str">
        <f ca="1">IFERROR(__xludf.DUMMYFUNCTION("""COMPUTED_VALUE"""),"B12_2.mp3")</f>
        <v>B12_2.mp3</v>
      </c>
      <c r="M1039" s="13" t="str">
        <f ca="1">IFERROR(__xludf.DUMMYFUNCTION("""COMPUTED_VALUE"""),"B12_VD_2.mp3")</f>
        <v>B12_VD_2.mp3</v>
      </c>
    </row>
    <row r="1040" spans="1:13">
      <c r="A1040" s="13">
        <f ca="1">IFERROR(__xludf.DUMMYFUNCTION("""COMPUTED_VALUE"""),3)</f>
        <v>3</v>
      </c>
      <c r="B1040" s="13"/>
      <c r="C1040" s="13" t="str">
        <f ca="1">IFERROR(__xludf.DUMMYFUNCTION("""COMPUTED_VALUE"""),"详细")</f>
        <v>详细</v>
      </c>
      <c r="D1040" s="13" t="str">
        <f ca="1">IFERROR(__xludf.DUMMYFUNCTION("""COMPUTED_VALUE"""),"&lt;ruby&gt;详细&lt;rt&gt;xiángxì&lt;/rt&gt;&lt;/ruby&gt;")</f>
        <v>&lt;ruby&gt;详细&lt;rt&gt;xiángxì&lt;/rt&gt;&lt;/ruby&gt;</v>
      </c>
      <c r="E1040" s="13" t="str">
        <f ca="1">IFERROR(__xludf.DUMMYFUNCTION("""COMPUTED_VALUE"""),"xiángxì")</f>
        <v>xiángxì</v>
      </c>
      <c r="F1040" s="13" t="str">
        <f ca="1">IFERROR(__xludf.DUMMYFUNCTION("""COMPUTED_VALUE"""),"Tính từ")</f>
        <v>Tính từ</v>
      </c>
      <c r="G1040" s="13" t="str">
        <f ca="1">IFERROR(__xludf.DUMMYFUNCTION("""COMPUTED_VALUE"""),"chi tiết, tỉ mỉ")</f>
        <v>chi tiết, tỉ mỉ</v>
      </c>
      <c r="H1040" s="13" t="str">
        <f ca="1">IFERROR(__xludf.DUMMYFUNCTION("""COMPUTED_VALUE"""),"我仔细地剪出云朵的形状。")</f>
        <v>我仔细地剪出云朵的形状。</v>
      </c>
      <c r="I1040" s="13"/>
      <c r="J1040" s="13" t="str">
        <f ca="1">IFERROR(__xludf.DUMMYFUNCTION("""COMPUTED_VALUE"""),"Tôi cắt giấy hình đám mây một cách tỉ mỉ.")</f>
        <v>Tôi cắt giấy hình đám mây một cách tỉ mỉ.</v>
      </c>
      <c r="K1040" s="13" t="str">
        <f ca="1">IFERROR(__xludf.DUMMYFUNCTION("""COMPUTED_VALUE"""),"H4_B12_BG-03.png")</f>
        <v>H4_B12_BG-03.png</v>
      </c>
      <c r="L1040" s="13" t="str">
        <f ca="1">IFERROR(__xludf.DUMMYFUNCTION("""COMPUTED_VALUE"""),"B12_3.mp3")</f>
        <v>B12_3.mp3</v>
      </c>
      <c r="M1040" s="13" t="str">
        <f ca="1">IFERROR(__xludf.DUMMYFUNCTION("""COMPUTED_VALUE"""),"B12_VD_3.mp3")</f>
        <v>B12_VD_3.mp3</v>
      </c>
    </row>
    <row r="1041" spans="1:13">
      <c r="A1041" s="13">
        <f ca="1">IFERROR(__xludf.DUMMYFUNCTION("""COMPUTED_VALUE"""),4)</f>
        <v>4</v>
      </c>
      <c r="B1041" s="13"/>
      <c r="C1041" s="13" t="str">
        <f ca="1">IFERROR(__xludf.DUMMYFUNCTION("""COMPUTED_VALUE"""),"对于")</f>
        <v>对于</v>
      </c>
      <c r="D1041" s="13" t="str">
        <f ca="1">IFERROR(__xludf.DUMMYFUNCTION("""COMPUTED_VALUE"""),"&lt;ruby&gt;对于&lt;rt&gt;duìyú&lt;/rt&gt;&lt;/ruby&gt;")</f>
        <v>&lt;ruby&gt;对于&lt;rt&gt;duìyú&lt;/rt&gt;&lt;/ruby&gt;</v>
      </c>
      <c r="E1041" s="13" t="str">
        <f ca="1">IFERROR(__xludf.DUMMYFUNCTION("""COMPUTED_VALUE"""),"duìyú")</f>
        <v>duìyú</v>
      </c>
      <c r="F1041" s="13" t="str">
        <f ca="1">IFERROR(__xludf.DUMMYFUNCTION("""COMPUTED_VALUE"""),"Giới từ")</f>
        <v>Giới từ</v>
      </c>
      <c r="G1041" s="13" t="str">
        <f ca="1">IFERROR(__xludf.DUMMYFUNCTION("""COMPUTED_VALUE"""),"đối với")</f>
        <v>đối với</v>
      </c>
      <c r="H1041" s="13" t="str">
        <f ca="1">IFERROR(__xludf.DUMMYFUNCTION("""COMPUTED_VALUE"""),"对于网球，她很了解。")</f>
        <v>对于网球，她很了解。</v>
      </c>
      <c r="I1041" s="13"/>
      <c r="J1041" s="13" t="str">
        <f ca="1">IFERROR(__xludf.DUMMYFUNCTION("""COMPUTED_VALUE"""),"Cô ấy rất am hiểu quần vợt.")</f>
        <v>Cô ấy rất am hiểu quần vợt.</v>
      </c>
      <c r="K1041" s="13" t="str">
        <f ca="1">IFERROR(__xludf.DUMMYFUNCTION("""COMPUTED_VALUE"""),"H4_B12_BG-04.png")</f>
        <v>H4_B12_BG-04.png</v>
      </c>
      <c r="L1041" s="13" t="str">
        <f ca="1">IFERROR(__xludf.DUMMYFUNCTION("""COMPUTED_VALUE"""),"B12_4.mp3")</f>
        <v>B12_4.mp3</v>
      </c>
      <c r="M1041" s="13" t="str">
        <f ca="1">IFERROR(__xludf.DUMMYFUNCTION("""COMPUTED_VALUE"""),"B12_VD_4.mp3")</f>
        <v>B12_VD_4.mp3</v>
      </c>
    </row>
    <row r="1042" spans="1:13">
      <c r="A1042" s="13">
        <f ca="1">IFERROR(__xludf.DUMMYFUNCTION("""COMPUTED_VALUE"""),5)</f>
        <v>5</v>
      </c>
      <c r="B1042" s="13"/>
      <c r="C1042" s="13" t="str">
        <f ca="1">IFERROR(__xludf.DUMMYFUNCTION("""COMPUTED_VALUE"""),"直接")</f>
        <v>直接</v>
      </c>
      <c r="D1042" s="13" t="str">
        <f ca="1">IFERROR(__xludf.DUMMYFUNCTION("""COMPUTED_VALUE"""),"&lt;ruby&gt;直接&lt;rt&gt;zhíjiē&lt;/rt&gt;&lt;/ruby&gt;")</f>
        <v>&lt;ruby&gt;直接&lt;rt&gt;zhíjiē&lt;/rt&gt;&lt;/ruby&gt;</v>
      </c>
      <c r="E1042" s="13" t="str">
        <f ca="1">IFERROR(__xludf.DUMMYFUNCTION("""COMPUTED_VALUE"""),"zhíjiē")</f>
        <v>zhíjiē</v>
      </c>
      <c r="F1042" s="13" t="str">
        <f ca="1">IFERROR(__xludf.DUMMYFUNCTION("""COMPUTED_VALUE"""),"Tính từ")</f>
        <v>Tính từ</v>
      </c>
      <c r="G1042" s="13" t="str">
        <f ca="1">IFERROR(__xludf.DUMMYFUNCTION("""COMPUTED_VALUE"""),"trực tiếp, thẳng")</f>
        <v>trực tiếp, thẳng</v>
      </c>
      <c r="H1042" s="13" t="str">
        <f ca="1">IFERROR(__xludf.DUMMYFUNCTION("""COMPUTED_VALUE""")," 手机的蓝光会直接影响眼睛。")</f>
        <v xml:space="preserve"> 手机的蓝光会直接影响眼睛。</v>
      </c>
      <c r="I1042" s="13"/>
      <c r="J1042" s="13" t="str">
        <f ca="1">IFERROR(__xludf.DUMMYFUNCTION("""COMPUTED_VALUE"""),"ánh sáng xanh của điện thoại gây ảnh hưởng trực tiếp tới mắt")</f>
        <v>ánh sáng xanh của điện thoại gây ảnh hưởng trực tiếp tới mắt</v>
      </c>
      <c r="K1042" s="13" t="str">
        <f ca="1">IFERROR(__xludf.DUMMYFUNCTION("""COMPUTED_VALUE"""),"H4_B12_BG-05.png")</f>
        <v>H4_B12_BG-05.png</v>
      </c>
      <c r="L1042" s="13" t="str">
        <f ca="1">IFERROR(__xludf.DUMMYFUNCTION("""COMPUTED_VALUE"""),"B12_5.mp3")</f>
        <v>B12_5.mp3</v>
      </c>
      <c r="M1042" s="13" t="str">
        <f ca="1">IFERROR(__xludf.DUMMYFUNCTION("""COMPUTED_VALUE"""),"B12_VD_5.mp3")</f>
        <v>B12_VD_5.mp3</v>
      </c>
    </row>
    <row r="1043" spans="1:13">
      <c r="A1043" s="13">
        <f ca="1">IFERROR(__xludf.DUMMYFUNCTION("""COMPUTED_VALUE"""),6)</f>
        <v>6</v>
      </c>
      <c r="B1043" s="13"/>
      <c r="C1043" s="13" t="str">
        <f ca="1">IFERROR(__xludf.DUMMYFUNCTION("""COMPUTED_VALUE"""),"引起")</f>
        <v>引起</v>
      </c>
      <c r="D1043" s="13" t="str">
        <f ca="1">IFERROR(__xludf.DUMMYFUNCTION("""COMPUTED_VALUE"""),"&lt;ruby&gt;引起&lt;rt&gt;yǐnqǐ&lt;/rt&gt;&lt;/ruby&gt;")</f>
        <v>&lt;ruby&gt;引起&lt;rt&gt;yǐnqǐ&lt;/rt&gt;&lt;/ruby&gt;</v>
      </c>
      <c r="E1043" s="13" t="str">
        <f ca="1">IFERROR(__xludf.DUMMYFUNCTION("""COMPUTED_VALUE"""),"yǐnqǐ")</f>
        <v>yǐnqǐ</v>
      </c>
      <c r="F1043" s="13" t="str">
        <f ca="1">IFERROR(__xludf.DUMMYFUNCTION("""COMPUTED_VALUE"""),"Động từ")</f>
        <v>Động từ</v>
      </c>
      <c r="G1043" s="13" t="str">
        <f ca="1">IFERROR(__xludf.DUMMYFUNCTION("""COMPUTED_VALUE"""),"gây ra, dẫn đến")</f>
        <v>gây ra, dẫn đến</v>
      </c>
      <c r="H1043" s="13" t="str">
        <f ca="1">IFERROR(__xludf.DUMMYFUNCTION("""COMPUTED_VALUE"""),"乱扔垃圾引起污染 ")</f>
        <v xml:space="preserve">乱扔垃圾引起污染 </v>
      </c>
      <c r="I1043" s="13"/>
      <c r="J1043" s="13" t="str">
        <f ca="1">IFERROR(__xludf.DUMMYFUNCTION("""COMPUTED_VALUE"""),"Vứt rác bừa bãi gây ô nhiễm")</f>
        <v>Vứt rác bừa bãi gây ô nhiễm</v>
      </c>
      <c r="K1043" s="13" t="str">
        <f ca="1">IFERROR(__xludf.DUMMYFUNCTION("""COMPUTED_VALUE"""),"H4_B12_BG-06.png")</f>
        <v>H4_B12_BG-06.png</v>
      </c>
      <c r="L1043" s="13" t="str">
        <f ca="1">IFERROR(__xludf.DUMMYFUNCTION("""COMPUTED_VALUE"""),"B12_6.mp3")</f>
        <v>B12_6.mp3</v>
      </c>
      <c r="M1043" s="13" t="str">
        <f ca="1">IFERROR(__xludf.DUMMYFUNCTION("""COMPUTED_VALUE"""),"B12_VD_6.mp3")</f>
        <v>B12_VD_6.mp3</v>
      </c>
    </row>
    <row r="1044" spans="1:13">
      <c r="A1044" s="13">
        <f ca="1">IFERROR(__xludf.DUMMYFUNCTION("""COMPUTED_VALUE"""),7)</f>
        <v>7</v>
      </c>
      <c r="B1044" s="13"/>
      <c r="C1044" s="13" t="str">
        <f ca="1">IFERROR(__xludf.DUMMYFUNCTION("""COMPUTED_VALUE"""),"误会")</f>
        <v>误会</v>
      </c>
      <c r="D1044" s="13" t="str">
        <f ca="1">IFERROR(__xludf.DUMMYFUNCTION("""COMPUTED_VALUE"""),"&lt;ruby&gt;误会&lt;rt&gt;wùhuì&lt;/rt&gt;&lt;/ruby&gt;")</f>
        <v>&lt;ruby&gt;误会&lt;rt&gt;wùhuì&lt;/rt&gt;&lt;/ruby&gt;</v>
      </c>
      <c r="E1044" s="13" t="str">
        <f ca="1">IFERROR(__xludf.DUMMYFUNCTION("""COMPUTED_VALUE"""),"wùhuì")</f>
        <v>wùhuì</v>
      </c>
      <c r="F1044" s="13" t="str">
        <f ca="1">IFERROR(__xludf.DUMMYFUNCTION("""COMPUTED_VALUE"""),"Danh từ")</f>
        <v>Danh từ</v>
      </c>
      <c r="G1044" s="13" t="str">
        <f ca="1">IFERROR(__xludf.DUMMYFUNCTION("""COMPUTED_VALUE"""),"sự hiểu lầm")</f>
        <v>sự hiểu lầm</v>
      </c>
      <c r="H1044" s="13" t="str">
        <f ca="1">IFERROR(__xludf.DUMMYFUNCTION("""COMPUTED_VALUE"""),"我们放下过去的误会，走到了一起。")</f>
        <v>我们放下过去的误会，走到了一起。</v>
      </c>
      <c r="I1044" s="13"/>
      <c r="J1044" s="13" t="str">
        <f ca="1">IFERROR(__xludf.DUMMYFUNCTION("""COMPUTED_VALUE"""),"chúng tôi bỏ qua hết sự hiểu nhầm trong quá khứ để đến với nhau")</f>
        <v>chúng tôi bỏ qua hết sự hiểu nhầm trong quá khứ để đến với nhau</v>
      </c>
      <c r="K1044" s="13" t="str">
        <f ca="1">IFERROR(__xludf.DUMMYFUNCTION("""COMPUTED_VALUE"""),"H4_B12_BG-07.png")</f>
        <v>H4_B12_BG-07.png</v>
      </c>
      <c r="L1044" s="13" t="str">
        <f ca="1">IFERROR(__xludf.DUMMYFUNCTION("""COMPUTED_VALUE"""),"B12_7.mp3")</f>
        <v>B12_7.mp3</v>
      </c>
      <c r="M1044" s="13" t="str">
        <f ca="1">IFERROR(__xludf.DUMMYFUNCTION("""COMPUTED_VALUE"""),"B12_VD_7.mp3")</f>
        <v>B12_VD_7.mp3</v>
      </c>
    </row>
    <row r="1045" spans="1:13">
      <c r="A1045" s="13">
        <f ca="1">IFERROR(__xludf.DUMMYFUNCTION("""COMPUTED_VALUE"""),8)</f>
        <v>8</v>
      </c>
      <c r="B1045" s="13"/>
      <c r="C1045" s="13" t="str">
        <f ca="1">IFERROR(__xludf.DUMMYFUNCTION("""COMPUTED_VALUE"""),"语言")</f>
        <v>语言</v>
      </c>
      <c r="D1045" s="13" t="str">
        <f ca="1">IFERROR(__xludf.DUMMYFUNCTION("""COMPUTED_VALUE"""),"&lt;ruby&gt;语言&lt;rt&gt;yǔyán&lt;/rt&gt;&lt;/ruby&gt;")</f>
        <v>&lt;ruby&gt;语言&lt;rt&gt;yǔyán&lt;/rt&gt;&lt;/ruby&gt;</v>
      </c>
      <c r="E1045" s="13" t="str">
        <f ca="1">IFERROR(__xludf.DUMMYFUNCTION("""COMPUTED_VALUE"""),"yǔyán")</f>
        <v>yǔyán</v>
      </c>
      <c r="F1045" s="13" t="str">
        <f ca="1">IFERROR(__xludf.DUMMYFUNCTION("""COMPUTED_VALUE"""),"Danh từ")</f>
        <v>Danh từ</v>
      </c>
      <c r="G1045" s="13" t="str">
        <f ca="1">IFERROR(__xludf.DUMMYFUNCTION("""COMPUTED_VALUE"""),"ngôn ngữ")</f>
        <v>ngôn ngữ</v>
      </c>
      <c r="H1045" s="13" t="str">
        <f ca="1">IFERROR(__xludf.DUMMYFUNCTION("""COMPUTED_VALUE""")," 我开始学习一门新语言。")</f>
        <v xml:space="preserve"> 我开始学习一门新语言。</v>
      </c>
      <c r="I1045" s="13"/>
      <c r="J1045" s="13" t="str">
        <f ca="1">IFERROR(__xludf.DUMMYFUNCTION("""COMPUTED_VALUE"""),"tôi bắt đầu học một ngôn ngữ mới")</f>
        <v>tôi bắt đầu học một ngôn ngữ mới</v>
      </c>
      <c r="K1045" s="13" t="str">
        <f ca="1">IFERROR(__xludf.DUMMYFUNCTION("""COMPUTED_VALUE"""),"H4_B12_BG-08.png")</f>
        <v>H4_B12_BG-08.png</v>
      </c>
      <c r="L1045" s="13" t="str">
        <f ca="1">IFERROR(__xludf.DUMMYFUNCTION("""COMPUTED_VALUE"""),"B12_8.mp3")</f>
        <v>B12_8.mp3</v>
      </c>
      <c r="M1045" s="13" t="str">
        <f ca="1">IFERROR(__xludf.DUMMYFUNCTION("""COMPUTED_VALUE"""),"B12_VD_8.mp3")</f>
        <v>B12_VD_8.mp3</v>
      </c>
    </row>
    <row r="1046" spans="1:13">
      <c r="A1046" s="13">
        <f ca="1">IFERROR(__xludf.DUMMYFUNCTION("""COMPUTED_VALUE"""),9)</f>
        <v>9</v>
      </c>
      <c r="B1046" s="13"/>
      <c r="C1046" s="13" t="str">
        <f ca="1">IFERROR(__xludf.DUMMYFUNCTION("""COMPUTED_VALUE"""),"意见")</f>
        <v>意见</v>
      </c>
      <c r="D1046" s="13" t="str">
        <f ca="1">IFERROR(__xludf.DUMMYFUNCTION("""COMPUTED_VALUE"""),"&lt;ruby&gt;意见&lt;rt&gt;yìjiàn&lt;/rt&gt;&lt;/ruby&gt;")</f>
        <v>&lt;ruby&gt;意见&lt;rt&gt;yìjiàn&lt;/rt&gt;&lt;/ruby&gt;</v>
      </c>
      <c r="E1046" s="13" t="str">
        <f ca="1">IFERROR(__xludf.DUMMYFUNCTION("""COMPUTED_VALUE"""),"yìjiàn")</f>
        <v>yìjiàn</v>
      </c>
      <c r="F1046" s="13" t="str">
        <f ca="1">IFERROR(__xludf.DUMMYFUNCTION("""COMPUTED_VALUE"""),"Danh từ")</f>
        <v>Danh từ</v>
      </c>
      <c r="G1046" s="13" t="str">
        <f ca="1">IFERROR(__xludf.DUMMYFUNCTION("""COMPUTED_VALUE"""),"ý kiến")</f>
        <v>ý kiến</v>
      </c>
      <c r="H1046" s="13" t="str">
        <f ca="1">IFERROR(__xludf.DUMMYFUNCTION("""COMPUTED_VALUE"""),"他对即将到来的文艺晚会有意见。")</f>
        <v>他对即将到来的文艺晚会有意见。</v>
      </c>
      <c r="I1046" s="13"/>
      <c r="J1046" s="13" t="str">
        <f ca="1">IFERROR(__xludf.DUMMYFUNCTION("""COMPUTED_VALUE"""),"Anh ấy có ý kiến cho buổi văn nghệ sắp tới.")</f>
        <v>Anh ấy có ý kiến cho buổi văn nghệ sắp tới.</v>
      </c>
      <c r="K1046" s="13" t="str">
        <f ca="1">IFERROR(__xludf.DUMMYFUNCTION("""COMPUTED_VALUE"""),"H4_B12_BG-09.png")</f>
        <v>H4_B12_BG-09.png</v>
      </c>
      <c r="L1046" s="13" t="str">
        <f ca="1">IFERROR(__xludf.DUMMYFUNCTION("""COMPUTED_VALUE"""),"B12_9.mp3")</f>
        <v>B12_9.mp3</v>
      </c>
      <c r="M1046" s="13" t="str">
        <f ca="1">IFERROR(__xludf.DUMMYFUNCTION("""COMPUTED_VALUE"""),"B12_VD_9.mp3")</f>
        <v>B12_VD_9.mp3</v>
      </c>
    </row>
    <row r="1047" spans="1:13">
      <c r="A1047" s="13">
        <f ca="1">IFERROR(__xludf.DUMMYFUNCTION("""COMPUTED_VALUE"""),10)</f>
        <v>10</v>
      </c>
      <c r="B1047" s="13"/>
      <c r="C1047" s="13" t="str">
        <f ca="1">IFERROR(__xludf.DUMMYFUNCTION("""COMPUTED_VALUE"""),"仔细")</f>
        <v>仔细</v>
      </c>
      <c r="D1047" s="13" t="str">
        <f ca="1">IFERROR(__xludf.DUMMYFUNCTION("""COMPUTED_VALUE"""),"&lt;ruby&gt;仔细&lt;rt&gt;zǐxì&lt;/rt&gt;&lt;/ruby&gt;")</f>
        <v>&lt;ruby&gt;仔细&lt;rt&gt;zǐxì&lt;/rt&gt;&lt;/ruby&gt;</v>
      </c>
      <c r="E1047" s="13" t="str">
        <f ca="1">IFERROR(__xludf.DUMMYFUNCTION("""COMPUTED_VALUE"""),"zǐxì")</f>
        <v>zǐxì</v>
      </c>
      <c r="F1047" s="13" t="str">
        <f ca="1">IFERROR(__xludf.DUMMYFUNCTION("""COMPUTED_VALUE"""),"Tính từ")</f>
        <v>Tính từ</v>
      </c>
      <c r="G1047" s="13" t="str">
        <f ca="1">IFERROR(__xludf.DUMMYFUNCTION("""COMPUTED_VALUE"""),"thận trọng, kỹ lưỡng")</f>
        <v>thận trọng, kỹ lưỡng</v>
      </c>
      <c r="H1047" s="13" t="str">
        <f ca="1">IFERROR(__xludf.DUMMYFUNCTION("""COMPUTED_VALUE"""),"煮饭前请仔细检查食材。")</f>
        <v>煮饭前请仔细检查食材。</v>
      </c>
      <c r="I1047" s="13"/>
      <c r="J1047" s="13" t="str">
        <f ca="1">IFERROR(__xludf.DUMMYFUNCTION("""COMPUTED_VALUE"""),"Hãy kiểm tra kỹ thực phẩm trước khi nấu ăn.")</f>
        <v>Hãy kiểm tra kỹ thực phẩm trước khi nấu ăn.</v>
      </c>
      <c r="K1047" s="13" t="str">
        <f ca="1">IFERROR(__xludf.DUMMYFUNCTION("""COMPUTED_VALUE"""),"H4_B12_BG-10.png")</f>
        <v>H4_B12_BG-10.png</v>
      </c>
      <c r="L1047" s="13" t="str">
        <f ca="1">IFERROR(__xludf.DUMMYFUNCTION("""COMPUTED_VALUE"""),"B12_10.mp3")</f>
        <v>B12_10.mp3</v>
      </c>
      <c r="M1047" s="13" t="str">
        <f ca="1">IFERROR(__xludf.DUMMYFUNCTION("""COMPUTED_VALUE"""),"B12_VD_10.mp3")</f>
        <v>B12_VD_10.mp3</v>
      </c>
    </row>
    <row r="1048" spans="1:13">
      <c r="A1048" s="13">
        <f ca="1">IFERROR(__xludf.DUMMYFUNCTION("""COMPUTED_VALUE"""),11)</f>
        <v>11</v>
      </c>
      <c r="B1048" s="13"/>
      <c r="C1048" s="13" t="str">
        <f ca="1">IFERROR(__xludf.DUMMYFUNCTION("""COMPUTED_VALUE"""),"商量")</f>
        <v>商量</v>
      </c>
      <c r="D1048" s="13" t="str">
        <f ca="1">IFERROR(__xludf.DUMMYFUNCTION("""COMPUTED_VALUE"""),"&lt;ruby&gt;商量&lt;rt&gt;shāngliáng&lt;/rt&gt;&lt;/ruby&gt;")</f>
        <v>&lt;ruby&gt;商量&lt;rt&gt;shāngliáng&lt;/rt&gt;&lt;/ruby&gt;</v>
      </c>
      <c r="E1048" s="13" t="str">
        <f ca="1">IFERROR(__xludf.DUMMYFUNCTION("""COMPUTED_VALUE"""),"shāngliáng")</f>
        <v>shāngliáng</v>
      </c>
      <c r="F1048" s="13" t="str">
        <f ca="1">IFERROR(__xludf.DUMMYFUNCTION("""COMPUTED_VALUE"""),"Động từ")</f>
        <v>Động từ</v>
      </c>
      <c r="G1048" s="13" t="str">
        <f ca="1">IFERROR(__xludf.DUMMYFUNCTION("""COMPUTED_VALUE"""),"thương lượng, bàn bạc")</f>
        <v>thương lượng, bàn bạc</v>
      </c>
      <c r="H1048" s="13" t="str">
        <f ca="1">IFERROR(__xludf.DUMMYFUNCTION("""COMPUTED_VALUE"""),"我们正在商量即将上演的戏剧角色分配。")</f>
        <v>我们正在商量即将上演的戏剧角色分配。</v>
      </c>
      <c r="I1048" s="13"/>
      <c r="J1048" s="13" t="str">
        <f ca="1">IFERROR(__xludf.DUMMYFUNCTION("""COMPUTED_VALUE"""),"Chúng tôi đang thương lượng về việc phân vai diễn trong buổi kịch sắp tới.")</f>
        <v>Chúng tôi đang thương lượng về việc phân vai diễn trong buổi kịch sắp tới.</v>
      </c>
      <c r="K1048" s="13" t="str">
        <f ca="1">IFERROR(__xludf.DUMMYFUNCTION("""COMPUTED_VALUE"""),"H4_B12_BG-11.png")</f>
        <v>H4_B12_BG-11.png</v>
      </c>
      <c r="L1048" s="13" t="str">
        <f ca="1">IFERROR(__xludf.DUMMYFUNCTION("""COMPUTED_VALUE"""),"B12_11.mp3")</f>
        <v>B12_11.mp3</v>
      </c>
      <c r="M1048" s="13" t="str">
        <f ca="1">IFERROR(__xludf.DUMMYFUNCTION("""COMPUTED_VALUE"""),"B12_VD_11.mp3")</f>
        <v>B12_VD_11.mp3</v>
      </c>
    </row>
    <row r="1049" spans="1:13">
      <c r="A1049" s="13">
        <f ca="1">IFERROR(__xludf.DUMMYFUNCTION("""COMPUTED_VALUE"""),12)</f>
        <v>12</v>
      </c>
      <c r="B1049" s="13"/>
      <c r="C1049" s="13" t="str">
        <f ca="1">IFERROR(__xludf.DUMMYFUNCTION("""COMPUTED_VALUE"""),"死")</f>
        <v>死</v>
      </c>
      <c r="D1049" s="13" t="str">
        <f ca="1">IFERROR(__xludf.DUMMYFUNCTION("""COMPUTED_VALUE"""),"&lt;ruby&gt;死&lt;rt&gt;sǐ&lt;/rt&gt;&lt;/ruby&gt;")</f>
        <v>&lt;ruby&gt;死&lt;rt&gt;sǐ&lt;/rt&gt;&lt;/ruby&gt;</v>
      </c>
      <c r="E1049" s="13" t="str">
        <f ca="1">IFERROR(__xludf.DUMMYFUNCTION("""COMPUTED_VALUE"""),"sǐ")</f>
        <v>sǐ</v>
      </c>
      <c r="F1049" s="13" t="str">
        <f ca="1">IFERROR(__xludf.DUMMYFUNCTION("""COMPUTED_VALUE"""),"Tính từ")</f>
        <v>Tính từ</v>
      </c>
      <c r="G1049" s="13" t="str">
        <f ca="1">IFERROR(__xludf.DUMMYFUNCTION("""COMPUTED_VALUE"""),"cố định, cứng nhắc")</f>
        <v>cố định, cứng nhắc</v>
      </c>
      <c r="H1049" s="13" t="str">
        <f ca="1">IFERROR(__xludf.DUMMYFUNCTION("""COMPUTED_VALUE"""),"那只老鼠突然死了。")</f>
        <v>那只老鼠突然死了。</v>
      </c>
      <c r="I1049" s="13"/>
      <c r="J1049" s="13" t="str">
        <f ca="1">IFERROR(__xludf.DUMMYFUNCTION("""COMPUTED_VALUE"""),"Con chuột đột nhiên chết rồi.")</f>
        <v>Con chuột đột nhiên chết rồi.</v>
      </c>
      <c r="K1049" s="13" t="str">
        <f ca="1">IFERROR(__xludf.DUMMYFUNCTION("""COMPUTED_VALUE"""),"H4_B12_BG-12.png")</f>
        <v>H4_B12_BG-12.png</v>
      </c>
      <c r="L1049" s="13" t="str">
        <f ca="1">IFERROR(__xludf.DUMMYFUNCTION("""COMPUTED_VALUE"""),"B12_12.mp3")</f>
        <v>B12_12.mp3</v>
      </c>
      <c r="M1049" s="13" t="str">
        <f ca="1">IFERROR(__xludf.DUMMYFUNCTION("""COMPUTED_VALUE"""),"B12_VD_12.mp3")</f>
        <v>B12_VD_12.mp3</v>
      </c>
    </row>
    <row r="1050" spans="1:13">
      <c r="A1050" s="13">
        <f ca="1">IFERROR(__xludf.DUMMYFUNCTION("""COMPUTED_VALUE"""),13)</f>
        <v>13</v>
      </c>
      <c r="B1050" s="13"/>
      <c r="C1050" s="13" t="str">
        <f ca="1">IFERROR(__xludf.DUMMYFUNCTION("""COMPUTED_VALUE"""),"可惜")</f>
        <v>可惜</v>
      </c>
      <c r="D1050" s="13" t="str">
        <f ca="1">IFERROR(__xludf.DUMMYFUNCTION("""COMPUTED_VALUE"""),"&lt;ruby&gt;可惜&lt;rt&gt;kěxī&lt;/rt&gt;&lt;/ruby&gt;")</f>
        <v>&lt;ruby&gt;可惜&lt;rt&gt;kěxī&lt;/rt&gt;&lt;/ruby&gt;</v>
      </c>
      <c r="E1050" s="13" t="str">
        <f ca="1">IFERROR(__xludf.DUMMYFUNCTION("""COMPUTED_VALUE"""),"kěxī")</f>
        <v>kěxī</v>
      </c>
      <c r="F1050" s="13" t="str">
        <f ca="1">IFERROR(__xludf.DUMMYFUNCTION("""COMPUTED_VALUE"""),"Tính từ")</f>
        <v>Tính từ</v>
      </c>
      <c r="G1050" s="13" t="str">
        <f ca="1">IFERROR(__xludf.DUMMYFUNCTION("""COMPUTED_VALUE"""),"đáng tiếc")</f>
        <v>đáng tiếc</v>
      </c>
      <c r="H1050" s="13" t="str">
        <f ca="1">IFERROR(__xludf.DUMMYFUNCTION("""COMPUTED_VALUE"""),"机会太好了，可惜错过了。")</f>
        <v>机会太好了，可惜错过了。</v>
      </c>
      <c r="I1050" s="13"/>
      <c r="J1050" s="13" t="str">
        <f ca="1">IFERROR(__xludf.DUMMYFUNCTION("""COMPUTED_VALUE"""),"Cơ hội quá tốt, đáng tiếc là đã lỡ.")</f>
        <v>Cơ hội quá tốt, đáng tiếc là đã lỡ.</v>
      </c>
      <c r="K1050" s="13" t="str">
        <f ca="1">IFERROR(__xludf.DUMMYFUNCTION("""COMPUTED_VALUE"""),"H4_B12_BG-13.png")</f>
        <v>H4_B12_BG-13.png</v>
      </c>
      <c r="L1050" s="13" t="str">
        <f ca="1">IFERROR(__xludf.DUMMYFUNCTION("""COMPUTED_VALUE"""),"B12_13.mp3")</f>
        <v>B12_13.mp3</v>
      </c>
      <c r="M1050" s="13" t="str">
        <f ca="1">IFERROR(__xludf.DUMMYFUNCTION("""COMPUTED_VALUE"""),"B12_VD_13.mp3")</f>
        <v>B12_VD_13.mp3</v>
      </c>
    </row>
    <row r="1051" spans="1:13">
      <c r="A1051" s="13">
        <f ca="1">IFERROR(__xludf.DUMMYFUNCTION("""COMPUTED_VALUE"""),14)</f>
        <v>14</v>
      </c>
      <c r="B1051" s="13"/>
      <c r="C1051" s="13" t="str">
        <f ca="1">IFERROR(__xludf.DUMMYFUNCTION("""COMPUTED_VALUE"""),"全部")</f>
        <v>全部</v>
      </c>
      <c r="D1051" s="13" t="str">
        <f ca="1">IFERROR(__xludf.DUMMYFUNCTION("""COMPUTED_VALUE"""),"&lt;ruby&gt;全部&lt;rt&gt;quánbù&lt;/rt&gt;&lt;/ruby&gt;")</f>
        <v>&lt;ruby&gt;全部&lt;rt&gt;quánbù&lt;/rt&gt;&lt;/ruby&gt;</v>
      </c>
      <c r="E1051" s="13" t="str">
        <f ca="1">IFERROR(__xludf.DUMMYFUNCTION("""COMPUTED_VALUE"""),"quánbù")</f>
        <v>quánbù</v>
      </c>
      <c r="F1051" s="13" t="str">
        <f ca="1">IFERROR(__xludf.DUMMYFUNCTION("""COMPUTED_VALUE"""),"Danh từ")</f>
        <v>Danh từ</v>
      </c>
      <c r="G1051" s="13" t="str">
        <f ca="1">IFERROR(__xludf.DUMMYFUNCTION("""COMPUTED_VALUE"""),"toàn bộ, tất cả")</f>
        <v>toàn bộ, tất cả</v>
      </c>
      <c r="H1051" s="13" t="str">
        <f ca="1">IFERROR(__xludf.DUMMYFUNCTION("""COMPUTED_VALUE"""),"他们全部都来参加了会议。")</f>
        <v>他们全部都来参加了会议。</v>
      </c>
      <c r="I1051" s="13"/>
      <c r="J1051" s="13" t="str">
        <f ca="1">IFERROR(__xludf.DUMMYFUNCTION("""COMPUTED_VALUE"""),"Tất cả họ đều đến tham gia cuộc họp.")</f>
        <v>Tất cả họ đều đến tham gia cuộc họp.</v>
      </c>
      <c r="K1051" s="13" t="str">
        <f ca="1">IFERROR(__xludf.DUMMYFUNCTION("""COMPUTED_VALUE"""),"H4_B12_BG-14.png")</f>
        <v>H4_B12_BG-14.png</v>
      </c>
      <c r="L1051" s="13" t="str">
        <f ca="1">IFERROR(__xludf.DUMMYFUNCTION("""COMPUTED_VALUE"""),"B12_14.mp3")</f>
        <v>B12_14.mp3</v>
      </c>
      <c r="M1051" s="13" t="str">
        <f ca="1">IFERROR(__xludf.DUMMYFUNCTION("""COMPUTED_VALUE"""),"B12_VD_14.mp3")</f>
        <v>B12_VD_14.mp3</v>
      </c>
    </row>
    <row r="1052" spans="1:13">
      <c r="A1052" s="13">
        <f ca="1">IFERROR(__xludf.DUMMYFUNCTION("""COMPUTED_VALUE"""),15)</f>
        <v>15</v>
      </c>
      <c r="B1052" s="13"/>
      <c r="C1052" s="13" t="str">
        <f ca="1">IFERROR(__xludf.DUMMYFUNCTION("""COMPUTED_VALUE"""),"也许")</f>
        <v>也许</v>
      </c>
      <c r="D1052" s="13" t="str">
        <f ca="1">IFERROR(__xludf.DUMMYFUNCTION("""COMPUTED_VALUE"""),"&lt;ruby&gt;也许&lt;rt&gt;yěxǔ&lt;/rt&gt;&lt;/ruby&gt;")</f>
        <v>&lt;ruby&gt;也许&lt;rt&gt;yěxǔ&lt;/rt&gt;&lt;/ruby&gt;</v>
      </c>
      <c r="E1052" s="13" t="str">
        <f ca="1">IFERROR(__xludf.DUMMYFUNCTION("""COMPUTED_VALUE"""),"yěxǔ")</f>
        <v>yěxǔ</v>
      </c>
      <c r="F1052" s="13" t="str">
        <f ca="1">IFERROR(__xludf.DUMMYFUNCTION("""COMPUTED_VALUE"""),"Phó từ")</f>
        <v>Phó từ</v>
      </c>
      <c r="G1052" s="13" t="str">
        <f ca="1">IFERROR(__xludf.DUMMYFUNCTION("""COMPUTED_VALUE"""),"có lẽ, may ra")</f>
        <v>có lẽ, may ra</v>
      </c>
      <c r="H1052" s="13" t="str">
        <f ca="1">IFERROR(__xludf.DUMMYFUNCTION("""COMPUTED_VALUE"""),"也许我应该学会更节约开支。")</f>
        <v>也许我应该学会更节约开支。</v>
      </c>
      <c r="I1052" s="13"/>
      <c r="J1052" s="13" t="str">
        <f ca="1">IFERROR(__xludf.DUMMYFUNCTION("""COMPUTED_VALUE"""),"có lẽ tôi nên học cách chi tiêu tiết kiệm hơn")</f>
        <v>có lẽ tôi nên học cách chi tiêu tiết kiệm hơn</v>
      </c>
      <c r="K1052" s="13" t="str">
        <f ca="1">IFERROR(__xludf.DUMMYFUNCTION("""COMPUTED_VALUE"""),"H4_B12_BG-15.png")</f>
        <v>H4_B12_BG-15.png</v>
      </c>
      <c r="L1052" s="13" t="str">
        <f ca="1">IFERROR(__xludf.DUMMYFUNCTION("""COMPUTED_VALUE"""),"B12_15.mp3")</f>
        <v>B12_15.mp3</v>
      </c>
      <c r="M1052" s="13" t="str">
        <f ca="1">IFERROR(__xludf.DUMMYFUNCTION("""COMPUTED_VALUE"""),"B12_VD_15.mp3")</f>
        <v>B12_VD_15.mp3</v>
      </c>
    </row>
    <row r="1053" spans="1:13">
      <c r="A1053" s="13">
        <f ca="1">IFERROR(__xludf.DUMMYFUNCTION("""COMPUTED_VALUE"""),16)</f>
        <v>16</v>
      </c>
      <c r="B1053" s="13"/>
      <c r="C1053" s="13" t="str">
        <f ca="1">IFERROR(__xludf.DUMMYFUNCTION("""COMPUTED_VALUE"""),"并且")</f>
        <v>并且</v>
      </c>
      <c r="D1053" s="13" t="str">
        <f ca="1">IFERROR(__xludf.DUMMYFUNCTION("""COMPUTED_VALUE"""),"&lt;ruby&gt;并且&lt;rt&gt;bìngqiě&lt;/rt&gt;&lt;/ruby&gt;")</f>
        <v>&lt;ruby&gt;并且&lt;rt&gt;bìngqiě&lt;/rt&gt;&lt;/ruby&gt;</v>
      </c>
      <c r="E1053" s="13" t="str">
        <f ca="1">IFERROR(__xludf.DUMMYFUNCTION("""COMPUTED_VALUE"""),"bìngqiě")</f>
        <v>bìngqiě</v>
      </c>
      <c r="F1053" s="13" t="str">
        <f ca="1">IFERROR(__xludf.DUMMYFUNCTION("""COMPUTED_VALUE"""),"Liên từ")</f>
        <v>Liên từ</v>
      </c>
      <c r="G1053" s="13" t="str">
        <f ca="1">IFERROR(__xludf.DUMMYFUNCTION("""COMPUTED_VALUE"""),"đồng thời, và")</f>
        <v>đồng thời, và</v>
      </c>
      <c r="H1053" s="13" t="str">
        <f ca="1">IFERROR(__xludf.DUMMYFUNCTION("""COMPUTED_VALUE"""),"这道菜很辣并且很咸。")</f>
        <v>这道菜很辣并且很咸。</v>
      </c>
      <c r="I1053" s="13"/>
      <c r="J1053" s="13" t="str">
        <f ca="1">IFERROR(__xludf.DUMMYFUNCTION("""COMPUTED_VALUE"""),"Món này rất cay và rất mặn.")</f>
        <v>Món này rất cay và rất mặn.</v>
      </c>
      <c r="K1053" s="13" t="str">
        <f ca="1">IFERROR(__xludf.DUMMYFUNCTION("""COMPUTED_VALUE"""),"H4_B12_BG-16.png")</f>
        <v>H4_B12_BG-16.png</v>
      </c>
      <c r="L1053" s="13" t="str">
        <f ca="1">IFERROR(__xludf.DUMMYFUNCTION("""COMPUTED_VALUE"""),"B12_16.mp3")</f>
        <v>B12_16.mp3</v>
      </c>
      <c r="M1053" s="13" t="str">
        <f ca="1">IFERROR(__xludf.DUMMYFUNCTION("""COMPUTED_VALUE"""),"B12_VD_16.mp3")</f>
        <v>B12_VD_16.mp3</v>
      </c>
    </row>
    <row r="1054" spans="1:13">
      <c r="A1054" s="13">
        <f ca="1">IFERROR(__xludf.DUMMYFUNCTION("""COMPUTED_VALUE"""),17)</f>
        <v>17</v>
      </c>
      <c r="B1054" s="13"/>
      <c r="C1054" s="13" t="str">
        <f ca="1">IFERROR(__xludf.DUMMYFUNCTION("""COMPUTED_VALUE"""),"无")</f>
        <v>无</v>
      </c>
      <c r="D1054" s="13" t="str">
        <f ca="1">IFERROR(__xludf.DUMMYFUNCTION("""COMPUTED_VALUE"""),"&lt;ruby&gt;无&lt;rt&gt;wú&lt;/rt&gt;&lt;/ruby&gt;")</f>
        <v>&lt;ruby&gt;无&lt;rt&gt;wú&lt;/rt&gt;&lt;/ruby&gt;</v>
      </c>
      <c r="E1054" s="13" t="str">
        <f ca="1">IFERROR(__xludf.DUMMYFUNCTION("""COMPUTED_VALUE"""),"wú")</f>
        <v>wú</v>
      </c>
      <c r="F1054" s="13" t="str">
        <f ca="1">IFERROR(__xludf.DUMMYFUNCTION("""COMPUTED_VALUE"""),"Động từ")</f>
        <v>Động từ</v>
      </c>
      <c r="G1054" s="13" t="str">
        <f ca="1">IFERROR(__xludf.DUMMYFUNCTION("""COMPUTED_VALUE"""),"không có, không")</f>
        <v>không có, không</v>
      </c>
      <c r="H1054" s="13" t="str">
        <f ca="1">IFERROR(__xludf.DUMMYFUNCTION("""COMPUTED_VALUE"""),"这件事无可怕之处。")</f>
        <v>这件事无可怕之处。</v>
      </c>
      <c r="I1054" s="13"/>
      <c r="J1054" s="13" t="str">
        <f ca="1">IFERROR(__xludf.DUMMYFUNCTION("""COMPUTED_VALUE"""),"Chuyện này không có gì đáng sợ.")</f>
        <v>Chuyện này không có gì đáng sợ.</v>
      </c>
      <c r="K1054" s="13" t="str">
        <f ca="1">IFERROR(__xludf.DUMMYFUNCTION("""COMPUTED_VALUE"""),"H4_B12_BG-17.png")</f>
        <v>H4_B12_BG-17.png</v>
      </c>
      <c r="L1054" s="13" t="str">
        <f ca="1">IFERROR(__xludf.DUMMYFUNCTION("""COMPUTED_VALUE"""),"B12_17.mp3")</f>
        <v>B12_17.mp3</v>
      </c>
      <c r="M1054" s="13" t="str">
        <f ca="1">IFERROR(__xludf.DUMMYFUNCTION("""COMPUTED_VALUE"""),"B12_VD_17.mp3")</f>
        <v>B12_VD_17.mp3</v>
      </c>
    </row>
    <row r="1055" spans="1:13">
      <c r="A1055" s="13">
        <f ca="1">IFERROR(__xludf.DUMMYFUNCTION("""COMPUTED_VALUE"""),18)</f>
        <v>18</v>
      </c>
      <c r="B1055" s="13"/>
      <c r="C1055" s="13" t="str">
        <f ca="1">IFERROR(__xludf.DUMMYFUNCTION("""COMPUTED_VALUE"""),"盐")</f>
        <v>盐</v>
      </c>
      <c r="D1055" s="13" t="str">
        <f ca="1">IFERROR(__xludf.DUMMYFUNCTION("""COMPUTED_VALUE"""),"&lt;ruby&gt;盐&lt;rt&gt;yán&lt;/rt&gt;&lt;/ruby&gt;")</f>
        <v>&lt;ruby&gt;盐&lt;rt&gt;yán&lt;/rt&gt;&lt;/ruby&gt;</v>
      </c>
      <c r="E1055" s="13" t="str">
        <f ca="1">IFERROR(__xludf.DUMMYFUNCTION("""COMPUTED_VALUE"""),"yán")</f>
        <v>yán</v>
      </c>
      <c r="F1055" s="13" t="str">
        <f ca="1">IFERROR(__xludf.DUMMYFUNCTION("""COMPUTED_VALUE"""),"Danh từ")</f>
        <v>Danh từ</v>
      </c>
      <c r="G1055" s="13" t="str">
        <f ca="1">IFERROR(__xludf.DUMMYFUNCTION("""COMPUTED_VALUE"""),"muối")</f>
        <v>muối</v>
      </c>
      <c r="H1055" s="13" t="str">
        <f ca="1">IFERROR(__xludf.DUMMYFUNCTION("""COMPUTED_VALUE""")," 做饭要放适量的盐。")</f>
        <v xml:space="preserve"> 做饭要放适量的盐。</v>
      </c>
      <c r="I1055" s="13"/>
      <c r="J1055" s="13" t="str">
        <f ca="1">IFERROR(__xludf.DUMMYFUNCTION("""COMPUTED_VALUE"""),"Nấu ăn phải cho lượng muối thích hợp.")</f>
        <v>Nấu ăn phải cho lượng muối thích hợp.</v>
      </c>
      <c r="K1055" s="13" t="str">
        <f ca="1">IFERROR(__xludf.DUMMYFUNCTION("""COMPUTED_VALUE"""),"H4_B12_BG-18.png")</f>
        <v>H4_B12_BG-18.png</v>
      </c>
      <c r="L1055" s="13" t="str">
        <f ca="1">IFERROR(__xludf.DUMMYFUNCTION("""COMPUTED_VALUE"""),"B12_18.mp3")</f>
        <v>B12_18.mp3</v>
      </c>
      <c r="M1055" s="13" t="str">
        <f ca="1">IFERROR(__xludf.DUMMYFUNCTION("""COMPUTED_VALUE"""),"B12_VD_18.mp3")</f>
        <v>B12_VD_18.mp3</v>
      </c>
    </row>
    <row r="1056" spans="1:13">
      <c r="A1056" s="13">
        <f ca="1">IFERROR(__xludf.DUMMYFUNCTION("""COMPUTED_VALUE"""),19)</f>
        <v>19</v>
      </c>
      <c r="B1056" s="13"/>
      <c r="C1056" s="13" t="str">
        <f ca="1">IFERROR(__xludf.DUMMYFUNCTION("""COMPUTED_VALUE"""),"勺（子）")</f>
        <v>勺（子）</v>
      </c>
      <c r="D1056" s="13" t="str">
        <f ca="1">IFERROR(__xludf.DUMMYFUNCTION("""COMPUTED_VALUE"""),"&lt;ruby&gt;勺（子）&lt;rt&gt;sháo (zi)&lt;/rt&gt;&lt;/ruby&gt;")</f>
        <v>&lt;ruby&gt;勺（子）&lt;rt&gt;sháo (zi)&lt;/rt&gt;&lt;/ruby&gt;</v>
      </c>
      <c r="E1056" s="13" t="str">
        <f ca="1">IFERROR(__xludf.DUMMYFUNCTION("""COMPUTED_VALUE"""),"sháo (zi)")</f>
        <v>sháo (zi)</v>
      </c>
      <c r="F1056" s="13" t="str">
        <f ca="1">IFERROR(__xludf.DUMMYFUNCTION("""COMPUTED_VALUE"""),"Danh từ")</f>
        <v>Danh từ</v>
      </c>
      <c r="G1056" s="13" t="str">
        <f ca="1">IFERROR(__xludf.DUMMYFUNCTION("""COMPUTED_VALUE"""),"cái muôi, cái thìa")</f>
        <v>cái muôi, cái thìa</v>
      </c>
      <c r="H1056" s="13" t="str">
        <f ca="1">IFERROR(__xludf.DUMMYFUNCTION("""COMPUTED_VALUE"""),"妈妈用勺子舀汤。")</f>
        <v>妈妈用勺子舀汤。</v>
      </c>
      <c r="I1056" s="13"/>
      <c r="J1056" s="13" t="str">
        <f ca="1">IFERROR(__xludf.DUMMYFUNCTION("""COMPUTED_VALUE"""),"Mẹ dùng muôi để múc canh.")</f>
        <v>Mẹ dùng muôi để múc canh.</v>
      </c>
      <c r="K1056" s="13" t="str">
        <f ca="1">IFERROR(__xludf.DUMMYFUNCTION("""COMPUTED_VALUE"""),"H4_B12_BG-19.png")</f>
        <v>H4_B12_BG-19.png</v>
      </c>
      <c r="L1056" s="13" t="str">
        <f ca="1">IFERROR(__xludf.DUMMYFUNCTION("""COMPUTED_VALUE"""),"B12_19.mp3")</f>
        <v>B12_19.mp3</v>
      </c>
      <c r="M1056" s="13" t="str">
        <f ca="1">IFERROR(__xludf.DUMMYFUNCTION("""COMPUTED_VALUE"""),"B12_VD_19.mp3")</f>
        <v>B12_VD_19.mp3</v>
      </c>
    </row>
    <row r="1057" spans="1:13">
      <c r="A1057" s="13">
        <f ca="1">IFERROR(__xludf.DUMMYFUNCTION("""COMPUTED_VALUE"""),20)</f>
        <v>20</v>
      </c>
      <c r="B1057" s="13"/>
      <c r="C1057" s="13" t="str">
        <f ca="1">IFERROR(__xludf.DUMMYFUNCTION("""COMPUTED_VALUE"""),"叶子")</f>
        <v>叶子</v>
      </c>
      <c r="D1057" s="13" t="str">
        <f ca="1">IFERROR(__xludf.DUMMYFUNCTION("""COMPUTED_VALUE"""),"&lt;ruby&gt;叶子&lt;rt&gt;yèzi&lt;/rt&gt;&lt;/ruby&gt;")</f>
        <v>&lt;ruby&gt;叶子&lt;rt&gt;yèzi&lt;/rt&gt;&lt;/ruby&gt;</v>
      </c>
      <c r="E1057" s="13" t="str">
        <f ca="1">IFERROR(__xludf.DUMMYFUNCTION("""COMPUTED_VALUE"""),"yèzi")</f>
        <v>yèzi</v>
      </c>
      <c r="F1057" s="13" t="str">
        <f ca="1">IFERROR(__xludf.DUMMYFUNCTION("""COMPUTED_VALUE"""),"Danh từ")</f>
        <v>Danh từ</v>
      </c>
      <c r="G1057" s="13" t="str">
        <f ca="1">IFERROR(__xludf.DUMMYFUNCTION("""COMPUTED_VALUE"""),"lá cây")</f>
        <v>lá cây</v>
      </c>
      <c r="H1057" s="13" t="str">
        <f ca="1">IFERROR(__xludf.DUMMYFUNCTION("""COMPUTED_VALUE"""),"这些叶子真美。")</f>
        <v>这些叶子真美。</v>
      </c>
      <c r="I1057" s="13"/>
      <c r="J1057" s="13" t="str">
        <f ca="1">IFERROR(__xludf.DUMMYFUNCTION("""COMPUTED_VALUE"""),"Những chiếc lá này thật đẹp.")</f>
        <v>Những chiếc lá này thật đẹp.</v>
      </c>
      <c r="K1057" s="13" t="str">
        <f ca="1">IFERROR(__xludf.DUMMYFUNCTION("""COMPUTED_VALUE"""),"H4_B12_BG-20.png")</f>
        <v>H4_B12_BG-20.png</v>
      </c>
      <c r="L1057" s="13" t="str">
        <f ca="1">IFERROR(__xludf.DUMMYFUNCTION("""COMPUTED_VALUE"""),"B12_20.mp3")</f>
        <v>B12_20.mp3</v>
      </c>
      <c r="M1057" s="13" t="str">
        <f ca="1">IFERROR(__xludf.DUMMYFUNCTION("""COMPUTED_VALUE"""),"B12_VD_20.mp3")</f>
        <v>B12_VD_20.mp3</v>
      </c>
    </row>
    <row r="1058" spans="1:13">
      <c r="A1058" s="13">
        <f ca="1">IFERROR(__xludf.DUMMYFUNCTION("""COMPUTED_VALUE"""),21)</f>
        <v>21</v>
      </c>
      <c r="B1058" s="13"/>
      <c r="C1058" s="13" t="str">
        <f ca="1">IFERROR(__xludf.DUMMYFUNCTION("""COMPUTED_VALUE"""),"教育")</f>
        <v>教育</v>
      </c>
      <c r="D1058" s="13" t="str">
        <f ca="1">IFERROR(__xludf.DUMMYFUNCTION("""COMPUTED_VALUE"""),"&lt;ruby&gt;教育&lt;rt&gt;jiàoyù&lt;/rt&gt;&lt;/ruby&gt;")</f>
        <v>&lt;ruby&gt;教育&lt;rt&gt;jiàoyù&lt;/rt&gt;&lt;/ruby&gt;</v>
      </c>
      <c r="E1058" s="13" t="str">
        <f ca="1">IFERROR(__xludf.DUMMYFUNCTION("""COMPUTED_VALUE"""),"jiàoyù")</f>
        <v>jiàoyù</v>
      </c>
      <c r="F1058" s="13" t="str">
        <f ca="1">IFERROR(__xludf.DUMMYFUNCTION("""COMPUTED_VALUE"""),"Động từ")</f>
        <v>Động từ</v>
      </c>
      <c r="G1058" s="13" t="str">
        <f ca="1">IFERROR(__xludf.DUMMYFUNCTION("""COMPUTED_VALUE"""),"giáo dục, dạy dỗ")</f>
        <v>giáo dục, dạy dỗ</v>
      </c>
      <c r="H1058" s="13" t="str">
        <f ca="1">IFERROR(__xludf.DUMMYFUNCTION("""COMPUTED_VALUE"""),"教育是社会进步的基础。")</f>
        <v>教育是社会进步的基础。</v>
      </c>
      <c r="I1058" s="13"/>
      <c r="J1058" s="13" t="str">
        <f ca="1">IFERROR(__xludf.DUMMYFUNCTION("""COMPUTED_VALUE"""),"Giáo dục là nền tảng của sự tiến bộ xã hội.")</f>
        <v>Giáo dục là nền tảng của sự tiến bộ xã hội.</v>
      </c>
      <c r="K1058" s="13" t="str">
        <f ca="1">IFERROR(__xludf.DUMMYFUNCTION("""COMPUTED_VALUE"""),"H4_B12_BG-21.png")</f>
        <v>H4_B12_BG-21.png</v>
      </c>
      <c r="L1058" s="13" t="str">
        <f ca="1">IFERROR(__xludf.DUMMYFUNCTION("""COMPUTED_VALUE"""),"B12_21.mp3")</f>
        <v>B12_21.mp3</v>
      </c>
      <c r="M1058" s="13" t="str">
        <f ca="1">IFERROR(__xludf.DUMMYFUNCTION("""COMPUTED_VALUE"""),"B12_VD_21.mp3")</f>
        <v>B12_VD_21.mp3</v>
      </c>
    </row>
    <row r="1059" spans="1:13">
      <c r="A1059" s="13">
        <f ca="1">IFERROR(__xludf.DUMMYFUNCTION("""COMPUTED_VALUE"""),22)</f>
        <v>22</v>
      </c>
      <c r="B1059" s="13"/>
      <c r="C1059" s="13" t="str">
        <f ca="1">IFERROR(__xludf.DUMMYFUNCTION("""COMPUTED_VALUE"""),"节约")</f>
        <v>节约</v>
      </c>
      <c r="D1059" s="13" t="str">
        <f ca="1">IFERROR(__xludf.DUMMYFUNCTION("""COMPUTED_VALUE"""),"&lt;ruby&gt;节约&lt;rt&gt;jiéyuē&lt;/rt&gt;&lt;/ruby&gt;")</f>
        <v>&lt;ruby&gt;节约&lt;rt&gt;jiéyuē&lt;/rt&gt;&lt;/ruby&gt;</v>
      </c>
      <c r="E1059" s="13" t="str">
        <f ca="1">IFERROR(__xludf.DUMMYFUNCTION("""COMPUTED_VALUE"""),"jiéyuē")</f>
        <v>jiéyuē</v>
      </c>
      <c r="F1059" s="13" t="str">
        <f ca="1">IFERROR(__xludf.DUMMYFUNCTION("""COMPUTED_VALUE"""),"Động từ")</f>
        <v>Động từ</v>
      </c>
      <c r="G1059" s="13" t="str">
        <f ca="1">IFERROR(__xludf.DUMMYFUNCTION("""COMPUTED_VALUE"""),"tiết kiệm")</f>
        <v>tiết kiệm</v>
      </c>
      <c r="H1059" s="13" t="str">
        <f ca="1">IFERROR(__xludf.DUMMYFUNCTION("""COMPUTED_VALUE"""),"她节约每一分钱，为了能够出国留学。")</f>
        <v>她节约每一分钱，为了能够出国留学。</v>
      </c>
      <c r="I1059" s="13"/>
      <c r="J1059" s="13" t="str">
        <f ca="1">IFERROR(__xludf.DUMMYFUNCTION("""COMPUTED_VALUE"""),"Cô ấy tiết kiệm từng đồng một để có thể đi du học.")</f>
        <v>Cô ấy tiết kiệm từng đồng một để có thể đi du học.</v>
      </c>
      <c r="K1059" s="13" t="str">
        <f ca="1">IFERROR(__xludf.DUMMYFUNCTION("""COMPUTED_VALUE"""),"H4_B12_BG-22.png")</f>
        <v>H4_B12_BG-22.png</v>
      </c>
      <c r="L1059" s="13" t="str">
        <f ca="1">IFERROR(__xludf.DUMMYFUNCTION("""COMPUTED_VALUE"""),"B12_22.mp3")</f>
        <v>B12_22.mp3</v>
      </c>
      <c r="M1059" s="13" t="str">
        <f ca="1">IFERROR(__xludf.DUMMYFUNCTION("""COMPUTED_VALUE"""),"B12_VD_22.mp3")</f>
        <v>B12_VD_22.mp3</v>
      </c>
    </row>
    <row r="1060" spans="1:13">
      <c r="A1060" s="13">
        <f ca="1">IFERROR(__xludf.DUMMYFUNCTION("""COMPUTED_VALUE"""),23)</f>
        <v>23</v>
      </c>
      <c r="B1060" s="13"/>
      <c r="C1060" s="13" t="str">
        <f ca="1">IFERROR(__xludf.DUMMYFUNCTION("""COMPUTED_VALUE"""),"节")</f>
        <v>节</v>
      </c>
      <c r="D1060" s="13" t="str">
        <f ca="1">IFERROR(__xludf.DUMMYFUNCTION("""COMPUTED_VALUE"""),"&lt;ruby&gt;节&lt;rt&gt;jié&lt;/rt&gt;&lt;/ruby&gt;")</f>
        <v>&lt;ruby&gt;节&lt;rt&gt;jié&lt;/rt&gt;&lt;/ruby&gt;</v>
      </c>
      <c r="E1060" s="13" t="str">
        <f ca="1">IFERROR(__xludf.DUMMYFUNCTION("""COMPUTED_VALUE"""),"jié")</f>
        <v>jié</v>
      </c>
      <c r="F1060" s="13" t="str">
        <f ca="1">IFERROR(__xludf.DUMMYFUNCTION("""COMPUTED_VALUE"""),"Lượng từ")</f>
        <v>Lượng từ</v>
      </c>
      <c r="G1060" s="13" t="str">
        <f ca="1">IFERROR(__xludf.DUMMYFUNCTION("""COMPUTED_VALUE"""),"tiết (học)")</f>
        <v>tiết (học)</v>
      </c>
      <c r="H1060" s="13" t="str">
        <f ca="1">IFERROR(__xludf.DUMMYFUNCTION("""COMPUTED_VALUE"""),"一节课四十五分钟。")</f>
        <v>一节课四十五分钟。</v>
      </c>
      <c r="I1060" s="13"/>
      <c r="J1060" s="13" t="str">
        <f ca="1">IFERROR(__xludf.DUMMYFUNCTION("""COMPUTED_VALUE"""),"Một tiết học 45 phút.")</f>
        <v>Một tiết học 45 phút.</v>
      </c>
      <c r="K1060" s="13" t="str">
        <f ca="1">IFERROR(__xludf.DUMMYFUNCTION("""COMPUTED_VALUE"""),"H4_B12_BG-23.png")</f>
        <v>H4_B12_BG-23.png</v>
      </c>
      <c r="L1060" s="13" t="str">
        <f ca="1">IFERROR(__xludf.DUMMYFUNCTION("""COMPUTED_VALUE"""),"B12_23.mp3")</f>
        <v>B12_23.mp3</v>
      </c>
      <c r="M1060" s="13" t="str">
        <f ca="1">IFERROR(__xludf.DUMMYFUNCTION("""COMPUTED_VALUE"""),"B12_VD_23.mp3")</f>
        <v>B12_VD_23.mp3</v>
      </c>
    </row>
    <row r="1061" spans="1:13">
      <c r="A1061" s="13">
        <f ca="1">IFERROR(__xludf.DUMMYFUNCTION("""COMPUTED_VALUE"""),24)</f>
        <v>24</v>
      </c>
      <c r="B1061" s="13"/>
      <c r="C1061" s="13" t="str">
        <f ca="1">IFERROR(__xludf.DUMMYFUNCTION("""COMPUTED_VALUE"""),"保护")</f>
        <v>保护</v>
      </c>
      <c r="D1061" s="13" t="str">
        <f ca="1">IFERROR(__xludf.DUMMYFUNCTION("""COMPUTED_VALUE"""),"&lt;ruby&gt;保护&lt;rt&gt;bǎohù&lt;/rt&gt;&lt;/ruby&gt;")</f>
        <v>&lt;ruby&gt;保护&lt;rt&gt;bǎohù&lt;/rt&gt;&lt;/ruby&gt;</v>
      </c>
      <c r="E1061" s="13" t="str">
        <f ca="1">IFERROR(__xludf.DUMMYFUNCTION("""COMPUTED_VALUE"""),"bǎohù")</f>
        <v>bǎohù</v>
      </c>
      <c r="F1061" s="13" t="str">
        <f ca="1">IFERROR(__xludf.DUMMYFUNCTION("""COMPUTED_VALUE"""),"Động từ")</f>
        <v>Động từ</v>
      </c>
      <c r="G1061" s="13" t="str">
        <f ca="1">IFERROR(__xludf.DUMMYFUNCTION("""COMPUTED_VALUE"""),"bảo vệ")</f>
        <v>bảo vệ</v>
      </c>
      <c r="H1061" s="13" t="str">
        <f ca="1">IFERROR(__xludf.DUMMYFUNCTION("""COMPUTED_VALUE"""),"按规定扔垃圾有助于保护环境。")</f>
        <v>按规定扔垃圾有助于保护环境。</v>
      </c>
      <c r="I1061" s="13"/>
      <c r="J1061" s="13" t="str">
        <f ca="1">IFERROR(__xludf.DUMMYFUNCTION("""COMPUTED_VALUE"""),"vứt rác đúng nơi quy định góp phần bảo vệ môi trường")</f>
        <v>vứt rác đúng nơi quy định góp phần bảo vệ môi trường</v>
      </c>
      <c r="K1061" s="13" t="str">
        <f ca="1">IFERROR(__xludf.DUMMYFUNCTION("""COMPUTED_VALUE"""),"H4_B12_BG-24.png")</f>
        <v>H4_B12_BG-24.png</v>
      </c>
      <c r="L1061" s="13" t="str">
        <f ca="1">IFERROR(__xludf.DUMMYFUNCTION("""COMPUTED_VALUE"""),"B12_24.mp3")</f>
        <v>B12_24.mp3</v>
      </c>
      <c r="M1061" s="13" t="str">
        <f ca="1">IFERROR(__xludf.DUMMYFUNCTION("""COMPUTED_VALUE"""),"B12_VD_24.mp3")</f>
        <v>B12_VD_24.mp3</v>
      </c>
    </row>
    <row r="1062" spans="1:13">
      <c r="A1062" s="13">
        <f ca="1">IFERROR(__xludf.DUMMYFUNCTION("""COMPUTED_VALUE"""),25)</f>
        <v>25</v>
      </c>
      <c r="B1062" s="13"/>
      <c r="C1062" s="13" t="str">
        <f ca="1">IFERROR(__xludf.DUMMYFUNCTION("""COMPUTED_VALUE"""),"作用")</f>
        <v>作用</v>
      </c>
      <c r="D1062" s="13" t="str">
        <f ca="1">IFERROR(__xludf.DUMMYFUNCTION("""COMPUTED_VALUE"""),"&lt;ruby&gt;作用&lt;rt&gt;zuòyòng&lt;/rt&gt;&lt;/ruby&gt;")</f>
        <v>&lt;ruby&gt;作用&lt;rt&gt;zuòyòng&lt;/rt&gt;&lt;/ruby&gt;</v>
      </c>
      <c r="E1062" s="13" t="str">
        <f ca="1">IFERROR(__xludf.DUMMYFUNCTION("""COMPUTED_VALUE"""),"zuòyòng")</f>
        <v>zuòyòng</v>
      </c>
      <c r="F1062" s="13" t="str">
        <f ca="1">IFERROR(__xludf.DUMMYFUNCTION("""COMPUTED_VALUE"""),"Danh từ")</f>
        <v>Danh từ</v>
      </c>
      <c r="G1062" s="13" t="str">
        <f ca="1">IFERROR(__xludf.DUMMYFUNCTION("""COMPUTED_VALUE"""),"tác dụng")</f>
        <v>tác dụng</v>
      </c>
      <c r="H1062" s="13" t="str">
        <f ca="1">IFERROR(__xludf.DUMMYFUNCTION("""COMPUTED_VALUE"""),"运动对身体有很好的作用。")</f>
        <v>运动对身体有很好的作用。</v>
      </c>
      <c r="I1062" s="13"/>
      <c r="J1062" s="13" t="str">
        <f ca="1">IFERROR(__xludf.DUMMYFUNCTION("""COMPUTED_VALUE"""),"Vận động có nhiều lợi ích cho cơ thể.")</f>
        <v>Vận động có nhiều lợi ích cho cơ thể.</v>
      </c>
      <c r="K1062" s="13" t="str">
        <f ca="1">IFERROR(__xludf.DUMMYFUNCTION("""COMPUTED_VALUE"""),"H4_B12_BG-25.png")</f>
        <v>H4_B12_BG-25.png</v>
      </c>
      <c r="L1062" s="13" t="str">
        <f ca="1">IFERROR(__xludf.DUMMYFUNCTION("""COMPUTED_VALUE"""),"B12_25.mp3")</f>
        <v>B12_25.mp3</v>
      </c>
      <c r="M1062" s="13" t="str">
        <f ca="1">IFERROR(__xludf.DUMMYFUNCTION("""COMPUTED_VALUE"""),"B12_VD_25.mp3")</f>
        <v>B12_VD_25.mp3</v>
      </c>
    </row>
    <row r="1063" spans="1:13">
      <c r="A1063" s="13">
        <f ca="1">IFERROR(__xludf.DUMMYFUNCTION("""COMPUTED_VALUE"""),26)</f>
        <v>26</v>
      </c>
      <c r="B1063" s="13"/>
      <c r="C1063" s="13" t="str">
        <f ca="1">IFERROR(__xludf.DUMMYFUNCTION("""COMPUTED_VALUE"""),"无法")</f>
        <v>无法</v>
      </c>
      <c r="D1063" s="13" t="str">
        <f ca="1">IFERROR(__xludf.DUMMYFUNCTION("""COMPUTED_VALUE"""),"&lt;ruby&gt;无法&lt;rt&gt;wúfǎ&lt;/rt&gt;&lt;/ruby&gt;")</f>
        <v>&lt;ruby&gt;无法&lt;rt&gt;wúfǎ&lt;/rt&gt;&lt;/ruby&gt;</v>
      </c>
      <c r="E1063" s="13" t="str">
        <f ca="1">IFERROR(__xludf.DUMMYFUNCTION("""COMPUTED_VALUE"""),"wúfǎ")</f>
        <v>wúfǎ</v>
      </c>
      <c r="F1063" s="13" t="str">
        <f ca="1">IFERROR(__xludf.DUMMYFUNCTION("""COMPUTED_VALUE"""),"Động từ")</f>
        <v>Động từ</v>
      </c>
      <c r="G1063" s="13" t="str">
        <f ca="1">IFERROR(__xludf.DUMMYFUNCTION("""COMPUTED_VALUE"""),"không thể, không có cách gì")</f>
        <v>không thể, không có cách gì</v>
      </c>
      <c r="H1063" s="13" t="str">
        <f ca="1">IFERROR(__xludf.DUMMYFUNCTION("""COMPUTED_VALUE""")," 我现在无法清醒。")</f>
        <v xml:space="preserve"> 我现在无法清醒。</v>
      </c>
      <c r="I1063" s="13"/>
      <c r="J1063" s="13" t="str">
        <f ca="1">IFERROR(__xludf.DUMMYFUNCTION("""COMPUTED_VALUE"""),"Tôi không thể tỉnh táo vào lúc này")</f>
        <v>Tôi không thể tỉnh táo vào lúc này</v>
      </c>
      <c r="K1063" s="13" t="str">
        <f ca="1">IFERROR(__xludf.DUMMYFUNCTION("""COMPUTED_VALUE"""),"H4_B12_BG-26.png")</f>
        <v>H4_B12_BG-26.png</v>
      </c>
      <c r="L1063" s="13" t="str">
        <f ca="1">IFERROR(__xludf.DUMMYFUNCTION("""COMPUTED_VALUE"""),"B12_26.mp3")</f>
        <v>B12_26.mp3</v>
      </c>
      <c r="M1063" s="13" t="str">
        <f ca="1">IFERROR(__xludf.DUMMYFUNCTION("""COMPUTED_VALUE"""),"B12_VD_26.mp3")</f>
        <v>B12_VD_26.mp3</v>
      </c>
    </row>
    <row r="1064" spans="1:13">
      <c r="A1064" s="13">
        <f ca="1">IFERROR(__xludf.DUMMYFUNCTION("""COMPUTED_VALUE"""),27)</f>
        <v>27</v>
      </c>
      <c r="B1064" s="13"/>
      <c r="C1064" s="13" t="str">
        <f ca="1">IFERROR(__xludf.DUMMYFUNCTION("""COMPUTED_VALUE"""),"使用")</f>
        <v>使用</v>
      </c>
      <c r="D1064" s="13" t="str">
        <f ca="1">IFERROR(__xludf.DUMMYFUNCTION("""COMPUTED_VALUE"""),"&lt;ruby&gt;使用&lt;rt&gt;shǐyòng&lt;/rt&gt;&lt;/ruby&gt;")</f>
        <v>&lt;ruby&gt;使用&lt;rt&gt;shǐyòng&lt;/rt&gt;&lt;/ruby&gt;</v>
      </c>
      <c r="E1064" s="13" t="str">
        <f ca="1">IFERROR(__xludf.DUMMYFUNCTION("""COMPUTED_VALUE"""),"shǐyòng")</f>
        <v>shǐyòng</v>
      </c>
      <c r="F1064" s="13" t="str">
        <f ca="1">IFERROR(__xludf.DUMMYFUNCTION("""COMPUTED_VALUE"""),"Động từ")</f>
        <v>Động từ</v>
      </c>
      <c r="G1064" s="13" t="str">
        <f ca="1">IFERROR(__xludf.DUMMYFUNCTION("""COMPUTED_VALUE"""),"sử dụng")</f>
        <v>sử dụng</v>
      </c>
      <c r="H1064" s="13" t="str">
        <f ca="1">IFERROR(__xludf.DUMMYFUNCTION("""COMPUTED_VALUE"""),"我使用望远镜看星星。")</f>
        <v>我使用望远镜看星星。</v>
      </c>
      <c r="I1064" s="13"/>
      <c r="J1064" s="13" t="str">
        <f ca="1">IFERROR(__xludf.DUMMYFUNCTION("""COMPUTED_VALUE"""),"Tôi sử dụng kính viễn vọng để ngắm sao.")</f>
        <v>Tôi sử dụng kính viễn vọng để ngắm sao.</v>
      </c>
      <c r="K1064" s="13" t="str">
        <f ca="1">IFERROR(__xludf.DUMMYFUNCTION("""COMPUTED_VALUE"""),"H4_B12_BG-27.png")</f>
        <v>H4_B12_BG-27.png</v>
      </c>
      <c r="L1064" s="13" t="str">
        <f ca="1">IFERROR(__xludf.DUMMYFUNCTION("""COMPUTED_VALUE"""),"B12_27.mp3")</f>
        <v>B12_27.mp3</v>
      </c>
      <c r="M1064" s="13" t="str">
        <f ca="1">IFERROR(__xludf.DUMMYFUNCTION("""COMPUTED_VALUE"""),"B12_VD_27.mp3")</f>
        <v>B12_VD_27.mp3</v>
      </c>
    </row>
    <row r="1065" spans="1:13">
      <c r="A1065" s="13">
        <f ca="1">IFERROR(__xludf.DUMMYFUNCTION("""COMPUTED_VALUE"""),28)</f>
        <v>28</v>
      </c>
      <c r="B1065" s="13"/>
      <c r="C1065" s="13" t="str">
        <f ca="1">IFERROR(__xludf.DUMMYFUNCTION("""COMPUTED_VALUE"""),"友好")</f>
        <v>友好</v>
      </c>
      <c r="D1065" s="13" t="str">
        <f ca="1">IFERROR(__xludf.DUMMYFUNCTION("""COMPUTED_VALUE"""),"&lt;ruby&gt;友好&lt;rt&gt;yǒuhǎo&lt;/rt&gt;&lt;/ruby&gt;")</f>
        <v>&lt;ruby&gt;友好&lt;rt&gt;yǒuhǎo&lt;/rt&gt;&lt;/ruby&gt;</v>
      </c>
      <c r="E1065" s="13" t="str">
        <f ca="1">IFERROR(__xludf.DUMMYFUNCTION("""COMPUTED_VALUE"""),"yǒuhǎo")</f>
        <v>yǒuhǎo</v>
      </c>
      <c r="F1065" s="13" t="str">
        <f ca="1">IFERROR(__xludf.DUMMYFUNCTION("""COMPUTED_VALUE"""),"Tính từ")</f>
        <v>Tính từ</v>
      </c>
      <c r="G1065" s="13" t="str">
        <f ca="1">IFERROR(__xludf.DUMMYFUNCTION("""COMPUTED_VALUE"""),"thân thiện")</f>
        <v>thân thiện</v>
      </c>
      <c r="H1065" s="13" t="str">
        <f ca="1">IFERROR(__xludf.DUMMYFUNCTION("""COMPUTED_VALUE""")," 纸袋是一种环保友好的产品。")</f>
        <v xml:space="preserve"> 纸袋是一种环保友好的产品。</v>
      </c>
      <c r="I1065" s="13"/>
      <c r="J1065" s="13" t="str">
        <f ca="1">IFERROR(__xludf.DUMMYFUNCTION("""COMPUTED_VALUE"""),"túi giấy là một sản phẩm thân thiện với môi trường")</f>
        <v>túi giấy là một sản phẩm thân thiện với môi trường</v>
      </c>
      <c r="K1065" s="13" t="str">
        <f ca="1">IFERROR(__xludf.DUMMYFUNCTION("""COMPUTED_VALUE"""),"H4_B12_BG-28.png")</f>
        <v>H4_B12_BG-28.png</v>
      </c>
      <c r="L1065" s="13" t="str">
        <f ca="1">IFERROR(__xludf.DUMMYFUNCTION("""COMPUTED_VALUE"""),"B12_28.mp3")</f>
        <v>B12_28.mp3</v>
      </c>
      <c r="M1065" s="13" t="str">
        <f ca="1">IFERROR(__xludf.DUMMYFUNCTION("""COMPUTED_VALUE"""),"B12_VD_28.mp3")</f>
        <v>B12_VD_28.mp3</v>
      </c>
    </row>
    <row r="1066" spans="1:13">
      <c r="A1066" s="13">
        <f ca="1">IFERROR(__xludf.DUMMYFUNCTION("""COMPUTED_VALUE"""),29)</f>
        <v>29</v>
      </c>
      <c r="B1066" s="13"/>
      <c r="C1066" s="13" t="str">
        <f ca="1">IFERROR(__xludf.DUMMYFUNCTION("""COMPUTED_VALUE"""),"事半功倍")</f>
        <v>事半功倍</v>
      </c>
      <c r="D1066" s="13" t="str">
        <f ca="1">IFERROR(__xludf.DUMMYFUNCTION("""COMPUTED_VALUE"""),"&lt;ruby&gt;事半功倍&lt;rt&gt;shì bàn gōng bèi&lt;/rt&gt;&lt;/ruby&gt;")</f>
        <v>&lt;ruby&gt;事半功倍&lt;rt&gt;shì bàn gōng bèi&lt;/rt&gt;&lt;/ruby&gt;</v>
      </c>
      <c r="E1066" s="13" t="str">
        <f ca="1">IFERROR(__xludf.DUMMYFUNCTION("""COMPUTED_VALUE"""),"shì bàn gōng bèi")</f>
        <v>shì bàn gōng bèi</v>
      </c>
      <c r="F1066" s="13"/>
      <c r="G1066" s="13" t="str">
        <f ca="1">IFERROR(__xludf.DUMMYFUNCTION("""COMPUTED_VALUE"""),"làm chơi ăn thật")</f>
        <v>làm chơi ăn thật</v>
      </c>
      <c r="H1066" s="13" t="str">
        <f ca="1">IFERROR(__xludf.DUMMYFUNCTION("""COMPUTED_VALUE"""),"正确的方法会让你事半功倍。")</f>
        <v>正确的方法会让你事半功倍。</v>
      </c>
      <c r="I1066" s="13"/>
      <c r="J1066" s="13" t="str">
        <f ca="1">IFERROR(__xludf.DUMMYFUNCTION("""COMPUTED_VALUE"""),"Phương pháp đúng đắn sẽ đạt được hiệu quả cao.")</f>
        <v>Phương pháp đúng đắn sẽ đạt được hiệu quả cao.</v>
      </c>
      <c r="K1066" s="13" t="str">
        <f ca="1">IFERROR(__xludf.DUMMYFUNCTION("""COMPUTED_VALUE"""),"H4_B12_BG-29.png")</f>
        <v>H4_B12_BG-29.png</v>
      </c>
      <c r="L1066" s="13" t="str">
        <f ca="1">IFERROR(__xludf.DUMMYFUNCTION("""COMPUTED_VALUE"""),"B12_29.mp3")</f>
        <v>B12_29.mp3</v>
      </c>
      <c r="M1066" s="13" t="str">
        <f ca="1">IFERROR(__xludf.DUMMYFUNCTION("""COMPUTED_VALUE"""),"B12_VD_29.mp3")</f>
        <v>B12_VD_29.mp3</v>
      </c>
    </row>
    <row r="1067" spans="1:13">
      <c r="A1067" s="13">
        <f ca="1">IFERROR(__xludf.DUMMYFUNCTION("""COMPUTED_VALUE"""),30)</f>
        <v>30</v>
      </c>
      <c r="B1067" s="13"/>
      <c r="C1067" s="13" t="str">
        <f ca="1">IFERROR(__xludf.DUMMYFUNCTION("""COMPUTED_VALUE"""),"力气")</f>
        <v>力气</v>
      </c>
      <c r="D1067" s="13" t="str">
        <f ca="1">IFERROR(__xludf.DUMMYFUNCTION("""COMPUTED_VALUE"""),"&lt;ruby&gt;力气&lt;rt&gt;lìqì&lt;/rt&gt;&lt;/ruby&gt;")</f>
        <v>&lt;ruby&gt;力气&lt;rt&gt;lìqì&lt;/rt&gt;&lt;/ruby&gt;</v>
      </c>
      <c r="E1067" s="13" t="str">
        <f ca="1">IFERROR(__xludf.DUMMYFUNCTION("""COMPUTED_VALUE"""),"lìqì")</f>
        <v>lìqì</v>
      </c>
      <c r="F1067" s="13" t="str">
        <f ca="1">IFERROR(__xludf.DUMMYFUNCTION("""COMPUTED_VALUE"""),"Danh từ")</f>
        <v>Danh từ</v>
      </c>
      <c r="G1067" s="13" t="str">
        <f ca="1">IFERROR(__xludf.DUMMYFUNCTION("""COMPUTED_VALUE"""),"sức lực, hơi sức")</f>
        <v>sức lực, hơi sức</v>
      </c>
      <c r="H1067" s="13" t="str">
        <f ca="1">IFERROR(__xludf.DUMMYFUNCTION("""COMPUTED_VALUE"""),"我已经没有力气了。")</f>
        <v>我已经没有力气了。</v>
      </c>
      <c r="I1067" s="13"/>
      <c r="J1067" s="13" t="str">
        <f ca="1">IFERROR(__xludf.DUMMYFUNCTION("""COMPUTED_VALUE"""),"Tôi không còn sức lực rồi. ")</f>
        <v xml:space="preserve">Tôi không còn sức lực rồi. </v>
      </c>
      <c r="K1067" s="13" t="str">
        <f ca="1">IFERROR(__xludf.DUMMYFUNCTION("""COMPUTED_VALUE"""),"H4_B12_BG-30.png")</f>
        <v>H4_B12_BG-30.png</v>
      </c>
      <c r="L1067" s="13" t="str">
        <f ca="1">IFERROR(__xludf.DUMMYFUNCTION("""COMPUTED_VALUE"""),"B12_30.mp3")</f>
        <v>B12_30.mp3</v>
      </c>
      <c r="M1067" s="13" t="str">
        <f ca="1">IFERROR(__xludf.DUMMYFUNCTION("""COMPUTED_VALUE"""),"B12_VD_30.mp3")</f>
        <v>B12_VD_30.mp3</v>
      </c>
    </row>
    <row r="1068" spans="1:13">
      <c r="A1068" s="13">
        <f ca="1">IFERROR(__xludf.DUMMYFUNCTION("""COMPUTED_VALUE"""),31)</f>
        <v>31</v>
      </c>
      <c r="B1068" s="13"/>
      <c r="C1068" s="13" t="str">
        <f ca="1">IFERROR(__xludf.DUMMYFUNCTION("""COMPUTED_VALUE"""),"相反")</f>
        <v>相反</v>
      </c>
      <c r="D1068" s="13" t="str">
        <f ca="1">IFERROR(__xludf.DUMMYFUNCTION("""COMPUTED_VALUE"""),"&lt;ruby&gt;相反&lt;rt&gt;xiāngfǎn&lt;/rt&gt;&lt;/ruby&gt;")</f>
        <v>&lt;ruby&gt;相反&lt;rt&gt;xiāngfǎn&lt;/rt&gt;&lt;/ruby&gt;</v>
      </c>
      <c r="E1068" s="13" t="str">
        <f ca="1">IFERROR(__xludf.DUMMYFUNCTION("""COMPUTED_VALUE"""),"xiāngfǎn")</f>
        <v>xiāngfǎn</v>
      </c>
      <c r="F1068" s="13" t="str">
        <f ca="1">IFERROR(__xludf.DUMMYFUNCTION("""COMPUTED_VALUE"""),"Liên từ")</f>
        <v>Liên từ</v>
      </c>
      <c r="G1068" s="13" t="str">
        <f ca="1">IFERROR(__xludf.DUMMYFUNCTION("""COMPUTED_VALUE"""),"trái lại, ngược lại")</f>
        <v>trái lại, ngược lại</v>
      </c>
      <c r="H1068" s="13" t="str">
        <f ca="1">IFERROR(__xludf.DUMMYFUNCTION("""COMPUTED_VALUE""")," 南北方的天气完全相反。")</f>
        <v xml:space="preserve"> 南北方的天气完全相反。</v>
      </c>
      <c r="I1068" s="13"/>
      <c r="J1068" s="13" t="str">
        <f ca="1">IFERROR(__xludf.DUMMYFUNCTION("""COMPUTED_VALUE"""),"Thời tiết 2 miền Nam - Bắc trái ngược với nhau.")</f>
        <v>Thời tiết 2 miền Nam - Bắc trái ngược với nhau.</v>
      </c>
      <c r="K1068" s="13" t="str">
        <f ca="1">IFERROR(__xludf.DUMMYFUNCTION("""COMPUTED_VALUE"""),"H4_B12_BG-31.png")</f>
        <v>H4_B12_BG-31.png</v>
      </c>
      <c r="L1068" s="13" t="str">
        <f ca="1">IFERROR(__xludf.DUMMYFUNCTION("""COMPUTED_VALUE"""),"B12_31.mp3")</f>
        <v>B12_31.mp3</v>
      </c>
      <c r="M1068" s="13" t="str">
        <f ca="1">IFERROR(__xludf.DUMMYFUNCTION("""COMPUTED_VALUE"""),"B12_VD_31.mp3")</f>
        <v>B12_VD_31.mp3</v>
      </c>
    </row>
    <row r="1069" spans="1:13">
      <c r="A1069" s="13">
        <f ca="1">IFERROR(__xludf.DUMMYFUNCTION("""COMPUTED_VALUE"""),32)</f>
        <v>32</v>
      </c>
      <c r="B1069" s="13"/>
      <c r="C1069" s="13" t="str">
        <f ca="1">IFERROR(__xludf.DUMMYFUNCTION("""COMPUTED_VALUE"""),"任务")</f>
        <v>任务</v>
      </c>
      <c r="D1069" s="13" t="str">
        <f ca="1">IFERROR(__xludf.DUMMYFUNCTION("""COMPUTED_VALUE"""),"&lt;ruby&gt;任务&lt;rt&gt;rènwù&lt;/rt&gt;&lt;/ruby&gt;")</f>
        <v>&lt;ruby&gt;任务&lt;rt&gt;rènwù&lt;/rt&gt;&lt;/ruby&gt;</v>
      </c>
      <c r="E1069" s="13" t="str">
        <f ca="1">IFERROR(__xludf.DUMMYFUNCTION("""COMPUTED_VALUE"""),"rènwù")</f>
        <v>rènwù</v>
      </c>
      <c r="F1069" s="13" t="str">
        <f ca="1">IFERROR(__xludf.DUMMYFUNCTION("""COMPUTED_VALUE"""),"Danh từ")</f>
        <v>Danh từ</v>
      </c>
      <c r="G1069" s="13" t="str">
        <f ca="1">IFERROR(__xludf.DUMMYFUNCTION("""COMPUTED_VALUE"""),"nhiệm vụ")</f>
        <v>nhiệm vụ</v>
      </c>
      <c r="H1069" s="13" t="str">
        <f ca="1">IFERROR(__xludf.DUMMYFUNCTION("""COMPUTED_VALUE"""),"妈妈交给我的任务是晾衣服。")</f>
        <v>妈妈交给我的任务是晾衣服。</v>
      </c>
      <c r="I1069" s="13"/>
      <c r="J1069" s="13" t="str">
        <f ca="1">IFERROR(__xludf.DUMMYFUNCTION("""COMPUTED_VALUE"""),"mẹ đã giao nhiệm vụ cho tôi là phơi quần áo")</f>
        <v>mẹ đã giao nhiệm vụ cho tôi là phơi quần áo</v>
      </c>
      <c r="K1069" s="13" t="str">
        <f ca="1">IFERROR(__xludf.DUMMYFUNCTION("""COMPUTED_VALUE"""),"H4_B12_BG-32.png")</f>
        <v>H4_B12_BG-32.png</v>
      </c>
      <c r="L1069" s="13" t="str">
        <f ca="1">IFERROR(__xludf.DUMMYFUNCTION("""COMPUTED_VALUE"""),"B12_32.mp3")</f>
        <v>B12_32.mp3</v>
      </c>
      <c r="M1069" s="13" t="str">
        <f ca="1">IFERROR(__xludf.DUMMYFUNCTION("""COMPUTED_VALUE"""),"B12_VD_32.mp3")</f>
        <v>B12_VD_32.mp3</v>
      </c>
    </row>
    <row r="1070" spans="1:13">
      <c r="A1070" s="13">
        <f ca="1">IFERROR(__xludf.DUMMYFUNCTION("""COMPUTED_VALUE"""),33)</f>
        <v>33</v>
      </c>
      <c r="B1070" s="13"/>
      <c r="C1070" s="13" t="str">
        <f ca="1">IFERROR(__xludf.DUMMYFUNCTION("""COMPUTED_VALUE"""),"达到")</f>
        <v>达到</v>
      </c>
      <c r="D1070" s="13" t="str">
        <f ca="1">IFERROR(__xludf.DUMMYFUNCTION("""COMPUTED_VALUE"""),"&lt;ruby&gt;达到&lt;rt&gt;dádào&lt;/rt&gt;&lt;/ruby&gt;")</f>
        <v>&lt;ruby&gt;达到&lt;rt&gt;dádào&lt;/rt&gt;&lt;/ruby&gt;</v>
      </c>
      <c r="E1070" s="13" t="str">
        <f ca="1">IFERROR(__xludf.DUMMYFUNCTION("""COMPUTED_VALUE"""),"dádào")</f>
        <v>dádào</v>
      </c>
      <c r="F1070" s="13" t="str">
        <f ca="1">IFERROR(__xludf.DUMMYFUNCTION("""COMPUTED_VALUE"""),"Động từ")</f>
        <v>Động từ</v>
      </c>
      <c r="G1070" s="13" t="str">
        <f ca="1">IFERROR(__xludf.DUMMYFUNCTION("""COMPUTED_VALUE"""),"đạt được")</f>
        <v>đạt được</v>
      </c>
      <c r="H1070" s="13" t="str">
        <f ca="1">IFERROR(__xludf.DUMMYFUNCTION("""COMPUTED_VALUE"""),"我会努力达到自己的梦想。")</f>
        <v>我会努力达到自己的梦想。</v>
      </c>
      <c r="I1070" s="13"/>
      <c r="J1070" s="13" t="str">
        <f ca="1">IFERROR(__xludf.DUMMYFUNCTION("""COMPUTED_VALUE"""),"tôi sẽ cố gắng để đạt được ước mơ của mình")</f>
        <v>tôi sẽ cố gắng để đạt được ước mơ của mình</v>
      </c>
      <c r="K1070" s="13" t="str">
        <f ca="1">IFERROR(__xludf.DUMMYFUNCTION("""COMPUTED_VALUE"""),"H4_B12_BG-33.png")</f>
        <v>H4_B12_BG-33.png</v>
      </c>
      <c r="L1070" s="13" t="str">
        <f ca="1">IFERROR(__xludf.DUMMYFUNCTION("""COMPUTED_VALUE"""),"B12_33.mp3")</f>
        <v>B12_33.mp3</v>
      </c>
      <c r="M1070" s="13" t="str">
        <f ca="1">IFERROR(__xludf.DUMMYFUNCTION("""COMPUTED_VALUE"""),"B12_VD_33.mp3")</f>
        <v>B12_VD_33.mp3</v>
      </c>
    </row>
    <row r="1071" spans="1:13">
      <c r="A1071" s="13">
        <f ca="1">IFERROR(__xludf.DUMMYFUNCTION("""COMPUTED_VALUE"""),1)</f>
        <v>1</v>
      </c>
      <c r="B1071" s="13"/>
      <c r="C1071" s="13" t="str">
        <f ca="1">IFERROR(__xludf.DUMMYFUNCTION("""COMPUTED_VALUE"""),"京剧")</f>
        <v>京剧</v>
      </c>
      <c r="D1071" s="13" t="str">
        <f ca="1">IFERROR(__xludf.DUMMYFUNCTION("""COMPUTED_VALUE"""),"&lt;ruby&gt;京剧&lt;rt&gt;jīngjù&lt;/rt&gt;&lt;/ruby&gt;")</f>
        <v>&lt;ruby&gt;京剧&lt;rt&gt;jīngjù&lt;/rt&gt;&lt;/ruby&gt;</v>
      </c>
      <c r="E1071" s="13" t="str">
        <f ca="1">IFERROR(__xludf.DUMMYFUNCTION("""COMPUTED_VALUE"""),"jīngjù")</f>
        <v>jīngjù</v>
      </c>
      <c r="F1071" s="13" t="str">
        <f ca="1">IFERROR(__xludf.DUMMYFUNCTION("""COMPUTED_VALUE"""),"Danh từ")</f>
        <v>Danh từ</v>
      </c>
      <c r="G1071" s="13" t="str">
        <f ca="1">IFERROR(__xludf.DUMMYFUNCTION("""COMPUTED_VALUE"""),"Kinh kịch")</f>
        <v>Kinh kịch</v>
      </c>
      <c r="H1071" s="13" t="str">
        <f ca="1">IFERROR(__xludf.DUMMYFUNCTION("""COMPUTED_VALUE"""),"我对京剧很感兴趣。")</f>
        <v>我对京剧很感兴趣。</v>
      </c>
      <c r="I1071" s="13"/>
      <c r="J1071" s="13" t="str">
        <f ca="1">IFERROR(__xludf.DUMMYFUNCTION("""COMPUTED_VALUE"""),"Tôi rất có hứng thú với Kinh kịch.")</f>
        <v>Tôi rất có hứng thú với Kinh kịch.</v>
      </c>
      <c r="K1071" s="13" t="str">
        <f ca="1">IFERROR(__xludf.DUMMYFUNCTION("""COMPUTED_VALUE"""),"H4_B13_BG-01.png")</f>
        <v>H4_B13_BG-01.png</v>
      </c>
      <c r="L1071" s="13" t="str">
        <f ca="1">IFERROR(__xludf.DUMMYFUNCTION("""COMPUTED_VALUE"""),"B13_1.mp3")</f>
        <v>B13_1.mp3</v>
      </c>
      <c r="M1071" s="13" t="str">
        <f ca="1">IFERROR(__xludf.DUMMYFUNCTION("""COMPUTED_VALUE"""),"B13_VD_1.mp3")</f>
        <v>B13_VD_1.mp3</v>
      </c>
    </row>
    <row r="1072" spans="1:13">
      <c r="A1072" s="13">
        <f ca="1">IFERROR(__xludf.DUMMYFUNCTION("""COMPUTED_VALUE"""),2)</f>
        <v>2</v>
      </c>
      <c r="B1072" s="13"/>
      <c r="C1072" s="13" t="str">
        <f ca="1">IFERROR(__xludf.DUMMYFUNCTION("""COMPUTED_VALUE"""),"演员")</f>
        <v>演员</v>
      </c>
      <c r="D1072" s="13" t="str">
        <f ca="1">IFERROR(__xludf.DUMMYFUNCTION("""COMPUTED_VALUE"""),"&lt;ruby&gt;演员&lt;rt&gt;yǎnyuán&lt;/rt&gt;&lt;/ruby&gt;")</f>
        <v>&lt;ruby&gt;演员&lt;rt&gt;yǎnyuán&lt;/rt&gt;&lt;/ruby&gt;</v>
      </c>
      <c r="E1072" s="13" t="str">
        <f ca="1">IFERROR(__xludf.DUMMYFUNCTION("""COMPUTED_VALUE"""),"yǎnyuán")</f>
        <v>yǎnyuán</v>
      </c>
      <c r="F1072" s="13" t="str">
        <f ca="1">IFERROR(__xludf.DUMMYFUNCTION("""COMPUTED_VALUE"""),"Danh từ")</f>
        <v>Danh từ</v>
      </c>
      <c r="G1072" s="13" t="str">
        <f ca="1">IFERROR(__xludf.DUMMYFUNCTION("""COMPUTED_VALUE"""),"diễn viên")</f>
        <v>diễn viên</v>
      </c>
      <c r="H1072" s="13" t="str">
        <f ca="1">IFERROR(__xludf.DUMMYFUNCTION("""COMPUTED_VALUE"""),"她梦想成为一名演员。
")</f>
        <v xml:space="preserve">她梦想成为一名演员。
</v>
      </c>
      <c r="I1072" s="13"/>
      <c r="J1072" s="13" t="str">
        <f ca="1">IFERROR(__xludf.DUMMYFUNCTION("""COMPUTED_VALUE"""),"Cô ấy mơ ước trở thành một diễn viên.")</f>
        <v>Cô ấy mơ ước trở thành một diễn viên.</v>
      </c>
      <c r="K1072" s="13" t="str">
        <f ca="1">IFERROR(__xludf.DUMMYFUNCTION("""COMPUTED_VALUE"""),"H4_B13_BG-02.png")</f>
        <v>H4_B13_BG-02.png</v>
      </c>
      <c r="L1072" s="13" t="str">
        <f ca="1">IFERROR(__xludf.DUMMYFUNCTION("""COMPUTED_VALUE"""),"B13_2.mp3")</f>
        <v>B13_2.mp3</v>
      </c>
      <c r="M1072" s="13" t="str">
        <f ca="1">IFERROR(__xludf.DUMMYFUNCTION("""COMPUTED_VALUE"""),"B13_VD_2.mp3")</f>
        <v>B13_VD_2.mp3</v>
      </c>
    </row>
    <row r="1073" spans="1:13">
      <c r="A1073" s="13">
        <f ca="1">IFERROR(__xludf.DUMMYFUNCTION("""COMPUTED_VALUE"""),3)</f>
        <v>3</v>
      </c>
      <c r="B1073" s="13"/>
      <c r="C1073" s="13" t="str">
        <f ca="1">IFERROR(__xludf.DUMMYFUNCTION("""COMPUTED_VALUE"""),"观众")</f>
        <v>观众</v>
      </c>
      <c r="D1073" s="13" t="str">
        <f ca="1">IFERROR(__xludf.DUMMYFUNCTION("""COMPUTED_VALUE"""),"&lt;ruby&gt;观众&lt;rt&gt;guānzhòng&lt;/rt&gt;&lt;/ruby&gt;")</f>
        <v>&lt;ruby&gt;观众&lt;rt&gt;guānzhòng&lt;/rt&gt;&lt;/ruby&gt;</v>
      </c>
      <c r="E1073" s="13" t="str">
        <f ca="1">IFERROR(__xludf.DUMMYFUNCTION("""COMPUTED_VALUE"""),"guānzhòng")</f>
        <v>guānzhòng</v>
      </c>
      <c r="F1073" s="13" t="str">
        <f ca="1">IFERROR(__xludf.DUMMYFUNCTION("""COMPUTED_VALUE"""),"Danh từ")</f>
        <v>Danh từ</v>
      </c>
      <c r="G1073" s="13" t="str">
        <f ca="1">IFERROR(__xludf.DUMMYFUNCTION("""COMPUTED_VALUE"""),"khán giả")</f>
        <v>khán giả</v>
      </c>
      <c r="H1073" s="13" t="str">
        <f ca="1">IFERROR(__xludf.DUMMYFUNCTION("""COMPUTED_VALUE"""),"观众都很喜欢这个节目。")</f>
        <v>观众都很喜欢这个节目。</v>
      </c>
      <c r="I1073" s="13"/>
      <c r="J1073" s="13" t="str">
        <f ca="1">IFERROR(__xludf.DUMMYFUNCTION("""COMPUTED_VALUE"""),"Khán giả đều rất thích chương trình này.")</f>
        <v>Khán giả đều rất thích chương trình này.</v>
      </c>
      <c r="K1073" s="13" t="str">
        <f ca="1">IFERROR(__xludf.DUMMYFUNCTION("""COMPUTED_VALUE"""),"H4_B13_BG-03.png")</f>
        <v>H4_B13_BG-03.png</v>
      </c>
      <c r="L1073" s="13" t="str">
        <f ca="1">IFERROR(__xludf.DUMMYFUNCTION("""COMPUTED_VALUE"""),"B13_3.mp3")</f>
        <v>B13_3.mp3</v>
      </c>
      <c r="M1073" s="13" t="str">
        <f ca="1">IFERROR(__xludf.DUMMYFUNCTION("""COMPUTED_VALUE"""),"B13_VD_3.mp3")</f>
        <v>B13_VD_3.mp3</v>
      </c>
    </row>
    <row r="1074" spans="1:13">
      <c r="A1074" s="13">
        <f ca="1">IFERROR(__xludf.DUMMYFUNCTION("""COMPUTED_VALUE"""),4)</f>
        <v>4</v>
      </c>
      <c r="B1074" s="13"/>
      <c r="C1074" s="13" t="str">
        <f ca="1">IFERROR(__xludf.DUMMYFUNCTION("""COMPUTED_VALUE"""),"演出")</f>
        <v>演出</v>
      </c>
      <c r="D1074" s="13" t="str">
        <f ca="1">IFERROR(__xludf.DUMMYFUNCTION("""COMPUTED_VALUE"""),"&lt;ruby&gt;演出&lt;rt&gt;yǎnchū&lt;/rt&gt;&lt;/ruby&gt;")</f>
        <v>&lt;ruby&gt;演出&lt;rt&gt;yǎnchū&lt;/rt&gt;&lt;/ruby&gt;</v>
      </c>
      <c r="E1074" s="13" t="str">
        <f ca="1">IFERROR(__xludf.DUMMYFUNCTION("""COMPUTED_VALUE"""),"yǎnchū")</f>
        <v>yǎnchū</v>
      </c>
      <c r="F1074" s="13" t="str">
        <f ca="1">IFERROR(__xludf.DUMMYFUNCTION("""COMPUTED_VALUE"""),"Động từ")</f>
        <v>Động từ</v>
      </c>
      <c r="G1074" s="13" t="str">
        <f ca="1">IFERROR(__xludf.DUMMYFUNCTION("""COMPUTED_VALUE"""),"biểu diễn")</f>
        <v>biểu diễn</v>
      </c>
      <c r="H1074" s="13" t="str">
        <f ca="1">IFERROR(__xludf.DUMMYFUNCTION("""COMPUTED_VALUE"""),"今天晚上我演出打鼓。")</f>
        <v>今天晚上我演出打鼓。</v>
      </c>
      <c r="I1074" s="13"/>
      <c r="J1074" s="13" t="str">
        <f ca="1">IFERROR(__xludf.DUMMYFUNCTION("""COMPUTED_VALUE"""),"Tối nay tôi biểu diễn đánh trống.")</f>
        <v>Tối nay tôi biểu diễn đánh trống.</v>
      </c>
      <c r="K1074" s="13" t="str">
        <f ca="1">IFERROR(__xludf.DUMMYFUNCTION("""COMPUTED_VALUE"""),"H4_B13_BG-04.png")</f>
        <v>H4_B13_BG-04.png</v>
      </c>
      <c r="L1074" s="13" t="str">
        <f ca="1">IFERROR(__xludf.DUMMYFUNCTION("""COMPUTED_VALUE"""),"B13_4.mp3")</f>
        <v>B13_4.mp3</v>
      </c>
      <c r="M1074" s="13" t="str">
        <f ca="1">IFERROR(__xludf.DUMMYFUNCTION("""COMPUTED_VALUE"""),"B13_VD_4.mp3")</f>
        <v>B13_VD_4.mp3</v>
      </c>
    </row>
    <row r="1075" spans="1:13">
      <c r="A1075" s="13">
        <f ca="1">IFERROR(__xludf.DUMMYFUNCTION("""COMPUTED_VALUE"""),5)</f>
        <v>5</v>
      </c>
      <c r="B1075" s="13"/>
      <c r="C1075" s="13" t="str">
        <f ca="1">IFERROR(__xludf.DUMMYFUNCTION("""COMPUTED_VALUE"""),"表演")</f>
        <v>表演</v>
      </c>
      <c r="D1075" s="13" t="str">
        <f ca="1">IFERROR(__xludf.DUMMYFUNCTION("""COMPUTED_VALUE"""),"&lt;ruby&gt;表演&lt;rt&gt;biǎoyǎn&lt;/rt&gt;&lt;/ruby&gt;")</f>
        <v>&lt;ruby&gt;表演&lt;rt&gt;biǎoyǎn&lt;/rt&gt;&lt;/ruby&gt;</v>
      </c>
      <c r="E1075" s="13" t="str">
        <f ca="1">IFERROR(__xludf.DUMMYFUNCTION("""COMPUTED_VALUE"""),"biǎoyǎn")</f>
        <v>biǎoyǎn</v>
      </c>
      <c r="F1075" s="13" t="str">
        <f ca="1">IFERROR(__xludf.DUMMYFUNCTION("""COMPUTED_VALUE"""),"Động từ")</f>
        <v>Động từ</v>
      </c>
      <c r="G1075" s="13" t="str">
        <f ca="1">IFERROR(__xludf.DUMMYFUNCTION("""COMPUTED_VALUE"""),"biểu diễn, trình diễn")</f>
        <v>biểu diễn, trình diễn</v>
      </c>
      <c r="H1075" s="13" t="str">
        <f ca="1">IFERROR(__xludf.DUMMYFUNCTION("""COMPUTED_VALUE"""),"他们正在表演舞狮。")</f>
        <v>他们正在表演舞狮。</v>
      </c>
      <c r="I1075" s="13"/>
      <c r="J1075" s="13" t="str">
        <f ca="1">IFERROR(__xludf.DUMMYFUNCTION("""COMPUTED_VALUE"""),"Bọn họ đang biểu diễn múa lân.")</f>
        <v>Bọn họ đang biểu diễn múa lân.</v>
      </c>
      <c r="K1075" s="13" t="str">
        <f ca="1">IFERROR(__xludf.DUMMYFUNCTION("""COMPUTED_VALUE"""),"H4_B13_BG-05.png")</f>
        <v>H4_B13_BG-05.png</v>
      </c>
      <c r="L1075" s="13" t="str">
        <f ca="1">IFERROR(__xludf.DUMMYFUNCTION("""COMPUTED_VALUE"""),"B13_5.mp3")</f>
        <v>B13_5.mp3</v>
      </c>
      <c r="M1075" s="13" t="str">
        <f ca="1">IFERROR(__xludf.DUMMYFUNCTION("""COMPUTED_VALUE"""),"B13_VD_5.mp3")</f>
        <v>B13_VD_5.mp3</v>
      </c>
    </row>
    <row r="1076" spans="1:13">
      <c r="A1076" s="13">
        <f ca="1">IFERROR(__xludf.DUMMYFUNCTION("""COMPUTED_VALUE"""),6)</f>
        <v>6</v>
      </c>
      <c r="B1076" s="13"/>
      <c r="C1076" s="13" t="str">
        <f ca="1">IFERROR(__xludf.DUMMYFUNCTION("""COMPUTED_VALUE"""),"基础")</f>
        <v>基础</v>
      </c>
      <c r="D1076" s="13" t="str">
        <f ca="1">IFERROR(__xludf.DUMMYFUNCTION("""COMPUTED_VALUE"""),"&lt;ruby&gt;基础&lt;rt&gt;jīchǔ&lt;/rt&gt;&lt;/ruby&gt;")</f>
        <v>&lt;ruby&gt;基础&lt;rt&gt;jīchǔ&lt;/rt&gt;&lt;/ruby&gt;</v>
      </c>
      <c r="E1076" s="13" t="str">
        <f ca="1">IFERROR(__xludf.DUMMYFUNCTION("""COMPUTED_VALUE"""),"jīchǔ")</f>
        <v>jīchǔ</v>
      </c>
      <c r="F1076" s="13" t="str">
        <f ca="1">IFERROR(__xludf.DUMMYFUNCTION("""COMPUTED_VALUE"""),"Danh từ")</f>
        <v>Danh từ</v>
      </c>
      <c r="G1076" s="13" t="str">
        <f ca="1">IFERROR(__xludf.DUMMYFUNCTION("""COMPUTED_VALUE"""),"nền tảng, căn bản")</f>
        <v>nền tảng, căn bản</v>
      </c>
      <c r="H1076" s="13" t="str">
        <f ca="1">IFERROR(__xludf.DUMMYFUNCTION("""COMPUTED_VALUE"""),"我对芭蕾舞没有基础知识。")</f>
        <v>我对芭蕾舞没有基础知识。</v>
      </c>
      <c r="I1076" s="13"/>
      <c r="J1076" s="13" t="str">
        <f ca="1">IFERROR(__xludf.DUMMYFUNCTION("""COMPUTED_VALUE"""),"tôi không có kiến thức căn bản về múa ba lê")</f>
        <v>tôi không có kiến thức căn bản về múa ba lê</v>
      </c>
      <c r="K1076" s="13" t="str">
        <f ca="1">IFERROR(__xludf.DUMMYFUNCTION("""COMPUTED_VALUE"""),"H4_B13_BG-06.png")</f>
        <v>H4_B13_BG-06.png</v>
      </c>
      <c r="L1076" s="13" t="str">
        <f ca="1">IFERROR(__xludf.DUMMYFUNCTION("""COMPUTED_VALUE"""),"B13_6.mp3")</f>
        <v>B13_6.mp3</v>
      </c>
      <c r="M1076" s="13" t="str">
        <f ca="1">IFERROR(__xludf.DUMMYFUNCTION("""COMPUTED_VALUE"""),"B13_VD_6.mp3")</f>
        <v>B13_VD_6.mp3</v>
      </c>
    </row>
    <row r="1077" spans="1:13">
      <c r="A1077" s="13">
        <f ca="1">IFERROR(__xludf.DUMMYFUNCTION("""COMPUTED_VALUE"""),7)</f>
        <v>7</v>
      </c>
      <c r="B1077" s="13"/>
      <c r="C1077" s="13" t="str">
        <f ca="1">IFERROR(__xludf.DUMMYFUNCTION("""COMPUTED_VALUE"""),"有趣")</f>
        <v>有趣</v>
      </c>
      <c r="D1077" s="13" t="str">
        <f ca="1">IFERROR(__xludf.DUMMYFUNCTION("""COMPUTED_VALUE"""),"&lt;ruby&gt;有趣&lt;rt&gt;yǒuqù&lt;/rt&gt;&lt;/ruby&gt;")</f>
        <v>&lt;ruby&gt;有趣&lt;rt&gt;yǒuqù&lt;/rt&gt;&lt;/ruby&gt;</v>
      </c>
      <c r="E1077" s="13" t="str">
        <f ca="1">IFERROR(__xludf.DUMMYFUNCTION("""COMPUTED_VALUE"""),"yǒuqù")</f>
        <v>yǒuqù</v>
      </c>
      <c r="F1077" s="13" t="str">
        <f ca="1">IFERROR(__xludf.DUMMYFUNCTION("""COMPUTED_VALUE"""),"Tính từ")</f>
        <v>Tính từ</v>
      </c>
      <c r="G1077" s="13" t="str">
        <f ca="1">IFERROR(__xludf.DUMMYFUNCTION("""COMPUTED_VALUE"""),"thú vị, lý thú")</f>
        <v>thú vị, lý thú</v>
      </c>
      <c r="H1077" s="13" t="str">
        <f ca="1">IFERROR(__xludf.DUMMYFUNCTION("""COMPUTED_VALUE"""),"我没想到学跳舞会这么有趣。")</f>
        <v>我没想到学跳舞会这么有趣。</v>
      </c>
      <c r="I1077" s="13"/>
      <c r="J1077" s="13" t="str">
        <f ca="1">IFERROR(__xludf.DUMMYFUNCTION("""COMPUTED_VALUE"""),"tôi không ngờ học nhảy lại thú vị đến thế")</f>
        <v>tôi không ngờ học nhảy lại thú vị đến thế</v>
      </c>
      <c r="K1077" s="13" t="str">
        <f ca="1">IFERROR(__xludf.DUMMYFUNCTION("""COMPUTED_VALUE"""),"H4_B13_BG-07.png")</f>
        <v>H4_B13_BG-07.png</v>
      </c>
      <c r="L1077" s="13" t="str">
        <f ca="1">IFERROR(__xludf.DUMMYFUNCTION("""COMPUTED_VALUE"""),"B13_7.mp3")</f>
        <v>B13_7.mp3</v>
      </c>
      <c r="M1077" s="13" t="str">
        <f ca="1">IFERROR(__xludf.DUMMYFUNCTION("""COMPUTED_VALUE"""),"B13_VD_7.mp3")</f>
        <v>B13_VD_7.mp3</v>
      </c>
    </row>
    <row r="1078" spans="1:13">
      <c r="A1078" s="13">
        <f ca="1">IFERROR(__xludf.DUMMYFUNCTION("""COMPUTED_VALUE"""),8)</f>
        <v>8</v>
      </c>
      <c r="B1078" s="13"/>
      <c r="C1078" s="13" t="str">
        <f ca="1">IFERROR(__xludf.DUMMYFUNCTION("""COMPUTED_VALUE"""),"开心")</f>
        <v>开心</v>
      </c>
      <c r="D1078" s="13" t="str">
        <f ca="1">IFERROR(__xludf.DUMMYFUNCTION("""COMPUTED_VALUE"""),"&lt;ruby&gt;开心&lt;rt&gt;kāixīn&lt;/rt&gt;&lt;/ruby&gt;")</f>
        <v>&lt;ruby&gt;开心&lt;rt&gt;kāixīn&lt;/rt&gt;&lt;/ruby&gt;</v>
      </c>
      <c r="E1078" s="13" t="str">
        <f ca="1">IFERROR(__xludf.DUMMYFUNCTION("""COMPUTED_VALUE"""),"kāixīn")</f>
        <v>kāixīn</v>
      </c>
      <c r="F1078" s="13" t="str">
        <f ca="1">IFERROR(__xludf.DUMMYFUNCTION("""COMPUTED_VALUE"""),"Tính từ")</f>
        <v>Tính từ</v>
      </c>
      <c r="G1078" s="13" t="str">
        <f ca="1">IFERROR(__xludf.DUMMYFUNCTION("""COMPUTED_VALUE"""),"vui vẻ")</f>
        <v>vui vẻ</v>
      </c>
      <c r="H1078" s="13" t="str">
        <f ca="1">IFERROR(__xludf.DUMMYFUNCTION("""COMPUTED_VALUE"""),"滑冰让我很开心。")</f>
        <v>滑冰让我很开心。</v>
      </c>
      <c r="I1078" s="13"/>
      <c r="J1078" s="13" t="str">
        <f ca="1">IFERROR(__xludf.DUMMYFUNCTION("""COMPUTED_VALUE"""),"Trượt băng làm tôi vui vẻ.")</f>
        <v>Trượt băng làm tôi vui vẻ.</v>
      </c>
      <c r="K1078" s="13" t="str">
        <f ca="1">IFERROR(__xludf.DUMMYFUNCTION("""COMPUTED_VALUE"""),"H4_B13_BG-08.png")</f>
        <v>H4_B13_BG-08.png</v>
      </c>
      <c r="L1078" s="13" t="str">
        <f ca="1">IFERROR(__xludf.DUMMYFUNCTION("""COMPUTED_VALUE"""),"B13_8.mp3")</f>
        <v>B13_8.mp3</v>
      </c>
      <c r="M1078" s="13" t="str">
        <f ca="1">IFERROR(__xludf.DUMMYFUNCTION("""COMPUTED_VALUE"""),"B13_VD_8.mp3")</f>
        <v>B13_VD_8.mp3</v>
      </c>
    </row>
    <row r="1079" spans="1:13">
      <c r="A1079" s="13">
        <f ca="1">IFERROR(__xludf.DUMMYFUNCTION("""COMPUTED_VALUE"""),9)</f>
        <v>9</v>
      </c>
      <c r="B1079" s="13"/>
      <c r="C1079" s="13" t="str">
        <f ca="1">IFERROR(__xludf.DUMMYFUNCTION("""COMPUTED_VALUE"""),"厚")</f>
        <v>厚</v>
      </c>
      <c r="D1079" s="13" t="str">
        <f ca="1">IFERROR(__xludf.DUMMYFUNCTION("""COMPUTED_VALUE"""),"&lt;ruby&gt;厚&lt;rt&gt;hòu&lt;/rt&gt;&lt;/ruby&gt;")</f>
        <v>&lt;ruby&gt;厚&lt;rt&gt;hòu&lt;/rt&gt;&lt;/ruby&gt;</v>
      </c>
      <c r="E1079" s="13" t="str">
        <f ca="1">IFERROR(__xludf.DUMMYFUNCTION("""COMPUTED_VALUE"""),"hòu")</f>
        <v>hòu</v>
      </c>
      <c r="F1079" s="13" t="str">
        <f ca="1">IFERROR(__xludf.DUMMYFUNCTION("""COMPUTED_VALUE"""),"Tính từ")</f>
        <v>Tính từ</v>
      </c>
      <c r="G1079" s="13" t="str">
        <f ca="1">IFERROR(__xludf.DUMMYFUNCTION("""COMPUTED_VALUE"""),"dày, sâu nặng")</f>
        <v>dày, sâu nặng</v>
      </c>
      <c r="H1079" s="13" t="str">
        <f ca="1">IFERROR(__xludf.DUMMYFUNCTION("""COMPUTED_VALUE"""),"这本书很厚。")</f>
        <v>这本书很厚。</v>
      </c>
      <c r="I1079" s="13"/>
      <c r="J1079" s="13" t="str">
        <f ca="1">IFERROR(__xludf.DUMMYFUNCTION("""COMPUTED_VALUE"""),"Quyển sách này rất dày.")</f>
        <v>Quyển sách này rất dày.</v>
      </c>
      <c r="K1079" s="13" t="str">
        <f ca="1">IFERROR(__xludf.DUMMYFUNCTION("""COMPUTED_VALUE"""),"H4_B13_BG-09.png")</f>
        <v>H4_B13_BG-09.png</v>
      </c>
      <c r="L1079" s="13" t="str">
        <f ca="1">IFERROR(__xludf.DUMMYFUNCTION("""COMPUTED_VALUE"""),"B13_9.mp3")</f>
        <v>B13_9.mp3</v>
      </c>
      <c r="M1079" s="13" t="str">
        <f ca="1">IFERROR(__xludf.DUMMYFUNCTION("""COMPUTED_VALUE"""),"B13_VD_9.mp3")</f>
        <v>B13_VD_9.mp3</v>
      </c>
    </row>
    <row r="1080" spans="1:13">
      <c r="A1080" s="13">
        <f ca="1">IFERROR(__xludf.DUMMYFUNCTION("""COMPUTED_VALUE"""),10)</f>
        <v>10</v>
      </c>
      <c r="B1080" s="13"/>
      <c r="C1080" s="13" t="str">
        <f ca="1">IFERROR(__xludf.DUMMYFUNCTION("""COMPUTED_VALUE"""),"大概")</f>
        <v>大概</v>
      </c>
      <c r="D1080" s="13" t="str">
        <f ca="1">IFERROR(__xludf.DUMMYFUNCTION("""COMPUTED_VALUE"""),"&lt;ruby&gt;大概&lt;rt&gt;dàgài&lt;/rt&gt;&lt;/ruby&gt;")</f>
        <v>&lt;ruby&gt;大概&lt;rt&gt;dàgài&lt;/rt&gt;&lt;/ruby&gt;</v>
      </c>
      <c r="E1080" s="13" t="str">
        <f ca="1">IFERROR(__xludf.DUMMYFUNCTION("""COMPUTED_VALUE"""),"dàgài")</f>
        <v>dàgài</v>
      </c>
      <c r="F1080" s="13" t="str">
        <f ca="1">IFERROR(__xludf.DUMMYFUNCTION("""COMPUTED_VALUE"""),"Phó từ")</f>
        <v>Phó từ</v>
      </c>
      <c r="G1080" s="13" t="str">
        <f ca="1">IFERROR(__xludf.DUMMYFUNCTION("""COMPUTED_VALUE"""),"khoảng chừng, có lẽ")</f>
        <v>khoảng chừng, có lẽ</v>
      </c>
      <c r="H1080" s="13" t="str">
        <f ca="1">IFERROR(__xludf.DUMMYFUNCTION("""COMPUTED_VALUE"""),"这部电影大概会很好看。")</f>
        <v>这部电影大概会很好看。</v>
      </c>
      <c r="I1080" s="13"/>
      <c r="J1080" s="13" t="str">
        <f ca="1">IFERROR(__xludf.DUMMYFUNCTION("""COMPUTED_VALUE"""),"Phim này chắc sẽ hay lắm đây.")</f>
        <v>Phim này chắc sẽ hay lắm đây.</v>
      </c>
      <c r="K1080" s="13" t="str">
        <f ca="1">IFERROR(__xludf.DUMMYFUNCTION("""COMPUTED_VALUE"""),"H4_B13_BG-10.png")</f>
        <v>H4_B13_BG-10.png</v>
      </c>
      <c r="L1080" s="13" t="str">
        <f ca="1">IFERROR(__xludf.DUMMYFUNCTION("""COMPUTED_VALUE"""),"B13_10.mp3")</f>
        <v>B13_10.mp3</v>
      </c>
      <c r="M1080" s="13" t="str">
        <f ca="1">IFERROR(__xludf.DUMMYFUNCTION("""COMPUTED_VALUE"""),"B13_VD_10.mp3")</f>
        <v>B13_VD_10.mp3</v>
      </c>
    </row>
    <row r="1081" spans="1:13">
      <c r="A1081" s="13">
        <f ca="1">IFERROR(__xludf.DUMMYFUNCTION("""COMPUTED_VALUE"""),11)</f>
        <v>11</v>
      </c>
      <c r="B1081" s="13"/>
      <c r="C1081" s="13" t="str">
        <f ca="1">IFERROR(__xludf.DUMMYFUNCTION("""COMPUTED_VALUE"""),"来自")</f>
        <v>来自</v>
      </c>
      <c r="D1081" s="13" t="str">
        <f ca="1">IFERROR(__xludf.DUMMYFUNCTION("""COMPUTED_VALUE"""),"&lt;ruby&gt;来自&lt;rt&gt;láizì&lt;/rt&gt;&lt;/ruby&gt;")</f>
        <v>&lt;ruby&gt;来自&lt;rt&gt;láizì&lt;/rt&gt;&lt;/ruby&gt;</v>
      </c>
      <c r="E1081" s="13" t="str">
        <f ca="1">IFERROR(__xludf.DUMMYFUNCTION("""COMPUTED_VALUE"""),"láizì")</f>
        <v>láizì</v>
      </c>
      <c r="F1081" s="13" t="str">
        <f ca="1">IFERROR(__xludf.DUMMYFUNCTION("""COMPUTED_VALUE"""),"Động từ")</f>
        <v>Động từ</v>
      </c>
      <c r="G1081" s="13" t="str">
        <f ca="1">IFERROR(__xludf.DUMMYFUNCTION("""COMPUTED_VALUE"""),"đến từ")</f>
        <v>đến từ</v>
      </c>
      <c r="H1081" s="13" t="str">
        <f ca="1">IFERROR(__xludf.DUMMYFUNCTION("""COMPUTED_VALUE"""),"我的朋友来自英国。")</f>
        <v>我的朋友来自英国。</v>
      </c>
      <c r="I1081" s="13"/>
      <c r="J1081" s="13" t="str">
        <f ca="1">IFERROR(__xludf.DUMMYFUNCTION("""COMPUTED_VALUE"""),"Bạn tôi đến từ nước Anh.")</f>
        <v>Bạn tôi đến từ nước Anh.</v>
      </c>
      <c r="K1081" s="13" t="str">
        <f ca="1">IFERROR(__xludf.DUMMYFUNCTION("""COMPUTED_VALUE"""),"H4_B13_BG-11.png")</f>
        <v>H4_B13_BG-11.png</v>
      </c>
      <c r="L1081" s="13" t="str">
        <f ca="1">IFERROR(__xludf.DUMMYFUNCTION("""COMPUTED_VALUE"""),"B13_11.mp3")</f>
        <v>B13_11.mp3</v>
      </c>
      <c r="M1081" s="13" t="str">
        <f ca="1">IFERROR(__xludf.DUMMYFUNCTION("""COMPUTED_VALUE"""),"B13_VD_11.mp3")</f>
        <v>B13_VD_11.mp3</v>
      </c>
    </row>
    <row r="1082" spans="1:13">
      <c r="A1082" s="13">
        <f ca="1">IFERROR(__xludf.DUMMYFUNCTION("""COMPUTED_VALUE"""),12)</f>
        <v>12</v>
      </c>
      <c r="B1082" s="13"/>
      <c r="C1082" s="13" t="str">
        <f ca="1">IFERROR(__xludf.DUMMYFUNCTION("""COMPUTED_VALUE"""),"遍")</f>
        <v>遍</v>
      </c>
      <c r="D1082" s="13" t="str">
        <f ca="1">IFERROR(__xludf.DUMMYFUNCTION("""COMPUTED_VALUE"""),"&lt;ruby&gt;遍&lt;rt&gt;biàn&lt;/rt&gt;&lt;/ruby&gt;")</f>
        <v>&lt;ruby&gt;遍&lt;rt&gt;biàn&lt;/rt&gt;&lt;/ruby&gt;</v>
      </c>
      <c r="E1082" s="13" t="str">
        <f ca="1">IFERROR(__xludf.DUMMYFUNCTION("""COMPUTED_VALUE"""),"biàn")</f>
        <v>biàn</v>
      </c>
      <c r="F1082" s="13" t="str">
        <f ca="1">IFERROR(__xludf.DUMMYFUNCTION("""COMPUTED_VALUE"""),"Lượng từ")</f>
        <v>Lượng từ</v>
      </c>
      <c r="G1082" s="13" t="str">
        <f ca="1">IFERROR(__xludf.DUMMYFUNCTION("""COMPUTED_VALUE"""),"(chỉ một hành động từ lúc bắt đầu đến khi kết thúc) lần, lượt")</f>
        <v>(chỉ một hành động từ lúc bắt đầu đến khi kết thúc) lần, lượt</v>
      </c>
      <c r="H1082" s="13" t="str">
        <f ca="1">IFERROR(__xludf.DUMMYFUNCTION("""COMPUTED_VALUE"""),"我已经读了这本书两遍。")</f>
        <v>我已经读了这本书两遍。</v>
      </c>
      <c r="I1082" s="13"/>
      <c r="J1082" s="13" t="str">
        <f ca="1">IFERROR(__xludf.DUMMYFUNCTION("""COMPUTED_VALUE"""),"Tôi đã đọc cuốn sách hai lần.")</f>
        <v>Tôi đã đọc cuốn sách hai lần.</v>
      </c>
      <c r="K1082" s="13" t="str">
        <f ca="1">IFERROR(__xludf.DUMMYFUNCTION("""COMPUTED_VALUE"""),"H4_B13_BG-12.png")</f>
        <v>H4_B13_BG-12.png</v>
      </c>
      <c r="L1082" s="13" t="str">
        <f ca="1">IFERROR(__xludf.DUMMYFUNCTION("""COMPUTED_VALUE"""),"B13_12.mp3")</f>
        <v>B13_12.mp3</v>
      </c>
      <c r="M1082" s="13" t="str">
        <f ca="1">IFERROR(__xludf.DUMMYFUNCTION("""COMPUTED_VALUE"""),"B13_VD_12.mp3")</f>
        <v>B13_VD_12.mp3</v>
      </c>
    </row>
    <row r="1083" spans="1:13">
      <c r="A1083" s="13">
        <f ca="1">IFERROR(__xludf.DUMMYFUNCTION("""COMPUTED_VALUE"""),13)</f>
        <v>13</v>
      </c>
      <c r="B1083" s="13"/>
      <c r="C1083" s="13" t="str">
        <f ca="1">IFERROR(__xludf.DUMMYFUNCTION("""COMPUTED_VALUE"""),"偶尔")</f>
        <v>偶尔</v>
      </c>
      <c r="D1083" s="13" t="str">
        <f ca="1">IFERROR(__xludf.DUMMYFUNCTION("""COMPUTED_VALUE"""),"&lt;ruby&gt;偶尔&lt;rt&gt;ǒu'ěr&lt;/rt&gt;&lt;/ruby&gt;")</f>
        <v>&lt;ruby&gt;偶尔&lt;rt&gt;ǒu'ěr&lt;/rt&gt;&lt;/ruby&gt;</v>
      </c>
      <c r="E1083" s="13" t="str">
        <f ca="1">IFERROR(__xludf.DUMMYFUNCTION("""COMPUTED_VALUE"""),"ǒu'ěr")</f>
        <v>ǒu'ěr</v>
      </c>
      <c r="F1083" s="13" t="str">
        <f ca="1">IFERROR(__xludf.DUMMYFUNCTION("""COMPUTED_VALUE"""),"Phó từ")</f>
        <v>Phó từ</v>
      </c>
      <c r="G1083" s="13" t="str">
        <f ca="1">IFERROR(__xludf.DUMMYFUNCTION("""COMPUTED_VALUE"""),"thỉnh thoảng")</f>
        <v>thỉnh thoảng</v>
      </c>
      <c r="H1083" s="13" t="str">
        <f ca="1">IFERROR(__xludf.DUMMYFUNCTION("""COMPUTED_VALUE"""),"偶尔天气太冷，我的鼻子会流血。")</f>
        <v>偶尔天气太冷，我的鼻子会流血。</v>
      </c>
      <c r="I1083" s="13"/>
      <c r="J1083" s="13" t="str">
        <f ca="1">IFERROR(__xludf.DUMMYFUNCTION("""COMPUTED_VALUE"""),"thỉnh thoảng mũi tôi chảy máu do trời quá lạnh")</f>
        <v>thỉnh thoảng mũi tôi chảy máu do trời quá lạnh</v>
      </c>
      <c r="K1083" s="13" t="str">
        <f ca="1">IFERROR(__xludf.DUMMYFUNCTION("""COMPUTED_VALUE"""),"H4_B13_BG-13.png")</f>
        <v>H4_B13_BG-13.png</v>
      </c>
      <c r="L1083" s="13" t="str">
        <f ca="1">IFERROR(__xludf.DUMMYFUNCTION("""COMPUTED_VALUE"""),"B13_13.mp3")</f>
        <v>B13_13.mp3</v>
      </c>
      <c r="M1083" s="13" t="str">
        <f ca="1">IFERROR(__xludf.DUMMYFUNCTION("""COMPUTED_VALUE"""),"B13_VD_13.mp3")</f>
        <v>B13_VD_13.mp3</v>
      </c>
    </row>
    <row r="1084" spans="1:13">
      <c r="A1084" s="13">
        <f ca="1">IFERROR(__xludf.DUMMYFUNCTION("""COMPUTED_VALUE"""),14)</f>
        <v>14</v>
      </c>
      <c r="B1084" s="13"/>
      <c r="C1084" s="13" t="str">
        <f ca="1">IFERROR(__xludf.DUMMYFUNCTION("""COMPUTED_VALUE"""),"吃惊")</f>
        <v>吃惊</v>
      </c>
      <c r="D1084" s="13" t="str">
        <f ca="1">IFERROR(__xludf.DUMMYFUNCTION("""COMPUTED_VALUE"""),"&lt;ruby&gt;吃惊&lt;rt&gt;chī jīng&lt;/rt&gt;&lt;/ruby&gt;")</f>
        <v>&lt;ruby&gt;吃惊&lt;rt&gt;chī jīng&lt;/rt&gt;&lt;/ruby&gt;</v>
      </c>
      <c r="E1084" s="13" t="str">
        <f ca="1">IFERROR(__xludf.DUMMYFUNCTION("""COMPUTED_VALUE"""),"chī jīng")</f>
        <v>chī jīng</v>
      </c>
      <c r="F1084" s="13" t="str">
        <f ca="1">IFERROR(__xludf.DUMMYFUNCTION("""COMPUTED_VALUE"""),"Động từ")</f>
        <v>Động từ</v>
      </c>
      <c r="G1084" s="13" t="str">
        <f ca="1">IFERROR(__xludf.DUMMYFUNCTION("""COMPUTED_VALUE"""),"kinh ngạc")</f>
        <v>kinh ngạc</v>
      </c>
      <c r="H1084" s="13" t="str">
        <f ca="1">IFERROR(__xludf.DUMMYFUNCTION("""COMPUTED_VALUE"""),"我对自己的体重增加感到吃惊。")</f>
        <v>我对自己的体重增加感到吃惊。</v>
      </c>
      <c r="I1084" s="13"/>
      <c r="J1084" s="13" t="str">
        <f ca="1">IFERROR(__xludf.DUMMYFUNCTION("""COMPUTED_VALUE"""),"Tôi cảm thấy kinh ngạc về sự tăng cân của bản thân")</f>
        <v>Tôi cảm thấy kinh ngạc về sự tăng cân của bản thân</v>
      </c>
      <c r="K1084" s="13" t="str">
        <f ca="1">IFERROR(__xludf.DUMMYFUNCTION("""COMPUTED_VALUE"""),"H4_B13_BG-14.png")</f>
        <v>H4_B13_BG-14.png</v>
      </c>
      <c r="L1084" s="13" t="str">
        <f ca="1">IFERROR(__xludf.DUMMYFUNCTION("""COMPUTED_VALUE"""),"B13_14.mp3")</f>
        <v>B13_14.mp3</v>
      </c>
      <c r="M1084" s="13" t="str">
        <f ca="1">IFERROR(__xludf.DUMMYFUNCTION("""COMPUTED_VALUE"""),"B13_VD_14.mp3")</f>
        <v>B13_VD_14.mp3</v>
      </c>
    </row>
    <row r="1085" spans="1:13">
      <c r="A1085" s="13">
        <f ca="1">IFERROR(__xludf.DUMMYFUNCTION("""COMPUTED_VALUE"""),15)</f>
        <v>15</v>
      </c>
      <c r="B1085" s="13"/>
      <c r="C1085" s="13" t="str">
        <f ca="1">IFERROR(__xludf.DUMMYFUNCTION("""COMPUTED_VALUE"""),"大约")</f>
        <v>大约</v>
      </c>
      <c r="D1085" s="13" t="str">
        <f ca="1">IFERROR(__xludf.DUMMYFUNCTION("""COMPUTED_VALUE"""),"&lt;ruby&gt;大约&lt;rt&gt;dàyuē&lt;/rt&gt;&lt;/ruby&gt;")</f>
        <v>&lt;ruby&gt;大约&lt;rt&gt;dàyuē&lt;/rt&gt;&lt;/ruby&gt;</v>
      </c>
      <c r="E1085" s="13" t="str">
        <f ca="1">IFERROR(__xludf.DUMMYFUNCTION("""COMPUTED_VALUE"""),"dàyuē")</f>
        <v>dàyuē</v>
      </c>
      <c r="F1085" s="13" t="str">
        <f ca="1">IFERROR(__xludf.DUMMYFUNCTION("""COMPUTED_VALUE"""),"Phó từ")</f>
        <v>Phó từ</v>
      </c>
      <c r="G1085" s="13" t="str">
        <f ca="1">IFERROR(__xludf.DUMMYFUNCTION("""COMPUTED_VALUE"""),"khoảng chừng, ước chừng")</f>
        <v>khoảng chừng, ước chừng</v>
      </c>
      <c r="H1085" s="13" t="str">
        <f ca="1">IFERROR(__xludf.DUMMYFUNCTION("""COMPUTED_VALUE"""),"大约一个月后我的孩子就要出生了。
")</f>
        <v xml:space="preserve">大约一个月后我的孩子就要出生了。
</v>
      </c>
      <c r="I1085" s="13"/>
      <c r="J1085" s="13" t="str">
        <f ca="1">IFERROR(__xludf.DUMMYFUNCTION("""COMPUTED_VALUE"""),"khoảng chứng 1 tháng nữa là con tôi sẽ ra đời")</f>
        <v>khoảng chứng 1 tháng nữa là con tôi sẽ ra đời</v>
      </c>
      <c r="K1085" s="13" t="str">
        <f ca="1">IFERROR(__xludf.DUMMYFUNCTION("""COMPUTED_VALUE"""),"H4_B13_BG-15.png")</f>
        <v>H4_B13_BG-15.png</v>
      </c>
      <c r="L1085" s="13" t="str">
        <f ca="1">IFERROR(__xludf.DUMMYFUNCTION("""COMPUTED_VALUE"""),"B13_15.mp3")</f>
        <v>B13_15.mp3</v>
      </c>
      <c r="M1085" s="13" t="str">
        <f ca="1">IFERROR(__xludf.DUMMYFUNCTION("""COMPUTED_VALUE"""),"B13_VD_15.mp3")</f>
        <v>B13_VD_15.mp3</v>
      </c>
    </row>
    <row r="1086" spans="1:13">
      <c r="A1086" s="13">
        <f ca="1">IFERROR(__xludf.DUMMYFUNCTION("""COMPUTED_VALUE"""),16)</f>
        <v>16</v>
      </c>
      <c r="B1086" s="13"/>
      <c r="C1086" s="13" t="str">
        <f ca="1">IFERROR(__xludf.DUMMYFUNCTION("""COMPUTED_VALUE"""),"互联网")</f>
        <v>互联网</v>
      </c>
      <c r="D1086" s="13" t="str">
        <f ca="1">IFERROR(__xludf.DUMMYFUNCTION("""COMPUTED_VALUE"""),"&lt;ruby&gt;互联网&lt;rt&gt;hùliánwǎng&lt;/rt&gt;&lt;/ruby&gt;")</f>
        <v>&lt;ruby&gt;互联网&lt;rt&gt;hùliánwǎng&lt;/rt&gt;&lt;/ruby&gt;</v>
      </c>
      <c r="E1086" s="13" t="str">
        <f ca="1">IFERROR(__xludf.DUMMYFUNCTION("""COMPUTED_VALUE"""),"hùliánwǎng")</f>
        <v>hùliánwǎng</v>
      </c>
      <c r="F1086" s="13" t="str">
        <f ca="1">IFERROR(__xludf.DUMMYFUNCTION("""COMPUTED_VALUE"""),"Danh từ")</f>
        <v>Danh từ</v>
      </c>
      <c r="G1086" s="13" t="str">
        <f ca="1">IFERROR(__xludf.DUMMYFUNCTION("""COMPUTED_VALUE"""),"mạng Internet")</f>
        <v>mạng Internet</v>
      </c>
      <c r="H1086" s="13" t="str">
        <f ca="1">IFERROR(__xludf.DUMMYFUNCTION("""COMPUTED_VALUE"""),"我需要互联网来上网课。")</f>
        <v>我需要互联网来上网课。</v>
      </c>
      <c r="I1086" s="13"/>
      <c r="J1086" s="13" t="str">
        <f ca="1">IFERROR(__xludf.DUMMYFUNCTION("""COMPUTED_VALUE"""),"tôi cần có mạng Internet để học trực tuyến")</f>
        <v>tôi cần có mạng Internet để học trực tuyến</v>
      </c>
      <c r="K1086" s="13" t="str">
        <f ca="1">IFERROR(__xludf.DUMMYFUNCTION("""COMPUTED_VALUE"""),"H4_B13_BG-16.png")</f>
        <v>H4_B13_BG-16.png</v>
      </c>
      <c r="L1086" s="13" t="str">
        <f ca="1">IFERROR(__xludf.DUMMYFUNCTION("""COMPUTED_VALUE"""),"B13_16.mp3")</f>
        <v>B13_16.mp3</v>
      </c>
      <c r="M1086" s="13" t="str">
        <f ca="1">IFERROR(__xludf.DUMMYFUNCTION("""COMPUTED_VALUE"""),"B13_VD_16.mp3")</f>
        <v>B13_VD_16.mp3</v>
      </c>
    </row>
    <row r="1087" spans="1:13">
      <c r="A1087" s="13">
        <f ca="1">IFERROR(__xludf.DUMMYFUNCTION("""COMPUTED_VALUE"""),17)</f>
        <v>17</v>
      </c>
      <c r="B1087" s="13"/>
      <c r="C1087" s="13" t="str">
        <f ca="1">IFERROR(__xludf.DUMMYFUNCTION("""COMPUTED_VALUE"""),"餐厅")</f>
        <v>餐厅</v>
      </c>
      <c r="D1087" s="13" t="str">
        <f ca="1">IFERROR(__xludf.DUMMYFUNCTION("""COMPUTED_VALUE"""),"&lt;ruby&gt;餐厅&lt;rt&gt;cāntīng&lt;/rt&gt;&lt;/ruby&gt;")</f>
        <v>&lt;ruby&gt;餐厅&lt;rt&gt;cāntīng&lt;/rt&gt;&lt;/ruby&gt;</v>
      </c>
      <c r="E1087" s="13" t="str">
        <f ca="1">IFERROR(__xludf.DUMMYFUNCTION("""COMPUTED_VALUE"""),"cāntīng")</f>
        <v>cāntīng</v>
      </c>
      <c r="F1087" s="13" t="str">
        <f ca="1">IFERROR(__xludf.DUMMYFUNCTION("""COMPUTED_VALUE"""),"Danh từ")</f>
        <v>Danh từ</v>
      </c>
      <c r="G1087" s="13" t="str">
        <f ca="1">IFERROR(__xludf.DUMMYFUNCTION("""COMPUTED_VALUE"""),"nhà hàng")</f>
        <v>nhà hàng</v>
      </c>
      <c r="H1087" s="13" t="str">
        <f ca="1">IFERROR(__xludf.DUMMYFUNCTION("""COMPUTED_VALUE"""),"她在一家著名的餐厅当厨师。")</f>
        <v>她在一家著名的餐厅当厨师。</v>
      </c>
      <c r="I1087" s="13"/>
      <c r="J1087" s="13" t="str">
        <f ca="1">IFERROR(__xludf.DUMMYFUNCTION("""COMPUTED_VALUE"""),"cô ấy làm đầu bếp  trong một nhà hàng nổi tiếng")</f>
        <v>cô ấy làm đầu bếp  trong một nhà hàng nổi tiếng</v>
      </c>
      <c r="K1087" s="13" t="str">
        <f ca="1">IFERROR(__xludf.DUMMYFUNCTION("""COMPUTED_VALUE"""),"H4_B13_BG-17.png")</f>
        <v>H4_B13_BG-17.png</v>
      </c>
      <c r="L1087" s="13" t="str">
        <f ca="1">IFERROR(__xludf.DUMMYFUNCTION("""COMPUTED_VALUE"""),"B13_17.mp3")</f>
        <v>B13_17.mp3</v>
      </c>
      <c r="M1087" s="13" t="str">
        <f ca="1">IFERROR(__xludf.DUMMYFUNCTION("""COMPUTED_VALUE"""),"B13_VD_17.mp3")</f>
        <v>B13_VD_17.mp3</v>
      </c>
    </row>
    <row r="1088" spans="1:13">
      <c r="A1088" s="13">
        <f ca="1">IFERROR(__xludf.DUMMYFUNCTION("""COMPUTED_VALUE"""),18)</f>
        <v>18</v>
      </c>
      <c r="B1088" s="13"/>
      <c r="C1088" s="13" t="str">
        <f ca="1">IFERROR(__xludf.DUMMYFUNCTION("""COMPUTED_VALUE"""),"纸袋")</f>
        <v>纸袋</v>
      </c>
      <c r="D1088" s="13" t="str">
        <f ca="1">IFERROR(__xludf.DUMMYFUNCTION("""COMPUTED_VALUE"""),"&lt;ruby&gt;纸袋&lt;rt&gt;zhǐdài&lt;/rt&gt;&lt;/ruby&gt;")</f>
        <v>&lt;ruby&gt;纸袋&lt;rt&gt;zhǐdài&lt;/rt&gt;&lt;/ruby&gt;</v>
      </c>
      <c r="E1088" s="13" t="str">
        <f ca="1">IFERROR(__xludf.DUMMYFUNCTION("""COMPUTED_VALUE"""),"zhǐdài")</f>
        <v>zhǐdài</v>
      </c>
      <c r="F1088" s="13" t="str">
        <f ca="1">IFERROR(__xludf.DUMMYFUNCTION("""COMPUTED_VALUE"""),"Danh từ")</f>
        <v>Danh từ</v>
      </c>
      <c r="G1088" s="13" t="str">
        <f ca="1">IFERROR(__xludf.DUMMYFUNCTION("""COMPUTED_VALUE"""),"túi giấy")</f>
        <v>túi giấy</v>
      </c>
      <c r="H1088" s="13" t="str">
        <f ca="1">IFERROR(__xludf.DUMMYFUNCTION("""COMPUTED_VALUE"""),"用这些纸袋装东西吧。")</f>
        <v>用这些纸袋装东西吧。</v>
      </c>
      <c r="I1088" s="13"/>
      <c r="J1088" s="13" t="str">
        <f ca="1">IFERROR(__xludf.DUMMYFUNCTION("""COMPUTED_VALUE"""),"Dùng những cái túi giấy này để đựng đồ nè.")</f>
        <v>Dùng những cái túi giấy này để đựng đồ nè.</v>
      </c>
      <c r="K1088" s="13" t="str">
        <f ca="1">IFERROR(__xludf.DUMMYFUNCTION("""COMPUTED_VALUE"""),"H4_B13_BG-18.png")</f>
        <v>H4_B13_BG-18.png</v>
      </c>
      <c r="L1088" s="13" t="str">
        <f ca="1">IFERROR(__xludf.DUMMYFUNCTION("""COMPUTED_VALUE"""),"B13_18.mp3")</f>
        <v>B13_18.mp3</v>
      </c>
      <c r="M1088" s="13" t="str">
        <f ca="1">IFERROR(__xludf.DUMMYFUNCTION("""COMPUTED_VALUE"""),"B13_VD_18.mp3")</f>
        <v>B13_VD_18.mp3</v>
      </c>
    </row>
    <row r="1089" spans="1:13">
      <c r="A1089" s="13">
        <f ca="1">IFERROR(__xludf.DUMMYFUNCTION("""COMPUTED_VALUE"""),19)</f>
        <v>19</v>
      </c>
      <c r="B1089" s="13"/>
      <c r="C1089" s="13" t="str">
        <f ca="1">IFERROR(__xludf.DUMMYFUNCTION("""COMPUTED_VALUE"""),"袋（子）")</f>
        <v>袋（子）</v>
      </c>
      <c r="D1089" s="13" t="str">
        <f ca="1">IFERROR(__xludf.DUMMYFUNCTION("""COMPUTED_VALUE"""),"&lt;ruby&gt;袋（子）&lt;rt&gt;dài (zi)&lt;/rt&gt;&lt;/ruby&gt;")</f>
        <v>&lt;ruby&gt;袋（子）&lt;rt&gt;dài (zi)&lt;/rt&gt;&lt;/ruby&gt;</v>
      </c>
      <c r="E1089" s="13" t="str">
        <f ca="1">IFERROR(__xludf.DUMMYFUNCTION("""COMPUTED_VALUE"""),"dài (zi)")</f>
        <v>dài (zi)</v>
      </c>
      <c r="F1089" s="13" t="str">
        <f ca="1">IFERROR(__xludf.DUMMYFUNCTION("""COMPUTED_VALUE"""),"Danh từ")</f>
        <v>Danh từ</v>
      </c>
      <c r="G1089" s="13" t="str">
        <f ca="1">IFERROR(__xludf.DUMMYFUNCTION("""COMPUTED_VALUE"""),"túi")</f>
        <v>túi</v>
      </c>
      <c r="H1089" s="13" t="str">
        <f ca="1">IFERROR(__xludf.DUMMYFUNCTION("""COMPUTED_VALUE"""),"我的袋子破了一个洞。")</f>
        <v>我的袋子破了一个洞。</v>
      </c>
      <c r="I1089" s="13"/>
      <c r="J1089" s="13" t="str">
        <f ca="1">IFERROR(__xludf.DUMMYFUNCTION("""COMPUTED_VALUE"""),"Túi của tôi bị rách một lỗ.")</f>
        <v>Túi của tôi bị rách một lỗ.</v>
      </c>
      <c r="K1089" s="13" t="str">
        <f ca="1">IFERROR(__xludf.DUMMYFUNCTION("""COMPUTED_VALUE"""),"H4_B13_BG-19.png")</f>
        <v>H4_B13_BG-19.png</v>
      </c>
      <c r="L1089" s="13" t="str">
        <f ca="1">IFERROR(__xludf.DUMMYFUNCTION("""COMPUTED_VALUE"""),"B13_19.mp3")</f>
        <v>B13_19.mp3</v>
      </c>
      <c r="M1089" s="13" t="str">
        <f ca="1">IFERROR(__xludf.DUMMYFUNCTION("""COMPUTED_VALUE"""),"B13_VD_19.mp3")</f>
        <v>B13_VD_19.mp3</v>
      </c>
    </row>
    <row r="1090" spans="1:13">
      <c r="A1090" s="13">
        <f ca="1">IFERROR(__xludf.DUMMYFUNCTION("""COMPUTED_VALUE"""),20)</f>
        <v>20</v>
      </c>
      <c r="B1090" s="13"/>
      <c r="C1090" s="13" t="str">
        <f ca="1">IFERROR(__xludf.DUMMYFUNCTION("""COMPUTED_VALUE"""),"省")</f>
        <v>省</v>
      </c>
      <c r="D1090" s="13" t="str">
        <f ca="1">IFERROR(__xludf.DUMMYFUNCTION("""COMPUTED_VALUE"""),"&lt;ruby&gt;省&lt;rt&gt;shěng&lt;/rt&gt;&lt;/ruby&gt;")</f>
        <v>&lt;ruby&gt;省&lt;rt&gt;shěng&lt;/rt&gt;&lt;/ruby&gt;</v>
      </c>
      <c r="E1090" s="13" t="str">
        <f ca="1">IFERROR(__xludf.DUMMYFUNCTION("""COMPUTED_VALUE"""),"shěng")</f>
        <v>shěng</v>
      </c>
      <c r="F1090" s="13" t="str">
        <f ca="1">IFERROR(__xludf.DUMMYFUNCTION("""COMPUTED_VALUE"""),"Danh từ")</f>
        <v>Danh từ</v>
      </c>
      <c r="G1090" s="13" t="str">
        <f ca="1">IFERROR(__xludf.DUMMYFUNCTION("""COMPUTED_VALUE"""),"tỉnh")</f>
        <v>tỉnh</v>
      </c>
      <c r="H1090" s="13" t="str">
        <f ca="1">IFERROR(__xludf.DUMMYFUNCTION("""COMPUTED_VALUE"""),"越南有63个省。")</f>
        <v>越南有63个省。</v>
      </c>
      <c r="I1090" s="13"/>
      <c r="J1090" s="13" t="str">
        <f ca="1">IFERROR(__xludf.DUMMYFUNCTION("""COMPUTED_VALUE"""),"Việt Nam có 63 tỉnh.")</f>
        <v>Việt Nam có 63 tỉnh.</v>
      </c>
      <c r="K1090" s="13" t="str">
        <f ca="1">IFERROR(__xludf.DUMMYFUNCTION("""COMPUTED_VALUE"""),"H4_B13_BG-20.png")</f>
        <v>H4_B13_BG-20.png</v>
      </c>
      <c r="L1090" s="13" t="str">
        <f ca="1">IFERROR(__xludf.DUMMYFUNCTION("""COMPUTED_VALUE"""),"B13_20.mp3")</f>
        <v>B13_20.mp3</v>
      </c>
      <c r="M1090" s="13" t="str">
        <f ca="1">IFERROR(__xludf.DUMMYFUNCTION("""COMPUTED_VALUE"""),"B13_VD_20.mp3")</f>
        <v>B13_VD_20.mp3</v>
      </c>
    </row>
    <row r="1091" spans="1:13">
      <c r="A1091" s="13">
        <f ca="1">IFERROR(__xludf.DUMMYFUNCTION("""COMPUTED_VALUE"""),21)</f>
        <v>21</v>
      </c>
      <c r="B1091" s="13"/>
      <c r="C1091" s="13" t="str">
        <f ca="1">IFERROR(__xludf.DUMMYFUNCTION("""COMPUTED_VALUE"""),"稍微")</f>
        <v>稍微</v>
      </c>
      <c r="D1091" s="13" t="str">
        <f ca="1">IFERROR(__xludf.DUMMYFUNCTION("""COMPUTED_VALUE"""),"&lt;ruby&gt;稍微&lt;rt&gt;shāowéi&lt;/rt&gt;&lt;/ruby&gt;")</f>
        <v>&lt;ruby&gt;稍微&lt;rt&gt;shāowéi&lt;/rt&gt;&lt;/ruby&gt;</v>
      </c>
      <c r="E1091" s="13" t="str">
        <f ca="1">IFERROR(__xludf.DUMMYFUNCTION("""COMPUTED_VALUE"""),"shāowéi")</f>
        <v>shāowéi</v>
      </c>
      <c r="F1091" s="13" t="str">
        <f ca="1">IFERROR(__xludf.DUMMYFUNCTION("""COMPUTED_VALUE"""),"Phó từ")</f>
        <v>Phó từ</v>
      </c>
      <c r="G1091" s="13" t="str">
        <f ca="1">IFERROR(__xludf.DUMMYFUNCTION("""COMPUTED_VALUE"""),"hơi")</f>
        <v>hơi</v>
      </c>
      <c r="H1091" s="13" t="str">
        <f ca="1">IFERROR(__xludf.DUMMYFUNCTION("""COMPUTED_VALUE"""),"这个菜稍微咸了一点。")</f>
        <v>这个菜稍微咸了一点。</v>
      </c>
      <c r="I1091" s="13"/>
      <c r="J1091" s="13" t="str">
        <f ca="1">IFERROR(__xludf.DUMMYFUNCTION("""COMPUTED_VALUE"""),"Món này hơi mặn một chút.")</f>
        <v>Món này hơi mặn một chút.</v>
      </c>
      <c r="K1091" s="13" t="str">
        <f ca="1">IFERROR(__xludf.DUMMYFUNCTION("""COMPUTED_VALUE"""),"H4_B13_BG-21.png")</f>
        <v>H4_B13_BG-21.png</v>
      </c>
      <c r="L1091" s="13" t="str">
        <f ca="1">IFERROR(__xludf.DUMMYFUNCTION("""COMPUTED_VALUE"""),"B13_21.mp3")</f>
        <v>B13_21.mp3</v>
      </c>
      <c r="M1091" s="13" t="str">
        <f ca="1">IFERROR(__xludf.DUMMYFUNCTION("""COMPUTED_VALUE"""),"B13_VD_21.mp3")</f>
        <v>B13_VD_21.mp3</v>
      </c>
    </row>
    <row r="1092" spans="1:13">
      <c r="A1092" s="13">
        <f ca="1">IFERROR(__xludf.DUMMYFUNCTION("""COMPUTED_VALUE"""),22)</f>
        <v>22</v>
      </c>
      <c r="B1092" s="13"/>
      <c r="C1092" s="13" t="str">
        <f ca="1">IFERROR(__xludf.DUMMYFUNCTION("""COMPUTED_VALUE"""),"十分")</f>
        <v>十分</v>
      </c>
      <c r="D1092" s="13" t="str">
        <f ca="1">IFERROR(__xludf.DUMMYFUNCTION("""COMPUTED_VALUE"""),"&lt;ruby&gt;十分&lt;rt&gt;shífēn&lt;/rt&gt;&lt;/ruby&gt;")</f>
        <v>&lt;ruby&gt;十分&lt;rt&gt;shífēn&lt;/rt&gt;&lt;/ruby&gt;</v>
      </c>
      <c r="E1092" s="13" t="str">
        <f ca="1">IFERROR(__xludf.DUMMYFUNCTION("""COMPUTED_VALUE"""),"shífēn")</f>
        <v>shífēn</v>
      </c>
      <c r="F1092" s="13" t="str">
        <f ca="1">IFERROR(__xludf.DUMMYFUNCTION("""COMPUTED_VALUE"""),"Phó từ")</f>
        <v>Phó từ</v>
      </c>
      <c r="G1092" s="13" t="str">
        <f ca="1">IFERROR(__xludf.DUMMYFUNCTION("""COMPUTED_VALUE"""),"rất, vô cùng")</f>
        <v>rất, vô cùng</v>
      </c>
      <c r="H1092" s="13" t="str">
        <f ca="1">IFERROR(__xludf.DUMMYFUNCTION("""COMPUTED_VALUE"""),"这个工程十分复杂。")</f>
        <v>这个工程十分复杂。</v>
      </c>
      <c r="I1092" s="13"/>
      <c r="J1092" s="13" t="str">
        <f ca="1">IFERROR(__xludf.DUMMYFUNCTION("""COMPUTED_VALUE"""),"Công trình này thực sự phức tạp.")</f>
        <v>Công trình này thực sự phức tạp.</v>
      </c>
      <c r="K1092" s="13" t="str">
        <f ca="1">IFERROR(__xludf.DUMMYFUNCTION("""COMPUTED_VALUE"""),"H4_B13_BG-22.png")</f>
        <v>H4_B13_BG-22.png</v>
      </c>
      <c r="L1092" s="13" t="str">
        <f ca="1">IFERROR(__xludf.DUMMYFUNCTION("""COMPUTED_VALUE"""),"B13_22.mp3")</f>
        <v>B13_22.mp3</v>
      </c>
      <c r="M1092" s="13" t="str">
        <f ca="1">IFERROR(__xludf.DUMMYFUNCTION("""COMPUTED_VALUE"""),"B13_VD_22.mp3")</f>
        <v>B13_VD_22.mp3</v>
      </c>
    </row>
    <row r="1093" spans="1:13">
      <c r="A1093" s="13">
        <f ca="1">IFERROR(__xludf.DUMMYFUNCTION("""COMPUTED_VALUE"""),23)</f>
        <v>23</v>
      </c>
      <c r="B1093" s="13"/>
      <c r="C1093" s="13" t="str">
        <f ca="1">IFERROR(__xludf.DUMMYFUNCTION("""COMPUTED_VALUE"""),"正常")</f>
        <v>正常</v>
      </c>
      <c r="D1093" s="13" t="str">
        <f ca="1">IFERROR(__xludf.DUMMYFUNCTION("""COMPUTED_VALUE"""),"&lt;ruby&gt;正常&lt;rt&gt;zhèngcháng&lt;/rt&gt;&lt;/ruby&gt;")</f>
        <v>&lt;ruby&gt;正常&lt;rt&gt;zhèngcháng&lt;/rt&gt;&lt;/ruby&gt;</v>
      </c>
      <c r="E1093" s="13" t="str">
        <f ca="1">IFERROR(__xludf.DUMMYFUNCTION("""COMPUTED_VALUE"""),"zhèngcháng")</f>
        <v>zhèngcháng</v>
      </c>
      <c r="F1093" s="13" t="str">
        <f ca="1">IFERROR(__xludf.DUMMYFUNCTION("""COMPUTED_VALUE"""),"Tính từ")</f>
        <v>Tính từ</v>
      </c>
      <c r="G1093" s="13" t="str">
        <f ca="1">IFERROR(__xludf.DUMMYFUNCTION("""COMPUTED_VALUE"""),"bình thường, thông thường")</f>
        <v>bình thường, thông thường</v>
      </c>
      <c r="H1093" s="13" t="str">
        <f ca="1">IFERROR(__xludf.DUMMYFUNCTION("""COMPUTED_VALUE"""),"今天的天气真的不正常。")</f>
        <v>今天的天气真的不正常。</v>
      </c>
      <c r="I1093" s="13"/>
      <c r="J1093" s="13" t="str">
        <f ca="1">IFERROR(__xludf.DUMMYFUNCTION("""COMPUTED_VALUE"""),"Thời tiết hôm nay thật không bình thường.")</f>
        <v>Thời tiết hôm nay thật không bình thường.</v>
      </c>
      <c r="K1093" s="13" t="str">
        <f ca="1">IFERROR(__xludf.DUMMYFUNCTION("""COMPUTED_VALUE"""),"H4_B13_BG-23.png")</f>
        <v>H4_B13_BG-23.png</v>
      </c>
      <c r="L1093" s="13" t="str">
        <f ca="1">IFERROR(__xludf.DUMMYFUNCTION("""COMPUTED_VALUE"""),"B13_23.mp3")</f>
        <v>B13_23.mp3</v>
      </c>
      <c r="M1093" s="13" t="str">
        <f ca="1">IFERROR(__xludf.DUMMYFUNCTION("""COMPUTED_VALUE"""),"B13_VD_23.mp3")</f>
        <v>B13_VD_23.mp3</v>
      </c>
    </row>
    <row r="1094" spans="1:13">
      <c r="A1094" s="13">
        <f ca="1">IFERROR(__xludf.DUMMYFUNCTION("""COMPUTED_VALUE"""),24)</f>
        <v>24</v>
      </c>
      <c r="B1094" s="13"/>
      <c r="C1094" s="13" t="str">
        <f ca="1">IFERROR(__xludf.DUMMYFUNCTION("""COMPUTED_VALUE"""),"苦")</f>
        <v>苦</v>
      </c>
      <c r="D1094" s="13" t="str">
        <f ca="1">IFERROR(__xludf.DUMMYFUNCTION("""COMPUTED_VALUE"""),"&lt;ruby&gt;苦&lt;rt&gt;kǔ&lt;/rt&gt;&lt;/ruby&gt;")</f>
        <v>&lt;ruby&gt;苦&lt;rt&gt;kǔ&lt;/rt&gt;&lt;/ruby&gt;</v>
      </c>
      <c r="E1094" s="13" t="str">
        <f ca="1">IFERROR(__xludf.DUMMYFUNCTION("""COMPUTED_VALUE"""),"kǔ")</f>
        <v>kǔ</v>
      </c>
      <c r="F1094" s="13" t="str">
        <f ca="1">IFERROR(__xludf.DUMMYFUNCTION("""COMPUTED_VALUE"""),"Tính từ")</f>
        <v>Tính từ</v>
      </c>
      <c r="G1094" s="13" t="str">
        <f ca="1">IFERROR(__xludf.DUMMYFUNCTION("""COMPUTED_VALUE"""),"đắng")</f>
        <v>đắng</v>
      </c>
      <c r="H1094" s="13" t="str">
        <f ca="1">IFERROR(__xludf.DUMMYFUNCTION("""COMPUTED_VALUE"""),"喝这种药很苦。")</f>
        <v>喝这种药很苦。</v>
      </c>
      <c r="I1094" s="13"/>
      <c r="J1094" s="13" t="str">
        <f ca="1">IFERROR(__xludf.DUMMYFUNCTION("""COMPUTED_VALUE"""),"Uống thuốc này rất đắng.")</f>
        <v>Uống thuốc này rất đắng.</v>
      </c>
      <c r="K1094" s="13" t="str">
        <f ca="1">IFERROR(__xludf.DUMMYFUNCTION("""COMPUTED_VALUE"""),"H4_B13_BG-24.png")</f>
        <v>H4_B13_BG-24.png</v>
      </c>
      <c r="L1094" s="13" t="str">
        <f ca="1">IFERROR(__xludf.DUMMYFUNCTION("""COMPUTED_VALUE"""),"B13_24.mp3")</f>
        <v>B13_24.mp3</v>
      </c>
      <c r="M1094" s="13" t="str">
        <f ca="1">IFERROR(__xludf.DUMMYFUNCTION("""COMPUTED_VALUE"""),"B13_VD_24.mp3")</f>
        <v>B13_VD_24.mp3</v>
      </c>
    </row>
    <row r="1095" spans="1:13">
      <c r="A1095" s="13">
        <f ca="1">IFERROR(__xludf.DUMMYFUNCTION("""COMPUTED_VALUE"""),25)</f>
        <v>25</v>
      </c>
      <c r="B1095" s="13"/>
      <c r="C1095" s="13" t="str">
        <f ca="1">IFERROR(__xludf.DUMMYFUNCTION("""COMPUTED_VALUE"""),"申请")</f>
        <v>申请</v>
      </c>
      <c r="D1095" s="13" t="str">
        <f ca="1">IFERROR(__xludf.DUMMYFUNCTION("""COMPUTED_VALUE"""),"&lt;ruby&gt;申请&lt;rt&gt;shēnqǐng&lt;/rt&gt;&lt;/ruby&gt;")</f>
        <v>&lt;ruby&gt;申请&lt;rt&gt;shēnqǐng&lt;/rt&gt;&lt;/ruby&gt;</v>
      </c>
      <c r="E1095" s="13" t="str">
        <f ca="1">IFERROR(__xludf.DUMMYFUNCTION("""COMPUTED_VALUE"""),"shēnqǐng")</f>
        <v>shēnqǐng</v>
      </c>
      <c r="F1095" s="13" t="str">
        <f ca="1">IFERROR(__xludf.DUMMYFUNCTION("""COMPUTED_VALUE"""),"Động từ")</f>
        <v>Động từ</v>
      </c>
      <c r="G1095" s="13" t="str">
        <f ca="1">IFERROR(__xludf.DUMMYFUNCTION("""COMPUTED_VALUE"""),"xin")</f>
        <v>xin</v>
      </c>
      <c r="H1095" s="13" t="str">
        <f ca="1">IFERROR(__xludf.DUMMYFUNCTION("""COMPUTED_VALUE"""),"我打算申请那所大学。")</f>
        <v>我打算申请那所大学。</v>
      </c>
      <c r="I1095" s="13"/>
      <c r="J1095" s="13" t="str">
        <f ca="1">IFERROR(__xludf.DUMMYFUNCTION("""COMPUTED_VALUE"""),"Tôi dự định nộp đơn vào trường đại học đó.")</f>
        <v>Tôi dự định nộp đơn vào trường đại học đó.</v>
      </c>
      <c r="K1095" s="13" t="str">
        <f ca="1">IFERROR(__xludf.DUMMYFUNCTION("""COMPUTED_VALUE"""),"H4_B13_BG-25.png")</f>
        <v>H4_B13_BG-25.png</v>
      </c>
      <c r="L1095" s="13" t="str">
        <f ca="1">IFERROR(__xludf.DUMMYFUNCTION("""COMPUTED_VALUE"""),"B13_25.mp3")</f>
        <v>B13_25.mp3</v>
      </c>
      <c r="M1095" s="13" t="str">
        <f ca="1">IFERROR(__xludf.DUMMYFUNCTION("""COMPUTED_VALUE"""),"B13_VD_25.mp3")</f>
        <v>B13_VD_25.mp3</v>
      </c>
    </row>
    <row r="1096" spans="1:13">
      <c r="A1096" s="13">
        <f ca="1">IFERROR(__xludf.DUMMYFUNCTION("""COMPUTED_VALUE"""),26)</f>
        <v>26</v>
      </c>
      <c r="B1096" s="13"/>
      <c r="C1096" s="13" t="str">
        <f ca="1">IFERROR(__xludf.DUMMYFUNCTION("""COMPUTED_VALUE"""),"继续")</f>
        <v>继续</v>
      </c>
      <c r="D1096" s="13" t="str">
        <f ca="1">IFERROR(__xludf.DUMMYFUNCTION("""COMPUTED_VALUE"""),"&lt;ruby&gt;继续&lt;rt&gt;jìxù&lt;/rt&gt;&lt;/ruby&gt;")</f>
        <v>&lt;ruby&gt;继续&lt;rt&gt;jìxù&lt;/rt&gt;&lt;/ruby&gt;</v>
      </c>
      <c r="E1096" s="13" t="str">
        <f ca="1">IFERROR(__xludf.DUMMYFUNCTION("""COMPUTED_VALUE"""),"jìxù")</f>
        <v>jìxù</v>
      </c>
      <c r="F1096" s="13" t="str">
        <f ca="1">IFERROR(__xludf.DUMMYFUNCTION("""COMPUTED_VALUE"""),"Động từ")</f>
        <v>Động từ</v>
      </c>
      <c r="G1096" s="13" t="str">
        <f ca="1">IFERROR(__xludf.DUMMYFUNCTION("""COMPUTED_VALUE"""),"tiếp tục")</f>
        <v>tiếp tục</v>
      </c>
      <c r="H1096" s="13" t="str">
        <f ca="1">IFERROR(__xludf.DUMMYFUNCTION("""COMPUTED_VALUE"""),"尽管我已经吃药了，但咳嗽还是继续。")</f>
        <v>尽管我已经吃药了，但咳嗽还是继续。</v>
      </c>
      <c r="I1096" s="13"/>
      <c r="J1096" s="13" t="str">
        <f ca="1">IFERROR(__xludf.DUMMYFUNCTION("""COMPUTED_VALUE"""),"cơn ho của tôi vẫn tiếp tục dù đã uống thuốc.")</f>
        <v>cơn ho của tôi vẫn tiếp tục dù đã uống thuốc.</v>
      </c>
      <c r="K1096" s="13" t="str">
        <f ca="1">IFERROR(__xludf.DUMMYFUNCTION("""COMPUTED_VALUE"""),"H4_B13_BG-26.png")</f>
        <v>H4_B13_BG-26.png</v>
      </c>
      <c r="L1096" s="13" t="str">
        <f ca="1">IFERROR(__xludf.DUMMYFUNCTION("""COMPUTED_VALUE"""),"B13_26.mp3")</f>
        <v>B13_26.mp3</v>
      </c>
      <c r="M1096" s="13" t="str">
        <f ca="1">IFERROR(__xludf.DUMMYFUNCTION("""COMPUTED_VALUE"""),"B13_VD_26.mp3")</f>
        <v>B13_VD_26.mp3</v>
      </c>
    </row>
    <row r="1097" spans="1:13">
      <c r="A1097" s="13">
        <f ca="1">IFERROR(__xludf.DUMMYFUNCTION("""COMPUTED_VALUE"""),27)</f>
        <v>27</v>
      </c>
      <c r="B1097" s="13"/>
      <c r="C1097" s="13" t="str">
        <f ca="1">IFERROR(__xludf.DUMMYFUNCTION("""COMPUTED_VALUE"""),"由")</f>
        <v>由</v>
      </c>
      <c r="D1097" s="13" t="str">
        <f ca="1">IFERROR(__xludf.DUMMYFUNCTION("""COMPUTED_VALUE"""),"&lt;ruby&gt;由&lt;rt&gt;yóu&lt;/rt&gt;&lt;/ruby&gt;")</f>
        <v>&lt;ruby&gt;由&lt;rt&gt;yóu&lt;/rt&gt;&lt;/ruby&gt;</v>
      </c>
      <c r="E1097" s="13" t="str">
        <f ca="1">IFERROR(__xludf.DUMMYFUNCTION("""COMPUTED_VALUE"""),"yóu")</f>
        <v>yóu</v>
      </c>
      <c r="F1097" s="13" t="str">
        <f ca="1">IFERROR(__xludf.DUMMYFUNCTION("""COMPUTED_VALUE"""),"Giới từ")</f>
        <v>Giới từ</v>
      </c>
      <c r="G1097" s="13" t="str">
        <f ca="1">IFERROR(__xludf.DUMMYFUNCTION("""COMPUTED_VALUE"""),"do ")</f>
        <v xml:space="preserve">do </v>
      </c>
      <c r="H1097" s="13" t="str">
        <f ca="1">IFERROR(__xludf.DUMMYFUNCTION("""COMPUTED_VALUE"""),"这项工作由他负责。")</f>
        <v>这项工作由他负责。</v>
      </c>
      <c r="I1097" s="13"/>
      <c r="J1097" s="13" t="str">
        <f ca="1">IFERROR(__xludf.DUMMYFUNCTION("""COMPUTED_VALUE"""),"Công việc này do anh ấy phụ trách.")</f>
        <v>Công việc này do anh ấy phụ trách.</v>
      </c>
      <c r="K1097" s="13" t="str">
        <f ca="1">IFERROR(__xludf.DUMMYFUNCTION("""COMPUTED_VALUE"""),"H4_B13_BG-27.png")</f>
        <v>H4_B13_BG-27.png</v>
      </c>
      <c r="L1097" s="13" t="str">
        <f ca="1">IFERROR(__xludf.DUMMYFUNCTION("""COMPUTED_VALUE"""),"B13_27.mp3")</f>
        <v>B13_27.mp3</v>
      </c>
      <c r="M1097" s="13" t="str">
        <f ca="1">IFERROR(__xludf.DUMMYFUNCTION("""COMPUTED_VALUE"""),"B13_VD_27.mp3")</f>
        <v>B13_VD_27.mp3</v>
      </c>
    </row>
    <row r="1098" spans="1:13">
      <c r="A1098" s="13">
        <f ca="1">IFERROR(__xludf.DUMMYFUNCTION("""COMPUTED_VALUE"""),28)</f>
        <v>28</v>
      </c>
      <c r="B1098" s="13"/>
      <c r="C1098" s="13" t="str">
        <f ca="1">IFERROR(__xludf.DUMMYFUNCTION("""COMPUTED_VALUE"""),"讨论")</f>
        <v>讨论</v>
      </c>
      <c r="D1098" s="13" t="str">
        <f ca="1">IFERROR(__xludf.DUMMYFUNCTION("""COMPUTED_VALUE"""),"&lt;ruby&gt;讨论&lt;rt&gt;tǎolùn&lt;/rt&gt;&lt;/ruby&gt;")</f>
        <v>&lt;ruby&gt;讨论&lt;rt&gt;tǎolùn&lt;/rt&gt;&lt;/ruby&gt;</v>
      </c>
      <c r="E1098" s="13" t="str">
        <f ca="1">IFERROR(__xludf.DUMMYFUNCTION("""COMPUTED_VALUE"""),"tǎolùn")</f>
        <v>tǎolùn</v>
      </c>
      <c r="F1098" s="13" t="str">
        <f ca="1">IFERROR(__xludf.DUMMYFUNCTION("""COMPUTED_VALUE"""),"Động từ")</f>
        <v>Động từ</v>
      </c>
      <c r="G1098" s="13" t="str">
        <f ca="1">IFERROR(__xludf.DUMMYFUNCTION("""COMPUTED_VALUE"""),"thảo luận, bàn bạc")</f>
        <v>thảo luận, bàn bạc</v>
      </c>
      <c r="H1098" s="13" t="str">
        <f ca="1">IFERROR(__xludf.DUMMYFUNCTION("""COMPUTED_VALUE"""),"我们讨论旅游地点。")</f>
        <v>我们讨论旅游地点。</v>
      </c>
      <c r="I1098" s="13"/>
      <c r="J1098" s="13" t="str">
        <f ca="1">IFERROR(__xludf.DUMMYFUNCTION("""COMPUTED_VALUE"""),"chúng tôi thảo luận về địa điểm du lịch")</f>
        <v>chúng tôi thảo luận về địa điểm du lịch</v>
      </c>
      <c r="K1098" s="13" t="str">
        <f ca="1">IFERROR(__xludf.DUMMYFUNCTION("""COMPUTED_VALUE"""),"H4_B13_BG-28.png")</f>
        <v>H4_B13_BG-28.png</v>
      </c>
      <c r="L1098" s="13" t="str">
        <f ca="1">IFERROR(__xludf.DUMMYFUNCTION("""COMPUTED_VALUE"""),"B13_28.mp3")</f>
        <v>B13_28.mp3</v>
      </c>
      <c r="M1098" s="13" t="str">
        <f ca="1">IFERROR(__xludf.DUMMYFUNCTION("""COMPUTED_VALUE"""),"B13_VD_28.mp3")</f>
        <v>B13_VD_28.mp3</v>
      </c>
    </row>
    <row r="1099" spans="1:13">
      <c r="A1099" s="13">
        <f ca="1">IFERROR(__xludf.DUMMYFUNCTION("""COMPUTED_VALUE"""),29)</f>
        <v>29</v>
      </c>
      <c r="B1099" s="13"/>
      <c r="C1099" s="13" t="str">
        <f ca="1">IFERROR(__xludf.DUMMYFUNCTION("""COMPUTED_VALUE"""),"进行")</f>
        <v>进行</v>
      </c>
      <c r="D1099" s="13" t="str">
        <f ca="1">IFERROR(__xludf.DUMMYFUNCTION("""COMPUTED_VALUE"""),"&lt;ruby&gt;进行&lt;rt&gt;jìnxíng&lt;/rt&gt;&lt;/ruby&gt;")</f>
        <v>&lt;ruby&gt;进行&lt;rt&gt;jìnxíng&lt;/rt&gt;&lt;/ruby&gt;</v>
      </c>
      <c r="E1099" s="13" t="str">
        <f ca="1">IFERROR(__xludf.DUMMYFUNCTION("""COMPUTED_VALUE"""),"jìnxíng")</f>
        <v>jìnxíng</v>
      </c>
      <c r="F1099" s="13" t="str">
        <f ca="1">IFERROR(__xludf.DUMMYFUNCTION("""COMPUTED_VALUE"""),"Động từ")</f>
        <v>Động từ</v>
      </c>
      <c r="G1099" s="13" t="str">
        <f ca="1">IFERROR(__xludf.DUMMYFUNCTION("""COMPUTED_VALUE"""),"tiến hành, thực hiện")</f>
        <v>tiến hành, thực hiện</v>
      </c>
      <c r="H1099" s="13" t="str">
        <f ca="1">IFERROR(__xludf.DUMMYFUNCTION("""COMPUTED_VALUE"""),"他们正在进行科学实验。")</f>
        <v>他们正在进行科学实验。</v>
      </c>
      <c r="I1099" s="13"/>
      <c r="J1099" s="13" t="str">
        <f ca="1">IFERROR(__xludf.DUMMYFUNCTION("""COMPUTED_VALUE"""),"Họ đang tiến hành thí nghiệm khoa học.")</f>
        <v>Họ đang tiến hành thí nghiệm khoa học.</v>
      </c>
      <c r="K1099" s="13" t="str">
        <f ca="1">IFERROR(__xludf.DUMMYFUNCTION("""COMPUTED_VALUE"""),"H4_B13_BG-29.png")</f>
        <v>H4_B13_BG-29.png</v>
      </c>
      <c r="L1099" s="13" t="str">
        <f ca="1">IFERROR(__xludf.DUMMYFUNCTION("""COMPUTED_VALUE"""),"B13_29.mp3")</f>
        <v>B13_29.mp3</v>
      </c>
      <c r="M1099" s="13" t="str">
        <f ca="1">IFERROR(__xludf.DUMMYFUNCTION("""COMPUTED_VALUE"""),"B13_VD_29.mp3")</f>
        <v>B13_VD_29.mp3</v>
      </c>
    </row>
    <row r="1100" spans="1:13">
      <c r="A1100" s="13">
        <f ca="1">IFERROR(__xludf.DUMMYFUNCTION("""COMPUTED_VALUE"""),30)</f>
        <v>30</v>
      </c>
      <c r="B1100" s="13"/>
      <c r="C1100" s="13" t="str">
        <f ca="1">IFERROR(__xludf.DUMMYFUNCTION("""COMPUTED_VALUE"""),"错误")</f>
        <v>错误</v>
      </c>
      <c r="D1100" s="13" t="str">
        <f ca="1">IFERROR(__xludf.DUMMYFUNCTION("""COMPUTED_VALUE"""),"&lt;ruby&gt;错误&lt;rt&gt;cuòwù&lt;/rt&gt;&lt;/ruby&gt;")</f>
        <v>&lt;ruby&gt;错误&lt;rt&gt;cuòwù&lt;/rt&gt;&lt;/ruby&gt;</v>
      </c>
      <c r="E1100" s="13" t="str">
        <f ca="1">IFERROR(__xludf.DUMMYFUNCTION("""COMPUTED_VALUE"""),"cuòwù")</f>
        <v>cuòwù</v>
      </c>
      <c r="F1100" s="13" t="str">
        <f ca="1">IFERROR(__xludf.DUMMYFUNCTION("""COMPUTED_VALUE"""),"Tính từ")</f>
        <v>Tính từ</v>
      </c>
      <c r="G1100" s="13" t="str">
        <f ca="1">IFERROR(__xludf.DUMMYFUNCTION("""COMPUTED_VALUE"""),"sai")</f>
        <v>sai</v>
      </c>
      <c r="H1100" s="13" t="str">
        <f ca="1">IFERROR(__xludf.DUMMYFUNCTION("""COMPUTED_VALUE"""),"这个答案是错误的。")</f>
        <v>这个答案是错误的。</v>
      </c>
      <c r="I1100" s="13"/>
      <c r="J1100" s="13" t="str">
        <f ca="1">IFERROR(__xludf.DUMMYFUNCTION("""COMPUTED_VALUE"""),"Đáp án này là sai.")</f>
        <v>Đáp án này là sai.</v>
      </c>
      <c r="K1100" s="13" t="str">
        <f ca="1">IFERROR(__xludf.DUMMYFUNCTION("""COMPUTED_VALUE"""),"H4_B13_BG-30.png")</f>
        <v>H4_B13_BG-30.png</v>
      </c>
      <c r="L1100" s="13" t="str">
        <f ca="1">IFERROR(__xludf.DUMMYFUNCTION("""COMPUTED_VALUE"""),"B13_30.mp3")</f>
        <v>B13_30.mp3</v>
      </c>
      <c r="M1100" s="13" t="str">
        <f ca="1">IFERROR(__xludf.DUMMYFUNCTION("""COMPUTED_VALUE"""),"B13_VD_30.mp3")</f>
        <v>B13_VD_30.mp3</v>
      </c>
    </row>
    <row r="1101" spans="1:13">
      <c r="A1101" s="13">
        <f ca="1">IFERROR(__xludf.DUMMYFUNCTION("""COMPUTED_VALUE"""),31)</f>
        <v>31</v>
      </c>
      <c r="B1101" s="13"/>
      <c r="C1101" s="13" t="str">
        <f ca="1">IFERROR(__xludf.DUMMYFUNCTION("""COMPUTED_VALUE"""),"随着")</f>
        <v>随着</v>
      </c>
      <c r="D1101" s="13" t="str">
        <f ca="1">IFERROR(__xludf.DUMMYFUNCTION("""COMPUTED_VALUE"""),"&lt;ruby&gt;随着&lt;rt&gt;suízhe&lt;/rt&gt;&lt;/ruby&gt;")</f>
        <v>&lt;ruby&gt;随着&lt;rt&gt;suízhe&lt;/rt&gt;&lt;/ruby&gt;</v>
      </c>
      <c r="E1101" s="13" t="str">
        <f ca="1">IFERROR(__xludf.DUMMYFUNCTION("""COMPUTED_VALUE"""),"suízhe")</f>
        <v>suízhe</v>
      </c>
      <c r="F1101" s="13" t="str">
        <f ca="1">IFERROR(__xludf.DUMMYFUNCTION("""COMPUTED_VALUE"""),"Giới từ")</f>
        <v>Giới từ</v>
      </c>
      <c r="G1101" s="13" t="str">
        <f ca="1">IFERROR(__xludf.DUMMYFUNCTION("""COMPUTED_VALUE"""),"cùng với")</f>
        <v>cùng với</v>
      </c>
      <c r="H1101" s="13" t="str">
        <f ca="1">IFERROR(__xludf.DUMMYFUNCTION("""COMPUTED_VALUE"""),"随着私家车的增加，城市污染越来越严重。")</f>
        <v>随着私家车的增加，城市污染越来越严重。</v>
      </c>
      <c r="I1101" s="13"/>
      <c r="J1101" s="13" t="str">
        <f ca="1">IFERROR(__xludf.DUMMYFUNCTION("""COMPUTED_VALUE"""),"Theo sự gia tăng của ô tô tư nhân, ô nhiễm ở thành phố ngày càng nghiêm trọng.")</f>
        <v>Theo sự gia tăng của ô tô tư nhân, ô nhiễm ở thành phố ngày càng nghiêm trọng.</v>
      </c>
      <c r="K1101" s="13" t="str">
        <f ca="1">IFERROR(__xludf.DUMMYFUNCTION("""COMPUTED_VALUE"""),"H4_B13_BG-31.png")</f>
        <v>H4_B13_BG-31.png</v>
      </c>
      <c r="L1101" s="13" t="str">
        <f ca="1">IFERROR(__xludf.DUMMYFUNCTION("""COMPUTED_VALUE"""),"B13_31.mp3")</f>
        <v>B13_31.mp3</v>
      </c>
      <c r="M1101" s="13" t="str">
        <f ca="1">IFERROR(__xludf.DUMMYFUNCTION("""COMPUTED_VALUE"""),"B13_VD_31.mp3")</f>
        <v>B13_VD_31.mp3</v>
      </c>
    </row>
    <row r="1102" spans="1:13">
      <c r="A1102" s="13">
        <f ca="1">IFERROR(__xludf.DUMMYFUNCTION("""COMPUTED_VALUE"""),32)</f>
        <v>32</v>
      </c>
      <c r="B1102" s="13"/>
      <c r="C1102" s="13" t="str">
        <f ca="1">IFERROR(__xludf.DUMMYFUNCTION("""COMPUTED_VALUE"""),"普遍")</f>
        <v>普遍</v>
      </c>
      <c r="D1102" s="13" t="str">
        <f ca="1">IFERROR(__xludf.DUMMYFUNCTION("""COMPUTED_VALUE"""),"&lt;ruby&gt;普遍&lt;rt&gt;pǔbiàn&lt;/rt&gt;&lt;/ruby&gt;")</f>
        <v>&lt;ruby&gt;普遍&lt;rt&gt;pǔbiàn&lt;/rt&gt;&lt;/ruby&gt;</v>
      </c>
      <c r="E1102" s="13" t="str">
        <f ca="1">IFERROR(__xludf.DUMMYFUNCTION("""COMPUTED_VALUE"""),"pǔbiàn")</f>
        <v>pǔbiàn</v>
      </c>
      <c r="F1102" s="13" t="str">
        <f ca="1">IFERROR(__xludf.DUMMYFUNCTION("""COMPUTED_VALUE"""),"Tính từ")</f>
        <v>Tính từ</v>
      </c>
      <c r="G1102" s="13" t="str">
        <f ca="1">IFERROR(__xludf.DUMMYFUNCTION("""COMPUTED_VALUE"""),"phổ biến")</f>
        <v>phổ biến</v>
      </c>
      <c r="H1102" s="13" t="str">
        <f ca="1">IFERROR(__xludf.DUMMYFUNCTION("""COMPUTED_VALUE"""),"射箭在我所在的地区不太普遍。")</f>
        <v>射箭在我所在的地区不太普遍。</v>
      </c>
      <c r="I1102" s="13"/>
      <c r="J1102" s="13" t="str">
        <f ca="1">IFERROR(__xludf.DUMMYFUNCTION("""COMPUTED_VALUE"""),"bắn cung là bộ môn không mấy phổ biến ở khu vực của tôi")</f>
        <v>bắn cung là bộ môn không mấy phổ biến ở khu vực của tôi</v>
      </c>
      <c r="K1102" s="13" t="str">
        <f ca="1">IFERROR(__xludf.DUMMYFUNCTION("""COMPUTED_VALUE"""),"H4_B13_BG-32.png")</f>
        <v>H4_B13_BG-32.png</v>
      </c>
      <c r="L1102" s="13" t="str">
        <f ca="1">IFERROR(__xludf.DUMMYFUNCTION("""COMPUTED_VALUE"""),"B13_32.mp3")</f>
        <v>B13_32.mp3</v>
      </c>
      <c r="M1102" s="13" t="str">
        <f ca="1">IFERROR(__xludf.DUMMYFUNCTION("""COMPUTED_VALUE"""),"B13_VD_32.mp3")</f>
        <v>B13_VD_32.mp3</v>
      </c>
    </row>
    <row r="1103" spans="1:13">
      <c r="A1103" s="13">
        <f ca="1">IFERROR(__xludf.DUMMYFUNCTION("""COMPUTED_VALUE"""),33)</f>
        <v>33</v>
      </c>
      <c r="B1103" s="13"/>
      <c r="C1103" s="13" t="str">
        <f ca="1">IFERROR(__xludf.DUMMYFUNCTION("""COMPUTED_VALUE"""),"部分")</f>
        <v>部分</v>
      </c>
      <c r="D1103" s="13" t="str">
        <f ca="1">IFERROR(__xludf.DUMMYFUNCTION("""COMPUTED_VALUE"""),"&lt;ruby&gt;部分&lt;rt&gt;bùfen&lt;/rt&gt;&lt;/ruby&gt;")</f>
        <v>&lt;ruby&gt;部分&lt;rt&gt;bùfen&lt;/rt&gt;&lt;/ruby&gt;</v>
      </c>
      <c r="E1103" s="13" t="str">
        <f ca="1">IFERROR(__xludf.DUMMYFUNCTION("""COMPUTED_VALUE"""),"bùfen")</f>
        <v>bùfen</v>
      </c>
      <c r="F1103" s="13" t="str">
        <f ca="1">IFERROR(__xludf.DUMMYFUNCTION("""COMPUTED_VALUE"""),"Danh từ")</f>
        <v>Danh từ</v>
      </c>
      <c r="G1103" s="13" t="str">
        <f ca="1">IFERROR(__xludf.DUMMYFUNCTION("""COMPUTED_VALUE"""),"phần, bộ phận")</f>
        <v>phần, bộ phận</v>
      </c>
      <c r="H1103" s="13" t="str">
        <f ca="1">IFERROR(__xludf.DUMMYFUNCTION("""COMPUTED_VALUE"""),"我只吃了一部分蛋糕。")</f>
        <v>我只吃了一部分蛋糕。</v>
      </c>
      <c r="I1103" s="13"/>
      <c r="J1103" s="13" t="str">
        <f ca="1">IFERROR(__xludf.DUMMYFUNCTION("""COMPUTED_VALUE"""),"Tôi chỉ ăn một phần bánh.")</f>
        <v>Tôi chỉ ăn một phần bánh.</v>
      </c>
      <c r="K1103" s="13" t="str">
        <f ca="1">IFERROR(__xludf.DUMMYFUNCTION("""COMPUTED_VALUE"""),"H4_B13_BG-33.png")</f>
        <v>H4_B13_BG-33.png</v>
      </c>
      <c r="L1103" s="13" t="str">
        <f ca="1">IFERROR(__xludf.DUMMYFUNCTION("""COMPUTED_VALUE"""),"B13_33.mp3")</f>
        <v>B13_33.mp3</v>
      </c>
      <c r="M1103" s="13" t="str">
        <f ca="1">IFERROR(__xludf.DUMMYFUNCTION("""COMPUTED_VALUE"""),"B13_VD_33.mp3")</f>
        <v>B13_VD_33.mp3</v>
      </c>
    </row>
    <row r="1104" spans="1:13">
      <c r="A1104" s="13">
        <f ca="1">IFERROR(__xludf.DUMMYFUNCTION("""COMPUTED_VALUE"""),1)</f>
        <v>1</v>
      </c>
      <c r="B1104" s="13"/>
      <c r="C1104" s="13" t="str">
        <f ca="1">IFERROR(__xludf.DUMMYFUNCTION("""COMPUTED_VALUE"""),"出差")</f>
        <v>出差</v>
      </c>
      <c r="D1104" s="13" t="str">
        <f ca="1">IFERROR(__xludf.DUMMYFUNCTION("""COMPUTED_VALUE"""),"&lt;ruby&gt;出差&lt;rt&gt;chū chāi&lt;/rt&gt;&lt;/ruby&gt;")</f>
        <v>&lt;ruby&gt;出差&lt;rt&gt;chū chāi&lt;/rt&gt;&lt;/ruby&gt;</v>
      </c>
      <c r="E1104" s="13" t="str">
        <f ca="1">IFERROR(__xludf.DUMMYFUNCTION("""COMPUTED_VALUE"""),"chū chāi")</f>
        <v>chū chāi</v>
      </c>
      <c r="F1104" s="13" t="str">
        <f ca="1">IFERROR(__xludf.DUMMYFUNCTION("""COMPUTED_VALUE"""),"Động từ")</f>
        <v>Động từ</v>
      </c>
      <c r="G1104" s="13" t="str">
        <f ca="1">IFERROR(__xludf.DUMMYFUNCTION("""COMPUTED_VALUE"""),"đi công tác")</f>
        <v>đi công tác</v>
      </c>
      <c r="H1104" s="13" t="str">
        <f ca="1">IFERROR(__xludf.DUMMYFUNCTION("""COMPUTED_VALUE"""),"经理派我出差。")</f>
        <v>经理派我出差。</v>
      </c>
      <c r="I1104" s="13"/>
      <c r="J1104" s="13" t="str">
        <f ca="1">IFERROR(__xludf.DUMMYFUNCTION("""COMPUTED_VALUE"""),"Sếp cử tôi đi công tác.")</f>
        <v>Sếp cử tôi đi công tác.</v>
      </c>
      <c r="K1104" s="13" t="str">
        <f ca="1">IFERROR(__xludf.DUMMYFUNCTION("""COMPUTED_VALUE"""),"H4_B14_BG-01.png")</f>
        <v>H4_B14_BG-01.png</v>
      </c>
      <c r="L1104" s="13" t="str">
        <f ca="1">IFERROR(__xludf.DUMMYFUNCTION("""COMPUTED_VALUE"""),"B14_1.mp3")</f>
        <v>B14_1.mp3</v>
      </c>
      <c r="M1104" s="13" t="str">
        <f ca="1">IFERROR(__xludf.DUMMYFUNCTION("""COMPUTED_VALUE"""),"B14_VD_1.mp3")</f>
        <v>B14_VD_1.mp3</v>
      </c>
    </row>
    <row r="1105" spans="1:13">
      <c r="A1105" s="13">
        <f ca="1">IFERROR(__xludf.DUMMYFUNCTION("""COMPUTED_VALUE"""),2)</f>
        <v>2</v>
      </c>
      <c r="B1105" s="13"/>
      <c r="C1105" s="13" t="str">
        <f ca="1">IFERROR(__xludf.DUMMYFUNCTION("""COMPUTED_VALUE"""),"乘坐")</f>
        <v>乘坐</v>
      </c>
      <c r="D1105" s="13" t="str">
        <f ca="1">IFERROR(__xludf.DUMMYFUNCTION("""COMPUTED_VALUE"""),"&lt;ruby&gt;乘坐&lt;rt&gt;chéngzuò&lt;/rt&gt;&lt;/ruby&gt;")</f>
        <v>&lt;ruby&gt;乘坐&lt;rt&gt;chéngzuò&lt;/rt&gt;&lt;/ruby&gt;</v>
      </c>
      <c r="E1105" s="13" t="str">
        <f ca="1">IFERROR(__xludf.DUMMYFUNCTION("""COMPUTED_VALUE"""),"chéngzuò")</f>
        <v>chéngzuò</v>
      </c>
      <c r="F1105" s="13" t="str">
        <f ca="1">IFERROR(__xludf.DUMMYFUNCTION("""COMPUTED_VALUE"""),"Động từ")</f>
        <v>Động từ</v>
      </c>
      <c r="G1105" s="13" t="str">
        <f ca="1">IFERROR(__xludf.DUMMYFUNCTION("""COMPUTED_VALUE"""),"đi, đáp (xe buýt...)")</f>
        <v>đi, đáp (xe buýt...)</v>
      </c>
      <c r="H1105" s="13" t="str">
        <f ca="1">IFERROR(__xludf.DUMMYFUNCTION("""COMPUTED_VALUE"""),"她每天乘坐公交车。")</f>
        <v>她每天乘坐公交车。</v>
      </c>
      <c r="I1105" s="13"/>
      <c r="J1105" s="13" t="str">
        <f ca="1">IFERROR(__xludf.DUMMYFUNCTION("""COMPUTED_VALUE"""),"Cô ấy đi xe buýt mỗi ngày.")</f>
        <v>Cô ấy đi xe buýt mỗi ngày.</v>
      </c>
      <c r="K1105" s="13" t="str">
        <f ca="1">IFERROR(__xludf.DUMMYFUNCTION("""COMPUTED_VALUE"""),"H4_B14_BG-02.png")</f>
        <v>H4_B14_BG-02.png</v>
      </c>
      <c r="L1105" s="13" t="str">
        <f ca="1">IFERROR(__xludf.DUMMYFUNCTION("""COMPUTED_VALUE"""),"B14_2.mp3")</f>
        <v>B14_2.mp3</v>
      </c>
      <c r="M1105" s="13" t="str">
        <f ca="1">IFERROR(__xludf.DUMMYFUNCTION("""COMPUTED_VALUE"""),"B14_VD_2.mp3")</f>
        <v>B14_VD_2.mp3</v>
      </c>
    </row>
    <row r="1106" spans="1:13">
      <c r="A1106" s="13">
        <f ca="1">IFERROR(__xludf.DUMMYFUNCTION("""COMPUTED_VALUE"""),3)</f>
        <v>3</v>
      </c>
      <c r="B1106" s="13"/>
      <c r="C1106" s="13" t="str">
        <f ca="1">IFERROR(__xludf.DUMMYFUNCTION("""COMPUTED_VALUE"""),"目的")</f>
        <v>目的</v>
      </c>
      <c r="D1106" s="13" t="str">
        <f ca="1">IFERROR(__xludf.DUMMYFUNCTION("""COMPUTED_VALUE"""),"&lt;ruby&gt;目的&lt;rt&gt;mùdì&lt;/rt&gt;&lt;/ruby&gt;")</f>
        <v>&lt;ruby&gt;目的&lt;rt&gt;mùdì&lt;/rt&gt;&lt;/ruby&gt;</v>
      </c>
      <c r="E1106" s="13" t="str">
        <f ca="1">IFERROR(__xludf.DUMMYFUNCTION("""COMPUTED_VALUE"""),"mùdì")</f>
        <v>mùdì</v>
      </c>
      <c r="F1106" s="13" t="str">
        <f ca="1">IFERROR(__xludf.DUMMYFUNCTION("""COMPUTED_VALUE"""),"Danh từ")</f>
        <v>Danh từ</v>
      </c>
      <c r="G1106" s="13" t="str">
        <f ca="1">IFERROR(__xludf.DUMMYFUNCTION("""COMPUTED_VALUE"""),"mục đích")</f>
        <v>mục đích</v>
      </c>
      <c r="H1106" s="13" t="str">
        <f ca="1">IFERROR(__xludf.DUMMYFUNCTION("""COMPUTED_VALUE"""),"我的目的是去那里欣赏泉水。")</f>
        <v>我的目的是去那里欣赏泉水。</v>
      </c>
      <c r="I1106" s="13"/>
      <c r="J1106" s="13" t="str">
        <f ca="1">IFERROR(__xludf.DUMMYFUNCTION("""COMPUTED_VALUE"""),"mục đích của tôi là đến đó để có thể ngắm suối")</f>
        <v>mục đích của tôi là đến đó để có thể ngắm suối</v>
      </c>
      <c r="K1106" s="13" t="str">
        <f ca="1">IFERROR(__xludf.DUMMYFUNCTION("""COMPUTED_VALUE"""),"H4_B14_BG-03.png")</f>
        <v>H4_B14_BG-03.png</v>
      </c>
      <c r="L1106" s="13" t="str">
        <f ca="1">IFERROR(__xludf.DUMMYFUNCTION("""COMPUTED_VALUE"""),"B14_3.mp3")</f>
        <v>B14_3.mp3</v>
      </c>
      <c r="M1106" s="13" t="str">
        <f ca="1">IFERROR(__xludf.DUMMYFUNCTION("""COMPUTED_VALUE"""),"B14_VD_3.mp3")</f>
        <v>B14_VD_3.mp3</v>
      </c>
    </row>
    <row r="1107" spans="1:13">
      <c r="A1107" s="13">
        <f ca="1">IFERROR(__xludf.DUMMYFUNCTION("""COMPUTED_VALUE"""),4)</f>
        <v>4</v>
      </c>
      <c r="B1107" s="13"/>
      <c r="C1107" s="13" t="str">
        <f ca="1">IFERROR(__xludf.DUMMYFUNCTION("""COMPUTED_VALUE"""),"速度")</f>
        <v>速度</v>
      </c>
      <c r="D1107" s="13" t="str">
        <f ca="1">IFERROR(__xludf.DUMMYFUNCTION("""COMPUTED_VALUE"""),"&lt;ruby&gt;速度&lt;rt&gt;sùdù&lt;/rt&gt;&lt;/ruby&gt;")</f>
        <v>&lt;ruby&gt;速度&lt;rt&gt;sùdù&lt;/rt&gt;&lt;/ruby&gt;</v>
      </c>
      <c r="E1107" s="13" t="str">
        <f ca="1">IFERROR(__xludf.DUMMYFUNCTION("""COMPUTED_VALUE"""),"sùdù")</f>
        <v>sùdù</v>
      </c>
      <c r="F1107" s="13" t="str">
        <f ca="1">IFERROR(__xludf.DUMMYFUNCTION("""COMPUTED_VALUE"""),"Danh từ")</f>
        <v>Danh từ</v>
      </c>
      <c r="G1107" s="13" t="str">
        <f ca="1">IFERROR(__xludf.DUMMYFUNCTION("""COMPUTED_VALUE"""),"tốc độ")</f>
        <v>tốc độ</v>
      </c>
      <c r="H1107" s="13" t="str">
        <f ca="1">IFERROR(__xludf.DUMMYFUNCTION("""COMPUTED_VALUE"""),"飞机的速度高达900公里每小时。")</f>
        <v>飞机的速度高达900公里每小时。</v>
      </c>
      <c r="I1107" s="13"/>
      <c r="J1107" s="13" t="str">
        <f ca="1">IFERROR(__xludf.DUMMYFUNCTION("""COMPUTED_VALUE"""),"tốc độ của máy bay lên tới 900km/h.")</f>
        <v>tốc độ của máy bay lên tới 900km/h.</v>
      </c>
      <c r="K1107" s="13" t="str">
        <f ca="1">IFERROR(__xludf.DUMMYFUNCTION("""COMPUTED_VALUE"""),"H4_B14_BG-04.png")</f>
        <v>H4_B14_BG-04.png</v>
      </c>
      <c r="L1107" s="13" t="str">
        <f ca="1">IFERROR(__xludf.DUMMYFUNCTION("""COMPUTED_VALUE"""),"B14_4.mp3")</f>
        <v>B14_4.mp3</v>
      </c>
      <c r="M1107" s="13" t="str">
        <f ca="1">IFERROR(__xludf.DUMMYFUNCTION("""COMPUTED_VALUE"""),"B14_VD_4.mp3")</f>
        <v>B14_VD_4.mp3</v>
      </c>
    </row>
    <row r="1108" spans="1:13">
      <c r="A1108" s="13">
        <f ca="1">IFERROR(__xludf.DUMMYFUNCTION("""COMPUTED_VALUE"""),5)</f>
        <v>5</v>
      </c>
      <c r="B1108" s="13"/>
      <c r="C1108" s="13" t="str">
        <f ca="1">IFERROR(__xludf.DUMMYFUNCTION("""COMPUTED_VALUE"""),"停")</f>
        <v>停</v>
      </c>
      <c r="D1108" s="13" t="str">
        <f ca="1">IFERROR(__xludf.DUMMYFUNCTION("""COMPUTED_VALUE"""),"&lt;ruby&gt;停&lt;rt&gt;tíng&lt;/rt&gt;&lt;/ruby&gt;")</f>
        <v>&lt;ruby&gt;停&lt;rt&gt;tíng&lt;/rt&gt;&lt;/ruby&gt;</v>
      </c>
      <c r="E1108" s="13" t="str">
        <f ca="1">IFERROR(__xludf.DUMMYFUNCTION("""COMPUTED_VALUE"""),"tíng")</f>
        <v>tíng</v>
      </c>
      <c r="F1108" s="13" t="str">
        <f ca="1">IFERROR(__xludf.DUMMYFUNCTION("""COMPUTED_VALUE"""),"Động từ")</f>
        <v>Động từ</v>
      </c>
      <c r="G1108" s="13" t="str">
        <f ca="1">IFERROR(__xludf.DUMMYFUNCTION("""COMPUTED_VALUE"""),"ngừng, cúp, cắt")</f>
        <v>ngừng, cúp, cắt</v>
      </c>
      <c r="H1108" s="13" t="str">
        <f ca="1">IFERROR(__xludf.DUMMYFUNCTION("""COMPUTED_VALUE"""),"他停下脚步，观察四周。")</f>
        <v>他停下脚步，观察四周。</v>
      </c>
      <c r="I1108" s="13"/>
      <c r="J1108" s="13" t="str">
        <f ca="1">IFERROR(__xludf.DUMMYFUNCTION("""COMPUTED_VALUE"""),"Anh ấy dừng bước, quan sát xung quanh.")</f>
        <v>Anh ấy dừng bước, quan sát xung quanh.</v>
      </c>
      <c r="K1108" s="13" t="str">
        <f ca="1">IFERROR(__xludf.DUMMYFUNCTION("""COMPUTED_VALUE"""),"H4_B14_BG-05.png")</f>
        <v>H4_B14_BG-05.png</v>
      </c>
      <c r="L1108" s="13" t="str">
        <f ca="1">IFERROR(__xludf.DUMMYFUNCTION("""COMPUTED_VALUE"""),"B14_5.mp3")</f>
        <v>B14_5.mp3</v>
      </c>
      <c r="M1108" s="13" t="str">
        <f ca="1">IFERROR(__xludf.DUMMYFUNCTION("""COMPUTED_VALUE"""),"B14_VD_5.mp3")</f>
        <v>B14_VD_5.mp3</v>
      </c>
    </row>
    <row r="1109" spans="1:13">
      <c r="A1109" s="13">
        <f ca="1">IFERROR(__xludf.DUMMYFUNCTION("""COMPUTED_VALUE"""),6)</f>
        <v>6</v>
      </c>
      <c r="B1109" s="13"/>
      <c r="C1109" s="13" t="str">
        <f ca="1">IFERROR(__xludf.DUMMYFUNCTION("""COMPUTED_VALUE"""),"省")</f>
        <v>省</v>
      </c>
      <c r="D1109" s="13" t="str">
        <f ca="1">IFERROR(__xludf.DUMMYFUNCTION("""COMPUTED_VALUE"""),"&lt;ruby&gt;省&lt;rt&gt;shěng&lt;/rt&gt;&lt;/ruby&gt;")</f>
        <v>&lt;ruby&gt;省&lt;rt&gt;shěng&lt;/rt&gt;&lt;/ruby&gt;</v>
      </c>
      <c r="E1109" s="13" t="str">
        <f ca="1">IFERROR(__xludf.DUMMYFUNCTION("""COMPUTED_VALUE"""),"shěng")</f>
        <v>shěng</v>
      </c>
      <c r="F1109" s="13" t="str">
        <f ca="1">IFERROR(__xludf.DUMMYFUNCTION("""COMPUTED_VALUE"""),"Động từ")</f>
        <v>Động từ</v>
      </c>
      <c r="G1109" s="13" t="str">
        <f ca="1">IFERROR(__xludf.DUMMYFUNCTION("""COMPUTED_VALUE"""),"tiết kiệm")</f>
        <v>tiết kiệm</v>
      </c>
      <c r="H1109" s="13" t="str">
        <f ca="1">IFERROR(__xludf.DUMMYFUNCTION("""COMPUTED_VALUE"""),"我们需要省钱。")</f>
        <v>我们需要省钱。</v>
      </c>
      <c r="I1109" s="13"/>
      <c r="J1109" s="13" t="str">
        <f ca="1">IFERROR(__xludf.DUMMYFUNCTION("""COMPUTED_VALUE"""),"Chúng ta cần phải tiết kiệm tiền.")</f>
        <v>Chúng ta cần phải tiết kiệm tiền.</v>
      </c>
      <c r="K1109" s="13" t="str">
        <f ca="1">IFERROR(__xludf.DUMMYFUNCTION("""COMPUTED_VALUE"""),"H4_B14_BG-06.png")</f>
        <v>H4_B14_BG-06.png</v>
      </c>
      <c r="L1109" s="13" t="str">
        <f ca="1">IFERROR(__xludf.DUMMYFUNCTION("""COMPUTED_VALUE"""),"B14_6.mp3")</f>
        <v>B14_6.mp3</v>
      </c>
      <c r="M1109" s="13" t="str">
        <f ca="1">IFERROR(__xludf.DUMMYFUNCTION("""COMPUTED_VALUE"""),"B14_VD_6.mp3")</f>
        <v>B14_VD_6.mp3</v>
      </c>
    </row>
    <row r="1110" spans="1:13">
      <c r="A1110" s="13">
        <f ca="1">IFERROR(__xludf.DUMMYFUNCTION("""COMPUTED_VALUE"""),7)</f>
        <v>7</v>
      </c>
      <c r="B1110" s="13"/>
      <c r="C1110" s="13" t="str">
        <f ca="1">IFERROR(__xludf.DUMMYFUNCTION("""COMPUTED_VALUE"""),"以")</f>
        <v>以</v>
      </c>
      <c r="D1110" s="13" t="str">
        <f ca="1">IFERROR(__xludf.DUMMYFUNCTION("""COMPUTED_VALUE"""),"&lt;ruby&gt;以&lt;rt&gt;yǐ&lt;/rt&gt;&lt;/ruby&gt;")</f>
        <v>&lt;ruby&gt;以&lt;rt&gt;yǐ&lt;/rt&gt;&lt;/ruby&gt;</v>
      </c>
      <c r="E1110" s="13" t="str">
        <f ca="1">IFERROR(__xludf.DUMMYFUNCTION("""COMPUTED_VALUE"""),"yǐ")</f>
        <v>yǐ</v>
      </c>
      <c r="F1110" s="13" t="str">
        <f ca="1">IFERROR(__xludf.DUMMYFUNCTION("""COMPUTED_VALUE"""),"Giới từ")</f>
        <v>Giới từ</v>
      </c>
      <c r="G1110" s="13" t="str">
        <f ca="1">IFERROR(__xludf.DUMMYFUNCTION("""COMPUTED_VALUE"""),"dựa vào, bằng")</f>
        <v>dựa vào, bằng</v>
      </c>
      <c r="H1110" s="13" t="str">
        <f ca="1">IFERROR(__xludf.DUMMYFUNCTION("""COMPUTED_VALUE"""),"我们以计划行事。")</f>
        <v>我们以计划行事。</v>
      </c>
      <c r="I1110" s="13"/>
      <c r="J1110" s="13" t="str">
        <f ca="1">IFERROR(__xludf.DUMMYFUNCTION("""COMPUTED_VALUE"""),"Chúng tôi hành động theo kế hoạch.")</f>
        <v>Chúng tôi hành động theo kế hoạch.</v>
      </c>
      <c r="K1110" s="13" t="str">
        <f ca="1">IFERROR(__xludf.DUMMYFUNCTION("""COMPUTED_VALUE"""),"H4_B14_BG-07.png")</f>
        <v>H4_B14_BG-07.png</v>
      </c>
      <c r="L1110" s="13" t="str">
        <f ca="1">IFERROR(__xludf.DUMMYFUNCTION("""COMPUTED_VALUE"""),"B14_7.mp3")</f>
        <v>B14_7.mp3</v>
      </c>
      <c r="M1110" s="13" t="str">
        <f ca="1">IFERROR(__xludf.DUMMYFUNCTION("""COMPUTED_VALUE"""),"B14_VD_7.mp3")</f>
        <v>B14_VD_7.mp3</v>
      </c>
    </row>
    <row r="1111" spans="1:13">
      <c r="A1111" s="13">
        <f ca="1">IFERROR(__xludf.DUMMYFUNCTION("""COMPUTED_VALUE"""),8)</f>
        <v>8</v>
      </c>
      <c r="B1111" s="13"/>
      <c r="C1111" s="13" t="str">
        <f ca="1">IFERROR(__xludf.DUMMYFUNCTION("""COMPUTED_VALUE"""),"既然")</f>
        <v>既然</v>
      </c>
      <c r="D1111" s="13" t="str">
        <f ca="1">IFERROR(__xludf.DUMMYFUNCTION("""COMPUTED_VALUE"""),"&lt;ruby&gt;既然&lt;rt&gt;jìrán&lt;/rt&gt;&lt;/ruby&gt;")</f>
        <v>&lt;ruby&gt;既然&lt;rt&gt;jìrán&lt;/rt&gt;&lt;/ruby&gt;</v>
      </c>
      <c r="E1111" s="13" t="str">
        <f ca="1">IFERROR(__xludf.DUMMYFUNCTION("""COMPUTED_VALUE"""),"jìrán")</f>
        <v>jìrán</v>
      </c>
      <c r="F1111" s="13" t="str">
        <f ca="1">IFERROR(__xludf.DUMMYFUNCTION("""COMPUTED_VALUE"""),"Liên từ")</f>
        <v>Liên từ</v>
      </c>
      <c r="G1111" s="13" t="str">
        <f ca="1">IFERROR(__xludf.DUMMYFUNCTION("""COMPUTED_VALUE"""),"vì, đã... thì...")</f>
        <v>vì, đã... thì...</v>
      </c>
      <c r="H1111" s="13" t="str">
        <f ca="1">IFERROR(__xludf.DUMMYFUNCTION("""COMPUTED_VALUE"""),"既然我保持健康，就不用吃药了。")</f>
        <v>既然我保持健康，就不用吃药了。</v>
      </c>
      <c r="I1111" s="13"/>
      <c r="J1111" s="13" t="str">
        <f ca="1">IFERROR(__xludf.DUMMYFUNCTION("""COMPUTED_VALUE"""),"nếu tôi giữ sức khỏe thì đã không phải uống thuốc")</f>
        <v>nếu tôi giữ sức khỏe thì đã không phải uống thuốc</v>
      </c>
      <c r="K1111" s="13" t="str">
        <f ca="1">IFERROR(__xludf.DUMMYFUNCTION("""COMPUTED_VALUE"""),"H4_B14_BG-08.png")</f>
        <v>H4_B14_BG-08.png</v>
      </c>
      <c r="L1111" s="13" t="str">
        <f ca="1">IFERROR(__xludf.DUMMYFUNCTION("""COMPUTED_VALUE"""),"B14_8.mp3")</f>
        <v>B14_8.mp3</v>
      </c>
      <c r="M1111" s="13" t="str">
        <f ca="1">IFERROR(__xludf.DUMMYFUNCTION("""COMPUTED_VALUE"""),"B14_VD_8.mp3")</f>
        <v>B14_VD_8.mp3</v>
      </c>
    </row>
    <row r="1112" spans="1:13">
      <c r="A1112" s="13">
        <f ca="1">IFERROR(__xludf.DUMMYFUNCTION("""COMPUTED_VALUE"""),9)</f>
        <v>9</v>
      </c>
      <c r="B1112" s="13"/>
      <c r="C1112" s="13" t="str">
        <f ca="1">IFERROR(__xludf.DUMMYFUNCTION("""COMPUTED_VALUE"""),"于是")</f>
        <v>于是</v>
      </c>
      <c r="D1112" s="13" t="str">
        <f ca="1">IFERROR(__xludf.DUMMYFUNCTION("""COMPUTED_VALUE"""),"&lt;ruby&gt;于是&lt;rt&gt;yúshì&lt;/rt&gt;&lt;/ruby&gt;")</f>
        <v>&lt;ruby&gt;于是&lt;rt&gt;yúshì&lt;/rt&gt;&lt;/ruby&gt;</v>
      </c>
      <c r="E1112" s="13" t="str">
        <f ca="1">IFERROR(__xludf.DUMMYFUNCTION("""COMPUTED_VALUE"""),"yúshì")</f>
        <v>yúshì</v>
      </c>
      <c r="F1112" s="13" t="str">
        <f ca="1">IFERROR(__xludf.DUMMYFUNCTION("""COMPUTED_VALUE"""),"Liên từ")</f>
        <v>Liên từ</v>
      </c>
      <c r="G1112" s="13" t="str">
        <f ca="1">IFERROR(__xludf.DUMMYFUNCTION("""COMPUTED_VALUE"""),"thế là")</f>
        <v>thế là</v>
      </c>
      <c r="H1112" s="13" t="str">
        <f ca="1">IFERROR(__xludf.DUMMYFUNCTION("""COMPUTED_VALUE"""),"我考上了大学，于是爸爸奖励我一次旅行。")</f>
        <v>我考上了大学，于是爸爸奖励我一次旅行。</v>
      </c>
      <c r="I1112" s="13"/>
      <c r="J1112" s="13" t="str">
        <f ca="1">IFERROR(__xludf.DUMMYFUNCTION("""COMPUTED_VALUE"""),"Vì tôi đã đỗ đại học, thế là bố tôi đã thưởng cho tôi một chuyến du lịch.")</f>
        <v>Vì tôi đã đỗ đại học, thế là bố tôi đã thưởng cho tôi một chuyến du lịch.</v>
      </c>
      <c r="K1112" s="13" t="str">
        <f ca="1">IFERROR(__xludf.DUMMYFUNCTION("""COMPUTED_VALUE"""),"H4_B14_BG-09.png")</f>
        <v>H4_B14_BG-09.png</v>
      </c>
      <c r="L1112" s="13" t="str">
        <f ca="1">IFERROR(__xludf.DUMMYFUNCTION("""COMPUTED_VALUE"""),"B14_9.mp3")</f>
        <v>B14_9.mp3</v>
      </c>
      <c r="M1112" s="13" t="str">
        <f ca="1">IFERROR(__xludf.DUMMYFUNCTION("""COMPUTED_VALUE"""),"B14_VD_9.mp3")</f>
        <v>B14_VD_9.mp3</v>
      </c>
    </row>
    <row r="1113" spans="1:13">
      <c r="A1113" s="13">
        <f ca="1">IFERROR(__xludf.DUMMYFUNCTION("""COMPUTED_VALUE"""),10)</f>
        <v>10</v>
      </c>
      <c r="B1113" s="13"/>
      <c r="C1113" s="13" t="str">
        <f ca="1">IFERROR(__xludf.DUMMYFUNCTION("""COMPUTED_VALUE"""),"毛巾")</f>
        <v>毛巾</v>
      </c>
      <c r="D1113" s="13" t="str">
        <f ca="1">IFERROR(__xludf.DUMMYFUNCTION("""COMPUTED_VALUE"""),"&lt;ruby&gt;毛巾&lt;rt&gt;máojīn&lt;/rt&gt;&lt;/ruby&gt;")</f>
        <v>&lt;ruby&gt;毛巾&lt;rt&gt;máojīn&lt;/rt&gt;&lt;/ruby&gt;</v>
      </c>
      <c r="E1113" s="13" t="str">
        <f ca="1">IFERROR(__xludf.DUMMYFUNCTION("""COMPUTED_VALUE"""),"máojīn")</f>
        <v>máojīn</v>
      </c>
      <c r="F1113" s="13" t="str">
        <f ca="1">IFERROR(__xludf.DUMMYFUNCTION("""COMPUTED_VALUE"""),"Danh từ")</f>
        <v>Danh từ</v>
      </c>
      <c r="G1113" s="13" t="str">
        <f ca="1">IFERROR(__xludf.DUMMYFUNCTION("""COMPUTED_VALUE"""),"khăn lau")</f>
        <v>khăn lau</v>
      </c>
      <c r="H1113" s="13" t="str">
        <f ca="1">IFERROR(__xludf.DUMMYFUNCTION("""COMPUTED_VALUE"""),"拿毛巾擦桌子吧。")</f>
        <v>拿毛巾擦桌子吧。</v>
      </c>
      <c r="I1113" s="13"/>
      <c r="J1113" s="13" t="str">
        <f ca="1">IFERROR(__xludf.DUMMYFUNCTION("""COMPUTED_VALUE"""),"Lấy khăn lau bàn đi.")</f>
        <v>Lấy khăn lau bàn đi.</v>
      </c>
      <c r="K1113" s="13" t="str">
        <f ca="1">IFERROR(__xludf.DUMMYFUNCTION("""COMPUTED_VALUE"""),"H4_B14_BG-10.png")</f>
        <v>H4_B14_BG-10.png</v>
      </c>
      <c r="L1113" s="13" t="str">
        <f ca="1">IFERROR(__xludf.DUMMYFUNCTION("""COMPUTED_VALUE"""),"B14_10.mp3")</f>
        <v>B14_10.mp3</v>
      </c>
      <c r="M1113" s="13" t="str">
        <f ca="1">IFERROR(__xludf.DUMMYFUNCTION("""COMPUTED_VALUE"""),"B14_VD_10.mp3")</f>
        <v>B14_VD_10.mp3</v>
      </c>
    </row>
    <row r="1114" spans="1:13">
      <c r="A1114" s="13">
        <f ca="1">IFERROR(__xludf.DUMMYFUNCTION("""COMPUTED_VALUE"""),11)</f>
        <v>11</v>
      </c>
      <c r="B1114" s="13"/>
      <c r="C1114" s="13" t="str">
        <f ca="1">IFERROR(__xludf.DUMMYFUNCTION("""COMPUTED_VALUE"""),"牙膏")</f>
        <v>牙膏</v>
      </c>
      <c r="D1114" s="13" t="str">
        <f ca="1">IFERROR(__xludf.DUMMYFUNCTION("""COMPUTED_VALUE"""),"&lt;ruby&gt;牙膏&lt;rt&gt;yágāo&lt;/rt&gt;&lt;/ruby&gt;")</f>
        <v>&lt;ruby&gt;牙膏&lt;rt&gt;yágāo&lt;/rt&gt;&lt;/ruby&gt;</v>
      </c>
      <c r="E1114" s="13" t="str">
        <f ca="1">IFERROR(__xludf.DUMMYFUNCTION("""COMPUTED_VALUE"""),"yágāo")</f>
        <v>yágāo</v>
      </c>
      <c r="F1114" s="13" t="str">
        <f ca="1">IFERROR(__xludf.DUMMYFUNCTION("""COMPUTED_VALUE"""),"Danh từ")</f>
        <v>Danh từ</v>
      </c>
      <c r="G1114" s="13" t="str">
        <f ca="1">IFERROR(__xludf.DUMMYFUNCTION("""COMPUTED_VALUE"""),"kem đánh răng")</f>
        <v>kem đánh răng</v>
      </c>
      <c r="H1114" s="13" t="str">
        <f ca="1">IFERROR(__xludf.DUMMYFUNCTION("""COMPUTED_VALUE"""),"你用什么牌子的牙膏？")</f>
        <v>你用什么牌子的牙膏？</v>
      </c>
      <c r="I1114" s="13"/>
      <c r="J1114" s="13" t="str">
        <f ca="1">IFERROR(__xludf.DUMMYFUNCTION("""COMPUTED_VALUE"""),"Bạn dùng kem đánh răng loại nào?")</f>
        <v>Bạn dùng kem đánh răng loại nào?</v>
      </c>
      <c r="K1114" s="13" t="str">
        <f ca="1">IFERROR(__xludf.DUMMYFUNCTION("""COMPUTED_VALUE"""),"H4_B14_BG-11.png")</f>
        <v>H4_B14_BG-11.png</v>
      </c>
      <c r="L1114" s="13" t="str">
        <f ca="1">IFERROR(__xludf.DUMMYFUNCTION("""COMPUTED_VALUE"""),"B14_11.mp3")</f>
        <v>B14_11.mp3</v>
      </c>
      <c r="M1114" s="13" t="str">
        <f ca="1">IFERROR(__xludf.DUMMYFUNCTION("""COMPUTED_VALUE"""),"B14_VD_11.mp3")</f>
        <v>B14_VD_11.mp3</v>
      </c>
    </row>
    <row r="1115" spans="1:13">
      <c r="A1115" s="13">
        <f ca="1">IFERROR(__xludf.DUMMYFUNCTION("""COMPUTED_VALUE"""),12)</f>
        <v>12</v>
      </c>
      <c r="B1115" s="13"/>
      <c r="C1115" s="13" t="str">
        <f ca="1">IFERROR(__xludf.DUMMYFUNCTION("""COMPUTED_VALUE"""),"重")</f>
        <v>重</v>
      </c>
      <c r="D1115" s="13" t="str">
        <f ca="1">IFERROR(__xludf.DUMMYFUNCTION("""COMPUTED_VALUE"""),"&lt;ruby&gt;重&lt;rt&gt;zhòng&lt;/rt&gt;&lt;/ruby&gt;")</f>
        <v>&lt;ruby&gt;重&lt;rt&gt;zhòng&lt;/rt&gt;&lt;/ruby&gt;</v>
      </c>
      <c r="E1115" s="13" t="str">
        <f ca="1">IFERROR(__xludf.DUMMYFUNCTION("""COMPUTED_VALUE"""),"zhòng")</f>
        <v>zhòng</v>
      </c>
      <c r="F1115" s="13" t="str">
        <f ca="1">IFERROR(__xludf.DUMMYFUNCTION("""COMPUTED_VALUE"""),"Tính từ")</f>
        <v>Tính từ</v>
      </c>
      <c r="G1115" s="13" t="str">
        <f ca="1">IFERROR(__xludf.DUMMYFUNCTION("""COMPUTED_VALUE"""),"nặng")</f>
        <v>nặng</v>
      </c>
      <c r="H1115" s="13" t="str">
        <f ca="1">IFERROR(__xludf.DUMMYFUNCTION("""COMPUTED_VALUE"""),"这辆车很重。")</f>
        <v>这辆车很重。</v>
      </c>
      <c r="I1115" s="13"/>
      <c r="J1115" s="13" t="str">
        <f ca="1">IFERROR(__xludf.DUMMYFUNCTION("""COMPUTED_VALUE"""),"Chiếc xe này rất nặng.")</f>
        <v>Chiếc xe này rất nặng.</v>
      </c>
      <c r="K1115" s="13" t="str">
        <f ca="1">IFERROR(__xludf.DUMMYFUNCTION("""COMPUTED_VALUE"""),"H4_B14_BG-12.png")</f>
        <v>H4_B14_BG-12.png</v>
      </c>
      <c r="L1115" s="13" t="str">
        <f ca="1">IFERROR(__xludf.DUMMYFUNCTION("""COMPUTED_VALUE"""),"B14_12.mp3")</f>
        <v>B14_12.mp3</v>
      </c>
      <c r="M1115" s="13" t="str">
        <f ca="1">IFERROR(__xludf.DUMMYFUNCTION("""COMPUTED_VALUE"""),"B14_VD_12.mp3")</f>
        <v>B14_VD_12.mp3</v>
      </c>
    </row>
    <row r="1116" spans="1:13">
      <c r="A1116" s="13">
        <f ca="1">IFERROR(__xludf.DUMMYFUNCTION("""COMPUTED_VALUE"""),13)</f>
        <v>13</v>
      </c>
      <c r="B1116" s="13"/>
      <c r="C1116" s="13" t="str">
        <f ca="1">IFERROR(__xludf.DUMMYFUNCTION("""COMPUTED_VALUE"""),"行")</f>
        <v>行</v>
      </c>
      <c r="D1116" s="13" t="str">
        <f ca="1">IFERROR(__xludf.DUMMYFUNCTION("""COMPUTED_VALUE"""),"&lt;ruby&gt;行&lt;rt&gt;xíng&lt;/rt&gt;&lt;/ruby&gt;")</f>
        <v>&lt;ruby&gt;行&lt;rt&gt;xíng&lt;/rt&gt;&lt;/ruby&gt;</v>
      </c>
      <c r="E1116" s="13" t="str">
        <f ca="1">IFERROR(__xludf.DUMMYFUNCTION("""COMPUTED_VALUE"""),"xíng")</f>
        <v>xíng</v>
      </c>
      <c r="F1116" s="13" t="str">
        <f ca="1">IFERROR(__xludf.DUMMYFUNCTION("""COMPUTED_VALUE"""),"Động từ")</f>
        <v>Động từ</v>
      </c>
      <c r="G1116" s="13" t="str">
        <f ca="1">IFERROR(__xludf.DUMMYFUNCTION("""COMPUTED_VALUE"""),"được, đồng ý")</f>
        <v>được, đồng ý</v>
      </c>
      <c r="H1116" s="13" t="str">
        <f ca="1">IFERROR(__xludf.DUMMYFUNCTION("""COMPUTED_VALUE"""),"行，我同意。")</f>
        <v>行，我同意。</v>
      </c>
      <c r="I1116" s="13"/>
      <c r="J1116" s="13" t="str">
        <f ca="1">IFERROR(__xludf.DUMMYFUNCTION("""COMPUTED_VALUE"""),"Được rồi, tôi đồng ý")</f>
        <v>Được rồi, tôi đồng ý</v>
      </c>
      <c r="K1116" s="13" t="str">
        <f ca="1">IFERROR(__xludf.DUMMYFUNCTION("""COMPUTED_VALUE"""),"H4_B14_BG-13.png")</f>
        <v>H4_B14_BG-13.png</v>
      </c>
      <c r="L1116" s="13" t="str">
        <f ca="1">IFERROR(__xludf.DUMMYFUNCTION("""COMPUTED_VALUE"""),"B14_13.mp3")</f>
        <v>B14_13.mp3</v>
      </c>
      <c r="M1116" s="13" t="str">
        <f ca="1">IFERROR(__xludf.DUMMYFUNCTION("""COMPUTED_VALUE"""),"B14_VD_13.mp3")</f>
        <v>B14_VD_13.mp3</v>
      </c>
    </row>
    <row r="1117" spans="1:13">
      <c r="A1117" s="13">
        <f ca="1">IFERROR(__xludf.DUMMYFUNCTION("""COMPUTED_VALUE"""),14)</f>
        <v>14</v>
      </c>
      <c r="B1117" s="13"/>
      <c r="C1117" s="13" t="str">
        <f ca="1">IFERROR(__xludf.DUMMYFUNCTION("""COMPUTED_VALUE"""),"抱歉")</f>
        <v>抱歉</v>
      </c>
      <c r="D1117" s="13" t="str">
        <f ca="1">IFERROR(__xludf.DUMMYFUNCTION("""COMPUTED_VALUE"""),"&lt;ruby&gt;抱歉&lt;rt&gt;bàoqiàn&lt;/rt&gt;&lt;/ruby&gt;")</f>
        <v>&lt;ruby&gt;抱歉&lt;rt&gt;bàoqiàn&lt;/rt&gt;&lt;/ruby&gt;</v>
      </c>
      <c r="E1117" s="13" t="str">
        <f ca="1">IFERROR(__xludf.DUMMYFUNCTION("""COMPUTED_VALUE"""),"bàoqiàn")</f>
        <v>bàoqiàn</v>
      </c>
      <c r="F1117" s="13" t="str">
        <f ca="1">IFERROR(__xludf.DUMMYFUNCTION("""COMPUTED_VALUE"""),"Động từ")</f>
        <v>Động từ</v>
      </c>
      <c r="G1117" s="13" t="str">
        <f ca="1">IFERROR(__xludf.DUMMYFUNCTION("""COMPUTED_VALUE"""),"xin lỗi")</f>
        <v>xin lỗi</v>
      </c>
      <c r="H1117" s="13" t="str">
        <f ca="1">IFERROR(__xludf.DUMMYFUNCTION("""COMPUTED_VALUE"""),"抱歉，打扰你了。")</f>
        <v>抱歉，打扰你了。</v>
      </c>
      <c r="I1117" s="13"/>
      <c r="J1117" s="13" t="str">
        <f ca="1">IFERROR(__xludf.DUMMYFUNCTION("""COMPUTED_VALUE"""),"Thật xin lỗi, tôi đã làm phiền bạn rồi.")</f>
        <v>Thật xin lỗi, tôi đã làm phiền bạn rồi.</v>
      </c>
      <c r="K1117" s="13" t="str">
        <f ca="1">IFERROR(__xludf.DUMMYFUNCTION("""COMPUTED_VALUE"""),"H4_B14_BG-14.png")</f>
        <v>H4_B14_BG-14.png</v>
      </c>
      <c r="L1117" s="13" t="str">
        <f ca="1">IFERROR(__xludf.DUMMYFUNCTION("""COMPUTED_VALUE"""),"B14_14.mp3")</f>
        <v>B14_14.mp3</v>
      </c>
      <c r="M1117" s="13" t="str">
        <f ca="1">IFERROR(__xludf.DUMMYFUNCTION("""COMPUTED_VALUE"""),"B14_VD_14.mp3")</f>
        <v>B14_VD_14.mp3</v>
      </c>
    </row>
    <row r="1118" spans="1:13">
      <c r="A1118" s="13">
        <f ca="1">IFERROR(__xludf.DUMMYFUNCTION("""COMPUTED_VALUE"""),15)</f>
        <v>15</v>
      </c>
      <c r="B1118" s="13"/>
      <c r="C1118" s="13" t="str">
        <f ca="1">IFERROR(__xludf.DUMMYFUNCTION("""COMPUTED_VALUE"""),"盒子")</f>
        <v>盒子</v>
      </c>
      <c r="D1118" s="13" t="str">
        <f ca="1">IFERROR(__xludf.DUMMYFUNCTION("""COMPUTED_VALUE"""),"&lt;ruby&gt;盒子&lt;rt&gt;hézi&lt;/rt&gt;&lt;/ruby&gt;")</f>
        <v>&lt;ruby&gt;盒子&lt;rt&gt;hézi&lt;/rt&gt;&lt;/ruby&gt;</v>
      </c>
      <c r="E1118" s="13" t="str">
        <f ca="1">IFERROR(__xludf.DUMMYFUNCTION("""COMPUTED_VALUE"""),"hézi")</f>
        <v>hézi</v>
      </c>
      <c r="F1118" s="13" t="str">
        <f ca="1">IFERROR(__xludf.DUMMYFUNCTION("""COMPUTED_VALUE"""),"Danh từ")</f>
        <v>Danh từ</v>
      </c>
      <c r="G1118" s="13" t="str">
        <f ca="1">IFERROR(__xludf.DUMMYFUNCTION("""COMPUTED_VALUE"""),"hộp")</f>
        <v>hộp</v>
      </c>
      <c r="H1118" s="13" t="str">
        <f ca="1">IFERROR(__xludf.DUMMYFUNCTION("""COMPUTED_VALUE"""),"这个盒子里什么都没有。")</f>
        <v>这个盒子里什么都没有。</v>
      </c>
      <c r="I1118" s="13"/>
      <c r="J1118" s="13" t="str">
        <f ca="1">IFERROR(__xludf.DUMMYFUNCTION("""COMPUTED_VALUE"""),"Trong cái hộp này không có gì cả.")</f>
        <v>Trong cái hộp này không có gì cả.</v>
      </c>
      <c r="K1118" s="13" t="str">
        <f ca="1">IFERROR(__xludf.DUMMYFUNCTION("""COMPUTED_VALUE"""),"H4_B14_BG-15.png")</f>
        <v>H4_B14_BG-15.png</v>
      </c>
      <c r="L1118" s="13" t="str">
        <f ca="1">IFERROR(__xludf.DUMMYFUNCTION("""COMPUTED_VALUE"""),"B14_15.mp3")</f>
        <v>B14_15.mp3</v>
      </c>
      <c r="M1118" s="13" t="str">
        <f ca="1">IFERROR(__xludf.DUMMYFUNCTION("""COMPUTED_VALUE"""),"B14_VD_15.mp3")</f>
        <v>B14_VD_15.mp3</v>
      </c>
    </row>
    <row r="1119" spans="1:13">
      <c r="A1119" s="13">
        <f ca="1">IFERROR(__xludf.DUMMYFUNCTION("""COMPUTED_VALUE"""),16)</f>
        <v>16</v>
      </c>
      <c r="B1119" s="13"/>
      <c r="C1119" s="13" t="str">
        <f ca="1">IFERROR(__xludf.DUMMYFUNCTION("""COMPUTED_VALUE"""),"得意")</f>
        <v>得意</v>
      </c>
      <c r="D1119" s="13" t="str">
        <f ca="1">IFERROR(__xludf.DUMMYFUNCTION("""COMPUTED_VALUE"""),"&lt;ruby&gt;得意&lt;rt&gt;déyì&lt;/rt&gt;&lt;/ruby&gt;")</f>
        <v>&lt;ruby&gt;得意&lt;rt&gt;déyì&lt;/rt&gt;&lt;/ruby&gt;</v>
      </c>
      <c r="E1119" s="13" t="str">
        <f ca="1">IFERROR(__xludf.DUMMYFUNCTION("""COMPUTED_VALUE"""),"déyì")</f>
        <v>déyì</v>
      </c>
      <c r="F1119" s="13" t="str">
        <f ca="1">IFERROR(__xludf.DUMMYFUNCTION("""COMPUTED_VALUE"""),"Tính từ")</f>
        <v>Tính từ</v>
      </c>
      <c r="G1119" s="13" t="str">
        <f ca="1">IFERROR(__xludf.DUMMYFUNCTION("""COMPUTED_VALUE"""),"hể hả, đắc chí")</f>
        <v>hể hả, đắc chí</v>
      </c>
      <c r="H1119" s="13" t="str">
        <f ca="1">IFERROR(__xludf.DUMMYFUNCTION("""COMPUTED_VALUE"""),"他得意地笑了。")</f>
        <v>他得意地笑了。</v>
      </c>
      <c r="I1119" s="13"/>
      <c r="J1119" s="13" t="str">
        <f ca="1">IFERROR(__xludf.DUMMYFUNCTION("""COMPUTED_VALUE"""),"Anh ấy cười một cách đắc ý.")</f>
        <v>Anh ấy cười một cách đắc ý.</v>
      </c>
      <c r="K1119" s="13" t="str">
        <f ca="1">IFERROR(__xludf.DUMMYFUNCTION("""COMPUTED_VALUE"""),"H4_B14_BG-16.png")</f>
        <v>H4_B14_BG-16.png</v>
      </c>
      <c r="L1119" s="13" t="str">
        <f ca="1">IFERROR(__xludf.DUMMYFUNCTION("""COMPUTED_VALUE"""),"B14_16.mp3")</f>
        <v>B14_16.mp3</v>
      </c>
      <c r="M1119" s="13" t="str">
        <f ca="1">IFERROR(__xludf.DUMMYFUNCTION("""COMPUTED_VALUE"""),"B14_VD_16.mp3")</f>
        <v>B14_VD_16.mp3</v>
      </c>
    </row>
    <row r="1120" spans="1:13">
      <c r="A1120" s="13">
        <f ca="1">IFERROR(__xludf.DUMMYFUNCTION("""COMPUTED_VALUE"""),17)</f>
        <v>17</v>
      </c>
      <c r="B1120" s="13"/>
      <c r="C1120" s="13" t="str">
        <f ca="1">IFERROR(__xludf.DUMMYFUNCTION("""COMPUTED_VALUE"""),"暖")</f>
        <v>暖</v>
      </c>
      <c r="D1120" s="13" t="str">
        <f ca="1">IFERROR(__xludf.DUMMYFUNCTION("""COMPUTED_VALUE"""),"&lt;ruby&gt;暖&lt;rt&gt;nuǎn&lt;/rt&gt;&lt;/ruby&gt;")</f>
        <v>&lt;ruby&gt;暖&lt;rt&gt;nuǎn&lt;/rt&gt;&lt;/ruby&gt;</v>
      </c>
      <c r="E1120" s="13" t="str">
        <f ca="1">IFERROR(__xludf.DUMMYFUNCTION("""COMPUTED_VALUE"""),"nuǎn")</f>
        <v>nuǎn</v>
      </c>
      <c r="F1120" s="13" t="str">
        <f ca="1">IFERROR(__xludf.DUMMYFUNCTION("""COMPUTED_VALUE"""),"Tính từ")</f>
        <v>Tính từ</v>
      </c>
      <c r="G1120" s="13" t="str">
        <f ca="1">IFERROR(__xludf.DUMMYFUNCTION("""COMPUTED_VALUE"""),"ấm, ấm áp")</f>
        <v>ấm, ấm áp</v>
      </c>
      <c r="H1120" s="13" t="str">
        <f ca="1">IFERROR(__xludf.DUMMYFUNCTION("""COMPUTED_VALUE"""),"这条围巾又软又暖。
")</f>
        <v xml:space="preserve">这条围巾又软又暖。
</v>
      </c>
      <c r="I1120" s="13"/>
      <c r="J1120" s="13" t="str">
        <f ca="1">IFERROR(__xludf.DUMMYFUNCTION("""COMPUTED_VALUE"""),"Chiếc khăn quàng vừa mềm vừa ấm.")</f>
        <v>Chiếc khăn quàng vừa mềm vừa ấm.</v>
      </c>
      <c r="K1120" s="13" t="str">
        <f ca="1">IFERROR(__xludf.DUMMYFUNCTION("""COMPUTED_VALUE"""),"H4_B14_BG-17.png")</f>
        <v>H4_B14_BG-17.png</v>
      </c>
      <c r="L1120" s="13" t="str">
        <f ca="1">IFERROR(__xludf.DUMMYFUNCTION("""COMPUTED_VALUE"""),"B14_17.mp3")</f>
        <v>B14_17.mp3</v>
      </c>
      <c r="M1120" s="13" t="str">
        <f ca="1">IFERROR(__xludf.DUMMYFUNCTION("""COMPUTED_VALUE"""),"B14_VD_17.mp3")</f>
        <v>B14_VD_17.mp3</v>
      </c>
    </row>
    <row r="1121" spans="1:13">
      <c r="A1121" s="13">
        <f ca="1">IFERROR(__xludf.DUMMYFUNCTION("""COMPUTED_VALUE"""),18)</f>
        <v>18</v>
      </c>
      <c r="B1121" s="13"/>
      <c r="C1121" s="13" t="str">
        <f ca="1">IFERROR(__xludf.DUMMYFUNCTION("""COMPUTED_VALUE"""),"鼓励")</f>
        <v>鼓励</v>
      </c>
      <c r="D1121" s="13" t="str">
        <f ca="1">IFERROR(__xludf.DUMMYFUNCTION("""COMPUTED_VALUE"""),"&lt;ruby&gt;鼓励&lt;rt&gt;gǔlì&lt;/rt&gt;&lt;/ruby&gt;")</f>
        <v>&lt;ruby&gt;鼓励&lt;rt&gt;gǔlì&lt;/rt&gt;&lt;/ruby&gt;</v>
      </c>
      <c r="E1121" s="13" t="str">
        <f ca="1">IFERROR(__xludf.DUMMYFUNCTION("""COMPUTED_VALUE"""),"gǔlì")</f>
        <v>gǔlì</v>
      </c>
      <c r="F1121" s="13" t="str">
        <f ca="1">IFERROR(__xludf.DUMMYFUNCTION("""COMPUTED_VALUE"""),"Động từ")</f>
        <v>Động từ</v>
      </c>
      <c r="G1121" s="13" t="str">
        <f ca="1">IFERROR(__xludf.DUMMYFUNCTION("""COMPUTED_VALUE"""),"khuyến khích")</f>
        <v>khuyến khích</v>
      </c>
      <c r="H1121" s="13" t="str">
        <f ca="1">IFERROR(__xludf.DUMMYFUNCTION("""COMPUTED_VALUE"""),"他通过送礼物来鼓励我。")</f>
        <v>他通过送礼物来鼓励我。</v>
      </c>
      <c r="I1121" s="13"/>
      <c r="J1121" s="13" t="str">
        <f ca="1">IFERROR(__xludf.DUMMYFUNCTION("""COMPUTED_VALUE"""),"Anh ấy khích lệ tôi bằng cách tặng một món quà.")</f>
        <v>Anh ấy khích lệ tôi bằng cách tặng một món quà.</v>
      </c>
      <c r="K1121" s="13" t="str">
        <f ca="1">IFERROR(__xludf.DUMMYFUNCTION("""COMPUTED_VALUE"""),"H4_B14_BG-18.png")</f>
        <v>H4_B14_BG-18.png</v>
      </c>
      <c r="L1121" s="13" t="str">
        <f ca="1">IFERROR(__xludf.DUMMYFUNCTION("""COMPUTED_VALUE"""),"B14_18.mp3")</f>
        <v>B14_18.mp3</v>
      </c>
      <c r="M1121" s="13" t="str">
        <f ca="1">IFERROR(__xludf.DUMMYFUNCTION("""COMPUTED_VALUE"""),"B14_VD_18.mp3")</f>
        <v>B14_VD_18.mp3</v>
      </c>
    </row>
    <row r="1122" spans="1:13">
      <c r="A1122" s="13">
        <f ca="1">IFERROR(__xludf.DUMMYFUNCTION("""COMPUTED_VALUE"""),19)</f>
        <v>19</v>
      </c>
      <c r="B1122" s="13"/>
      <c r="C1122" s="13" t="str">
        <f ca="1">IFERROR(__xludf.DUMMYFUNCTION("""COMPUTED_VALUE"""),"温度")</f>
        <v>温度</v>
      </c>
      <c r="D1122" s="13" t="str">
        <f ca="1">IFERROR(__xludf.DUMMYFUNCTION("""COMPUTED_VALUE"""),"&lt;ruby&gt;温度&lt;rt&gt;wēndù&lt;/rt&gt;&lt;/ruby&gt;")</f>
        <v>&lt;ruby&gt;温度&lt;rt&gt;wēndù&lt;/rt&gt;&lt;/ruby&gt;</v>
      </c>
      <c r="E1122" s="13" t="str">
        <f ca="1">IFERROR(__xludf.DUMMYFUNCTION("""COMPUTED_VALUE"""),"wēndù")</f>
        <v>wēndù</v>
      </c>
      <c r="F1122" s="13" t="str">
        <f ca="1">IFERROR(__xludf.DUMMYFUNCTION("""COMPUTED_VALUE"""),"Danh từ")</f>
        <v>Danh từ</v>
      </c>
      <c r="G1122" s="13" t="str">
        <f ca="1">IFERROR(__xludf.DUMMYFUNCTION("""COMPUTED_VALUE"""),"nhiệt độ")</f>
        <v>nhiệt độ</v>
      </c>
      <c r="H1122" s="13" t="str">
        <f ca="1">IFERROR(__xludf.DUMMYFUNCTION("""COMPUTED_VALUE"""),"外面的温度越来越低了。")</f>
        <v>外面的温度越来越低了。</v>
      </c>
      <c r="I1122" s="13"/>
      <c r="J1122" s="13" t="str">
        <f ca="1">IFERROR(__xludf.DUMMYFUNCTION("""COMPUTED_VALUE"""),"Nhiệt độ ngoài trời càng ngày càng thấp rồi.")</f>
        <v>Nhiệt độ ngoài trời càng ngày càng thấp rồi.</v>
      </c>
      <c r="K1122" s="13" t="str">
        <f ca="1">IFERROR(__xludf.DUMMYFUNCTION("""COMPUTED_VALUE"""),"H4_B14_BG-19.png")</f>
        <v>H4_B14_BG-19.png</v>
      </c>
      <c r="L1122" s="13" t="str">
        <f ca="1">IFERROR(__xludf.DUMMYFUNCTION("""COMPUTED_VALUE"""),"B14_19.mp3")</f>
        <v>B14_19.mp3</v>
      </c>
      <c r="M1122" s="13" t="str">
        <f ca="1">IFERROR(__xludf.DUMMYFUNCTION("""COMPUTED_VALUE"""),"B14_VD_19.mp3")</f>
        <v>B14_VD_19.mp3</v>
      </c>
    </row>
    <row r="1123" spans="1:13">
      <c r="A1123" s="13">
        <f ca="1">IFERROR(__xludf.DUMMYFUNCTION("""COMPUTED_VALUE"""),20)</f>
        <v>20</v>
      </c>
      <c r="B1123" s="13"/>
      <c r="C1123" s="13" t="str">
        <f ca="1">IFERROR(__xludf.DUMMYFUNCTION("""COMPUTED_VALUE"""),"丢")</f>
        <v>丢</v>
      </c>
      <c r="D1123" s="13" t="str">
        <f ca="1">IFERROR(__xludf.DUMMYFUNCTION("""COMPUTED_VALUE"""),"&lt;ruby&gt;丢&lt;rt&gt;diū&lt;/rt&gt;&lt;/ruby&gt;")</f>
        <v>&lt;ruby&gt;丢&lt;rt&gt;diū&lt;/rt&gt;&lt;/ruby&gt;</v>
      </c>
      <c r="E1123" s="13" t="str">
        <f ca="1">IFERROR(__xludf.DUMMYFUNCTION("""COMPUTED_VALUE"""),"diū")</f>
        <v>diū</v>
      </c>
      <c r="F1123" s="13" t="str">
        <f ca="1">IFERROR(__xludf.DUMMYFUNCTION("""COMPUTED_VALUE"""),"Động từ")</f>
        <v>Động từ</v>
      </c>
      <c r="G1123" s="13" t="str">
        <f ca="1">IFERROR(__xludf.DUMMYFUNCTION("""COMPUTED_VALUE"""),"ném, vứt")</f>
        <v>ném, vứt</v>
      </c>
      <c r="H1123" s="13" t="str">
        <f ca="1">IFERROR(__xludf.DUMMYFUNCTION("""COMPUTED_VALUE"""),"她丢垃圾到外面。")</f>
        <v>她丢垃圾到外面。</v>
      </c>
      <c r="I1123" s="13"/>
      <c r="J1123" s="13" t="str">
        <f ca="1">IFERROR(__xludf.DUMMYFUNCTION("""COMPUTED_VALUE"""),"Cô ấy ném rác ra ngoài.")</f>
        <v>Cô ấy ném rác ra ngoài.</v>
      </c>
      <c r="K1123" s="13" t="str">
        <f ca="1">IFERROR(__xludf.DUMMYFUNCTION("""COMPUTED_VALUE"""),"H4_B14_BG-20.png")</f>
        <v>H4_B14_BG-20.png</v>
      </c>
      <c r="L1123" s="13" t="str">
        <f ca="1">IFERROR(__xludf.DUMMYFUNCTION("""COMPUTED_VALUE"""),"B14_20.mp3")</f>
        <v>B14_20.mp3</v>
      </c>
      <c r="M1123" s="13" t="str">
        <f ca="1">IFERROR(__xludf.DUMMYFUNCTION("""COMPUTED_VALUE"""),"B14_VD_20.mp3")</f>
        <v>B14_VD_20.mp3</v>
      </c>
    </row>
    <row r="1124" spans="1:13">
      <c r="A1124" s="13">
        <f ca="1">IFERROR(__xludf.DUMMYFUNCTION("""COMPUTED_VALUE"""),21)</f>
        <v>21</v>
      </c>
      <c r="B1124" s="13"/>
      <c r="C1124" s="13" t="str">
        <f ca="1">IFERROR(__xludf.DUMMYFUNCTION("""COMPUTED_VALUE"""),"美丽")</f>
        <v>美丽</v>
      </c>
      <c r="D1124" s="13" t="str">
        <f ca="1">IFERROR(__xludf.DUMMYFUNCTION("""COMPUTED_VALUE"""),"&lt;ruby&gt;美丽&lt;rt&gt;měilì&lt;/rt&gt;&lt;/ruby&gt;")</f>
        <v>&lt;ruby&gt;美丽&lt;rt&gt;měilì&lt;/rt&gt;&lt;/ruby&gt;</v>
      </c>
      <c r="E1124" s="13" t="str">
        <f ca="1">IFERROR(__xludf.DUMMYFUNCTION("""COMPUTED_VALUE"""),"měilì")</f>
        <v>měilì</v>
      </c>
      <c r="F1124" s="13" t="str">
        <f ca="1">IFERROR(__xludf.DUMMYFUNCTION("""COMPUTED_VALUE"""),"Tính từ")</f>
        <v>Tính từ</v>
      </c>
      <c r="G1124" s="13" t="str">
        <f ca="1">IFERROR(__xludf.DUMMYFUNCTION("""COMPUTED_VALUE"""),"đẹp")</f>
        <v>đẹp</v>
      </c>
      <c r="H1124" s="13" t="str">
        <f ca="1">IFERROR(__xludf.DUMMYFUNCTION("""COMPUTED_VALUE"""),"她跳舞的样子非常美丽。")</f>
        <v>她跳舞的样子非常美丽。</v>
      </c>
      <c r="I1124" s="13"/>
      <c r="J1124" s="13" t="str">
        <f ca="1">IFERROR(__xludf.DUMMYFUNCTION("""COMPUTED_VALUE"""),"Dáng vẻ lúc cô ấy múa rất xinh đẹp.")</f>
        <v>Dáng vẻ lúc cô ấy múa rất xinh đẹp.</v>
      </c>
      <c r="K1124" s="13" t="str">
        <f ca="1">IFERROR(__xludf.DUMMYFUNCTION("""COMPUTED_VALUE"""),"H4_B14_BG-21.png")</f>
        <v>H4_B14_BG-21.png</v>
      </c>
      <c r="L1124" s="13" t="str">
        <f ca="1">IFERROR(__xludf.DUMMYFUNCTION("""COMPUTED_VALUE"""),"B14_21.mp3")</f>
        <v>B14_21.mp3</v>
      </c>
      <c r="M1124" s="13" t="str">
        <f ca="1">IFERROR(__xludf.DUMMYFUNCTION("""COMPUTED_VALUE"""),"B14_VD_21.mp3")</f>
        <v>B14_VD_21.mp3</v>
      </c>
    </row>
    <row r="1125" spans="1:13">
      <c r="A1125" s="13">
        <f ca="1">IFERROR(__xludf.DUMMYFUNCTION("""COMPUTED_VALUE"""),22)</f>
        <v>22</v>
      </c>
      <c r="B1125" s="13"/>
      <c r="C1125" s="13" t="str">
        <f ca="1">IFERROR(__xludf.DUMMYFUNCTION("""COMPUTED_VALUE"""),"污染")</f>
        <v>污染</v>
      </c>
      <c r="D1125" s="13" t="str">
        <f ca="1">IFERROR(__xludf.DUMMYFUNCTION("""COMPUTED_VALUE"""),"&lt;ruby&gt;污染&lt;rt&gt;wūrǎn&lt;/rt&gt;&lt;/ruby&gt;")</f>
        <v>&lt;ruby&gt;污染&lt;rt&gt;wūrǎn&lt;/rt&gt;&lt;/ruby&gt;</v>
      </c>
      <c r="E1125" s="13" t="str">
        <f ca="1">IFERROR(__xludf.DUMMYFUNCTION("""COMPUTED_VALUE"""),"wūrǎn")</f>
        <v>wūrǎn</v>
      </c>
      <c r="F1125" s="13" t="str">
        <f ca="1">IFERROR(__xludf.DUMMYFUNCTION("""COMPUTED_VALUE"""),"Động từ")</f>
        <v>Động từ</v>
      </c>
      <c r="G1125" s="13" t="str">
        <f ca="1">IFERROR(__xludf.DUMMYFUNCTION("""COMPUTED_VALUE"""),"làm ô nhiễm")</f>
        <v>làm ô nhiễm</v>
      </c>
      <c r="H1125" s="13" t="str">
        <f ca="1">IFERROR(__xludf.DUMMYFUNCTION("""COMPUTED_VALUE"""),"把垃圾倒进河里会污染水源。")</f>
        <v>把垃圾倒进河里会污染水源。</v>
      </c>
      <c r="I1125" s="13"/>
      <c r="J1125" s="13" t="str">
        <f ca="1">IFERROR(__xludf.DUMMYFUNCTION("""COMPUTED_VALUE"""),"Đổ rác xuống sông gây ô nhiễm nguồn nước.")</f>
        <v>Đổ rác xuống sông gây ô nhiễm nguồn nước.</v>
      </c>
      <c r="K1125" s="13" t="str">
        <f ca="1">IFERROR(__xludf.DUMMYFUNCTION("""COMPUTED_VALUE"""),"H4_B14_BG-22.png")</f>
        <v>H4_B14_BG-22.png</v>
      </c>
      <c r="L1125" s="13" t="str">
        <f ca="1">IFERROR(__xludf.DUMMYFUNCTION("""COMPUTED_VALUE"""),"B14_22.mp3")</f>
        <v>B14_22.mp3</v>
      </c>
      <c r="M1125" s="13" t="str">
        <f ca="1">IFERROR(__xludf.DUMMYFUNCTION("""COMPUTED_VALUE"""),"B14_VD_22.mp3")</f>
        <v>B14_VD_22.mp3</v>
      </c>
    </row>
    <row r="1126" spans="1:13">
      <c r="A1126" s="13">
        <f ca="1">IFERROR(__xludf.DUMMYFUNCTION("""COMPUTED_VALUE"""),23)</f>
        <v>23</v>
      </c>
      <c r="B1126" s="13"/>
      <c r="C1126" s="13" t="str">
        <f ca="1">IFERROR(__xludf.DUMMYFUNCTION("""COMPUTED_VALUE"""),"卫生间")</f>
        <v>卫生间</v>
      </c>
      <c r="D1126" s="13" t="str">
        <f ca="1">IFERROR(__xludf.DUMMYFUNCTION("""COMPUTED_VALUE"""),"&lt;ruby&gt;卫生间&lt;rt&gt;wèishēngjiān&lt;/rt&gt;&lt;/ruby&gt;")</f>
        <v>&lt;ruby&gt;卫生间&lt;rt&gt;wèishēngjiān&lt;/rt&gt;&lt;/ruby&gt;</v>
      </c>
      <c r="E1126" s="13" t="str">
        <f ca="1">IFERROR(__xludf.DUMMYFUNCTION("""COMPUTED_VALUE"""),"wèishēngjiān")</f>
        <v>wèishēngjiān</v>
      </c>
      <c r="F1126" s="13" t="str">
        <f ca="1">IFERROR(__xludf.DUMMYFUNCTION("""COMPUTED_VALUE"""),"Danh từ")</f>
        <v>Danh từ</v>
      </c>
      <c r="G1126" s="13" t="str">
        <f ca="1">IFERROR(__xludf.DUMMYFUNCTION("""COMPUTED_VALUE"""),"nhà vệ sinh")</f>
        <v>nhà vệ sinh</v>
      </c>
      <c r="H1126" s="13" t="str">
        <f ca="1">IFERROR(__xludf.DUMMYFUNCTION("""COMPUTED_VALUE"""),"我想去卫生间。")</f>
        <v>我想去卫生间。</v>
      </c>
      <c r="I1126" s="13"/>
      <c r="J1126" s="13" t="str">
        <f ca="1">IFERROR(__xludf.DUMMYFUNCTION("""COMPUTED_VALUE"""),"Tôi muốn đi đến nhà vệ sinh.")</f>
        <v>Tôi muốn đi đến nhà vệ sinh.</v>
      </c>
      <c r="K1126" s="13" t="str">
        <f ca="1">IFERROR(__xludf.DUMMYFUNCTION("""COMPUTED_VALUE"""),"H4_B14_BG-23.png")</f>
        <v>H4_B14_BG-23.png</v>
      </c>
      <c r="L1126" s="13" t="str">
        <f ca="1">IFERROR(__xludf.DUMMYFUNCTION("""COMPUTED_VALUE"""),"B14_23.mp3")</f>
        <v>B14_23.mp3</v>
      </c>
      <c r="M1126" s="13" t="str">
        <f ca="1">IFERROR(__xludf.DUMMYFUNCTION("""COMPUTED_VALUE"""),"B14_VD_23.mp3")</f>
        <v>B14_VD_23.mp3</v>
      </c>
    </row>
    <row r="1127" spans="1:13">
      <c r="A1127" s="13">
        <f ca="1">IFERROR(__xludf.DUMMYFUNCTION("""COMPUTED_VALUE"""),24)</f>
        <v>24</v>
      </c>
      <c r="B1127" s="13"/>
      <c r="C1127" s="13" t="str">
        <f ca="1">IFERROR(__xludf.DUMMYFUNCTION("""COMPUTED_VALUE"""),"脏")</f>
        <v>脏</v>
      </c>
      <c r="D1127" s="13" t="str">
        <f ca="1">IFERROR(__xludf.DUMMYFUNCTION("""COMPUTED_VALUE"""),"&lt;ruby&gt;脏&lt;rt&gt;zāng&lt;/rt&gt;&lt;/ruby&gt;")</f>
        <v>&lt;ruby&gt;脏&lt;rt&gt;zāng&lt;/rt&gt;&lt;/ruby&gt;</v>
      </c>
      <c r="E1127" s="13" t="str">
        <f ca="1">IFERROR(__xludf.DUMMYFUNCTION("""COMPUTED_VALUE"""),"zāng")</f>
        <v>zāng</v>
      </c>
      <c r="F1127" s="13" t="str">
        <f ca="1">IFERROR(__xludf.DUMMYFUNCTION("""COMPUTED_VALUE"""),"Tính từ")</f>
        <v>Tính từ</v>
      </c>
      <c r="G1127" s="13" t="str">
        <f ca="1">IFERROR(__xludf.DUMMYFUNCTION("""COMPUTED_VALUE"""),"bẩn, bẩn thỉu")</f>
        <v>bẩn, bẩn thỉu</v>
      </c>
      <c r="H1127" s="13" t="str">
        <f ca="1">IFERROR(__xludf.DUMMYFUNCTION("""COMPUTED_VALUE"""),"衣服都脏了。")</f>
        <v>衣服都脏了。</v>
      </c>
      <c r="I1127" s="13"/>
      <c r="J1127" s="13" t="str">
        <f ca="1">IFERROR(__xludf.DUMMYFUNCTION("""COMPUTED_VALUE"""),"Quần áo bị bẩn hết rồi.")</f>
        <v>Quần áo bị bẩn hết rồi.</v>
      </c>
      <c r="K1127" s="13" t="str">
        <f ca="1">IFERROR(__xludf.DUMMYFUNCTION("""COMPUTED_VALUE"""),"H4_B14_BG-24.png")</f>
        <v>H4_B14_BG-24.png</v>
      </c>
      <c r="L1127" s="13" t="str">
        <f ca="1">IFERROR(__xludf.DUMMYFUNCTION("""COMPUTED_VALUE"""),"B14_24.mp3")</f>
        <v>B14_24.mp3</v>
      </c>
      <c r="M1127" s="13" t="str">
        <f ca="1">IFERROR(__xludf.DUMMYFUNCTION("""COMPUTED_VALUE"""),"B14_VD_24.mp3")</f>
        <v>B14_VD_24.mp3</v>
      </c>
    </row>
    <row r="1128" spans="1:13">
      <c r="A1128" s="13">
        <f ca="1">IFERROR(__xludf.DUMMYFUNCTION("""COMPUTED_VALUE"""),25)</f>
        <v>25</v>
      </c>
      <c r="B1128" s="13"/>
      <c r="C1128" s="13" t="str">
        <f ca="1">IFERROR(__xludf.DUMMYFUNCTION("""COMPUTED_VALUE"""),"空")</f>
        <v>空</v>
      </c>
      <c r="D1128" s="13" t="str">
        <f ca="1">IFERROR(__xludf.DUMMYFUNCTION("""COMPUTED_VALUE"""),"&lt;ruby&gt;空&lt;rt&gt;kōng&lt;/rt&gt;&lt;/ruby&gt;")</f>
        <v>&lt;ruby&gt;空&lt;rt&gt;kōng&lt;/rt&gt;&lt;/ruby&gt;</v>
      </c>
      <c r="E1128" s="13" t="str">
        <f ca="1">IFERROR(__xludf.DUMMYFUNCTION("""COMPUTED_VALUE"""),"kōng")</f>
        <v>kōng</v>
      </c>
      <c r="F1128" s="13" t="str">
        <f ca="1">IFERROR(__xludf.DUMMYFUNCTION("""COMPUTED_VALUE"""),"Tính từ")</f>
        <v>Tính từ</v>
      </c>
      <c r="G1128" s="13" t="str">
        <f ca="1">IFERROR(__xludf.DUMMYFUNCTION("""COMPUTED_VALUE"""),"trống, rỗng, không")</f>
        <v>trống, rỗng, không</v>
      </c>
      <c r="H1128" s="13" t="str">
        <f ca="1">IFERROR(__xludf.DUMMYFUNCTION("""COMPUTED_VALUE"""),"这条路现在很空。")</f>
        <v>这条路现在很空。</v>
      </c>
      <c r="I1128" s="13"/>
      <c r="J1128" s="13" t="str">
        <f ca="1">IFERROR(__xludf.DUMMYFUNCTION("""COMPUTED_VALUE"""),"Con đường này bây giờ rất trống.")</f>
        <v>Con đường này bây giờ rất trống.</v>
      </c>
      <c r="K1128" s="13" t="str">
        <f ca="1">IFERROR(__xludf.DUMMYFUNCTION("""COMPUTED_VALUE"""),"H4_B14_BG-25.png")</f>
        <v>H4_B14_BG-25.png</v>
      </c>
      <c r="L1128" s="13" t="str">
        <f ca="1">IFERROR(__xludf.DUMMYFUNCTION("""COMPUTED_VALUE"""),"B14_25.mp3")</f>
        <v>B14_25.mp3</v>
      </c>
      <c r="M1128" s="13" t="str">
        <f ca="1">IFERROR(__xludf.DUMMYFUNCTION("""COMPUTED_VALUE"""),"B14_VD_25.mp3")</f>
        <v>B14_VD_25.mp3</v>
      </c>
    </row>
    <row r="1129" spans="1:13">
      <c r="A1129" s="13">
        <f ca="1">IFERROR(__xludf.DUMMYFUNCTION("""COMPUTED_VALUE"""),26)</f>
        <v>26</v>
      </c>
      <c r="B1129" s="13"/>
      <c r="C1129" s="13" t="str">
        <f ca="1">IFERROR(__xludf.DUMMYFUNCTION("""COMPUTED_VALUE"""),"扔")</f>
        <v>扔</v>
      </c>
      <c r="D1129" s="13" t="str">
        <f ca="1">IFERROR(__xludf.DUMMYFUNCTION("""COMPUTED_VALUE"""),"&lt;ruby&gt;扔&lt;rt&gt;rēng&lt;/rt&gt;&lt;/ruby&gt;")</f>
        <v>&lt;ruby&gt;扔&lt;rt&gt;rēng&lt;/rt&gt;&lt;/ruby&gt;</v>
      </c>
      <c r="E1129" s="13" t="str">
        <f ca="1">IFERROR(__xludf.DUMMYFUNCTION("""COMPUTED_VALUE"""),"rēng")</f>
        <v>rēng</v>
      </c>
      <c r="F1129" s="13" t="str">
        <f ca="1">IFERROR(__xludf.DUMMYFUNCTION("""COMPUTED_VALUE"""),"Động từ")</f>
        <v>Động từ</v>
      </c>
      <c r="G1129" s="13" t="str">
        <f ca="1">IFERROR(__xludf.DUMMYFUNCTION("""COMPUTED_VALUE"""),"vứt bỏ")</f>
        <v>vứt bỏ</v>
      </c>
      <c r="H1129" s="13" t="str">
        <f ca="1">IFERROR(__xludf.DUMMYFUNCTION("""COMPUTED_VALUE"""),"他把球扔进篮筐。")</f>
        <v>他把球扔进篮筐。</v>
      </c>
      <c r="I1129" s="13"/>
      <c r="J1129" s="13" t="str">
        <f ca="1">IFERROR(__xludf.DUMMYFUNCTION("""COMPUTED_VALUE"""),"Anh ấy ném bóng vào rổ.")</f>
        <v>Anh ấy ném bóng vào rổ.</v>
      </c>
      <c r="K1129" s="13" t="str">
        <f ca="1">IFERROR(__xludf.DUMMYFUNCTION("""COMPUTED_VALUE"""),"H4_B14_BG-26.png")</f>
        <v>H4_B14_BG-26.png</v>
      </c>
      <c r="L1129" s="13" t="str">
        <f ca="1">IFERROR(__xludf.DUMMYFUNCTION("""COMPUTED_VALUE"""),"B14_26.mp3")</f>
        <v>B14_26.mp3</v>
      </c>
      <c r="M1129" s="13" t="str">
        <f ca="1">IFERROR(__xludf.DUMMYFUNCTION("""COMPUTED_VALUE"""),"B14_VD_26.mp3")</f>
        <v>B14_VD_26.mp3</v>
      </c>
    </row>
    <row r="1130" spans="1:13">
      <c r="A1130" s="13">
        <f ca="1">IFERROR(__xludf.DUMMYFUNCTION("""COMPUTED_VALUE"""),27)</f>
        <v>27</v>
      </c>
      <c r="B1130" s="13"/>
      <c r="C1130" s="13" t="str">
        <f ca="1">IFERROR(__xludf.DUMMYFUNCTION("""COMPUTED_VALUE"""),"地球")</f>
        <v>地球</v>
      </c>
      <c r="D1130" s="13" t="str">
        <f ca="1">IFERROR(__xludf.DUMMYFUNCTION("""COMPUTED_VALUE"""),"&lt;ruby&gt;地球&lt;rt&gt;dìqiú&lt;/rt&gt;&lt;/ruby&gt;")</f>
        <v>&lt;ruby&gt;地球&lt;rt&gt;dìqiú&lt;/rt&gt;&lt;/ruby&gt;</v>
      </c>
      <c r="E1130" s="13" t="str">
        <f ca="1">IFERROR(__xludf.DUMMYFUNCTION("""COMPUTED_VALUE"""),"dìqiú")</f>
        <v>dìqiú</v>
      </c>
      <c r="F1130" s="13" t="str">
        <f ca="1">IFERROR(__xludf.DUMMYFUNCTION("""COMPUTED_VALUE"""),"Danh từ")</f>
        <v>Danh từ</v>
      </c>
      <c r="G1130" s="13" t="str">
        <f ca="1">IFERROR(__xludf.DUMMYFUNCTION("""COMPUTED_VALUE"""),"trái đất")</f>
        <v>trái đất</v>
      </c>
      <c r="H1130" s="13" t="str">
        <f ca="1">IFERROR(__xludf.DUMMYFUNCTION("""COMPUTED_VALUE"""),"我们要珍惜地球资源。")</f>
        <v>我们要珍惜地球资源。</v>
      </c>
      <c r="I1130" s="13"/>
      <c r="J1130" s="13" t="str">
        <f ca="1">IFERROR(__xludf.DUMMYFUNCTION("""COMPUTED_VALUE"""),"Chúng ta phải trân trọng tài nguyên Trái Đất.")</f>
        <v>Chúng ta phải trân trọng tài nguyên Trái Đất.</v>
      </c>
      <c r="K1130" s="13" t="str">
        <f ca="1">IFERROR(__xludf.DUMMYFUNCTION("""COMPUTED_VALUE"""),"H4_B14_BG-27.png")</f>
        <v>H4_B14_BG-27.png</v>
      </c>
      <c r="L1130" s="13" t="str">
        <f ca="1">IFERROR(__xludf.DUMMYFUNCTION("""COMPUTED_VALUE"""),"B14_27.mp3")</f>
        <v>B14_27.mp3</v>
      </c>
      <c r="M1130" s="13" t="str">
        <f ca="1">IFERROR(__xludf.DUMMYFUNCTION("""COMPUTED_VALUE"""),"B14_VD_27.mp3")</f>
        <v>B14_VD_27.mp3</v>
      </c>
    </row>
    <row r="1131" spans="1:13">
      <c r="A1131" s="13">
        <f ca="1">IFERROR(__xludf.DUMMYFUNCTION("""COMPUTED_VALUE"""),28)</f>
        <v>28</v>
      </c>
      <c r="B1131" s="13"/>
      <c r="C1131" s="13" t="str">
        <f ca="1">IFERROR(__xludf.DUMMYFUNCTION("""COMPUTED_VALUE"""),"塑料袋")</f>
        <v>塑料袋</v>
      </c>
      <c r="D1131" s="13" t="str">
        <f ca="1">IFERROR(__xludf.DUMMYFUNCTION("""COMPUTED_VALUE"""),"&lt;ruby&gt;塑料袋&lt;rt&gt;sùliàodài&lt;/rt&gt;&lt;/ruby&gt;")</f>
        <v>&lt;ruby&gt;塑料袋&lt;rt&gt;sùliàodài&lt;/rt&gt;&lt;/ruby&gt;</v>
      </c>
      <c r="E1131" s="13" t="str">
        <f ca="1">IFERROR(__xludf.DUMMYFUNCTION("""COMPUTED_VALUE"""),"sùliàodài")</f>
        <v>sùliàodài</v>
      </c>
      <c r="F1131" s="13" t="str">
        <f ca="1">IFERROR(__xludf.DUMMYFUNCTION("""COMPUTED_VALUE"""),"Danh từ")</f>
        <v>Danh từ</v>
      </c>
      <c r="G1131" s="13" t="str">
        <f ca="1">IFERROR(__xludf.DUMMYFUNCTION("""COMPUTED_VALUE"""),"túi nilông, túi nhựa")</f>
        <v>túi nilông, túi nhựa</v>
      </c>
      <c r="H1131" s="13" t="str">
        <f ca="1">IFERROR(__xludf.DUMMYFUNCTION("""COMPUTED_VALUE"""),"这个塑料袋是免费的。")</f>
        <v>这个塑料袋是免费的。</v>
      </c>
      <c r="I1131" s="13"/>
      <c r="J1131" s="13" t="str">
        <f ca="1">IFERROR(__xludf.DUMMYFUNCTION("""COMPUTED_VALUE"""),"Túi nilon này miễn phí.")</f>
        <v>Túi nilon này miễn phí.</v>
      </c>
      <c r="K1131" s="13" t="str">
        <f ca="1">IFERROR(__xludf.DUMMYFUNCTION("""COMPUTED_VALUE"""),"H4_B14_BG-28.png")</f>
        <v>H4_B14_BG-28.png</v>
      </c>
      <c r="L1131" s="13" t="str">
        <f ca="1">IFERROR(__xludf.DUMMYFUNCTION("""COMPUTED_VALUE"""),"B14_28.mp3")</f>
        <v>B14_28.mp3</v>
      </c>
      <c r="M1131" s="13" t="str">
        <f ca="1">IFERROR(__xludf.DUMMYFUNCTION("""COMPUTED_VALUE"""),"B14_VD_28.mp3")</f>
        <v>B14_VD_28.mp3</v>
      </c>
    </row>
    <row r="1132" spans="1:13">
      <c r="A1132" s="13">
        <f ca="1">IFERROR(__xludf.DUMMYFUNCTION("""COMPUTED_VALUE"""),29)</f>
        <v>29</v>
      </c>
      <c r="B1132" s="13"/>
      <c r="C1132" s="13" t="str">
        <f ca="1">IFERROR(__xludf.DUMMYFUNCTION("""COMPUTED_VALUE"""),"拒绝")</f>
        <v>拒绝</v>
      </c>
      <c r="D1132" s="13" t="str">
        <f ca="1">IFERROR(__xludf.DUMMYFUNCTION("""COMPUTED_VALUE"""),"&lt;ruby&gt;拒绝&lt;rt&gt;jùjué&lt;/rt&gt;&lt;/ruby&gt;")</f>
        <v>&lt;ruby&gt;拒绝&lt;rt&gt;jùjué&lt;/rt&gt;&lt;/ruby&gt;</v>
      </c>
      <c r="E1132" s="13" t="str">
        <f ca="1">IFERROR(__xludf.DUMMYFUNCTION("""COMPUTED_VALUE"""),"jùjué")</f>
        <v>jùjué</v>
      </c>
      <c r="F1132" s="13" t="str">
        <f ca="1">IFERROR(__xludf.DUMMYFUNCTION("""COMPUTED_VALUE"""),"Động từ")</f>
        <v>Động từ</v>
      </c>
      <c r="G1132" s="13" t="str">
        <f ca="1">IFERROR(__xludf.DUMMYFUNCTION("""COMPUTED_VALUE"""),"từ chối")</f>
        <v>từ chối</v>
      </c>
      <c r="H1132" s="13" t="str">
        <f ca="1">IFERROR(__xludf.DUMMYFUNCTION("""COMPUTED_VALUE"""),"他拒绝了我的提议。")</f>
        <v>他拒绝了我的提议。</v>
      </c>
      <c r="I1132" s="13"/>
      <c r="J1132" s="13" t="str">
        <f ca="1">IFERROR(__xludf.DUMMYFUNCTION("""COMPUTED_VALUE"""),"Anh ấy từ chối lời đề nghị của tôi.")</f>
        <v>Anh ấy từ chối lời đề nghị của tôi.</v>
      </c>
      <c r="K1132" s="13" t="str">
        <f ca="1">IFERROR(__xludf.DUMMYFUNCTION("""COMPUTED_VALUE"""),"H4_B14_BG-29.png")</f>
        <v>H4_B14_BG-29.png</v>
      </c>
      <c r="L1132" s="13" t="str">
        <f ca="1">IFERROR(__xludf.DUMMYFUNCTION("""COMPUTED_VALUE"""),"B14_29.mp3")</f>
        <v>B14_29.mp3</v>
      </c>
      <c r="M1132" s="13" t="str">
        <f ca="1">IFERROR(__xludf.DUMMYFUNCTION("""COMPUTED_VALUE"""),"B14_VD_29.mp3")</f>
        <v>B14_VD_29.mp3</v>
      </c>
    </row>
    <row r="1133" spans="1:13">
      <c r="A1133" s="13">
        <f ca="1">IFERROR(__xludf.DUMMYFUNCTION("""COMPUTED_VALUE"""),30)</f>
        <v>30</v>
      </c>
      <c r="B1133" s="13"/>
      <c r="C1133" s="13" t="str">
        <f ca="1">IFERROR(__xludf.DUMMYFUNCTION("""COMPUTED_VALUE"""),"减少")</f>
        <v>减少</v>
      </c>
      <c r="D1133" s="13" t="str">
        <f ca="1">IFERROR(__xludf.DUMMYFUNCTION("""COMPUTED_VALUE"""),"&lt;ruby&gt;减少&lt;rt&gt;jiǎnshǎo&lt;/rt&gt;&lt;/ruby&gt;")</f>
        <v>&lt;ruby&gt;减少&lt;rt&gt;jiǎnshǎo&lt;/rt&gt;&lt;/ruby&gt;</v>
      </c>
      <c r="E1133" s="13" t="str">
        <f ca="1">IFERROR(__xludf.DUMMYFUNCTION("""COMPUTED_VALUE"""),"jiǎnshǎo")</f>
        <v>jiǎnshǎo</v>
      </c>
      <c r="F1133" s="13" t="str">
        <f ca="1">IFERROR(__xludf.DUMMYFUNCTION("""COMPUTED_VALUE"""),"Động từ")</f>
        <v>Động từ</v>
      </c>
      <c r="G1133" s="13" t="str">
        <f ca="1">IFERROR(__xludf.DUMMYFUNCTION("""COMPUTED_VALUE"""),"giảm bớt")</f>
        <v>giảm bớt</v>
      </c>
      <c r="H1133" s="13" t="str">
        <f ca="1">IFERROR(__xludf.DUMMYFUNCTION("""COMPUTED_VALUE"""),"公司计划减少员工数量。")</f>
        <v>公司计划减少员工数量。</v>
      </c>
      <c r="I1133" s="13"/>
      <c r="J1133" s="13" t="str">
        <f ca="1">IFERROR(__xludf.DUMMYFUNCTION("""COMPUTED_VALUE"""),"Công ty dự định cắt giảm nhân sự.")</f>
        <v>Công ty dự định cắt giảm nhân sự.</v>
      </c>
      <c r="K1133" s="13" t="str">
        <f ca="1">IFERROR(__xludf.DUMMYFUNCTION("""COMPUTED_VALUE"""),"H4_B14_BG-30.png")</f>
        <v>H4_B14_BG-30.png</v>
      </c>
      <c r="L1133" s="13" t="str">
        <f ca="1">IFERROR(__xludf.DUMMYFUNCTION("""COMPUTED_VALUE"""),"B14_30.mp3")</f>
        <v>B14_30.mp3</v>
      </c>
      <c r="M1133" s="13" t="str">
        <f ca="1">IFERROR(__xludf.DUMMYFUNCTION("""COMPUTED_VALUE"""),"B14_VD_30.mp3")</f>
        <v>B14_VD_30.mp3</v>
      </c>
    </row>
    <row r="1134" spans="1:13">
      <c r="A1134" s="13">
        <f ca="1">IFERROR(__xludf.DUMMYFUNCTION("""COMPUTED_VALUE"""),31)</f>
        <v>31</v>
      </c>
      <c r="B1134" s="13"/>
      <c r="C1134" s="13" t="str">
        <f ca="1">IFERROR(__xludf.DUMMYFUNCTION("""COMPUTED_VALUE"""),"数量")</f>
        <v>数量</v>
      </c>
      <c r="D1134" s="13" t="str">
        <f ca="1">IFERROR(__xludf.DUMMYFUNCTION("""COMPUTED_VALUE"""),"&lt;ruby&gt;数量&lt;rt&gt;shùliàng&lt;/rt&gt;&lt;/ruby&gt;")</f>
        <v>&lt;ruby&gt;数量&lt;rt&gt;shùliàng&lt;/rt&gt;&lt;/ruby&gt;</v>
      </c>
      <c r="E1134" s="13" t="str">
        <f ca="1">IFERROR(__xludf.DUMMYFUNCTION("""COMPUTED_VALUE"""),"shùliàng")</f>
        <v>shùliàng</v>
      </c>
      <c r="F1134" s="13" t="str">
        <f ca="1">IFERROR(__xludf.DUMMYFUNCTION("""COMPUTED_VALUE"""),"Danh từ")</f>
        <v>Danh từ</v>
      </c>
      <c r="G1134" s="13" t="str">
        <f ca="1">IFERROR(__xludf.DUMMYFUNCTION("""COMPUTED_VALUE"""),"số lượng")</f>
        <v>số lượng</v>
      </c>
      <c r="H1134" s="13" t="str">
        <f ca="1">IFERROR(__xludf.DUMMYFUNCTION("""COMPUTED_VALUE"""),"数量不足会影响生产。")</f>
        <v>数量不足会影响生产。</v>
      </c>
      <c r="I1134" s="13"/>
      <c r="J1134" s="13" t="str">
        <f ca="1">IFERROR(__xludf.DUMMYFUNCTION("""COMPUTED_VALUE"""),"Số lượng không đủ sẽ ảnh hưởng sản xuất.")</f>
        <v>Số lượng không đủ sẽ ảnh hưởng sản xuất.</v>
      </c>
      <c r="K1134" s="13" t="str">
        <f ca="1">IFERROR(__xludf.DUMMYFUNCTION("""COMPUTED_VALUE"""),"H4_B14_BG-31.png")</f>
        <v>H4_B14_BG-31.png</v>
      </c>
      <c r="L1134" s="13" t="str">
        <f ca="1">IFERROR(__xludf.DUMMYFUNCTION("""COMPUTED_VALUE"""),"B14_31.mp3")</f>
        <v>B14_31.mp3</v>
      </c>
      <c r="M1134" s="13" t="str">
        <f ca="1">IFERROR(__xludf.DUMMYFUNCTION("""COMPUTED_VALUE"""),"B14_VD_31.mp3")</f>
        <v>B14_VD_31.mp3</v>
      </c>
    </row>
    <row r="1135" spans="1:13">
      <c r="A1135" s="13">
        <f ca="1">IFERROR(__xludf.DUMMYFUNCTION("""COMPUTED_VALUE"""),32)</f>
        <v>32</v>
      </c>
      <c r="B1135" s="13"/>
      <c r="C1135" s="13" t="str">
        <f ca="1">IFERROR(__xludf.DUMMYFUNCTION("""COMPUTED_VALUE"""),"垃圾桶")</f>
        <v>垃圾桶</v>
      </c>
      <c r="D1135" s="13" t="str">
        <f ca="1">IFERROR(__xludf.DUMMYFUNCTION("""COMPUTED_VALUE"""),"&lt;ruby&gt;垃圾桶&lt;rt&gt;lājītǒng&lt;/rt&gt;&lt;/ruby&gt;")</f>
        <v>&lt;ruby&gt;垃圾桶&lt;rt&gt;lājītǒng&lt;/rt&gt;&lt;/ruby&gt;</v>
      </c>
      <c r="E1135" s="13" t="str">
        <f ca="1">IFERROR(__xludf.DUMMYFUNCTION("""COMPUTED_VALUE"""),"lājītǒng")</f>
        <v>lājītǒng</v>
      </c>
      <c r="F1135" s="13" t="str">
        <f ca="1">IFERROR(__xludf.DUMMYFUNCTION("""COMPUTED_VALUE"""),"Danh từ")</f>
        <v>Danh từ</v>
      </c>
      <c r="G1135" s="13" t="str">
        <f ca="1">IFERROR(__xludf.DUMMYFUNCTION("""COMPUTED_VALUE"""),"thùng rác")</f>
        <v>thùng rác</v>
      </c>
      <c r="H1135" s="13" t="str">
        <f ca="1">IFERROR(__xludf.DUMMYFUNCTION("""COMPUTED_VALUE"""),"你应该把果皮扔进垃圾桶。")</f>
        <v>你应该把果皮扔进垃圾桶。</v>
      </c>
      <c r="I1135" s="13"/>
      <c r="J1135" s="13" t="str">
        <f ca="1">IFERROR(__xludf.DUMMYFUNCTION("""COMPUTED_VALUE"""),"Bạn nên vứt vỏ vào thùng rác.")</f>
        <v>Bạn nên vứt vỏ vào thùng rác.</v>
      </c>
      <c r="K1135" s="13" t="str">
        <f ca="1">IFERROR(__xludf.DUMMYFUNCTION("""COMPUTED_VALUE"""),"H4_B14_BG-32.png")</f>
        <v>H4_B14_BG-32.png</v>
      </c>
      <c r="L1135" s="13" t="str">
        <f ca="1">IFERROR(__xludf.DUMMYFUNCTION("""COMPUTED_VALUE"""),"B14_32.mp3")</f>
        <v>B14_32.mp3</v>
      </c>
      <c r="M1135" s="13" t="str">
        <f ca="1">IFERROR(__xludf.DUMMYFUNCTION("""COMPUTED_VALUE"""),"B14_VD_32.mp3")</f>
        <v>B14_VD_32.mp3</v>
      </c>
    </row>
    <row r="1136" spans="1:13">
      <c r="A1136" s="13">
        <f ca="1">IFERROR(__xludf.DUMMYFUNCTION("""COMPUTED_VALUE"""),1)</f>
        <v>1</v>
      </c>
      <c r="B1136" s="13"/>
      <c r="C1136" s="13" t="str">
        <f ca="1">IFERROR(__xludf.DUMMYFUNCTION("""COMPUTED_VALUE"""),"弹钢琴")</f>
        <v>弹钢琴</v>
      </c>
      <c r="D1136" s="13" t="str">
        <f ca="1">IFERROR(__xludf.DUMMYFUNCTION("""COMPUTED_VALUE"""),"&lt;ruby&gt;弹钢琴&lt;rt&gt;tán gāngqín&lt;/rt&gt;&lt;/ruby&gt;")</f>
        <v>&lt;ruby&gt;弹钢琴&lt;rt&gt;tán gāngqín&lt;/rt&gt;&lt;/ruby&gt;</v>
      </c>
      <c r="E1136" s="13" t="str">
        <f ca="1">IFERROR(__xludf.DUMMYFUNCTION("""COMPUTED_VALUE"""),"tán gāngqín")</f>
        <v>tán gāngqín</v>
      </c>
      <c r="F1136" s="13"/>
      <c r="G1136" s="13" t="str">
        <f ca="1">IFERROR(__xludf.DUMMYFUNCTION("""COMPUTED_VALUE"""),"chơi đàn dương cầm")</f>
        <v>chơi đàn dương cầm</v>
      </c>
      <c r="H1136" s="13" t="str">
        <f ca="1">IFERROR(__xludf.DUMMYFUNCTION("""COMPUTED_VALUE"""),"她从小就会弹钢琴。")</f>
        <v>她从小就会弹钢琴。</v>
      </c>
      <c r="I1136" s="13"/>
      <c r="J1136" s="13" t="str">
        <f ca="1">IFERROR(__xludf.DUMMYFUNCTION("""COMPUTED_VALUE"""),"Cô ấy biết đánh đàn piano từ bé.")</f>
        <v>Cô ấy biết đánh đàn piano từ bé.</v>
      </c>
      <c r="K1136" s="13" t="str">
        <f ca="1">IFERROR(__xludf.DUMMYFUNCTION("""COMPUTED_VALUE"""),"H4_B15_BG-01.png")</f>
        <v>H4_B15_BG-01.png</v>
      </c>
      <c r="L1136" s="13" t="str">
        <f ca="1">IFERROR(__xludf.DUMMYFUNCTION("""COMPUTED_VALUE"""),"B15_1.mp3")</f>
        <v>B15_1.mp3</v>
      </c>
      <c r="M1136" s="13" t="str">
        <f ca="1">IFERROR(__xludf.DUMMYFUNCTION("""COMPUTED_VALUE"""),"B14_VD_1.mp3")</f>
        <v>B14_VD_1.mp3</v>
      </c>
    </row>
    <row r="1137" spans="1:13">
      <c r="A1137" s="13">
        <f ca="1">IFERROR(__xludf.DUMMYFUNCTION("""COMPUTED_VALUE"""),2)</f>
        <v>2</v>
      </c>
      <c r="B1137" s="13"/>
      <c r="C1137" s="13" t="str">
        <f ca="1">IFERROR(__xludf.DUMMYFUNCTION("""COMPUTED_VALUE"""),"棒")</f>
        <v>棒</v>
      </c>
      <c r="D1137" s="13" t="str">
        <f ca="1">IFERROR(__xludf.DUMMYFUNCTION("""COMPUTED_VALUE"""),"&lt;ruby&gt;棒&lt;rt&gt;bàng&lt;/rt&gt;&lt;/ruby&gt;")</f>
        <v>&lt;ruby&gt;棒&lt;rt&gt;bàng&lt;/rt&gt;&lt;/ruby&gt;</v>
      </c>
      <c r="E1137" s="13" t="str">
        <f ca="1">IFERROR(__xludf.DUMMYFUNCTION("""COMPUTED_VALUE"""),"bàng")</f>
        <v>bàng</v>
      </c>
      <c r="F1137" s="13" t="str">
        <f ca="1">IFERROR(__xludf.DUMMYFUNCTION("""COMPUTED_VALUE"""),"Tính từ")</f>
        <v>Tính từ</v>
      </c>
      <c r="G1137" s="13" t="str">
        <f ca="1">IFERROR(__xludf.DUMMYFUNCTION("""COMPUTED_VALUE"""),"xuất sắc, hay, giỏi")</f>
        <v>xuất sắc, hay, giỏi</v>
      </c>
      <c r="H1137" s="13" t="str">
        <f ca="1">IFERROR(__xludf.DUMMYFUNCTION("""COMPUTED_VALUE"""),"她的成绩一直很棒。")</f>
        <v>她的成绩一直很棒。</v>
      </c>
      <c r="I1137" s="13"/>
      <c r="J1137" s="13" t="str">
        <f ca="1">IFERROR(__xludf.DUMMYFUNCTION("""COMPUTED_VALUE"""),"Thành tích của cô ấy luôn rất tốt.")</f>
        <v>Thành tích của cô ấy luôn rất tốt.</v>
      </c>
      <c r="K1137" s="13" t="str">
        <f ca="1">IFERROR(__xludf.DUMMYFUNCTION("""COMPUTED_VALUE"""),"H4_B15_BG-02.png")</f>
        <v>H4_B15_BG-02.png</v>
      </c>
      <c r="L1137" s="13" t="str">
        <f ca="1">IFERROR(__xludf.DUMMYFUNCTION("""COMPUTED_VALUE"""),"B15_2.mp3")</f>
        <v>B15_2.mp3</v>
      </c>
      <c r="M1137" s="13" t="str">
        <f ca="1">IFERROR(__xludf.DUMMYFUNCTION("""COMPUTED_VALUE"""),"B14_VD_2.mp3")</f>
        <v>B14_VD_2.mp3</v>
      </c>
    </row>
    <row r="1138" spans="1:13">
      <c r="A1138" s="13">
        <f ca="1">IFERROR(__xludf.DUMMYFUNCTION("""COMPUTED_VALUE"""),3)</f>
        <v>3</v>
      </c>
      <c r="B1138" s="13"/>
      <c r="C1138" s="13" t="str">
        <f ca="1">IFERROR(__xludf.DUMMYFUNCTION("""COMPUTED_VALUE"""),"管理")</f>
        <v>管理</v>
      </c>
      <c r="D1138" s="13" t="str">
        <f ca="1">IFERROR(__xludf.DUMMYFUNCTION("""COMPUTED_VALUE"""),"&lt;ruby&gt;管理&lt;rt&gt;guǎnlǐ&lt;/rt&gt;&lt;/ruby&gt;")</f>
        <v>&lt;ruby&gt;管理&lt;rt&gt;guǎnlǐ&lt;/rt&gt;&lt;/ruby&gt;</v>
      </c>
      <c r="E1138" s="13" t="str">
        <f ca="1">IFERROR(__xludf.DUMMYFUNCTION("""COMPUTED_VALUE"""),"guǎnlǐ")</f>
        <v>guǎnlǐ</v>
      </c>
      <c r="F1138" s="13" t="str">
        <f ca="1">IFERROR(__xludf.DUMMYFUNCTION("""COMPUTED_VALUE"""),"Động từ")</f>
        <v>Động từ</v>
      </c>
      <c r="G1138" s="13" t="str">
        <f ca="1">IFERROR(__xludf.DUMMYFUNCTION("""COMPUTED_VALUE"""),"quản lý")</f>
        <v>quản lý</v>
      </c>
      <c r="H1138" s="13" t="str">
        <f ca="1">IFERROR(__xludf.DUMMYFUNCTION("""COMPUTED_VALUE"""),"这件事由他负责管理。")</f>
        <v>这件事由他负责管理。</v>
      </c>
      <c r="I1138" s="13"/>
      <c r="J1138" s="13" t="str">
        <f ca="1">IFERROR(__xludf.DUMMYFUNCTION("""COMPUTED_VALUE"""),"Việc này do anh ấy phụ trách điều hành.")</f>
        <v>Việc này do anh ấy phụ trách điều hành.</v>
      </c>
      <c r="K1138" s="13" t="str">
        <f ca="1">IFERROR(__xludf.DUMMYFUNCTION("""COMPUTED_VALUE"""),"H4_B15_BG-03.png")</f>
        <v>H4_B15_BG-03.png</v>
      </c>
      <c r="L1138" s="13" t="str">
        <f ca="1">IFERROR(__xludf.DUMMYFUNCTION("""COMPUTED_VALUE"""),"B15_3.mp3")</f>
        <v>B15_3.mp3</v>
      </c>
      <c r="M1138" s="13" t="str">
        <f ca="1">IFERROR(__xludf.DUMMYFUNCTION("""COMPUTED_VALUE"""),"B14_VD_3.mp3")</f>
        <v>B14_VD_3.mp3</v>
      </c>
    </row>
    <row r="1139" spans="1:13">
      <c r="A1139" s="13">
        <f ca="1">IFERROR(__xludf.DUMMYFUNCTION("""COMPUTED_VALUE"""),4)</f>
        <v>4</v>
      </c>
      <c r="B1139" s="13"/>
      <c r="C1139" s="13" t="str">
        <f ca="1">IFERROR(__xludf.DUMMYFUNCTION("""COMPUTED_VALUE"""),"弄")</f>
        <v>弄</v>
      </c>
      <c r="D1139" s="13" t="str">
        <f ca="1">IFERROR(__xludf.DUMMYFUNCTION("""COMPUTED_VALUE"""),"&lt;ruby&gt;弄&lt;rt&gt;nòng&lt;/rt&gt;&lt;/ruby&gt;")</f>
        <v>&lt;ruby&gt;弄&lt;rt&gt;nòng&lt;/rt&gt;&lt;/ruby&gt;</v>
      </c>
      <c r="E1139" s="13" t="str">
        <f ca="1">IFERROR(__xludf.DUMMYFUNCTION("""COMPUTED_VALUE"""),"nòng")</f>
        <v>nòng</v>
      </c>
      <c r="F1139" s="13" t="str">
        <f ca="1">IFERROR(__xludf.DUMMYFUNCTION("""COMPUTED_VALUE"""),"Động từ")</f>
        <v>Động từ</v>
      </c>
      <c r="G1139" s="13" t="str">
        <f ca="1">IFERROR(__xludf.DUMMYFUNCTION("""COMPUTED_VALUE"""),"làm")</f>
        <v>làm</v>
      </c>
      <c r="H1139" s="13" t="str">
        <f ca="1">IFERROR(__xludf.DUMMYFUNCTION("""COMPUTED_VALUE"""),"小男孩把他最喜欢的玩具弄坏了。")</f>
        <v>小男孩把他最喜欢的玩具弄坏了。</v>
      </c>
      <c r="I1139" s="13"/>
      <c r="J1139" s="13" t="str">
        <f ca="1">IFERROR(__xludf.DUMMYFUNCTION("""COMPUTED_VALUE"""),"Cậu bé làm hỏng đồ chơi yêu thích rồi.")</f>
        <v>Cậu bé làm hỏng đồ chơi yêu thích rồi.</v>
      </c>
      <c r="K1139" s="13" t="str">
        <f ca="1">IFERROR(__xludf.DUMMYFUNCTION("""COMPUTED_VALUE"""),"H4_B15_BG-04.png")</f>
        <v>H4_B15_BG-04.png</v>
      </c>
      <c r="L1139" s="13" t="str">
        <f ca="1">IFERROR(__xludf.DUMMYFUNCTION("""COMPUTED_VALUE"""),"B15_4.mp3")</f>
        <v>B15_4.mp3</v>
      </c>
      <c r="M1139" s="13" t="str">
        <f ca="1">IFERROR(__xludf.DUMMYFUNCTION("""COMPUTED_VALUE"""),"B14_VD_4.mp3")</f>
        <v>B14_VD_4.mp3</v>
      </c>
    </row>
    <row r="1140" spans="1:13">
      <c r="A1140" s="13">
        <f ca="1">IFERROR(__xludf.DUMMYFUNCTION("""COMPUTED_VALUE"""),5)</f>
        <v>5</v>
      </c>
      <c r="B1140" s="13"/>
      <c r="C1140" s="13" t="str">
        <f ca="1">IFERROR(__xludf.DUMMYFUNCTION("""COMPUTED_VALUE"""),"打针")</f>
        <v>打针</v>
      </c>
      <c r="D1140" s="13" t="str">
        <f ca="1">IFERROR(__xludf.DUMMYFUNCTION("""COMPUTED_VALUE"""),"&lt;ruby&gt;打针&lt;rt&gt;dǎ zhēn&lt;/rt&gt;&lt;/ruby&gt;")</f>
        <v>&lt;ruby&gt;打针&lt;rt&gt;dǎ zhēn&lt;/rt&gt;&lt;/ruby&gt;</v>
      </c>
      <c r="E1140" s="13" t="str">
        <f ca="1">IFERROR(__xludf.DUMMYFUNCTION("""COMPUTED_VALUE"""),"dǎ zhēn")</f>
        <v>dǎ zhēn</v>
      </c>
      <c r="F1140" s="13" t="str">
        <f ca="1">IFERROR(__xludf.DUMMYFUNCTION("""COMPUTED_VALUE"""),"Động từ")</f>
        <v>Động từ</v>
      </c>
      <c r="G1140" s="13" t="str">
        <f ca="1">IFERROR(__xludf.DUMMYFUNCTION("""COMPUTED_VALUE"""),"tiêm, chích")</f>
        <v>tiêm, chích</v>
      </c>
      <c r="H1140" s="13" t="str">
        <f ca="1">IFERROR(__xludf.DUMMYFUNCTION("""COMPUTED_VALUE"""),"小女孩很勇敢，打针也不喊疼。")</f>
        <v>小女孩很勇敢，打针也不喊疼。</v>
      </c>
      <c r="I1140" s="13"/>
      <c r="J1140" s="13" t="str">
        <f ca="1">IFERROR(__xludf.DUMMYFUNCTION("""COMPUTED_VALUE"""),"Cô bé ấy rất dũng cảm, bị tiêm cũng không hề kêu đau.")</f>
        <v>Cô bé ấy rất dũng cảm, bị tiêm cũng không hề kêu đau.</v>
      </c>
      <c r="K1140" s="13" t="str">
        <f ca="1">IFERROR(__xludf.DUMMYFUNCTION("""COMPUTED_VALUE"""),"H4_B15_BG-05.png")</f>
        <v>H4_B15_BG-05.png</v>
      </c>
      <c r="L1140" s="13" t="str">
        <f ca="1">IFERROR(__xludf.DUMMYFUNCTION("""COMPUTED_VALUE"""),"B15_5.mp3")</f>
        <v>B15_5.mp3</v>
      </c>
      <c r="M1140" s="13" t="str">
        <f ca="1">IFERROR(__xludf.DUMMYFUNCTION("""COMPUTED_VALUE"""),"B14_VD_5.mp3")</f>
        <v>B14_VD_5.mp3</v>
      </c>
    </row>
    <row r="1141" spans="1:13">
      <c r="A1141" s="13">
        <f ca="1">IFERROR(__xludf.DUMMYFUNCTION("""COMPUTED_VALUE"""),6)</f>
        <v>6</v>
      </c>
      <c r="B1141" s="13"/>
      <c r="C1141" s="13" t="str">
        <f ca="1">IFERROR(__xludf.DUMMYFUNCTION("""COMPUTED_VALUE"""),"护士")</f>
        <v>护士</v>
      </c>
      <c r="D1141" s="13" t="str">
        <f ca="1">IFERROR(__xludf.DUMMYFUNCTION("""COMPUTED_VALUE"""),"&lt;ruby&gt;护士&lt;rt&gt;hùshi&lt;/rt&gt;&lt;/ruby&gt;")</f>
        <v>&lt;ruby&gt;护士&lt;rt&gt;hùshi&lt;/rt&gt;&lt;/ruby&gt;</v>
      </c>
      <c r="E1141" s="13" t="str">
        <f ca="1">IFERROR(__xludf.DUMMYFUNCTION("""COMPUTED_VALUE"""),"hùshi")</f>
        <v>hùshi</v>
      </c>
      <c r="F1141" s="13" t="str">
        <f ca="1">IFERROR(__xludf.DUMMYFUNCTION("""COMPUTED_VALUE"""),"Danh từ")</f>
        <v>Danh từ</v>
      </c>
      <c r="G1141" s="13" t="str">
        <f ca="1">IFERROR(__xludf.DUMMYFUNCTION("""COMPUTED_VALUE"""),"y tá")</f>
        <v>y tá</v>
      </c>
      <c r="H1141" s="13" t="str">
        <f ca="1">IFERROR(__xludf.DUMMYFUNCTION("""COMPUTED_VALUE"""),"我姐姐是护士。")</f>
        <v>我姐姐是护士。</v>
      </c>
      <c r="I1141" s="13"/>
      <c r="J1141" s="13" t="str">
        <f ca="1">IFERROR(__xludf.DUMMYFUNCTION("""COMPUTED_VALUE"""),"Chị gái tôi làm y tá.")</f>
        <v>Chị gái tôi làm y tá.</v>
      </c>
      <c r="K1141" s="13" t="str">
        <f ca="1">IFERROR(__xludf.DUMMYFUNCTION("""COMPUTED_VALUE"""),"H4_B15_BG-06.png")</f>
        <v>H4_B15_BG-06.png</v>
      </c>
      <c r="L1141" s="13" t="str">
        <f ca="1">IFERROR(__xludf.DUMMYFUNCTION("""COMPUTED_VALUE"""),"B15_6.mp3")</f>
        <v>B15_6.mp3</v>
      </c>
      <c r="M1141" s="13" t="str">
        <f ca="1">IFERROR(__xludf.DUMMYFUNCTION("""COMPUTED_VALUE"""),"B14_VD_6.mp3")</f>
        <v>B14_VD_6.mp3</v>
      </c>
    </row>
    <row r="1142" spans="1:13">
      <c r="A1142" s="13">
        <f ca="1">IFERROR(__xludf.DUMMYFUNCTION("""COMPUTED_VALUE"""),7)</f>
        <v>7</v>
      </c>
      <c r="B1142" s="13"/>
      <c r="C1142" s="13" t="str">
        <f ca="1">IFERROR(__xludf.DUMMYFUNCTION("""COMPUTED_VALUE"""),"千万")</f>
        <v>千万</v>
      </c>
      <c r="D1142" s="13" t="str">
        <f ca="1">IFERROR(__xludf.DUMMYFUNCTION("""COMPUTED_VALUE"""),"&lt;ruby&gt;千万&lt;rt&gt;qiānwàn&lt;/rt&gt;&lt;/ruby&gt;")</f>
        <v>&lt;ruby&gt;千万&lt;rt&gt;qiānwàn&lt;/rt&gt;&lt;/ruby&gt;</v>
      </c>
      <c r="E1142" s="13" t="str">
        <f ca="1">IFERROR(__xludf.DUMMYFUNCTION("""COMPUTED_VALUE"""),"qiānwàn")</f>
        <v>qiānwàn</v>
      </c>
      <c r="F1142" s="13" t="str">
        <f ca="1">IFERROR(__xludf.DUMMYFUNCTION("""COMPUTED_VALUE"""),"Phó từ")</f>
        <v>Phó từ</v>
      </c>
      <c r="G1142" s="13" t="str">
        <f ca="1">IFERROR(__xludf.DUMMYFUNCTION("""COMPUTED_VALUE"""),"nhất thiết phải")</f>
        <v>nhất thiết phải</v>
      </c>
      <c r="H1142" s="13" t="str">
        <f ca="1">IFERROR(__xludf.DUMMYFUNCTION("""COMPUTED_VALUE"""),"千万要按照医生的嘱咐吃药。")</f>
        <v>千万要按照医生的嘱咐吃药。</v>
      </c>
      <c r="I1142" s="13"/>
      <c r="J1142" s="13" t="str">
        <f ca="1">IFERROR(__xludf.DUMMYFUNCTION("""COMPUTED_VALUE"""),"Tuyệt đối phải uống thuốc theo lời bác sĩ.")</f>
        <v>Tuyệt đối phải uống thuốc theo lời bác sĩ.</v>
      </c>
      <c r="K1142" s="13" t="str">
        <f ca="1">IFERROR(__xludf.DUMMYFUNCTION("""COMPUTED_VALUE"""),"H4_B15_BG-07.png")</f>
        <v>H4_B15_BG-07.png</v>
      </c>
      <c r="L1142" s="13" t="str">
        <f ca="1">IFERROR(__xludf.DUMMYFUNCTION("""COMPUTED_VALUE"""),"B15_7.mp3")</f>
        <v>B15_7.mp3</v>
      </c>
      <c r="M1142" s="13" t="str">
        <f ca="1">IFERROR(__xludf.DUMMYFUNCTION("""COMPUTED_VALUE"""),"B14_VD_7.mp3")</f>
        <v>B14_VD_7.mp3</v>
      </c>
    </row>
    <row r="1143" spans="1:13">
      <c r="A1143" s="13">
        <f ca="1">IFERROR(__xludf.DUMMYFUNCTION("""COMPUTED_VALUE"""),8)</f>
        <v>8</v>
      </c>
      <c r="B1143" s="13"/>
      <c r="C1143" s="13" t="str">
        <f ca="1">IFERROR(__xludf.DUMMYFUNCTION("""COMPUTED_VALUE"""),"左右")</f>
        <v>左右</v>
      </c>
      <c r="D1143" s="13" t="str">
        <f ca="1">IFERROR(__xludf.DUMMYFUNCTION("""COMPUTED_VALUE"""),"&lt;ruby&gt;左右&lt;rt&gt;zuǒyòu&lt;/rt&gt;&lt;/ruby&gt;")</f>
        <v>&lt;ruby&gt;左右&lt;rt&gt;zuǒyòu&lt;/rt&gt;&lt;/ruby&gt;</v>
      </c>
      <c r="E1143" s="13" t="str">
        <f ca="1">IFERROR(__xludf.DUMMYFUNCTION("""COMPUTED_VALUE"""),"zuǒyòu")</f>
        <v>zuǒyòu</v>
      </c>
      <c r="F1143" s="13" t="str">
        <f ca="1">IFERROR(__xludf.DUMMYFUNCTION("""COMPUTED_VALUE"""),"Danh từ")</f>
        <v>Danh từ</v>
      </c>
      <c r="G1143" s="13" t="str">
        <f ca="1">IFERROR(__xludf.DUMMYFUNCTION("""COMPUTED_VALUE"""),"khoảng, khoảng chừng")</f>
        <v>khoảng, khoảng chừng</v>
      </c>
      <c r="H1143" s="13" t="str">
        <f ca="1">IFERROR(__xludf.DUMMYFUNCTION("""COMPUTED_VALUE"""),"从现在到毕业，我大概能存五百万左右。")</f>
        <v>从现在到毕业，我大概能存五百万左右。</v>
      </c>
      <c r="I1143" s="13"/>
      <c r="J1143" s="13" t="str">
        <f ca="1">IFERROR(__xludf.DUMMYFUNCTION("""COMPUTED_VALUE"""),"Từ giờ đến lúc tốt nghiệp, tôi có thể tích kiệm được khoảng 5 triệu.")</f>
        <v>Từ giờ đến lúc tốt nghiệp, tôi có thể tích kiệm được khoảng 5 triệu.</v>
      </c>
      <c r="K1143" s="13" t="str">
        <f ca="1">IFERROR(__xludf.DUMMYFUNCTION("""COMPUTED_VALUE"""),"H4_B15_BG-08.png")</f>
        <v>H4_B15_BG-08.png</v>
      </c>
      <c r="L1143" s="13" t="str">
        <f ca="1">IFERROR(__xludf.DUMMYFUNCTION("""COMPUTED_VALUE"""),"B15_8.mp3")</f>
        <v>B15_8.mp3</v>
      </c>
      <c r="M1143" s="13" t="str">
        <f ca="1">IFERROR(__xludf.DUMMYFUNCTION("""COMPUTED_VALUE"""),"B14_VD_8.mp3")</f>
        <v>B14_VD_8.mp3</v>
      </c>
    </row>
    <row r="1144" spans="1:13">
      <c r="A1144" s="13">
        <f ca="1">IFERROR(__xludf.DUMMYFUNCTION("""COMPUTED_VALUE"""),9)</f>
        <v>9</v>
      </c>
      <c r="B1144" s="13"/>
      <c r="C1144" s="13" t="str">
        <f ca="1">IFERROR(__xludf.DUMMYFUNCTION("""COMPUTED_VALUE"""),"懒")</f>
        <v>懒</v>
      </c>
      <c r="D1144" s="13" t="str">
        <f ca="1">IFERROR(__xludf.DUMMYFUNCTION("""COMPUTED_VALUE"""),"&lt;ruby&gt;懒&lt;rt&gt;lǎn&lt;/rt&gt;&lt;/ruby&gt;")</f>
        <v>&lt;ruby&gt;懒&lt;rt&gt;lǎn&lt;/rt&gt;&lt;/ruby&gt;</v>
      </c>
      <c r="E1144" s="13" t="str">
        <f ca="1">IFERROR(__xludf.DUMMYFUNCTION("""COMPUTED_VALUE"""),"lǎn")</f>
        <v>lǎn</v>
      </c>
      <c r="F1144" s="13" t="str">
        <f ca="1">IFERROR(__xludf.DUMMYFUNCTION("""COMPUTED_VALUE"""),"Tính từ")</f>
        <v>Tính từ</v>
      </c>
      <c r="G1144" s="13" t="str">
        <f ca="1">IFERROR(__xludf.DUMMYFUNCTION("""COMPUTED_VALUE"""),"lười, lười nhác")</f>
        <v>lười, lười nhác</v>
      </c>
      <c r="H1144" s="13" t="str">
        <f ca="1">IFERROR(__xludf.DUMMYFUNCTION("""COMPUTED_VALUE"""),"我家的猪特别懒，整天睡觉，吃饭时间都懒得起来。")</f>
        <v>我家的猪特别懒，整天睡觉，吃饭时间都懒得起来。</v>
      </c>
      <c r="I1144" s="13"/>
      <c r="J1144" s="13" t="str">
        <f ca="1">IFERROR(__xludf.DUMMYFUNCTION("""COMPUTED_VALUE"""),"Con heo nhà tôi rất lười biếng, cả ngày chỉ ngủ, đến giờ ăn cũng không chịu dậy ăn.")</f>
        <v>Con heo nhà tôi rất lười biếng, cả ngày chỉ ngủ, đến giờ ăn cũng không chịu dậy ăn.</v>
      </c>
      <c r="K1144" s="13" t="str">
        <f ca="1">IFERROR(__xludf.DUMMYFUNCTION("""COMPUTED_VALUE"""),"H4_B15_BG-09.png")</f>
        <v>H4_B15_BG-09.png</v>
      </c>
      <c r="L1144" s="13" t="str">
        <f ca="1">IFERROR(__xludf.DUMMYFUNCTION("""COMPUTED_VALUE"""),"B15_9.mp3")</f>
        <v>B15_9.mp3</v>
      </c>
      <c r="M1144" s="13" t="str">
        <f ca="1">IFERROR(__xludf.DUMMYFUNCTION("""COMPUTED_VALUE"""),"B14_VD_9.mp3")</f>
        <v>B14_VD_9.mp3</v>
      </c>
    </row>
    <row r="1145" spans="1:13">
      <c r="A1145" s="13">
        <f ca="1">IFERROR(__xludf.DUMMYFUNCTION("""COMPUTED_VALUE"""),10)</f>
        <v>10</v>
      </c>
      <c r="B1145" s="13"/>
      <c r="C1145" s="13" t="str">
        <f ca="1">IFERROR(__xludf.DUMMYFUNCTION("""COMPUTED_VALUE"""),"笨")</f>
        <v>笨</v>
      </c>
      <c r="D1145" s="13" t="str">
        <f ca="1">IFERROR(__xludf.DUMMYFUNCTION("""COMPUTED_VALUE"""),"&lt;ruby&gt;笨&lt;rt&gt;bèn&lt;/rt&gt;&lt;/ruby&gt;")</f>
        <v>&lt;ruby&gt;笨&lt;rt&gt;bèn&lt;/rt&gt;&lt;/ruby&gt;</v>
      </c>
      <c r="E1145" s="13" t="str">
        <f ca="1">IFERROR(__xludf.DUMMYFUNCTION("""COMPUTED_VALUE"""),"bèn")</f>
        <v>bèn</v>
      </c>
      <c r="F1145" s="13" t="str">
        <f ca="1">IFERROR(__xludf.DUMMYFUNCTION("""COMPUTED_VALUE"""),"Tính từ")</f>
        <v>Tính từ</v>
      </c>
      <c r="G1145" s="13" t="str">
        <f ca="1">IFERROR(__xludf.DUMMYFUNCTION("""COMPUTED_VALUE"""),"đần, ngốc")</f>
        <v>đần, ngốc</v>
      </c>
      <c r="H1145" s="13" t="str">
        <f ca="1">IFERROR(__xludf.DUMMYFUNCTION("""COMPUTED_VALUE"""),"那只猪真笨，被那只松鼠骗了。")</f>
        <v>那只猪真笨，被那只松鼠骗了。</v>
      </c>
      <c r="I1145" s="13"/>
      <c r="J1145" s="13" t="str">
        <f ca="1">IFERROR(__xludf.DUMMYFUNCTION("""COMPUTED_VALUE"""),"Con heo đó thật ngốc, đã bị con sóc đó lừa.")</f>
        <v>Con heo đó thật ngốc, đã bị con sóc đó lừa.</v>
      </c>
      <c r="K1145" s="13" t="str">
        <f ca="1">IFERROR(__xludf.DUMMYFUNCTION("""COMPUTED_VALUE"""),"H4_B15_BG-10.png")</f>
        <v>H4_B15_BG-10.png</v>
      </c>
      <c r="L1145" s="13" t="str">
        <f ca="1">IFERROR(__xludf.DUMMYFUNCTION("""COMPUTED_VALUE"""),"B15_10.mp3")</f>
        <v>B15_10.mp3</v>
      </c>
      <c r="M1145" s="13" t="str">
        <f ca="1">IFERROR(__xludf.DUMMYFUNCTION("""COMPUTED_VALUE"""),"B14_VD_10.mp3")</f>
        <v>B14_VD_10.mp3</v>
      </c>
    </row>
    <row r="1146" spans="1:13">
      <c r="A1146" s="13">
        <f ca="1">IFERROR(__xludf.DUMMYFUNCTION("""COMPUTED_VALUE"""),11)</f>
        <v>11</v>
      </c>
      <c r="B1146" s="13"/>
      <c r="C1146" s="13" t="str">
        <f ca="1">IFERROR(__xludf.DUMMYFUNCTION("""COMPUTED_VALUE"""),"粗心")</f>
        <v>粗心</v>
      </c>
      <c r="D1146" s="13" t="str">
        <f ca="1">IFERROR(__xludf.DUMMYFUNCTION("""COMPUTED_VALUE"""),"&lt;ruby&gt;粗心&lt;rt&gt;cūxīn&lt;/rt&gt;&lt;/ruby&gt;")</f>
        <v>&lt;ruby&gt;粗心&lt;rt&gt;cūxīn&lt;/rt&gt;&lt;/ruby&gt;</v>
      </c>
      <c r="E1146" s="13" t="str">
        <f ca="1">IFERROR(__xludf.DUMMYFUNCTION("""COMPUTED_VALUE"""),"cūxīn")</f>
        <v>cūxīn</v>
      </c>
      <c r="F1146" s="13" t="str">
        <f ca="1">IFERROR(__xludf.DUMMYFUNCTION("""COMPUTED_VALUE"""),"Tính từ")</f>
        <v>Tính từ</v>
      </c>
      <c r="G1146" s="13" t="str">
        <f ca="1">IFERROR(__xludf.DUMMYFUNCTION("""COMPUTED_VALUE"""),"cẩu thả")</f>
        <v>cẩu thả</v>
      </c>
      <c r="H1146" s="13" t="str">
        <f ca="1">IFERROR(__xludf.DUMMYFUNCTION("""COMPUTED_VALUE"""),"他因为粗心犯了错误。")</f>
        <v>他因为粗心犯了错误。</v>
      </c>
      <c r="I1146" s="13"/>
      <c r="J1146" s="13" t="str">
        <f ca="1">IFERROR(__xludf.DUMMYFUNCTION("""COMPUTED_VALUE"""),"Anh ấy đã mắc lỗi vì cẩu thả.")</f>
        <v>Anh ấy đã mắc lỗi vì cẩu thả.</v>
      </c>
      <c r="K1146" s="13" t="str">
        <f ca="1">IFERROR(__xludf.DUMMYFUNCTION("""COMPUTED_VALUE"""),"H4_B15_BG-11.png")</f>
        <v>H4_B15_BG-11.png</v>
      </c>
      <c r="L1146" s="13" t="str">
        <f ca="1">IFERROR(__xludf.DUMMYFUNCTION("""COMPUTED_VALUE"""),"B15_11.mp3")</f>
        <v>B15_11.mp3</v>
      </c>
      <c r="M1146" s="13" t="str">
        <f ca="1">IFERROR(__xludf.DUMMYFUNCTION("""COMPUTED_VALUE"""),"B14_VD_11.mp3")</f>
        <v>B14_VD_11.mp3</v>
      </c>
    </row>
    <row r="1147" spans="1:13">
      <c r="A1147" s="13">
        <f ca="1">IFERROR(__xludf.DUMMYFUNCTION("""COMPUTED_VALUE"""),12)</f>
        <v>12</v>
      </c>
      <c r="B1147" s="13"/>
      <c r="C1147" s="13" t="str">
        <f ca="1">IFERROR(__xludf.DUMMYFUNCTION("""COMPUTED_VALUE"""),"孙子")</f>
        <v>孙子</v>
      </c>
      <c r="D1147" s="13" t="str">
        <f ca="1">IFERROR(__xludf.DUMMYFUNCTION("""COMPUTED_VALUE"""),"&lt;ruby&gt;孙子&lt;rt&gt;sūnzi&lt;/rt&gt;&lt;/ruby&gt;")</f>
        <v>&lt;ruby&gt;孙子&lt;rt&gt;sūnzi&lt;/rt&gt;&lt;/ruby&gt;</v>
      </c>
      <c r="E1147" s="13" t="str">
        <f ca="1">IFERROR(__xludf.DUMMYFUNCTION("""COMPUTED_VALUE"""),"sūnzi")</f>
        <v>sūnzi</v>
      </c>
      <c r="F1147" s="13" t="str">
        <f ca="1">IFERROR(__xludf.DUMMYFUNCTION("""COMPUTED_VALUE"""),"Danh từ")</f>
        <v>Danh từ</v>
      </c>
      <c r="G1147" s="13" t="str">
        <f ca="1">IFERROR(__xludf.DUMMYFUNCTION("""COMPUTED_VALUE"""),"cháu nội trai")</f>
        <v>cháu nội trai</v>
      </c>
      <c r="H1147" s="13" t="str">
        <f ca="1">IFERROR(__xludf.DUMMYFUNCTION("""COMPUTED_VALUE"""),"爷爷很疼爱他的孙子。")</f>
        <v>爷爷很疼爱他的孙子。</v>
      </c>
      <c r="I1147" s="13"/>
      <c r="J1147" s="13" t="str">
        <f ca="1">IFERROR(__xludf.DUMMYFUNCTION("""COMPUTED_VALUE"""),"Ông nội yêu cháu trai của mình.")</f>
        <v>Ông nội yêu cháu trai của mình.</v>
      </c>
      <c r="K1147" s="13" t="str">
        <f ca="1">IFERROR(__xludf.DUMMYFUNCTION("""COMPUTED_VALUE"""),"H4_B15_BG-12.png")</f>
        <v>H4_B15_BG-12.png</v>
      </c>
      <c r="L1147" s="13" t="str">
        <f ca="1">IFERROR(__xludf.DUMMYFUNCTION("""COMPUTED_VALUE"""),"B15_12.mp3")</f>
        <v>B15_12.mp3</v>
      </c>
      <c r="M1147" s="13" t="str">
        <f ca="1">IFERROR(__xludf.DUMMYFUNCTION("""COMPUTED_VALUE"""),"B14_VD_12.mp3")</f>
        <v>B14_VD_12.mp3</v>
      </c>
    </row>
    <row r="1148" spans="1:13">
      <c r="A1148" s="13">
        <f ca="1">IFERROR(__xludf.DUMMYFUNCTION("""COMPUTED_VALUE"""),13)</f>
        <v>13</v>
      </c>
      <c r="B1148" s="13"/>
      <c r="C1148" s="13" t="str">
        <f ca="1">IFERROR(__xludf.DUMMYFUNCTION("""COMPUTED_VALUE"""),"寒假")</f>
        <v>寒假</v>
      </c>
      <c r="D1148" s="13" t="str">
        <f ca="1">IFERROR(__xludf.DUMMYFUNCTION("""COMPUTED_VALUE"""),"&lt;ruby&gt;寒假&lt;rt&gt;hánjià&lt;/rt&gt;&lt;/ruby&gt;")</f>
        <v>&lt;ruby&gt;寒假&lt;rt&gt;hánjià&lt;/rt&gt;&lt;/ruby&gt;</v>
      </c>
      <c r="E1148" s="13" t="str">
        <f ca="1">IFERROR(__xludf.DUMMYFUNCTION("""COMPUTED_VALUE"""),"hánjià")</f>
        <v>hánjià</v>
      </c>
      <c r="F1148" s="13" t="str">
        <f ca="1">IFERROR(__xludf.DUMMYFUNCTION("""COMPUTED_VALUE"""),"Danh từ")</f>
        <v>Danh từ</v>
      </c>
      <c r="G1148" s="13" t="str">
        <f ca="1">IFERROR(__xludf.DUMMYFUNCTION("""COMPUTED_VALUE"""),"kỳ nghỉ đông")</f>
        <v>kỳ nghỉ đông</v>
      </c>
      <c r="H1148" s="13" t="str">
        <f ca="1">IFERROR(__xludf.DUMMYFUNCTION("""COMPUTED_VALUE"""),"去年寒假我去滑雪了。")</f>
        <v>去年寒假我去滑雪了。</v>
      </c>
      <c r="I1148" s="13"/>
      <c r="J1148" s="13" t="str">
        <f ca="1">IFERROR(__xludf.DUMMYFUNCTION("""COMPUTED_VALUE"""),"Tôi đi trượt tuyết vào kỳ nghỉ đông năm ngoái.")</f>
        <v>Tôi đi trượt tuyết vào kỳ nghỉ đông năm ngoái.</v>
      </c>
      <c r="K1148" s="13" t="str">
        <f ca="1">IFERROR(__xludf.DUMMYFUNCTION("""COMPUTED_VALUE"""),"H4_B15_BG-13.png")</f>
        <v>H4_B15_BG-13.png</v>
      </c>
      <c r="L1148" s="13" t="str">
        <f ca="1">IFERROR(__xludf.DUMMYFUNCTION("""COMPUTED_VALUE"""),"B15_13.mp3")</f>
        <v>B15_13.mp3</v>
      </c>
      <c r="M1148" s="13" t="str">
        <f ca="1">IFERROR(__xludf.DUMMYFUNCTION("""COMPUTED_VALUE"""),"B14_VD_13.mp3")</f>
        <v>B14_VD_13.mp3</v>
      </c>
    </row>
    <row r="1149" spans="1:13">
      <c r="A1149" s="13">
        <f ca="1">IFERROR(__xludf.DUMMYFUNCTION("""COMPUTED_VALUE"""),14)</f>
        <v>14</v>
      </c>
      <c r="B1149" s="13"/>
      <c r="C1149" s="13" t="str">
        <f ca="1">IFERROR(__xludf.DUMMYFUNCTION("""COMPUTED_VALUE"""),"父亲")</f>
        <v>父亲</v>
      </c>
      <c r="D1149" s="13" t="str">
        <f ca="1">IFERROR(__xludf.DUMMYFUNCTION("""COMPUTED_VALUE"""),"&lt;ruby&gt;父亲&lt;rt&gt;fùqīn&lt;/rt&gt;&lt;/ruby&gt;")</f>
        <v>&lt;ruby&gt;父亲&lt;rt&gt;fùqīn&lt;/rt&gt;&lt;/ruby&gt;</v>
      </c>
      <c r="E1149" s="13" t="str">
        <f ca="1">IFERROR(__xludf.DUMMYFUNCTION("""COMPUTED_VALUE"""),"fùqīn")</f>
        <v>fùqīn</v>
      </c>
      <c r="F1149" s="13" t="str">
        <f ca="1">IFERROR(__xludf.DUMMYFUNCTION("""COMPUTED_VALUE"""),"Danh từ")</f>
        <v>Danh từ</v>
      </c>
      <c r="G1149" s="13" t="str">
        <f ca="1">IFERROR(__xludf.DUMMYFUNCTION("""COMPUTED_VALUE"""),"cha, bố")</f>
        <v>cha, bố</v>
      </c>
      <c r="H1149" s="13" t="str">
        <f ca="1">IFERROR(__xludf.DUMMYFUNCTION("""COMPUTED_VALUE"""),"我父亲是修空调的师傅。")</f>
        <v>我父亲是修空调的师傅。</v>
      </c>
      <c r="I1149" s="13"/>
      <c r="J1149" s="13" t="str">
        <f ca="1">IFERROR(__xludf.DUMMYFUNCTION("""COMPUTED_VALUE"""),"Bố tôi là thợ sửa điều hòa.")</f>
        <v>Bố tôi là thợ sửa điều hòa.</v>
      </c>
      <c r="K1149" s="13" t="str">
        <f ca="1">IFERROR(__xludf.DUMMYFUNCTION("""COMPUTED_VALUE"""),"H4_B15_BG-14.png")</f>
        <v>H4_B15_BG-14.png</v>
      </c>
      <c r="L1149" s="13" t="str">
        <f ca="1">IFERROR(__xludf.DUMMYFUNCTION("""COMPUTED_VALUE"""),"B15_14.mp3")</f>
        <v>B15_14.mp3</v>
      </c>
      <c r="M1149" s="13" t="str">
        <f ca="1">IFERROR(__xludf.DUMMYFUNCTION("""COMPUTED_VALUE"""),"B14_VD_14.mp3")</f>
        <v>B14_VD_14.mp3</v>
      </c>
    </row>
    <row r="1150" spans="1:13">
      <c r="A1150" s="13">
        <f ca="1">IFERROR(__xludf.DUMMYFUNCTION("""COMPUTED_VALUE"""),15)</f>
        <v>15</v>
      </c>
      <c r="B1150" s="13"/>
      <c r="C1150" s="13" t="str">
        <f ca="1">IFERROR(__xludf.DUMMYFUNCTION("""COMPUTED_VALUE"""),"闹钟")</f>
        <v>闹钟</v>
      </c>
      <c r="D1150" s="13" t="str">
        <f ca="1">IFERROR(__xludf.DUMMYFUNCTION("""COMPUTED_VALUE"""),"&lt;ruby&gt;闹钟&lt;rt&gt;nàozhōng&lt;/rt&gt;&lt;/ruby&gt;")</f>
        <v>&lt;ruby&gt;闹钟&lt;rt&gt;nàozhōng&lt;/rt&gt;&lt;/ruby&gt;</v>
      </c>
      <c r="E1150" s="13" t="str">
        <f ca="1">IFERROR(__xludf.DUMMYFUNCTION("""COMPUTED_VALUE"""),"nàozhōng")</f>
        <v>nàozhōng</v>
      </c>
      <c r="F1150" s="13" t="str">
        <f ca="1">IFERROR(__xludf.DUMMYFUNCTION("""COMPUTED_VALUE"""),"Danh từ")</f>
        <v>Danh từ</v>
      </c>
      <c r="G1150" s="13" t="str">
        <f ca="1">IFERROR(__xludf.DUMMYFUNCTION("""COMPUTED_VALUE"""),"đồng hồ báo thức")</f>
        <v>đồng hồ báo thức</v>
      </c>
      <c r="H1150" s="13" t="str">
        <f ca="1">IFERROR(__xludf.DUMMYFUNCTION("""COMPUTED_VALUE"""),"我刚买了一个闹钟。")</f>
        <v>我刚买了一个闹钟。</v>
      </c>
      <c r="I1150" s="13"/>
      <c r="J1150" s="13" t="str">
        <f ca="1">IFERROR(__xludf.DUMMYFUNCTION("""COMPUTED_VALUE"""),"Tôi vừa mua một cái đồng hồ báo thức.")</f>
        <v>Tôi vừa mua một cái đồng hồ báo thức.</v>
      </c>
      <c r="K1150" s="13" t="str">
        <f ca="1">IFERROR(__xludf.DUMMYFUNCTION("""COMPUTED_VALUE"""),"H4_B15_BG-15.png")</f>
        <v>H4_B15_BG-15.png</v>
      </c>
      <c r="L1150" s="13" t="str">
        <f ca="1">IFERROR(__xludf.DUMMYFUNCTION("""COMPUTED_VALUE"""),"B15_15.mp3")</f>
        <v>B15_15.mp3</v>
      </c>
      <c r="M1150" s="13" t="str">
        <f ca="1">IFERROR(__xludf.DUMMYFUNCTION("""COMPUTED_VALUE"""),"B14_VD_15.mp3")</f>
        <v>B14_VD_15.mp3</v>
      </c>
    </row>
    <row r="1151" spans="1:13">
      <c r="A1151" s="13">
        <f ca="1">IFERROR(__xludf.DUMMYFUNCTION("""COMPUTED_VALUE"""),16)</f>
        <v>16</v>
      </c>
      <c r="B1151" s="13"/>
      <c r="C1151" s="13" t="str">
        <f ca="1">IFERROR(__xludf.DUMMYFUNCTION("""COMPUTED_VALUE"""),"响")</f>
        <v>响</v>
      </c>
      <c r="D1151" s="13" t="str">
        <f ca="1">IFERROR(__xludf.DUMMYFUNCTION("""COMPUTED_VALUE"""),"&lt;ruby&gt;响&lt;rt&gt;xiǎng&lt;/rt&gt;&lt;/ruby&gt;")</f>
        <v>&lt;ruby&gt;响&lt;rt&gt;xiǎng&lt;/rt&gt;&lt;/ruby&gt;</v>
      </c>
      <c r="E1151" s="13" t="str">
        <f ca="1">IFERROR(__xludf.DUMMYFUNCTION("""COMPUTED_VALUE"""),"xiǎng")</f>
        <v>xiǎng</v>
      </c>
      <c r="F1151" s="13" t="str">
        <f ca="1">IFERROR(__xludf.DUMMYFUNCTION("""COMPUTED_VALUE"""),"Động từ")</f>
        <v>Động từ</v>
      </c>
      <c r="G1151" s="13" t="str">
        <f ca="1">IFERROR(__xludf.DUMMYFUNCTION("""COMPUTED_VALUE"""),"reo, vang lên")</f>
        <v>reo, vang lên</v>
      </c>
      <c r="H1151" s="13" t="str">
        <f ca="1">IFERROR(__xludf.DUMMYFUNCTION("""COMPUTED_VALUE"""),"鞭炮声响得很大。")</f>
        <v>鞭炮声响得很大。</v>
      </c>
      <c r="I1151" s="13"/>
      <c r="J1151" s="13" t="str">
        <f ca="1">IFERROR(__xludf.DUMMYFUNCTION("""COMPUTED_VALUE"""),"Tiếng pháo nổ rất to.")</f>
        <v>Tiếng pháo nổ rất to.</v>
      </c>
      <c r="K1151" s="13" t="str">
        <f ca="1">IFERROR(__xludf.DUMMYFUNCTION("""COMPUTED_VALUE"""),"H4_B15_BG-16.png")</f>
        <v>H4_B15_BG-16.png</v>
      </c>
      <c r="L1151" s="13" t="str">
        <f ca="1">IFERROR(__xludf.DUMMYFUNCTION("""COMPUTED_VALUE"""),"B15_16.mp3")</f>
        <v>B15_16.mp3</v>
      </c>
      <c r="M1151" s="13" t="str">
        <f ca="1">IFERROR(__xludf.DUMMYFUNCTION("""COMPUTED_VALUE"""),"B14_VD_16.mp3")</f>
        <v>B14_VD_16.mp3</v>
      </c>
    </row>
    <row r="1152" spans="1:13">
      <c r="A1152" s="13">
        <f ca="1">IFERROR(__xludf.DUMMYFUNCTION("""COMPUTED_VALUE"""),17)</f>
        <v>17</v>
      </c>
      <c r="B1152" s="13"/>
      <c r="C1152" s="13" t="str">
        <f ca="1">IFERROR(__xludf.DUMMYFUNCTION("""COMPUTED_VALUE"""),"醒")</f>
        <v>醒</v>
      </c>
      <c r="D1152" s="13" t="str">
        <f ca="1">IFERROR(__xludf.DUMMYFUNCTION("""COMPUTED_VALUE"""),"&lt;ruby&gt;醒&lt;rt&gt;xǐng&lt;/rt&gt;&lt;/ruby&gt;")</f>
        <v>&lt;ruby&gt;醒&lt;rt&gt;xǐng&lt;/rt&gt;&lt;/ruby&gt;</v>
      </c>
      <c r="E1152" s="13" t="str">
        <f ca="1">IFERROR(__xludf.DUMMYFUNCTION("""COMPUTED_VALUE"""),"xǐng")</f>
        <v>xǐng</v>
      </c>
      <c r="F1152" s="13" t="str">
        <f ca="1">IFERROR(__xludf.DUMMYFUNCTION("""COMPUTED_VALUE"""),"Động từ")</f>
        <v>Động từ</v>
      </c>
      <c r="G1152" s="13" t="str">
        <f ca="1">IFERROR(__xludf.DUMMYFUNCTION("""COMPUTED_VALUE"""),"thức dậy, tỉnh dậy")</f>
        <v>thức dậy, tỉnh dậy</v>
      </c>
      <c r="H1152" s="13" t="str">
        <f ca="1">IFERROR(__xludf.DUMMYFUNCTION("""COMPUTED_VALUE"""),"天刚亮我就醒了。")</f>
        <v>天刚亮我就醒了。</v>
      </c>
      <c r="I1152" s="13"/>
      <c r="J1152" s="13" t="str">
        <f ca="1">IFERROR(__xludf.DUMMYFUNCTION("""COMPUTED_VALUE"""),"Trời vừa sáng là tôi đã tỉnh rồi.")</f>
        <v>Trời vừa sáng là tôi đã tỉnh rồi.</v>
      </c>
      <c r="K1152" s="13" t="str">
        <f ca="1">IFERROR(__xludf.DUMMYFUNCTION("""COMPUTED_VALUE"""),"H4_B15_BG-17.png")</f>
        <v>H4_B15_BG-17.png</v>
      </c>
      <c r="L1152" s="13" t="str">
        <f ca="1">IFERROR(__xludf.DUMMYFUNCTION("""COMPUTED_VALUE"""),"B15_17.mp3")</f>
        <v>B15_17.mp3</v>
      </c>
      <c r="M1152" s="13" t="str">
        <f ca="1">IFERROR(__xludf.DUMMYFUNCTION("""COMPUTED_VALUE"""),"B14_VD_17.mp3")</f>
        <v>B14_VD_17.mp3</v>
      </c>
    </row>
    <row r="1153" spans="1:13">
      <c r="A1153" s="13">
        <f ca="1">IFERROR(__xludf.DUMMYFUNCTION("""COMPUTED_VALUE"""),18)</f>
        <v>18</v>
      </c>
      <c r="B1153" s="13"/>
      <c r="C1153" s="13" t="str">
        <f ca="1">IFERROR(__xludf.DUMMYFUNCTION("""COMPUTED_VALUE"""),"赶")</f>
        <v>赶</v>
      </c>
      <c r="D1153" s="13" t="str">
        <f ca="1">IFERROR(__xludf.DUMMYFUNCTION("""COMPUTED_VALUE"""),"&lt;ruby&gt;赶&lt;rt&gt;gǎn&lt;/rt&gt;&lt;/ruby&gt;")</f>
        <v>&lt;ruby&gt;赶&lt;rt&gt;gǎn&lt;/rt&gt;&lt;/ruby&gt;</v>
      </c>
      <c r="E1153" s="13" t="str">
        <f ca="1">IFERROR(__xludf.DUMMYFUNCTION("""COMPUTED_VALUE"""),"gǎn")</f>
        <v>gǎn</v>
      </c>
      <c r="F1153" s="13" t="str">
        <f ca="1">IFERROR(__xludf.DUMMYFUNCTION("""COMPUTED_VALUE"""),"Động từ")</f>
        <v>Động từ</v>
      </c>
      <c r="G1153" s="13" t="str">
        <f ca="1">IFERROR(__xludf.DUMMYFUNCTION("""COMPUTED_VALUE"""),"vội, gấp rút")</f>
        <v>vội, gấp rút</v>
      </c>
      <c r="H1153" s="13" t="str">
        <f ca="1">IFERROR(__xludf.DUMMYFUNCTION("""COMPUTED_VALUE"""),"他正在赶回家，因为有客人来了。")</f>
        <v>他正在赶回家，因为有客人来了。</v>
      </c>
      <c r="I1153" s="13"/>
      <c r="J1153" s="13" t="str">
        <f ca="1">IFERROR(__xludf.DUMMYFUNCTION("""COMPUTED_VALUE"""),"Anh ấy đang vội về nhà vì có khách tới.")</f>
        <v>Anh ấy đang vội về nhà vì có khách tới.</v>
      </c>
      <c r="K1153" s="13" t="str">
        <f ca="1">IFERROR(__xludf.DUMMYFUNCTION("""COMPUTED_VALUE"""),"H4_B15_BG-18.png")</f>
        <v>H4_B15_BG-18.png</v>
      </c>
      <c r="L1153" s="13" t="str">
        <f ca="1">IFERROR(__xludf.DUMMYFUNCTION("""COMPUTED_VALUE"""),"B15_18.mp3")</f>
        <v>B15_18.mp3</v>
      </c>
      <c r="M1153" s="13" t="str">
        <f ca="1">IFERROR(__xludf.DUMMYFUNCTION("""COMPUTED_VALUE"""),"B14_VD_18.mp3")</f>
        <v>B14_VD_18.mp3</v>
      </c>
    </row>
    <row r="1154" spans="1:13">
      <c r="A1154" s="13">
        <f ca="1">IFERROR(__xludf.DUMMYFUNCTION("""COMPUTED_VALUE"""),19)</f>
        <v>19</v>
      </c>
      <c r="B1154" s="13"/>
      <c r="C1154" s="13" t="str">
        <f ca="1">IFERROR(__xludf.DUMMYFUNCTION("""COMPUTED_VALUE"""),"厕所")</f>
        <v>厕所</v>
      </c>
      <c r="D1154" s="13" t="str">
        <f ca="1">IFERROR(__xludf.DUMMYFUNCTION("""COMPUTED_VALUE"""),"&lt;ruby&gt;厕所&lt;rt&gt;cèsuǒ&lt;/rt&gt;&lt;/ruby&gt;")</f>
        <v>&lt;ruby&gt;厕所&lt;rt&gt;cèsuǒ&lt;/rt&gt;&lt;/ruby&gt;</v>
      </c>
      <c r="E1154" s="13" t="str">
        <f ca="1">IFERROR(__xludf.DUMMYFUNCTION("""COMPUTED_VALUE"""),"cèsuǒ")</f>
        <v>cèsuǒ</v>
      </c>
      <c r="F1154" s="13" t="str">
        <f ca="1">IFERROR(__xludf.DUMMYFUNCTION("""COMPUTED_VALUE"""),"Danh từ")</f>
        <v>Danh từ</v>
      </c>
      <c r="G1154" s="13" t="str">
        <f ca="1">IFERROR(__xludf.DUMMYFUNCTION("""COMPUTED_VALUE"""),"nhà vệ sinh")</f>
        <v>nhà vệ sinh</v>
      </c>
      <c r="H1154" s="13" t="str">
        <f ca="1">IFERROR(__xludf.DUMMYFUNCTION("""COMPUTED_VALUE"""),"她家的厕所很整洁干净。")</f>
        <v>她家的厕所很整洁干净。</v>
      </c>
      <c r="I1154" s="13"/>
      <c r="J1154" s="13" t="str">
        <f ca="1">IFERROR(__xludf.DUMMYFUNCTION("""COMPUTED_VALUE"""),"Nhà vệ sinh ở nhà cô ấy rất gọn gàng và sạch sẽ.")</f>
        <v>Nhà vệ sinh ở nhà cô ấy rất gọn gàng và sạch sẽ.</v>
      </c>
      <c r="K1154" s="13" t="str">
        <f ca="1">IFERROR(__xludf.DUMMYFUNCTION("""COMPUTED_VALUE"""),"H4_B15_BG-19.png")</f>
        <v>H4_B15_BG-19.png</v>
      </c>
      <c r="L1154" s="13" t="str">
        <f ca="1">IFERROR(__xludf.DUMMYFUNCTION("""COMPUTED_VALUE"""),"B15_19.mp3")</f>
        <v>B15_19.mp3</v>
      </c>
      <c r="M1154" s="13" t="str">
        <f ca="1">IFERROR(__xludf.DUMMYFUNCTION("""COMPUTED_VALUE"""),"B14_VD_19.mp3")</f>
        <v>B14_VD_19.mp3</v>
      </c>
    </row>
    <row r="1155" spans="1:13">
      <c r="A1155" s="13">
        <f ca="1">IFERROR(__xludf.DUMMYFUNCTION("""COMPUTED_VALUE"""),20)</f>
        <v>20</v>
      </c>
      <c r="B1155" s="13"/>
      <c r="C1155" s="13" t="str">
        <f ca="1">IFERROR(__xludf.DUMMYFUNCTION("""COMPUTED_VALUE"""),"儿童")</f>
        <v>儿童</v>
      </c>
      <c r="D1155" s="13" t="str">
        <f ca="1">IFERROR(__xludf.DUMMYFUNCTION("""COMPUTED_VALUE"""),"&lt;ruby&gt;儿童&lt;rt&gt;értóng&lt;/rt&gt;&lt;/ruby&gt;")</f>
        <v>&lt;ruby&gt;儿童&lt;rt&gt;értóng&lt;/rt&gt;&lt;/ruby&gt;</v>
      </c>
      <c r="E1155" s="13" t="str">
        <f ca="1">IFERROR(__xludf.DUMMYFUNCTION("""COMPUTED_VALUE"""),"értóng")</f>
        <v>értóng</v>
      </c>
      <c r="F1155" s="13" t="str">
        <f ca="1">IFERROR(__xludf.DUMMYFUNCTION("""COMPUTED_VALUE"""),"Danh từ")</f>
        <v>Danh từ</v>
      </c>
      <c r="G1155" s="13" t="str">
        <f ca="1">IFERROR(__xludf.DUMMYFUNCTION("""COMPUTED_VALUE"""),"trẻ em")</f>
        <v>trẻ em</v>
      </c>
      <c r="H1155" s="13" t="str">
        <f ca="1">IFERROR(__xludf.DUMMYFUNCTION("""COMPUTED_VALUE"""),"这部电影只适合儿童观看。")</f>
        <v>这部电影只适合儿童观看。</v>
      </c>
      <c r="I1155" s="13"/>
      <c r="J1155" s="13" t="str">
        <f ca="1">IFERROR(__xludf.DUMMYFUNCTION("""COMPUTED_VALUE"""),"Phim này chỉ dành cho trẻ em.")</f>
        <v>Phim này chỉ dành cho trẻ em.</v>
      </c>
      <c r="K1155" s="13" t="str">
        <f ca="1">IFERROR(__xludf.DUMMYFUNCTION("""COMPUTED_VALUE"""),"H4_B15_BG-20.png")</f>
        <v>H4_B15_BG-20.png</v>
      </c>
      <c r="L1155" s="13" t="str">
        <f ca="1">IFERROR(__xludf.DUMMYFUNCTION("""COMPUTED_VALUE"""),"B15_20.mp3")</f>
        <v>B15_20.mp3</v>
      </c>
      <c r="M1155" s="13" t="str">
        <f ca="1">IFERROR(__xludf.DUMMYFUNCTION("""COMPUTED_VALUE"""),"B14_VD_20.mp3")</f>
        <v>B14_VD_20.mp3</v>
      </c>
    </row>
    <row r="1156" spans="1:13">
      <c r="A1156" s="13">
        <f ca="1">IFERROR(__xludf.DUMMYFUNCTION("""COMPUTED_VALUE"""),21)</f>
        <v>21</v>
      </c>
      <c r="B1156" s="13"/>
      <c r="C1156" s="13" t="str">
        <f ca="1">IFERROR(__xludf.DUMMYFUNCTION("""COMPUTED_VALUE"""),"假")</f>
        <v>假</v>
      </c>
      <c r="D1156" s="13" t="str">
        <f ca="1">IFERROR(__xludf.DUMMYFUNCTION("""COMPUTED_VALUE"""),"&lt;ruby&gt;假&lt;rt&gt;jiǎ&lt;/rt&gt;&lt;/ruby&gt;")</f>
        <v>&lt;ruby&gt;假&lt;rt&gt;jiǎ&lt;/rt&gt;&lt;/ruby&gt;</v>
      </c>
      <c r="E1156" s="13" t="str">
        <f ca="1">IFERROR(__xludf.DUMMYFUNCTION("""COMPUTED_VALUE"""),"jiǎ")</f>
        <v>jiǎ</v>
      </c>
      <c r="F1156" s="13" t="str">
        <f ca="1">IFERROR(__xludf.DUMMYFUNCTION("""COMPUTED_VALUE"""),"Tính từ")</f>
        <v>Tính từ</v>
      </c>
      <c r="G1156" s="13" t="str">
        <f ca="1">IFERROR(__xludf.DUMMYFUNCTION("""COMPUTED_VALUE"""),"giả dối, không thật")</f>
        <v>giả dối, không thật</v>
      </c>
      <c r="H1156" s="13" t="str">
        <f ca="1">IFERROR(__xludf.DUMMYFUNCTION("""COMPUTED_VALUE"""),"她的笑容看起来很假。")</f>
        <v>她的笑容看起来很假。</v>
      </c>
      <c r="I1156" s="13"/>
      <c r="J1156" s="13" t="str">
        <f ca="1">IFERROR(__xludf.DUMMYFUNCTION("""COMPUTED_VALUE"""),"Nụ cười của cô ấy có vẻ giả tạo.")</f>
        <v>Nụ cười của cô ấy có vẻ giả tạo.</v>
      </c>
      <c r="K1156" s="13" t="str">
        <f ca="1">IFERROR(__xludf.DUMMYFUNCTION("""COMPUTED_VALUE"""),"H4_B15_BG-21.png")</f>
        <v>H4_B15_BG-21.png</v>
      </c>
      <c r="L1156" s="13" t="str">
        <f ca="1">IFERROR(__xludf.DUMMYFUNCTION("""COMPUTED_VALUE"""),"B15_21.mp3")</f>
        <v>B15_21.mp3</v>
      </c>
      <c r="M1156" s="13" t="str">
        <f ca="1">IFERROR(__xludf.DUMMYFUNCTION("""COMPUTED_VALUE"""),"B14_VD_21.mp3")</f>
        <v>B14_VD_21.mp3</v>
      </c>
    </row>
    <row r="1157" spans="1:13">
      <c r="A1157" s="13">
        <f ca="1">IFERROR(__xludf.DUMMYFUNCTION("""COMPUTED_VALUE"""),22)</f>
        <v>22</v>
      </c>
      <c r="B1157" s="13"/>
      <c r="C1157" s="13" t="str">
        <f ca="1">IFERROR(__xludf.DUMMYFUNCTION("""COMPUTED_VALUE"""),"批评")</f>
        <v>批评</v>
      </c>
      <c r="D1157" s="13" t="str">
        <f ca="1">IFERROR(__xludf.DUMMYFUNCTION("""COMPUTED_VALUE"""),"&lt;ruby&gt;批评&lt;rt&gt;pīpíng&lt;/rt&gt;&lt;/ruby&gt;")</f>
        <v>&lt;ruby&gt;批评&lt;rt&gt;pīpíng&lt;/rt&gt;&lt;/ruby&gt;</v>
      </c>
      <c r="E1157" s="13" t="str">
        <f ca="1">IFERROR(__xludf.DUMMYFUNCTION("""COMPUTED_VALUE"""),"pīpíng")</f>
        <v>pīpíng</v>
      </c>
      <c r="F1157" s="13" t="str">
        <f ca="1">IFERROR(__xludf.DUMMYFUNCTION("""COMPUTED_VALUE"""),"Động từ")</f>
        <v>Động từ</v>
      </c>
      <c r="G1157" s="13" t="str">
        <f ca="1">IFERROR(__xludf.DUMMYFUNCTION("""COMPUTED_VALUE"""),"phê bình ")</f>
        <v xml:space="preserve">phê bình </v>
      </c>
      <c r="H1157" s="13" t="str">
        <f ca="1">IFERROR(__xludf.DUMMYFUNCTION("""COMPUTED_VALUE"""),"妈妈批评了儿子的错误。")</f>
        <v>妈妈批评了儿子的错误。</v>
      </c>
      <c r="I1157" s="13"/>
      <c r="J1157" s="13" t="str">
        <f ca="1">IFERROR(__xludf.DUMMYFUNCTION("""COMPUTED_VALUE"""),"Mẹ phê bình lỗi của con trai.")</f>
        <v>Mẹ phê bình lỗi của con trai.</v>
      </c>
      <c r="K1157" s="13" t="str">
        <f ca="1">IFERROR(__xludf.DUMMYFUNCTION("""COMPUTED_VALUE"""),"H4_B15_BG-22.png")</f>
        <v>H4_B15_BG-22.png</v>
      </c>
      <c r="L1157" s="13" t="str">
        <f ca="1">IFERROR(__xludf.DUMMYFUNCTION("""COMPUTED_VALUE"""),"B15_22.mp3")</f>
        <v>B15_22.mp3</v>
      </c>
      <c r="M1157" s="13" t="str">
        <f ca="1">IFERROR(__xludf.DUMMYFUNCTION("""COMPUTED_VALUE"""),"B14_VD_22.mp3")</f>
        <v>B14_VD_22.mp3</v>
      </c>
    </row>
    <row r="1158" spans="1:13">
      <c r="A1158" s="13">
        <f ca="1">IFERROR(__xludf.DUMMYFUNCTION("""COMPUTED_VALUE"""),23)</f>
        <v>23</v>
      </c>
      <c r="B1158" s="13"/>
      <c r="C1158" s="13" t="str">
        <f ca="1">IFERROR(__xludf.DUMMYFUNCTION("""COMPUTED_VALUE"""),"表扬")</f>
        <v>表扬</v>
      </c>
      <c r="D1158" s="13" t="str">
        <f ca="1">IFERROR(__xludf.DUMMYFUNCTION("""COMPUTED_VALUE"""),"&lt;ruby&gt;表扬&lt;rt&gt;biǎoyáng&lt;/rt&gt;&lt;/ruby&gt;")</f>
        <v>&lt;ruby&gt;表扬&lt;rt&gt;biǎoyáng&lt;/rt&gt;&lt;/ruby&gt;</v>
      </c>
      <c r="E1158" s="13" t="str">
        <f ca="1">IFERROR(__xludf.DUMMYFUNCTION("""COMPUTED_VALUE"""),"biǎoyáng")</f>
        <v>biǎoyáng</v>
      </c>
      <c r="F1158" s="13" t="str">
        <f ca="1">IFERROR(__xludf.DUMMYFUNCTION("""COMPUTED_VALUE"""),"Động từ")</f>
        <v>Động từ</v>
      </c>
      <c r="G1158" s="13" t="str">
        <f ca="1">IFERROR(__xludf.DUMMYFUNCTION("""COMPUTED_VALUE"""),"khen ngợi, biểu dương")</f>
        <v>khen ngợi, biểu dương</v>
      </c>
      <c r="H1158" s="13" t="str">
        <f ca="1">IFERROR(__xludf.DUMMYFUNCTION("""COMPUTED_VALUE"""),"老师正在表扬这周得高分的同学。")</f>
        <v>老师正在表扬这周得高分的同学。</v>
      </c>
      <c r="I1158" s="13"/>
      <c r="J1158" s="13" t="str">
        <f ca="1">IFERROR(__xludf.DUMMYFUNCTION("""COMPUTED_VALUE"""),"Cô giáo đang biểu dương những bạn điểm cao trong tuần.")</f>
        <v>Cô giáo đang biểu dương những bạn điểm cao trong tuần.</v>
      </c>
      <c r="K1158" s="13" t="str">
        <f ca="1">IFERROR(__xludf.DUMMYFUNCTION("""COMPUTED_VALUE"""),"H4_B15_BG-23.png")</f>
        <v>H4_B15_BG-23.png</v>
      </c>
      <c r="L1158" s="13" t="str">
        <f ca="1">IFERROR(__xludf.DUMMYFUNCTION("""COMPUTED_VALUE"""),"B15_23.mp3")</f>
        <v>B15_23.mp3</v>
      </c>
      <c r="M1158" s="13" t="str">
        <f ca="1">IFERROR(__xludf.DUMMYFUNCTION("""COMPUTED_VALUE"""),"B14_VD_23.mp3")</f>
        <v>B14_VD_23.mp3</v>
      </c>
    </row>
    <row r="1159" spans="1:13">
      <c r="A1159" s="13">
        <f ca="1">IFERROR(__xludf.DUMMYFUNCTION("""COMPUTED_VALUE"""),24)</f>
        <v>24</v>
      </c>
      <c r="B1159" s="13"/>
      <c r="C1159" s="13" t="str">
        <f ca="1">IFERROR(__xludf.DUMMYFUNCTION("""COMPUTED_VALUE"""),"怀疑")</f>
        <v>怀疑</v>
      </c>
      <c r="D1159" s="13" t="str">
        <f ca="1">IFERROR(__xludf.DUMMYFUNCTION("""COMPUTED_VALUE"""),"&lt;ruby&gt;怀疑&lt;rt&gt;huáiyí&lt;/rt&gt;&lt;/ruby&gt;")</f>
        <v>&lt;ruby&gt;怀疑&lt;rt&gt;huáiyí&lt;/rt&gt;&lt;/ruby&gt;</v>
      </c>
      <c r="E1159" s="13" t="str">
        <f ca="1">IFERROR(__xludf.DUMMYFUNCTION("""COMPUTED_VALUE"""),"huáiyí")</f>
        <v>huáiyí</v>
      </c>
      <c r="F1159" s="13" t="str">
        <f ca="1">IFERROR(__xludf.DUMMYFUNCTION("""COMPUTED_VALUE"""),"Động từ")</f>
        <v>Động từ</v>
      </c>
      <c r="G1159" s="13" t="str">
        <f ca="1">IFERROR(__xludf.DUMMYFUNCTION("""COMPUTED_VALUE"""),"nghi ngờ, hoài nghi")</f>
        <v>nghi ngờ, hoài nghi</v>
      </c>
      <c r="H1159" s="13" t="str">
        <f ca="1">IFERROR(__xludf.DUMMYFUNCTION("""COMPUTED_VALUE"""),"小偷怀疑有人报警了，于是赶紧逃跑。")</f>
        <v>小偷怀疑有人报警了，于是赶紧逃跑。</v>
      </c>
      <c r="I1159" s="13"/>
      <c r="J1159" s="13" t="str">
        <f ca="1">IFERROR(__xludf.DUMMYFUNCTION("""COMPUTED_VALUE"""),"Tên trộm nghi ngờ đã có kẻ báo cảnh sát nên vội vàng chạy trốn.")</f>
        <v>Tên trộm nghi ngờ đã có kẻ báo cảnh sát nên vội vàng chạy trốn.</v>
      </c>
      <c r="K1159" s="13" t="str">
        <f ca="1">IFERROR(__xludf.DUMMYFUNCTION("""COMPUTED_VALUE"""),"H4_B15_BG-24.png")</f>
        <v>H4_B15_BG-24.png</v>
      </c>
      <c r="L1159" s="13" t="str">
        <f ca="1">IFERROR(__xludf.DUMMYFUNCTION("""COMPUTED_VALUE"""),"B15_24.mp3")</f>
        <v>B15_24.mp3</v>
      </c>
      <c r="M1159" s="13" t="str">
        <f ca="1">IFERROR(__xludf.DUMMYFUNCTION("""COMPUTED_VALUE"""),"B14_VD_24.mp3")</f>
        <v>B14_VD_24.mp3</v>
      </c>
    </row>
    <row r="1160" spans="1:13">
      <c r="A1160" s="13">
        <f ca="1">IFERROR(__xludf.DUMMYFUNCTION("""COMPUTED_VALUE"""),25)</f>
        <v>25</v>
      </c>
      <c r="B1160" s="13"/>
      <c r="C1160" s="13" t="str">
        <f ca="1">IFERROR(__xludf.DUMMYFUNCTION("""COMPUTED_VALUE"""),"故意")</f>
        <v>故意</v>
      </c>
      <c r="D1160" s="13" t="str">
        <f ca="1">IFERROR(__xludf.DUMMYFUNCTION("""COMPUTED_VALUE"""),"&lt;ruby&gt;故意&lt;rt&gt;gùyì&lt;/rt&gt;&lt;/ruby&gt;")</f>
        <v>&lt;ruby&gt;故意&lt;rt&gt;gùyì&lt;/rt&gt;&lt;/ruby&gt;</v>
      </c>
      <c r="E1160" s="13" t="str">
        <f ca="1">IFERROR(__xludf.DUMMYFUNCTION("""COMPUTED_VALUE"""),"gùyì")</f>
        <v>gùyì</v>
      </c>
      <c r="F1160" s="13" t="str">
        <f ca="1">IFERROR(__xludf.DUMMYFUNCTION("""COMPUTED_VALUE"""),"Phó từ")</f>
        <v>Phó từ</v>
      </c>
      <c r="G1160" s="13" t="str">
        <f ca="1">IFERROR(__xludf.DUMMYFUNCTION("""COMPUTED_VALUE"""),"cố tình, cố ý")</f>
        <v>cố tình, cố ý</v>
      </c>
      <c r="H1160" s="13" t="str">
        <f ca="1">IFERROR(__xludf.DUMMYFUNCTION("""COMPUTED_VALUE"""),"明明有警告，但我还是故意走过去，结果滑倒了。
")</f>
        <v xml:space="preserve">明明有警告，但我还是故意走过去，结果滑倒了。
</v>
      </c>
      <c r="I1160" s="13"/>
      <c r="J1160" s="13" t="str">
        <f ca="1">IFERROR(__xludf.DUMMYFUNCTION("""COMPUTED_VALUE"""),"Tuy đã có cảnh báo nhưng tôi vẫn cố tình đi qua và đã bị trượt ngã.")</f>
        <v>Tuy đã có cảnh báo nhưng tôi vẫn cố tình đi qua và đã bị trượt ngã.</v>
      </c>
      <c r="K1160" s="13" t="str">
        <f ca="1">IFERROR(__xludf.DUMMYFUNCTION("""COMPUTED_VALUE"""),"H4_B15_BG-25.png")</f>
        <v>H4_B15_BG-25.png</v>
      </c>
      <c r="L1160" s="13" t="str">
        <f ca="1">IFERROR(__xludf.DUMMYFUNCTION("""COMPUTED_VALUE"""),"B15_25.mp3")</f>
        <v>B15_25.mp3</v>
      </c>
      <c r="M1160" s="13" t="str">
        <f ca="1">IFERROR(__xludf.DUMMYFUNCTION("""COMPUTED_VALUE"""),"B14_VD_25.mp3")</f>
        <v>B14_VD_25.mp3</v>
      </c>
    </row>
    <row r="1161" spans="1:13">
      <c r="A1161" s="13">
        <f ca="1">IFERROR(__xludf.DUMMYFUNCTION("""COMPUTED_VALUE"""),26)</f>
        <v>26</v>
      </c>
      <c r="B1161" s="13"/>
      <c r="C1161" s="13" t="str">
        <f ca="1">IFERROR(__xludf.DUMMYFUNCTION("""COMPUTED_VALUE"""),"敲")</f>
        <v>敲</v>
      </c>
      <c r="D1161" s="13" t="str">
        <f ca="1">IFERROR(__xludf.DUMMYFUNCTION("""COMPUTED_VALUE"""),"&lt;ruby&gt;敲&lt;rt&gt;qiāo&lt;/rt&gt;&lt;/ruby&gt;")</f>
        <v>&lt;ruby&gt;敲&lt;rt&gt;qiāo&lt;/rt&gt;&lt;/ruby&gt;</v>
      </c>
      <c r="E1161" s="13" t="str">
        <f ca="1">IFERROR(__xludf.DUMMYFUNCTION("""COMPUTED_VALUE"""),"qiāo")</f>
        <v>qiāo</v>
      </c>
      <c r="F1161" s="13" t="str">
        <f ca="1">IFERROR(__xludf.DUMMYFUNCTION("""COMPUTED_VALUE"""),"Động từ")</f>
        <v>Động từ</v>
      </c>
      <c r="G1161" s="13" t="str">
        <f ca="1">IFERROR(__xludf.DUMMYFUNCTION("""COMPUTED_VALUE"""),"gõ, khua")</f>
        <v>gõ, khua</v>
      </c>
      <c r="H1161" s="13" t="str">
        <f ca="1">IFERROR(__xludf.DUMMYFUNCTION("""COMPUTED_VALUE"""),"每逢节日，人们都会敲锣打鼓，非常热闹。")</f>
        <v>每逢节日，人们都会敲锣打鼓，非常热闹。</v>
      </c>
      <c r="I1161" s="13"/>
      <c r="J1161" s="13" t="str">
        <f ca="1">IFERROR(__xludf.DUMMYFUNCTION("""COMPUTED_VALUE"""),"Mỗi lần có lễ hội là mọi người khua chiêng đánh trống rất rộn ràng.")</f>
        <v>Mỗi lần có lễ hội là mọi người khua chiêng đánh trống rất rộn ràng.</v>
      </c>
      <c r="K1161" s="13" t="str">
        <f ca="1">IFERROR(__xludf.DUMMYFUNCTION("""COMPUTED_VALUE"""),"H4_B15_BG-26.png")</f>
        <v>H4_B15_BG-26.png</v>
      </c>
      <c r="L1161" s="13" t="str">
        <f ca="1">IFERROR(__xludf.DUMMYFUNCTION("""COMPUTED_VALUE"""),"B15_26.mp3")</f>
        <v>B15_26.mp3</v>
      </c>
      <c r="M1161" s="13" t="str">
        <f ca="1">IFERROR(__xludf.DUMMYFUNCTION("""COMPUTED_VALUE"""),"B14_VD_26.mp3")</f>
        <v>B14_VD_26.mp3</v>
      </c>
    </row>
    <row r="1162" spans="1:13">
      <c r="A1162" s="13">
        <f ca="1">IFERROR(__xludf.DUMMYFUNCTION("""COMPUTED_VALUE"""),27)</f>
        <v>27</v>
      </c>
      <c r="B1162" s="13"/>
      <c r="C1162" s="13" t="str">
        <f ca="1">IFERROR(__xludf.DUMMYFUNCTION("""COMPUTED_VALUE"""),"整理")</f>
        <v>整理</v>
      </c>
      <c r="D1162" s="13" t="str">
        <f ca="1">IFERROR(__xludf.DUMMYFUNCTION("""COMPUTED_VALUE"""),"&lt;ruby&gt;整理&lt;rt&gt;zhěnglǐ&lt;/rt&gt;&lt;/ruby&gt;")</f>
        <v>&lt;ruby&gt;整理&lt;rt&gt;zhěnglǐ&lt;/rt&gt;&lt;/ruby&gt;</v>
      </c>
      <c r="E1162" s="13" t="str">
        <f ca="1">IFERROR(__xludf.DUMMYFUNCTION("""COMPUTED_VALUE"""),"zhěnglǐ")</f>
        <v>zhěnglǐ</v>
      </c>
      <c r="F1162" s="13" t="str">
        <f ca="1">IFERROR(__xludf.DUMMYFUNCTION("""COMPUTED_VALUE"""),"Động từ")</f>
        <v>Động từ</v>
      </c>
      <c r="G1162" s="13" t="str">
        <f ca="1">IFERROR(__xludf.DUMMYFUNCTION("""COMPUTED_VALUE"""),"thu dọn, dọn dẹp")</f>
        <v>thu dọn, dọn dẹp</v>
      </c>
      <c r="H1162" s="13" t="str">
        <f ca="1">IFERROR(__xludf.DUMMYFUNCTION("""COMPUTED_VALUE"""),"我已经整理了我的书桌。")</f>
        <v>我已经整理了我的书桌。</v>
      </c>
      <c r="I1162" s="13"/>
      <c r="J1162" s="13" t="str">
        <f ca="1">IFERROR(__xludf.DUMMYFUNCTION("""COMPUTED_VALUE"""),"Tôi đã dọn dẹp bàn học của mình.")</f>
        <v>Tôi đã dọn dẹp bàn học của mình.</v>
      </c>
      <c r="K1162" s="13" t="str">
        <f ca="1">IFERROR(__xludf.DUMMYFUNCTION("""COMPUTED_VALUE"""),"H4_B15_BG-27.png")</f>
        <v>H4_B15_BG-27.png</v>
      </c>
      <c r="L1162" s="13" t="str">
        <f ca="1">IFERROR(__xludf.DUMMYFUNCTION("""COMPUTED_VALUE"""),"B15_27.mp3")</f>
        <v>B15_27.mp3</v>
      </c>
      <c r="M1162" s="13" t="str">
        <f ca="1">IFERROR(__xludf.DUMMYFUNCTION("""COMPUTED_VALUE"""),"B14_VD_27.mp3")</f>
        <v>B14_VD_27.mp3</v>
      </c>
    </row>
    <row r="1163" spans="1:13">
      <c r="A1163" s="13">
        <f ca="1">IFERROR(__xludf.DUMMYFUNCTION("""COMPUTED_VALUE"""),28)</f>
        <v>28</v>
      </c>
      <c r="B1163" s="13"/>
      <c r="C1163" s="13" t="str">
        <f ca="1">IFERROR(__xludf.DUMMYFUNCTION("""COMPUTED_VALUE"""),"合适")</f>
        <v>合适</v>
      </c>
      <c r="D1163" s="13" t="str">
        <f ca="1">IFERROR(__xludf.DUMMYFUNCTION("""COMPUTED_VALUE"""),"&lt;ruby&gt;合适&lt;rt&gt;héshì&lt;/rt&gt;&lt;/ruby&gt;")</f>
        <v>&lt;ruby&gt;合适&lt;rt&gt;héshì&lt;/rt&gt;&lt;/ruby&gt;</v>
      </c>
      <c r="E1163" s="13" t="str">
        <f ca="1">IFERROR(__xludf.DUMMYFUNCTION("""COMPUTED_VALUE"""),"héshì")</f>
        <v>héshì</v>
      </c>
      <c r="F1163" s="13" t="str">
        <f ca="1">IFERROR(__xludf.DUMMYFUNCTION("""COMPUTED_VALUE"""),"Tính từ")</f>
        <v>Tính từ</v>
      </c>
      <c r="G1163" s="13" t="str">
        <f ca="1">IFERROR(__xludf.DUMMYFUNCTION("""COMPUTED_VALUE"""),"thích hợp")</f>
        <v>thích hợp</v>
      </c>
      <c r="H1163" s="13" t="str">
        <f ca="1">IFERROR(__xludf.DUMMYFUNCTION("""COMPUTED_VALUE"""),"我觉得她是最合适我的人。")</f>
        <v>我觉得她是最合适我的人。</v>
      </c>
      <c r="I1163" s="13"/>
      <c r="J1163" s="13" t="str">
        <f ca="1">IFERROR(__xludf.DUMMYFUNCTION("""COMPUTED_VALUE"""),"Tôi thấy cô ấy là người phù hợp nhất với mình.")</f>
        <v>Tôi thấy cô ấy là người phù hợp nhất với mình.</v>
      </c>
      <c r="K1163" s="13" t="str">
        <f ca="1">IFERROR(__xludf.DUMMYFUNCTION("""COMPUTED_VALUE"""),"H4_B15_BG-28.png")</f>
        <v>H4_B15_BG-28.png</v>
      </c>
      <c r="L1163" s="13" t="str">
        <f ca="1">IFERROR(__xludf.DUMMYFUNCTION("""COMPUTED_VALUE"""),"B15_28.mp3")</f>
        <v>B15_28.mp3</v>
      </c>
      <c r="M1163" s="13" t="str">
        <f ca="1">IFERROR(__xludf.DUMMYFUNCTION("""COMPUTED_VALUE"""),"B14_VD_28.mp3")</f>
        <v>B14_VD_28.mp3</v>
      </c>
    </row>
    <row r="1164" spans="1:13">
      <c r="A1164" s="13">
        <f ca="1">IFERROR(__xludf.DUMMYFUNCTION("""COMPUTED_VALUE"""),29)</f>
        <v>29</v>
      </c>
      <c r="B1164" s="13"/>
      <c r="C1164" s="13" t="str">
        <f ca="1">IFERROR(__xludf.DUMMYFUNCTION("""COMPUTED_VALUE"""),"骗")</f>
        <v>骗</v>
      </c>
      <c r="D1164" s="13" t="str">
        <f ca="1">IFERROR(__xludf.DUMMYFUNCTION("""COMPUTED_VALUE"""),"&lt;ruby&gt;骗&lt;rt&gt;piàn&lt;/rt&gt;&lt;/ruby&gt;")</f>
        <v>&lt;ruby&gt;骗&lt;rt&gt;piàn&lt;/rt&gt;&lt;/ruby&gt;</v>
      </c>
      <c r="E1164" s="13" t="str">
        <f ca="1">IFERROR(__xludf.DUMMYFUNCTION("""COMPUTED_VALUE"""),"piàn")</f>
        <v>piàn</v>
      </c>
      <c r="F1164" s="13" t="str">
        <f ca="1">IFERROR(__xludf.DUMMYFUNCTION("""COMPUTED_VALUE"""),"Động từ")</f>
        <v>Động từ</v>
      </c>
      <c r="G1164" s="13" t="str">
        <f ca="1">IFERROR(__xludf.DUMMYFUNCTION("""COMPUTED_VALUE"""),"lừa gạt")</f>
        <v>lừa gạt</v>
      </c>
      <c r="H1164" s="13" t="str">
        <f ca="1">IFERROR(__xludf.DUMMYFUNCTION("""COMPUTED_VALUE"""),"他总是骗别人的钱，所以被抓进监狱了。")</f>
        <v>他总是骗别人的钱，所以被抓进监狱了。</v>
      </c>
      <c r="I1164" s="13"/>
      <c r="J1164" s="13" t="str">
        <f ca="1">IFERROR(__xludf.DUMMYFUNCTION("""COMPUTED_VALUE"""),"Anh ta luôn đi lừa tiền người khác nên đã bị bắt giam.")</f>
        <v>Anh ta luôn đi lừa tiền người khác nên đã bị bắt giam.</v>
      </c>
      <c r="K1164" s="13" t="str">
        <f ca="1">IFERROR(__xludf.DUMMYFUNCTION("""COMPUTED_VALUE"""),"H4_B15_BG-29.png")</f>
        <v>H4_B15_BG-29.png</v>
      </c>
      <c r="L1164" s="13" t="str">
        <f ca="1">IFERROR(__xludf.DUMMYFUNCTION("""COMPUTED_VALUE"""),"B15_29.mp3")</f>
        <v>B15_29.mp3</v>
      </c>
      <c r="M1164" s="13" t="str">
        <f ca="1">IFERROR(__xludf.DUMMYFUNCTION("""COMPUTED_VALUE"""),"B14_VD_29.mp3")</f>
        <v>B14_VD_29.mp3</v>
      </c>
    </row>
    <row r="1165" spans="1:13">
      <c r="A1165" s="13">
        <f ca="1">IFERROR(__xludf.DUMMYFUNCTION("""COMPUTED_VALUE"""),30)</f>
        <v>30</v>
      </c>
      <c r="B1165" s="13"/>
      <c r="C1165" s="13" t="str">
        <f ca="1">IFERROR(__xludf.DUMMYFUNCTION("""COMPUTED_VALUE"""),"骄傲")</f>
        <v>骄傲</v>
      </c>
      <c r="D1165" s="13" t="str">
        <f ca="1">IFERROR(__xludf.DUMMYFUNCTION("""COMPUTED_VALUE"""),"&lt;ruby&gt;骄傲&lt;rt&gt;jiāo'ào&lt;/rt&gt;&lt;/ruby&gt;")</f>
        <v>&lt;ruby&gt;骄傲&lt;rt&gt;jiāo'ào&lt;/rt&gt;&lt;/ruby&gt;</v>
      </c>
      <c r="E1165" s="13" t="str">
        <f ca="1">IFERROR(__xludf.DUMMYFUNCTION("""COMPUTED_VALUE"""),"jiāo'ào")</f>
        <v>jiāo'ào</v>
      </c>
      <c r="F1165" s="13" t="str">
        <f ca="1">IFERROR(__xludf.DUMMYFUNCTION("""COMPUTED_VALUE"""),"Tính từ")</f>
        <v>Tính từ</v>
      </c>
      <c r="G1165" s="13" t="str">
        <f ca="1">IFERROR(__xludf.DUMMYFUNCTION("""COMPUTED_VALUE"""),"kiêu ngạo")</f>
        <v>kiêu ngạo</v>
      </c>
      <c r="H1165" s="13" t="str">
        <f ca="1">IFERROR(__xludf.DUMMYFUNCTION("""COMPUTED_VALUE"""),"她漂亮、自信，并不像我想的那样骄傲。")</f>
        <v>她漂亮、自信，并不像我想的那样骄傲。</v>
      </c>
      <c r="I1165" s="13"/>
      <c r="J1165" s="13" t="str">
        <f ca="1">IFERROR(__xludf.DUMMYFUNCTION("""COMPUTED_VALUE"""),"Cô ấy xinh đẹp, tự tin và không hề kiêu ngạo như tôi đã nghĩ.")</f>
        <v>Cô ấy xinh đẹp, tự tin và không hề kiêu ngạo như tôi đã nghĩ.</v>
      </c>
      <c r="K1165" s="13" t="str">
        <f ca="1">IFERROR(__xludf.DUMMYFUNCTION("""COMPUTED_VALUE"""),"H4_B15_BG-30.png")</f>
        <v>H4_B15_BG-30.png</v>
      </c>
      <c r="L1165" s="13" t="str">
        <f ca="1">IFERROR(__xludf.DUMMYFUNCTION("""COMPUTED_VALUE"""),"B15_30.mp3")</f>
        <v>B15_30.mp3</v>
      </c>
      <c r="M1165" s="13" t="str">
        <f ca="1">IFERROR(__xludf.DUMMYFUNCTION("""COMPUTED_VALUE"""),"B14_VD_30.mp3")</f>
        <v>B14_VD_30.mp3</v>
      </c>
    </row>
    <row r="1166" spans="1:13">
      <c r="A1166" s="13">
        <f ca="1">IFERROR(__xludf.DUMMYFUNCTION("""COMPUTED_VALUE"""),31)</f>
        <v>31</v>
      </c>
      <c r="B1166" s="13"/>
      <c r="C1166" s="13" t="str">
        <f ca="1">IFERROR(__xludf.DUMMYFUNCTION("""COMPUTED_VALUE"""),"害羞")</f>
        <v>害羞</v>
      </c>
      <c r="D1166" s="13" t="str">
        <f ca="1">IFERROR(__xludf.DUMMYFUNCTION("""COMPUTED_VALUE"""),"&lt;ruby&gt;害羞&lt;rt&gt;hàixiū&lt;/rt&gt;&lt;/ruby&gt;")</f>
        <v>&lt;ruby&gt;害羞&lt;rt&gt;hàixiū&lt;/rt&gt;&lt;/ruby&gt;</v>
      </c>
      <c r="E1166" s="13" t="str">
        <f ca="1">IFERROR(__xludf.DUMMYFUNCTION("""COMPUTED_VALUE"""),"hàixiū")</f>
        <v>hàixiū</v>
      </c>
      <c r="F1166" s="13" t="str">
        <f ca="1">IFERROR(__xludf.DUMMYFUNCTION("""COMPUTED_VALUE"""),"Động từ")</f>
        <v>Động từ</v>
      </c>
      <c r="G1166" s="13" t="str">
        <f ca="1">IFERROR(__xludf.DUMMYFUNCTION("""COMPUTED_VALUE"""),"ngượng ngùng, thẹn thùng")</f>
        <v>ngượng ngùng, thẹn thùng</v>
      </c>
      <c r="H1166" s="13" t="str">
        <f ca="1">IFERROR(__xludf.DUMMYFUNCTION("""COMPUTED_VALUE"""),"她害羞地笑了。")</f>
        <v>她害羞地笑了。</v>
      </c>
      <c r="I1166" s="13"/>
      <c r="J1166" s="13" t="str">
        <f ca="1">IFERROR(__xludf.DUMMYFUNCTION("""COMPUTED_VALUE"""),"Cô ấy cười ngượng ngùng.")</f>
        <v>Cô ấy cười ngượng ngùng.</v>
      </c>
      <c r="K1166" s="13" t="str">
        <f ca="1">IFERROR(__xludf.DUMMYFUNCTION("""COMPUTED_VALUE"""),"H4_B15_BG-31.png")</f>
        <v>H4_B15_BG-31.png</v>
      </c>
      <c r="L1166" s="13" t="str">
        <f ca="1">IFERROR(__xludf.DUMMYFUNCTION("""COMPUTED_VALUE"""),"B15_31.mp3")</f>
        <v>B15_31.mp3</v>
      </c>
      <c r="M1166" s="13" t="str">
        <f ca="1">IFERROR(__xludf.DUMMYFUNCTION("""COMPUTED_VALUE"""),"B14_VD_31.mp3")</f>
        <v>B14_VD_31.mp3</v>
      </c>
    </row>
    <row r="1167" spans="1:13">
      <c r="A1167" s="13">
        <f ca="1">IFERROR(__xludf.DUMMYFUNCTION("""COMPUTED_VALUE"""),1)</f>
        <v>1</v>
      </c>
      <c r="B1167" s="13"/>
      <c r="C1167" s="13" t="str">
        <f ca="1">IFERROR(__xludf.DUMMYFUNCTION("""COMPUTED_VALUE"""),"博士")</f>
        <v>博士</v>
      </c>
      <c r="D1167" s="13" t="str">
        <f ca="1">IFERROR(__xludf.DUMMYFUNCTION("""COMPUTED_VALUE"""),"&lt;ruby&gt;博士&lt;rt&gt;bóshì&lt;/rt&gt;&lt;/ruby&gt;")</f>
        <v>&lt;ruby&gt;博士&lt;rt&gt;bóshì&lt;/rt&gt;&lt;/ruby&gt;</v>
      </c>
      <c r="E1167" s="13" t="str">
        <f ca="1">IFERROR(__xludf.DUMMYFUNCTION("""COMPUTED_VALUE"""),"bóshì")</f>
        <v>bóshì</v>
      </c>
      <c r="F1167" s="13" t="str">
        <f ca="1">IFERROR(__xludf.DUMMYFUNCTION("""COMPUTED_VALUE"""),"Danh từ")</f>
        <v>Danh từ</v>
      </c>
      <c r="G1167" s="13" t="str">
        <f ca="1">IFERROR(__xludf.DUMMYFUNCTION("""COMPUTED_VALUE"""),"tiến sĩ")</f>
        <v>tiến sĩ</v>
      </c>
      <c r="H1167" s="13" t="str">
        <f ca="1">IFERROR(__xludf.DUMMYFUNCTION("""COMPUTED_VALUE"""),"他是一位物理博士。")</f>
        <v>他是一位物理博士。</v>
      </c>
      <c r="I1167" s="13"/>
      <c r="J1167" s="13" t="str">
        <f ca="1">IFERROR(__xludf.DUMMYFUNCTION("""COMPUTED_VALUE"""),"Anh ấy là một tiến sĩ vật lý.")</f>
        <v>Anh ấy là một tiến sĩ vật lý.</v>
      </c>
      <c r="K1167" s="13" t="str">
        <f ca="1">IFERROR(__xludf.DUMMYFUNCTION("""COMPUTED_VALUE"""),"H4_B16_BG-01.png")</f>
        <v>H4_B16_BG-01.png</v>
      </c>
      <c r="L1167" s="13" t="str">
        <f ca="1">IFERROR(__xludf.DUMMYFUNCTION("""COMPUTED_VALUE"""),"B16_1.mp3")</f>
        <v>B16_1.mp3</v>
      </c>
      <c r="M1167" s="13" t="str">
        <f ca="1">IFERROR(__xludf.DUMMYFUNCTION("""COMPUTED_VALUE"""),"B16_VD_1.mp3")</f>
        <v>B16_VD_1.mp3</v>
      </c>
    </row>
    <row r="1168" spans="1:13">
      <c r="A1168" s="13">
        <f ca="1">IFERROR(__xludf.DUMMYFUNCTION("""COMPUTED_VALUE"""),2)</f>
        <v>2</v>
      </c>
      <c r="B1168" s="13"/>
      <c r="C1168" s="13" t="str">
        <f ca="1">IFERROR(__xludf.DUMMYFUNCTION("""COMPUTED_VALUE"""),"报名")</f>
        <v>报名</v>
      </c>
      <c r="D1168" s="13" t="str">
        <f ca="1">IFERROR(__xludf.DUMMYFUNCTION("""COMPUTED_VALUE"""),"&lt;ruby&gt;报名&lt;rt&gt;bào míng&lt;/rt&gt;&lt;/ruby&gt;")</f>
        <v>&lt;ruby&gt;报名&lt;rt&gt;bào míng&lt;/rt&gt;&lt;/ruby&gt;</v>
      </c>
      <c r="E1168" s="13" t="str">
        <f ca="1">IFERROR(__xludf.DUMMYFUNCTION("""COMPUTED_VALUE"""),"bào míng")</f>
        <v>bào míng</v>
      </c>
      <c r="F1168" s="13" t="str">
        <f ca="1">IFERROR(__xludf.DUMMYFUNCTION("""COMPUTED_VALUE"""),"Động từ")</f>
        <v>Động từ</v>
      </c>
      <c r="G1168" s="13" t="str">
        <f ca="1">IFERROR(__xludf.DUMMYFUNCTION("""COMPUTED_VALUE"""),"ghi danh, đăng ký")</f>
        <v>ghi danh, đăng ký</v>
      </c>
      <c r="H1168" s="13" t="str">
        <f ca="1">IFERROR(__xludf.DUMMYFUNCTION("""COMPUTED_VALUE"""),"你需要填写表格来报名。")</f>
        <v>你需要填写表格来报名。</v>
      </c>
      <c r="I1168" s="13"/>
      <c r="J1168" s="13" t="str">
        <f ca="1">IFERROR(__xludf.DUMMYFUNCTION("""COMPUTED_VALUE"""),"Bạn cần điền vào mẫu đơn để đăng ký.")</f>
        <v>Bạn cần điền vào mẫu đơn để đăng ký.</v>
      </c>
      <c r="K1168" s="13" t="str">
        <f ca="1">IFERROR(__xludf.DUMMYFUNCTION("""COMPUTED_VALUE"""),"H4_B16_BG-02.png")</f>
        <v>H4_B16_BG-02.png</v>
      </c>
      <c r="L1168" s="13" t="str">
        <f ca="1">IFERROR(__xludf.DUMMYFUNCTION("""COMPUTED_VALUE"""),"B16_2.mp3")</f>
        <v>B16_2.mp3</v>
      </c>
      <c r="M1168" s="13" t="str">
        <f ca="1">IFERROR(__xludf.DUMMYFUNCTION("""COMPUTED_VALUE"""),"B16_VD_2.mp3")</f>
        <v>B16_VD_2.mp3</v>
      </c>
    </row>
    <row r="1169" spans="1:13">
      <c r="A1169" s="13">
        <f ca="1">IFERROR(__xludf.DUMMYFUNCTION("""COMPUTED_VALUE"""),3)</f>
        <v>3</v>
      </c>
      <c r="B1169" s="13"/>
      <c r="C1169" s="13" t="str">
        <f ca="1">IFERROR(__xludf.DUMMYFUNCTION("""COMPUTED_VALUE"""),"表格")</f>
        <v>表格</v>
      </c>
      <c r="D1169" s="13" t="str">
        <f ca="1">IFERROR(__xludf.DUMMYFUNCTION("""COMPUTED_VALUE"""),"&lt;ruby&gt;表格&lt;rt&gt;biǎogé&lt;/rt&gt;&lt;/ruby&gt;")</f>
        <v>&lt;ruby&gt;表格&lt;rt&gt;biǎogé&lt;/rt&gt;&lt;/ruby&gt;</v>
      </c>
      <c r="E1169" s="13" t="str">
        <f ca="1">IFERROR(__xludf.DUMMYFUNCTION("""COMPUTED_VALUE"""),"biǎogé")</f>
        <v>biǎogé</v>
      </c>
      <c r="F1169" s="13" t="str">
        <f ca="1">IFERROR(__xludf.DUMMYFUNCTION("""COMPUTED_VALUE"""),"Danh từ")</f>
        <v>Danh từ</v>
      </c>
      <c r="G1169" s="13" t="str">
        <f ca="1">IFERROR(__xludf.DUMMYFUNCTION("""COMPUTED_VALUE"""),"bản kê khai, mẫu đơn")</f>
        <v>bản kê khai, mẫu đơn</v>
      </c>
      <c r="H1169" s="13" t="str">
        <f ca="1">IFERROR(__xludf.DUMMYFUNCTION("""COMPUTED_VALUE"""),"请在表格中填写信息。")</f>
        <v>请在表格中填写信息。</v>
      </c>
      <c r="I1169" s="13"/>
      <c r="J1169" s="13" t="str">
        <f ca="1">IFERROR(__xludf.DUMMYFUNCTION("""COMPUTED_VALUE"""),"Vui lòng điền thông tin vào bảng.")</f>
        <v>Vui lòng điền thông tin vào bảng.</v>
      </c>
      <c r="K1169" s="13" t="str">
        <f ca="1">IFERROR(__xludf.DUMMYFUNCTION("""COMPUTED_VALUE"""),"H4_B16_BG-03.png")</f>
        <v>H4_B16_BG-03.png</v>
      </c>
      <c r="L1169" s="13" t="str">
        <f ca="1">IFERROR(__xludf.DUMMYFUNCTION("""COMPUTED_VALUE"""),"B16_3.mp3")</f>
        <v>B16_3.mp3</v>
      </c>
      <c r="M1169" s="13" t="str">
        <f ca="1">IFERROR(__xludf.DUMMYFUNCTION("""COMPUTED_VALUE"""),"B16_VD_3.mp3")</f>
        <v>B16_VD_3.mp3</v>
      </c>
    </row>
    <row r="1170" spans="1:13">
      <c r="A1170" s="13">
        <f ca="1">IFERROR(__xludf.DUMMYFUNCTION("""COMPUTED_VALUE"""),4)</f>
        <v>4</v>
      </c>
      <c r="B1170" s="13"/>
      <c r="C1170" s="13" t="str">
        <f ca="1">IFERROR(__xludf.DUMMYFUNCTION("""COMPUTED_VALUE"""),"记者")</f>
        <v>记者</v>
      </c>
      <c r="D1170" s="13" t="str">
        <f ca="1">IFERROR(__xludf.DUMMYFUNCTION("""COMPUTED_VALUE"""),"&lt;ruby&gt;记者&lt;rt&gt;jìzhě&lt;/rt&gt;&lt;/ruby&gt;")</f>
        <v>&lt;ruby&gt;记者&lt;rt&gt;jìzhě&lt;/rt&gt;&lt;/ruby&gt;</v>
      </c>
      <c r="E1170" s="13" t="str">
        <f ca="1">IFERROR(__xludf.DUMMYFUNCTION("""COMPUTED_VALUE"""),"jìzhě")</f>
        <v>jìzhě</v>
      </c>
      <c r="F1170" s="13" t="str">
        <f ca="1">IFERROR(__xludf.DUMMYFUNCTION("""COMPUTED_VALUE"""),"Danh từ")</f>
        <v>Danh từ</v>
      </c>
      <c r="G1170" s="13" t="str">
        <f ca="1">IFERROR(__xludf.DUMMYFUNCTION("""COMPUTED_VALUE"""),"phóng viên, nhà báo")</f>
        <v>phóng viên, nhà báo</v>
      </c>
      <c r="H1170" s="13" t="str">
        <f ca="1">IFERROR(__xludf.DUMMYFUNCTION("""COMPUTED_VALUE"""),"那位记者正在报道新闻。")</f>
        <v>那位记者正在报道新闻。</v>
      </c>
      <c r="I1170" s="13"/>
      <c r="J1170" s="13" t="str">
        <f ca="1">IFERROR(__xludf.DUMMYFUNCTION("""COMPUTED_VALUE"""),"Người phóng viên đó đang đưa tin.")</f>
        <v>Người phóng viên đó đang đưa tin.</v>
      </c>
      <c r="K1170" s="13" t="str">
        <f ca="1">IFERROR(__xludf.DUMMYFUNCTION("""COMPUTED_VALUE"""),"H4_B16_BG-04.png")</f>
        <v>H4_B16_BG-04.png</v>
      </c>
      <c r="L1170" s="13" t="str">
        <f ca="1">IFERROR(__xludf.DUMMYFUNCTION("""COMPUTED_VALUE"""),"B16_4.mp3")</f>
        <v>B16_4.mp3</v>
      </c>
      <c r="M1170" s="13" t="str">
        <f ca="1">IFERROR(__xludf.DUMMYFUNCTION("""COMPUTED_VALUE"""),"B16_VD_4.mp3")</f>
        <v>B16_VD_4.mp3</v>
      </c>
    </row>
    <row r="1171" spans="1:13">
      <c r="A1171" s="13">
        <f ca="1">IFERROR(__xludf.DUMMYFUNCTION("""COMPUTED_VALUE"""),5)</f>
        <v>5</v>
      </c>
      <c r="B1171" s="13"/>
      <c r="C1171" s="13" t="str">
        <f ca="1">IFERROR(__xludf.DUMMYFUNCTION("""COMPUTED_VALUE"""),"代表")</f>
        <v>代表</v>
      </c>
      <c r="D1171" s="13" t="str">
        <f ca="1">IFERROR(__xludf.DUMMYFUNCTION("""COMPUTED_VALUE"""),"&lt;ruby&gt;代表&lt;rt&gt;dàibiǎo&lt;/rt&gt;&lt;/ruby&gt;")</f>
        <v>&lt;ruby&gt;代表&lt;rt&gt;dàibiǎo&lt;/rt&gt;&lt;/ruby&gt;</v>
      </c>
      <c r="E1171" s="13" t="str">
        <f ca="1">IFERROR(__xludf.DUMMYFUNCTION("""COMPUTED_VALUE"""),"dàibiǎo")</f>
        <v>dàibiǎo</v>
      </c>
      <c r="F1171" s="13" t="str">
        <f ca="1">IFERROR(__xludf.DUMMYFUNCTION("""COMPUTED_VALUE"""),"Động từ")</f>
        <v>Động từ</v>
      </c>
      <c r="G1171" s="13" t="str">
        <f ca="1">IFERROR(__xludf.DUMMYFUNCTION("""COMPUTED_VALUE"""),"đại diện, thay mặt")</f>
        <v>đại diện, thay mặt</v>
      </c>
      <c r="H1171" s="13" t="str">
        <f ca="1">IFERROR(__xludf.DUMMYFUNCTION("""COMPUTED_VALUE"""),"他代表我们全班参加这次考试。")</f>
        <v>他代表我们全班参加这次考试。</v>
      </c>
      <c r="I1171" s="13"/>
      <c r="J1171" s="13" t="str">
        <f ca="1">IFERROR(__xludf.DUMMYFUNCTION("""COMPUTED_VALUE"""),"Cậu ấy đại diện cho cả lớp tôi để đi thi ở kỳ thi này.")</f>
        <v>Cậu ấy đại diện cho cả lớp tôi để đi thi ở kỳ thi này.</v>
      </c>
      <c r="K1171" s="13" t="str">
        <f ca="1">IFERROR(__xludf.DUMMYFUNCTION("""COMPUTED_VALUE"""),"H4_B16_BG-05.png")</f>
        <v>H4_B16_BG-05.png</v>
      </c>
      <c r="L1171" s="13" t="str">
        <f ca="1">IFERROR(__xludf.DUMMYFUNCTION("""COMPUTED_VALUE"""),"B16_5.mp3")</f>
        <v>B16_5.mp3</v>
      </c>
      <c r="M1171" s="13" t="str">
        <f ca="1">IFERROR(__xludf.DUMMYFUNCTION("""COMPUTED_VALUE"""),"B16_VD_5.mp3")</f>
        <v>B16_VD_5.mp3</v>
      </c>
    </row>
    <row r="1172" spans="1:13">
      <c r="A1172" s="13">
        <f ca="1">IFERROR(__xludf.DUMMYFUNCTION("""COMPUTED_VALUE"""),6)</f>
        <v>6</v>
      </c>
      <c r="B1172" s="13"/>
      <c r="C1172" s="13" t="str">
        <f ca="1">IFERROR(__xludf.DUMMYFUNCTION("""COMPUTED_VALUE"""),"重点")</f>
        <v>重点</v>
      </c>
      <c r="D1172" s="13" t="str">
        <f ca="1">IFERROR(__xludf.DUMMYFUNCTION("""COMPUTED_VALUE"""),"&lt;ruby&gt;重点&lt;rt&gt;zhòngdiǎn&lt;/rt&gt;&lt;/ruby&gt;")</f>
        <v>&lt;ruby&gt;重点&lt;rt&gt;zhòngdiǎn&lt;/rt&gt;&lt;/ruby&gt;</v>
      </c>
      <c r="E1172" s="13" t="str">
        <f ca="1">IFERROR(__xludf.DUMMYFUNCTION("""COMPUTED_VALUE"""),"zhòngdiǎn")</f>
        <v>zhòngdiǎn</v>
      </c>
      <c r="F1172" s="13" t="str">
        <f ca="1">IFERROR(__xludf.DUMMYFUNCTION("""COMPUTED_VALUE"""),"Danh từ")</f>
        <v>Danh từ</v>
      </c>
      <c r="G1172" s="13" t="str">
        <f ca="1">IFERROR(__xludf.DUMMYFUNCTION("""COMPUTED_VALUE"""),"trọng điểm, trọng tâm")</f>
        <v>trọng điểm, trọng tâm</v>
      </c>
      <c r="H1172" s="13" t="str">
        <f ca="1">IFERROR(__xludf.DUMMYFUNCTION("""COMPUTED_VALUE"""),"我认为考试前应该先复习重点科目。")</f>
        <v>我认为考试前应该先复习重点科目。</v>
      </c>
      <c r="I1172" s="13"/>
      <c r="J1172" s="13" t="str">
        <f ca="1">IFERROR(__xludf.DUMMYFUNCTION("""COMPUTED_VALUE"""),"Tôi nghĩ nên ôn tập những môn trọng tâm trước kỳ thi.")</f>
        <v>Tôi nghĩ nên ôn tập những môn trọng tâm trước kỳ thi.</v>
      </c>
      <c r="K1172" s="13" t="str">
        <f ca="1">IFERROR(__xludf.DUMMYFUNCTION("""COMPUTED_VALUE"""),"H4_B16_BG-06.png")</f>
        <v>H4_B16_BG-06.png</v>
      </c>
      <c r="L1172" s="13" t="str">
        <f ca="1">IFERROR(__xludf.DUMMYFUNCTION("""COMPUTED_VALUE"""),"B16_6.mp3")</f>
        <v>B16_6.mp3</v>
      </c>
      <c r="M1172" s="13" t="str">
        <f ca="1">IFERROR(__xludf.DUMMYFUNCTION("""COMPUTED_VALUE"""),"B16_VD_6.mp3")</f>
        <v>B16_VD_6.mp3</v>
      </c>
    </row>
    <row r="1173" spans="1:13">
      <c r="A1173" s="13">
        <f ca="1">IFERROR(__xludf.DUMMYFUNCTION("""COMPUTED_VALUE"""),7)</f>
        <v>7</v>
      </c>
      <c r="B1173" s="13"/>
      <c r="C1173" s="13" t="str">
        <f ca="1">IFERROR(__xludf.DUMMYFUNCTION("""COMPUTED_VALUE"""),"预习")</f>
        <v>预习</v>
      </c>
      <c r="D1173" s="13" t="str">
        <f ca="1">IFERROR(__xludf.DUMMYFUNCTION("""COMPUTED_VALUE"""),"&lt;ruby&gt;预习&lt;rt&gt;yùxí&lt;/rt&gt;&lt;/ruby&gt;")</f>
        <v>&lt;ruby&gt;预习&lt;rt&gt;yùxí&lt;/rt&gt;&lt;/ruby&gt;</v>
      </c>
      <c r="E1173" s="13" t="str">
        <f ca="1">IFERROR(__xludf.DUMMYFUNCTION("""COMPUTED_VALUE"""),"yùxí")</f>
        <v>yùxí</v>
      </c>
      <c r="F1173" s="13" t="str">
        <f ca="1">IFERROR(__xludf.DUMMYFUNCTION("""COMPUTED_VALUE"""),"Động từ")</f>
        <v>Động từ</v>
      </c>
      <c r="G1173" s="13" t="str">
        <f ca="1">IFERROR(__xludf.DUMMYFUNCTION("""COMPUTED_VALUE"""),"chuẩn bị bài")</f>
        <v>chuẩn bị bài</v>
      </c>
      <c r="H1173" s="13" t="str">
        <f ca="1">IFERROR(__xludf.DUMMYFUNCTION("""COMPUTED_VALUE"""),"因为提前认真预习了，所以今天我很自信。")</f>
        <v>因为提前认真预习了，所以今天我很自信。</v>
      </c>
      <c r="I1173" s="13"/>
      <c r="J1173" s="13" t="str">
        <f ca="1">IFERROR(__xludf.DUMMYFUNCTION("""COMPUTED_VALUE"""),"Vì đã chuẩn bị bài kĩ nên hôm nay tôi rất tự tin.")</f>
        <v>Vì đã chuẩn bị bài kĩ nên hôm nay tôi rất tự tin.</v>
      </c>
      <c r="K1173" s="13" t="str">
        <f ca="1">IFERROR(__xludf.DUMMYFUNCTION("""COMPUTED_VALUE"""),"H4_B16_BG-07.png")</f>
        <v>H4_B16_BG-07.png</v>
      </c>
      <c r="L1173" s="13" t="str">
        <f ca="1">IFERROR(__xludf.DUMMYFUNCTION("""COMPUTED_VALUE"""),"B16_7.mp3")</f>
        <v>B16_7.mp3</v>
      </c>
      <c r="M1173" s="13" t="str">
        <f ca="1">IFERROR(__xludf.DUMMYFUNCTION("""COMPUTED_VALUE"""),"B16_VD_7.mp3")</f>
        <v>B16_VD_7.mp3</v>
      </c>
    </row>
    <row r="1174" spans="1:13">
      <c r="A1174" s="13">
        <f ca="1">IFERROR(__xludf.DUMMYFUNCTION("""COMPUTED_VALUE"""),8)</f>
        <v>8</v>
      </c>
      <c r="B1174" s="13"/>
      <c r="C1174" s="13" t="str">
        <f ca="1">IFERROR(__xludf.DUMMYFUNCTION("""COMPUTED_VALUE"""),"重视")</f>
        <v>重视</v>
      </c>
      <c r="D1174" s="13" t="str">
        <f ca="1">IFERROR(__xludf.DUMMYFUNCTION("""COMPUTED_VALUE"""),"&lt;ruby&gt;重视&lt;rt&gt;zhòngshì&lt;/rt&gt;&lt;/ruby&gt;")</f>
        <v>&lt;ruby&gt;重视&lt;rt&gt;zhòngshì&lt;/rt&gt;&lt;/ruby&gt;</v>
      </c>
      <c r="E1174" s="13" t="str">
        <f ca="1">IFERROR(__xludf.DUMMYFUNCTION("""COMPUTED_VALUE"""),"zhòngshì")</f>
        <v>zhòngshì</v>
      </c>
      <c r="F1174" s="13" t="str">
        <f ca="1">IFERROR(__xludf.DUMMYFUNCTION("""COMPUTED_VALUE"""),"Động từ")</f>
        <v>Động từ</v>
      </c>
      <c r="G1174" s="13" t="str">
        <f ca="1">IFERROR(__xludf.DUMMYFUNCTION("""COMPUTED_VALUE"""),"xem trọng, chú trọng")</f>
        <v>xem trọng, chú trọng</v>
      </c>
      <c r="H1174" s="13" t="str">
        <f ca="1">IFERROR(__xludf.DUMMYFUNCTION("""COMPUTED_VALUE"""),"我妈妈很重视家庭餐。")</f>
        <v>我妈妈很重视家庭餐。</v>
      </c>
      <c r="I1174" s="13"/>
      <c r="J1174" s="13" t="str">
        <f ca="1">IFERROR(__xludf.DUMMYFUNCTION("""COMPUTED_VALUE"""),"Mẹ tôi rất chú trọng vào những bữa cơm gia đình.")</f>
        <v>Mẹ tôi rất chú trọng vào những bữa cơm gia đình.</v>
      </c>
      <c r="K1174" s="13" t="str">
        <f ca="1">IFERROR(__xludf.DUMMYFUNCTION("""COMPUTED_VALUE"""),"H4_B16_BG-08.png")</f>
        <v>H4_B16_BG-08.png</v>
      </c>
      <c r="L1174" s="13" t="str">
        <f ca="1">IFERROR(__xludf.DUMMYFUNCTION("""COMPUTED_VALUE"""),"B16_8.mp3")</f>
        <v>B16_8.mp3</v>
      </c>
      <c r="M1174" s="13" t="str">
        <f ca="1">IFERROR(__xludf.DUMMYFUNCTION("""COMPUTED_VALUE"""),"B16_VD_8.mp3")</f>
        <v>B16_VD_8.mp3</v>
      </c>
    </row>
    <row r="1175" spans="1:13">
      <c r="A1175" s="13">
        <f ca="1">IFERROR(__xludf.DUMMYFUNCTION("""COMPUTED_VALUE"""),9)</f>
        <v>9</v>
      </c>
      <c r="B1175" s="13"/>
      <c r="C1175" s="13" t="str">
        <f ca="1">IFERROR(__xludf.DUMMYFUNCTION("""COMPUTED_VALUE"""),"签证")</f>
        <v>签证</v>
      </c>
      <c r="D1175" s="13" t="str">
        <f ca="1">IFERROR(__xludf.DUMMYFUNCTION("""COMPUTED_VALUE"""),"&lt;ruby&gt;签证&lt;rt&gt;qiānzhèng&lt;/rt&gt;&lt;/ruby&gt;")</f>
        <v>&lt;ruby&gt;签证&lt;rt&gt;qiānzhèng&lt;/rt&gt;&lt;/ruby&gt;</v>
      </c>
      <c r="E1175" s="13" t="str">
        <f ca="1">IFERROR(__xludf.DUMMYFUNCTION("""COMPUTED_VALUE"""),"qiānzhèng")</f>
        <v>qiānzhèng</v>
      </c>
      <c r="F1175" s="13" t="str">
        <f ca="1">IFERROR(__xludf.DUMMYFUNCTION("""COMPUTED_VALUE"""),"Danh từ")</f>
        <v>Danh từ</v>
      </c>
      <c r="G1175" s="13" t="str">
        <f ca="1">IFERROR(__xludf.DUMMYFUNCTION("""COMPUTED_VALUE"""),"thị thực, visa")</f>
        <v>thị thực, visa</v>
      </c>
      <c r="H1175" s="13" t="str">
        <f ca="1">IFERROR(__xludf.DUMMYFUNCTION("""COMPUTED_VALUE"""),"我已经拿到了有效的签证。")</f>
        <v>我已经拿到了有效的签证。</v>
      </c>
      <c r="I1175" s="13"/>
      <c r="J1175" s="13" t="str">
        <f ca="1">IFERROR(__xludf.DUMMYFUNCTION("""COMPUTED_VALUE"""),"Tôi đã nhận được visa hợp lệ.")</f>
        <v>Tôi đã nhận được visa hợp lệ.</v>
      </c>
      <c r="K1175" s="13" t="str">
        <f ca="1">IFERROR(__xludf.DUMMYFUNCTION("""COMPUTED_VALUE"""),"H4_B16_BG-09.png")</f>
        <v>H4_B16_BG-09.png</v>
      </c>
      <c r="L1175" s="13" t="str">
        <f ca="1">IFERROR(__xludf.DUMMYFUNCTION("""COMPUTED_VALUE"""),"B16_9.mp3")</f>
        <v>B16_9.mp3</v>
      </c>
      <c r="M1175" s="13" t="str">
        <f ca="1">IFERROR(__xludf.DUMMYFUNCTION("""COMPUTED_VALUE"""),"B16_VD_9.mp3")</f>
        <v>B16_VD_9.mp3</v>
      </c>
    </row>
    <row r="1176" spans="1:13">
      <c r="A1176" s="13">
        <f ca="1">IFERROR(__xludf.DUMMYFUNCTION("""COMPUTED_VALUE"""),10)</f>
        <v>10</v>
      </c>
      <c r="B1176" s="13"/>
      <c r="C1176" s="13" t="str">
        <f ca="1">IFERROR(__xludf.DUMMYFUNCTION("""COMPUTED_VALUE"""),"传真")</f>
        <v>传真</v>
      </c>
      <c r="D1176" s="13" t="str">
        <f ca="1">IFERROR(__xludf.DUMMYFUNCTION("""COMPUTED_VALUE"""),"&lt;ruby&gt;传真&lt;rt&gt;chuánzhēn&lt;/rt&gt;&lt;/ruby&gt;")</f>
        <v>&lt;ruby&gt;传真&lt;rt&gt;chuánzhēn&lt;/rt&gt;&lt;/ruby&gt;</v>
      </c>
      <c r="E1176" s="13" t="str">
        <f ca="1">IFERROR(__xludf.DUMMYFUNCTION("""COMPUTED_VALUE"""),"chuánzhēn")</f>
        <v>chuánzhēn</v>
      </c>
      <c r="F1176" s="13" t="str">
        <f ca="1">IFERROR(__xludf.DUMMYFUNCTION("""COMPUTED_VALUE"""),"Động từ")</f>
        <v>Động từ</v>
      </c>
      <c r="G1176" s="13" t="str">
        <f ca="1">IFERROR(__xludf.DUMMYFUNCTION("""COMPUTED_VALUE"""),"gửi fax")</f>
        <v>gửi fax</v>
      </c>
      <c r="H1176" s="13" t="str">
        <f ca="1">IFERROR(__xludf.DUMMYFUNCTION("""COMPUTED_VALUE"""),"传真已经发送给对方了。")</f>
        <v>传真已经发送给对方了。</v>
      </c>
      <c r="I1176" s="13"/>
      <c r="J1176" s="13" t="str">
        <f ca="1">IFERROR(__xludf.DUMMYFUNCTION("""COMPUTED_VALUE"""),"Bản điện thư đã gửi cho đối phương rồi.")</f>
        <v>Bản điện thư đã gửi cho đối phương rồi.</v>
      </c>
      <c r="K1176" s="13" t="str">
        <f ca="1">IFERROR(__xludf.DUMMYFUNCTION("""COMPUTED_VALUE"""),"H4_B16_BG-10.png")</f>
        <v>H4_B16_BG-10.png</v>
      </c>
      <c r="L1176" s="13" t="str">
        <f ca="1">IFERROR(__xludf.DUMMYFUNCTION("""COMPUTED_VALUE"""),"B16_10.mp3")</f>
        <v>B16_10.mp3</v>
      </c>
      <c r="M1176" s="13" t="str">
        <f ca="1">IFERROR(__xludf.DUMMYFUNCTION("""COMPUTED_VALUE"""),"B16_VD_10.mp3")</f>
        <v>B16_VD_10.mp3</v>
      </c>
    </row>
    <row r="1177" spans="1:13">
      <c r="A1177" s="13">
        <f ca="1">IFERROR(__xludf.DUMMYFUNCTION("""COMPUTED_VALUE"""),11)</f>
        <v>11</v>
      </c>
      <c r="B1177" s="13"/>
      <c r="C1177" s="13" t="str">
        <f ca="1">IFERROR(__xludf.DUMMYFUNCTION("""COMPUTED_VALUE"""),"号码")</f>
        <v>号码</v>
      </c>
      <c r="D1177" s="13" t="str">
        <f ca="1">IFERROR(__xludf.DUMMYFUNCTION("""COMPUTED_VALUE"""),"&lt;ruby&gt;号码&lt;rt&gt;hàomǎ&lt;/rt&gt;&lt;/ruby&gt;")</f>
        <v>&lt;ruby&gt;号码&lt;rt&gt;hàomǎ&lt;/rt&gt;&lt;/ruby&gt;</v>
      </c>
      <c r="E1177" s="13" t="str">
        <f ca="1">IFERROR(__xludf.DUMMYFUNCTION("""COMPUTED_VALUE"""),"hàomǎ")</f>
        <v>hàomǎ</v>
      </c>
      <c r="F1177" s="13" t="str">
        <f ca="1">IFERROR(__xludf.DUMMYFUNCTION("""COMPUTED_VALUE"""),"Danh từ")</f>
        <v>Danh từ</v>
      </c>
      <c r="G1177" s="13" t="str">
        <f ca="1">IFERROR(__xludf.DUMMYFUNCTION("""COMPUTED_VALUE"""),"số")</f>
        <v>số</v>
      </c>
      <c r="H1177" s="13" t="str">
        <f ca="1">IFERROR(__xludf.DUMMYFUNCTION("""COMPUTED_VALUE"""),"客户需要向我们提供身份证号码。")</f>
        <v>客户需要向我们提供身份证号码。</v>
      </c>
      <c r="I1177" s="13"/>
      <c r="J1177" s="13" t="str">
        <f ca="1">IFERROR(__xludf.DUMMYFUNCTION("""COMPUTED_VALUE"""),"Khách hàng cần cung cấp số căn cước cho chúng tôi.")</f>
        <v>Khách hàng cần cung cấp số căn cước cho chúng tôi.</v>
      </c>
      <c r="K1177" s="13" t="str">
        <f ca="1">IFERROR(__xludf.DUMMYFUNCTION("""COMPUTED_VALUE"""),"H4_B16_BG-11.png")</f>
        <v>H4_B16_BG-11.png</v>
      </c>
      <c r="L1177" s="13" t="str">
        <f ca="1">IFERROR(__xludf.DUMMYFUNCTION("""COMPUTED_VALUE"""),"B16_11.mp3")</f>
        <v>B16_11.mp3</v>
      </c>
      <c r="M1177" s="13" t="str">
        <f ca="1">IFERROR(__xludf.DUMMYFUNCTION("""COMPUTED_VALUE"""),"B16_VD_11.mp3")</f>
        <v>B16_VD_11.mp3</v>
      </c>
    </row>
    <row r="1178" spans="1:13">
      <c r="A1178" s="13">
        <f ca="1">IFERROR(__xludf.DUMMYFUNCTION("""COMPUTED_VALUE"""),12)</f>
        <v>12</v>
      </c>
      <c r="B1178" s="13"/>
      <c r="C1178" s="13" t="str">
        <f ca="1">IFERROR(__xludf.DUMMYFUNCTION("""COMPUTED_VALUE"""),"参观")</f>
        <v>参观</v>
      </c>
      <c r="D1178" s="13" t="str">
        <f ca="1">IFERROR(__xludf.DUMMYFUNCTION("""COMPUTED_VALUE"""),"&lt;ruby&gt;参观&lt;rt&gt;cānguān&lt;/rt&gt;&lt;/ruby&gt;")</f>
        <v>&lt;ruby&gt;参观&lt;rt&gt;cānguān&lt;/rt&gt;&lt;/ruby&gt;</v>
      </c>
      <c r="E1178" s="13" t="str">
        <f ca="1">IFERROR(__xludf.DUMMYFUNCTION("""COMPUTED_VALUE"""),"cānguān")</f>
        <v>cānguān</v>
      </c>
      <c r="F1178" s="13" t="str">
        <f ca="1">IFERROR(__xludf.DUMMYFUNCTION("""COMPUTED_VALUE"""),"Động từ")</f>
        <v>Động từ</v>
      </c>
      <c r="G1178" s="13" t="str">
        <f ca="1">IFERROR(__xludf.DUMMYFUNCTION("""COMPUTED_VALUE"""),"tham quan, đi thăm")</f>
        <v>tham quan, đi thăm</v>
      </c>
      <c r="H1178" s="13" t="str">
        <f ca="1">IFERROR(__xludf.DUMMYFUNCTION("""COMPUTED_VALUE"""),"我喜欢参观世界著名的景点。")</f>
        <v>我喜欢参观世界著名的景点。</v>
      </c>
      <c r="I1178" s="13"/>
      <c r="J1178" s="13" t="str">
        <f ca="1">IFERROR(__xludf.DUMMYFUNCTION("""COMPUTED_VALUE"""),"Tôi thích đi tham quan những địa danh nổi tiếng trên thế giới.")</f>
        <v>Tôi thích đi tham quan những địa danh nổi tiếng trên thế giới.</v>
      </c>
      <c r="K1178" s="13" t="str">
        <f ca="1">IFERROR(__xludf.DUMMYFUNCTION("""COMPUTED_VALUE"""),"H4_B16_BG-12.png")</f>
        <v>H4_B16_BG-12.png</v>
      </c>
      <c r="L1178" s="13" t="str">
        <f ca="1">IFERROR(__xludf.DUMMYFUNCTION("""COMPUTED_VALUE"""),"B16_12.mp3")</f>
        <v>B16_12.mp3</v>
      </c>
      <c r="M1178" s="13" t="str">
        <f ca="1">IFERROR(__xludf.DUMMYFUNCTION("""COMPUTED_VALUE"""),"B16_VD_12.mp3")</f>
        <v>B16_VD_12.mp3</v>
      </c>
    </row>
    <row r="1179" spans="1:13">
      <c r="A1179" s="13">
        <f ca="1">IFERROR(__xludf.DUMMYFUNCTION("""COMPUTED_VALUE"""),13)</f>
        <v>13</v>
      </c>
      <c r="B1179" s="13"/>
      <c r="C1179" s="13" t="str">
        <f ca="1">IFERROR(__xludf.DUMMYFUNCTION("""COMPUTED_VALUE"""),"郊区")</f>
        <v>郊区</v>
      </c>
      <c r="D1179" s="13" t="str">
        <f ca="1">IFERROR(__xludf.DUMMYFUNCTION("""COMPUTED_VALUE"""),"&lt;ruby&gt;郊区&lt;rt&gt;jiāoqū&lt;/rt&gt;&lt;/ruby&gt;")</f>
        <v>&lt;ruby&gt;郊区&lt;rt&gt;jiāoqū&lt;/rt&gt;&lt;/ruby&gt;</v>
      </c>
      <c r="E1179" s="13" t="str">
        <f ca="1">IFERROR(__xludf.DUMMYFUNCTION("""COMPUTED_VALUE"""),"jiāoqū")</f>
        <v>jiāoqū</v>
      </c>
      <c r="F1179" s="13" t="str">
        <f ca="1">IFERROR(__xludf.DUMMYFUNCTION("""COMPUTED_VALUE"""),"Danh từ")</f>
        <v>Danh từ</v>
      </c>
      <c r="G1179" s="13" t="str">
        <f ca="1">IFERROR(__xludf.DUMMYFUNCTION("""COMPUTED_VALUE"""),"vùng ngoại ô")</f>
        <v>vùng ngoại ô</v>
      </c>
      <c r="H1179" s="13" t="str">
        <f ca="1">IFERROR(__xludf.DUMMYFUNCTION("""COMPUTED_VALUE"""),"郊区的生活非常安宁。")</f>
        <v>郊区的生活非常安宁。</v>
      </c>
      <c r="I1179" s="13"/>
      <c r="J1179" s="13" t="str">
        <f ca="1">IFERROR(__xludf.DUMMYFUNCTION("""COMPUTED_VALUE"""),"Cuộc sống ở vùng ngoại ô rất bình yên.")</f>
        <v>Cuộc sống ở vùng ngoại ô rất bình yên.</v>
      </c>
      <c r="K1179" s="13" t="str">
        <f ca="1">IFERROR(__xludf.DUMMYFUNCTION("""COMPUTED_VALUE"""),"H4_B16_BG-13.png")</f>
        <v>H4_B16_BG-13.png</v>
      </c>
      <c r="L1179" s="13" t="str">
        <f ca="1">IFERROR(__xludf.DUMMYFUNCTION("""COMPUTED_VALUE"""),"B16_13.mp3")</f>
        <v>B16_13.mp3</v>
      </c>
      <c r="M1179" s="13" t="str">
        <f ca="1">IFERROR(__xludf.DUMMYFUNCTION("""COMPUTED_VALUE"""),"B16_VD_13.mp3")</f>
        <v>B16_VD_13.mp3</v>
      </c>
    </row>
    <row r="1180" spans="1:13">
      <c r="A1180" s="13">
        <f ca="1">IFERROR(__xludf.DUMMYFUNCTION("""COMPUTED_VALUE"""),14)</f>
        <v>14</v>
      </c>
      <c r="B1180" s="13"/>
      <c r="C1180" s="13" t="str">
        <f ca="1">IFERROR(__xludf.DUMMYFUNCTION("""COMPUTED_VALUE"""),"导游")</f>
        <v>导游</v>
      </c>
      <c r="D1180" s="13" t="str">
        <f ca="1">IFERROR(__xludf.DUMMYFUNCTION("""COMPUTED_VALUE"""),"&lt;ruby&gt;导游&lt;rt&gt;dǎoyóu&lt;/rt&gt;&lt;/ruby&gt;")</f>
        <v>&lt;ruby&gt;导游&lt;rt&gt;dǎoyóu&lt;/rt&gt;&lt;/ruby&gt;</v>
      </c>
      <c r="E1180" s="13" t="str">
        <f ca="1">IFERROR(__xludf.DUMMYFUNCTION("""COMPUTED_VALUE"""),"dǎoyóu")</f>
        <v>dǎoyóu</v>
      </c>
      <c r="F1180" s="13" t="str">
        <f ca="1">IFERROR(__xludf.DUMMYFUNCTION("""COMPUTED_VALUE"""),"Danh từ")</f>
        <v>Danh từ</v>
      </c>
      <c r="G1180" s="13" t="str">
        <f ca="1">IFERROR(__xludf.DUMMYFUNCTION("""COMPUTED_VALUE"""),"hướng dẫn viên du lịch")</f>
        <v>hướng dẫn viên du lịch</v>
      </c>
      <c r="H1180" s="13" t="str">
        <f ca="1">IFERROR(__xludf.DUMMYFUNCTION("""COMPUTED_VALUE"""),"导游正在介绍旅游景点。")</f>
        <v>导游正在介绍旅游景点。</v>
      </c>
      <c r="I1180" s="13"/>
      <c r="J1180" s="13" t="str">
        <f ca="1">IFERROR(__xludf.DUMMYFUNCTION("""COMPUTED_VALUE"""),"Hướng dẫn viên đang nói về địa điểm du lịch.")</f>
        <v>Hướng dẫn viên đang nói về địa điểm du lịch.</v>
      </c>
      <c r="K1180" s="13" t="str">
        <f ca="1">IFERROR(__xludf.DUMMYFUNCTION("""COMPUTED_VALUE"""),"H4_B16_BG-14.png")</f>
        <v>H4_B16_BG-14.png</v>
      </c>
      <c r="L1180" s="13" t="str">
        <f ca="1">IFERROR(__xludf.DUMMYFUNCTION("""COMPUTED_VALUE"""),"B16_14.mp3")</f>
        <v>B16_14.mp3</v>
      </c>
      <c r="M1180" s="13" t="str">
        <f ca="1">IFERROR(__xludf.DUMMYFUNCTION("""COMPUTED_VALUE"""),"B16_VD_14.mp3")</f>
        <v>B16_VD_14.mp3</v>
      </c>
    </row>
    <row r="1181" spans="1:13">
      <c r="A1181" s="13">
        <f ca="1">IFERROR(__xludf.DUMMYFUNCTION("""COMPUTED_VALUE"""),15)</f>
        <v>15</v>
      </c>
      <c r="B1181" s="13"/>
      <c r="C1181" s="13" t="str">
        <f ca="1">IFERROR(__xludf.DUMMYFUNCTION("""COMPUTED_VALUE"""),"推")</f>
        <v>推</v>
      </c>
      <c r="D1181" s="13" t="str">
        <f ca="1">IFERROR(__xludf.DUMMYFUNCTION("""COMPUTED_VALUE"""),"&lt;ruby&gt;推&lt;rt&gt;tuī&lt;/rt&gt;&lt;/ruby&gt;")</f>
        <v>&lt;ruby&gt;推&lt;rt&gt;tuī&lt;/rt&gt;&lt;/ruby&gt;</v>
      </c>
      <c r="E1181" s="13" t="str">
        <f ca="1">IFERROR(__xludf.DUMMYFUNCTION("""COMPUTED_VALUE"""),"tuī")</f>
        <v>tuī</v>
      </c>
      <c r="F1181" s="13" t="str">
        <f ca="1">IFERROR(__xludf.DUMMYFUNCTION("""COMPUTED_VALUE"""),"Động từ")</f>
        <v>Động từ</v>
      </c>
      <c r="G1181" s="13" t="str">
        <f ca="1">IFERROR(__xludf.DUMMYFUNCTION("""COMPUTED_VALUE"""),"hoãn lại, đẩy, triển khai")</f>
        <v>hoãn lại, đẩy, triển khai</v>
      </c>
      <c r="H1181" s="13" t="str">
        <f ca="1">IFERROR(__xludf.DUMMYFUNCTION("""COMPUTED_VALUE"""),"他在路上推着小车走。
")</f>
        <v xml:space="preserve">他在路上推着小车走。
</v>
      </c>
      <c r="I1181" s="13"/>
      <c r="J1181" s="13" t="str">
        <f ca="1">IFERROR(__xludf.DUMMYFUNCTION("""COMPUTED_VALUE"""),"Anh ấy đẩy xe nhỏ đi trên đường.")</f>
        <v>Anh ấy đẩy xe nhỏ đi trên đường.</v>
      </c>
      <c r="K1181" s="13" t="str">
        <f ca="1">IFERROR(__xludf.DUMMYFUNCTION("""COMPUTED_VALUE"""),"H4_B16_BG-15.png")</f>
        <v>H4_B16_BG-15.png</v>
      </c>
      <c r="L1181" s="13" t="str">
        <f ca="1">IFERROR(__xludf.DUMMYFUNCTION("""COMPUTED_VALUE"""),"B16_15.mp3")</f>
        <v>B16_15.mp3</v>
      </c>
      <c r="M1181" s="13" t="str">
        <f ca="1">IFERROR(__xludf.DUMMYFUNCTION("""COMPUTED_VALUE"""),"B16_VD_15.mp3")</f>
        <v>B16_VD_15.mp3</v>
      </c>
    </row>
    <row r="1182" spans="1:13">
      <c r="A1182" s="13">
        <f ca="1">IFERROR(__xludf.DUMMYFUNCTION("""COMPUTED_VALUE"""),16)</f>
        <v>16</v>
      </c>
      <c r="B1182" s="13"/>
      <c r="C1182" s="13" t="str">
        <f ca="1">IFERROR(__xludf.DUMMYFUNCTION("""COMPUTED_VALUE"""),"挂")</f>
        <v>挂</v>
      </c>
      <c r="D1182" s="13" t="str">
        <f ca="1">IFERROR(__xludf.DUMMYFUNCTION("""COMPUTED_VALUE"""),"&lt;ruby&gt;挂&lt;rt&gt;guà&lt;/rt&gt;&lt;/ruby&gt;")</f>
        <v>&lt;ruby&gt;挂&lt;rt&gt;guà&lt;/rt&gt;&lt;/ruby&gt;</v>
      </c>
      <c r="E1182" s="13" t="str">
        <f ca="1">IFERROR(__xludf.DUMMYFUNCTION("""COMPUTED_VALUE"""),"guà")</f>
        <v>guà</v>
      </c>
      <c r="F1182" s="13" t="str">
        <f ca="1">IFERROR(__xludf.DUMMYFUNCTION("""COMPUTED_VALUE"""),"Động từ")</f>
        <v>Động từ</v>
      </c>
      <c r="G1182" s="13" t="str">
        <f ca="1">IFERROR(__xludf.DUMMYFUNCTION("""COMPUTED_VALUE"""),"treo, móc")</f>
        <v>treo, móc</v>
      </c>
      <c r="H1182" s="13" t="str">
        <f ca="1">IFERROR(__xludf.DUMMYFUNCTION("""COMPUTED_VALUE"""),"我把毛巾挂在柱子上。")</f>
        <v>我把毛巾挂在柱子上。</v>
      </c>
      <c r="I1182" s="13"/>
      <c r="J1182" s="13" t="str">
        <f ca="1">IFERROR(__xludf.DUMMYFUNCTION("""COMPUTED_VALUE"""),"Tôi treo khăn lên cột.")</f>
        <v>Tôi treo khăn lên cột.</v>
      </c>
      <c r="K1182" s="13" t="str">
        <f ca="1">IFERROR(__xludf.DUMMYFUNCTION("""COMPUTED_VALUE"""),"H4_B16_BG-16.png")</f>
        <v>H4_B16_BG-16.png</v>
      </c>
      <c r="L1182" s="13" t="str">
        <f ca="1">IFERROR(__xludf.DUMMYFUNCTION("""COMPUTED_VALUE"""),"B16_16.mp3")</f>
        <v>B16_16.mp3</v>
      </c>
      <c r="M1182" s="13" t="str">
        <f ca="1">IFERROR(__xludf.DUMMYFUNCTION("""COMPUTED_VALUE"""),"B16_VD_16.mp3")</f>
        <v>B16_VD_16.mp3</v>
      </c>
    </row>
    <row r="1183" spans="1:13">
      <c r="A1183" s="13">
        <f ca="1">IFERROR(__xludf.DUMMYFUNCTION("""COMPUTED_VALUE"""),17)</f>
        <v>17</v>
      </c>
      <c r="B1183" s="13"/>
      <c r="C1183" s="13" t="str">
        <f ca="1">IFERROR(__xludf.DUMMYFUNCTION("""COMPUTED_VALUE"""),"激动")</f>
        <v>激动</v>
      </c>
      <c r="D1183" s="13" t="str">
        <f ca="1">IFERROR(__xludf.DUMMYFUNCTION("""COMPUTED_VALUE"""),"&lt;ruby&gt;激动&lt;rt&gt;jīdòng&lt;/rt&gt;&lt;/ruby&gt;")</f>
        <v>&lt;ruby&gt;激动&lt;rt&gt;jīdòng&lt;/rt&gt;&lt;/ruby&gt;</v>
      </c>
      <c r="E1183" s="13" t="str">
        <f ca="1">IFERROR(__xludf.DUMMYFUNCTION("""COMPUTED_VALUE"""),"jīdòng")</f>
        <v>jīdòng</v>
      </c>
      <c r="F1183" s="13" t="str">
        <f ca="1">IFERROR(__xludf.DUMMYFUNCTION("""COMPUTED_VALUE"""),"Tính từ")</f>
        <v>Tính từ</v>
      </c>
      <c r="G1183" s="13" t="str">
        <f ca="1">IFERROR(__xludf.DUMMYFUNCTION("""COMPUTED_VALUE"""),"cảm động, xúc động")</f>
        <v>cảm động, xúc động</v>
      </c>
      <c r="H1183" s="13" t="str">
        <f ca="1">IFERROR(__xludf.DUMMYFUNCTION("""COMPUTED_VALUE"""),"他激动得流下了眼泪。")</f>
        <v>他激动得流下了眼泪。</v>
      </c>
      <c r="I1183" s="13"/>
      <c r="J1183" s="13" t="str">
        <f ca="1">IFERROR(__xludf.DUMMYFUNCTION("""COMPUTED_VALUE"""),"Anh ấy xúc động đến rơi nước mắt.")</f>
        <v>Anh ấy xúc động đến rơi nước mắt.</v>
      </c>
      <c r="K1183" s="13" t="str">
        <f ca="1">IFERROR(__xludf.DUMMYFUNCTION("""COMPUTED_VALUE"""),"H4_B16_BG-17.png")</f>
        <v>H4_B16_BG-17.png</v>
      </c>
      <c r="L1183" s="13" t="str">
        <f ca="1">IFERROR(__xludf.DUMMYFUNCTION("""COMPUTED_VALUE"""),"B16_17.mp3")</f>
        <v>B16_17.mp3</v>
      </c>
      <c r="M1183" s="13" t="str">
        <f ca="1">IFERROR(__xludf.DUMMYFUNCTION("""COMPUTED_VALUE"""),"B16_VD_17.mp3")</f>
        <v>B16_VD_17.mp3</v>
      </c>
    </row>
    <row r="1184" spans="1:13">
      <c r="A1184" s="13">
        <f ca="1">IFERROR(__xludf.DUMMYFUNCTION("""COMPUTED_VALUE"""),18)</f>
        <v>18</v>
      </c>
      <c r="B1184" s="13"/>
      <c r="C1184" s="13" t="str">
        <f ca="1">IFERROR(__xludf.DUMMYFUNCTION("""COMPUTED_VALUE"""),"小伙子")</f>
        <v>小伙子</v>
      </c>
      <c r="D1184" s="13" t="str">
        <f ca="1">IFERROR(__xludf.DUMMYFUNCTION("""COMPUTED_VALUE"""),"&lt;ruby&gt;小伙子&lt;rt&gt;xiǎohuǒzi&lt;/rt&gt;&lt;/ruby&gt;")</f>
        <v>&lt;ruby&gt;小伙子&lt;rt&gt;xiǎohuǒzi&lt;/rt&gt;&lt;/ruby&gt;</v>
      </c>
      <c r="E1184" s="13" t="str">
        <f ca="1">IFERROR(__xludf.DUMMYFUNCTION("""COMPUTED_VALUE"""),"xiǎohuǒzi")</f>
        <v>xiǎohuǒzi</v>
      </c>
      <c r="F1184" s="13" t="str">
        <f ca="1">IFERROR(__xludf.DUMMYFUNCTION("""COMPUTED_VALUE"""),"Danh từ")</f>
        <v>Danh từ</v>
      </c>
      <c r="G1184" s="13" t="str">
        <f ca="1">IFERROR(__xludf.DUMMYFUNCTION("""COMPUTED_VALUE"""),"chàng trai")</f>
        <v>chàng trai</v>
      </c>
      <c r="H1184" s="13" t="str">
        <f ca="1">IFERROR(__xludf.DUMMYFUNCTION("""COMPUTED_VALUE"""),"这个小伙子是一名优秀的医生。")</f>
        <v>这个小伙子是一名优秀的医生。</v>
      </c>
      <c r="I1184" s="13"/>
      <c r="J1184" s="13" t="str">
        <f ca="1">IFERROR(__xludf.DUMMYFUNCTION("""COMPUTED_VALUE"""),"Chàng trai này là một bác sĩ giỏi.")</f>
        <v>Chàng trai này là một bác sĩ giỏi.</v>
      </c>
      <c r="K1184" s="13" t="str">
        <f ca="1">IFERROR(__xludf.DUMMYFUNCTION("""COMPUTED_VALUE"""),"H4_B16_BG-18.png")</f>
        <v>H4_B16_BG-18.png</v>
      </c>
      <c r="L1184" s="13" t="str">
        <f ca="1">IFERROR(__xludf.DUMMYFUNCTION("""COMPUTED_VALUE"""),"B16_18.mp3")</f>
        <v>B16_18.mp3</v>
      </c>
      <c r="M1184" s="13" t="str">
        <f ca="1">IFERROR(__xludf.DUMMYFUNCTION("""COMPUTED_VALUE"""),"B16_VD_18.mp3")</f>
        <v>B16_VD_18.mp3</v>
      </c>
    </row>
    <row r="1185" spans="1:13">
      <c r="A1185" s="13">
        <f ca="1">IFERROR(__xludf.DUMMYFUNCTION("""COMPUTED_VALUE"""),19)</f>
        <v>19</v>
      </c>
      <c r="B1185" s="13"/>
      <c r="C1185" s="13" t="str">
        <f ca="1">IFERROR(__xludf.DUMMYFUNCTION("""COMPUTED_VALUE"""),"恐怕")</f>
        <v>恐怕</v>
      </c>
      <c r="D1185" s="13" t="str">
        <f ca="1">IFERROR(__xludf.DUMMYFUNCTION("""COMPUTED_VALUE"""),"&lt;ruby&gt;恐怕&lt;rt&gt;kǒngpà&lt;/rt&gt;&lt;/ruby&gt;")</f>
        <v>&lt;ruby&gt;恐怕&lt;rt&gt;kǒngpà&lt;/rt&gt;&lt;/ruby&gt;</v>
      </c>
      <c r="E1185" s="13" t="str">
        <f ca="1">IFERROR(__xludf.DUMMYFUNCTION("""COMPUTED_VALUE"""),"kǒngpà")</f>
        <v>kǒngpà</v>
      </c>
      <c r="F1185" s="13" t="str">
        <f ca="1">IFERROR(__xludf.DUMMYFUNCTION("""COMPUTED_VALUE"""),"Phó từ")</f>
        <v>Phó từ</v>
      </c>
      <c r="G1185" s="13" t="str">
        <f ca="1">IFERROR(__xludf.DUMMYFUNCTION("""COMPUTED_VALUE"""),"e rằng, có lẽ")</f>
        <v>e rằng, có lẽ</v>
      </c>
      <c r="H1185" s="13" t="str">
        <f ca="1">IFERROR(__xludf.DUMMYFUNCTION("""COMPUTED_VALUE"""),"恐怕明天会下雨。")</f>
        <v>恐怕明天会下雨。</v>
      </c>
      <c r="I1185" s="13"/>
      <c r="J1185" s="13" t="str">
        <f ca="1">IFERROR(__xludf.DUMMYFUNCTION("""COMPUTED_VALUE"""),"Tôi e rằng ngày mai sẽ mưa.")</f>
        <v>Tôi e rằng ngày mai sẽ mưa.</v>
      </c>
      <c r="K1185" s="13" t="str">
        <f ca="1">IFERROR(__xludf.DUMMYFUNCTION("""COMPUTED_VALUE"""),"H4_B16_BG-19.png")</f>
        <v>H4_B16_BG-19.png</v>
      </c>
      <c r="L1185" s="13" t="str">
        <f ca="1">IFERROR(__xludf.DUMMYFUNCTION("""COMPUTED_VALUE"""),"B16_19.mp3")</f>
        <v>B16_19.mp3</v>
      </c>
      <c r="M1185" s="13" t="str">
        <f ca="1">IFERROR(__xludf.DUMMYFUNCTION("""COMPUTED_VALUE"""),"B16_VD_19.mp3")</f>
        <v>B16_VD_19.mp3</v>
      </c>
    </row>
    <row r="1186" spans="1:13">
      <c r="A1186" s="13">
        <f ca="1">IFERROR(__xludf.DUMMYFUNCTION("""COMPUTED_VALUE"""),20)</f>
        <v>20</v>
      </c>
      <c r="B1186" s="13"/>
      <c r="C1186" s="13" t="str">
        <f ca="1">IFERROR(__xludf.DUMMYFUNCTION("""COMPUTED_VALUE"""),"失望")</f>
        <v>失望</v>
      </c>
      <c r="D1186" s="13" t="str">
        <f ca="1">IFERROR(__xludf.DUMMYFUNCTION("""COMPUTED_VALUE"""),"&lt;ruby&gt;失望&lt;rt&gt;shīwàng&lt;/rt&gt;&lt;/ruby&gt;")</f>
        <v>&lt;ruby&gt;失望&lt;rt&gt;shīwàng&lt;/rt&gt;&lt;/ruby&gt;</v>
      </c>
      <c r="E1186" s="13" t="str">
        <f ca="1">IFERROR(__xludf.DUMMYFUNCTION("""COMPUTED_VALUE"""),"shīwàng")</f>
        <v>shīwàng</v>
      </c>
      <c r="F1186" s="13" t="str">
        <f ca="1">IFERROR(__xludf.DUMMYFUNCTION("""COMPUTED_VALUE"""),"Động từ")</f>
        <v>Động từ</v>
      </c>
      <c r="G1186" s="13" t="str">
        <f ca="1">IFERROR(__xludf.DUMMYFUNCTION("""COMPUTED_VALUE"""),"thất vọng")</f>
        <v>thất vọng</v>
      </c>
      <c r="H1186" s="13" t="str">
        <f ca="1">IFERROR(__xludf.DUMMYFUNCTION("""COMPUTED_VALUE"""),"这道菜没有让我失望。")</f>
        <v>这道菜没有让我失望。</v>
      </c>
      <c r="I1186" s="13"/>
      <c r="J1186" s="13" t="str">
        <f ca="1">IFERROR(__xludf.DUMMYFUNCTION("""COMPUTED_VALUE"""),"Món ăn này không làm tôi thất vọng.")</f>
        <v>Món ăn này không làm tôi thất vọng.</v>
      </c>
      <c r="K1186" s="13" t="str">
        <f ca="1">IFERROR(__xludf.DUMMYFUNCTION("""COMPUTED_VALUE"""),"H4_B16_BG-20.png")</f>
        <v>H4_B16_BG-20.png</v>
      </c>
      <c r="L1186" s="13" t="str">
        <f ca="1">IFERROR(__xludf.DUMMYFUNCTION("""COMPUTED_VALUE"""),"B16_20.mp3")</f>
        <v>B16_20.mp3</v>
      </c>
      <c r="M1186" s="13" t="str">
        <f ca="1">IFERROR(__xludf.DUMMYFUNCTION("""COMPUTED_VALUE"""),"B16_VD_20.mp3")</f>
        <v>B16_VD_20.mp3</v>
      </c>
    </row>
    <row r="1187" spans="1:13">
      <c r="A1187" s="13">
        <f ca="1">IFERROR(__xludf.DUMMYFUNCTION("""COMPUTED_VALUE"""),21)</f>
        <v>21</v>
      </c>
      <c r="B1187" s="13"/>
      <c r="C1187" s="13" t="str">
        <f ca="1">IFERROR(__xludf.DUMMYFUNCTION("""COMPUTED_VALUE"""),"到底")</f>
        <v>到底</v>
      </c>
      <c r="D1187" s="13" t="str">
        <f ca="1">IFERROR(__xludf.DUMMYFUNCTION("""COMPUTED_VALUE"""),"&lt;ruby&gt;到底&lt;rt&gt;dàodǐ&lt;/rt&gt;&lt;/ruby&gt;")</f>
        <v>&lt;ruby&gt;到底&lt;rt&gt;dàodǐ&lt;/rt&gt;&lt;/ruby&gt;</v>
      </c>
      <c r="E1187" s="13" t="str">
        <f ca="1">IFERROR(__xludf.DUMMYFUNCTION("""COMPUTED_VALUE"""),"dàodǐ")</f>
        <v>dàodǐ</v>
      </c>
      <c r="F1187" s="13" t="str">
        <f ca="1">IFERROR(__xludf.DUMMYFUNCTION("""COMPUTED_VALUE"""),"Phó từ")</f>
        <v>Phó từ</v>
      </c>
      <c r="G1187" s="13" t="str">
        <f ca="1">IFERROR(__xludf.DUMMYFUNCTION("""COMPUTED_VALUE"""),"(được dùng trong câu hỏi để nhấn mạnh) rốt cuộc")</f>
        <v>(được dùng trong câu hỏi để nhấn mạnh) rốt cuộc</v>
      </c>
      <c r="H1187" s="13" t="str">
        <f ca="1">IFERROR(__xludf.DUMMYFUNCTION("""COMPUTED_VALUE"""),"这道题到底该怎么解呢？")</f>
        <v>这道题到底该怎么解呢？</v>
      </c>
      <c r="I1187" s="13"/>
      <c r="J1187" s="13" t="str">
        <f ca="1">IFERROR(__xludf.DUMMYFUNCTION("""COMPUTED_VALUE"""),"Rốt cuộc bài này phải giải thế nào đây?")</f>
        <v>Rốt cuộc bài này phải giải thế nào đây?</v>
      </c>
      <c r="K1187" s="13" t="str">
        <f ca="1">IFERROR(__xludf.DUMMYFUNCTION("""COMPUTED_VALUE"""),"H4_B16_BG-21.png")</f>
        <v>H4_B16_BG-21.png</v>
      </c>
      <c r="L1187" s="13" t="str">
        <f ca="1">IFERROR(__xludf.DUMMYFUNCTION("""COMPUTED_VALUE"""),"B16_21.mp3")</f>
        <v>B16_21.mp3</v>
      </c>
      <c r="M1187" s="13" t="str">
        <f ca="1">IFERROR(__xludf.DUMMYFUNCTION("""COMPUTED_VALUE"""),"B16_VD_21.mp3")</f>
        <v>B16_VD_21.mp3</v>
      </c>
    </row>
    <row r="1188" spans="1:13">
      <c r="A1188" s="13">
        <f ca="1">IFERROR(__xludf.DUMMYFUNCTION("""COMPUTED_VALUE"""),22)</f>
        <v>22</v>
      </c>
      <c r="B1188" s="13"/>
      <c r="C1188" s="13" t="str">
        <f ca="1">IFERROR(__xludf.DUMMYFUNCTION("""COMPUTED_VALUE"""),"呀")</f>
        <v>呀</v>
      </c>
      <c r="D1188" s="13" t="str">
        <f ca="1">IFERROR(__xludf.DUMMYFUNCTION("""COMPUTED_VALUE"""),"&lt;ruby&gt;呀&lt;rt&gt;ya&lt;/rt&gt;&lt;/ruby&gt;")</f>
        <v>&lt;ruby&gt;呀&lt;rt&gt;ya&lt;/rt&gt;&lt;/ruby&gt;</v>
      </c>
      <c r="E1188" s="13" t="str">
        <f ca="1">IFERROR(__xludf.DUMMYFUNCTION("""COMPUTED_VALUE"""),"ya")</f>
        <v>ya</v>
      </c>
      <c r="F1188" s="13" t="str">
        <f ca="1">IFERROR(__xludf.DUMMYFUNCTION("""COMPUTED_VALUE"""),"Trợ từ")</f>
        <v>Trợ từ</v>
      </c>
      <c r="G1188" s="13" t="str">
        <f ca="1">IFERROR(__xludf.DUMMYFUNCTION("""COMPUTED_VALUE"""),"(một biến thể của thán từ 啊, được dùng ở cuối câu hỏi để làm cho giọng điệu trở nên nhẹ nhàng hơn)")</f>
        <v>(một biến thể của thán từ 啊, được dùng ở cuối câu hỏi để làm cho giọng điệu trở nên nhẹ nhàng hơn)</v>
      </c>
      <c r="H1188" s="13" t="str">
        <f ca="1">IFERROR(__xludf.DUMMYFUNCTION("""COMPUTED_VALUE"""),"呀，我忘带钥匙了！")</f>
        <v>呀，我忘带钥匙了！</v>
      </c>
      <c r="I1188" s="13"/>
      <c r="J1188" s="13" t="str">
        <f ca="1">IFERROR(__xludf.DUMMYFUNCTION("""COMPUTED_VALUE"""),"A, tôi quên mang chìa khóa rồi!")</f>
        <v>A, tôi quên mang chìa khóa rồi!</v>
      </c>
      <c r="K1188" s="13" t="str">
        <f ca="1">IFERROR(__xludf.DUMMYFUNCTION("""COMPUTED_VALUE"""),"H4_B16_BG-22.png")</f>
        <v>H4_B16_BG-22.png</v>
      </c>
      <c r="L1188" s="13" t="str">
        <f ca="1">IFERROR(__xludf.DUMMYFUNCTION("""COMPUTED_VALUE"""),"B16_22.mp3")</f>
        <v>B16_22.mp3</v>
      </c>
      <c r="M1188" s="13" t="str">
        <f ca="1">IFERROR(__xludf.DUMMYFUNCTION("""COMPUTED_VALUE"""),"B16_VD_22.mp3")</f>
        <v>B16_VD_22.mp3</v>
      </c>
    </row>
    <row r="1189" spans="1:13">
      <c r="A1189" s="13">
        <f ca="1">IFERROR(__xludf.DUMMYFUNCTION("""COMPUTED_VALUE"""),23)</f>
        <v>23</v>
      </c>
      <c r="B1189" s="13"/>
      <c r="C1189" s="13" t="str">
        <f ca="1">IFERROR(__xludf.DUMMYFUNCTION("""COMPUTED_VALUE"""),"礼貌")</f>
        <v>礼貌</v>
      </c>
      <c r="D1189" s="13" t="str">
        <f ca="1">IFERROR(__xludf.DUMMYFUNCTION("""COMPUTED_VALUE"""),"&lt;ruby&gt;礼貌&lt;rt&gt;lǐmào&lt;/rt&gt;&lt;/ruby&gt;")</f>
        <v>&lt;ruby&gt;礼貌&lt;rt&gt;lǐmào&lt;/rt&gt;&lt;/ruby&gt;</v>
      </c>
      <c r="E1189" s="13" t="str">
        <f ca="1">IFERROR(__xludf.DUMMYFUNCTION("""COMPUTED_VALUE"""),"lǐmào")</f>
        <v>lǐmào</v>
      </c>
      <c r="F1189" s="13" t="str">
        <f ca="1">IFERROR(__xludf.DUMMYFUNCTION("""COMPUTED_VALUE"""),"Tính từ")</f>
        <v>Tính từ</v>
      </c>
      <c r="G1189" s="13" t="str">
        <f ca="1">IFERROR(__xludf.DUMMYFUNCTION("""COMPUTED_VALUE"""),"lễ phép, lịch sự")</f>
        <v>lễ phép, lịch sự</v>
      </c>
      <c r="H1189" s="13" t="str">
        <f ca="1">IFERROR(__xludf.DUMMYFUNCTION("""COMPUTED_VALUE"""),"他是一个很有礼貌的人。")</f>
        <v>他是一个很有礼貌的人。</v>
      </c>
      <c r="I1189" s="13"/>
      <c r="J1189" s="13" t="str">
        <f ca="1">IFERROR(__xludf.DUMMYFUNCTION("""COMPUTED_VALUE"""),"Ông ấy là một người lịch thiệp.")</f>
        <v>Ông ấy là một người lịch thiệp.</v>
      </c>
      <c r="K1189" s="13" t="str">
        <f ca="1">IFERROR(__xludf.DUMMYFUNCTION("""COMPUTED_VALUE"""),"H4_B16_BG-23.png")</f>
        <v>H4_B16_BG-23.png</v>
      </c>
      <c r="L1189" s="13" t="str">
        <f ca="1">IFERROR(__xludf.DUMMYFUNCTION("""COMPUTED_VALUE"""),"B16_23.mp3")</f>
        <v>B16_23.mp3</v>
      </c>
      <c r="M1189" s="13" t="str">
        <f ca="1">IFERROR(__xludf.DUMMYFUNCTION("""COMPUTED_VALUE"""),"B16_VD_23.mp3")</f>
        <v>B16_VD_23.mp3</v>
      </c>
    </row>
    <row r="1190" spans="1:13">
      <c r="A1190" s="13">
        <f ca="1">IFERROR(__xludf.DUMMYFUNCTION("""COMPUTED_VALUE"""),24)</f>
        <v>24</v>
      </c>
      <c r="B1190" s="13"/>
      <c r="C1190" s="13" t="str">
        <f ca="1">IFERROR(__xludf.DUMMYFUNCTION("""COMPUTED_VALUE"""),"原谅")</f>
        <v>原谅</v>
      </c>
      <c r="D1190" s="13" t="str">
        <f ca="1">IFERROR(__xludf.DUMMYFUNCTION("""COMPUTED_VALUE"""),"&lt;ruby&gt;原谅&lt;rt&gt;yuánliàng&lt;/rt&gt;&lt;/ruby&gt;")</f>
        <v>&lt;ruby&gt;原谅&lt;rt&gt;yuánliàng&lt;/rt&gt;&lt;/ruby&gt;</v>
      </c>
      <c r="E1190" s="13" t="str">
        <f ca="1">IFERROR(__xludf.DUMMYFUNCTION("""COMPUTED_VALUE"""),"yuánliàng")</f>
        <v>yuánliàng</v>
      </c>
      <c r="F1190" s="13" t="str">
        <f ca="1">IFERROR(__xludf.DUMMYFUNCTION("""COMPUTED_VALUE"""),"Động từ")</f>
        <v>Động từ</v>
      </c>
      <c r="G1190" s="13" t="str">
        <f ca="1">IFERROR(__xludf.DUMMYFUNCTION("""COMPUTED_VALUE"""),"tha thứ")</f>
        <v>tha thứ</v>
      </c>
      <c r="H1190" s="13" t="str">
        <f ca="1">IFERROR(__xludf.DUMMYFUNCTION("""COMPUTED_VALUE"""),"妈妈总是很宽容，原谅我的错误。")</f>
        <v>妈妈总是很宽容，原谅我的错误。</v>
      </c>
      <c r="I1190" s="13"/>
      <c r="J1190" s="13" t="str">
        <f ca="1">IFERROR(__xludf.DUMMYFUNCTION("""COMPUTED_VALUE"""),"Mẹ luôn là người đấy lòng vị tha và tha thứ cho những lỗi của tôi.")</f>
        <v>Mẹ luôn là người đấy lòng vị tha và tha thứ cho những lỗi của tôi.</v>
      </c>
      <c r="K1190" s="13" t="str">
        <f ca="1">IFERROR(__xludf.DUMMYFUNCTION("""COMPUTED_VALUE"""),"H4_B16_BG-24.png")</f>
        <v>H4_B16_BG-24.png</v>
      </c>
      <c r="L1190" s="13" t="str">
        <f ca="1">IFERROR(__xludf.DUMMYFUNCTION("""COMPUTED_VALUE"""),"B16_24.mp3")</f>
        <v>B16_24.mp3</v>
      </c>
      <c r="M1190" s="13" t="str">
        <f ca="1">IFERROR(__xludf.DUMMYFUNCTION("""COMPUTED_VALUE"""),"B16_VD_24.mp3")</f>
        <v>B16_VD_24.mp3</v>
      </c>
    </row>
    <row r="1191" spans="1:13">
      <c r="A1191" s="13">
        <f ca="1">IFERROR(__xludf.DUMMYFUNCTION("""COMPUTED_VALUE"""),25)</f>
        <v>25</v>
      </c>
      <c r="B1191" s="13"/>
      <c r="C1191" s="13" t="str">
        <f ca="1">IFERROR(__xludf.DUMMYFUNCTION("""COMPUTED_VALUE"""),"同情")</f>
        <v>同情</v>
      </c>
      <c r="D1191" s="13" t="str">
        <f ca="1">IFERROR(__xludf.DUMMYFUNCTION("""COMPUTED_VALUE"""),"&lt;ruby&gt;同情&lt;rt&gt;tóngqíng&lt;/rt&gt;&lt;/ruby&gt;")</f>
        <v>&lt;ruby&gt;同情&lt;rt&gt;tóngqíng&lt;/rt&gt;&lt;/ruby&gt;</v>
      </c>
      <c r="E1191" s="13" t="str">
        <f ca="1">IFERROR(__xludf.DUMMYFUNCTION("""COMPUTED_VALUE"""),"tóngqíng")</f>
        <v>tóngqíng</v>
      </c>
      <c r="F1191" s="13" t="str">
        <f ca="1">IFERROR(__xludf.DUMMYFUNCTION("""COMPUTED_VALUE"""),"Động từ")</f>
        <v>Động từ</v>
      </c>
      <c r="G1191" s="13" t="str">
        <f ca="1">IFERROR(__xludf.DUMMYFUNCTION("""COMPUTED_VALUE"""),"thông cảm, đồng tình")</f>
        <v>thông cảm, đồng tình</v>
      </c>
      <c r="H1191" s="13" t="str">
        <f ca="1">IFERROR(__xludf.DUMMYFUNCTION("""COMPUTED_VALUE"""),"他很自私，从不同情别人。")</f>
        <v>他很自私，从不同情别人。</v>
      </c>
      <c r="I1191" s="13"/>
      <c r="J1191" s="13" t="str">
        <f ca="1">IFERROR(__xludf.DUMMYFUNCTION("""COMPUTED_VALUE"""),"Anh ấy ích kỷ và không bao giờ thông cảm cho người khác.")</f>
        <v>Anh ấy ích kỷ và không bao giờ thông cảm cho người khác.</v>
      </c>
      <c r="K1191" s="13" t="str">
        <f ca="1">IFERROR(__xludf.DUMMYFUNCTION("""COMPUTED_VALUE"""),"H4_B16_BG-25.png")</f>
        <v>H4_B16_BG-25.png</v>
      </c>
      <c r="L1191" s="13" t="str">
        <f ca="1">IFERROR(__xludf.DUMMYFUNCTION("""COMPUTED_VALUE"""),"B16_25.mp3")</f>
        <v>B16_25.mp3</v>
      </c>
      <c r="M1191" s="13" t="str">
        <f ca="1">IFERROR(__xludf.DUMMYFUNCTION("""COMPUTED_VALUE"""),"B16_VD_25.mp3")</f>
        <v>B16_VD_25.mp3</v>
      </c>
    </row>
    <row r="1192" spans="1:13">
      <c r="A1192" s="13">
        <f ca="1">IFERROR(__xludf.DUMMYFUNCTION("""COMPUTED_VALUE"""),26)</f>
        <v>26</v>
      </c>
      <c r="B1192" s="13"/>
      <c r="C1192" s="13" t="str">
        <f ca="1">IFERROR(__xludf.DUMMYFUNCTION("""COMPUTED_VALUE"""),"马虎")</f>
        <v>马虎</v>
      </c>
      <c r="D1192" s="13" t="str">
        <f ca="1">IFERROR(__xludf.DUMMYFUNCTION("""COMPUTED_VALUE"""),"&lt;ruby&gt;马虎&lt;rt&gt;mǎhu&lt;/rt&gt;&lt;/ruby&gt;")</f>
        <v>&lt;ruby&gt;马虎&lt;rt&gt;mǎhu&lt;/rt&gt;&lt;/ruby&gt;</v>
      </c>
      <c r="E1192" s="13" t="str">
        <f ca="1">IFERROR(__xludf.DUMMYFUNCTION("""COMPUTED_VALUE"""),"mǎhu")</f>
        <v>mǎhu</v>
      </c>
      <c r="F1192" s="13" t="str">
        <f ca="1">IFERROR(__xludf.DUMMYFUNCTION("""COMPUTED_VALUE"""),"Tính từ")</f>
        <v>Tính từ</v>
      </c>
      <c r="G1192" s="13" t="str">
        <f ca="1">IFERROR(__xludf.DUMMYFUNCTION("""COMPUTED_VALUE"""),"cẩu thả, lơ đễnh")</f>
        <v>cẩu thả, lơ đễnh</v>
      </c>
      <c r="H1192" s="13" t="str">
        <f ca="1">IFERROR(__xludf.DUMMYFUNCTION("""COMPUTED_VALUE"""),"因为马虎，我受伤了。")</f>
        <v>因为马虎，我受伤了。</v>
      </c>
      <c r="I1192" s="13"/>
      <c r="J1192" s="13" t="str">
        <f ca="1">IFERROR(__xludf.DUMMYFUNCTION("""COMPUTED_VALUE"""),"Do cẩu thả mà tôi bị thương.")</f>
        <v>Do cẩu thả mà tôi bị thương.</v>
      </c>
      <c r="K1192" s="13" t="str">
        <f ca="1">IFERROR(__xludf.DUMMYFUNCTION("""COMPUTED_VALUE"""),"H4_B16_BG-26.png")</f>
        <v>H4_B16_BG-26.png</v>
      </c>
      <c r="L1192" s="13" t="str">
        <f ca="1">IFERROR(__xludf.DUMMYFUNCTION("""COMPUTED_VALUE"""),"B16_26.mp3")</f>
        <v>B16_26.mp3</v>
      </c>
      <c r="M1192" s="13" t="str">
        <f ca="1">IFERROR(__xludf.DUMMYFUNCTION("""COMPUTED_VALUE"""),"B16_VD_26.mp3")</f>
        <v>B16_VD_26.mp3</v>
      </c>
    </row>
    <row r="1193" spans="1:13">
      <c r="A1193" s="13">
        <f ca="1">IFERROR(__xludf.DUMMYFUNCTION("""COMPUTED_VALUE"""),27)</f>
        <v>27</v>
      </c>
      <c r="B1193" s="13"/>
      <c r="C1193" s="13" t="str">
        <f ca="1">IFERROR(__xludf.DUMMYFUNCTION("""COMPUTED_VALUE"""),"自信")</f>
        <v>自信</v>
      </c>
      <c r="D1193" s="13" t="str">
        <f ca="1">IFERROR(__xludf.DUMMYFUNCTION("""COMPUTED_VALUE"""),"&lt;ruby&gt;自信&lt;rt&gt;zìxìn&lt;/rt&gt;&lt;/ruby&gt;")</f>
        <v>&lt;ruby&gt;自信&lt;rt&gt;zìxìn&lt;/rt&gt;&lt;/ruby&gt;</v>
      </c>
      <c r="E1193" s="13" t="str">
        <f ca="1">IFERROR(__xludf.DUMMYFUNCTION("""COMPUTED_VALUE"""),"zìxìn")</f>
        <v>zìxìn</v>
      </c>
      <c r="F1193" s="13" t="str">
        <f ca="1">IFERROR(__xludf.DUMMYFUNCTION("""COMPUTED_VALUE"""),"Tính từ")</f>
        <v>Tính từ</v>
      </c>
      <c r="G1193" s="13" t="str">
        <f ca="1">IFERROR(__xludf.DUMMYFUNCTION("""COMPUTED_VALUE"""),"tự tin")</f>
        <v>tự tin</v>
      </c>
      <c r="H1193" s="13" t="str">
        <f ca="1">IFERROR(__xludf.DUMMYFUNCTION("""COMPUTED_VALUE"""),"我正在努力学习每天都更加自信。")</f>
        <v>我正在努力学习每天都更加自信。</v>
      </c>
      <c r="I1193" s="13"/>
      <c r="J1193" s="13" t="str">
        <f ca="1">IFERROR(__xludf.DUMMYFUNCTION("""COMPUTED_VALUE"""),"Tôi đang cố gắng để học cách tự tin mỗi ngày.")</f>
        <v>Tôi đang cố gắng để học cách tự tin mỗi ngày.</v>
      </c>
      <c r="K1193" s="13" t="str">
        <f ca="1">IFERROR(__xludf.DUMMYFUNCTION("""COMPUTED_VALUE"""),"H4_B16_BG-27.png")</f>
        <v>H4_B16_BG-27.png</v>
      </c>
      <c r="L1193" s="13" t="str">
        <f ca="1">IFERROR(__xludf.DUMMYFUNCTION("""COMPUTED_VALUE"""),"B16_27.mp3")</f>
        <v>B16_27.mp3</v>
      </c>
      <c r="M1193" s="13" t="str">
        <f ca="1">IFERROR(__xludf.DUMMYFUNCTION("""COMPUTED_VALUE"""),"B16_VD_27.mp3")</f>
        <v>B16_VD_27.mp3</v>
      </c>
    </row>
    <row r="1194" spans="1:13">
      <c r="A1194" s="13">
        <f ca="1">IFERROR(__xludf.DUMMYFUNCTION("""COMPUTED_VALUE"""),28)</f>
        <v>28</v>
      </c>
      <c r="B1194" s="13"/>
      <c r="C1194" s="13" t="str">
        <f ca="1">IFERROR(__xludf.DUMMYFUNCTION("""COMPUTED_VALUE"""),"冷静")</f>
        <v>冷静</v>
      </c>
      <c r="D1194" s="13" t="str">
        <f ca="1">IFERROR(__xludf.DUMMYFUNCTION("""COMPUTED_VALUE"""),"&lt;ruby&gt;冷静&lt;rt&gt;lěngjìng&lt;/rt&gt;&lt;/ruby&gt;")</f>
        <v>&lt;ruby&gt;冷静&lt;rt&gt;lěngjìng&lt;/rt&gt;&lt;/ruby&gt;</v>
      </c>
      <c r="E1194" s="13" t="str">
        <f ca="1">IFERROR(__xludf.DUMMYFUNCTION("""COMPUTED_VALUE"""),"lěngjìng")</f>
        <v>lěngjìng</v>
      </c>
      <c r="F1194" s="13" t="str">
        <f ca="1">IFERROR(__xludf.DUMMYFUNCTION("""COMPUTED_VALUE"""),"Tính từ")</f>
        <v>Tính từ</v>
      </c>
      <c r="G1194" s="13" t="str">
        <f ca="1">IFERROR(__xludf.DUMMYFUNCTION("""COMPUTED_VALUE"""),"bình tĩnh, điềm tĩnh")</f>
        <v>bình tĩnh, điềm tĩnh</v>
      </c>
      <c r="H1194" s="13" t="str">
        <f ca="1">IFERROR(__xludf.DUMMYFUNCTION("""COMPUTED_VALUE"""),"打坐是一种让我们更加冷静的方法。")</f>
        <v>打坐是一种让我们更加冷静的方法。</v>
      </c>
      <c r="I1194" s="13"/>
      <c r="J1194" s="13" t="str">
        <f ca="1">IFERROR(__xludf.DUMMYFUNCTION("""COMPUTED_VALUE"""),"Thiền là một cách giúp chúng ta điềm tĩnh hơn.")</f>
        <v>Thiền là một cách giúp chúng ta điềm tĩnh hơn.</v>
      </c>
      <c r="K1194" s="13" t="str">
        <f ca="1">IFERROR(__xludf.DUMMYFUNCTION("""COMPUTED_VALUE"""),"H4_B16_BG-28.png")</f>
        <v>H4_B16_BG-28.png</v>
      </c>
      <c r="L1194" s="13" t="str">
        <f ca="1">IFERROR(__xludf.DUMMYFUNCTION("""COMPUTED_VALUE"""),"B16_28.mp3")</f>
        <v>B16_28.mp3</v>
      </c>
      <c r="M1194" s="13" t="str">
        <f ca="1">IFERROR(__xludf.DUMMYFUNCTION("""COMPUTED_VALUE"""),"B16_VD_28.mp3")</f>
        <v>B16_VD_28.mp3</v>
      </c>
    </row>
    <row r="1195" spans="1:13">
      <c r="A1195" s="13">
        <f ca="1">IFERROR(__xludf.DUMMYFUNCTION("""COMPUTED_VALUE"""),29)</f>
        <v>29</v>
      </c>
      <c r="B1195" s="13"/>
      <c r="C1195" s="13" t="str">
        <f ca="1">IFERROR(__xludf.DUMMYFUNCTION("""COMPUTED_VALUE"""),"输")</f>
        <v>输</v>
      </c>
      <c r="D1195" s="13" t="str">
        <f ca="1">IFERROR(__xludf.DUMMYFUNCTION("""COMPUTED_VALUE"""),"&lt;ruby&gt;输&lt;rt&gt;shū&lt;/rt&gt;&lt;/ruby&gt;")</f>
        <v>&lt;ruby&gt;输&lt;rt&gt;shū&lt;/rt&gt;&lt;/ruby&gt;</v>
      </c>
      <c r="E1195" s="13" t="str">
        <f ca="1">IFERROR(__xludf.DUMMYFUNCTION("""COMPUTED_VALUE"""),"shū")</f>
        <v>shū</v>
      </c>
      <c r="F1195" s="13" t="str">
        <f ca="1">IFERROR(__xludf.DUMMYFUNCTION("""COMPUTED_VALUE"""),"Động từ")</f>
        <v>Động từ</v>
      </c>
      <c r="G1195" s="13" t="str">
        <f ca="1">IFERROR(__xludf.DUMMYFUNCTION("""COMPUTED_VALUE"""),"thua")</f>
        <v>thua</v>
      </c>
      <c r="H1195" s="13" t="str">
        <f ca="1">IFERROR(__xludf.DUMMYFUNCTION("""COMPUTED_VALUE"""),"兔子在赛跑中输给了乌龟。")</f>
        <v>兔子在赛跑中输给了乌龟。</v>
      </c>
      <c r="I1195" s="13"/>
      <c r="J1195" s="13" t="str">
        <f ca="1">IFERROR(__xludf.DUMMYFUNCTION("""COMPUTED_VALUE"""),"Thỏ đã thua rùa trong cuộc thi chạy.")</f>
        <v>Thỏ đã thua rùa trong cuộc thi chạy.</v>
      </c>
      <c r="K1195" s="13" t="str">
        <f ca="1">IFERROR(__xludf.DUMMYFUNCTION("""COMPUTED_VALUE"""),"H4_B16_BG-29.png")</f>
        <v>H4_B16_BG-29.png</v>
      </c>
      <c r="L1195" s="13" t="str">
        <f ca="1">IFERROR(__xludf.DUMMYFUNCTION("""COMPUTED_VALUE"""),"B16_29.mp3")</f>
        <v>B16_29.mp3</v>
      </c>
      <c r="M1195" s="13" t="str">
        <f ca="1">IFERROR(__xludf.DUMMYFUNCTION("""COMPUTED_VALUE"""),"B16_VD_29.mp3")</f>
        <v>B16_VD_29.mp3</v>
      </c>
    </row>
    <row r="1196" spans="1:13">
      <c r="A1196" s="13">
        <f ca="1">IFERROR(__xludf.DUMMYFUNCTION("""COMPUTED_VALUE"""),30)</f>
        <v>30</v>
      </c>
      <c r="B1196" s="13"/>
      <c r="C1196" s="13" t="str">
        <f ca="1">IFERROR(__xludf.DUMMYFUNCTION("""COMPUTED_VALUE"""),"敢")</f>
        <v>敢</v>
      </c>
      <c r="D1196" s="13" t="str">
        <f ca="1">IFERROR(__xludf.DUMMYFUNCTION("""COMPUTED_VALUE"""),"&lt;ruby&gt;敢&lt;rt&gt;gǎn&lt;/rt&gt;&lt;/ruby&gt;")</f>
        <v>&lt;ruby&gt;敢&lt;rt&gt;gǎn&lt;/rt&gt;&lt;/ruby&gt;</v>
      </c>
      <c r="E1196" s="13" t="str">
        <f ca="1">IFERROR(__xludf.DUMMYFUNCTION("""COMPUTED_VALUE"""),"gǎn")</f>
        <v>gǎn</v>
      </c>
      <c r="F1196" s="13" t="str">
        <f ca="1">IFERROR(__xludf.DUMMYFUNCTION("""COMPUTED_VALUE"""),"Động từ")</f>
        <v>Động từ</v>
      </c>
      <c r="G1196" s="13" t="str">
        <f ca="1">IFERROR(__xludf.DUMMYFUNCTION("""COMPUTED_VALUE"""),"dám")</f>
        <v>dám</v>
      </c>
      <c r="H1196" s="13" t="str">
        <f ca="1">IFERROR(__xludf.DUMMYFUNCTION("""COMPUTED_VALUE"""),"我不敢再做坏事了。")</f>
        <v>我不敢再做坏事了。</v>
      </c>
      <c r="I1196" s="13"/>
      <c r="J1196" s="13" t="str">
        <f ca="1">IFERROR(__xludf.DUMMYFUNCTION("""COMPUTED_VALUE"""),"Tôi không dám làm việc xấu nữa.")</f>
        <v>Tôi không dám làm việc xấu nữa.</v>
      </c>
      <c r="K1196" s="13" t="str">
        <f ca="1">IFERROR(__xludf.DUMMYFUNCTION("""COMPUTED_VALUE"""),"H4_B16_BG-30.png")</f>
        <v>H4_B16_BG-30.png</v>
      </c>
      <c r="L1196" s="13" t="str">
        <f ca="1">IFERROR(__xludf.DUMMYFUNCTION("""COMPUTED_VALUE"""),"B16_30.mp3")</f>
        <v>B16_30.mp3</v>
      </c>
      <c r="M1196" s="13" t="str">
        <f ca="1">IFERROR(__xludf.DUMMYFUNCTION("""COMPUTED_VALUE"""),"B16_VD_30.mp3")</f>
        <v>B16_VD_30.mp3</v>
      </c>
    </row>
    <row r="1197" spans="1:13">
      <c r="A1197" s="13">
        <f ca="1">IFERROR(__xludf.DUMMYFUNCTION("""COMPUTED_VALUE"""),31)</f>
        <v>31</v>
      </c>
      <c r="B1197" s="13"/>
      <c r="C1197" s="13" t="str">
        <f ca="1">IFERROR(__xludf.DUMMYFUNCTION("""COMPUTED_VALUE"""),"尊重")</f>
        <v>尊重</v>
      </c>
      <c r="D1197" s="13" t="str">
        <f ca="1">IFERROR(__xludf.DUMMYFUNCTION("""COMPUTED_VALUE"""),"&lt;ruby&gt;尊重&lt;rt&gt;zūnzhòng&lt;/rt&gt;&lt;/ruby&gt;")</f>
        <v>&lt;ruby&gt;尊重&lt;rt&gt;zūnzhòng&lt;/rt&gt;&lt;/ruby&gt;</v>
      </c>
      <c r="E1197" s="13" t="str">
        <f ca="1">IFERROR(__xludf.DUMMYFUNCTION("""COMPUTED_VALUE"""),"zūnzhòng")</f>
        <v>zūnzhòng</v>
      </c>
      <c r="F1197" s="13" t="str">
        <f ca="1">IFERROR(__xludf.DUMMYFUNCTION("""COMPUTED_VALUE"""),"Động từ")</f>
        <v>Động từ</v>
      </c>
      <c r="G1197" s="13" t="str">
        <f ca="1">IFERROR(__xludf.DUMMYFUNCTION("""COMPUTED_VALUE"""),"tôn trọng")</f>
        <v>tôn trọng</v>
      </c>
      <c r="H1197" s="13" t="str">
        <f ca="1">IFERROR(__xludf.DUMMYFUNCTION("""COMPUTED_VALUE"""),"我们始终尊重客户。")</f>
        <v>我们始终尊重客户。</v>
      </c>
      <c r="I1197" s="13"/>
      <c r="J1197" s="13" t="str">
        <f ca="1">IFERROR(__xludf.DUMMYFUNCTION("""COMPUTED_VALUE"""),"Chúng tôi luôn tôn trọng khách hàng.")</f>
        <v>Chúng tôi luôn tôn trọng khách hàng.</v>
      </c>
      <c r="K1197" s="13" t="str">
        <f ca="1">IFERROR(__xludf.DUMMYFUNCTION("""COMPUTED_VALUE"""),"H4_B16_BG-31.png")</f>
        <v>H4_B16_BG-31.png</v>
      </c>
      <c r="L1197" s="13" t="str">
        <f ca="1">IFERROR(__xludf.DUMMYFUNCTION("""COMPUTED_VALUE"""),"B16_31.mp3")</f>
        <v>B16_31.mp3</v>
      </c>
      <c r="M1197" s="13" t="str">
        <f ca="1">IFERROR(__xludf.DUMMYFUNCTION("""COMPUTED_VALUE"""),"B16_VD_31.mp3")</f>
        <v>B16_VD_31.mp3</v>
      </c>
    </row>
    <row r="1198" spans="1:13">
      <c r="A1198" s="13">
        <f ca="1">IFERROR(__xludf.DUMMYFUNCTION("""COMPUTED_VALUE"""),1)</f>
        <v>1</v>
      </c>
      <c r="B1198" s="13"/>
      <c r="C1198" s="13" t="str">
        <f ca="1">IFERROR(__xludf.DUMMYFUNCTION("""COMPUTED_VALUE"""),"凉快")</f>
        <v>凉快</v>
      </c>
      <c r="D1198" s="13" t="str">
        <f ca="1">IFERROR(__xludf.DUMMYFUNCTION("""COMPUTED_VALUE"""),"&lt;ruby&gt;凉快&lt;rt&gt;liángkuài&lt;/rt&gt;&lt;/ruby&gt;")</f>
        <v>&lt;ruby&gt;凉快&lt;rt&gt;liángkuài&lt;/rt&gt;&lt;/ruby&gt;</v>
      </c>
      <c r="E1198" s="13" t="str">
        <f ca="1">IFERROR(__xludf.DUMMYFUNCTION("""COMPUTED_VALUE"""),"liángkuài")</f>
        <v>liángkuài</v>
      </c>
      <c r="F1198" s="13" t="str">
        <f ca="1">IFERROR(__xludf.DUMMYFUNCTION("""COMPUTED_VALUE"""),"Tính từ")</f>
        <v>Tính từ</v>
      </c>
      <c r="G1198" s="13" t="str">
        <f ca="1">IFERROR(__xludf.DUMMYFUNCTION("""COMPUTED_VALUE"""),"mát mẻ")</f>
        <v>mát mẻ</v>
      </c>
      <c r="H1198" s="13" t="str">
        <f ca="1">IFERROR(__xludf.DUMMYFUNCTION("""COMPUTED_VALUE"""),"天气凉快，所以我决定去花园照顾花。")</f>
        <v>天气凉快，所以我决定去花园照顾花。</v>
      </c>
      <c r="I1198" s="13"/>
      <c r="J1198" s="13" t="str">
        <f ca="1">IFERROR(__xludf.DUMMYFUNCTION("""COMPUTED_VALUE"""),"Thời tiết mát mẻ nên tôi quyết định ra vườn chăm hoa.")</f>
        <v>Thời tiết mát mẻ nên tôi quyết định ra vườn chăm hoa.</v>
      </c>
      <c r="K1198" s="13" t="str">
        <f ca="1">IFERROR(__xludf.DUMMYFUNCTION("""COMPUTED_VALUE"""),"H4_B17_BG-01.png")</f>
        <v>H4_B17_BG-01.png</v>
      </c>
      <c r="L1198" s="13" t="str">
        <f ca="1">IFERROR(__xludf.DUMMYFUNCTION("""COMPUTED_VALUE"""),"B17_1.mp3")</f>
        <v>B17_1.mp3</v>
      </c>
      <c r="M1198" s="13" t="str">
        <f ca="1">IFERROR(__xludf.DUMMYFUNCTION("""COMPUTED_VALUE"""),"B17_VD_1.mp3")</f>
        <v>B17_VD_1.mp3</v>
      </c>
    </row>
    <row r="1199" spans="1:13">
      <c r="A1199" s="13">
        <f ca="1">IFERROR(__xludf.DUMMYFUNCTION("""COMPUTED_VALUE"""),2)</f>
        <v>2</v>
      </c>
      <c r="B1199" s="13"/>
      <c r="C1199" s="13" t="str">
        <f ca="1">IFERROR(__xludf.DUMMYFUNCTION("""COMPUTED_VALUE"""),"云")</f>
        <v>云</v>
      </c>
      <c r="D1199" s="13" t="str">
        <f ca="1">IFERROR(__xludf.DUMMYFUNCTION("""COMPUTED_VALUE"""),"&lt;ruby&gt;云&lt;rt&gt;yún&lt;/rt&gt;&lt;/ruby&gt;")</f>
        <v>&lt;ruby&gt;云&lt;rt&gt;yún&lt;/rt&gt;&lt;/ruby&gt;</v>
      </c>
      <c r="E1199" s="13" t="str">
        <f ca="1">IFERROR(__xludf.DUMMYFUNCTION("""COMPUTED_VALUE"""),"yún")</f>
        <v>yún</v>
      </c>
      <c r="F1199" s="13" t="str">
        <f ca="1">IFERROR(__xludf.DUMMYFUNCTION("""COMPUTED_VALUE"""),"Danh từ")</f>
        <v>Danh từ</v>
      </c>
      <c r="G1199" s="13" t="str">
        <f ca="1">IFERROR(__xludf.DUMMYFUNCTION("""COMPUTED_VALUE"""),"mây")</f>
        <v>mây</v>
      </c>
      <c r="H1199" s="13" t="str">
        <f ca="1">IFERROR(__xludf.DUMMYFUNCTION("""COMPUTED_VALUE"""),"今天天空有很多云，天气凉快舒适。")</f>
        <v>今天天空有很多云，天气凉快舒适。</v>
      </c>
      <c r="I1199" s="13"/>
      <c r="J1199" s="13" t="str">
        <f ca="1">IFERROR(__xludf.DUMMYFUNCTION("""COMPUTED_VALUE"""),"Hôm nay trời nhiều mây, thời tiết mát mẻ dễ chịu.")</f>
        <v>Hôm nay trời nhiều mây, thời tiết mát mẻ dễ chịu.</v>
      </c>
      <c r="K1199" s="13" t="str">
        <f ca="1">IFERROR(__xludf.DUMMYFUNCTION("""COMPUTED_VALUE"""),"H4_B17_BG-02.png")</f>
        <v>H4_B17_BG-02.png</v>
      </c>
      <c r="L1199" s="13" t="str">
        <f ca="1">IFERROR(__xludf.DUMMYFUNCTION("""COMPUTED_VALUE"""),"B17_2.mp3")</f>
        <v>B17_2.mp3</v>
      </c>
      <c r="M1199" s="13" t="str">
        <f ca="1">IFERROR(__xludf.DUMMYFUNCTION("""COMPUTED_VALUE"""),"B17_VD_2.mp3")</f>
        <v>B17_VD_2.mp3</v>
      </c>
    </row>
    <row r="1200" spans="1:13">
      <c r="A1200" s="13">
        <f ca="1">IFERROR(__xludf.DUMMYFUNCTION("""COMPUTED_VALUE"""),3)</f>
        <v>3</v>
      </c>
      <c r="B1200" s="13"/>
      <c r="C1200" s="13" t="str">
        <f ca="1">IFERROR(__xludf.DUMMYFUNCTION("""COMPUTED_VALUE"""),"森林")</f>
        <v>森林</v>
      </c>
      <c r="D1200" s="13" t="str">
        <f ca="1">IFERROR(__xludf.DUMMYFUNCTION("""COMPUTED_VALUE"""),"&lt;ruby&gt;森林&lt;rt&gt;sēnlín&lt;/rt&gt;&lt;/ruby&gt;")</f>
        <v>&lt;ruby&gt;森林&lt;rt&gt;sēnlín&lt;/rt&gt;&lt;/ruby&gt;</v>
      </c>
      <c r="E1200" s="13" t="str">
        <f ca="1">IFERROR(__xludf.DUMMYFUNCTION("""COMPUTED_VALUE"""),"sēnlín")</f>
        <v>sēnlín</v>
      </c>
      <c r="F1200" s="13" t="str">
        <f ca="1">IFERROR(__xludf.DUMMYFUNCTION("""COMPUTED_VALUE"""),"Danh từ")</f>
        <v>Danh từ</v>
      </c>
      <c r="G1200" s="13" t="str">
        <f ca="1">IFERROR(__xludf.DUMMYFUNCTION("""COMPUTED_VALUE"""),"rừng rậm")</f>
        <v>rừng rậm</v>
      </c>
      <c r="H1200" s="13" t="str">
        <f ca="1">IFERROR(__xludf.DUMMYFUNCTION("""COMPUTED_VALUE""")," 森林里有很多动物。")</f>
        <v xml:space="preserve"> 森林里有很多动物。</v>
      </c>
      <c r="I1200" s="13"/>
      <c r="J1200" s="13" t="str">
        <f ca="1">IFERROR(__xludf.DUMMYFUNCTION("""COMPUTED_VALUE"""),"Trong rừng có nhiều động vật.")</f>
        <v>Trong rừng có nhiều động vật.</v>
      </c>
      <c r="K1200" s="13" t="str">
        <f ca="1">IFERROR(__xludf.DUMMYFUNCTION("""COMPUTED_VALUE"""),"H4_B17_BG-03.png")</f>
        <v>H4_B17_BG-03.png</v>
      </c>
      <c r="L1200" s="13" t="str">
        <f ca="1">IFERROR(__xludf.DUMMYFUNCTION("""COMPUTED_VALUE"""),"B17_3.mp3")</f>
        <v>B17_3.mp3</v>
      </c>
      <c r="M1200" s="13" t="str">
        <f ca="1">IFERROR(__xludf.DUMMYFUNCTION("""COMPUTED_VALUE"""),"B17_VD_3.mp3")</f>
        <v>B17_VD_3.mp3</v>
      </c>
    </row>
    <row r="1201" spans="1:13">
      <c r="A1201" s="13">
        <f ca="1">IFERROR(__xludf.DUMMYFUNCTION("""COMPUTED_VALUE"""),4)</f>
        <v>4</v>
      </c>
      <c r="B1201" s="13"/>
      <c r="C1201" s="13" t="str">
        <f ca="1">IFERROR(__xludf.DUMMYFUNCTION("""COMPUTED_VALUE"""),"海洋")</f>
        <v>海洋</v>
      </c>
      <c r="D1201" s="13" t="str">
        <f ca="1">IFERROR(__xludf.DUMMYFUNCTION("""COMPUTED_VALUE"""),"&lt;ruby&gt;海洋&lt;rt&gt;hǎiyáng&lt;/rt&gt;&lt;/ruby&gt;")</f>
        <v>&lt;ruby&gt;海洋&lt;rt&gt;hǎiyáng&lt;/rt&gt;&lt;/ruby&gt;</v>
      </c>
      <c r="E1201" s="13" t="str">
        <f ca="1">IFERROR(__xludf.DUMMYFUNCTION("""COMPUTED_VALUE"""),"hǎiyáng")</f>
        <v>hǎiyáng</v>
      </c>
      <c r="F1201" s="13" t="str">
        <f ca="1">IFERROR(__xludf.DUMMYFUNCTION("""COMPUTED_VALUE"""),"Danh từ")</f>
        <v>Danh từ</v>
      </c>
      <c r="G1201" s="13" t="str">
        <f ca="1">IFERROR(__xludf.DUMMYFUNCTION("""COMPUTED_VALUE"""),"biển, đại dương")</f>
        <v>biển, đại dương</v>
      </c>
      <c r="H1201" s="13" t="str">
        <f ca="1">IFERROR(__xludf.DUMMYFUNCTION("""COMPUTED_VALUE"""),"海洋拥有丰富的资源。")</f>
        <v>海洋拥有丰富的资源。</v>
      </c>
      <c r="I1201" s="13"/>
      <c r="J1201" s="13" t="str">
        <f ca="1">IFERROR(__xludf.DUMMYFUNCTION("""COMPUTED_VALUE"""),"Biển có nguồn tài nguyên phong phú.")</f>
        <v>Biển có nguồn tài nguyên phong phú.</v>
      </c>
      <c r="K1201" s="13" t="str">
        <f ca="1">IFERROR(__xludf.DUMMYFUNCTION("""COMPUTED_VALUE"""),"H4_B17_BG-04.png")</f>
        <v>H4_B17_BG-04.png</v>
      </c>
      <c r="L1201" s="13" t="str">
        <f ca="1">IFERROR(__xludf.DUMMYFUNCTION("""COMPUTED_VALUE"""),"B17_4.mp3")</f>
        <v>B17_4.mp3</v>
      </c>
      <c r="M1201" s="13" t="str">
        <f ca="1">IFERROR(__xludf.DUMMYFUNCTION("""COMPUTED_VALUE"""),"B17_VD_4.mp3")</f>
        <v>B17_VD_4.mp3</v>
      </c>
    </row>
    <row r="1202" spans="1:13">
      <c r="A1202" s="13">
        <f ca="1">IFERROR(__xludf.DUMMYFUNCTION("""COMPUTED_VALUE"""),5)</f>
        <v>5</v>
      </c>
      <c r="B1202" s="13"/>
      <c r="C1202" s="13" t="str">
        <f ca="1">IFERROR(__xludf.DUMMYFUNCTION("""COMPUTED_VALUE"""),"美人鱼")</f>
        <v>美人鱼</v>
      </c>
      <c r="D1202" s="13" t="str">
        <f ca="1">IFERROR(__xludf.DUMMYFUNCTION("""COMPUTED_VALUE"""),"&lt;ruby&gt;美人鱼&lt;rt&gt;Měirényú&lt;/rt&gt;&lt;/ruby&gt;")</f>
        <v>&lt;ruby&gt;美人鱼&lt;rt&gt;Měirényú&lt;/rt&gt;&lt;/ruby&gt;</v>
      </c>
      <c r="E1202" s="13" t="str">
        <f ca="1">IFERROR(__xludf.DUMMYFUNCTION("""COMPUTED_VALUE"""),"Měirényú")</f>
        <v>Měirényú</v>
      </c>
      <c r="F1202" s="13" t="str">
        <f ca="1">IFERROR(__xludf.DUMMYFUNCTION("""COMPUTED_VALUE"""),"Danh từ")</f>
        <v>Danh từ</v>
      </c>
      <c r="G1202" s="13" t="str">
        <f ca="1">IFERROR(__xludf.DUMMYFUNCTION("""COMPUTED_VALUE"""),"người cá")</f>
        <v>người cá</v>
      </c>
      <c r="H1202" s="13" t="str">
        <f ca="1">IFERROR(__xludf.DUMMYFUNCTION("""COMPUTED_VALUE"""),"传说中的美人鱼外貌美丽，歌声动听。")</f>
        <v>传说中的美人鱼外貌美丽，歌声动听。</v>
      </c>
      <c r="I1202" s="13"/>
      <c r="J1202" s="13" t="str">
        <f ca="1">IFERROR(__xludf.DUMMYFUNCTION("""COMPUTED_VALUE"""),"Người cá trong truyền thuyết có vẻ ngoài xinh đẹp và giọng hát rất hay.")</f>
        <v>Người cá trong truyền thuyết có vẻ ngoài xinh đẹp và giọng hát rất hay.</v>
      </c>
      <c r="K1202" s="13" t="str">
        <f ca="1">IFERROR(__xludf.DUMMYFUNCTION("""COMPUTED_VALUE"""),"H4_B17_BG-05.png")</f>
        <v>H4_B17_BG-05.png</v>
      </c>
      <c r="L1202" s="13" t="str">
        <f ca="1">IFERROR(__xludf.DUMMYFUNCTION("""COMPUTED_VALUE"""),"B17_5.mp3")</f>
        <v>B17_5.mp3</v>
      </c>
      <c r="M1202" s="13" t="str">
        <f ca="1">IFERROR(__xludf.DUMMYFUNCTION("""COMPUTED_VALUE"""),"B17_VD_5.mp3")</f>
        <v>B17_VD_5.mp3</v>
      </c>
    </row>
    <row r="1203" spans="1:13">
      <c r="A1203" s="13">
        <f ca="1">IFERROR(__xludf.DUMMYFUNCTION("""COMPUTED_VALUE"""),6)</f>
        <v>6</v>
      </c>
      <c r="B1203" s="13"/>
      <c r="C1203" s="13" t="str">
        <f ca="1">IFERROR(__xludf.DUMMYFUNCTION("""COMPUTED_VALUE"""),"老虎")</f>
        <v>老虎</v>
      </c>
      <c r="D1203" s="13" t="str">
        <f ca="1">IFERROR(__xludf.DUMMYFUNCTION("""COMPUTED_VALUE"""),"&lt;ruby&gt;老虎&lt;rt&gt;lǎohǔ&lt;/rt&gt;&lt;/ruby&gt;")</f>
        <v>&lt;ruby&gt;老虎&lt;rt&gt;lǎohǔ&lt;/rt&gt;&lt;/ruby&gt;</v>
      </c>
      <c r="E1203" s="13" t="str">
        <f ca="1">IFERROR(__xludf.DUMMYFUNCTION("""COMPUTED_VALUE"""),"lǎohǔ")</f>
        <v>lǎohǔ</v>
      </c>
      <c r="F1203" s="13" t="str">
        <f ca="1">IFERROR(__xludf.DUMMYFUNCTION("""COMPUTED_VALUE"""),"Danh từ")</f>
        <v>Danh từ</v>
      </c>
      <c r="G1203" s="13" t="str">
        <f ca="1">IFERROR(__xludf.DUMMYFUNCTION("""COMPUTED_VALUE"""),"hổ, cọp")</f>
        <v>hổ, cọp</v>
      </c>
      <c r="H1203" s="13" t="str">
        <f ca="1">IFERROR(__xludf.DUMMYFUNCTION("""COMPUTED_VALUE"""),"老虎是一种非常凶猛的动物。")</f>
        <v>老虎是一种非常凶猛的动物。</v>
      </c>
      <c r="I1203" s="13"/>
      <c r="J1203" s="13" t="str">
        <f ca="1">IFERROR(__xludf.DUMMYFUNCTION("""COMPUTED_VALUE"""),"Hổ là một loài động vật rất hung dữ.")</f>
        <v>Hổ là một loài động vật rất hung dữ.</v>
      </c>
      <c r="K1203" s="13" t="str">
        <f ca="1">IFERROR(__xludf.DUMMYFUNCTION("""COMPUTED_VALUE"""),"H4_B17_BG-06.png")</f>
        <v>H4_B17_BG-06.png</v>
      </c>
      <c r="L1203" s="13" t="str">
        <f ca="1">IFERROR(__xludf.DUMMYFUNCTION("""COMPUTED_VALUE"""),"B17_6.mp3")</f>
        <v>B17_6.mp3</v>
      </c>
      <c r="M1203" s="13" t="str">
        <f ca="1">IFERROR(__xludf.DUMMYFUNCTION("""COMPUTED_VALUE"""),"B17_VD_6.mp3")</f>
        <v>B17_VD_6.mp3</v>
      </c>
    </row>
    <row r="1204" spans="1:13">
      <c r="A1204" s="13">
        <f ca="1">IFERROR(__xludf.DUMMYFUNCTION("""COMPUTED_VALUE"""),7)</f>
        <v>7</v>
      </c>
      <c r="B1204" s="13"/>
      <c r="C1204" s="13" t="str">
        <f ca="1">IFERROR(__xludf.DUMMYFUNCTION("""COMPUTED_VALUE"""),"公里")</f>
        <v>公里</v>
      </c>
      <c r="D1204" s="13" t="str">
        <f ca="1">IFERROR(__xludf.DUMMYFUNCTION("""COMPUTED_VALUE"""),"&lt;ruby&gt;公里&lt;rt&gt;gōnglǐ&lt;/rt&gt;&lt;/ruby&gt;")</f>
        <v>&lt;ruby&gt;公里&lt;rt&gt;gōnglǐ&lt;/rt&gt;&lt;/ruby&gt;</v>
      </c>
      <c r="E1204" s="13" t="str">
        <f ca="1">IFERROR(__xludf.DUMMYFUNCTION("""COMPUTED_VALUE"""),"gōnglǐ")</f>
        <v>gōnglǐ</v>
      </c>
      <c r="F1204" s="13" t="str">
        <f ca="1">IFERROR(__xludf.DUMMYFUNCTION("""COMPUTED_VALUE"""),"Lượng từ")</f>
        <v>Lượng từ</v>
      </c>
      <c r="G1204" s="13" t="str">
        <f ca="1">IFERROR(__xludf.DUMMYFUNCTION("""COMPUTED_VALUE"""),"kilomét")</f>
        <v>kilomét</v>
      </c>
      <c r="H1204" s="13" t="str">
        <f ca="1">IFERROR(__xludf.DUMMYFUNCTION("""COMPUTED_VALUE""")," 他需要走五公里才能到达交货地点。")</f>
        <v xml:space="preserve"> 他需要走五公里才能到达交货地点。</v>
      </c>
      <c r="I1204" s="13"/>
      <c r="J1204" s="13" t="str">
        <f ca="1">IFERROR(__xludf.DUMMYFUNCTION("""COMPUTED_VALUE"""),"Anh ấy phải đi mất 5km mới đến chỗ giao hàng.")</f>
        <v>Anh ấy phải đi mất 5km mới đến chỗ giao hàng.</v>
      </c>
      <c r="K1204" s="13" t="str">
        <f ca="1">IFERROR(__xludf.DUMMYFUNCTION("""COMPUTED_VALUE"""),"H4_B17_BG-07.png")</f>
        <v>H4_B17_BG-07.png</v>
      </c>
      <c r="L1204" s="13" t="str">
        <f ca="1">IFERROR(__xludf.DUMMYFUNCTION("""COMPUTED_VALUE"""),"B17_7.mp3")</f>
        <v>B17_7.mp3</v>
      </c>
      <c r="M1204" s="13" t="str">
        <f ca="1">IFERROR(__xludf.DUMMYFUNCTION("""COMPUTED_VALUE"""),"B17_VD_7.mp3")</f>
        <v>B17_VD_7.mp3</v>
      </c>
    </row>
    <row r="1205" spans="1:13">
      <c r="A1205" s="13">
        <f ca="1">IFERROR(__xludf.DUMMYFUNCTION("""COMPUTED_VALUE"""),8)</f>
        <v>8</v>
      </c>
      <c r="B1205" s="13"/>
      <c r="C1205" s="13" t="str">
        <f ca="1">IFERROR(__xludf.DUMMYFUNCTION("""COMPUTED_VALUE"""),"底")</f>
        <v>底</v>
      </c>
      <c r="D1205" s="13" t="str">
        <f ca="1">IFERROR(__xludf.DUMMYFUNCTION("""COMPUTED_VALUE"""),"&lt;ruby&gt;底&lt;rt&gt;dǐ&lt;/rt&gt;&lt;/ruby&gt;")</f>
        <v>&lt;ruby&gt;底&lt;rt&gt;dǐ&lt;/rt&gt;&lt;/ruby&gt;</v>
      </c>
      <c r="E1205" s="13" t="str">
        <f ca="1">IFERROR(__xludf.DUMMYFUNCTION("""COMPUTED_VALUE"""),"dǐ")</f>
        <v>dǐ</v>
      </c>
      <c r="F1205" s="13" t="str">
        <f ca="1">IFERROR(__xludf.DUMMYFUNCTION("""COMPUTED_VALUE"""),"Danh từ")</f>
        <v>Danh từ</v>
      </c>
      <c r="G1205" s="13" t="str">
        <f ca="1">IFERROR(__xludf.DUMMYFUNCTION("""COMPUTED_VALUE"""),"đáy")</f>
        <v>đáy</v>
      </c>
      <c r="H1205" s="13" t="str">
        <f ca="1">IFERROR(__xludf.DUMMYFUNCTION("""COMPUTED_VALUE"""),"鞋底都脏了。")</f>
        <v>鞋底都脏了。</v>
      </c>
      <c r="I1205" s="13"/>
      <c r="J1205" s="13" t="str">
        <f ca="1">IFERROR(__xludf.DUMMYFUNCTION("""COMPUTED_VALUE"""),"Đáy giày bị bẩn hết rồi.")</f>
        <v>Đáy giày bị bẩn hết rồi.</v>
      </c>
      <c r="K1205" s="13" t="str">
        <f ca="1">IFERROR(__xludf.DUMMYFUNCTION("""COMPUTED_VALUE"""),"H4_B17_BG-08.png")</f>
        <v>H4_B17_BG-08.png</v>
      </c>
      <c r="L1205" s="13" t="str">
        <f ca="1">IFERROR(__xludf.DUMMYFUNCTION("""COMPUTED_VALUE"""),"B17_8.mp3")</f>
        <v>B17_8.mp3</v>
      </c>
      <c r="M1205" s="13" t="str">
        <f ca="1">IFERROR(__xludf.DUMMYFUNCTION("""COMPUTED_VALUE"""),"B17_VD_8.mp3")</f>
        <v>B17_VD_8.mp3</v>
      </c>
    </row>
    <row r="1206" spans="1:13">
      <c r="A1206" s="13">
        <f ca="1">IFERROR(__xludf.DUMMYFUNCTION("""COMPUTED_VALUE"""),9)</f>
        <v>9</v>
      </c>
      <c r="B1206" s="13"/>
      <c r="C1206" s="13" t="str">
        <f ca="1">IFERROR(__xludf.DUMMYFUNCTION("""COMPUTED_VALUE"""),"暖和")</f>
        <v>暖和</v>
      </c>
      <c r="D1206" s="13" t="str">
        <f ca="1">IFERROR(__xludf.DUMMYFUNCTION("""COMPUTED_VALUE"""),"&lt;ruby&gt;暖和&lt;rt&gt;nuǎnhuo&lt;/rt&gt;&lt;/ruby&gt;")</f>
        <v>&lt;ruby&gt;暖和&lt;rt&gt;nuǎnhuo&lt;/rt&gt;&lt;/ruby&gt;</v>
      </c>
      <c r="E1206" s="13" t="str">
        <f ca="1">IFERROR(__xludf.DUMMYFUNCTION("""COMPUTED_VALUE"""),"nuǎnhuo")</f>
        <v>nuǎnhuo</v>
      </c>
      <c r="F1206" s="13" t="str">
        <f ca="1">IFERROR(__xludf.DUMMYFUNCTION("""COMPUTED_VALUE"""),"Tính từ")</f>
        <v>Tính từ</v>
      </c>
      <c r="G1206" s="13" t="str">
        <f ca="1">IFERROR(__xludf.DUMMYFUNCTION("""COMPUTED_VALUE"""),"ấm áp")</f>
        <v>ấm áp</v>
      </c>
      <c r="H1206" s="13" t="str">
        <f ca="1">IFERROR(__xludf.DUMMYFUNCTION("""COMPUTED_VALUE"""),"喝了这杯可可后感觉更暖和了。")</f>
        <v>喝了这杯可可后感觉更暖和了。</v>
      </c>
      <c r="I1206" s="13"/>
      <c r="J1206" s="13" t="str">
        <f ca="1">IFERROR(__xludf.DUMMYFUNCTION("""COMPUTED_VALUE"""),"Uống cốc cacao này vào cảm thấy ấm áp hơn.")</f>
        <v>Uống cốc cacao này vào cảm thấy ấm áp hơn.</v>
      </c>
      <c r="K1206" s="13" t="str">
        <f ca="1">IFERROR(__xludf.DUMMYFUNCTION("""COMPUTED_VALUE"""),"H4_B17_BG-09.png")</f>
        <v>H4_B17_BG-09.png</v>
      </c>
      <c r="L1206" s="13" t="str">
        <f ca="1">IFERROR(__xludf.DUMMYFUNCTION("""COMPUTED_VALUE"""),"B17_9.mp3")</f>
        <v>B17_9.mp3</v>
      </c>
      <c r="M1206" s="13" t="str">
        <f ca="1">IFERROR(__xludf.DUMMYFUNCTION("""COMPUTED_VALUE"""),"B17_VD_9.mp3")</f>
        <v>B17_VD_9.mp3</v>
      </c>
    </row>
    <row r="1207" spans="1:13">
      <c r="A1207" s="13">
        <f ca="1">IFERROR(__xludf.DUMMYFUNCTION("""COMPUTED_VALUE"""),10)</f>
        <v>10</v>
      </c>
      <c r="B1207" s="13"/>
      <c r="C1207" s="13" t="str">
        <f ca="1">IFERROR(__xludf.DUMMYFUNCTION("""COMPUTED_VALUE"""),"广播")</f>
        <v>广播</v>
      </c>
      <c r="D1207" s="13" t="str">
        <f ca="1">IFERROR(__xludf.DUMMYFUNCTION("""COMPUTED_VALUE"""),"&lt;ruby&gt;广播&lt;rt&gt;guǎngbō&lt;/rt&gt;&lt;/ruby&gt;")</f>
        <v>&lt;ruby&gt;广播&lt;rt&gt;guǎngbō&lt;/rt&gt;&lt;/ruby&gt;</v>
      </c>
      <c r="E1207" s="13" t="str">
        <f ca="1">IFERROR(__xludf.DUMMYFUNCTION("""COMPUTED_VALUE"""),"guǎngbō")</f>
        <v>guǎngbō</v>
      </c>
      <c r="F1207" s="13" t="str">
        <f ca="1">IFERROR(__xludf.DUMMYFUNCTION("""COMPUTED_VALUE"""),"Danh từ")</f>
        <v>Danh từ</v>
      </c>
      <c r="G1207" s="13" t="str">
        <f ca="1">IFERROR(__xludf.DUMMYFUNCTION("""COMPUTED_VALUE"""),"chương trình phát thanh/truyền hình")</f>
        <v>chương trình phát thanh/truyền hình</v>
      </c>
      <c r="H1207" s="13" t="str">
        <f ca="1">IFERROR(__xludf.DUMMYFUNCTION("""COMPUTED_VALUE"""),"这个广播节目正在播放新闻。")</f>
        <v>这个广播节目正在播放新闻。</v>
      </c>
      <c r="I1207" s="13"/>
      <c r="J1207" s="13" t="str">
        <f ca="1">IFERROR(__xludf.DUMMYFUNCTION("""COMPUTED_VALUE"""),"Chương trình truyền hình này đang phát tin tức.")</f>
        <v>Chương trình truyền hình này đang phát tin tức.</v>
      </c>
      <c r="K1207" s="13" t="str">
        <f ca="1">IFERROR(__xludf.DUMMYFUNCTION("""COMPUTED_VALUE"""),"H4_B17_BG-10.png")</f>
        <v>H4_B17_BG-10.png</v>
      </c>
      <c r="L1207" s="13" t="str">
        <f ca="1">IFERROR(__xludf.DUMMYFUNCTION("""COMPUTED_VALUE"""),"B17_10.mp3")</f>
        <v>B17_10.mp3</v>
      </c>
      <c r="M1207" s="13" t="str">
        <f ca="1">IFERROR(__xludf.DUMMYFUNCTION("""COMPUTED_VALUE"""),"B17_VD_10.mp3")</f>
        <v>B17_VD_10.mp3</v>
      </c>
    </row>
    <row r="1208" spans="1:13">
      <c r="A1208" s="13">
        <f ca="1">IFERROR(__xludf.DUMMYFUNCTION("""COMPUTED_VALUE"""),11)</f>
        <v>11</v>
      </c>
      <c r="B1208" s="13"/>
      <c r="C1208" s="13" t="str">
        <f ca="1">IFERROR(__xludf.DUMMYFUNCTION("""COMPUTED_VALUE"""),"热闹")</f>
        <v>热闹</v>
      </c>
      <c r="D1208" s="13" t="str">
        <f ca="1">IFERROR(__xludf.DUMMYFUNCTION("""COMPUTED_VALUE"""),"&lt;ruby&gt;热闹&lt;rt&gt;rènào&lt;/rt&gt;&lt;/ruby&gt;")</f>
        <v>&lt;ruby&gt;热闹&lt;rt&gt;rènào&lt;/rt&gt;&lt;/ruby&gt;</v>
      </c>
      <c r="E1208" s="13" t="str">
        <f ca="1">IFERROR(__xludf.DUMMYFUNCTION("""COMPUTED_VALUE"""),"rènào")</f>
        <v>rènào</v>
      </c>
      <c r="F1208" s="13" t="str">
        <f ca="1">IFERROR(__xludf.DUMMYFUNCTION("""COMPUTED_VALUE"""),"Tính từ")</f>
        <v>Tính từ</v>
      </c>
      <c r="G1208" s="13" t="str">
        <f ca="1">IFERROR(__xludf.DUMMYFUNCTION("""COMPUTED_VALUE"""),"náo nhiệt")</f>
        <v>náo nhiệt</v>
      </c>
      <c r="H1208" s="13" t="str">
        <f ca="1">IFERROR(__xludf.DUMMYFUNCTION("""COMPUTED_VALUE""")," 公交车站总是人多热闹。")</f>
        <v xml:space="preserve"> 公交车站总是人多热闹。</v>
      </c>
      <c r="I1208" s="13"/>
      <c r="J1208" s="13" t="str">
        <f ca="1">IFERROR(__xludf.DUMMYFUNCTION("""COMPUTED_VALUE"""),"Trạm xe buýt lúc nào cũng đông đúc, náo nhiệt.")</f>
        <v>Trạm xe buýt lúc nào cũng đông đúc, náo nhiệt.</v>
      </c>
      <c r="K1208" s="13" t="str">
        <f ca="1">IFERROR(__xludf.DUMMYFUNCTION("""COMPUTED_VALUE"""),"H4_B17_BG-11.png")</f>
        <v>H4_B17_BG-11.png</v>
      </c>
      <c r="L1208" s="13" t="str">
        <f ca="1">IFERROR(__xludf.DUMMYFUNCTION("""COMPUTED_VALUE"""),"B17_11.mp3")</f>
        <v>B17_11.mp3</v>
      </c>
      <c r="M1208" s="13" t="str">
        <f ca="1">IFERROR(__xludf.DUMMYFUNCTION("""COMPUTED_VALUE"""),"B17_VD_11.mp3")</f>
        <v>B17_VD_11.mp3</v>
      </c>
    </row>
    <row r="1209" spans="1:13">
      <c r="A1209" s="13">
        <f ca="1">IFERROR(__xludf.DUMMYFUNCTION("""COMPUTED_VALUE"""),12)</f>
        <v>12</v>
      </c>
      <c r="B1209" s="13"/>
      <c r="C1209" s="13" t="str">
        <f ca="1">IFERROR(__xludf.DUMMYFUNCTION("""COMPUTED_VALUE"""),"社会")</f>
        <v>社会</v>
      </c>
      <c r="D1209" s="13" t="str">
        <f ca="1">IFERROR(__xludf.DUMMYFUNCTION("""COMPUTED_VALUE"""),"&lt;ruby&gt;社会&lt;rt&gt;shèhuì&lt;/rt&gt;&lt;/ruby&gt;")</f>
        <v>&lt;ruby&gt;社会&lt;rt&gt;shèhuì&lt;/rt&gt;&lt;/ruby&gt;</v>
      </c>
      <c r="E1209" s="13" t="str">
        <f ca="1">IFERROR(__xludf.DUMMYFUNCTION("""COMPUTED_VALUE"""),"shèhuì")</f>
        <v>shèhuì</v>
      </c>
      <c r="F1209" s="13" t="str">
        <f ca="1">IFERROR(__xludf.DUMMYFUNCTION("""COMPUTED_VALUE"""),"Danh từ")</f>
        <v>Danh từ</v>
      </c>
      <c r="G1209" s="13" t="str">
        <f ca="1">IFERROR(__xludf.DUMMYFUNCTION("""COMPUTED_VALUE"""),"xã hội")</f>
        <v>xã hội</v>
      </c>
      <c r="H1209" s="13" t="str">
        <f ca="1">IFERROR(__xludf.DUMMYFUNCTION("""COMPUTED_VALUE"""),"我们生活在一个复杂的社会。")</f>
        <v>我们生活在一个复杂的社会。</v>
      </c>
      <c r="I1209" s="13"/>
      <c r="J1209" s="13" t="str">
        <f ca="1">IFERROR(__xludf.DUMMYFUNCTION("""COMPUTED_VALUE"""),"Chúng ta sống trong xã hội phức tạp.")</f>
        <v>Chúng ta sống trong xã hội phức tạp.</v>
      </c>
      <c r="K1209" s="13" t="str">
        <f ca="1">IFERROR(__xludf.DUMMYFUNCTION("""COMPUTED_VALUE"""),"H4_B17_BG-12.png")</f>
        <v>H4_B17_BG-12.png</v>
      </c>
      <c r="L1209" s="13" t="str">
        <f ca="1">IFERROR(__xludf.DUMMYFUNCTION("""COMPUTED_VALUE"""),"B17_12.mp3")</f>
        <v>B17_12.mp3</v>
      </c>
      <c r="M1209" s="13" t="str">
        <f ca="1">IFERROR(__xludf.DUMMYFUNCTION("""COMPUTED_VALUE"""),"B17_VD_12.mp3")</f>
        <v>B17_VD_12.mp3</v>
      </c>
    </row>
    <row r="1210" spans="1:13">
      <c r="A1210" s="13">
        <f ca="1">IFERROR(__xludf.DUMMYFUNCTION("""COMPUTED_VALUE"""),13)</f>
        <v>13</v>
      </c>
      <c r="B1210" s="13"/>
      <c r="C1210" s="13" t="str">
        <f ca="1">IFERROR(__xludf.DUMMYFUNCTION("""COMPUTED_VALUE"""),"入口")</f>
        <v>入口</v>
      </c>
      <c r="D1210" s="13" t="str">
        <f ca="1">IFERROR(__xludf.DUMMYFUNCTION("""COMPUTED_VALUE"""),"&lt;ruby&gt;入口&lt;rt&gt;rùkǒu&lt;/rt&gt;&lt;/ruby&gt;")</f>
        <v>&lt;ruby&gt;入口&lt;rt&gt;rùkǒu&lt;/rt&gt;&lt;/ruby&gt;</v>
      </c>
      <c r="E1210" s="13" t="str">
        <f ca="1">IFERROR(__xludf.DUMMYFUNCTION("""COMPUTED_VALUE"""),"rùkǒu")</f>
        <v>rùkǒu</v>
      </c>
      <c r="F1210" s="13" t="str">
        <f ca="1">IFERROR(__xludf.DUMMYFUNCTION("""COMPUTED_VALUE"""),"Danh từ")</f>
        <v>Danh từ</v>
      </c>
      <c r="G1210" s="13" t="str">
        <f ca="1">IFERROR(__xludf.DUMMYFUNCTION("""COMPUTED_VALUE"""),"cổng vào")</f>
        <v>cổng vào</v>
      </c>
      <c r="H1210" s="13" t="str">
        <f ca="1">IFERROR(__xludf.DUMMYFUNCTION("""COMPUTED_VALUE"""),"你的航空公司入口在C门。")</f>
        <v>你的航空公司入口在C门。</v>
      </c>
      <c r="I1210" s="13"/>
      <c r="J1210" s="13" t="str">
        <f ca="1">IFERROR(__xludf.DUMMYFUNCTION("""COMPUTED_VALUE"""),"Lối vào hãng bay của bạn ở cổng C.")</f>
        <v>Lối vào hãng bay của bạn ở cổng C.</v>
      </c>
      <c r="K1210" s="13" t="str">
        <f ca="1">IFERROR(__xludf.DUMMYFUNCTION("""COMPUTED_VALUE"""),"H4_B17_BG-13.png")</f>
        <v>H4_B17_BG-13.png</v>
      </c>
      <c r="L1210" s="13" t="str">
        <f ca="1">IFERROR(__xludf.DUMMYFUNCTION("""COMPUTED_VALUE"""),"B17_13.mp3")</f>
        <v>B17_13.mp3</v>
      </c>
      <c r="M1210" s="13" t="str">
        <f ca="1">IFERROR(__xludf.DUMMYFUNCTION("""COMPUTED_VALUE"""),"B17_VD_13.mp3")</f>
        <v>B17_VD_13.mp3</v>
      </c>
    </row>
    <row r="1211" spans="1:13">
      <c r="A1211" s="13">
        <f ca="1">IFERROR(__xludf.DUMMYFUNCTION("""COMPUTED_VALUE"""),14)</f>
        <v>14</v>
      </c>
      <c r="B1211" s="13"/>
      <c r="C1211" s="13" t="str">
        <f ca="1">IFERROR(__xludf.DUMMYFUNCTION("""COMPUTED_VALUE"""),"活泼")</f>
        <v>活泼</v>
      </c>
      <c r="D1211" s="13" t="str">
        <f ca="1">IFERROR(__xludf.DUMMYFUNCTION("""COMPUTED_VALUE"""),"&lt;ruby&gt;活泼&lt;rt&gt;huópō&lt;/rt&gt;&lt;/ruby&gt;")</f>
        <v>&lt;ruby&gt;活泼&lt;rt&gt;huópō&lt;/rt&gt;&lt;/ruby&gt;</v>
      </c>
      <c r="E1211" s="13" t="str">
        <f ca="1">IFERROR(__xludf.DUMMYFUNCTION("""COMPUTED_VALUE"""),"huópō")</f>
        <v>huópō</v>
      </c>
      <c r="F1211" s="13" t="str">
        <f ca="1">IFERROR(__xludf.DUMMYFUNCTION("""COMPUTED_VALUE"""),"Tính từ")</f>
        <v>Tính từ</v>
      </c>
      <c r="G1211" s="13" t="str">
        <f ca="1">IFERROR(__xludf.DUMMYFUNCTION("""COMPUTED_VALUE"""),"hoạt bát, nhanh nhẹn")</f>
        <v>hoạt bát, nhanh nhẹn</v>
      </c>
      <c r="H1211" s="13" t="str">
        <f ca="1">IFERROR(__xludf.DUMMYFUNCTION("""COMPUTED_VALUE"""),"他很活泼，总是积极帮妈妈做家务。")</f>
        <v>他很活泼，总是积极帮妈妈做家务。</v>
      </c>
      <c r="I1211" s="13"/>
      <c r="J1211" s="13" t="str">
        <f ca="1">IFERROR(__xludf.DUMMYFUNCTION("""COMPUTED_VALUE"""),"Anh ấy rất hoạt bát, lúc nào cũng tích cực làm việc nhà giúp mẹ.")</f>
        <v>Anh ấy rất hoạt bát, lúc nào cũng tích cực làm việc nhà giúp mẹ.</v>
      </c>
      <c r="K1211" s="13" t="str">
        <f ca="1">IFERROR(__xludf.DUMMYFUNCTION("""COMPUTED_VALUE"""),"H4_B17_BG-14.png")</f>
        <v>H4_B17_BG-14.png</v>
      </c>
      <c r="L1211" s="13" t="str">
        <f ca="1">IFERROR(__xludf.DUMMYFUNCTION("""COMPUTED_VALUE"""),"B17_14.mp3")</f>
        <v>B17_14.mp3</v>
      </c>
      <c r="M1211" s="13" t="str">
        <f ca="1">IFERROR(__xludf.DUMMYFUNCTION("""COMPUTED_VALUE"""),"B17_VD_14.mp3")</f>
        <v>B17_VD_14.mp3</v>
      </c>
    </row>
    <row r="1212" spans="1:13">
      <c r="A1212" s="13">
        <f ca="1">IFERROR(__xludf.DUMMYFUNCTION("""COMPUTED_VALUE"""),15)</f>
        <v>15</v>
      </c>
      <c r="B1212" s="13"/>
      <c r="C1212" s="13" t="str">
        <f ca="1">IFERROR(__xludf.DUMMYFUNCTION("""COMPUTED_VALUE"""),"竞争")</f>
        <v>竞争</v>
      </c>
      <c r="D1212" s="13" t="str">
        <f ca="1">IFERROR(__xludf.DUMMYFUNCTION("""COMPUTED_VALUE"""),"&lt;ruby&gt;竞争&lt;rt&gt;jìngzhēng&lt;/rt&gt;&lt;/ruby&gt;")</f>
        <v>&lt;ruby&gt;竞争&lt;rt&gt;jìngzhēng&lt;/rt&gt;&lt;/ruby&gt;</v>
      </c>
      <c r="E1212" s="13" t="str">
        <f ca="1">IFERROR(__xludf.DUMMYFUNCTION("""COMPUTED_VALUE"""),"jìngzhēng")</f>
        <v>jìngzhēng</v>
      </c>
      <c r="F1212" s="13" t="str">
        <f ca="1">IFERROR(__xludf.DUMMYFUNCTION("""COMPUTED_VALUE"""),"Động từ")</f>
        <v>Động từ</v>
      </c>
      <c r="G1212" s="13" t="str">
        <f ca="1">IFERROR(__xludf.DUMMYFUNCTION("""COMPUTED_VALUE"""),"cạnh tranh")</f>
        <v>cạnh tranh</v>
      </c>
      <c r="H1212" s="13" t="str">
        <f ca="1">IFERROR(__xludf.DUMMYFUNCTION("""COMPUTED_VALUE"""),"商业竞争就像下棋一样，每一步都要仔细计算。")</f>
        <v>商业竞争就像下棋一样，每一步都要仔细计算。</v>
      </c>
      <c r="I1212" s="13"/>
      <c r="J1212" s="13" t="str">
        <f ca="1">IFERROR(__xludf.DUMMYFUNCTION("""COMPUTED_VALUE"""),"Cạnh tranh thương mại như chơi cờ vậy, lúc nào cũng phải tính toán cẩn thận từng bước.")</f>
        <v>Cạnh tranh thương mại như chơi cờ vậy, lúc nào cũng phải tính toán cẩn thận từng bước.</v>
      </c>
      <c r="K1212" s="13" t="str">
        <f ca="1">IFERROR(__xludf.DUMMYFUNCTION("""COMPUTED_VALUE"""),"H4_B17_BG-15.png")</f>
        <v>H4_B17_BG-15.png</v>
      </c>
      <c r="L1212" s="13" t="str">
        <f ca="1">IFERROR(__xludf.DUMMYFUNCTION("""COMPUTED_VALUE"""),"B17_15.mp3")</f>
        <v>B17_15.mp3</v>
      </c>
      <c r="M1212" s="13" t="str">
        <f ca="1">IFERROR(__xludf.DUMMYFUNCTION("""COMPUTED_VALUE"""),"B17_VD_15.mp3")</f>
        <v>B17_VD_15.mp3</v>
      </c>
    </row>
    <row r="1213" spans="1:13">
      <c r="A1213" s="13">
        <f ca="1">IFERROR(__xludf.DUMMYFUNCTION("""COMPUTED_VALUE"""),16)</f>
        <v>16</v>
      </c>
      <c r="B1213" s="13"/>
      <c r="C1213" s="13" t="str">
        <f ca="1">IFERROR(__xludf.DUMMYFUNCTION("""COMPUTED_VALUE"""),"排队")</f>
        <v>排队</v>
      </c>
      <c r="D1213" s="13" t="str">
        <f ca="1">IFERROR(__xludf.DUMMYFUNCTION("""COMPUTED_VALUE"""),"&lt;ruby&gt;排队&lt;rt&gt;páiduì&lt;/rt&gt;&lt;/ruby&gt;")</f>
        <v>&lt;ruby&gt;排队&lt;rt&gt;páiduì&lt;/rt&gt;&lt;/ruby&gt;</v>
      </c>
      <c r="E1213" s="13" t="str">
        <f ca="1">IFERROR(__xludf.DUMMYFUNCTION("""COMPUTED_VALUE"""),"páiduì")</f>
        <v>páiduì</v>
      </c>
      <c r="F1213" s="13" t="str">
        <f ca="1">IFERROR(__xludf.DUMMYFUNCTION("""COMPUTED_VALUE"""),"Động từ")</f>
        <v>Động từ</v>
      </c>
      <c r="G1213" s="13" t="str">
        <f ca="1">IFERROR(__xludf.DUMMYFUNCTION("""COMPUTED_VALUE"""),"xếp hàng")</f>
        <v>xếp hàng</v>
      </c>
      <c r="H1213" s="13" t="str">
        <f ca="1">IFERROR(__xludf.DUMMYFUNCTION("""COMPUTED_VALUE"""),"大家排队等着取钱。")</f>
        <v>大家排队等着取钱。</v>
      </c>
      <c r="I1213" s="13"/>
      <c r="J1213" s="13" t="str">
        <f ca="1">IFERROR(__xludf.DUMMYFUNCTION("""COMPUTED_VALUE"""),"Mọi người xếp hàng đợi rút tiền.")</f>
        <v>Mọi người xếp hàng đợi rút tiền.</v>
      </c>
      <c r="K1213" s="13" t="str">
        <f ca="1">IFERROR(__xludf.DUMMYFUNCTION("""COMPUTED_VALUE"""),"H4_B17_BG-16.png")</f>
        <v>H4_B17_BG-16.png</v>
      </c>
      <c r="L1213" s="13" t="str">
        <f ca="1">IFERROR(__xludf.DUMMYFUNCTION("""COMPUTED_VALUE"""),"B17_16.mp3")</f>
        <v>B17_16.mp3</v>
      </c>
      <c r="M1213" s="13" t="str">
        <f ca="1">IFERROR(__xludf.DUMMYFUNCTION("""COMPUTED_VALUE"""),"B17_VD_16.mp3")</f>
        <v>B17_VD_16.mp3</v>
      </c>
    </row>
    <row r="1214" spans="1:13">
      <c r="A1214" s="13">
        <f ca="1">IFERROR(__xludf.DUMMYFUNCTION("""COMPUTED_VALUE"""),17)</f>
        <v>17</v>
      </c>
      <c r="B1214" s="13"/>
      <c r="C1214" s="13" t="str">
        <f ca="1">IFERROR(__xludf.DUMMYFUNCTION("""COMPUTED_VALUE"""),"排列")</f>
        <v>排列</v>
      </c>
      <c r="D1214" s="13" t="str">
        <f ca="1">IFERROR(__xludf.DUMMYFUNCTION("""COMPUTED_VALUE"""),"&lt;ruby&gt;排列&lt;rt&gt;páiliè&lt;/rt&gt;&lt;/ruby&gt;")</f>
        <v>&lt;ruby&gt;排列&lt;rt&gt;páiliè&lt;/rt&gt;&lt;/ruby&gt;</v>
      </c>
      <c r="E1214" s="13" t="str">
        <f ca="1">IFERROR(__xludf.DUMMYFUNCTION("""COMPUTED_VALUE"""),"páiliè")</f>
        <v>páiliè</v>
      </c>
      <c r="F1214" s="13" t="str">
        <f ca="1">IFERROR(__xludf.DUMMYFUNCTION("""COMPUTED_VALUE"""),"Động từ")</f>
        <v>Động từ</v>
      </c>
      <c r="G1214" s="13" t="str">
        <f ca="1">IFERROR(__xludf.DUMMYFUNCTION("""COMPUTED_VALUE"""),"sắp xếp (theo thứ tự)")</f>
        <v>sắp xếp (theo thứ tự)</v>
      </c>
      <c r="H1214" s="13" t="str">
        <f ca="1">IFERROR(__xludf.DUMMYFUNCTION("""COMPUTED_VALUE"""),"这些盒子被排列得很整齐。")</f>
        <v>这些盒子被排列得很整齐。</v>
      </c>
      <c r="I1214" s="13"/>
      <c r="J1214" s="13" t="str">
        <f ca="1">IFERROR(__xludf.DUMMYFUNCTION("""COMPUTED_VALUE"""),"Những chiếc hộp được sắp xếp rất gọn gàng.")</f>
        <v>Những chiếc hộp được sắp xếp rất gọn gàng.</v>
      </c>
      <c r="K1214" s="13" t="str">
        <f ca="1">IFERROR(__xludf.DUMMYFUNCTION("""COMPUTED_VALUE"""),"H4_B17_BG-17.png")</f>
        <v>H4_B17_BG-17.png</v>
      </c>
      <c r="L1214" s="13" t="str">
        <f ca="1">IFERROR(__xludf.DUMMYFUNCTION("""COMPUTED_VALUE"""),"B17_17.mp3")</f>
        <v>B17_17.mp3</v>
      </c>
      <c r="M1214" s="13" t="str">
        <f ca="1">IFERROR(__xludf.DUMMYFUNCTION("""COMPUTED_VALUE"""),"B17_VD_17.mp3")</f>
        <v>B17_VD_17.mp3</v>
      </c>
    </row>
    <row r="1215" spans="1:13">
      <c r="A1215" s="13">
        <f ca="1">IFERROR(__xludf.DUMMYFUNCTION("""COMPUTED_VALUE"""),18)</f>
        <v>18</v>
      </c>
      <c r="B1215" s="13"/>
      <c r="C1215" s="13" t="str">
        <f ca="1">IFERROR(__xludf.DUMMYFUNCTION("""COMPUTED_VALUE"""),"放暑假")</f>
        <v>放暑假</v>
      </c>
      <c r="D1215" s="13" t="str">
        <f ca="1">IFERROR(__xludf.DUMMYFUNCTION("""COMPUTED_VALUE"""),"&lt;ruby&gt;放暑假&lt;rt&gt;fàng shǔjià&lt;/rt&gt;&lt;/ruby&gt;")</f>
        <v>&lt;ruby&gt;放暑假&lt;rt&gt;fàng shǔjià&lt;/rt&gt;&lt;/ruby&gt;</v>
      </c>
      <c r="E1215" s="13" t="str">
        <f ca="1">IFERROR(__xludf.DUMMYFUNCTION("""COMPUTED_VALUE"""),"fàng shǔjià")</f>
        <v>fàng shǔjià</v>
      </c>
      <c r="F1215" s="13"/>
      <c r="G1215" s="13" t="str">
        <f ca="1">IFERROR(__xludf.DUMMYFUNCTION("""COMPUTED_VALUE"""),"nghỉ hè")</f>
        <v>nghỉ hè</v>
      </c>
      <c r="H1215" s="13" t="str">
        <f ca="1">IFERROR(__xludf.DUMMYFUNCTION("""COMPUTED_VALUE"""),"放暑假时我经常去海边。")</f>
        <v>放暑假时我经常去海边。</v>
      </c>
      <c r="I1215" s="13"/>
      <c r="J1215" s="13" t="str">
        <f ca="1">IFERROR(__xludf.DUMMYFUNCTION("""COMPUTED_VALUE"""),"Tôi thường đi biển khi được nghỉ hè.")</f>
        <v>Tôi thường đi biển khi được nghỉ hè.</v>
      </c>
      <c r="K1215" s="13" t="str">
        <f ca="1">IFERROR(__xludf.DUMMYFUNCTION("""COMPUTED_VALUE"""),"H4_B17_BG-18.png")</f>
        <v>H4_B17_BG-18.png</v>
      </c>
      <c r="L1215" s="13" t="str">
        <f ca="1">IFERROR(__xludf.DUMMYFUNCTION("""COMPUTED_VALUE"""),"B17_18.mp3")</f>
        <v>B17_18.mp3</v>
      </c>
      <c r="M1215" s="13" t="str">
        <f ca="1">IFERROR(__xludf.DUMMYFUNCTION("""COMPUTED_VALUE"""),"B17_VD_18.mp3")</f>
        <v>B17_VD_18.mp3</v>
      </c>
    </row>
    <row r="1216" spans="1:13">
      <c r="A1216" s="13">
        <f ca="1">IFERROR(__xludf.DUMMYFUNCTION("""COMPUTED_VALUE"""),19)</f>
        <v>19</v>
      </c>
      <c r="B1216" s="13"/>
      <c r="C1216" s="13" t="str">
        <f ca="1">IFERROR(__xludf.DUMMYFUNCTION("""COMPUTED_VALUE"""),"照")</f>
        <v>照</v>
      </c>
      <c r="D1216" s="13" t="str">
        <f ca="1">IFERROR(__xludf.DUMMYFUNCTION("""COMPUTED_VALUE"""),"&lt;ruby&gt;照&lt;rt&gt;zhào&lt;/rt&gt;&lt;/ruby&gt;")</f>
        <v>&lt;ruby&gt;照&lt;rt&gt;zhào&lt;/rt&gt;&lt;/ruby&gt;</v>
      </c>
      <c r="E1216" s="13" t="str">
        <f ca="1">IFERROR(__xludf.DUMMYFUNCTION("""COMPUTED_VALUE"""),"zhào")</f>
        <v>zhào</v>
      </c>
      <c r="F1216" s="13" t="str">
        <f ca="1">IFERROR(__xludf.DUMMYFUNCTION("""COMPUTED_VALUE"""),"Động từ")</f>
        <v>Động từ</v>
      </c>
      <c r="G1216" s="13" t="str">
        <f ca="1">IFERROR(__xludf.DUMMYFUNCTION("""COMPUTED_VALUE"""),"chụp (ảnh)")</f>
        <v>chụp (ảnh)</v>
      </c>
      <c r="H1216" s="13" t="str">
        <f ca="1">IFERROR(__xludf.DUMMYFUNCTION("""COMPUTED_VALUE"""),"我想照一张全家福。")</f>
        <v>我想照一张全家福。</v>
      </c>
      <c r="I1216" s="13"/>
      <c r="J1216" s="13" t="str">
        <f ca="1">IFERROR(__xludf.DUMMYFUNCTION("""COMPUTED_VALUE"""),"Tôi muốn chụp một bức ảnh gia đình.")</f>
        <v>Tôi muốn chụp một bức ảnh gia đình.</v>
      </c>
      <c r="K1216" s="13" t="str">
        <f ca="1">IFERROR(__xludf.DUMMYFUNCTION("""COMPUTED_VALUE"""),"H4_B17_BG-19.png")</f>
        <v>H4_B17_BG-19.png</v>
      </c>
      <c r="L1216" s="13" t="str">
        <f ca="1">IFERROR(__xludf.DUMMYFUNCTION("""COMPUTED_VALUE"""),"B17_19.mp3")</f>
        <v>B17_19.mp3</v>
      </c>
      <c r="M1216" s="13" t="str">
        <f ca="1">IFERROR(__xludf.DUMMYFUNCTION("""COMPUTED_VALUE"""),"B17_VD_19.mp3")</f>
        <v>B17_VD_19.mp3</v>
      </c>
    </row>
    <row r="1217" spans="1:13">
      <c r="A1217" s="13">
        <f ca="1">IFERROR(__xludf.DUMMYFUNCTION("""COMPUTED_VALUE"""),20)</f>
        <v>20</v>
      </c>
      <c r="B1217" s="13"/>
      <c r="C1217" s="13" t="str">
        <f ca="1">IFERROR(__xludf.DUMMYFUNCTION("""COMPUTED_VALUE"""),"梦")</f>
        <v>梦</v>
      </c>
      <c r="D1217" s="13" t="str">
        <f ca="1">IFERROR(__xludf.DUMMYFUNCTION("""COMPUTED_VALUE"""),"&lt;ruby&gt;梦&lt;rt&gt;mèng&lt;/rt&gt;&lt;/ruby&gt;")</f>
        <v>&lt;ruby&gt;梦&lt;rt&gt;mèng&lt;/rt&gt;&lt;/ruby&gt;</v>
      </c>
      <c r="E1217" s="13" t="str">
        <f ca="1">IFERROR(__xludf.DUMMYFUNCTION("""COMPUTED_VALUE"""),"mèng")</f>
        <v>mèng</v>
      </c>
      <c r="F1217" s="13" t="str">
        <f ca="1">IFERROR(__xludf.DUMMYFUNCTION("""COMPUTED_VALUE"""),"Danh từ")</f>
        <v>Danh từ</v>
      </c>
      <c r="G1217" s="13" t="str">
        <f ca="1">IFERROR(__xludf.DUMMYFUNCTION("""COMPUTED_VALUE"""),"giấc mơ")</f>
        <v>giấc mơ</v>
      </c>
      <c r="H1217" s="13" t="str">
        <f ca="1">IFERROR(__xludf.DUMMYFUNCTION("""COMPUTED_VALUE"""),"他的梦很美。")</f>
        <v>他的梦很美。</v>
      </c>
      <c r="I1217" s="13"/>
      <c r="J1217" s="13" t="str">
        <f ca="1">IFERROR(__xludf.DUMMYFUNCTION("""COMPUTED_VALUE"""),"Giấc mơ của cậu ấy rất đẹp.")</f>
        <v>Giấc mơ của cậu ấy rất đẹp.</v>
      </c>
      <c r="K1217" s="13" t="str">
        <f ca="1">IFERROR(__xludf.DUMMYFUNCTION("""COMPUTED_VALUE"""),"H4_B17_BG-20.png")</f>
        <v>H4_B17_BG-20.png</v>
      </c>
      <c r="L1217" s="13" t="str">
        <f ca="1">IFERROR(__xludf.DUMMYFUNCTION("""COMPUTED_VALUE"""),"B17_20.mp3")</f>
        <v>B17_20.mp3</v>
      </c>
      <c r="M1217" s="13" t="str">
        <f ca="1">IFERROR(__xludf.DUMMYFUNCTION("""COMPUTED_VALUE"""),"B17_VD_20.mp3")</f>
        <v>B17_VD_20.mp3</v>
      </c>
    </row>
    <row r="1218" spans="1:13">
      <c r="A1218" s="13">
        <f ca="1">IFERROR(__xludf.DUMMYFUNCTION("""COMPUTED_VALUE"""),21)</f>
        <v>21</v>
      </c>
      <c r="B1218" s="13"/>
      <c r="C1218" s="13" t="str">
        <f ca="1">IFERROR(__xludf.DUMMYFUNCTION("""COMPUTED_VALUE"""),"倒")</f>
        <v>倒</v>
      </c>
      <c r="D1218" s="13" t="str">
        <f ca="1">IFERROR(__xludf.DUMMYFUNCTION("""COMPUTED_VALUE"""),"&lt;ruby&gt;倒&lt;rt&gt;dào&lt;/rt&gt;&lt;/ruby&gt;")</f>
        <v>&lt;ruby&gt;倒&lt;rt&gt;dào&lt;/rt&gt;&lt;/ruby&gt;</v>
      </c>
      <c r="E1218" s="13" t="str">
        <f ca="1">IFERROR(__xludf.DUMMYFUNCTION("""COMPUTED_VALUE"""),"dào")</f>
        <v>dào</v>
      </c>
      <c r="F1218" s="13" t="str">
        <f ca="1">IFERROR(__xludf.DUMMYFUNCTION("""COMPUTED_VALUE"""),"Phó từ")</f>
        <v>Phó từ</v>
      </c>
      <c r="G1218" s="13" t="str">
        <f ca="1">IFERROR(__xludf.DUMMYFUNCTION("""COMPUTED_VALUE"""),"(được dùng để chỉ sự tương phản) nhưng, lại")</f>
        <v>(được dùng để chỉ sự tương phản) nhưng, lại</v>
      </c>
      <c r="H1218" s="13" t="str">
        <f ca="1">IFERROR(__xludf.DUMMYFUNCTION("""COMPUTED_VALUE"""),"他本来不想干农活，后来倒干得很起劲。")</f>
        <v>他本来不想干农活，后来倒干得很起劲。</v>
      </c>
      <c r="I1218" s="13"/>
      <c r="J1218" s="13" t="str">
        <f ca="1">IFERROR(__xludf.DUMMYFUNCTION("""COMPUTED_VALUE"""),"Ban đầu anh ấy không muốn làm việc đồng áng, nhưng sau đó lại làm rất hăng hái.")</f>
        <v>Ban đầu anh ấy không muốn làm việc đồng áng, nhưng sau đó lại làm rất hăng hái.</v>
      </c>
      <c r="K1218" s="13" t="str">
        <f ca="1">IFERROR(__xludf.DUMMYFUNCTION("""COMPUTED_VALUE"""),"H4_B17_BG-21.png")</f>
        <v>H4_B17_BG-21.png</v>
      </c>
      <c r="L1218" s="13" t="str">
        <f ca="1">IFERROR(__xludf.DUMMYFUNCTION("""COMPUTED_VALUE"""),"B17_21.mp3")</f>
        <v>B17_21.mp3</v>
      </c>
      <c r="M1218" s="13" t="str">
        <f ca="1">IFERROR(__xludf.DUMMYFUNCTION("""COMPUTED_VALUE"""),"B17_VD_21.mp3")</f>
        <v>B17_VD_21.mp3</v>
      </c>
    </row>
    <row r="1219" spans="1:13">
      <c r="A1219" s="13">
        <f ca="1">IFERROR(__xludf.DUMMYFUNCTION("""COMPUTED_VALUE"""),22)</f>
        <v>22</v>
      </c>
      <c r="B1219" s="13"/>
      <c r="C1219" s="13" t="str">
        <f ca="1">IFERROR(__xludf.DUMMYFUNCTION("""COMPUTED_VALUE"""),"毛")</f>
        <v>毛</v>
      </c>
      <c r="D1219" s="13" t="str">
        <f ca="1">IFERROR(__xludf.DUMMYFUNCTION("""COMPUTED_VALUE"""),"&lt;ruby&gt;毛&lt;rt&gt;máo&lt;/rt&gt;&lt;/ruby&gt;")</f>
        <v>&lt;ruby&gt;毛&lt;rt&gt;máo&lt;/rt&gt;&lt;/ruby&gt;</v>
      </c>
      <c r="E1219" s="13" t="str">
        <f ca="1">IFERROR(__xludf.DUMMYFUNCTION("""COMPUTED_VALUE"""),"máo")</f>
        <v>máo</v>
      </c>
      <c r="F1219" s="13" t="str">
        <f ca="1">IFERROR(__xludf.DUMMYFUNCTION("""COMPUTED_VALUE"""),"Danh từ")</f>
        <v>Danh từ</v>
      </c>
      <c r="G1219" s="13" t="str">
        <f ca="1">IFERROR(__xludf.DUMMYFUNCTION("""COMPUTED_VALUE"""),"lông")</f>
        <v>lông</v>
      </c>
      <c r="H1219" s="13" t="str">
        <f ca="1">IFERROR(__xludf.DUMMYFUNCTION("""COMPUTED_VALUE"""),"这根羽毛的颜色真漂亮。")</f>
        <v>这根羽毛的颜色真漂亮。</v>
      </c>
      <c r="I1219" s="13"/>
      <c r="J1219" s="13" t="str">
        <f ca="1">IFERROR(__xludf.DUMMYFUNCTION("""COMPUTED_VALUE"""),"Cái lông vũ này có màu sắc thật đẹp.")</f>
        <v>Cái lông vũ này có màu sắc thật đẹp.</v>
      </c>
      <c r="K1219" s="13" t="str">
        <f ca="1">IFERROR(__xludf.DUMMYFUNCTION("""COMPUTED_VALUE"""),"H4_B17_BG-22.png")</f>
        <v>H4_B17_BG-22.png</v>
      </c>
      <c r="L1219" s="13" t="str">
        <f ca="1">IFERROR(__xludf.DUMMYFUNCTION("""COMPUTED_VALUE"""),"B17_22.mp3")</f>
        <v>B17_22.mp3</v>
      </c>
      <c r="M1219" s="13" t="str">
        <f ca="1">IFERROR(__xludf.DUMMYFUNCTION("""COMPUTED_VALUE"""),"B17_VD_22.mp3")</f>
        <v>B17_VD_22.mp3</v>
      </c>
    </row>
    <row r="1220" spans="1:13">
      <c r="A1220" s="13">
        <f ca="1">IFERROR(__xludf.DUMMYFUNCTION("""COMPUTED_VALUE"""),23)</f>
        <v>23</v>
      </c>
      <c r="B1220" s="13"/>
      <c r="C1220" s="13" t="str">
        <f ca="1">IFERROR(__xludf.DUMMYFUNCTION("""COMPUTED_VALUE"""),"抱")</f>
        <v>抱</v>
      </c>
      <c r="D1220" s="13" t="str">
        <f ca="1">IFERROR(__xludf.DUMMYFUNCTION("""COMPUTED_VALUE"""),"&lt;ruby&gt;抱&lt;rt&gt;bào&lt;/rt&gt;&lt;/ruby&gt;")</f>
        <v>&lt;ruby&gt;抱&lt;rt&gt;bào&lt;/rt&gt;&lt;/ruby&gt;</v>
      </c>
      <c r="E1220" s="13" t="str">
        <f ca="1">IFERROR(__xludf.DUMMYFUNCTION("""COMPUTED_VALUE"""),"bào")</f>
        <v>bào</v>
      </c>
      <c r="F1220" s="13" t="str">
        <f ca="1">IFERROR(__xludf.DUMMYFUNCTION("""COMPUTED_VALUE"""),"Động từ")</f>
        <v>Động từ</v>
      </c>
      <c r="G1220" s="13" t="str">
        <f ca="1">IFERROR(__xludf.DUMMYFUNCTION("""COMPUTED_VALUE"""),"bế, bồng, ôm")</f>
        <v>bế, bồng, ôm</v>
      </c>
      <c r="H1220" s="13" t="str">
        <f ca="1">IFERROR(__xludf.DUMMYFUNCTION("""COMPUTED_VALUE""")," 妈妈抱着宝宝哄他入睡。")</f>
        <v xml:space="preserve"> 妈妈抱着宝宝哄他入睡。</v>
      </c>
      <c r="I1220" s="13"/>
      <c r="J1220" s="13" t="str">
        <f ca="1">IFERROR(__xludf.DUMMYFUNCTION("""COMPUTED_VALUE"""),"Mẹ ôm em bé ru ngủ.")</f>
        <v>Mẹ ôm em bé ru ngủ.</v>
      </c>
      <c r="K1220" s="13" t="str">
        <f ca="1">IFERROR(__xludf.DUMMYFUNCTION("""COMPUTED_VALUE"""),"H4_B17_BG-23.png")</f>
        <v>H4_B17_BG-23.png</v>
      </c>
      <c r="L1220" s="13" t="str">
        <f ca="1">IFERROR(__xludf.DUMMYFUNCTION("""COMPUTED_VALUE"""),"B17_23.mp3")</f>
        <v>B17_23.mp3</v>
      </c>
      <c r="M1220" s="13" t="str">
        <f ca="1">IFERROR(__xludf.DUMMYFUNCTION("""COMPUTED_VALUE"""),"B17_VD_23.mp3")</f>
        <v>B17_VD_23.mp3</v>
      </c>
    </row>
    <row r="1221" spans="1:13">
      <c r="A1221" s="13">
        <f ca="1">IFERROR(__xludf.DUMMYFUNCTION("""COMPUTED_VALUE"""),24)</f>
        <v>24</v>
      </c>
      <c r="B1221" s="13"/>
      <c r="C1221" s="13" t="str">
        <f ca="1">IFERROR(__xludf.DUMMYFUNCTION("""COMPUTED_VALUE"""),"干")</f>
        <v>干</v>
      </c>
      <c r="D1221" s="13" t="str">
        <f ca="1">IFERROR(__xludf.DUMMYFUNCTION("""COMPUTED_VALUE"""),"&lt;ruby&gt;干&lt;rt&gt;gān&lt;/rt&gt;&lt;/ruby&gt;")</f>
        <v>&lt;ruby&gt;干&lt;rt&gt;gān&lt;/rt&gt;&lt;/ruby&gt;</v>
      </c>
      <c r="E1221" s="13" t="str">
        <f ca="1">IFERROR(__xludf.DUMMYFUNCTION("""COMPUTED_VALUE"""),"gān")</f>
        <v>gān</v>
      </c>
      <c r="F1221" s="13" t="str">
        <f ca="1">IFERROR(__xludf.DUMMYFUNCTION("""COMPUTED_VALUE"""),"Động từ")</f>
        <v>Động từ</v>
      </c>
      <c r="G1221" s="13" t="str">
        <f ca="1">IFERROR(__xludf.DUMMYFUNCTION("""COMPUTED_VALUE"""),"làm")</f>
        <v>làm</v>
      </c>
      <c r="H1221" s="13" t="str">
        <f ca="1">IFERROR(__xludf.DUMMYFUNCTION("""COMPUTED_VALUE"""),"我干这一行已经很多年了。")</f>
        <v>我干这一行已经很多年了。</v>
      </c>
      <c r="I1221" s="13"/>
      <c r="J1221" s="13" t="str">
        <f ca="1">IFERROR(__xludf.DUMMYFUNCTION("""COMPUTED_VALUE"""),"Tôi làm ngành này đã nhiều năm")</f>
        <v>Tôi làm ngành này đã nhiều năm</v>
      </c>
      <c r="K1221" s="13" t="str">
        <f ca="1">IFERROR(__xludf.DUMMYFUNCTION("""COMPUTED_VALUE"""),"H4_B17_BG-24.png")</f>
        <v>H4_B17_BG-24.png</v>
      </c>
      <c r="L1221" s="13" t="str">
        <f ca="1">IFERROR(__xludf.DUMMYFUNCTION("""COMPUTED_VALUE"""),"B17_24.mp3")</f>
        <v>B17_24.mp3</v>
      </c>
      <c r="M1221" s="13" t="str">
        <f ca="1">IFERROR(__xludf.DUMMYFUNCTION("""COMPUTED_VALUE"""),"B17_VD_24.mp3")</f>
        <v>B17_VD_24.mp3</v>
      </c>
    </row>
    <row r="1222" spans="1:13">
      <c r="A1222" s="13">
        <f ca="1">IFERROR(__xludf.DUMMYFUNCTION("""COMPUTED_VALUE"""),25)</f>
        <v>25</v>
      </c>
      <c r="B1222" s="13"/>
      <c r="C1222" s="13" t="str">
        <f ca="1">IFERROR(__xludf.DUMMYFUNCTION("""COMPUTED_VALUE"""),"严格")</f>
        <v>严格</v>
      </c>
      <c r="D1222" s="13" t="str">
        <f ca="1">IFERROR(__xludf.DUMMYFUNCTION("""COMPUTED_VALUE"""),"&lt;ruby&gt;严格&lt;rt&gt;yángé&lt;/rt&gt;&lt;/ruby&gt;")</f>
        <v>&lt;ruby&gt;严格&lt;rt&gt;yángé&lt;/rt&gt;&lt;/ruby&gt;</v>
      </c>
      <c r="E1222" s="13" t="str">
        <f ca="1">IFERROR(__xludf.DUMMYFUNCTION("""COMPUTED_VALUE"""),"yángé")</f>
        <v>yángé</v>
      </c>
      <c r="F1222" s="13" t="str">
        <f ca="1">IFERROR(__xludf.DUMMYFUNCTION("""COMPUTED_VALUE"""),"Tính từ")</f>
        <v>Tính từ</v>
      </c>
      <c r="G1222" s="13" t="str">
        <f ca="1">IFERROR(__xludf.DUMMYFUNCTION("""COMPUTED_VALUE"""),"nghiêm khắc, nghiêm ngặt")</f>
        <v>nghiêm khắc, nghiêm ngặt</v>
      </c>
      <c r="H1222" s="13" t="str">
        <f ca="1">IFERROR(__xludf.DUMMYFUNCTION("""COMPUTED_VALUE"""),"我的老师虽然严格，但讲课非常有趣。")</f>
        <v>我的老师虽然严格，但讲课非常有趣。</v>
      </c>
      <c r="I1222" s="13"/>
      <c r="J1222" s="13" t="str">
        <f ca="1">IFERROR(__xludf.DUMMYFUNCTION("""COMPUTED_VALUE"""),"Thầy giáo của tôi tuy nghiêm khắc nhưng giảng bài lại rất thú vị.")</f>
        <v>Thầy giáo của tôi tuy nghiêm khắc nhưng giảng bài lại rất thú vị.</v>
      </c>
      <c r="K1222" s="13" t="str">
        <f ca="1">IFERROR(__xludf.DUMMYFUNCTION("""COMPUTED_VALUE"""),"H4_B17_BG-25.png")</f>
        <v>H4_B17_BG-25.png</v>
      </c>
      <c r="L1222" s="13" t="str">
        <f ca="1">IFERROR(__xludf.DUMMYFUNCTION("""COMPUTED_VALUE"""),"B17_25.mp3")</f>
        <v>B17_25.mp3</v>
      </c>
      <c r="M1222" s="13" t="str">
        <f ca="1">IFERROR(__xludf.DUMMYFUNCTION("""COMPUTED_VALUE"""),"B17_VD_25.mp3")</f>
        <v>B17_VD_25.mp3</v>
      </c>
    </row>
    <row r="1223" spans="1:13">
      <c r="A1223" s="13">
        <f ca="1">IFERROR(__xludf.DUMMYFUNCTION("""COMPUTED_VALUE"""),26)</f>
        <v>26</v>
      </c>
      <c r="B1223" s="13"/>
      <c r="C1223" s="13" t="str">
        <f ca="1">IFERROR(__xludf.DUMMYFUNCTION("""COMPUTED_VALUE"""),"难受")</f>
        <v>难受</v>
      </c>
      <c r="D1223" s="13" t="str">
        <f ca="1">IFERROR(__xludf.DUMMYFUNCTION("""COMPUTED_VALUE"""),"&lt;ruby&gt;难受&lt;rt&gt;nánshòu&lt;/rt&gt;&lt;/ruby&gt;")</f>
        <v>&lt;ruby&gt;难受&lt;rt&gt;nánshòu&lt;/rt&gt;&lt;/ruby&gt;</v>
      </c>
      <c r="E1223" s="13" t="str">
        <f ca="1">IFERROR(__xludf.DUMMYFUNCTION("""COMPUTED_VALUE"""),"nánshòu")</f>
        <v>nánshòu</v>
      </c>
      <c r="F1223" s="13" t="str">
        <f ca="1">IFERROR(__xludf.DUMMYFUNCTION("""COMPUTED_VALUE"""),"Tính từ")</f>
        <v>Tính từ</v>
      </c>
      <c r="G1223" s="13" t="str">
        <f ca="1">IFERROR(__xludf.DUMMYFUNCTION("""COMPUTED_VALUE"""),"bực bội, buồn rầu")</f>
        <v>bực bội, buồn rầu</v>
      </c>
      <c r="H1223" s="13" t="str">
        <f ca="1">IFERROR(__xludf.DUMMYFUNCTION("""COMPUTED_VALUE"""),"他因为没拿到第一名而感到难受。")</f>
        <v>他因为没拿到第一名而感到难受。</v>
      </c>
      <c r="I1223" s="13"/>
      <c r="J1223" s="13" t="str">
        <f ca="1">IFERROR(__xludf.DUMMYFUNCTION("""COMPUTED_VALUE"""),"Anh ấy cảm thấy khó chịu vì không giành được hạng nhất.")</f>
        <v>Anh ấy cảm thấy khó chịu vì không giành được hạng nhất.</v>
      </c>
      <c r="K1223" s="13" t="str">
        <f ca="1">IFERROR(__xludf.DUMMYFUNCTION("""COMPUTED_VALUE"""),"H4_B17_BG-26.png")</f>
        <v>H4_B17_BG-26.png</v>
      </c>
      <c r="L1223" s="13" t="str">
        <f ca="1">IFERROR(__xludf.DUMMYFUNCTION("""COMPUTED_VALUE"""),"B17_26.mp3")</f>
        <v>B17_26.mp3</v>
      </c>
      <c r="M1223" s="13" t="str">
        <f ca="1">IFERROR(__xludf.DUMMYFUNCTION("""COMPUTED_VALUE"""),"B17_VD_26.mp3")</f>
        <v>B17_VD_26.mp3</v>
      </c>
    </row>
    <row r="1224" spans="1:13">
      <c r="A1224" s="13">
        <f ca="1">IFERROR(__xludf.DUMMYFUNCTION("""COMPUTED_VALUE"""),27)</f>
        <v>27</v>
      </c>
      <c r="B1224" s="13"/>
      <c r="C1224" s="13" t="str">
        <f ca="1">IFERROR(__xludf.DUMMYFUNCTION("""COMPUTED_VALUE"""),"趟")</f>
        <v>趟</v>
      </c>
      <c r="D1224" s="13" t="str">
        <f ca="1">IFERROR(__xludf.DUMMYFUNCTION("""COMPUTED_VALUE"""),"&lt;ruby&gt;趟&lt;rt&gt;tàng&lt;/rt&gt;&lt;/ruby&gt;")</f>
        <v>&lt;ruby&gt;趟&lt;rt&gt;tàng&lt;/rt&gt;&lt;/ruby&gt;</v>
      </c>
      <c r="E1224" s="13" t="str">
        <f ca="1">IFERROR(__xludf.DUMMYFUNCTION("""COMPUTED_VALUE"""),"tàng")</f>
        <v>tàng</v>
      </c>
      <c r="F1224" s="13" t="str">
        <f ca="1">IFERROR(__xludf.DUMMYFUNCTION("""COMPUTED_VALUE"""),"Lượng từ")</f>
        <v>Lượng từ</v>
      </c>
      <c r="G1224" s="13" t="str">
        <f ca="1">IFERROR(__xludf.DUMMYFUNCTION("""COMPUTED_VALUE"""),"(được dùng để chỉ số lần đi lại) lần, chuyến")</f>
        <v>(được dùng để chỉ số lần đi lại) lần, chuyến</v>
      </c>
      <c r="H1224" s="13" t="str">
        <f ca="1">IFERROR(__xludf.DUMMYFUNCTION("""COMPUTED_VALUE"""),"我想去意大利一趟。")</f>
        <v>我想去意大利一趟。</v>
      </c>
      <c r="I1224" s="13"/>
      <c r="J1224" s="13" t="str">
        <f ca="1">IFERROR(__xludf.DUMMYFUNCTION("""COMPUTED_VALUE"""),"Tôi muốn đến nước Ý một lần.")</f>
        <v>Tôi muốn đến nước Ý một lần.</v>
      </c>
      <c r="K1224" s="13" t="str">
        <f ca="1">IFERROR(__xludf.DUMMYFUNCTION("""COMPUTED_VALUE"""),"H4_B17_BG-27.png")</f>
        <v>H4_B17_BG-27.png</v>
      </c>
      <c r="L1224" s="13" t="str">
        <f ca="1">IFERROR(__xludf.DUMMYFUNCTION("""COMPUTED_VALUE"""),"B17_27.mp3")</f>
        <v>B17_27.mp3</v>
      </c>
      <c r="M1224" s="13" t="str">
        <f ca="1">IFERROR(__xludf.DUMMYFUNCTION("""COMPUTED_VALUE"""),"B17_VD_27.mp3")</f>
        <v>B17_VD_27.mp3</v>
      </c>
    </row>
    <row r="1225" spans="1:13">
      <c r="A1225" s="13">
        <f ca="1">IFERROR(__xludf.DUMMYFUNCTION("""COMPUTED_VALUE"""),28)</f>
        <v>28</v>
      </c>
      <c r="B1225" s="13"/>
      <c r="C1225" s="13" t="str">
        <f ca="1">IFERROR(__xludf.DUMMYFUNCTION("""COMPUTED_VALUE"""),"剩")</f>
        <v>剩</v>
      </c>
      <c r="D1225" s="13" t="str">
        <f ca="1">IFERROR(__xludf.DUMMYFUNCTION("""COMPUTED_VALUE"""),"&lt;ruby&gt;剩&lt;rt&gt;shèng&lt;/rt&gt;&lt;/ruby&gt;")</f>
        <v>&lt;ruby&gt;剩&lt;rt&gt;shèng&lt;/rt&gt;&lt;/ruby&gt;</v>
      </c>
      <c r="E1225" s="13" t="str">
        <f ca="1">IFERROR(__xludf.DUMMYFUNCTION("""COMPUTED_VALUE"""),"shèng")</f>
        <v>shèng</v>
      </c>
      <c r="F1225" s="13" t="str">
        <f ca="1">IFERROR(__xludf.DUMMYFUNCTION("""COMPUTED_VALUE"""),"Động từ")</f>
        <v>Động từ</v>
      </c>
      <c r="G1225" s="13" t="str">
        <f ca="1">IFERROR(__xludf.DUMMYFUNCTION("""COMPUTED_VALUE"""),"còn lại")</f>
        <v>còn lại</v>
      </c>
      <c r="H1225" s="13" t="str">
        <f ca="1">IFERROR(__xludf.DUMMYFUNCTION("""COMPUTED_VALUE"""),"这块鱼只剩下骨头了。")</f>
        <v>这块鱼只剩下骨头了。</v>
      </c>
      <c r="I1225" s="13"/>
      <c r="J1225" s="13" t="str">
        <f ca="1">IFERROR(__xludf.DUMMYFUNCTION("""COMPUTED_VALUE"""),"Miếng cá này chỉ còn lại xương.")</f>
        <v>Miếng cá này chỉ còn lại xương.</v>
      </c>
      <c r="K1225" s="13" t="str">
        <f ca="1">IFERROR(__xludf.DUMMYFUNCTION("""COMPUTED_VALUE"""),"H4_B17_BG-28.png")</f>
        <v>H4_B17_BG-28.png</v>
      </c>
      <c r="L1225" s="13" t="str">
        <f ca="1">IFERROR(__xludf.DUMMYFUNCTION("""COMPUTED_VALUE"""),"B17_28.mp3")</f>
        <v>B17_28.mp3</v>
      </c>
      <c r="M1225" s="13" t="str">
        <f ca="1">IFERROR(__xludf.DUMMYFUNCTION("""COMPUTED_VALUE"""),"B17_VD_28.mp3")</f>
        <v>B17_VD_28.mp3</v>
      </c>
    </row>
    <row r="1226" spans="1:13">
      <c r="A1226" s="13">
        <f ca="1">IFERROR(__xludf.DUMMYFUNCTION("""COMPUTED_VALUE"""),29)</f>
        <v>29</v>
      </c>
      <c r="B1226" s="13"/>
      <c r="C1226" s="13" t="str">
        <f ca="1">IFERROR(__xludf.DUMMYFUNCTION("""COMPUTED_VALUE"""),"仍然")</f>
        <v>仍然</v>
      </c>
      <c r="D1226" s="13" t="str">
        <f ca="1">IFERROR(__xludf.DUMMYFUNCTION("""COMPUTED_VALUE"""),"&lt;ruby&gt;仍然&lt;rt&gt;réngrán&lt;/rt&gt;&lt;/ruby&gt;")</f>
        <v>&lt;ruby&gt;仍然&lt;rt&gt;réngrán&lt;/rt&gt;&lt;/ruby&gt;</v>
      </c>
      <c r="E1226" s="13" t="str">
        <f ca="1">IFERROR(__xludf.DUMMYFUNCTION("""COMPUTED_VALUE"""),"réngrán")</f>
        <v>réngrán</v>
      </c>
      <c r="F1226" s="13" t="str">
        <f ca="1">IFERROR(__xludf.DUMMYFUNCTION("""COMPUTED_VALUE"""),"Phó từ")</f>
        <v>Phó từ</v>
      </c>
      <c r="G1226" s="13" t="str">
        <f ca="1">IFERROR(__xludf.DUMMYFUNCTION("""COMPUTED_VALUE"""),"vẫn")</f>
        <v>vẫn</v>
      </c>
      <c r="H1226" s="13" t="str">
        <f ca="1">IFERROR(__xludf.DUMMYFUNCTION("""COMPUTED_VALUE"""),"虽然已经很晚了，她仍然在玩手机。")</f>
        <v>虽然已经很晚了，她仍然在玩手机。</v>
      </c>
      <c r="I1226" s="13"/>
      <c r="J1226" s="13" t="str">
        <f ca="1">IFERROR(__xludf.DUMMYFUNCTION("""COMPUTED_VALUE"""),"Tuy đã rất khuya rồi nhưng cô ấy vẫn tiếp tục dùng điện thoại.")</f>
        <v>Tuy đã rất khuya rồi nhưng cô ấy vẫn tiếp tục dùng điện thoại.</v>
      </c>
      <c r="K1226" s="13" t="str">
        <f ca="1">IFERROR(__xludf.DUMMYFUNCTION("""COMPUTED_VALUE"""),"H4_B17_BG-29.png")</f>
        <v>H4_B17_BG-29.png</v>
      </c>
      <c r="L1226" s="13" t="str">
        <f ca="1">IFERROR(__xludf.DUMMYFUNCTION("""COMPUTED_VALUE"""),"B17_29.mp3")</f>
        <v>B17_29.mp3</v>
      </c>
      <c r="M1226" s="13" t="str">
        <f ca="1">IFERROR(__xludf.DUMMYFUNCTION("""COMPUTED_VALUE"""),"B17_VD_29.mp3")</f>
        <v>B17_VD_29.mp3</v>
      </c>
    </row>
    <row r="1227" spans="1:13">
      <c r="A1227" s="13">
        <f ca="1">IFERROR(__xludf.DUMMYFUNCTION("""COMPUTED_VALUE"""),1)</f>
        <v>1</v>
      </c>
      <c r="B1227" s="13"/>
      <c r="C1227" s="13" t="str">
        <f ca="1">IFERROR(__xludf.DUMMYFUNCTION("""COMPUTED_VALUE"""),"降落")</f>
        <v>降落</v>
      </c>
      <c r="D1227" s="13" t="str">
        <f ca="1">IFERROR(__xludf.DUMMYFUNCTION("""COMPUTED_VALUE"""),"&lt;ruby&gt;降落&lt;rt&gt;xiàngluò&lt;/rt&gt;&lt;/ruby&gt;")</f>
        <v>&lt;ruby&gt;降落&lt;rt&gt;xiàngluò&lt;/rt&gt;&lt;/ruby&gt;</v>
      </c>
      <c r="E1227" s="13" t="str">
        <f ca="1">IFERROR(__xludf.DUMMYFUNCTION("""COMPUTED_VALUE"""),"xiàngluò")</f>
        <v>xiàngluò</v>
      </c>
      <c r="F1227" s="13" t="str">
        <f ca="1">IFERROR(__xludf.DUMMYFUNCTION("""COMPUTED_VALUE"""),"Động từ")</f>
        <v>Động từ</v>
      </c>
      <c r="G1227" s="13" t="str">
        <f ca="1">IFERROR(__xludf.DUMMYFUNCTION("""COMPUTED_VALUE"""),"đáp xuống, hạ cánh")</f>
        <v>đáp xuống, hạ cánh</v>
      </c>
      <c r="H1227" s="13" t="str">
        <f ca="1">IFERROR(__xludf.DUMMYFUNCTION("""COMPUTED_VALUE"""),"飞机降落在机场。")</f>
        <v>飞机降落在机场。</v>
      </c>
      <c r="I1227" s="13"/>
      <c r="J1227" s="13" t="str">
        <f ca="1">IFERROR(__xludf.DUMMYFUNCTION("""COMPUTED_VALUE"""),"Máy bay hạ cánh xuống sân bay.")</f>
        <v>Máy bay hạ cánh xuống sân bay.</v>
      </c>
      <c r="K1227" s="13" t="str">
        <f ca="1">IFERROR(__xludf.DUMMYFUNCTION("""COMPUTED_VALUE"""),"H4_B18_BG-01.png")</f>
        <v>H4_B18_BG-01.png</v>
      </c>
      <c r="L1227" s="13" t="str">
        <f ca="1">IFERROR(__xludf.DUMMYFUNCTION("""COMPUTED_VALUE"""),"B18_1.mp3")</f>
        <v>B18_1.mp3</v>
      </c>
      <c r="M1227" s="13" t="str">
        <f ca="1">IFERROR(__xludf.DUMMYFUNCTION("""COMPUTED_VALUE"""),"B18_VD_1.mp3")</f>
        <v>B18_VD_1.mp3</v>
      </c>
    </row>
    <row r="1228" spans="1:13">
      <c r="A1228" s="13">
        <f ca="1">IFERROR(__xludf.DUMMYFUNCTION("""COMPUTED_VALUE"""),2)</f>
        <v>2</v>
      </c>
      <c r="B1228" s="13"/>
      <c r="C1228" s="13" t="str">
        <f ca="1">IFERROR(__xludf.DUMMYFUNCTION("""COMPUTED_VALUE"""),"交通")</f>
        <v>交通</v>
      </c>
      <c r="D1228" s="13" t="str">
        <f ca="1">IFERROR(__xludf.DUMMYFUNCTION("""COMPUTED_VALUE"""),"&lt;ruby&gt;交通&lt;rt&gt;jiāotōng&lt;/rt&gt;&lt;/ruby&gt;")</f>
        <v>&lt;ruby&gt;交通&lt;rt&gt;jiāotōng&lt;/rt&gt;&lt;/ruby&gt;</v>
      </c>
      <c r="E1228" s="13" t="str">
        <f ca="1">IFERROR(__xludf.DUMMYFUNCTION("""COMPUTED_VALUE"""),"jiāotōng")</f>
        <v>jiāotōng</v>
      </c>
      <c r="F1228" s="13" t="str">
        <f ca="1">IFERROR(__xludf.DUMMYFUNCTION("""COMPUTED_VALUE"""),"Danh từ")</f>
        <v>Danh từ</v>
      </c>
      <c r="G1228" s="13" t="str">
        <f ca="1">IFERROR(__xludf.DUMMYFUNCTION("""COMPUTED_VALUE"""),"giao thông, thông tin liên lạc")</f>
        <v>giao thông, thông tin liên lạc</v>
      </c>
      <c r="H1228" s="13" t="str">
        <f ca="1">IFERROR(__xludf.DUMMYFUNCTION("""COMPUTED_VALUE"""),"交通状况很好。")</f>
        <v>交通状况很好。</v>
      </c>
      <c r="I1228" s="13"/>
      <c r="J1228" s="13" t="str">
        <f ca="1">IFERROR(__xludf.DUMMYFUNCTION("""COMPUTED_VALUE"""),"Tình hình lưu thông giao thông rất tốt.")</f>
        <v>Tình hình lưu thông giao thông rất tốt.</v>
      </c>
      <c r="K1228" s="13" t="str">
        <f ca="1">IFERROR(__xludf.DUMMYFUNCTION("""COMPUTED_VALUE"""),"H4_B18_BG-02.png")</f>
        <v>H4_B18_BG-02.png</v>
      </c>
      <c r="L1228" s="13" t="str">
        <f ca="1">IFERROR(__xludf.DUMMYFUNCTION("""COMPUTED_VALUE"""),"B18_2.mp3")</f>
        <v>B18_2.mp3</v>
      </c>
      <c r="M1228" s="13" t="str">
        <f ca="1">IFERROR(__xludf.DUMMYFUNCTION("""COMPUTED_VALUE"""),"B18_VD_2.mp3")</f>
        <v>B18_VD_2.mp3</v>
      </c>
    </row>
    <row r="1229" spans="1:13">
      <c r="A1229" s="13">
        <f ca="1">IFERROR(__xludf.DUMMYFUNCTION("""COMPUTED_VALUE"""),3)</f>
        <v>3</v>
      </c>
      <c r="B1229" s="13"/>
      <c r="C1229" s="13" t="str">
        <f ca="1">IFERROR(__xludf.DUMMYFUNCTION("""COMPUTED_VALUE"""),"技术")</f>
        <v>技术</v>
      </c>
      <c r="D1229" s="13" t="str">
        <f ca="1">IFERROR(__xludf.DUMMYFUNCTION("""COMPUTED_VALUE"""),"&lt;ruby&gt;技术&lt;rt&gt;jìshù&lt;/rt&gt;&lt;/ruby&gt;")</f>
        <v>&lt;ruby&gt;技术&lt;rt&gt;jìshù&lt;/rt&gt;&lt;/ruby&gt;</v>
      </c>
      <c r="E1229" s="13" t="str">
        <f ca="1">IFERROR(__xludf.DUMMYFUNCTION("""COMPUTED_VALUE"""),"jìshù")</f>
        <v>jìshù</v>
      </c>
      <c r="F1229" s="13" t="str">
        <f ca="1">IFERROR(__xludf.DUMMYFUNCTION("""COMPUTED_VALUE"""),"Danh từ")</f>
        <v>Danh từ</v>
      </c>
      <c r="G1229" s="13" t="str">
        <f ca="1">IFERROR(__xludf.DUMMYFUNCTION("""COMPUTED_VALUE"""),"kỹ thuật, công nghệ")</f>
        <v>kỹ thuật, công nghệ</v>
      </c>
      <c r="H1229" s="13" t="str">
        <f ca="1">IFERROR(__xludf.DUMMYFUNCTION("""COMPUTED_VALUE""")," 我们公司采用了最新的技术。")</f>
        <v xml:space="preserve"> 我们公司采用了最新的技术。</v>
      </c>
      <c r="I1229" s="13"/>
      <c r="J1229" s="13" t="str">
        <f ca="1">IFERROR(__xludf.DUMMYFUNCTION("""COMPUTED_VALUE"""),"Công ty chúng tôi đã áp dụng công nghệ mới nhất.")</f>
        <v>Công ty chúng tôi đã áp dụng công nghệ mới nhất.</v>
      </c>
      <c r="K1229" s="13" t="str">
        <f ca="1">IFERROR(__xludf.DUMMYFUNCTION("""COMPUTED_VALUE"""),"H4_B18_BG-03.png")</f>
        <v>H4_B18_BG-03.png</v>
      </c>
      <c r="L1229" s="13" t="str">
        <f ca="1">IFERROR(__xludf.DUMMYFUNCTION("""COMPUTED_VALUE"""),"B18_3.mp3")</f>
        <v>B18_3.mp3</v>
      </c>
      <c r="M1229" s="13" t="str">
        <f ca="1">IFERROR(__xludf.DUMMYFUNCTION("""COMPUTED_VALUE"""),"B18_VD_3.mp3")</f>
        <v>B18_VD_3.mp3</v>
      </c>
    </row>
    <row r="1230" spans="1:13">
      <c r="A1230" s="13">
        <f ca="1">IFERROR(__xludf.DUMMYFUNCTION("""COMPUTED_VALUE"""),4)</f>
        <v>4</v>
      </c>
      <c r="B1230" s="13"/>
      <c r="C1230" s="13" t="str">
        <f ca="1">IFERROR(__xludf.DUMMYFUNCTION("""COMPUTED_VALUE"""),"安全")</f>
        <v>安全</v>
      </c>
      <c r="D1230" s="13" t="str">
        <f ca="1">IFERROR(__xludf.DUMMYFUNCTION("""COMPUTED_VALUE"""),"&lt;ruby&gt;安全&lt;rt&gt;ānquán&lt;/rt&gt;&lt;/ruby&gt;")</f>
        <v>&lt;ruby&gt;安全&lt;rt&gt;ānquán&lt;/rt&gt;&lt;/ruby&gt;</v>
      </c>
      <c r="E1230" s="13" t="str">
        <f ca="1">IFERROR(__xludf.DUMMYFUNCTION("""COMPUTED_VALUE"""),"ānquán")</f>
        <v>ānquán</v>
      </c>
      <c r="F1230" s="13" t="str">
        <f ca="1">IFERROR(__xludf.DUMMYFUNCTION("""COMPUTED_VALUE"""),"Tính từ")</f>
        <v>Tính từ</v>
      </c>
      <c r="G1230" s="13" t="str">
        <f ca="1">IFERROR(__xludf.DUMMYFUNCTION("""COMPUTED_VALUE"""),"an toàn")</f>
        <v>an toàn</v>
      </c>
      <c r="H1230" s="13" t="str">
        <f ca="1">IFERROR(__xludf.DUMMYFUNCTION("""COMPUTED_VALUE"""),"开车时一定要系好安全带。")</f>
        <v>开车时一定要系好安全带。</v>
      </c>
      <c r="I1230" s="13"/>
      <c r="J1230" s="13" t="str">
        <f ca="1">IFERROR(__xludf.DUMMYFUNCTION("""COMPUTED_VALUE"""),"Khi lái ô tô thì phải nhớ cài dây an toàn.")</f>
        <v>Khi lái ô tô thì phải nhớ cài dây an toàn.</v>
      </c>
      <c r="K1230" s="13" t="str">
        <f ca="1">IFERROR(__xludf.DUMMYFUNCTION("""COMPUTED_VALUE"""),"H4_B18_BG-04.png")</f>
        <v>H4_B18_BG-04.png</v>
      </c>
      <c r="L1230" s="13" t="str">
        <f ca="1">IFERROR(__xludf.DUMMYFUNCTION("""COMPUTED_VALUE"""),"B18_4.mp3")</f>
        <v>B18_4.mp3</v>
      </c>
      <c r="M1230" s="13" t="str">
        <f ca="1">IFERROR(__xludf.DUMMYFUNCTION("""COMPUTED_VALUE"""),"B18_VD_4.mp3")</f>
        <v>B18_VD_4.mp3</v>
      </c>
    </row>
    <row r="1231" spans="1:13">
      <c r="A1231" s="13">
        <f ca="1">IFERROR(__xludf.DUMMYFUNCTION("""COMPUTED_VALUE"""),5)</f>
        <v>5</v>
      </c>
      <c r="B1231" s="13"/>
      <c r="C1231" s="13" t="str">
        <f ca="1">IFERROR(__xludf.DUMMYFUNCTION("""COMPUTED_VALUE"""),"允许")</f>
        <v>允许</v>
      </c>
      <c r="D1231" s="13" t="str">
        <f ca="1">IFERROR(__xludf.DUMMYFUNCTION("""COMPUTED_VALUE"""),"&lt;ruby&gt;允许&lt;rt&gt;yǔnxǔ&lt;/rt&gt;&lt;/ruby&gt;")</f>
        <v>&lt;ruby&gt;允许&lt;rt&gt;yǔnxǔ&lt;/rt&gt;&lt;/ruby&gt;</v>
      </c>
      <c r="E1231" s="13" t="str">
        <f ca="1">IFERROR(__xludf.DUMMYFUNCTION("""COMPUTED_VALUE"""),"yǔnxǔ")</f>
        <v>yǔnxǔ</v>
      </c>
      <c r="F1231" s="13" t="str">
        <f ca="1">IFERROR(__xludf.DUMMYFUNCTION("""COMPUTED_VALUE"""),"Động từ")</f>
        <v>Động từ</v>
      </c>
      <c r="G1231" s="13" t="str">
        <f ca="1">IFERROR(__xludf.DUMMYFUNCTION("""COMPUTED_VALUE"""),"cho phép")</f>
        <v>cho phép</v>
      </c>
      <c r="H1231" s="13" t="str">
        <f ca="1">IFERROR(__xludf.DUMMYFUNCTION("""COMPUTED_VALUE"""),"妈妈虽然很严格，但她总是允许我追求自己的梦想。")</f>
        <v>妈妈虽然很严格，但她总是允许我追求自己的梦想。</v>
      </c>
      <c r="I1231" s="13"/>
      <c r="J1231" s="13" t="str">
        <f ca="1">IFERROR(__xludf.DUMMYFUNCTION("""COMPUTED_VALUE"""),"Mẹ tuy là người nghiêm khắc nhưng mẹ luôn cho phép tôi theo đuổi ước mơ riêng của mình.")</f>
        <v>Mẹ tuy là người nghiêm khắc nhưng mẹ luôn cho phép tôi theo đuổi ước mơ riêng của mình.</v>
      </c>
      <c r="K1231" s="13" t="str">
        <f ca="1">IFERROR(__xludf.DUMMYFUNCTION("""COMPUTED_VALUE"""),"H4_B18_BG-05.png")</f>
        <v>H4_B18_BG-05.png</v>
      </c>
      <c r="L1231" s="13" t="str">
        <f ca="1">IFERROR(__xludf.DUMMYFUNCTION("""COMPUTED_VALUE"""),"B18_5.mp3")</f>
        <v>B18_5.mp3</v>
      </c>
      <c r="M1231" s="13" t="str">
        <f ca="1">IFERROR(__xludf.DUMMYFUNCTION("""COMPUTED_VALUE"""),"B18_VD_5.mp3")</f>
        <v>B18_VD_5.mp3</v>
      </c>
    </row>
    <row r="1232" spans="1:13">
      <c r="A1232" s="13">
        <f ca="1">IFERROR(__xludf.DUMMYFUNCTION("""COMPUTED_VALUE"""),6)</f>
        <v>6</v>
      </c>
      <c r="B1232" s="13"/>
      <c r="C1232" s="13" t="str">
        <f ca="1">IFERROR(__xludf.DUMMYFUNCTION("""COMPUTED_VALUE"""),"座")</f>
        <v>座</v>
      </c>
      <c r="D1232" s="13" t="str">
        <f ca="1">IFERROR(__xludf.DUMMYFUNCTION("""COMPUTED_VALUE"""),"&lt;ruby&gt;座&lt;rt&gt;zuò&lt;/rt&gt;&lt;/ruby&gt;")</f>
        <v>&lt;ruby&gt;座&lt;rt&gt;zuò&lt;/rt&gt;&lt;/ruby&gt;</v>
      </c>
      <c r="E1232" s="13" t="str">
        <f ca="1">IFERROR(__xludf.DUMMYFUNCTION("""COMPUTED_VALUE"""),"zuò")</f>
        <v>zuò</v>
      </c>
      <c r="F1232" s="13" t="str">
        <f ca="1">IFERROR(__xludf.DUMMYFUNCTION("""COMPUTED_VALUE"""),"Lượng từ")</f>
        <v>Lượng từ</v>
      </c>
      <c r="G1232" s="13" t="str">
        <f ca="1">IFERROR(__xludf.DUMMYFUNCTION("""COMPUTED_VALUE"""),"(được dùng cho cây cầu, núi, cao ốc...) tòa, hòn, cây")</f>
        <v>(được dùng cho cây cầu, núi, cao ốc...) tòa, hòn, cây</v>
      </c>
      <c r="H1232" s="13" t="str">
        <f ca="1">IFERROR(__xludf.DUMMYFUNCTION("""COMPUTED_VALUE"""),"这座山比那座山高。")</f>
        <v>这座山比那座山高。</v>
      </c>
      <c r="I1232" s="13"/>
      <c r="J1232" s="13" t="str">
        <f ca="1">IFERROR(__xludf.DUMMYFUNCTION("""COMPUTED_VALUE"""),"Ngọn núi này cao hơn ngọn núi kia.")</f>
        <v>Ngọn núi này cao hơn ngọn núi kia.</v>
      </c>
      <c r="K1232" s="13" t="str">
        <f ca="1">IFERROR(__xludf.DUMMYFUNCTION("""COMPUTED_VALUE"""),"H4_B18_BG-06.png")</f>
        <v>H4_B18_BG-06.png</v>
      </c>
      <c r="L1232" s="13" t="str">
        <f ca="1">IFERROR(__xludf.DUMMYFUNCTION("""COMPUTED_VALUE"""),"B18_6.mp3")</f>
        <v>B18_6.mp3</v>
      </c>
      <c r="M1232" s="13" t="str">
        <f ca="1">IFERROR(__xludf.DUMMYFUNCTION("""COMPUTED_VALUE"""),"B18_VD_6.mp3")</f>
        <v>B18_VD_6.mp3</v>
      </c>
    </row>
    <row r="1233" spans="1:13">
      <c r="A1233" s="13">
        <f ca="1">IFERROR(__xludf.DUMMYFUNCTION("""COMPUTED_VALUE"""),7)</f>
        <v>7</v>
      </c>
      <c r="B1233" s="13"/>
      <c r="C1233" s="13" t="str">
        <f ca="1">IFERROR(__xludf.DUMMYFUNCTION("""COMPUTED_VALUE"""),"桥")</f>
        <v>桥</v>
      </c>
      <c r="D1233" s="13" t="str">
        <f ca="1">IFERROR(__xludf.DUMMYFUNCTION("""COMPUTED_VALUE"""),"&lt;ruby&gt;桥&lt;rt&gt;qiáo&lt;/rt&gt;&lt;/ruby&gt;")</f>
        <v>&lt;ruby&gt;桥&lt;rt&gt;qiáo&lt;/rt&gt;&lt;/ruby&gt;</v>
      </c>
      <c r="E1233" s="13" t="str">
        <f ca="1">IFERROR(__xludf.DUMMYFUNCTION("""COMPUTED_VALUE"""),"qiáo")</f>
        <v>qiáo</v>
      </c>
      <c r="F1233" s="13" t="str">
        <f ca="1">IFERROR(__xludf.DUMMYFUNCTION("""COMPUTED_VALUE"""),"Danh từ")</f>
        <v>Danh từ</v>
      </c>
      <c r="G1233" s="13" t="str">
        <f ca="1">IFERROR(__xludf.DUMMYFUNCTION("""COMPUTED_VALUE"""),"cầu")</f>
        <v>cầu</v>
      </c>
      <c r="H1233" s="13" t="str">
        <f ca="1">IFERROR(__xludf.DUMMYFUNCTION("""COMPUTED_VALUE"""),"湖上有一座小桥。")</f>
        <v>湖上有一座小桥。</v>
      </c>
      <c r="I1233" s="13"/>
      <c r="J1233" s="13" t="str">
        <f ca="1">IFERROR(__xludf.DUMMYFUNCTION("""COMPUTED_VALUE"""),"Trên hồ có một cây cầu nhỏ.")</f>
        <v>Trên hồ có một cây cầu nhỏ.</v>
      </c>
      <c r="K1233" s="13" t="str">
        <f ca="1">IFERROR(__xludf.DUMMYFUNCTION("""COMPUTED_VALUE"""),"H4_B18_BG-07.png")</f>
        <v>H4_B18_BG-07.png</v>
      </c>
      <c r="L1233" s="13" t="str">
        <f ca="1">IFERROR(__xludf.DUMMYFUNCTION("""COMPUTED_VALUE"""),"B18_7.mp3")</f>
        <v>B18_7.mp3</v>
      </c>
      <c r="M1233" s="13" t="str">
        <f ca="1">IFERROR(__xludf.DUMMYFUNCTION("""COMPUTED_VALUE"""),"B18_VD_7.mp3")</f>
        <v>B18_VD_7.mp3</v>
      </c>
    </row>
    <row r="1234" spans="1:13">
      <c r="A1234" s="13">
        <f ca="1">IFERROR(__xludf.DUMMYFUNCTION("""COMPUTED_VALUE"""),8)</f>
        <v>8</v>
      </c>
      <c r="B1234" s="13"/>
      <c r="C1234" s="13" t="str">
        <f ca="1">IFERROR(__xludf.DUMMYFUNCTION("""COMPUTED_VALUE"""),"危险")</f>
        <v>危险</v>
      </c>
      <c r="D1234" s="13" t="str">
        <f ca="1">IFERROR(__xludf.DUMMYFUNCTION("""COMPUTED_VALUE"""),"&lt;ruby&gt;危险&lt;rt&gt;wēixiǎn&lt;/rt&gt;&lt;/ruby&gt;")</f>
        <v>&lt;ruby&gt;危险&lt;rt&gt;wēixiǎn&lt;/rt&gt;&lt;/ruby&gt;</v>
      </c>
      <c r="E1234" s="13" t="str">
        <f ca="1">IFERROR(__xludf.DUMMYFUNCTION("""COMPUTED_VALUE"""),"wēixiǎn")</f>
        <v>wēixiǎn</v>
      </c>
      <c r="F1234" s="13" t="str">
        <f ca="1">IFERROR(__xludf.DUMMYFUNCTION("""COMPUTED_VALUE"""),"Tính từ")</f>
        <v>Tính từ</v>
      </c>
      <c r="G1234" s="13" t="str">
        <f ca="1">IFERROR(__xludf.DUMMYFUNCTION("""COMPUTED_VALUE"""),"nguy hiểm")</f>
        <v>nguy hiểm</v>
      </c>
      <c r="H1234" s="13" t="str">
        <f ca="1">IFERROR(__xludf.DUMMYFUNCTION("""COMPUTED_VALUE"""),"小孩子不应该在水深超过1.2米的地方游泳，因为很危险。")</f>
        <v>小孩子不应该在水深超过1.2米的地方游泳，因为很危险。</v>
      </c>
      <c r="I1234" s="13"/>
      <c r="J1234" s="13" t="str">
        <f ca="1">IFERROR(__xludf.DUMMYFUNCTION("""COMPUTED_VALUE"""),"Trẻ nhỏ không nên bơi ở khu vực có mực nước cao trên 1m2 vì rất nguy hiểm.")</f>
        <v>Trẻ nhỏ không nên bơi ở khu vực có mực nước cao trên 1m2 vì rất nguy hiểm.</v>
      </c>
      <c r="K1234" s="13" t="str">
        <f ca="1">IFERROR(__xludf.DUMMYFUNCTION("""COMPUTED_VALUE"""),"H4_B18_BG-08.png")</f>
        <v>H4_B18_BG-08.png</v>
      </c>
      <c r="L1234" s="13" t="str">
        <f ca="1">IFERROR(__xludf.DUMMYFUNCTION("""COMPUTED_VALUE"""),"B18_8.mp3")</f>
        <v>B18_8.mp3</v>
      </c>
      <c r="M1234" s="13" t="str">
        <f ca="1">IFERROR(__xludf.DUMMYFUNCTION("""COMPUTED_VALUE"""),"B18_VD_8.mp3")</f>
        <v>B18_VD_8.mp3</v>
      </c>
    </row>
    <row r="1235" spans="1:13">
      <c r="A1235" s="13">
        <f ca="1">IFERROR(__xludf.DUMMYFUNCTION("""COMPUTED_VALUE"""),9)</f>
        <v>9</v>
      </c>
      <c r="B1235" s="13"/>
      <c r="C1235" s="13" t="str">
        <f ca="1">IFERROR(__xludf.DUMMYFUNCTION("""COMPUTED_VALUE"""),"警察")</f>
        <v>警察</v>
      </c>
      <c r="D1235" s="13" t="str">
        <f ca="1">IFERROR(__xludf.DUMMYFUNCTION("""COMPUTED_VALUE"""),"&lt;ruby&gt;警察&lt;rt&gt;jǐngchá&lt;/rt&gt;&lt;/ruby&gt;")</f>
        <v>&lt;ruby&gt;警察&lt;rt&gt;jǐngchá&lt;/rt&gt;&lt;/ruby&gt;</v>
      </c>
      <c r="E1235" s="13" t="str">
        <f ca="1">IFERROR(__xludf.DUMMYFUNCTION("""COMPUTED_VALUE"""),"jǐngchá")</f>
        <v>jǐngchá</v>
      </c>
      <c r="F1235" s="13" t="str">
        <f ca="1">IFERROR(__xludf.DUMMYFUNCTION("""COMPUTED_VALUE"""),"Danh từ")</f>
        <v>Danh từ</v>
      </c>
      <c r="G1235" s="13" t="str">
        <f ca="1">IFERROR(__xludf.DUMMYFUNCTION("""COMPUTED_VALUE"""),"cảnh sát")</f>
        <v>cảnh sát</v>
      </c>
      <c r="H1235" s="13" t="str">
        <f ca="1">IFERROR(__xludf.DUMMYFUNCTION("""COMPUTED_VALUE""")," 他是一名优秀的警察。")</f>
        <v xml:space="preserve"> 他是一名优秀的警察。</v>
      </c>
      <c r="I1235" s="13"/>
      <c r="J1235" s="13" t="str">
        <f ca="1">IFERROR(__xludf.DUMMYFUNCTION("""COMPUTED_VALUE"""),"Anh ấy là một cảnh sát ưu tú.")</f>
        <v>Anh ấy là một cảnh sát ưu tú.</v>
      </c>
      <c r="K1235" s="13" t="str">
        <f ca="1">IFERROR(__xludf.DUMMYFUNCTION("""COMPUTED_VALUE"""),"H4_B18_BG-09.png")</f>
        <v>H4_B18_BG-09.png</v>
      </c>
      <c r="L1235" s="13" t="str">
        <f ca="1">IFERROR(__xludf.DUMMYFUNCTION("""COMPUTED_VALUE"""),"B18_9.mp3")</f>
        <v>B18_9.mp3</v>
      </c>
      <c r="M1235" s="13" t="str">
        <f ca="1">IFERROR(__xludf.DUMMYFUNCTION("""COMPUTED_VALUE"""),"B18_VD_9.mp3")</f>
        <v>B18_VD_9.mp3</v>
      </c>
    </row>
    <row r="1236" spans="1:13">
      <c r="A1236" s="13">
        <f ca="1">IFERROR(__xludf.DUMMYFUNCTION("""COMPUTED_VALUE"""),10)</f>
        <v>10</v>
      </c>
      <c r="B1236" s="13"/>
      <c r="C1236" s="13" t="str">
        <f ca="1">IFERROR(__xludf.DUMMYFUNCTION("""COMPUTED_VALUE"""),"抓")</f>
        <v>抓</v>
      </c>
      <c r="D1236" s="13" t="str">
        <f ca="1">IFERROR(__xludf.DUMMYFUNCTION("""COMPUTED_VALUE"""),"&lt;ruby&gt;抓&lt;rt&gt;zhuā&lt;/rt&gt;&lt;/ruby&gt;")</f>
        <v>&lt;ruby&gt;抓&lt;rt&gt;zhuā&lt;/rt&gt;&lt;/ruby&gt;</v>
      </c>
      <c r="E1236" s="13" t="str">
        <f ca="1">IFERROR(__xludf.DUMMYFUNCTION("""COMPUTED_VALUE"""),"zhuā")</f>
        <v>zhuā</v>
      </c>
      <c r="F1236" s="13" t="str">
        <f ca="1">IFERROR(__xludf.DUMMYFUNCTION("""COMPUTED_VALUE"""),"Động từ")</f>
        <v>Động từ</v>
      </c>
      <c r="G1236" s="13" t="str">
        <f ca="1">IFERROR(__xludf.DUMMYFUNCTION("""COMPUTED_VALUE"""),"bắt, túm")</f>
        <v>bắt, túm</v>
      </c>
      <c r="H1236" s="13" t="str">
        <f ca="1">IFERROR(__xludf.DUMMYFUNCTION("""COMPUTED_VALUE"""),"警察正在抓坏人。")</f>
        <v>警察正在抓坏人。</v>
      </c>
      <c r="I1236" s="13"/>
      <c r="J1236" s="13" t="str">
        <f ca="1">IFERROR(__xludf.DUMMYFUNCTION("""COMPUTED_VALUE"""),"Cảnh sát đang truy bắt kẻ xấu.")</f>
        <v>Cảnh sát đang truy bắt kẻ xấu.</v>
      </c>
      <c r="K1236" s="13" t="str">
        <f ca="1">IFERROR(__xludf.DUMMYFUNCTION("""COMPUTED_VALUE"""),"H4_B18_BG-10.png")</f>
        <v>H4_B18_BG-10.png</v>
      </c>
      <c r="L1236" s="13" t="str">
        <f ca="1">IFERROR(__xludf.DUMMYFUNCTION("""COMPUTED_VALUE"""),"B18_10.mp3")</f>
        <v>B18_10.mp3</v>
      </c>
      <c r="M1236" s="13" t="str">
        <f ca="1">IFERROR(__xludf.DUMMYFUNCTION("""COMPUTED_VALUE"""),"B18_VD_10.mp3")</f>
        <v>B18_VD_10.mp3</v>
      </c>
    </row>
    <row r="1237" spans="1:13">
      <c r="A1237" s="13">
        <f ca="1">IFERROR(__xludf.DUMMYFUNCTION("""COMPUTED_VALUE"""),11)</f>
        <v>11</v>
      </c>
      <c r="B1237" s="13"/>
      <c r="C1237" s="13" t="str">
        <f ca="1">IFERROR(__xludf.DUMMYFUNCTION("""COMPUTED_VALUE"""),"迷路")</f>
        <v>迷路</v>
      </c>
      <c r="D1237" s="13" t="str">
        <f ca="1">IFERROR(__xludf.DUMMYFUNCTION("""COMPUTED_VALUE"""),"&lt;ruby&gt;迷路&lt;rt&gt;mí lù&lt;/rt&gt;&lt;/ruby&gt;")</f>
        <v>&lt;ruby&gt;迷路&lt;rt&gt;mí lù&lt;/rt&gt;&lt;/ruby&gt;</v>
      </c>
      <c r="E1237" s="13" t="str">
        <f ca="1">IFERROR(__xludf.DUMMYFUNCTION("""COMPUTED_VALUE"""),"mí lù")</f>
        <v>mí lù</v>
      </c>
      <c r="F1237" s="13" t="str">
        <f ca="1">IFERROR(__xludf.DUMMYFUNCTION("""COMPUTED_VALUE"""),"Động từ")</f>
        <v>Động từ</v>
      </c>
      <c r="G1237" s="13" t="str">
        <f ca="1">IFERROR(__xludf.DUMMYFUNCTION("""COMPUTED_VALUE"""),"lạc đường")</f>
        <v>lạc đường</v>
      </c>
      <c r="H1237" s="13" t="str">
        <f ca="1">IFERROR(__xludf.DUMMYFUNCTION("""COMPUTED_VALUE"""),"他走进森林深处，结果迷路了。")</f>
        <v>他走进森林深处，结果迷路了。</v>
      </c>
      <c r="I1237" s="13"/>
      <c r="J1237" s="13" t="str">
        <f ca="1">IFERROR(__xludf.DUMMYFUNCTION("""COMPUTED_VALUE"""),"Anh ấy đi sâu vào rừng nên đã bị lạc.")</f>
        <v>Anh ấy đi sâu vào rừng nên đã bị lạc.</v>
      </c>
      <c r="K1237" s="13" t="str">
        <f ca="1">IFERROR(__xludf.DUMMYFUNCTION("""COMPUTED_VALUE"""),"H4_B18_BG-11.png")</f>
        <v>H4_B18_BG-11.png</v>
      </c>
      <c r="L1237" s="13" t="str">
        <f ca="1">IFERROR(__xludf.DUMMYFUNCTION("""COMPUTED_VALUE"""),"B18_11.mp3")</f>
        <v>B18_11.mp3</v>
      </c>
      <c r="M1237" s="13" t="str">
        <f ca="1">IFERROR(__xludf.DUMMYFUNCTION("""COMPUTED_VALUE"""),"B18_VD_11.mp3")</f>
        <v>B18_VD_11.mp3</v>
      </c>
    </row>
    <row r="1238" spans="1:13">
      <c r="A1238" s="13">
        <f ca="1">IFERROR(__xludf.DUMMYFUNCTION("""COMPUTED_VALUE"""),12)</f>
        <v>12</v>
      </c>
      <c r="B1238" s="13"/>
      <c r="C1238" s="13" t="str">
        <f ca="1">IFERROR(__xludf.DUMMYFUNCTION("""COMPUTED_VALUE"""),"秒")</f>
        <v>秒</v>
      </c>
      <c r="D1238" s="13" t="str">
        <f ca="1">IFERROR(__xludf.DUMMYFUNCTION("""COMPUTED_VALUE"""),"&lt;ruby&gt;秒&lt;rt&gt;miǎo&lt;/rt&gt;&lt;/ruby&gt;")</f>
        <v>&lt;ruby&gt;秒&lt;rt&gt;miǎo&lt;/rt&gt;&lt;/ruby&gt;</v>
      </c>
      <c r="E1238" s="13" t="str">
        <f ca="1">IFERROR(__xludf.DUMMYFUNCTION("""COMPUTED_VALUE"""),"miǎo")</f>
        <v>miǎo</v>
      </c>
      <c r="F1238" s="13" t="str">
        <f ca="1">IFERROR(__xludf.DUMMYFUNCTION("""COMPUTED_VALUE"""),"Lượng từ")</f>
        <v>Lượng từ</v>
      </c>
      <c r="G1238" s="13" t="str">
        <f ca="1">IFERROR(__xludf.DUMMYFUNCTION("""COMPUTED_VALUE"""),"giây")</f>
        <v>giây</v>
      </c>
      <c r="H1238" s="13" t="str">
        <f ca="1">IFERROR(__xludf.DUMMYFUNCTION("""COMPUTED_VALUE""")," 还有30秒就结束了。")</f>
        <v xml:space="preserve"> 还有30秒就结束了。</v>
      </c>
      <c r="I1238" s="13"/>
      <c r="J1238" s="13" t="str">
        <f ca="1">IFERROR(__xludf.DUMMYFUNCTION("""COMPUTED_VALUE"""),"Còn 30 giây nữa là kết thúc.")</f>
        <v>Còn 30 giây nữa là kết thúc.</v>
      </c>
      <c r="K1238" s="13" t="str">
        <f ca="1">IFERROR(__xludf.DUMMYFUNCTION("""COMPUTED_VALUE"""),"H4_B18_BG-12.png")</f>
        <v>H4_B18_BG-12.png</v>
      </c>
      <c r="L1238" s="13" t="str">
        <f ca="1">IFERROR(__xludf.DUMMYFUNCTION("""COMPUTED_VALUE"""),"B18_12.mp3")</f>
        <v>B18_12.mp3</v>
      </c>
      <c r="M1238" s="13" t="str">
        <f ca="1">IFERROR(__xludf.DUMMYFUNCTION("""COMPUTED_VALUE"""),"B18_VD_12.mp3")</f>
        <v>B18_VD_12.mp3</v>
      </c>
    </row>
    <row r="1239" spans="1:13">
      <c r="A1239" s="13">
        <f ca="1">IFERROR(__xludf.DUMMYFUNCTION("""COMPUTED_VALUE"""),13)</f>
        <v>13</v>
      </c>
      <c r="B1239" s="13"/>
      <c r="C1239" s="13" t="str">
        <f ca="1">IFERROR(__xludf.DUMMYFUNCTION("""COMPUTED_VALUE"""),"受不了")</f>
        <v>受不了</v>
      </c>
      <c r="D1239" s="13" t="str">
        <f ca="1">IFERROR(__xludf.DUMMYFUNCTION("""COMPUTED_VALUE"""),"&lt;ruby&gt;受不了&lt;rt&gt;shòubuliǎo&lt;/rt&gt;&lt;/ruby&gt;")</f>
        <v>&lt;ruby&gt;受不了&lt;rt&gt;shòubuliǎo&lt;/rt&gt;&lt;/ruby&gt;</v>
      </c>
      <c r="E1239" s="13" t="str">
        <f ca="1">IFERROR(__xludf.DUMMYFUNCTION("""COMPUTED_VALUE"""),"shòubuliǎo")</f>
        <v>shòubuliǎo</v>
      </c>
      <c r="F1239" s="13"/>
      <c r="G1239" s="13" t="str">
        <f ca="1">IFERROR(__xludf.DUMMYFUNCTION("""COMPUTED_VALUE"""),"chịu không nổi, chịu không được")</f>
        <v>chịu không nổi, chịu không được</v>
      </c>
      <c r="H1239" s="13" t="str">
        <f ca="1">IFERROR(__xludf.DUMMYFUNCTION("""COMPUTED_VALUE"""),"这种酸痛让我受不了。")</f>
        <v>这种酸痛让我受不了。</v>
      </c>
      <c r="I1239" s="13"/>
      <c r="J1239" s="13" t="str">
        <f ca="1">IFERROR(__xludf.DUMMYFUNCTION("""COMPUTED_VALUE"""),"Sự đau mỏi này làm tôi không chịu nổi.")</f>
        <v>Sự đau mỏi này làm tôi không chịu nổi.</v>
      </c>
      <c r="K1239" s="13" t="str">
        <f ca="1">IFERROR(__xludf.DUMMYFUNCTION("""COMPUTED_VALUE"""),"H4_B18_BG-13.png")</f>
        <v>H4_B18_BG-13.png</v>
      </c>
      <c r="L1239" s="13" t="str">
        <f ca="1">IFERROR(__xludf.DUMMYFUNCTION("""COMPUTED_VALUE"""),"B18_13.mp3")</f>
        <v>B18_13.mp3</v>
      </c>
      <c r="M1239" s="13" t="str">
        <f ca="1">IFERROR(__xludf.DUMMYFUNCTION("""COMPUTED_VALUE"""),"B18_VD_13.mp3")</f>
        <v>B18_VD_13.mp3</v>
      </c>
    </row>
    <row r="1240" spans="1:13">
      <c r="A1240" s="13">
        <f ca="1">IFERROR(__xludf.DUMMYFUNCTION("""COMPUTED_VALUE"""),14)</f>
        <v>14</v>
      </c>
      <c r="B1240" s="13"/>
      <c r="C1240" s="13" t="str">
        <f ca="1">IFERROR(__xludf.DUMMYFUNCTION("""COMPUTED_VALUE"""),"火")</f>
        <v>火</v>
      </c>
      <c r="D1240" s="13" t="str">
        <f ca="1">IFERROR(__xludf.DUMMYFUNCTION("""COMPUTED_VALUE"""),"&lt;ruby&gt;火&lt;rt&gt;huǒ&lt;/rt&gt;&lt;/ruby&gt;")</f>
        <v>&lt;ruby&gt;火&lt;rt&gt;huǒ&lt;/rt&gt;&lt;/ruby&gt;</v>
      </c>
      <c r="E1240" s="13" t="str">
        <f ca="1">IFERROR(__xludf.DUMMYFUNCTION("""COMPUTED_VALUE"""),"huǒ")</f>
        <v>huǒ</v>
      </c>
      <c r="F1240" s="13" t="str">
        <f ca="1">IFERROR(__xludf.DUMMYFUNCTION("""COMPUTED_VALUE"""),"Tính từ")</f>
        <v>Tính từ</v>
      </c>
      <c r="G1240" s="13" t="str">
        <f ca="1">IFERROR(__xludf.DUMMYFUNCTION("""COMPUTED_VALUE"""),"chạy, đắt, được nhiều người ưa chuộng")</f>
        <v>chạy, đắt, được nhiều người ưa chuộng</v>
      </c>
      <c r="H1240" s="13" t="str">
        <f ca="1">IFERROR(__xludf.DUMMYFUNCTION("""COMPUTED_VALUE""")," 这款包卖得很火。")</f>
        <v xml:space="preserve"> 这款包卖得很火。</v>
      </c>
      <c r="I1240" s="13"/>
      <c r="J1240" s="13" t="str">
        <f ca="1">IFERROR(__xludf.DUMMYFUNCTION("""COMPUTED_VALUE"""),"Chiếc túi này bán rất chạy.")</f>
        <v>Chiếc túi này bán rất chạy.</v>
      </c>
      <c r="K1240" s="13" t="str">
        <f ca="1">IFERROR(__xludf.DUMMYFUNCTION("""COMPUTED_VALUE"""),"H4_B18_BG-14.png")</f>
        <v>H4_B18_BG-14.png</v>
      </c>
      <c r="L1240" s="13" t="str">
        <f ca="1">IFERROR(__xludf.DUMMYFUNCTION("""COMPUTED_VALUE"""),"B18_14.mp3")</f>
        <v>B18_14.mp3</v>
      </c>
      <c r="M1240" s="13" t="str">
        <f ca="1">IFERROR(__xludf.DUMMYFUNCTION("""COMPUTED_VALUE"""),"B18_VD_14.mp3")</f>
        <v>B18_VD_14.mp3</v>
      </c>
    </row>
    <row r="1241" spans="1:13">
      <c r="A1241" s="13">
        <f ca="1">IFERROR(__xludf.DUMMYFUNCTION("""COMPUTED_VALUE"""),15)</f>
        <v>15</v>
      </c>
      <c r="B1241" s="13"/>
      <c r="C1241" s="13" t="str">
        <f ca="1">IFERROR(__xludf.DUMMYFUNCTION("""COMPUTED_VALUE"""),"日记")</f>
        <v>日记</v>
      </c>
      <c r="D1241" s="13" t="str">
        <f ca="1">IFERROR(__xludf.DUMMYFUNCTION("""COMPUTED_VALUE"""),"&lt;ruby&gt;日记&lt;rt&gt;rìjì&lt;/rt&gt;&lt;/ruby&gt;")</f>
        <v>&lt;ruby&gt;日记&lt;rt&gt;rìjì&lt;/rt&gt;&lt;/ruby&gt;</v>
      </c>
      <c r="E1241" s="13" t="str">
        <f ca="1">IFERROR(__xludf.DUMMYFUNCTION("""COMPUTED_VALUE"""),"rìjì")</f>
        <v>rìjì</v>
      </c>
      <c r="F1241" s="13" t="str">
        <f ca="1">IFERROR(__xludf.DUMMYFUNCTION("""COMPUTED_VALUE"""),"Danh từ")</f>
        <v>Danh từ</v>
      </c>
      <c r="G1241" s="13" t="str">
        <f ca="1">IFERROR(__xludf.DUMMYFUNCTION("""COMPUTED_VALUE"""),"nhật ký")</f>
        <v>nhật ký</v>
      </c>
      <c r="H1241" s="13" t="str">
        <f ca="1">IFERROR(__xludf.DUMMYFUNCTION("""COMPUTED_VALUE"""),"我有每天写日记的习惯。")</f>
        <v>我有每天写日记的习惯。</v>
      </c>
      <c r="I1241" s="13"/>
      <c r="J1241" s="13" t="str">
        <f ca="1">IFERROR(__xludf.DUMMYFUNCTION("""COMPUTED_VALUE"""),"Tôi có thói quen viết nhật ký mỗi ngày.")</f>
        <v>Tôi có thói quen viết nhật ký mỗi ngày.</v>
      </c>
      <c r="K1241" s="13" t="str">
        <f ca="1">IFERROR(__xludf.DUMMYFUNCTION("""COMPUTED_VALUE"""),"H4_B18_BG-15.png")</f>
        <v>H4_B18_BG-15.png</v>
      </c>
      <c r="L1241" s="13" t="str">
        <f ca="1">IFERROR(__xludf.DUMMYFUNCTION("""COMPUTED_VALUE"""),"B18_15.mp3")</f>
        <v>B18_15.mp3</v>
      </c>
      <c r="M1241" s="13" t="str">
        <f ca="1">IFERROR(__xludf.DUMMYFUNCTION("""COMPUTED_VALUE"""),"B18_VD_15.mp3")</f>
        <v>B18_VD_15.mp3</v>
      </c>
    </row>
    <row r="1242" spans="1:13">
      <c r="A1242" s="13">
        <f ca="1">IFERROR(__xludf.DUMMYFUNCTION("""COMPUTED_VALUE"""),16)</f>
        <v>16</v>
      </c>
      <c r="B1242" s="13"/>
      <c r="C1242" s="13" t="str">
        <f ca="1">IFERROR(__xludf.DUMMYFUNCTION("""COMPUTED_VALUE"""),"接着")</f>
        <v>接着</v>
      </c>
      <c r="D1242" s="13" t="str">
        <f ca="1">IFERROR(__xludf.DUMMYFUNCTION("""COMPUTED_VALUE"""),"&lt;ruby&gt;接着&lt;rt&gt;jiēzhe&lt;/rt&gt;&lt;/ruby&gt;")</f>
        <v>&lt;ruby&gt;接着&lt;rt&gt;jiēzhe&lt;/rt&gt;&lt;/ruby&gt;</v>
      </c>
      <c r="E1242" s="13" t="str">
        <f ca="1">IFERROR(__xludf.DUMMYFUNCTION("""COMPUTED_VALUE"""),"jiēzhe")</f>
        <v>jiēzhe</v>
      </c>
      <c r="F1242" s="13" t="str">
        <f ca="1">IFERROR(__xludf.DUMMYFUNCTION("""COMPUTED_VALUE"""),"Phó từ")</f>
        <v>Phó từ</v>
      </c>
      <c r="G1242" s="13" t="str">
        <f ca="1">IFERROR(__xludf.DUMMYFUNCTION("""COMPUTED_VALUE"""),"ngay sau đó")</f>
        <v>ngay sau đó</v>
      </c>
      <c r="H1242" s="13" t="str">
        <f ca="1">IFERROR(__xludf.DUMMYFUNCTION("""COMPUTED_VALUE"""),"这部电影接着会进行现场直播。")</f>
        <v>这部电影接着会进行现场直播。</v>
      </c>
      <c r="I1242" s="13"/>
      <c r="J1242" s="13" t="str">
        <f ca="1">IFERROR(__xludf.DUMMYFUNCTION("""COMPUTED_VALUE"""),"Đoạn phim này sẽ được phát trực tiếp ngay sau đó.")</f>
        <v>Đoạn phim này sẽ được phát trực tiếp ngay sau đó.</v>
      </c>
      <c r="K1242" s="13" t="str">
        <f ca="1">IFERROR(__xludf.DUMMYFUNCTION("""COMPUTED_VALUE"""),"H4_B18_BG-16.png")</f>
        <v>H4_B18_BG-16.png</v>
      </c>
      <c r="L1242" s="13" t="str">
        <f ca="1">IFERROR(__xludf.DUMMYFUNCTION("""COMPUTED_VALUE"""),"B18_16.mp3")</f>
        <v>B18_16.mp3</v>
      </c>
      <c r="M1242" s="13" t="str">
        <f ca="1">IFERROR(__xludf.DUMMYFUNCTION("""COMPUTED_VALUE"""),"B18_VD_16.mp3")</f>
        <v>B18_VD_16.mp3</v>
      </c>
    </row>
    <row r="1243" spans="1:13">
      <c r="A1243" s="13">
        <f ca="1">IFERROR(__xludf.DUMMYFUNCTION("""COMPUTED_VALUE"""),17)</f>
        <v>17</v>
      </c>
      <c r="B1243" s="13"/>
      <c r="C1243" s="13" t="str">
        <f ca="1">IFERROR(__xludf.DUMMYFUNCTION("""COMPUTED_VALUE"""),"咸")</f>
        <v>咸</v>
      </c>
      <c r="D1243" s="13" t="str">
        <f ca="1">IFERROR(__xludf.DUMMYFUNCTION("""COMPUTED_VALUE"""),"&lt;ruby&gt;咸&lt;rt&gt;xián&lt;/rt&gt;&lt;/ruby&gt;")</f>
        <v>&lt;ruby&gt;咸&lt;rt&gt;xián&lt;/rt&gt;&lt;/ruby&gt;</v>
      </c>
      <c r="E1243" s="13" t="str">
        <f ca="1">IFERROR(__xludf.DUMMYFUNCTION("""COMPUTED_VALUE"""),"xián")</f>
        <v>xián</v>
      </c>
      <c r="F1243" s="13" t="str">
        <f ca="1">IFERROR(__xludf.DUMMYFUNCTION("""COMPUTED_VALUE"""),"Tính từ")</f>
        <v>Tính từ</v>
      </c>
      <c r="G1243" s="13" t="str">
        <f ca="1">IFERROR(__xludf.DUMMYFUNCTION("""COMPUTED_VALUE"""),"mặn")</f>
        <v>mặn</v>
      </c>
      <c r="H1243" s="13" t="str">
        <f ca="1">IFERROR(__xludf.DUMMYFUNCTION("""COMPUTED_VALUE""")," 海水很咸。")</f>
        <v xml:space="preserve"> 海水很咸。</v>
      </c>
      <c r="I1243" s="13"/>
      <c r="J1243" s="13" t="str">
        <f ca="1">IFERROR(__xludf.DUMMYFUNCTION("""COMPUTED_VALUE"""),"Nước biển rất mặn.")</f>
        <v>Nước biển rất mặn.</v>
      </c>
      <c r="K1243" s="13" t="str">
        <f ca="1">IFERROR(__xludf.DUMMYFUNCTION("""COMPUTED_VALUE"""),"H4_B18_BG-17.png")</f>
        <v>H4_B18_BG-17.png</v>
      </c>
      <c r="L1243" s="13" t="str">
        <f ca="1">IFERROR(__xludf.DUMMYFUNCTION("""COMPUTED_VALUE"""),"B18_17.mp3")</f>
        <v>B18_17.mp3</v>
      </c>
      <c r="M1243" s="13" t="str">
        <f ca="1">IFERROR(__xludf.DUMMYFUNCTION("""COMPUTED_VALUE"""),"B18_VD_17.mp3")</f>
        <v>B18_VD_17.mp3</v>
      </c>
    </row>
    <row r="1244" spans="1:13">
      <c r="A1244" s="13">
        <f ca="1">IFERROR(__xludf.DUMMYFUNCTION("""COMPUTED_VALUE"""),18)</f>
        <v>18</v>
      </c>
      <c r="B1244" s="13"/>
      <c r="C1244" s="13" t="str">
        <f ca="1">IFERROR(__xludf.DUMMYFUNCTION("""COMPUTED_VALUE"""),"矿泉水")</f>
        <v>矿泉水</v>
      </c>
      <c r="D1244" s="13" t="str">
        <f ca="1">IFERROR(__xludf.DUMMYFUNCTION("""COMPUTED_VALUE"""),"&lt;ruby&gt;矿泉水&lt;rt&gt;kuàngquánshuǐ&lt;/rt&gt;&lt;/ruby&gt;")</f>
        <v>&lt;ruby&gt;矿泉水&lt;rt&gt;kuàngquánshuǐ&lt;/rt&gt;&lt;/ruby&gt;</v>
      </c>
      <c r="E1244" s="13" t="str">
        <f ca="1">IFERROR(__xludf.DUMMYFUNCTION("""COMPUTED_VALUE"""),"kuàngquánshuǐ")</f>
        <v>kuàngquánshuǐ</v>
      </c>
      <c r="F1244" s="13" t="str">
        <f ca="1">IFERROR(__xludf.DUMMYFUNCTION("""COMPUTED_VALUE"""),"Danh từ")</f>
        <v>Danh từ</v>
      </c>
      <c r="G1244" s="13" t="str">
        <f ca="1">IFERROR(__xludf.DUMMYFUNCTION("""COMPUTED_VALUE"""),"nước suối")</f>
        <v>nước suối</v>
      </c>
      <c r="H1244" s="13" t="str">
        <f ca="1">IFERROR(__xludf.DUMMYFUNCTION("""COMPUTED_VALUE"""),"我不喜欢碳酸饮料，我更喜欢喝矿泉水。")</f>
        <v>我不喜欢碳酸饮料，我更喜欢喝矿泉水。</v>
      </c>
      <c r="I1244" s="13"/>
      <c r="J1244" s="13" t="str">
        <f ca="1">IFERROR(__xludf.DUMMYFUNCTION("""COMPUTED_VALUE"""),"Tôi không thích đồ uống có ga, tôi thích uống nước suối hơn.")</f>
        <v>Tôi không thích đồ uống có ga, tôi thích uống nước suối hơn.</v>
      </c>
      <c r="K1244" s="13" t="str">
        <f ca="1">IFERROR(__xludf.DUMMYFUNCTION("""COMPUTED_VALUE"""),"H4_B18_BG-18.png")</f>
        <v>H4_B18_BG-18.png</v>
      </c>
      <c r="L1244" s="13" t="str">
        <f ca="1">IFERROR(__xludf.DUMMYFUNCTION("""COMPUTED_VALUE"""),"B18_18.mp3")</f>
        <v>B18_18.mp3</v>
      </c>
      <c r="M1244" s="13" t="str">
        <f ca="1">IFERROR(__xludf.DUMMYFUNCTION("""COMPUTED_VALUE"""),"B18_VD_18.mp3")</f>
        <v>B18_VD_18.mp3</v>
      </c>
    </row>
    <row r="1245" spans="1:13">
      <c r="A1245" s="13">
        <f ca="1">IFERROR(__xludf.DUMMYFUNCTION("""COMPUTED_VALUE"""),19)</f>
        <v>19</v>
      </c>
      <c r="B1245" s="13"/>
      <c r="C1245" s="13" t="str">
        <f ca="1">IFERROR(__xludf.DUMMYFUNCTION("""COMPUTED_VALUE"""),"付款")</f>
        <v>付款</v>
      </c>
      <c r="D1245" s="13" t="str">
        <f ca="1">IFERROR(__xludf.DUMMYFUNCTION("""COMPUTED_VALUE"""),"&lt;ruby&gt;付款&lt;rt&gt;fù kuǎn&lt;/rt&gt;&lt;/ruby&gt;")</f>
        <v>&lt;ruby&gt;付款&lt;rt&gt;fù kuǎn&lt;/rt&gt;&lt;/ruby&gt;</v>
      </c>
      <c r="E1245" s="13" t="str">
        <f ca="1">IFERROR(__xludf.DUMMYFUNCTION("""COMPUTED_VALUE"""),"fù kuǎn")</f>
        <v>fù kuǎn</v>
      </c>
      <c r="F1245" s="13"/>
      <c r="G1245" s="13" t="str">
        <f ca="1">IFERROR(__xludf.DUMMYFUNCTION("""COMPUTED_VALUE"""),"trả tiền")</f>
        <v>trả tiền</v>
      </c>
      <c r="H1245" s="13" t="str">
        <f ca="1">IFERROR(__xludf.DUMMYFUNCTION("""COMPUTED_VALUE""")," 我用信用卡付款。")</f>
        <v xml:space="preserve"> 我用信用卡付款。</v>
      </c>
      <c r="I1245" s="13"/>
      <c r="J1245" s="13" t="str">
        <f ca="1">IFERROR(__xludf.DUMMYFUNCTION("""COMPUTED_VALUE"""),"Tôi thanh toán bằng thẻ tín dụng.")</f>
        <v>Tôi thanh toán bằng thẻ tín dụng.</v>
      </c>
      <c r="K1245" s="13" t="str">
        <f ca="1">IFERROR(__xludf.DUMMYFUNCTION("""COMPUTED_VALUE"""),"H4_B18_BG-19.png")</f>
        <v>H4_B18_BG-19.png</v>
      </c>
      <c r="L1245" s="13" t="str">
        <f ca="1">IFERROR(__xludf.DUMMYFUNCTION("""COMPUTED_VALUE"""),"B18_19.mp3")</f>
        <v>B18_19.mp3</v>
      </c>
      <c r="M1245" s="13" t="str">
        <f ca="1">IFERROR(__xludf.DUMMYFUNCTION("""COMPUTED_VALUE"""),"B18_VD_19.mp3")</f>
        <v>B18_VD_19.mp3</v>
      </c>
    </row>
    <row r="1246" spans="1:13">
      <c r="A1246" s="13">
        <f ca="1">IFERROR(__xludf.DUMMYFUNCTION("""COMPUTED_VALUE"""),20)</f>
        <v>20</v>
      </c>
      <c r="B1246" s="13"/>
      <c r="C1246" s="13" t="str">
        <f ca="1">IFERROR(__xludf.DUMMYFUNCTION("""COMPUTED_VALUE"""),"举")</f>
        <v>举</v>
      </c>
      <c r="D1246" s="13" t="str">
        <f ca="1">IFERROR(__xludf.DUMMYFUNCTION("""COMPUTED_VALUE"""),"&lt;ruby&gt;举&lt;rt&gt;jǔ&lt;/rt&gt;&lt;/ruby&gt;")</f>
        <v>&lt;ruby&gt;举&lt;rt&gt;jǔ&lt;/rt&gt;&lt;/ruby&gt;</v>
      </c>
      <c r="E1246" s="13" t="str">
        <f ca="1">IFERROR(__xludf.DUMMYFUNCTION("""COMPUTED_VALUE"""),"jǔ")</f>
        <v>jǔ</v>
      </c>
      <c r="F1246" s="13" t="str">
        <f ca="1">IFERROR(__xludf.DUMMYFUNCTION("""COMPUTED_VALUE"""),"Động từ")</f>
        <v>Động từ</v>
      </c>
      <c r="G1246" s="13" t="str">
        <f ca="1">IFERROR(__xludf.DUMMYFUNCTION("""COMPUTED_VALUE"""),"nêu, đưa ra")</f>
        <v>nêu, đưa ra</v>
      </c>
      <c r="H1246" s="13" t="str">
        <f ca="1">IFERROR(__xludf.DUMMYFUNCTION("""COMPUTED_VALUE"""),"她举报了非法交易。")</f>
        <v>她举报了非法交易。</v>
      </c>
      <c r="I1246" s="13"/>
      <c r="J1246" s="13" t="str">
        <f ca="1">IFERROR(__xludf.DUMMYFUNCTION("""COMPUTED_VALUE"""),"Cô ấy đã tố cáo giao dịch phi pháp.")</f>
        <v>Cô ấy đã tố cáo giao dịch phi pháp.</v>
      </c>
      <c r="K1246" s="13" t="str">
        <f ca="1">IFERROR(__xludf.DUMMYFUNCTION("""COMPUTED_VALUE"""),"H4_B18_BG-20.png")</f>
        <v>H4_B18_BG-20.png</v>
      </c>
      <c r="L1246" s="13" t="str">
        <f ca="1">IFERROR(__xludf.DUMMYFUNCTION("""COMPUTED_VALUE"""),"B18_20.mp3")</f>
        <v>B18_20.mp3</v>
      </c>
      <c r="M1246" s="13" t="str">
        <f ca="1">IFERROR(__xludf.DUMMYFUNCTION("""COMPUTED_VALUE"""),"B18_VD_20.mp3")</f>
        <v>B18_VD_20.mp3</v>
      </c>
    </row>
    <row r="1247" spans="1:13">
      <c r="A1247" s="13">
        <f ca="1">IFERROR(__xludf.DUMMYFUNCTION("""COMPUTED_VALUE"""),21)</f>
        <v>21</v>
      </c>
      <c r="B1247" s="13"/>
      <c r="C1247" s="13" t="str">
        <f ca="1">IFERROR(__xludf.DUMMYFUNCTION("""COMPUTED_VALUE"""),"收")</f>
        <v>收</v>
      </c>
      <c r="D1247" s="13" t="str">
        <f ca="1">IFERROR(__xludf.DUMMYFUNCTION("""COMPUTED_VALUE"""),"&lt;ruby&gt;收&lt;rt&gt;shōu&lt;/rt&gt;&lt;/ruby&gt;")</f>
        <v>&lt;ruby&gt;收&lt;rt&gt;shōu&lt;/rt&gt;&lt;/ruby&gt;</v>
      </c>
      <c r="E1247" s="13" t="str">
        <f ca="1">IFERROR(__xludf.DUMMYFUNCTION("""COMPUTED_VALUE"""),"shōu")</f>
        <v>shōu</v>
      </c>
      <c r="F1247" s="13" t="str">
        <f ca="1">IFERROR(__xludf.DUMMYFUNCTION("""COMPUTED_VALUE"""),"Động từ")</f>
        <v>Động từ</v>
      </c>
      <c r="G1247" s="13" t="str">
        <f ca="1">IFERROR(__xludf.DUMMYFUNCTION("""COMPUTED_VALUE"""),"nhận")</f>
        <v>nhận</v>
      </c>
      <c r="H1247" s="13" t="str">
        <f ca="1">IFERROR(__xludf.DUMMYFUNCTION("""COMPUTED_VALUE"""),"她收养了两个孤儿。")</f>
        <v>她收养了两个孤儿。</v>
      </c>
      <c r="I1247" s="13"/>
      <c r="J1247" s="13" t="str">
        <f ca="1">IFERROR(__xludf.DUMMYFUNCTION("""COMPUTED_VALUE"""),"Cô ấy đã nhận nuôi hai đứa trẻ mồ côi.")</f>
        <v>Cô ấy đã nhận nuôi hai đứa trẻ mồ côi.</v>
      </c>
      <c r="K1247" s="13" t="str">
        <f ca="1">IFERROR(__xludf.DUMMYFUNCTION("""COMPUTED_VALUE"""),"H4_B18_BG-21.png")</f>
        <v>H4_B18_BG-21.png</v>
      </c>
      <c r="L1247" s="13" t="str">
        <f ca="1">IFERROR(__xludf.DUMMYFUNCTION("""COMPUTED_VALUE"""),"B18_21.mp3")</f>
        <v>B18_21.mp3</v>
      </c>
      <c r="M1247" s="13" t="str">
        <f ca="1">IFERROR(__xludf.DUMMYFUNCTION("""COMPUTED_VALUE"""),"B18_VD_21.mp3")</f>
        <v>B18_VD_21.mp3</v>
      </c>
    </row>
    <row r="1248" spans="1:13">
      <c r="A1248" s="13">
        <f ca="1">IFERROR(__xludf.DUMMYFUNCTION("""COMPUTED_VALUE"""),22)</f>
        <v>22</v>
      </c>
      <c r="B1248" s="13"/>
      <c r="C1248" s="13" t="str">
        <f ca="1">IFERROR(__xludf.DUMMYFUNCTION("""COMPUTED_VALUE"""),"作者")</f>
        <v>作者</v>
      </c>
      <c r="D1248" s="13" t="str">
        <f ca="1">IFERROR(__xludf.DUMMYFUNCTION("""COMPUTED_VALUE"""),"&lt;ruby&gt;作者&lt;rt&gt;zuòzhě&lt;/rt&gt;&lt;/ruby&gt;")</f>
        <v>&lt;ruby&gt;作者&lt;rt&gt;zuòzhě&lt;/rt&gt;&lt;/ruby&gt;</v>
      </c>
      <c r="E1248" s="13" t="str">
        <f ca="1">IFERROR(__xludf.DUMMYFUNCTION("""COMPUTED_VALUE"""),"zuòzhě")</f>
        <v>zuòzhě</v>
      </c>
      <c r="F1248" s="13" t="str">
        <f ca="1">IFERROR(__xludf.DUMMYFUNCTION("""COMPUTED_VALUE"""),"Danh từ")</f>
        <v>Danh từ</v>
      </c>
      <c r="G1248" s="13" t="str">
        <f ca="1">IFERROR(__xludf.DUMMYFUNCTION("""COMPUTED_VALUE"""),"tác giả")</f>
        <v>tác giả</v>
      </c>
      <c r="H1248" s="13" t="str">
        <f ca="1">IFERROR(__xludf.DUMMYFUNCTION("""COMPUTED_VALUE""")," 她是一位著名的小说作者。")</f>
        <v xml:space="preserve"> 她是一位著名的小说作者。</v>
      </c>
      <c r="I1248" s="13"/>
      <c r="J1248" s="13" t="str">
        <f ca="1">IFERROR(__xludf.DUMMYFUNCTION("""COMPUTED_VALUE"""),"Cô ấy là một tác giả tiểu thuyết nổi tiếng.")</f>
        <v>Cô ấy là một tác giả tiểu thuyết nổi tiếng.</v>
      </c>
      <c r="K1248" s="13" t="str">
        <f ca="1">IFERROR(__xludf.DUMMYFUNCTION("""COMPUTED_VALUE"""),"H4_B18_BG-22.png")</f>
        <v>H4_B18_BG-22.png</v>
      </c>
      <c r="L1248" s="13" t="str">
        <f ca="1">IFERROR(__xludf.DUMMYFUNCTION("""COMPUTED_VALUE"""),"B18_22.mp3")</f>
        <v>B18_22.mp3</v>
      </c>
      <c r="M1248" s="13" t="str">
        <f ca="1">IFERROR(__xludf.DUMMYFUNCTION("""COMPUTED_VALUE"""),"B18_VD_22.mp3")</f>
        <v>B18_VD_22.mp3</v>
      </c>
    </row>
    <row r="1249" spans="1:13">
      <c r="A1249" s="13">
        <f ca="1">IFERROR(__xludf.DUMMYFUNCTION("""COMPUTED_VALUE"""),23)</f>
        <v>23</v>
      </c>
      <c r="B1249" s="13"/>
      <c r="C1249" s="13" t="str">
        <f ca="1">IFERROR(__xludf.DUMMYFUNCTION("""COMPUTED_VALUE"""),"是否")</f>
        <v>是否</v>
      </c>
      <c r="D1249" s="13" t="str">
        <f ca="1">IFERROR(__xludf.DUMMYFUNCTION("""COMPUTED_VALUE"""),"&lt;ruby&gt;是否&lt;rt&gt;shìfǒu&lt;/rt&gt;&lt;/ruby&gt;")</f>
        <v>&lt;ruby&gt;是否&lt;rt&gt;shìfǒu&lt;/rt&gt;&lt;/ruby&gt;</v>
      </c>
      <c r="E1249" s="13" t="str">
        <f ca="1">IFERROR(__xludf.DUMMYFUNCTION("""COMPUTED_VALUE"""),"shìfǒu")</f>
        <v>shìfǒu</v>
      </c>
      <c r="F1249" s="13" t="str">
        <f ca="1">IFERROR(__xludf.DUMMYFUNCTION("""COMPUTED_VALUE"""),"Phó từ")</f>
        <v>Phó từ</v>
      </c>
      <c r="G1249" s="13" t="str">
        <f ca="1">IFERROR(__xludf.DUMMYFUNCTION("""COMPUTED_VALUE"""),"hay không")</f>
        <v>hay không</v>
      </c>
      <c r="H1249" s="13" t="str">
        <f ca="1">IFERROR(__xludf.DUMMYFUNCTION("""COMPUTED_VALUE"""),"这个结果是否正确呢？")</f>
        <v>这个结果是否正确呢？</v>
      </c>
      <c r="I1249" s="13"/>
      <c r="J1249" s="13" t="str">
        <f ca="1">IFERROR(__xludf.DUMMYFUNCTION("""COMPUTED_VALUE"""),"Kết quả này liệu có đúng hay không nhỉ?")</f>
        <v>Kết quả này liệu có đúng hay không nhỉ?</v>
      </c>
      <c r="K1249" s="13" t="str">
        <f ca="1">IFERROR(__xludf.DUMMYFUNCTION("""COMPUTED_VALUE"""),"H4_B18_BG-23.png")</f>
        <v>H4_B18_BG-23.png</v>
      </c>
      <c r="L1249" s="13" t="str">
        <f ca="1">IFERROR(__xludf.DUMMYFUNCTION("""COMPUTED_VALUE"""),"B18_23.mp3")</f>
        <v>B18_23.mp3</v>
      </c>
      <c r="M1249" s="13" t="str">
        <f ca="1">IFERROR(__xludf.DUMMYFUNCTION("""COMPUTED_VALUE"""),"B18_VD_23.mp3")</f>
        <v>B18_VD_23.mp3</v>
      </c>
    </row>
    <row r="1250" spans="1:13">
      <c r="A1250" s="13">
        <f ca="1">IFERROR(__xludf.DUMMYFUNCTION("""COMPUTED_VALUE"""),24)</f>
        <v>24</v>
      </c>
      <c r="B1250" s="13"/>
      <c r="C1250" s="13" t="str">
        <f ca="1">IFERROR(__xludf.DUMMYFUNCTION("""COMPUTED_VALUE"""),"密码")</f>
        <v>密码</v>
      </c>
      <c r="D1250" s="13" t="str">
        <f ca="1">IFERROR(__xludf.DUMMYFUNCTION("""COMPUTED_VALUE"""),"&lt;ruby&gt;密码&lt;rt&gt;mìmǎ&lt;/rt&gt;&lt;/ruby&gt;")</f>
        <v>&lt;ruby&gt;密码&lt;rt&gt;mìmǎ&lt;/rt&gt;&lt;/ruby&gt;</v>
      </c>
      <c r="E1250" s="13" t="str">
        <f ca="1">IFERROR(__xludf.DUMMYFUNCTION("""COMPUTED_VALUE"""),"mìmǎ")</f>
        <v>mìmǎ</v>
      </c>
      <c r="F1250" s="13" t="str">
        <f ca="1">IFERROR(__xludf.DUMMYFUNCTION("""COMPUTED_VALUE"""),"Danh từ")</f>
        <v>Danh từ</v>
      </c>
      <c r="G1250" s="13" t="str">
        <f ca="1">IFERROR(__xludf.DUMMYFUNCTION("""COMPUTED_VALUE"""),"mật mã")</f>
        <v>mật mã</v>
      </c>
      <c r="H1250" s="13" t="str">
        <f ca="1">IFERROR(__xludf.DUMMYFUNCTION("""COMPUTED_VALUE"""),"我忘记了邮箱密码。")</f>
        <v>我忘记了邮箱密码。</v>
      </c>
      <c r="I1250" s="13"/>
      <c r="J1250" s="13" t="str">
        <f ca="1">IFERROR(__xludf.DUMMYFUNCTION("""COMPUTED_VALUE"""),"Tôi đã quên mất mật khẩu mail rồi.")</f>
        <v>Tôi đã quên mất mật khẩu mail rồi.</v>
      </c>
      <c r="K1250" s="13" t="str">
        <f ca="1">IFERROR(__xludf.DUMMYFUNCTION("""COMPUTED_VALUE"""),"H4_B18_BG-24.png")</f>
        <v>H4_B18_BG-24.png</v>
      </c>
      <c r="L1250" s="13" t="str">
        <f ca="1">IFERROR(__xludf.DUMMYFUNCTION("""COMPUTED_VALUE"""),"B18_24.mp3")</f>
        <v>B18_24.mp3</v>
      </c>
      <c r="M1250" s="13" t="str">
        <f ca="1">IFERROR(__xludf.DUMMYFUNCTION("""COMPUTED_VALUE"""),"B18_VD_24.mp3")</f>
        <v>B18_VD_24.mp3</v>
      </c>
    </row>
    <row r="1251" spans="1:13">
      <c r="A1251" s="13">
        <f ca="1">IFERROR(__xludf.DUMMYFUNCTION("""COMPUTED_VALUE"""),25)</f>
        <v>25</v>
      </c>
      <c r="B1251" s="13"/>
      <c r="C1251" s="13" t="str">
        <f ca="1">IFERROR(__xludf.DUMMYFUNCTION("""COMPUTED_VALUE"""),"方式")</f>
        <v>方式</v>
      </c>
      <c r="D1251" s="13" t="str">
        <f ca="1">IFERROR(__xludf.DUMMYFUNCTION("""COMPUTED_VALUE"""),"&lt;ruby&gt;方式&lt;rt&gt;fāngshì&lt;/rt&gt;&lt;/ruby&gt;")</f>
        <v>&lt;ruby&gt;方式&lt;rt&gt;fāngshì&lt;/rt&gt;&lt;/ruby&gt;</v>
      </c>
      <c r="E1251" s="13" t="str">
        <f ca="1">IFERROR(__xludf.DUMMYFUNCTION("""COMPUTED_VALUE"""),"fāngshì")</f>
        <v>fāngshì</v>
      </c>
      <c r="F1251" s="13" t="str">
        <f ca="1">IFERROR(__xludf.DUMMYFUNCTION("""COMPUTED_VALUE"""),"Danh từ")</f>
        <v>Danh từ</v>
      </c>
      <c r="G1251" s="13" t="str">
        <f ca="1">IFERROR(__xludf.DUMMYFUNCTION("""COMPUTED_VALUE"""),"phương thức, cách thức")</f>
        <v>phương thức, cách thức</v>
      </c>
      <c r="H1251" s="13" t="str">
        <f ca="1">IFERROR(__xludf.DUMMYFUNCTION("""COMPUTED_VALUE"""),"探索一个新地方时，使用纸质地图是一种很有效的方式。")</f>
        <v>探索一个新地方时，使用纸质地图是一种很有效的方式。</v>
      </c>
      <c r="I1251" s="13"/>
      <c r="J1251" s="13" t="str">
        <f ca="1">IFERROR(__xludf.DUMMYFUNCTION("""COMPUTED_VALUE"""),"Khi khám phá một nơi mới, dùng bản đồ giấy là phương thức khá hiệu quả.")</f>
        <v>Khi khám phá một nơi mới, dùng bản đồ giấy là phương thức khá hiệu quả.</v>
      </c>
      <c r="K1251" s="13" t="str">
        <f ca="1">IFERROR(__xludf.DUMMYFUNCTION("""COMPUTED_VALUE"""),"H4_B18_BG-25.png")</f>
        <v>H4_B18_BG-25.png</v>
      </c>
      <c r="L1251" s="13" t="str">
        <f ca="1">IFERROR(__xludf.DUMMYFUNCTION("""COMPUTED_VALUE"""),"B18_25.mp3")</f>
        <v>B18_25.mp3</v>
      </c>
      <c r="M1251" s="13" t="str">
        <f ca="1">IFERROR(__xludf.DUMMYFUNCTION("""COMPUTED_VALUE"""),"B18_VD_25.mp3")</f>
        <v>B18_VD_25.mp3</v>
      </c>
    </row>
    <row r="1252" spans="1:13">
      <c r="A1252" s="13">
        <f ca="1">IFERROR(__xludf.DUMMYFUNCTION("""COMPUTED_VALUE"""),26)</f>
        <v>26</v>
      </c>
      <c r="B1252" s="13"/>
      <c r="C1252" s="13" t="str">
        <f ca="1">IFERROR(__xludf.DUMMYFUNCTION("""COMPUTED_VALUE"""),"地址")</f>
        <v>地址</v>
      </c>
      <c r="D1252" s="13" t="str">
        <f ca="1">IFERROR(__xludf.DUMMYFUNCTION("""COMPUTED_VALUE"""),"&lt;ruby&gt;地址&lt;rt&gt;dìzhǐ&lt;/rt&gt;&lt;/ruby&gt;")</f>
        <v>&lt;ruby&gt;地址&lt;rt&gt;dìzhǐ&lt;/rt&gt;&lt;/ruby&gt;</v>
      </c>
      <c r="E1252" s="13" t="str">
        <f ca="1">IFERROR(__xludf.DUMMYFUNCTION("""COMPUTED_VALUE"""),"dìzhǐ")</f>
        <v>dìzhǐ</v>
      </c>
      <c r="F1252" s="13" t="str">
        <f ca="1">IFERROR(__xludf.DUMMYFUNCTION("""COMPUTED_VALUE"""),"Danh từ")</f>
        <v>Danh từ</v>
      </c>
      <c r="G1252" s="13" t="str">
        <f ca="1">IFERROR(__xludf.DUMMYFUNCTION("""COMPUTED_VALUE"""),"địa chỉ")</f>
        <v>địa chỉ</v>
      </c>
      <c r="H1252" s="13" t="str">
        <f ca="1">IFERROR(__xludf.DUMMYFUNCTION("""COMPUTED_VALUE""")," 终于找到要去的地址了。")</f>
        <v xml:space="preserve"> 终于找到要去的地址了。</v>
      </c>
      <c r="I1252" s="13"/>
      <c r="J1252" s="13" t="str">
        <f ca="1">IFERROR(__xludf.DUMMYFUNCTION("""COMPUTED_VALUE"""),"Cuối cùng đã đến địa chỉ cần tìm rồi.")</f>
        <v>Cuối cùng đã đến địa chỉ cần tìm rồi.</v>
      </c>
      <c r="K1252" s="13" t="str">
        <f ca="1">IFERROR(__xludf.DUMMYFUNCTION("""COMPUTED_VALUE"""),"H4_B18_BG-26.png")</f>
        <v>H4_B18_BG-26.png</v>
      </c>
      <c r="L1252" s="13" t="str">
        <f ca="1">IFERROR(__xludf.DUMMYFUNCTION("""COMPUTED_VALUE"""),"B18_26.mp3")</f>
        <v>B18_26.mp3</v>
      </c>
      <c r="M1252" s="13" t="str">
        <f ca="1">IFERROR(__xludf.DUMMYFUNCTION("""COMPUTED_VALUE"""),"B18_VD_26.mp3")</f>
        <v>B18_VD_26.mp3</v>
      </c>
    </row>
    <row r="1253" spans="1:13">
      <c r="A1253" s="13">
        <f ca="1">IFERROR(__xludf.DUMMYFUNCTION("""COMPUTED_VALUE"""),27)</f>
        <v>27</v>
      </c>
      <c r="B1253" s="13"/>
      <c r="C1253" s="13" t="str">
        <f ca="1">IFERROR(__xludf.DUMMYFUNCTION("""COMPUTED_VALUE"""),"地点")</f>
        <v>地点</v>
      </c>
      <c r="D1253" s="13" t="str">
        <f ca="1">IFERROR(__xludf.DUMMYFUNCTION("""COMPUTED_VALUE"""),"&lt;ruby&gt;地点&lt;rt&gt;dìdiǎn&lt;/rt&gt;&lt;/ruby&gt;")</f>
        <v>&lt;ruby&gt;地点&lt;rt&gt;dìdiǎn&lt;/rt&gt;&lt;/ruby&gt;</v>
      </c>
      <c r="E1253" s="13" t="str">
        <f ca="1">IFERROR(__xludf.DUMMYFUNCTION("""COMPUTED_VALUE"""),"dìdiǎn")</f>
        <v>dìdiǎn</v>
      </c>
      <c r="F1253" s="13" t="str">
        <f ca="1">IFERROR(__xludf.DUMMYFUNCTION("""COMPUTED_VALUE"""),"Danh từ")</f>
        <v>Danh từ</v>
      </c>
      <c r="G1253" s="13" t="str">
        <f ca="1">IFERROR(__xludf.DUMMYFUNCTION("""COMPUTED_VALUE"""),"địa điểm")</f>
        <v>địa điểm</v>
      </c>
      <c r="H1253" s="13" t="str">
        <f ca="1">IFERROR(__xludf.DUMMYFUNCTION("""COMPUTED_VALUE""")," 我们将前往这些地点。")</f>
        <v xml:space="preserve"> 我们将前往这些地点。</v>
      </c>
      <c r="I1253" s="13"/>
      <c r="J1253" s="13" t="str">
        <f ca="1">IFERROR(__xludf.DUMMYFUNCTION("""COMPUTED_VALUE"""),"Chúng ta sẽ di chuyển đến những địa điểm này.")</f>
        <v>Chúng ta sẽ di chuyển đến những địa điểm này.</v>
      </c>
      <c r="K1253" s="13" t="str">
        <f ca="1">IFERROR(__xludf.DUMMYFUNCTION("""COMPUTED_VALUE"""),"H4_B18_BG-27.png")</f>
        <v>H4_B18_BG-27.png</v>
      </c>
      <c r="L1253" s="13" t="str">
        <f ca="1">IFERROR(__xludf.DUMMYFUNCTION("""COMPUTED_VALUE"""),"B18_27.mp3")</f>
        <v>B18_27.mp3</v>
      </c>
      <c r="M1253" s="13" t="str">
        <f ca="1">IFERROR(__xludf.DUMMYFUNCTION("""COMPUTED_VALUE"""),"B18_VD_27.mp3")</f>
        <v>B18_VD_27.mp3</v>
      </c>
    </row>
    <row r="1254" spans="1:13">
      <c r="A1254" s="13">
        <f ca="1">IFERROR(__xludf.DUMMYFUNCTION("""COMPUTED_VALUE"""),28)</f>
        <v>28</v>
      </c>
      <c r="B1254" s="13"/>
      <c r="C1254" s="13" t="str">
        <f ca="1">IFERROR(__xludf.DUMMYFUNCTION("""COMPUTED_VALUE"""),"世纪")</f>
        <v>世纪</v>
      </c>
      <c r="D1254" s="13" t="str">
        <f ca="1">IFERROR(__xludf.DUMMYFUNCTION("""COMPUTED_VALUE"""),"&lt;ruby&gt;世纪&lt;rt&gt;shìjì&lt;/rt&gt;&lt;/ruby&gt;")</f>
        <v>&lt;ruby&gt;世纪&lt;rt&gt;shìjì&lt;/rt&gt;&lt;/ruby&gt;</v>
      </c>
      <c r="E1254" s="13" t="str">
        <f ca="1">IFERROR(__xludf.DUMMYFUNCTION("""COMPUTED_VALUE"""),"shìjì")</f>
        <v>shìjì</v>
      </c>
      <c r="F1254" s="13" t="str">
        <f ca="1">IFERROR(__xludf.DUMMYFUNCTION("""COMPUTED_VALUE"""),"Danh từ")</f>
        <v>Danh từ</v>
      </c>
      <c r="G1254" s="13" t="str">
        <f ca="1">IFERROR(__xludf.DUMMYFUNCTION("""COMPUTED_VALUE"""),"thế kỷ")</f>
        <v>thế kỷ</v>
      </c>
      <c r="H1254" s="13" t="str">
        <f ca="1">IFERROR(__xludf.DUMMYFUNCTION("""COMPUTED_VALUE"""),"这件物品属于18世纪。")</f>
        <v>这件物品属于18世纪。</v>
      </c>
      <c r="I1254" s="13"/>
      <c r="J1254" s="13" t="str">
        <f ca="1">IFERROR(__xludf.DUMMYFUNCTION("""COMPUTED_VALUE"""),"Món đồ này thuộc thế kỷ 18.")</f>
        <v>Món đồ này thuộc thế kỷ 18.</v>
      </c>
      <c r="K1254" s="13" t="str">
        <f ca="1">IFERROR(__xludf.DUMMYFUNCTION("""COMPUTED_VALUE"""),"H4_B18_BG-28.png")</f>
        <v>H4_B18_BG-28.png</v>
      </c>
      <c r="L1254" s="13" t="str">
        <f ca="1">IFERROR(__xludf.DUMMYFUNCTION("""COMPUTED_VALUE"""),"B18_28.mp3")</f>
        <v>B18_28.mp3</v>
      </c>
      <c r="M1254" s="13" t="str">
        <f ca="1">IFERROR(__xludf.DUMMYFUNCTION("""COMPUTED_VALUE"""),"B18_VD_28.mp3")</f>
        <v>B18_VD_28.mp3</v>
      </c>
    </row>
    <row r="1255" spans="1:13">
      <c r="A1255" s="13">
        <f ca="1">IFERROR(__xludf.DUMMYFUNCTION("""COMPUTED_VALUE"""),29)</f>
        <v>29</v>
      </c>
      <c r="B1255" s="13"/>
      <c r="C1255" s="13" t="str">
        <f ca="1">IFERROR(__xludf.DUMMYFUNCTION("""COMPUTED_VALUE"""),"邮局")</f>
        <v>邮局</v>
      </c>
      <c r="D1255" s="13" t="str">
        <f ca="1">IFERROR(__xludf.DUMMYFUNCTION("""COMPUTED_VALUE"""),"&lt;ruby&gt;邮局&lt;rt&gt;yóujú&lt;/rt&gt;&lt;/ruby&gt;")</f>
        <v>&lt;ruby&gt;邮局&lt;rt&gt;yóujú&lt;/rt&gt;&lt;/ruby&gt;</v>
      </c>
      <c r="E1255" s="13" t="str">
        <f ca="1">IFERROR(__xludf.DUMMYFUNCTION("""COMPUTED_VALUE"""),"yóujú")</f>
        <v>yóujú</v>
      </c>
      <c r="F1255" s="13" t="str">
        <f ca="1">IFERROR(__xludf.DUMMYFUNCTION("""COMPUTED_VALUE"""),"Danh từ")</f>
        <v>Danh từ</v>
      </c>
      <c r="G1255" s="13" t="str">
        <f ca="1">IFERROR(__xludf.DUMMYFUNCTION("""COMPUTED_VALUE"""),"bưu điện")</f>
        <v>bưu điện</v>
      </c>
      <c r="H1255" s="13" t="str">
        <f ca="1">IFERROR(__xludf.DUMMYFUNCTION("""COMPUTED_VALUE"""),"他在邮局工作了五年。")</f>
        <v>他在邮局工作了五年。</v>
      </c>
      <c r="I1255" s="13"/>
      <c r="J1255" s="13" t="str">
        <f ca="1">IFERROR(__xludf.DUMMYFUNCTION("""COMPUTED_VALUE"""),"Anh ấy làm việc ở bưu điện 5 năm rồi.")</f>
        <v>Anh ấy làm việc ở bưu điện 5 năm rồi.</v>
      </c>
      <c r="K1255" s="13" t="str">
        <f ca="1">IFERROR(__xludf.DUMMYFUNCTION("""COMPUTED_VALUE"""),"H4_B18_BG-29.png")</f>
        <v>H4_B18_BG-29.png</v>
      </c>
      <c r="L1255" s="13" t="str">
        <f ca="1">IFERROR(__xludf.DUMMYFUNCTION("""COMPUTED_VALUE"""),"B18_29.mp3")</f>
        <v>B18_29.mp3</v>
      </c>
      <c r="M1255" s="13" t="str">
        <f ca="1">IFERROR(__xludf.DUMMYFUNCTION("""COMPUTED_VALUE"""),"B18_VD_29.mp3")</f>
        <v>B18_VD_29.mp3</v>
      </c>
    </row>
    <row r="1256" spans="1:13">
      <c r="A1256" s="13">
        <f ca="1">IFERROR(__xludf.DUMMYFUNCTION("""COMPUTED_VALUE"""),30)</f>
        <v>30</v>
      </c>
      <c r="B1256" s="13"/>
      <c r="C1256" s="13" t="str">
        <f ca="1">IFERROR(__xludf.DUMMYFUNCTION("""COMPUTED_VALUE"""),"网站")</f>
        <v>网站</v>
      </c>
      <c r="D1256" s="13" t="str">
        <f ca="1">IFERROR(__xludf.DUMMYFUNCTION("""COMPUTED_VALUE"""),"&lt;ruby&gt;网站&lt;rt&gt;wǎngzhàn&lt;/rt&gt;&lt;/ruby&gt;")</f>
        <v>&lt;ruby&gt;网站&lt;rt&gt;wǎngzhàn&lt;/rt&gt;&lt;/ruby&gt;</v>
      </c>
      <c r="E1256" s="13" t="str">
        <f ca="1">IFERROR(__xludf.DUMMYFUNCTION("""COMPUTED_VALUE"""),"wǎngzhàn")</f>
        <v>wǎngzhàn</v>
      </c>
      <c r="F1256" s="13" t="str">
        <f ca="1">IFERROR(__xludf.DUMMYFUNCTION("""COMPUTED_VALUE"""),"Danh từ")</f>
        <v>Danh từ</v>
      </c>
      <c r="G1256" s="13" t="str">
        <f ca="1">IFERROR(__xludf.DUMMYFUNCTION("""COMPUTED_VALUE"""),"trang web")</f>
        <v>trang web</v>
      </c>
      <c r="H1256" s="13" t="str">
        <f ca="1">IFERROR(__xludf.DUMMYFUNCTION("""COMPUTED_VALUE"""),"我是在这个网站上找到工作的。")</f>
        <v>我是在这个网站上找到工作的。</v>
      </c>
      <c r="I1256" s="13"/>
      <c r="J1256" s="13" t="str">
        <f ca="1">IFERROR(__xludf.DUMMYFUNCTION("""COMPUTED_VALUE"""),"Tôi đã tìm được việc làm trên trang web này.")</f>
        <v>Tôi đã tìm được việc làm trên trang web này.</v>
      </c>
      <c r="K1256" s="13" t="str">
        <f ca="1">IFERROR(__xludf.DUMMYFUNCTION("""COMPUTED_VALUE"""),"H4_B18_BG-30.png")</f>
        <v>H4_B18_BG-30.png</v>
      </c>
      <c r="L1256" s="13" t="str">
        <f ca="1">IFERROR(__xludf.DUMMYFUNCTION("""COMPUTED_VALUE"""),"B18_30.mp3")</f>
        <v>B18_30.mp3</v>
      </c>
      <c r="M1256" s="13" t="str">
        <f ca="1">IFERROR(__xludf.DUMMYFUNCTION("""COMPUTED_VALUE"""),"B18_VD_30.mp3")</f>
        <v>B18_VD_30.mp3</v>
      </c>
    </row>
    <row r="1257" spans="1:13">
      <c r="A1257" s="13">
        <f ca="1">IFERROR(__xludf.DUMMYFUNCTION("""COMPUTED_VALUE"""),31)</f>
        <v>31</v>
      </c>
      <c r="B1257" s="13"/>
      <c r="C1257" s="13" t="str">
        <f ca="1">IFERROR(__xludf.DUMMYFUNCTION("""COMPUTED_VALUE"""),"信息")</f>
        <v>信息</v>
      </c>
      <c r="D1257" s="13" t="str">
        <f ca="1">IFERROR(__xludf.DUMMYFUNCTION("""COMPUTED_VALUE"""),"&lt;ruby&gt;信息&lt;rt&gt;xìnxī&lt;/rt&gt;&lt;/ruby&gt;")</f>
        <v>&lt;ruby&gt;信息&lt;rt&gt;xìnxī&lt;/rt&gt;&lt;/ruby&gt;</v>
      </c>
      <c r="E1257" s="13" t="str">
        <f ca="1">IFERROR(__xludf.DUMMYFUNCTION("""COMPUTED_VALUE"""),"xìnxī")</f>
        <v>xìnxī</v>
      </c>
      <c r="F1257" s="13" t="str">
        <f ca="1">IFERROR(__xludf.DUMMYFUNCTION("""COMPUTED_VALUE"""),"Danh từ")</f>
        <v>Danh từ</v>
      </c>
      <c r="G1257" s="13" t="str">
        <f ca="1">IFERROR(__xludf.DUMMYFUNCTION("""COMPUTED_VALUE"""),"tin tức, thông tin")</f>
        <v>tin tức, thông tin</v>
      </c>
      <c r="H1257" s="13" t="str">
        <f ca="1">IFERROR(__xludf.DUMMYFUNCTION("""COMPUTED_VALUE"""),"校长正在传达新学年的信息。")</f>
        <v>校长正在传达新学年的信息。</v>
      </c>
      <c r="I1257" s="13"/>
      <c r="J1257" s="13" t="str">
        <f ca="1">IFERROR(__xludf.DUMMYFUNCTION("""COMPUTED_VALUE"""),"Cô hiệu trưởng đang phổ biến thông tin trong năm học mới.")</f>
        <v>Cô hiệu trưởng đang phổ biến thông tin trong năm học mới.</v>
      </c>
      <c r="K1257" s="13" t="str">
        <f ca="1">IFERROR(__xludf.DUMMYFUNCTION("""COMPUTED_VALUE"""),"H4_B18_BG-31.png")</f>
        <v>H4_B18_BG-31.png</v>
      </c>
      <c r="L1257" s="13" t="str">
        <f ca="1">IFERROR(__xludf.DUMMYFUNCTION("""COMPUTED_VALUE"""),"B18_31.mp3")</f>
        <v>B18_31.mp3</v>
      </c>
      <c r="M1257" s="13" t="str">
        <f ca="1">IFERROR(__xludf.DUMMYFUNCTION("""COMPUTED_VALUE"""),"B18_VD_31.mp3")</f>
        <v>B18_VD_31.mp3</v>
      </c>
    </row>
    <row r="1258" spans="1:13">
      <c r="A1258" s="13">
        <f ca="1">IFERROR(__xludf.DUMMYFUNCTION("""COMPUTED_VALUE"""),32)</f>
        <v>32</v>
      </c>
      <c r="B1258" s="13"/>
      <c r="C1258" s="13" t="str">
        <f ca="1">IFERROR(__xludf.DUMMYFUNCTION("""COMPUTED_VALUE"""),"信封")</f>
        <v>信封</v>
      </c>
      <c r="D1258" s="13" t="str">
        <f ca="1">IFERROR(__xludf.DUMMYFUNCTION("""COMPUTED_VALUE"""),"&lt;ruby&gt;信封&lt;rt&gt;xìnfēng&lt;/rt&gt;&lt;/ruby&gt;")</f>
        <v>&lt;ruby&gt;信封&lt;rt&gt;xìnfēng&lt;/rt&gt;&lt;/ruby&gt;</v>
      </c>
      <c r="E1258" s="13" t="str">
        <f ca="1">IFERROR(__xludf.DUMMYFUNCTION("""COMPUTED_VALUE"""),"xìnfēng")</f>
        <v>xìnfēng</v>
      </c>
      <c r="F1258" s="13" t="str">
        <f ca="1">IFERROR(__xludf.DUMMYFUNCTION("""COMPUTED_VALUE"""),"Danh từ")</f>
        <v>Danh từ</v>
      </c>
      <c r="G1258" s="13" t="str">
        <f ca="1">IFERROR(__xludf.DUMMYFUNCTION("""COMPUTED_VALUE"""),"phong thư, bì thư")</f>
        <v>phong thư, bì thư</v>
      </c>
      <c r="H1258" s="13" t="str">
        <f ca="1">IFERROR(__xludf.DUMMYFUNCTION("""COMPUTED_VALUE"""),"我已经在信封上贴好邮票了。")</f>
        <v>我已经在信封上贴好邮票了。</v>
      </c>
      <c r="I1258" s="13"/>
      <c r="J1258" s="13" t="str">
        <f ca="1">IFERROR(__xludf.DUMMYFUNCTION("""COMPUTED_VALUE"""),"Tôi đã dán tem lên phong thư.")</f>
        <v>Tôi đã dán tem lên phong thư.</v>
      </c>
      <c r="K1258" s="13" t="str">
        <f ca="1">IFERROR(__xludf.DUMMYFUNCTION("""COMPUTED_VALUE"""),"H4_B18_BG-32.png")</f>
        <v>H4_B18_BG-32.png</v>
      </c>
      <c r="L1258" s="13" t="str">
        <f ca="1">IFERROR(__xludf.DUMMYFUNCTION("""COMPUTED_VALUE"""),"B18_32.mp3")</f>
        <v>B18_32.mp3</v>
      </c>
      <c r="M1258" s="13" t="str">
        <f ca="1">IFERROR(__xludf.DUMMYFUNCTION("""COMPUTED_VALUE"""),"B18_VD_32.mp3")</f>
        <v>B18_VD_32.mp3</v>
      </c>
    </row>
    <row r="1259" spans="1:13">
      <c r="A1259" s="13">
        <f ca="1">IFERROR(__xludf.DUMMYFUNCTION("""COMPUTED_VALUE"""),1)</f>
        <v>1</v>
      </c>
      <c r="B1259" s="13"/>
      <c r="C1259" s="13" t="str">
        <f ca="1">IFERROR(__xludf.DUMMYFUNCTION("""COMPUTED_VALUE"""),"学期")</f>
        <v>学期</v>
      </c>
      <c r="D1259" s="13" t="str">
        <f ca="1">IFERROR(__xludf.DUMMYFUNCTION("""COMPUTED_VALUE"""),"&lt;ruby&gt;学期&lt;rt&gt;xuéqī&lt;/rt&gt;&lt;/ruby&gt;")</f>
        <v>&lt;ruby&gt;学期&lt;rt&gt;xuéqī&lt;/rt&gt;&lt;/ruby&gt;</v>
      </c>
      <c r="E1259" s="13" t="str">
        <f ca="1">IFERROR(__xludf.DUMMYFUNCTION("""COMPUTED_VALUE"""),"xuéqī")</f>
        <v>xuéqī</v>
      </c>
      <c r="F1259" s="13" t="str">
        <f ca="1">IFERROR(__xludf.DUMMYFUNCTION("""COMPUTED_VALUE"""),"Danh từ")</f>
        <v>Danh từ</v>
      </c>
      <c r="G1259" s="13" t="str">
        <f ca="1">IFERROR(__xludf.DUMMYFUNCTION("""COMPUTED_VALUE"""),"học kỳ")</f>
        <v>học kỳ</v>
      </c>
      <c r="H1259" s="13" t="str">
        <f ca="1">IFERROR(__xludf.DUMMYFUNCTION("""COMPUTED_VALUE"""),"新学期要努力，不能像上个学期那样懒惰。")</f>
        <v>新学期要努力，不能像上个学期那样懒惰。</v>
      </c>
      <c r="I1259" s="13"/>
      <c r="J1259" s="13" t="str">
        <f ca="1">IFERROR(__xludf.DUMMYFUNCTION("""COMPUTED_VALUE"""),"Học kỳ mới phải cố gắng, không thể lười biếng như kỳ trước được.")</f>
        <v>Học kỳ mới phải cố gắng, không thể lười biếng như kỳ trước được.</v>
      </c>
      <c r="K1259" s="13" t="str">
        <f ca="1">IFERROR(__xludf.DUMMYFUNCTION("""COMPUTED_VALUE"""),"H4B19-01.pngpng")</f>
        <v>H4B19-01.pngpng</v>
      </c>
      <c r="L1259" s="13" t="str">
        <f ca="1">IFERROR(__xludf.DUMMYFUNCTION("""COMPUTED_VALUE"""),"B19_1.mp3")</f>
        <v>B19_1.mp3</v>
      </c>
      <c r="M1259" s="13" t="str">
        <f ca="1">IFERROR(__xludf.DUMMYFUNCTION("""COMPUTED_VALUE"""),"B19_VD_1.mp3")</f>
        <v>B19_VD_1.mp3</v>
      </c>
    </row>
    <row r="1260" spans="1:13">
      <c r="A1260" s="13">
        <f ca="1">IFERROR(__xludf.DUMMYFUNCTION("""COMPUTED_VALUE"""),2)</f>
        <v>2</v>
      </c>
      <c r="B1260" s="13"/>
      <c r="C1260" s="13" t="str">
        <f ca="1">IFERROR(__xludf.DUMMYFUNCTION("""COMPUTED_VALUE"""),"出生")</f>
        <v>出生</v>
      </c>
      <c r="D1260" s="13" t="str">
        <f ca="1">IFERROR(__xludf.DUMMYFUNCTION("""COMPUTED_VALUE"""),"&lt;ruby&gt;出生&lt;rt&gt;chūshēng&lt;/rt&gt;&lt;/ruby&gt;")</f>
        <v>&lt;ruby&gt;出生&lt;rt&gt;chūshēng&lt;/rt&gt;&lt;/ruby&gt;</v>
      </c>
      <c r="E1260" s="13" t="str">
        <f ca="1">IFERROR(__xludf.DUMMYFUNCTION("""COMPUTED_VALUE"""),"chūshēng")</f>
        <v>chūshēng</v>
      </c>
      <c r="F1260" s="13" t="str">
        <f ca="1">IFERROR(__xludf.DUMMYFUNCTION("""COMPUTED_VALUE"""),"Động từ")</f>
        <v>Động từ</v>
      </c>
      <c r="G1260" s="13" t="str">
        <f ca="1">IFERROR(__xludf.DUMMYFUNCTION("""COMPUTED_VALUE"""),"ra đời, sinh ra")</f>
        <v>ra đời, sinh ra</v>
      </c>
      <c r="H1260" s="13" t="str">
        <f ca="1">IFERROR(__xludf.DUMMYFUNCTION("""COMPUTED_VALUE"""),"那个宝宝出生在除夕夜。")</f>
        <v>那个宝宝出生在除夕夜。</v>
      </c>
      <c r="I1260" s="13"/>
      <c r="J1260" s="13" t="str">
        <f ca="1">IFERROR(__xludf.DUMMYFUNCTION("""COMPUTED_VALUE"""),"Đứa bé đó được sinh ra vào đêm giao thừa.")</f>
        <v>Đứa bé đó được sinh ra vào đêm giao thừa.</v>
      </c>
      <c r="K1260" s="13" t="str">
        <f ca="1">IFERROR(__xludf.DUMMYFUNCTION("""COMPUTED_VALUE"""),"H4B19-02.pngpng")</f>
        <v>H4B19-02.pngpng</v>
      </c>
      <c r="L1260" s="13" t="str">
        <f ca="1">IFERROR(__xludf.DUMMYFUNCTION("""COMPUTED_VALUE"""),"B19_2.mp3")</f>
        <v>B19_2.mp3</v>
      </c>
      <c r="M1260" s="13" t="str">
        <f ca="1">IFERROR(__xludf.DUMMYFUNCTION("""COMPUTED_VALUE"""),"B19_VD_2.mp3")</f>
        <v>B19_VD_2.mp3</v>
      </c>
    </row>
    <row r="1261" spans="1:13">
      <c r="A1261" s="13">
        <f ca="1">IFERROR(__xludf.DUMMYFUNCTION("""COMPUTED_VALUE"""),3)</f>
        <v>3</v>
      </c>
      <c r="B1261" s="13"/>
      <c r="C1261" s="13" t="str">
        <f ca="1">IFERROR(__xludf.DUMMYFUNCTION("""COMPUTED_VALUE"""),"性别")</f>
        <v>性别</v>
      </c>
      <c r="D1261" s="13" t="str">
        <f ca="1">IFERROR(__xludf.DUMMYFUNCTION("""COMPUTED_VALUE"""),"&lt;ruby&gt;性别&lt;rt&gt;xìngbié&lt;/rt&gt;&lt;/ruby&gt;")</f>
        <v>&lt;ruby&gt;性别&lt;rt&gt;xìngbié&lt;/rt&gt;&lt;/ruby&gt;</v>
      </c>
      <c r="E1261" s="13" t="str">
        <f ca="1">IFERROR(__xludf.DUMMYFUNCTION("""COMPUTED_VALUE"""),"xìngbié")</f>
        <v>xìngbié</v>
      </c>
      <c r="F1261" s="13" t="str">
        <f ca="1">IFERROR(__xludf.DUMMYFUNCTION("""COMPUTED_VALUE"""),"Danh từ")</f>
        <v>Danh từ</v>
      </c>
      <c r="G1261" s="13" t="str">
        <f ca="1">IFERROR(__xludf.DUMMYFUNCTION("""COMPUTED_VALUE"""),"giới tính")</f>
        <v>giới tính</v>
      </c>
      <c r="H1261" s="13" t="str">
        <f ca="1">IFERROR(__xludf.DUMMYFUNCTION("""COMPUTED_VALUE"""),"许多地方至今仍然存在性别差异问题。")</f>
        <v>许多地方至今仍然存在性别差异问题。</v>
      </c>
      <c r="I1261" s="13"/>
      <c r="J1261" s="13" t="str">
        <f ca="1">IFERROR(__xludf.DUMMYFUNCTION("""COMPUTED_VALUE"""),"Rất nhiều nơi đến bây giờ vẫn còn tồn tại vấn đề chênh lệch giới tính.")</f>
        <v>Rất nhiều nơi đến bây giờ vẫn còn tồn tại vấn đề chênh lệch giới tính.</v>
      </c>
      <c r="K1261" s="13" t="str">
        <f ca="1">IFERROR(__xludf.DUMMYFUNCTION("""COMPUTED_VALUE"""),"H4B19-03.png")</f>
        <v>H4B19-03.png</v>
      </c>
      <c r="L1261" s="13" t="str">
        <f ca="1">IFERROR(__xludf.DUMMYFUNCTION("""COMPUTED_VALUE"""),"B19_3.mp3")</f>
        <v>B19_3.mp3</v>
      </c>
      <c r="M1261" s="13" t="str">
        <f ca="1">IFERROR(__xludf.DUMMYFUNCTION("""COMPUTED_VALUE"""),"B19_VD_3.mp3")</f>
        <v>B19_VD_3.mp3</v>
      </c>
    </row>
    <row r="1262" spans="1:13">
      <c r="A1262" s="13">
        <f ca="1">IFERROR(__xludf.DUMMYFUNCTION("""COMPUTED_VALUE"""),4)</f>
        <v>4</v>
      </c>
      <c r="B1262" s="13"/>
      <c r="C1262" s="13" t="str">
        <f ca="1">IFERROR(__xludf.DUMMYFUNCTION("""COMPUTED_VALUE"""),"国籍")</f>
        <v>国籍</v>
      </c>
      <c r="D1262" s="13" t="str">
        <f ca="1">IFERROR(__xludf.DUMMYFUNCTION("""COMPUTED_VALUE"""),"&lt;ruby&gt;国籍&lt;rt&gt;guójí&lt;/rt&gt;&lt;/ruby&gt;")</f>
        <v>&lt;ruby&gt;国籍&lt;rt&gt;guójí&lt;/rt&gt;&lt;/ruby&gt;</v>
      </c>
      <c r="E1262" s="13" t="str">
        <f ca="1">IFERROR(__xludf.DUMMYFUNCTION("""COMPUTED_VALUE"""),"guójí")</f>
        <v>guójí</v>
      </c>
      <c r="F1262" s="13" t="str">
        <f ca="1">IFERROR(__xludf.DUMMYFUNCTION("""COMPUTED_VALUE"""),"Danh từ")</f>
        <v>Danh từ</v>
      </c>
      <c r="G1262" s="13" t="str">
        <f ca="1">IFERROR(__xludf.DUMMYFUNCTION("""COMPUTED_VALUE"""),"quốc tịch")</f>
        <v>quốc tịch</v>
      </c>
      <c r="H1262" s="13" t="str">
        <f ca="1">IFERROR(__xludf.DUMMYFUNCTION("""COMPUTED_VALUE"""),"申请签证时，国籍非常重要。")</f>
        <v>申请签证时，国籍非常重要。</v>
      </c>
      <c r="I1262" s="13"/>
      <c r="J1262" s="13" t="str">
        <f ca="1">IFERROR(__xludf.DUMMYFUNCTION("""COMPUTED_VALUE"""),"Quốc tịch rất quan trọng khi xin visa")</f>
        <v>Quốc tịch rất quan trọng khi xin visa</v>
      </c>
      <c r="K1262" s="13" t="str">
        <f ca="1">IFERROR(__xludf.DUMMYFUNCTION("""COMPUTED_VALUE"""),"H4B19-04.png")</f>
        <v>H4B19-04.png</v>
      </c>
      <c r="L1262" s="13" t="str">
        <f ca="1">IFERROR(__xludf.DUMMYFUNCTION("""COMPUTED_VALUE"""),"B19_4.mp3")</f>
        <v>B19_4.mp3</v>
      </c>
      <c r="M1262" s="13" t="str">
        <f ca="1">IFERROR(__xludf.DUMMYFUNCTION("""COMPUTED_VALUE"""),"B19_VD_4.mp3")</f>
        <v>B19_VD_4.mp3</v>
      </c>
    </row>
    <row r="1263" spans="1:13">
      <c r="A1263" s="13">
        <f ca="1">IFERROR(__xludf.DUMMYFUNCTION("""COMPUTED_VALUE"""),5)</f>
        <v>5</v>
      </c>
      <c r="B1263" s="13"/>
      <c r="C1263" s="13" t="str">
        <f ca="1">IFERROR(__xludf.DUMMYFUNCTION("""COMPUTED_VALUE"""),"租")</f>
        <v>租</v>
      </c>
      <c r="D1263" s="13" t="str">
        <f ca="1">IFERROR(__xludf.DUMMYFUNCTION("""COMPUTED_VALUE"""),"&lt;ruby&gt;租&lt;rt&gt;zū&lt;/rt&gt;&lt;/ruby&gt;")</f>
        <v>&lt;ruby&gt;租&lt;rt&gt;zū&lt;/rt&gt;&lt;/ruby&gt;</v>
      </c>
      <c r="E1263" s="13" t="str">
        <f ca="1">IFERROR(__xludf.DUMMYFUNCTION("""COMPUTED_VALUE"""),"zū")</f>
        <v>zū</v>
      </c>
      <c r="F1263" s="13" t="str">
        <f ca="1">IFERROR(__xludf.DUMMYFUNCTION("""COMPUTED_VALUE"""),"Động từ")</f>
        <v>Động từ</v>
      </c>
      <c r="G1263" s="13" t="str">
        <f ca="1">IFERROR(__xludf.DUMMYFUNCTION("""COMPUTED_VALUE"""),"thuê, cho thuê")</f>
        <v>thuê, cho thuê</v>
      </c>
      <c r="H1263" s="13" t="str">
        <f ca="1">IFERROR(__xludf.DUMMYFUNCTION("""COMPUTED_VALUE"""),"我租了一套房子。")</f>
        <v>我租了一套房子。</v>
      </c>
      <c r="I1263" s="13"/>
      <c r="J1263" s="13" t="str">
        <f ca="1">IFERROR(__xludf.DUMMYFUNCTION("""COMPUTED_VALUE"""),"Tôi đã thuê một căn nhà.")</f>
        <v>Tôi đã thuê một căn nhà.</v>
      </c>
      <c r="K1263" s="13" t="str">
        <f ca="1">IFERROR(__xludf.DUMMYFUNCTION("""COMPUTED_VALUE"""),"H4B19-05.png")</f>
        <v>H4B19-05.png</v>
      </c>
      <c r="L1263" s="13" t="str">
        <f ca="1">IFERROR(__xludf.DUMMYFUNCTION("""COMPUTED_VALUE"""),"B19_5.mp3")</f>
        <v>B19_5.mp3</v>
      </c>
      <c r="M1263" s="13" t="str">
        <f ca="1">IFERROR(__xludf.DUMMYFUNCTION("""COMPUTED_VALUE"""),"B19_VD_5.mp3")</f>
        <v>B19_VD_5.mp3</v>
      </c>
    </row>
    <row r="1264" spans="1:13">
      <c r="A1264" s="13">
        <f ca="1">IFERROR(__xludf.DUMMYFUNCTION("""COMPUTED_VALUE"""),6)</f>
        <v>6</v>
      </c>
      <c r="B1264" s="13"/>
      <c r="C1264" s="13" t="str">
        <f ca="1">IFERROR(__xludf.DUMMYFUNCTION("""COMPUTED_VALUE"""),"零钱")</f>
        <v>零钱</v>
      </c>
      <c r="D1264" s="13" t="str">
        <f ca="1">IFERROR(__xludf.DUMMYFUNCTION("""COMPUTED_VALUE"""),"&lt;ruby&gt;零钱&lt;rt&gt;língqián&lt;/rt&gt;&lt;/ruby&gt;")</f>
        <v>&lt;ruby&gt;零钱&lt;rt&gt;língqián&lt;/rt&gt;&lt;/ruby&gt;</v>
      </c>
      <c r="E1264" s="13" t="str">
        <f ca="1">IFERROR(__xludf.DUMMYFUNCTION("""COMPUTED_VALUE"""),"língqián")</f>
        <v>língqián</v>
      </c>
      <c r="F1264" s="13" t="str">
        <f ca="1">IFERROR(__xludf.DUMMYFUNCTION("""COMPUTED_VALUE"""),"Danh từ")</f>
        <v>Danh từ</v>
      </c>
      <c r="G1264" s="13" t="str">
        <f ca="1">IFERROR(__xludf.DUMMYFUNCTION("""COMPUTED_VALUE"""),"tiền lẻ")</f>
        <v>tiền lẻ</v>
      </c>
      <c r="H1264" s="13" t="str">
        <f ca="1">IFERROR(__xludf.DUMMYFUNCTION("""COMPUTED_VALUE"""),"我的积蓄全是零钱。")</f>
        <v>我的积蓄全是零钱。</v>
      </c>
      <c r="I1264" s="13"/>
      <c r="J1264" s="13" t="str">
        <f ca="1">IFERROR(__xludf.DUMMYFUNCTION("""COMPUTED_VALUE"""),"Tiền tích kiệm của tôi đều là tiền lẻ.")</f>
        <v>Tiền tích kiệm của tôi đều là tiền lẻ.</v>
      </c>
      <c r="K1264" s="13" t="str">
        <f ca="1">IFERROR(__xludf.DUMMYFUNCTION("""COMPUTED_VALUE"""),"H4B19-06.png")</f>
        <v>H4B19-06.png</v>
      </c>
      <c r="L1264" s="13" t="str">
        <f ca="1">IFERROR(__xludf.DUMMYFUNCTION("""COMPUTED_VALUE"""),"B19_6.mp3")</f>
        <v>B19_6.mp3</v>
      </c>
      <c r="M1264" s="13" t="str">
        <f ca="1">IFERROR(__xludf.DUMMYFUNCTION("""COMPUTED_VALUE"""),"B19_VD_6.mp3")</f>
        <v>B19_VD_6.mp3</v>
      </c>
    </row>
    <row r="1265" spans="1:13">
      <c r="A1265" s="13">
        <f ca="1">IFERROR(__xludf.DUMMYFUNCTION("""COMPUTED_VALUE"""),7)</f>
        <v>7</v>
      </c>
      <c r="B1265" s="13"/>
      <c r="C1265" s="13" t="str">
        <f ca="1">IFERROR(__xludf.DUMMYFUNCTION("""COMPUTED_VALUE"""),"厨房")</f>
        <v>厨房</v>
      </c>
      <c r="D1265" s="13" t="str">
        <f ca="1">IFERROR(__xludf.DUMMYFUNCTION("""COMPUTED_VALUE"""),"&lt;ruby&gt;厨房&lt;rt&gt;chúfáng&lt;/rt&gt;&lt;/ruby&gt;")</f>
        <v>&lt;ruby&gt;厨房&lt;rt&gt;chúfáng&lt;/rt&gt;&lt;/ruby&gt;</v>
      </c>
      <c r="E1265" s="13" t="str">
        <f ca="1">IFERROR(__xludf.DUMMYFUNCTION("""COMPUTED_VALUE"""),"chúfáng")</f>
        <v>chúfáng</v>
      </c>
      <c r="F1265" s="13" t="str">
        <f ca="1">IFERROR(__xludf.DUMMYFUNCTION("""COMPUTED_VALUE"""),"Danh từ")</f>
        <v>Danh từ</v>
      </c>
      <c r="G1265" s="13" t="str">
        <f ca="1">IFERROR(__xludf.DUMMYFUNCTION("""COMPUTED_VALUE"""),"nhà bếp")</f>
        <v>nhà bếp</v>
      </c>
      <c r="H1265" s="13" t="str">
        <f ca="1">IFERROR(__xludf.DUMMYFUNCTION("""COMPUTED_VALUE"""),"厨房里有很多美味的菜肴。")</f>
        <v>厨房里有很多美味的菜肴。</v>
      </c>
      <c r="I1265" s="13"/>
      <c r="J1265" s="13" t="str">
        <f ca="1">IFERROR(__xludf.DUMMYFUNCTION("""COMPUTED_VALUE"""),"Có rất nhiều món ngon ở trong bếp.")</f>
        <v>Có rất nhiều món ngon ở trong bếp.</v>
      </c>
      <c r="K1265" s="13" t="str">
        <f ca="1">IFERROR(__xludf.DUMMYFUNCTION("""COMPUTED_VALUE"""),"H4B19-07.png")</f>
        <v>H4B19-07.png</v>
      </c>
      <c r="L1265" s="13" t="str">
        <f ca="1">IFERROR(__xludf.DUMMYFUNCTION("""COMPUTED_VALUE"""),"B19_7.mp3")</f>
        <v>B19_7.mp3</v>
      </c>
      <c r="M1265" s="13" t="str">
        <f ca="1">IFERROR(__xludf.DUMMYFUNCTION("""COMPUTED_VALUE"""),"B19_VD_7.mp3")</f>
        <v>B19_VD_7.mp3</v>
      </c>
    </row>
    <row r="1266" spans="1:13">
      <c r="A1266" s="13">
        <f ca="1">IFERROR(__xludf.DUMMYFUNCTION("""COMPUTED_VALUE"""),8)</f>
        <v>8</v>
      </c>
      <c r="B1266" s="13"/>
      <c r="C1266" s="13" t="str">
        <f ca="1">IFERROR(__xludf.DUMMYFUNCTION("""COMPUTED_VALUE"""),"房东")</f>
        <v>房东</v>
      </c>
      <c r="D1266" s="13" t="str">
        <f ca="1">IFERROR(__xludf.DUMMYFUNCTION("""COMPUTED_VALUE"""),"&lt;ruby&gt;房东&lt;rt&gt;fángdōng&lt;/rt&gt;&lt;/ruby&gt;")</f>
        <v>&lt;ruby&gt;房东&lt;rt&gt;fángdōng&lt;/rt&gt;&lt;/ruby&gt;</v>
      </c>
      <c r="E1266" s="13" t="str">
        <f ca="1">IFERROR(__xludf.DUMMYFUNCTION("""COMPUTED_VALUE"""),"fángdōng")</f>
        <v>fángdōng</v>
      </c>
      <c r="F1266" s="13" t="str">
        <f ca="1">IFERROR(__xludf.DUMMYFUNCTION("""COMPUTED_VALUE"""),"Danh từ")</f>
        <v>Danh từ</v>
      </c>
      <c r="G1266" s="13" t="str">
        <f ca="1">IFERROR(__xludf.DUMMYFUNCTION("""COMPUTED_VALUE"""),"chủ nhà (nhà cho thuê)")</f>
        <v>chủ nhà (nhà cho thuê)</v>
      </c>
      <c r="H1266" s="13" t="str">
        <f ca="1">IFERROR(__xludf.DUMMYFUNCTION("""COMPUTED_VALUE"""),"我的房东很友善。")</f>
        <v>我的房东很友善。</v>
      </c>
      <c r="I1266" s="13"/>
      <c r="J1266" s="13" t="str">
        <f ca="1">IFERROR(__xludf.DUMMYFUNCTION("""COMPUTED_VALUE"""),"Chủ nhà của tôi rất thân thiện.")</f>
        <v>Chủ nhà của tôi rất thân thiện.</v>
      </c>
      <c r="K1266" s="13" t="str">
        <f ca="1">IFERROR(__xludf.DUMMYFUNCTION("""COMPUTED_VALUE"""),"H4B19-08.png")</f>
        <v>H4B19-08.png</v>
      </c>
      <c r="L1266" s="13" t="str">
        <f ca="1">IFERROR(__xludf.DUMMYFUNCTION("""COMPUTED_VALUE"""),"B19_8.mp3")</f>
        <v>B19_8.mp3</v>
      </c>
      <c r="M1266" s="13" t="str">
        <f ca="1">IFERROR(__xludf.DUMMYFUNCTION("""COMPUTED_VALUE"""),"B19_VD_8.mp3")</f>
        <v>B19_VD_8.mp3</v>
      </c>
    </row>
    <row r="1267" spans="1:13">
      <c r="A1267" s="13">
        <f ca="1">IFERROR(__xludf.DUMMYFUNCTION("""COMPUTED_VALUE"""),9)</f>
        <v>9</v>
      </c>
      <c r="B1267" s="13"/>
      <c r="C1267" s="13" t="str">
        <f ca="1">IFERROR(__xludf.DUMMYFUNCTION("""COMPUTED_VALUE"""),"占线")</f>
        <v>占线</v>
      </c>
      <c r="D1267" s="13" t="str">
        <f ca="1">IFERROR(__xludf.DUMMYFUNCTION("""COMPUTED_VALUE"""),"&lt;ruby&gt;占线&lt;rt&gt;zhànxiàn&lt;/rt&gt;&lt;/ruby&gt;")</f>
        <v>&lt;ruby&gt;占线&lt;rt&gt;zhànxiàn&lt;/rt&gt;&lt;/ruby&gt;</v>
      </c>
      <c r="E1267" s="13" t="str">
        <f ca="1">IFERROR(__xludf.DUMMYFUNCTION("""COMPUTED_VALUE"""),"zhànxiàn")</f>
        <v>zhànxiàn</v>
      </c>
      <c r="F1267" s="13" t="str">
        <f ca="1">IFERROR(__xludf.DUMMYFUNCTION("""COMPUTED_VALUE"""),"Động từ")</f>
        <v>Động từ</v>
      </c>
      <c r="G1267" s="13" t="str">
        <f ca="1">IFERROR(__xludf.DUMMYFUNCTION("""COMPUTED_VALUE"""),"(đường dây điện thoại) bận")</f>
        <v>(đường dây điện thoại) bận</v>
      </c>
      <c r="H1267" s="13" t="str">
        <f ca="1">IFERROR(__xludf.DUMMYFUNCTION("""COMPUTED_VALUE"""),"你的电话怎么回事？一整天都占线。")</f>
        <v>你的电话怎么回事？一整天都占线。</v>
      </c>
      <c r="I1267" s="13"/>
      <c r="J1267" s="13" t="str">
        <f ca="1">IFERROR(__xludf.DUMMYFUNCTION("""COMPUTED_VALUE"""),"Máy của cậu bị sao thế? Cả ngày gọi đều báo bận.")</f>
        <v>Máy của cậu bị sao thế? Cả ngày gọi đều báo bận.</v>
      </c>
      <c r="K1267" s="13" t="str">
        <f ca="1">IFERROR(__xludf.DUMMYFUNCTION("""COMPUTED_VALUE"""),"H4B19-09.png")</f>
        <v>H4B19-09.png</v>
      </c>
      <c r="L1267" s="13" t="str">
        <f ca="1">IFERROR(__xludf.DUMMYFUNCTION("""COMPUTED_VALUE"""),"B19_9.mp3")</f>
        <v>B19_9.mp3</v>
      </c>
      <c r="M1267" s="13" t="str">
        <f ca="1">IFERROR(__xludf.DUMMYFUNCTION("""COMPUTED_VALUE"""),"B19_VD_9.mp3")</f>
        <v>B19_VD_9.mp3</v>
      </c>
    </row>
    <row r="1268" spans="1:13">
      <c r="A1268" s="13">
        <f ca="1">IFERROR(__xludf.DUMMYFUNCTION("""COMPUTED_VALUE"""),10)</f>
        <v>10</v>
      </c>
      <c r="B1268" s="13"/>
      <c r="C1268" s="13" t="str">
        <f ca="1">IFERROR(__xludf.DUMMYFUNCTION("""COMPUTED_VALUE"""),"打印")</f>
        <v>打印</v>
      </c>
      <c r="D1268" s="13" t="str">
        <f ca="1">IFERROR(__xludf.DUMMYFUNCTION("""COMPUTED_VALUE"""),"&lt;ruby&gt;打印&lt;rt&gt;dǎyìn&lt;/rt&gt;&lt;/ruby&gt;")</f>
        <v>&lt;ruby&gt;打印&lt;rt&gt;dǎyìn&lt;/rt&gt;&lt;/ruby&gt;</v>
      </c>
      <c r="E1268" s="13" t="str">
        <f ca="1">IFERROR(__xludf.DUMMYFUNCTION("""COMPUTED_VALUE"""),"dǎyìn")</f>
        <v>dǎyìn</v>
      </c>
      <c r="F1268" s="13" t="str">
        <f ca="1">IFERROR(__xludf.DUMMYFUNCTION("""COMPUTED_VALUE"""),"Động từ")</f>
        <v>Động từ</v>
      </c>
      <c r="G1268" s="13" t="str">
        <f ca="1">IFERROR(__xludf.DUMMYFUNCTION("""COMPUTED_VALUE"""),"in")</f>
        <v>in</v>
      </c>
      <c r="H1268" s="13" t="str">
        <f ca="1">IFERROR(__xludf.DUMMYFUNCTION("""COMPUTED_VALUE"""),"我需要打印这份文件。")</f>
        <v>我需要打印这份文件。</v>
      </c>
      <c r="I1268" s="13"/>
      <c r="J1268" s="13" t="str">
        <f ca="1">IFERROR(__xludf.DUMMYFUNCTION("""COMPUTED_VALUE"""),"Tôi cần in phần tài liệu này.")</f>
        <v>Tôi cần in phần tài liệu này.</v>
      </c>
      <c r="K1268" s="13" t="str">
        <f ca="1">IFERROR(__xludf.DUMMYFUNCTION("""COMPUTED_VALUE"""),"H4B19-10.png")</f>
        <v>H4B19-10.png</v>
      </c>
      <c r="L1268" s="13" t="str">
        <f ca="1">IFERROR(__xludf.DUMMYFUNCTION("""COMPUTED_VALUE"""),"B19_10.mp3")</f>
        <v>B19_10.mp3</v>
      </c>
      <c r="M1268" s="13" t="str">
        <f ca="1">IFERROR(__xludf.DUMMYFUNCTION("""COMPUTED_VALUE"""),"B19_VD_10.mp3")</f>
        <v>B19_VD_10.mp3</v>
      </c>
    </row>
    <row r="1269" spans="1:13">
      <c r="A1269" s="13">
        <f ca="1">IFERROR(__xludf.DUMMYFUNCTION("""COMPUTED_VALUE"""),11)</f>
        <v>11</v>
      </c>
      <c r="B1269" s="13"/>
      <c r="C1269" s="13" t="str">
        <f ca="1">IFERROR(__xludf.DUMMYFUNCTION("""COMPUTED_VALUE"""),"复印")</f>
        <v>复印</v>
      </c>
      <c r="D1269" s="13" t="str">
        <f ca="1">IFERROR(__xludf.DUMMYFUNCTION("""COMPUTED_VALUE"""),"&lt;ruby&gt;复印&lt;rt&gt;fùyìn&lt;/rt&gt;&lt;/ruby&gt;")</f>
        <v>&lt;ruby&gt;复印&lt;rt&gt;fùyìn&lt;/rt&gt;&lt;/ruby&gt;</v>
      </c>
      <c r="E1269" s="13" t="str">
        <f ca="1">IFERROR(__xludf.DUMMYFUNCTION("""COMPUTED_VALUE"""),"fùyìn")</f>
        <v>fùyìn</v>
      </c>
      <c r="F1269" s="13" t="str">
        <f ca="1">IFERROR(__xludf.DUMMYFUNCTION("""COMPUTED_VALUE"""),"Động từ")</f>
        <v>Động từ</v>
      </c>
      <c r="G1269" s="13" t="str">
        <f ca="1">IFERROR(__xludf.DUMMYFUNCTION("""COMPUTED_VALUE"""),"photocopy, sao chụp")</f>
        <v>photocopy, sao chụp</v>
      </c>
      <c r="H1269" s="13" t="str">
        <f ca="1">IFERROR(__xludf.DUMMYFUNCTION("""COMPUTED_VALUE"""),"这是我们公司新买的复印机。")</f>
        <v>这是我们公司新买的复印机。</v>
      </c>
      <c r="I1269" s="13"/>
      <c r="J1269" s="13" t="str">
        <f ca="1">IFERROR(__xludf.DUMMYFUNCTION("""COMPUTED_VALUE"""),"Đây là máy photocopy công ty tôi mới mua.")</f>
        <v>Đây là máy photocopy công ty tôi mới mua.</v>
      </c>
      <c r="K1269" s="13" t="str">
        <f ca="1">IFERROR(__xludf.DUMMYFUNCTION("""COMPUTED_VALUE"""),"H4B19-11.png")</f>
        <v>H4B19-11.png</v>
      </c>
      <c r="L1269" s="13" t="str">
        <f ca="1">IFERROR(__xludf.DUMMYFUNCTION("""COMPUTED_VALUE"""),"B19_11.mp3")</f>
        <v>B19_11.mp3</v>
      </c>
      <c r="M1269" s="13" t="str">
        <f ca="1">IFERROR(__xludf.DUMMYFUNCTION("""COMPUTED_VALUE"""),"B19_VD_11.mp3")</f>
        <v>B19_VD_11.mp3</v>
      </c>
    </row>
    <row r="1270" spans="1:13">
      <c r="A1270" s="13">
        <f ca="1">IFERROR(__xludf.DUMMYFUNCTION("""COMPUTED_VALUE"""),12)</f>
        <v>12</v>
      </c>
      <c r="B1270" s="13"/>
      <c r="C1270" s="13" t="str">
        <f ca="1">IFERROR(__xludf.DUMMYFUNCTION("""COMPUTED_VALUE"""),"饺子")</f>
        <v>饺子</v>
      </c>
      <c r="D1270" s="13" t="str">
        <f ca="1">IFERROR(__xludf.DUMMYFUNCTION("""COMPUTED_VALUE"""),"&lt;ruby&gt;饺子&lt;rt&gt;jiǎozi&lt;/rt&gt;&lt;/ruby&gt;")</f>
        <v>&lt;ruby&gt;饺子&lt;rt&gt;jiǎozi&lt;/rt&gt;&lt;/ruby&gt;</v>
      </c>
      <c r="E1270" s="13" t="str">
        <f ca="1">IFERROR(__xludf.DUMMYFUNCTION("""COMPUTED_VALUE"""),"jiǎozi")</f>
        <v>jiǎozi</v>
      </c>
      <c r="F1270" s="13" t="str">
        <f ca="1">IFERROR(__xludf.DUMMYFUNCTION("""COMPUTED_VALUE"""),"Danh từ")</f>
        <v>Danh từ</v>
      </c>
      <c r="G1270" s="13" t="str">
        <f ca="1">IFERROR(__xludf.DUMMYFUNCTION("""COMPUTED_VALUE"""),"bánh chẻo")</f>
        <v>bánh chẻo</v>
      </c>
      <c r="H1270" s="13" t="str">
        <f ca="1">IFERROR(__xludf.DUMMYFUNCTION("""COMPUTED_VALUE""")," 这是我刚做的饺子。")</f>
        <v xml:space="preserve"> 这是我刚做的饺子。</v>
      </c>
      <c r="I1270" s="13"/>
      <c r="J1270" s="13" t="str">
        <f ca="1">IFERROR(__xludf.DUMMYFUNCTION("""COMPUTED_VALUE"""),"Đây là sủi cảo tôi vừa làm.")</f>
        <v>Đây là sủi cảo tôi vừa làm.</v>
      </c>
      <c r="K1270" s="13" t="str">
        <f ca="1">IFERROR(__xludf.DUMMYFUNCTION("""COMPUTED_VALUE"""),"H4B19-12.png")</f>
        <v>H4B19-12.png</v>
      </c>
      <c r="L1270" s="13" t="str">
        <f ca="1">IFERROR(__xludf.DUMMYFUNCTION("""COMPUTED_VALUE"""),"B19_12.mp3")</f>
        <v>B19_12.mp3</v>
      </c>
      <c r="M1270" s="13" t="str">
        <f ca="1">IFERROR(__xludf.DUMMYFUNCTION("""COMPUTED_VALUE"""),"B19_VD_12.mp3")</f>
        <v>B19_VD_12.mp3</v>
      </c>
    </row>
    <row r="1271" spans="1:13">
      <c r="A1271" s="13">
        <f ca="1">IFERROR(__xludf.DUMMYFUNCTION("""COMPUTED_VALUE"""),13)</f>
        <v>13</v>
      </c>
      <c r="B1271" s="13"/>
      <c r="C1271" s="13" t="str">
        <f ca="1">IFERROR(__xludf.DUMMYFUNCTION("""COMPUTED_VALUE"""),"包子")</f>
        <v>包子</v>
      </c>
      <c r="D1271" s="13" t="str">
        <f ca="1">IFERROR(__xludf.DUMMYFUNCTION("""COMPUTED_VALUE"""),"&lt;ruby&gt;包子&lt;rt&gt;bāozi&lt;/rt&gt;&lt;/ruby&gt;")</f>
        <v>&lt;ruby&gt;包子&lt;rt&gt;bāozi&lt;/rt&gt;&lt;/ruby&gt;</v>
      </c>
      <c r="E1271" s="13" t="str">
        <f ca="1">IFERROR(__xludf.DUMMYFUNCTION("""COMPUTED_VALUE"""),"bāozi")</f>
        <v>bāozi</v>
      </c>
      <c r="F1271" s="13" t="str">
        <f ca="1">IFERROR(__xludf.DUMMYFUNCTION("""COMPUTED_VALUE"""),"Danh từ")</f>
        <v>Danh từ</v>
      </c>
      <c r="G1271" s="13" t="str">
        <f ca="1">IFERROR(__xludf.DUMMYFUNCTION("""COMPUTED_VALUE"""),"bánh bao")</f>
        <v>bánh bao</v>
      </c>
      <c r="H1271" s="13" t="str">
        <f ca="1">IFERROR(__xludf.DUMMYFUNCTION("""COMPUTED_VALUE""")," 这个包子很好吃。")</f>
        <v xml:space="preserve"> 这个包子很好吃。</v>
      </c>
      <c r="I1271" s="13"/>
      <c r="J1271" s="13" t="str">
        <f ca="1">IFERROR(__xludf.DUMMYFUNCTION("""COMPUTED_VALUE"""),"Bánh bao này ngon lắm.")</f>
        <v>Bánh bao này ngon lắm.</v>
      </c>
      <c r="K1271" s="13" t="str">
        <f ca="1">IFERROR(__xludf.DUMMYFUNCTION("""COMPUTED_VALUE"""),"H4B19-13.png")</f>
        <v>H4B19-13.png</v>
      </c>
      <c r="L1271" s="13" t="str">
        <f ca="1">IFERROR(__xludf.DUMMYFUNCTION("""COMPUTED_VALUE"""),"B19_13.mp3")</f>
        <v>B19_13.mp3</v>
      </c>
      <c r="M1271" s="13" t="str">
        <f ca="1">IFERROR(__xludf.DUMMYFUNCTION("""COMPUTED_VALUE"""),"B19_VD_13.mp3")</f>
        <v>B19_VD_13.mp3</v>
      </c>
    </row>
    <row r="1272" spans="1:13">
      <c r="A1272" s="13">
        <f ca="1">IFERROR(__xludf.DUMMYFUNCTION("""COMPUTED_VALUE"""),14)</f>
        <v>14</v>
      </c>
      <c r="B1272" s="13"/>
      <c r="C1272" s="13" t="str">
        <f ca="1">IFERROR(__xludf.DUMMYFUNCTION("""COMPUTED_VALUE"""),"刀")</f>
        <v>刀</v>
      </c>
      <c r="D1272" s="13" t="str">
        <f ca="1">IFERROR(__xludf.DUMMYFUNCTION("""COMPUTED_VALUE"""),"&lt;ruby&gt;刀&lt;rt&gt;dāo&lt;/rt&gt;&lt;/ruby&gt;")</f>
        <v>&lt;ruby&gt;刀&lt;rt&gt;dāo&lt;/rt&gt;&lt;/ruby&gt;</v>
      </c>
      <c r="E1272" s="13" t="str">
        <f ca="1">IFERROR(__xludf.DUMMYFUNCTION("""COMPUTED_VALUE"""),"dāo")</f>
        <v>dāo</v>
      </c>
      <c r="F1272" s="13" t="str">
        <f ca="1">IFERROR(__xludf.DUMMYFUNCTION("""COMPUTED_VALUE"""),"Danh từ")</f>
        <v>Danh từ</v>
      </c>
      <c r="G1272" s="13" t="str">
        <f ca="1">IFERROR(__xludf.DUMMYFUNCTION("""COMPUTED_VALUE"""),"con dao")</f>
        <v>con dao</v>
      </c>
      <c r="H1272" s="13" t="str">
        <f ca="1">IFERROR(__xludf.DUMMYFUNCTION("""COMPUTED_VALUE"""),"这把刀真锋利。")</f>
        <v>这把刀真锋利。</v>
      </c>
      <c r="I1272" s="13"/>
      <c r="J1272" s="13" t="str">
        <f ca="1">IFERROR(__xludf.DUMMYFUNCTION("""COMPUTED_VALUE"""),"Con dao này thật sắc bén.")</f>
        <v>Con dao này thật sắc bén.</v>
      </c>
      <c r="K1272" s="13" t="str">
        <f ca="1">IFERROR(__xludf.DUMMYFUNCTION("""COMPUTED_VALUE"""),"H4B19-14.png")</f>
        <v>H4B19-14.png</v>
      </c>
      <c r="L1272" s="13" t="str">
        <f ca="1">IFERROR(__xludf.DUMMYFUNCTION("""COMPUTED_VALUE"""),"B19_14.mp3")</f>
        <v>B19_14.mp3</v>
      </c>
      <c r="M1272" s="13" t="str">
        <f ca="1">IFERROR(__xludf.DUMMYFUNCTION("""COMPUTED_VALUE"""),"B19_VD_14.mp3")</f>
        <v>B19_VD_14.mp3</v>
      </c>
    </row>
    <row r="1273" spans="1:13">
      <c r="A1273" s="13">
        <f ca="1">IFERROR(__xludf.DUMMYFUNCTION("""COMPUTED_VALUE"""),15)</f>
        <v>15</v>
      </c>
      <c r="B1273" s="13"/>
      <c r="C1273" s="13" t="str">
        <f ca="1">IFERROR(__xludf.DUMMYFUNCTION("""COMPUTED_VALUE"""),"破")</f>
        <v>破</v>
      </c>
      <c r="D1273" s="13" t="str">
        <f ca="1">IFERROR(__xludf.DUMMYFUNCTION("""COMPUTED_VALUE"""),"&lt;ruby&gt;破&lt;rt&gt;pò&lt;/rt&gt;&lt;/ruby&gt;")</f>
        <v>&lt;ruby&gt;破&lt;rt&gt;pò&lt;/rt&gt;&lt;/ruby&gt;</v>
      </c>
      <c r="E1273" s="13" t="str">
        <f ca="1">IFERROR(__xludf.DUMMYFUNCTION("""COMPUTED_VALUE"""),"pò")</f>
        <v>pò</v>
      </c>
      <c r="F1273" s="13" t="str">
        <f ca="1">IFERROR(__xludf.DUMMYFUNCTION("""COMPUTED_VALUE"""),"Tính từ")</f>
        <v>Tính từ</v>
      </c>
      <c r="G1273" s="13" t="str">
        <f ca="1">IFERROR(__xludf.DUMMYFUNCTION("""COMPUTED_VALUE"""),"bị đứt, bị thủng")</f>
        <v>bị đứt, bị thủng</v>
      </c>
      <c r="H1273" s="13" t="str">
        <f ca="1">IFERROR(__xludf.DUMMYFUNCTION("""COMPUTED_VALUE"""),"这颗鸡蛋破了。")</f>
        <v>这颗鸡蛋破了。</v>
      </c>
      <c r="I1273" s="13"/>
      <c r="J1273" s="13" t="str">
        <f ca="1">IFERROR(__xludf.DUMMYFUNCTION("""COMPUTED_VALUE"""),"Quả trứng này bị vỡ rồi.")</f>
        <v>Quả trứng này bị vỡ rồi.</v>
      </c>
      <c r="K1273" s="13" t="str">
        <f ca="1">IFERROR(__xludf.DUMMYFUNCTION("""COMPUTED_VALUE"""),"H4B19-15.png")</f>
        <v>H4B19-15.png</v>
      </c>
      <c r="L1273" s="13" t="str">
        <f ca="1">IFERROR(__xludf.DUMMYFUNCTION("""COMPUTED_VALUE"""),"B19_15.mp3")</f>
        <v>B19_15.mp3</v>
      </c>
      <c r="M1273" s="13" t="str">
        <f ca="1">IFERROR(__xludf.DUMMYFUNCTION("""COMPUTED_VALUE"""),"B19_VD_15.mp3")</f>
        <v>B19_VD_15.mp3</v>
      </c>
    </row>
    <row r="1274" spans="1:13">
      <c r="A1274" s="13">
        <f ca="1">IFERROR(__xludf.DUMMYFUNCTION("""COMPUTED_VALUE"""),16)</f>
        <v>16</v>
      </c>
      <c r="B1274" s="13"/>
      <c r="C1274" s="13" t="str">
        <f ca="1">IFERROR(__xludf.DUMMYFUNCTION("""COMPUTED_VALUE"""),"脱")</f>
        <v>脱</v>
      </c>
      <c r="D1274" s="13" t="str">
        <f ca="1">IFERROR(__xludf.DUMMYFUNCTION("""COMPUTED_VALUE"""),"&lt;ruby&gt;脱&lt;rt&gt;tuō&lt;/rt&gt;&lt;/ruby&gt;")</f>
        <v>&lt;ruby&gt;脱&lt;rt&gt;tuō&lt;/rt&gt;&lt;/ruby&gt;</v>
      </c>
      <c r="E1274" s="13" t="str">
        <f ca="1">IFERROR(__xludf.DUMMYFUNCTION("""COMPUTED_VALUE"""),"tuō")</f>
        <v>tuō</v>
      </c>
      <c r="F1274" s="13" t="str">
        <f ca="1">IFERROR(__xludf.DUMMYFUNCTION("""COMPUTED_VALUE"""),"Động từ")</f>
        <v>Động từ</v>
      </c>
      <c r="G1274" s="13" t="str">
        <f ca="1">IFERROR(__xludf.DUMMYFUNCTION("""COMPUTED_VALUE"""),"cởi ra")</f>
        <v>cởi ra</v>
      </c>
      <c r="H1274" s="13" t="str">
        <f ca="1">IFERROR(__xludf.DUMMYFUNCTION("""COMPUTED_VALUE"""),"他正在脱毛衣降温。")</f>
        <v>他正在脱毛衣降温。</v>
      </c>
      <c r="I1274" s="13"/>
      <c r="J1274" s="13" t="str">
        <f ca="1">IFERROR(__xludf.DUMMYFUNCTION("""COMPUTED_VALUE"""),"Anh ấy đang cởi áo len ra cho đỡ nóng.")</f>
        <v>Anh ấy đang cởi áo len ra cho đỡ nóng.</v>
      </c>
      <c r="K1274" s="13" t="str">
        <f ca="1">IFERROR(__xludf.DUMMYFUNCTION("""COMPUTED_VALUE"""),"H4B19-16.png")</f>
        <v>H4B19-16.png</v>
      </c>
      <c r="L1274" s="13" t="str">
        <f ca="1">IFERROR(__xludf.DUMMYFUNCTION("""COMPUTED_VALUE"""),"B19_16.mp3")</f>
        <v>B19_16.mp3</v>
      </c>
      <c r="M1274" s="13" t="str">
        <f ca="1">IFERROR(__xludf.DUMMYFUNCTION("""COMPUTED_VALUE"""),"B19_VD_16.mp3")</f>
        <v>B19_VD_16.mp3</v>
      </c>
    </row>
    <row r="1275" spans="1:13">
      <c r="A1275" s="13">
        <f ca="1">IFERROR(__xludf.DUMMYFUNCTION("""COMPUTED_VALUE"""),17)</f>
        <v>17</v>
      </c>
      <c r="B1275" s="13"/>
      <c r="C1275" s="13" t="str">
        <f ca="1">IFERROR(__xludf.DUMMYFUNCTION("""COMPUTED_VALUE"""),"胳膊")</f>
        <v>胳膊</v>
      </c>
      <c r="D1275" s="13" t="str">
        <f ca="1">IFERROR(__xludf.DUMMYFUNCTION("""COMPUTED_VALUE"""),"&lt;ruby&gt;胳膊&lt;rt&gt;gēbo&lt;/rt&gt;&lt;/ruby&gt;")</f>
        <v>&lt;ruby&gt;胳膊&lt;rt&gt;gēbo&lt;/rt&gt;&lt;/ruby&gt;</v>
      </c>
      <c r="E1275" s="13" t="str">
        <f ca="1">IFERROR(__xludf.DUMMYFUNCTION("""COMPUTED_VALUE"""),"gēbo")</f>
        <v>gēbo</v>
      </c>
      <c r="F1275" s="13" t="str">
        <f ca="1">IFERROR(__xludf.DUMMYFUNCTION("""COMPUTED_VALUE"""),"Danh từ")</f>
        <v>Danh từ</v>
      </c>
      <c r="G1275" s="13" t="str">
        <f ca="1">IFERROR(__xludf.DUMMYFUNCTION("""COMPUTED_VALUE"""),"cánh tay")</f>
        <v>cánh tay</v>
      </c>
      <c r="H1275" s="13" t="str">
        <f ca="1">IFERROR(__xludf.DUMMYFUNCTION("""COMPUTED_VALUE"""),"她的胳膊因事故而骨折了。")</f>
        <v>她的胳膊因事故而骨折了。</v>
      </c>
      <c r="I1275" s="13"/>
      <c r="J1275" s="13" t="str">
        <f ca="1">IFERROR(__xludf.DUMMYFUNCTION("""COMPUTED_VALUE"""),"Cánh tay của cô ấy bị gãy do tai nạn.")</f>
        <v>Cánh tay của cô ấy bị gãy do tai nạn.</v>
      </c>
      <c r="K1275" s="13" t="str">
        <f ca="1">IFERROR(__xludf.DUMMYFUNCTION("""COMPUTED_VALUE"""),"H4B19-17.png")</f>
        <v>H4B19-17.png</v>
      </c>
      <c r="L1275" s="13" t="str">
        <f ca="1">IFERROR(__xludf.DUMMYFUNCTION("""COMPUTED_VALUE"""),"B19_17.mp3")</f>
        <v>B19_17.mp3</v>
      </c>
      <c r="M1275" s="13" t="str">
        <f ca="1">IFERROR(__xludf.DUMMYFUNCTION("""COMPUTED_VALUE"""),"B19_VD_17.mp3")</f>
        <v>B19_VD_17.mp3</v>
      </c>
    </row>
    <row r="1276" spans="1:13">
      <c r="A1276" s="13">
        <f ca="1">IFERROR(__xludf.DUMMYFUNCTION("""COMPUTED_VALUE"""),18)</f>
        <v>18</v>
      </c>
      <c r="B1276" s="13"/>
      <c r="C1276" s="13" t="str">
        <f ca="1">IFERROR(__xludf.DUMMYFUNCTION("""COMPUTED_VALUE"""),"抬")</f>
        <v>抬</v>
      </c>
      <c r="D1276" s="13" t="str">
        <f ca="1">IFERROR(__xludf.DUMMYFUNCTION("""COMPUTED_VALUE"""),"&lt;ruby&gt;抬&lt;rt&gt;tái&lt;/rt&gt;&lt;/ruby&gt;")</f>
        <v>&lt;ruby&gt;抬&lt;rt&gt;tái&lt;/rt&gt;&lt;/ruby&gt;</v>
      </c>
      <c r="E1276" s="13" t="str">
        <f ca="1">IFERROR(__xludf.DUMMYFUNCTION("""COMPUTED_VALUE"""),"tái")</f>
        <v>tái</v>
      </c>
      <c r="F1276" s="13" t="str">
        <f ca="1">IFERROR(__xludf.DUMMYFUNCTION("""COMPUTED_VALUE"""),"Động từ")</f>
        <v>Động từ</v>
      </c>
      <c r="G1276" s="13" t="str">
        <f ca="1">IFERROR(__xludf.DUMMYFUNCTION("""COMPUTED_VALUE"""),"giơ lên, đưa lên")</f>
        <v>giơ lên, đưa lên</v>
      </c>
      <c r="H1276" s="13" t="str">
        <f ca="1">IFERROR(__xludf.DUMMYFUNCTION("""COMPUTED_VALUE"""),"抬起重物需要力量。")</f>
        <v>抬起重物需要力量。</v>
      </c>
      <c r="I1276" s="13"/>
      <c r="J1276" s="13" t="str">
        <f ca="1">IFERROR(__xludf.DUMMYFUNCTION("""COMPUTED_VALUE"""),"Nâng đồ nặng cần sức mạnh.")</f>
        <v>Nâng đồ nặng cần sức mạnh.</v>
      </c>
      <c r="K1276" s="13" t="str">
        <f ca="1">IFERROR(__xludf.DUMMYFUNCTION("""COMPUTED_VALUE"""),"H4B19-18.png")</f>
        <v>H4B19-18.png</v>
      </c>
      <c r="L1276" s="13" t="str">
        <f ca="1">IFERROR(__xludf.DUMMYFUNCTION("""COMPUTED_VALUE"""),"B19_18.mp3")</f>
        <v>B19_18.mp3</v>
      </c>
      <c r="M1276" s="13" t="str">
        <f ca="1">IFERROR(__xludf.DUMMYFUNCTION("""COMPUTED_VALUE"""),"B19_VD_18.mp3")</f>
        <v>B19_VD_18.mp3</v>
      </c>
    </row>
    <row r="1277" spans="1:13">
      <c r="A1277" s="13">
        <f ca="1">IFERROR(__xludf.DUMMYFUNCTION("""COMPUTED_VALUE"""),19)</f>
        <v>19</v>
      </c>
      <c r="B1277" s="13"/>
      <c r="C1277" s="13" t="str">
        <f ca="1">IFERROR(__xludf.DUMMYFUNCTION("""COMPUTED_VALUE"""),"理发")</f>
        <v>理发</v>
      </c>
      <c r="D1277" s="13" t="str">
        <f ca="1">IFERROR(__xludf.DUMMYFUNCTION("""COMPUTED_VALUE"""),"&lt;ruby&gt;理发&lt;rt&gt;lǐfà&lt;/rt&gt;&lt;/ruby&gt;")</f>
        <v>&lt;ruby&gt;理发&lt;rt&gt;lǐfà&lt;/rt&gt;&lt;/ruby&gt;</v>
      </c>
      <c r="E1277" s="13" t="str">
        <f ca="1">IFERROR(__xludf.DUMMYFUNCTION("""COMPUTED_VALUE"""),"lǐfà")</f>
        <v>lǐfà</v>
      </c>
      <c r="F1277" s="13" t="str">
        <f ca="1">IFERROR(__xludf.DUMMYFUNCTION("""COMPUTED_VALUE"""),"Động từ")</f>
        <v>Động từ</v>
      </c>
      <c r="G1277" s="13" t="str">
        <f ca="1">IFERROR(__xludf.DUMMYFUNCTION("""COMPUTED_VALUE"""),"cắt tóc")</f>
        <v>cắt tóc</v>
      </c>
      <c r="H1277" s="13" t="str">
        <f ca="1">IFERROR(__xludf.DUMMYFUNCTION("""COMPUTED_VALUE"""),"我每个月都会去理发店剪头发。")</f>
        <v>我每个月都会去理发店剪头发。</v>
      </c>
      <c r="I1277" s="13"/>
      <c r="J1277" s="13" t="str">
        <f ca="1">IFERROR(__xludf.DUMMYFUNCTION("""COMPUTED_VALUE"""),"Mỗi tháng tôi đều đi tiệm cắt tóc.")</f>
        <v>Mỗi tháng tôi đều đi tiệm cắt tóc.</v>
      </c>
      <c r="K1277" s="13" t="str">
        <f ca="1">IFERROR(__xludf.DUMMYFUNCTION("""COMPUTED_VALUE"""),"H4B19-19.png")</f>
        <v>H4B19-19.png</v>
      </c>
      <c r="L1277" s="13" t="str">
        <f ca="1">IFERROR(__xludf.DUMMYFUNCTION("""COMPUTED_VALUE"""),"B19_19.mp3")</f>
        <v>B19_19.mp3</v>
      </c>
      <c r="M1277" s="13" t="str">
        <f ca="1">IFERROR(__xludf.DUMMYFUNCTION("""COMPUTED_VALUE"""),"B19_VD_19.mp3")</f>
        <v>B19_VD_19.mp3</v>
      </c>
    </row>
    <row r="1278" spans="1:13">
      <c r="A1278" s="13">
        <f ca="1">IFERROR(__xludf.DUMMYFUNCTION("""COMPUTED_VALUE"""),20)</f>
        <v>20</v>
      </c>
      <c r="B1278" s="13"/>
      <c r="C1278" s="13" t="str">
        <f ca="1">IFERROR(__xludf.DUMMYFUNCTION("""COMPUTED_VALUE"""),"打招呼")</f>
        <v>打招呼</v>
      </c>
      <c r="D1278" s="13" t="str">
        <f ca="1">IFERROR(__xludf.DUMMYFUNCTION("""COMPUTED_VALUE"""),"&lt;ruby&gt;打招呼&lt;rt&gt;dǎzhāohū&lt;/rt&gt;&lt;/ruby&gt;")</f>
        <v>&lt;ruby&gt;打招呼&lt;rt&gt;dǎzhāohū&lt;/rt&gt;&lt;/ruby&gt;</v>
      </c>
      <c r="E1278" s="13" t="str">
        <f ca="1">IFERROR(__xludf.DUMMYFUNCTION("""COMPUTED_VALUE"""),"dǎzhāohū")</f>
        <v>dǎzhāohū</v>
      </c>
      <c r="F1278" s="13"/>
      <c r="G1278" s="13" t="str">
        <f ca="1">IFERROR(__xludf.DUMMYFUNCTION("""COMPUTED_VALUE"""),"chào hỏi")</f>
        <v>chào hỏi</v>
      </c>
      <c r="H1278" s="13" t="str">
        <f ca="1">IFERROR(__xludf.DUMMYFUNCTION("""COMPUTED_VALUE"""),"早上见面要打招呼。")</f>
        <v>早上见面要打招呼。</v>
      </c>
      <c r="I1278" s="13"/>
      <c r="J1278" s="13" t="str">
        <f ca="1">IFERROR(__xludf.DUMMYFUNCTION("""COMPUTED_VALUE"""),"Buổi sáng gặp mặt nên chào hỏi.")</f>
        <v>Buổi sáng gặp mặt nên chào hỏi.</v>
      </c>
      <c r="K1278" s="13" t="str">
        <f ca="1">IFERROR(__xludf.DUMMYFUNCTION("""COMPUTED_VALUE"""),"H4B19-20.png")</f>
        <v>H4B19-20.png</v>
      </c>
      <c r="L1278" s="13" t="str">
        <f ca="1">IFERROR(__xludf.DUMMYFUNCTION("""COMPUTED_VALUE"""),"B19_20.mp3")</f>
        <v>B19_20.mp3</v>
      </c>
      <c r="M1278" s="13" t="str">
        <f ca="1">IFERROR(__xludf.DUMMYFUNCTION("""COMPUTED_VALUE"""),"B19_VD_20.mp3")</f>
        <v>B19_VD_20.mp3</v>
      </c>
    </row>
    <row r="1279" spans="1:13">
      <c r="A1279" s="13">
        <f ca="1">IFERROR(__xludf.DUMMYFUNCTION("""COMPUTED_VALUE"""),21)</f>
        <v>21</v>
      </c>
      <c r="B1279" s="13"/>
      <c r="C1279" s="13" t="str">
        <f ca="1">IFERROR(__xludf.DUMMYFUNCTION("""COMPUTED_VALUE"""),"道歉")</f>
        <v>道歉</v>
      </c>
      <c r="D1279" s="13" t="str">
        <f ca="1">IFERROR(__xludf.DUMMYFUNCTION("""COMPUTED_VALUE"""),"&lt;ruby&gt;道歉&lt;rt&gt;dào qiàn&lt;/rt&gt;&lt;/ruby&gt;")</f>
        <v>&lt;ruby&gt;道歉&lt;rt&gt;dào qiàn&lt;/rt&gt;&lt;/ruby&gt;</v>
      </c>
      <c r="E1279" s="13" t="str">
        <f ca="1">IFERROR(__xludf.DUMMYFUNCTION("""COMPUTED_VALUE"""),"dào qiàn")</f>
        <v>dào qiàn</v>
      </c>
      <c r="F1279" s="13" t="str">
        <f ca="1">IFERROR(__xludf.DUMMYFUNCTION("""COMPUTED_VALUE"""),"Động từ")</f>
        <v>Động từ</v>
      </c>
      <c r="G1279" s="13" t="str">
        <f ca="1">IFERROR(__xludf.DUMMYFUNCTION("""COMPUTED_VALUE"""),"xin lỗi")</f>
        <v>xin lỗi</v>
      </c>
      <c r="H1279" s="13" t="str">
        <f ca="1">IFERROR(__xludf.DUMMYFUNCTION("""COMPUTED_VALUE""")," 她因为迟到向大家道歉。")</f>
        <v xml:space="preserve"> 她因为迟到向大家道歉。</v>
      </c>
      <c r="I1279" s="13"/>
      <c r="J1279" s="13" t="str">
        <f ca="1">IFERROR(__xludf.DUMMYFUNCTION("""COMPUTED_VALUE"""),"Cô ấy xin lỗi mọi người vì đến muộn.")</f>
        <v>Cô ấy xin lỗi mọi người vì đến muộn.</v>
      </c>
      <c r="K1279" s="13" t="str">
        <f ca="1">IFERROR(__xludf.DUMMYFUNCTION("""COMPUTED_VALUE"""),"H4B19-21.png")</f>
        <v>H4B19-21.png</v>
      </c>
      <c r="L1279" s="13" t="str">
        <f ca="1">IFERROR(__xludf.DUMMYFUNCTION("""COMPUTED_VALUE"""),"B19_21.mp3")</f>
        <v>B19_21.mp3</v>
      </c>
      <c r="M1279" s="13" t="str">
        <f ca="1">IFERROR(__xludf.DUMMYFUNCTION("""COMPUTED_VALUE"""),"B19_VD_21.mp3")</f>
        <v>B19_VD_21.mp3</v>
      </c>
    </row>
    <row r="1280" spans="1:13">
      <c r="A1280" s="13">
        <f ca="1">IFERROR(__xludf.DUMMYFUNCTION("""COMPUTED_VALUE"""),22)</f>
        <v>22</v>
      </c>
      <c r="B1280" s="13"/>
      <c r="C1280" s="13" t="str">
        <f ca="1">IFERROR(__xludf.DUMMYFUNCTION("""COMPUTED_VALUE"""),"戴")</f>
        <v>戴</v>
      </c>
      <c r="D1280" s="13" t="str">
        <f ca="1">IFERROR(__xludf.DUMMYFUNCTION("""COMPUTED_VALUE"""),"&lt;ruby&gt;戴&lt;rt&gt;dài&lt;/rt&gt;&lt;/ruby&gt;")</f>
        <v>&lt;ruby&gt;戴&lt;rt&gt;dài&lt;/rt&gt;&lt;/ruby&gt;</v>
      </c>
      <c r="E1280" s="13" t="str">
        <f ca="1">IFERROR(__xludf.DUMMYFUNCTION("""COMPUTED_VALUE"""),"dài")</f>
        <v>dài</v>
      </c>
      <c r="F1280" s="13" t="str">
        <f ca="1">IFERROR(__xludf.DUMMYFUNCTION("""COMPUTED_VALUE"""),"Động từ")</f>
        <v>Động từ</v>
      </c>
      <c r="G1280" s="13" t="str">
        <f ca="1">IFERROR(__xludf.DUMMYFUNCTION("""COMPUTED_VALUE"""),"đeo, mang")</f>
        <v>đeo, mang</v>
      </c>
      <c r="H1280" s="13" t="str">
        <f ca="1">IFERROR(__xludf.DUMMYFUNCTION("""COMPUTED_VALUE""")," 他戴着墨镜，提着行李箱出门了。")</f>
        <v xml:space="preserve"> 他戴着墨镜，提着行李箱出门了。</v>
      </c>
      <c r="I1280" s="13"/>
      <c r="J1280" s="13" t="str">
        <f ca="1">IFERROR(__xludf.DUMMYFUNCTION("""COMPUTED_VALUE"""),"Cậu ấy đeo kính râm rồi xách theo vali đi ra ngoài.")</f>
        <v>Cậu ấy đeo kính râm rồi xách theo vali đi ra ngoài.</v>
      </c>
      <c r="K1280" s="13" t="str">
        <f ca="1">IFERROR(__xludf.DUMMYFUNCTION("""COMPUTED_VALUE"""),"H4B19-22.png")</f>
        <v>H4B19-22.png</v>
      </c>
      <c r="L1280" s="13" t="str">
        <f ca="1">IFERROR(__xludf.DUMMYFUNCTION("""COMPUTED_VALUE"""),"B19_22.mp3")</f>
        <v>B19_22.mp3</v>
      </c>
      <c r="M1280" s="13" t="str">
        <f ca="1">IFERROR(__xludf.DUMMYFUNCTION("""COMPUTED_VALUE"""),"B19_VD_22.mp3")</f>
        <v>B19_VD_22.mp3</v>
      </c>
    </row>
    <row r="1281" spans="1:13">
      <c r="A1281" s="13">
        <f ca="1">IFERROR(__xludf.DUMMYFUNCTION("""COMPUTED_VALUE"""),23)</f>
        <v>23</v>
      </c>
      <c r="B1281" s="13"/>
      <c r="C1281" s="13" t="str">
        <f ca="1">IFERROR(__xludf.DUMMYFUNCTION("""COMPUTED_VALUE"""),"眼镜")</f>
        <v>眼镜</v>
      </c>
      <c r="D1281" s="13" t="str">
        <f ca="1">IFERROR(__xludf.DUMMYFUNCTION("""COMPUTED_VALUE"""),"&lt;ruby&gt;眼镜&lt;rt&gt;yǎnjìng&lt;/rt&gt;&lt;/ruby&gt;")</f>
        <v>&lt;ruby&gt;眼镜&lt;rt&gt;yǎnjìng&lt;/rt&gt;&lt;/ruby&gt;</v>
      </c>
      <c r="E1281" s="13" t="str">
        <f ca="1">IFERROR(__xludf.DUMMYFUNCTION("""COMPUTED_VALUE"""),"yǎnjìng")</f>
        <v>yǎnjìng</v>
      </c>
      <c r="F1281" s="13" t="str">
        <f ca="1">IFERROR(__xludf.DUMMYFUNCTION("""COMPUTED_VALUE"""),"Danh từ")</f>
        <v>Danh từ</v>
      </c>
      <c r="G1281" s="13" t="str">
        <f ca="1">IFERROR(__xludf.DUMMYFUNCTION("""COMPUTED_VALUE"""),"mắt kính")</f>
        <v>mắt kính</v>
      </c>
      <c r="H1281" s="13" t="str">
        <f ca="1">IFERROR(__xludf.DUMMYFUNCTION("""COMPUTED_VALUE"""),"我爷爷视力不好，所以戴着一副老光眼镜。")</f>
        <v>我爷爷视力不好，所以戴着一副老光眼镜。</v>
      </c>
      <c r="I1281" s="13"/>
      <c r="J1281" s="13" t="str">
        <f ca="1">IFERROR(__xludf.DUMMYFUNCTION("""COMPUTED_VALUE"""),"Ông tôi mắt kém nên phải đeo kính lão.")</f>
        <v>Ông tôi mắt kém nên phải đeo kính lão.</v>
      </c>
      <c r="K1281" s="13" t="str">
        <f ca="1">IFERROR(__xludf.DUMMYFUNCTION("""COMPUTED_VALUE"""),"H4B19-23.png")</f>
        <v>H4B19-23.png</v>
      </c>
      <c r="L1281" s="13" t="str">
        <f ca="1">IFERROR(__xludf.DUMMYFUNCTION("""COMPUTED_VALUE"""),"B19_23.mp3")</f>
        <v>B19_23.mp3</v>
      </c>
      <c r="M1281" s="13" t="str">
        <f ca="1">IFERROR(__xludf.DUMMYFUNCTION("""COMPUTED_VALUE"""),"B19_VD_23.mp3")</f>
        <v>B19_VD_23.mp3</v>
      </c>
    </row>
    <row r="1282" spans="1:13">
      <c r="A1282" s="13">
        <f ca="1">IFERROR(__xludf.DUMMYFUNCTION("""COMPUTED_VALUE"""),24)</f>
        <v>24</v>
      </c>
      <c r="B1282" s="13"/>
      <c r="C1282" s="13" t="str">
        <f ca="1">IFERROR(__xludf.DUMMYFUNCTION("""COMPUTED_VALUE"""),"转")</f>
        <v>转</v>
      </c>
      <c r="D1282" s="13" t="str">
        <f ca="1">IFERROR(__xludf.DUMMYFUNCTION("""COMPUTED_VALUE"""),"&lt;ruby&gt;转&lt;rt&gt;zhuǎn&lt;/rt&gt;&lt;/ruby&gt;")</f>
        <v>&lt;ruby&gt;转&lt;rt&gt;zhuǎn&lt;/rt&gt;&lt;/ruby&gt;</v>
      </c>
      <c r="E1282" s="13" t="str">
        <f ca="1">IFERROR(__xludf.DUMMYFUNCTION("""COMPUTED_VALUE"""),"zhuǎn")</f>
        <v>zhuǎn</v>
      </c>
      <c r="F1282" s="13" t="str">
        <f ca="1">IFERROR(__xludf.DUMMYFUNCTION("""COMPUTED_VALUE"""),"Động từ")</f>
        <v>Động từ</v>
      </c>
      <c r="G1282" s="13" t="str">
        <f ca="1">IFERROR(__xludf.DUMMYFUNCTION("""COMPUTED_VALUE"""),"quay, xoay")</f>
        <v>quay, xoay</v>
      </c>
      <c r="H1282" s="13" t="str">
        <f ca="1">IFERROR(__xludf.DUMMYFUNCTION("""COMPUTED_VALUE""")," 风车正在转动")</f>
        <v xml:space="preserve"> 风车正在转动</v>
      </c>
      <c r="I1282" s="13"/>
      <c r="J1282" s="13" t="str">
        <f ca="1">IFERROR(__xludf.DUMMYFUNCTION("""COMPUTED_VALUE"""),"Cái chong chóng đang xoay vòng.")</f>
        <v>Cái chong chóng đang xoay vòng.</v>
      </c>
      <c r="K1282" s="13" t="str">
        <f ca="1">IFERROR(__xludf.DUMMYFUNCTION("""COMPUTED_VALUE"""),"H4B19-24.png")</f>
        <v>H4B19-24.png</v>
      </c>
      <c r="L1282" s="13" t="str">
        <f ca="1">IFERROR(__xludf.DUMMYFUNCTION("""COMPUTED_VALUE"""),"B19_24.mp3")</f>
        <v>B19_24.mp3</v>
      </c>
      <c r="M1282" s="13" t="str">
        <f ca="1">IFERROR(__xludf.DUMMYFUNCTION("""COMPUTED_VALUE"""),"B19_VD_24.mp3")</f>
        <v>B19_VD_24.mp3</v>
      </c>
    </row>
    <row r="1283" spans="1:13">
      <c r="A1283" s="13">
        <f ca="1">IFERROR(__xludf.DUMMYFUNCTION("""COMPUTED_VALUE"""),25)</f>
        <v>25</v>
      </c>
      <c r="B1283" s="13"/>
      <c r="C1283" s="13" t="str">
        <f ca="1">IFERROR(__xludf.DUMMYFUNCTION("""COMPUTED_VALUE"""),"吵")</f>
        <v>吵</v>
      </c>
      <c r="D1283" s="13" t="str">
        <f ca="1">IFERROR(__xludf.DUMMYFUNCTION("""COMPUTED_VALUE"""),"&lt;ruby&gt;吵&lt;rt&gt;chǎo&lt;/rt&gt;&lt;/ruby&gt;")</f>
        <v>&lt;ruby&gt;吵&lt;rt&gt;chǎo&lt;/rt&gt;&lt;/ruby&gt;</v>
      </c>
      <c r="E1283" s="13" t="str">
        <f ca="1">IFERROR(__xludf.DUMMYFUNCTION("""COMPUTED_VALUE"""),"chǎo")</f>
        <v>chǎo</v>
      </c>
      <c r="F1283" s="13" t="str">
        <f ca="1">IFERROR(__xludf.DUMMYFUNCTION("""COMPUTED_VALUE"""),"Tính từ")</f>
        <v>Tính từ</v>
      </c>
      <c r="G1283" s="13" t="str">
        <f ca="1">IFERROR(__xludf.DUMMYFUNCTION("""COMPUTED_VALUE"""),"ồn ào")</f>
        <v>ồn ào</v>
      </c>
      <c r="H1283" s="13" t="str">
        <f ca="1">IFERROR(__xludf.DUMMYFUNCTION("""COMPUTED_VALUE"""),"我听到门外很吵，可能有人在吵架。")</f>
        <v>我听到门外很吵，可能有人在吵架。</v>
      </c>
      <c r="I1283" s="13"/>
      <c r="J1283" s="13" t="str">
        <f ca="1">IFERROR(__xludf.DUMMYFUNCTION("""COMPUTED_VALUE"""),"Tôi nghe thấy tiếng ồn ào ngoài cửa, chắc có người đang cãi nhau.")</f>
        <v>Tôi nghe thấy tiếng ồn ào ngoài cửa, chắc có người đang cãi nhau.</v>
      </c>
      <c r="K1283" s="13" t="str">
        <f ca="1">IFERROR(__xludf.DUMMYFUNCTION("""COMPUTED_VALUE"""),"H4B19-25.png")</f>
        <v>H4B19-25.png</v>
      </c>
      <c r="L1283" s="13" t="str">
        <f ca="1">IFERROR(__xludf.DUMMYFUNCTION("""COMPUTED_VALUE"""),"B19_25.mp3")</f>
        <v>B19_25.mp3</v>
      </c>
      <c r="M1283" s="13" t="str">
        <f ca="1">IFERROR(__xludf.DUMMYFUNCTION("""COMPUTED_VALUE"""),"B19_VD_25.mp3")</f>
        <v>B19_VD_25.mp3</v>
      </c>
    </row>
    <row r="1284" spans="1:13">
      <c r="A1284" s="13">
        <f ca="1">IFERROR(__xludf.DUMMYFUNCTION("""COMPUTED_VALUE"""),26)</f>
        <v>26</v>
      </c>
      <c r="B1284" s="13"/>
      <c r="C1284" s="13" t="str">
        <f ca="1">IFERROR(__xludf.DUMMYFUNCTION("""COMPUTED_VALUE"""),"功夫")</f>
        <v>功夫</v>
      </c>
      <c r="D1284" s="13" t="str">
        <f ca="1">IFERROR(__xludf.DUMMYFUNCTION("""COMPUTED_VALUE"""),"&lt;ruby&gt;功夫&lt;rt&gt;gōngfū&lt;/rt&gt;&lt;/ruby&gt;")</f>
        <v>&lt;ruby&gt;功夫&lt;rt&gt;gōngfū&lt;/rt&gt;&lt;/ruby&gt;</v>
      </c>
      <c r="E1284" s="13" t="str">
        <f ca="1">IFERROR(__xludf.DUMMYFUNCTION("""COMPUTED_VALUE"""),"gōngfū")</f>
        <v>gōngfū</v>
      </c>
      <c r="F1284" s="13" t="str">
        <f ca="1">IFERROR(__xludf.DUMMYFUNCTION("""COMPUTED_VALUE"""),"Danh từ")</f>
        <v>Danh từ</v>
      </c>
      <c r="G1284" s="13" t="str">
        <f ca="1">IFERROR(__xludf.DUMMYFUNCTION("""COMPUTED_VALUE"""),"võ thuật, môn võ kung fu")</f>
        <v>võ thuật, môn võ kung fu</v>
      </c>
      <c r="H1284" s="13" t="str">
        <f ca="1">IFERROR(__xludf.DUMMYFUNCTION("""COMPUTED_VALUE""")," 他是功夫大师。")</f>
        <v xml:space="preserve"> 他是功夫大师。</v>
      </c>
      <c r="I1284" s="13"/>
      <c r="J1284" s="13" t="str">
        <f ca="1">IFERROR(__xludf.DUMMYFUNCTION("""COMPUTED_VALUE"""),"Anh ấy là bậc thầy kung fu.")</f>
        <v>Anh ấy là bậc thầy kung fu.</v>
      </c>
      <c r="K1284" s="13" t="str">
        <f ca="1">IFERROR(__xludf.DUMMYFUNCTION("""COMPUTED_VALUE"""),"H4B19-26.png")</f>
        <v>H4B19-26.png</v>
      </c>
      <c r="L1284" s="13" t="str">
        <f ca="1">IFERROR(__xludf.DUMMYFUNCTION("""COMPUTED_VALUE"""),"B19_26.mp3")</f>
        <v>B19_26.mp3</v>
      </c>
      <c r="M1284" s="13" t="str">
        <f ca="1">IFERROR(__xludf.DUMMYFUNCTION("""COMPUTED_VALUE"""),"B19_VD_26.mp3")</f>
        <v>B19_VD_26.mp3</v>
      </c>
    </row>
    <row r="1285" spans="1:13">
      <c r="A1285" s="13">
        <f ca="1">IFERROR(__xludf.DUMMYFUNCTION("""COMPUTED_VALUE"""),27)</f>
        <v>27</v>
      </c>
      <c r="B1285" s="13"/>
      <c r="C1285" s="13" t="str">
        <f ca="1">IFERROR(__xludf.DUMMYFUNCTION("""COMPUTED_VALUE"""),"乒乓球")</f>
        <v>乒乓球</v>
      </c>
      <c r="D1285" s="13" t="str">
        <f ca="1">IFERROR(__xludf.DUMMYFUNCTION("""COMPUTED_VALUE"""),"&lt;ruby&gt;乒乓球&lt;rt&gt;pīngpāngqiú&lt;/rt&gt;&lt;/ruby&gt;")</f>
        <v>&lt;ruby&gt;乒乓球&lt;rt&gt;pīngpāngqiú&lt;/rt&gt;&lt;/ruby&gt;</v>
      </c>
      <c r="E1285" s="13" t="str">
        <f ca="1">IFERROR(__xludf.DUMMYFUNCTION("""COMPUTED_VALUE"""),"pīngpāngqiú")</f>
        <v>pīngpāngqiú</v>
      </c>
      <c r="F1285" s="13" t="str">
        <f ca="1">IFERROR(__xludf.DUMMYFUNCTION("""COMPUTED_VALUE"""),"Danh từ")</f>
        <v>Danh từ</v>
      </c>
      <c r="G1285" s="13" t="str">
        <f ca="1">IFERROR(__xludf.DUMMYFUNCTION("""COMPUTED_VALUE"""),"bóng bàn")</f>
        <v>bóng bàn</v>
      </c>
      <c r="H1285" s="13" t="str">
        <f ca="1">IFERROR(__xludf.DUMMYFUNCTION("""COMPUTED_VALUE"""),"他乒乓球打得很好。")</f>
        <v>他乒乓球打得很好。</v>
      </c>
      <c r="I1285" s="13"/>
      <c r="J1285" s="13" t="str">
        <f ca="1">IFERROR(__xludf.DUMMYFUNCTION("""COMPUTED_VALUE"""),"Anh ấy chơi bóng bàn rất giỏi.")</f>
        <v>Anh ấy chơi bóng bàn rất giỏi.</v>
      </c>
      <c r="K1285" s="13" t="str">
        <f ca="1">IFERROR(__xludf.DUMMYFUNCTION("""COMPUTED_VALUE"""),"H4B19-27.png")</f>
        <v>H4B19-27.png</v>
      </c>
      <c r="L1285" s="13" t="str">
        <f ca="1">IFERROR(__xludf.DUMMYFUNCTION("""COMPUTED_VALUE"""),"B19_27.mp3")</f>
        <v>B19_27.mp3</v>
      </c>
      <c r="M1285" s="13" t="str">
        <f ca="1">IFERROR(__xludf.DUMMYFUNCTION("""COMPUTED_VALUE"""),"B19_VD_27.mp3")</f>
        <v>B19_VD_27.mp3</v>
      </c>
    </row>
    <row r="1286" spans="1:13">
      <c r="A1286" s="13">
        <f ca="1">IFERROR(__xludf.DUMMYFUNCTION("""COMPUTED_VALUE"""),28)</f>
        <v>28</v>
      </c>
      <c r="B1286" s="13"/>
      <c r="C1286" s="13" t="str">
        <f ca="1">IFERROR(__xludf.DUMMYFUNCTION("""COMPUTED_VALUE"""),"羽毛球")</f>
        <v>羽毛球</v>
      </c>
      <c r="D1286" s="13" t="str">
        <f ca="1">IFERROR(__xludf.DUMMYFUNCTION("""COMPUTED_VALUE"""),"&lt;ruby&gt;羽毛球&lt;rt&gt;yǔmáoqiú&lt;/rt&gt;&lt;/ruby&gt;")</f>
        <v>&lt;ruby&gt;羽毛球&lt;rt&gt;yǔmáoqiú&lt;/rt&gt;&lt;/ruby&gt;</v>
      </c>
      <c r="E1286" s="13" t="str">
        <f ca="1">IFERROR(__xludf.DUMMYFUNCTION("""COMPUTED_VALUE"""),"yǔmáoqiú")</f>
        <v>yǔmáoqiú</v>
      </c>
      <c r="F1286" s="13" t="str">
        <f ca="1">IFERROR(__xludf.DUMMYFUNCTION("""COMPUTED_VALUE"""),"Danh từ")</f>
        <v>Danh từ</v>
      </c>
      <c r="G1286" s="13" t="str">
        <f ca="1">IFERROR(__xludf.DUMMYFUNCTION("""COMPUTED_VALUE"""),"cầu lông")</f>
        <v>cầu lông</v>
      </c>
      <c r="H1286" s="13" t="str">
        <f ca="1">IFERROR(__xludf.DUMMYFUNCTION("""COMPUTED_VALUE"""),"他周末常打羽毛球。")</f>
        <v>他周末常打羽毛球。</v>
      </c>
      <c r="I1286" s="13"/>
      <c r="J1286" s="13" t="str">
        <f ca="1">IFERROR(__xludf.DUMMYFUNCTION("""COMPUTED_VALUE"""),"Cậu ấy thường chơi cầu lông vào cuối tuần.")</f>
        <v>Cậu ấy thường chơi cầu lông vào cuối tuần.</v>
      </c>
      <c r="K1286" s="13" t="str">
        <f ca="1">IFERROR(__xludf.DUMMYFUNCTION("""COMPUTED_VALUE"""),"H4B19-28.png")</f>
        <v>H4B19-28.png</v>
      </c>
      <c r="L1286" s="13" t="str">
        <f ca="1">IFERROR(__xludf.DUMMYFUNCTION("""COMPUTED_VALUE"""),"B19_28.mp3")</f>
        <v>B19_28.mp3</v>
      </c>
      <c r="M1286" s="13" t="str">
        <f ca="1">IFERROR(__xludf.DUMMYFUNCTION("""COMPUTED_VALUE"""),"B19_VD_28.mp3")</f>
        <v>B19_VD_28.mp3</v>
      </c>
    </row>
    <row r="1287" spans="1:13">
      <c r="A1287" s="13">
        <f ca="1">IFERROR(__xludf.DUMMYFUNCTION("""COMPUTED_VALUE"""),29)</f>
        <v>29</v>
      </c>
      <c r="B1287" s="13"/>
      <c r="C1287" s="13" t="str">
        <f ca="1">IFERROR(__xludf.DUMMYFUNCTION("""COMPUTED_VALUE"""),"舞蹈")</f>
        <v>舞蹈</v>
      </c>
      <c r="D1287" s="13" t="str">
        <f ca="1">IFERROR(__xludf.DUMMYFUNCTION("""COMPUTED_VALUE"""),"&lt;ruby&gt;舞蹈&lt;rt&gt;wǔdǎo&lt;/rt&gt;&lt;/ruby&gt;")</f>
        <v>&lt;ruby&gt;舞蹈&lt;rt&gt;wǔdǎo&lt;/rt&gt;&lt;/ruby&gt;</v>
      </c>
      <c r="E1287" s="13" t="str">
        <f ca="1">IFERROR(__xludf.DUMMYFUNCTION("""COMPUTED_VALUE"""),"wǔdǎo")</f>
        <v>wǔdǎo</v>
      </c>
      <c r="F1287" s="13" t="str">
        <f ca="1">IFERROR(__xludf.DUMMYFUNCTION("""COMPUTED_VALUE"""),"Danh từ")</f>
        <v>Danh từ</v>
      </c>
      <c r="G1287" s="13" t="str">
        <f ca="1">IFERROR(__xludf.DUMMYFUNCTION("""COMPUTED_VALUE"""),"điệu múa")</f>
        <v>điệu múa</v>
      </c>
      <c r="H1287" s="13" t="str">
        <f ca="1">IFERROR(__xludf.DUMMYFUNCTION("""COMPUTED_VALUE"""),"她从小就喜欢舞蹈。")</f>
        <v>她从小就喜欢舞蹈。</v>
      </c>
      <c r="I1287" s="13"/>
      <c r="J1287" s="13" t="str">
        <f ca="1">IFERROR(__xludf.DUMMYFUNCTION("""COMPUTED_VALUE"""),"Cô ấy yêu thích vũ đạo từ khi còn nhỏ.")</f>
        <v>Cô ấy yêu thích vũ đạo từ khi còn nhỏ.</v>
      </c>
      <c r="K1287" s="13" t="str">
        <f ca="1">IFERROR(__xludf.DUMMYFUNCTION("""COMPUTED_VALUE"""),"H4B19-29.png")</f>
        <v>H4B19-29.png</v>
      </c>
      <c r="L1287" s="13" t="str">
        <f ca="1">IFERROR(__xludf.DUMMYFUNCTION("""COMPUTED_VALUE"""),"B19_29.mp3")</f>
        <v>B19_29.mp3</v>
      </c>
      <c r="M1287" s="13" t="str">
        <f ca="1">IFERROR(__xludf.DUMMYFUNCTION("""COMPUTED_VALUE"""),"B19_VD_29.mp3")</f>
        <v>B19_VD_29.mp3</v>
      </c>
    </row>
    <row r="1288" spans="1:13">
      <c r="A1288" s="13">
        <f ca="1">IFERROR(__xludf.DUMMYFUNCTION("""COMPUTED_VALUE"""),30)</f>
        <v>30</v>
      </c>
      <c r="B1288" s="13"/>
      <c r="C1288" s="13" t="str">
        <f ca="1">IFERROR(__xludf.DUMMYFUNCTION("""COMPUTED_VALUE"""),"场")</f>
        <v>场</v>
      </c>
      <c r="D1288" s="13" t="str">
        <f ca="1">IFERROR(__xludf.DUMMYFUNCTION("""COMPUTED_VALUE"""),"&lt;ruby&gt;场&lt;rt&gt;chǎng&lt;/rt&gt;&lt;/ruby&gt;")</f>
        <v>&lt;ruby&gt;场&lt;rt&gt;chǎng&lt;/rt&gt;&lt;/ruby&gt;</v>
      </c>
      <c r="E1288" s="13" t="str">
        <f ca="1">IFERROR(__xludf.DUMMYFUNCTION("""COMPUTED_VALUE"""),"chǎng")</f>
        <v>chǎng</v>
      </c>
      <c r="F1288" s="13" t="str">
        <f ca="1">IFERROR(__xludf.DUMMYFUNCTION("""COMPUTED_VALUE"""),"Lượng từ")</f>
        <v>Lượng từ</v>
      </c>
      <c r="G1288" s="13" t="str">
        <f ca="1">IFERROR(__xludf.DUMMYFUNCTION("""COMPUTED_VALUE"""),"(được đùng cho thể thao hay các hoạt động giải trí...) trận")</f>
        <v>(được đùng cho thể thao hay các hoạt động giải trí...) trận</v>
      </c>
      <c r="H1288" s="13" t="str">
        <f ca="1">IFERROR(__xludf.DUMMYFUNCTION("""COMPUTED_VALUE"""),"今天晚上我们有一场演出。")</f>
        <v>今天晚上我们有一场演出。</v>
      </c>
      <c r="I1288" s="13"/>
      <c r="J1288" s="13" t="str">
        <f ca="1">IFERROR(__xludf.DUMMYFUNCTION("""COMPUTED_VALUE"""),"Chúng ta có một buổi biểu diễn vào tối nay.")</f>
        <v>Chúng ta có một buổi biểu diễn vào tối nay.</v>
      </c>
      <c r="K1288" s="13" t="str">
        <f ca="1">IFERROR(__xludf.DUMMYFUNCTION("""COMPUTED_VALUE"""),"H4B19-30.png")</f>
        <v>H4B19-30.png</v>
      </c>
      <c r="L1288" s="13" t="str">
        <f ca="1">IFERROR(__xludf.DUMMYFUNCTION("""COMPUTED_VALUE"""),"B19_30.mp3")</f>
        <v>B19_30.mp3</v>
      </c>
      <c r="M1288" s="13" t="str">
        <f ca="1">IFERROR(__xludf.DUMMYFUNCTION("""COMPUTED_VALUE"""),"B19_VD_30.mp3")</f>
        <v>B19_VD_30.mp3</v>
      </c>
    </row>
    <row r="1289" spans="1:13">
      <c r="A1289" s="13">
        <f ca="1">IFERROR(__xludf.DUMMYFUNCTION("""COMPUTED_VALUE"""),31)</f>
        <v>31</v>
      </c>
      <c r="B1289" s="13"/>
      <c r="C1289" s="13" t="str">
        <f ca="1">IFERROR(__xludf.DUMMYFUNCTION("""COMPUTED_VALUE"""),"禁止")</f>
        <v>禁止</v>
      </c>
      <c r="D1289" s="13" t="str">
        <f ca="1">IFERROR(__xludf.DUMMYFUNCTION("""COMPUTED_VALUE"""),"&lt;ruby&gt;禁止&lt;rt&gt;jìnzhǐ&lt;/rt&gt;&lt;/ruby&gt;")</f>
        <v>&lt;ruby&gt;禁止&lt;rt&gt;jìnzhǐ&lt;/rt&gt;&lt;/ruby&gt;</v>
      </c>
      <c r="E1289" s="13" t="str">
        <f ca="1">IFERROR(__xludf.DUMMYFUNCTION("""COMPUTED_VALUE"""),"jìnzhǐ")</f>
        <v>jìnzhǐ</v>
      </c>
      <c r="F1289" s="13" t="str">
        <f ca="1">IFERROR(__xludf.DUMMYFUNCTION("""COMPUTED_VALUE"""),"Động từ")</f>
        <v>Động từ</v>
      </c>
      <c r="G1289" s="13" t="str">
        <f ca="1">IFERROR(__xludf.DUMMYFUNCTION("""COMPUTED_VALUE"""),"cấm")</f>
        <v>cấm</v>
      </c>
      <c r="H1289" s="13" t="str">
        <f ca="1">IFERROR(__xludf.DUMMYFUNCTION("""COMPUTED_VALUE""")," 你看，这里禁止吸烟。")</f>
        <v xml:space="preserve"> 你看，这里禁止吸烟。</v>
      </c>
      <c r="I1289" s="13"/>
      <c r="J1289" s="13" t="str">
        <f ca="1">IFERROR(__xludf.DUMMYFUNCTION("""COMPUTED_VALUE"""),"Bạn nhìn này, ở đây cấm hút thuốc.")</f>
        <v>Bạn nhìn này, ở đây cấm hút thuốc.</v>
      </c>
      <c r="K1289" s="13" t="str">
        <f ca="1">IFERROR(__xludf.DUMMYFUNCTION("""COMPUTED_VALUE"""),"H4B19-31.png")</f>
        <v>H4B19-31.png</v>
      </c>
      <c r="L1289" s="13" t="str">
        <f ca="1">IFERROR(__xludf.DUMMYFUNCTION("""COMPUTED_VALUE"""),"B19_31.mp3")</f>
        <v>B19_31.mp3</v>
      </c>
      <c r="M1289" s="13" t="str">
        <f ca="1">IFERROR(__xludf.DUMMYFUNCTION("""COMPUTED_VALUE"""),"B19_VD_31.mp3")</f>
        <v>B19_VD_31.mp3</v>
      </c>
    </row>
    <row r="1290" spans="1:13">
      <c r="A1290" s="13">
        <f ca="1">IFERROR(__xludf.DUMMYFUNCTION("""COMPUTED_VALUE"""),32)</f>
        <v>32</v>
      </c>
      <c r="B1290" s="13"/>
      <c r="C1290" s="13" t="str">
        <f ca="1">IFERROR(__xludf.DUMMYFUNCTION("""COMPUTED_VALUE"""),"座位")</f>
        <v>座位</v>
      </c>
      <c r="D1290" s="13" t="str">
        <f ca="1">IFERROR(__xludf.DUMMYFUNCTION("""COMPUTED_VALUE"""),"&lt;ruby&gt;座位&lt;rt&gt;zuòwèi&lt;/rt&gt;&lt;/ruby&gt;")</f>
        <v>&lt;ruby&gt;座位&lt;rt&gt;zuòwèi&lt;/rt&gt;&lt;/ruby&gt;</v>
      </c>
      <c r="E1290" s="13" t="str">
        <f ca="1">IFERROR(__xludf.DUMMYFUNCTION("""COMPUTED_VALUE"""),"zuòwèi")</f>
        <v>zuòwèi</v>
      </c>
      <c r="F1290" s="13" t="str">
        <f ca="1">IFERROR(__xludf.DUMMYFUNCTION("""COMPUTED_VALUE"""),"Danh từ")</f>
        <v>Danh từ</v>
      </c>
      <c r="G1290" s="13" t="str">
        <f ca="1">IFERROR(__xludf.DUMMYFUNCTION("""COMPUTED_VALUE"""),"chỗ ngồi")</f>
        <v>chỗ ngồi</v>
      </c>
      <c r="H1290" s="13" t="str">
        <f ca="1">IFERROR(__xludf.DUMMYFUNCTION("""COMPUTED_VALUE"""),"飞机上还有很多空座位。")</f>
        <v>飞机上还有很多空座位。</v>
      </c>
      <c r="I1290" s="13"/>
      <c r="J1290" s="13" t="str">
        <f ca="1">IFERROR(__xludf.DUMMYFUNCTION("""COMPUTED_VALUE"""),"Còn rất nhiều ghế trống trên máy bay.")</f>
        <v>Còn rất nhiều ghế trống trên máy bay.</v>
      </c>
      <c r="K1290" s="13" t="str">
        <f ca="1">IFERROR(__xludf.DUMMYFUNCTION("""COMPUTED_VALUE"""),"H4B19-32.png")</f>
        <v>H4B19-32.png</v>
      </c>
      <c r="L1290" s="13" t="str">
        <f ca="1">IFERROR(__xludf.DUMMYFUNCTION("""COMPUTED_VALUE"""),"B19_32.mp3")</f>
        <v>B19_32.mp3</v>
      </c>
      <c r="M1290" s="13" t="str">
        <f ca="1">IFERROR(__xludf.DUMMYFUNCTION("""COMPUTED_VALUE"""),"B19_VD_32.mp3")</f>
        <v>B19_VD_32.mp3</v>
      </c>
    </row>
    <row r="1291" spans="1:13">
      <c r="A1291" s="13">
        <f ca="1">IFERROR(__xludf.DUMMYFUNCTION("""COMPUTED_VALUE"""),1)</f>
        <v>1</v>
      </c>
      <c r="B1291" s="13"/>
      <c r="C1291" s="13" t="str">
        <f ca="1">IFERROR(__xludf.DUMMYFUNCTION("""COMPUTED_VALUE"""),"加油站")</f>
        <v>加油站</v>
      </c>
      <c r="D1291" s="13" t="str">
        <f ca="1">IFERROR(__xludf.DUMMYFUNCTION("""COMPUTED_VALUE"""),"&lt;ruby&gt;加油站&lt;rt&gt;jiāyóuzhàn&lt;/rt&gt;&lt;/ruby&gt;")</f>
        <v>&lt;ruby&gt;加油站&lt;rt&gt;jiāyóuzhàn&lt;/rt&gt;&lt;/ruby&gt;</v>
      </c>
      <c r="E1291" s="13" t="str">
        <f ca="1">IFERROR(__xludf.DUMMYFUNCTION("""COMPUTED_VALUE"""),"jiāyóuzhàn")</f>
        <v>jiāyóuzhàn</v>
      </c>
      <c r="F1291" s="13" t="str">
        <f ca="1">IFERROR(__xludf.DUMMYFUNCTION("""COMPUTED_VALUE"""),"Danh từ")</f>
        <v>Danh từ</v>
      </c>
      <c r="G1291" s="13" t="str">
        <f ca="1">IFERROR(__xludf.DUMMYFUNCTION("""COMPUTED_VALUE"""),"trạm xăng dầu")</f>
        <v>trạm xăng dầu</v>
      </c>
      <c r="H1291" s="13" t="str">
        <f ca="1">IFERROR(__xludf.DUMMYFUNCTION("""COMPUTED_VALUE"""),"我到了最近的加油站。")</f>
        <v>我到了最近的加油站。</v>
      </c>
      <c r="I1291" s="13"/>
      <c r="J1291" s="13" t="str">
        <f ca="1">IFERROR(__xludf.DUMMYFUNCTION("""COMPUTED_VALUE"""),"Tôi đã đến được trạm xăng gần đây nhất.")</f>
        <v>Tôi đã đến được trạm xăng gần đây nhất.</v>
      </c>
      <c r="K1291" s="13" t="str">
        <f ca="1">IFERROR(__xludf.DUMMYFUNCTION("""COMPUTED_VALUE"""),"H4_B20_BG-01.png")</f>
        <v>H4_B20_BG-01.png</v>
      </c>
      <c r="L1291" s="13" t="str">
        <f ca="1">IFERROR(__xludf.DUMMYFUNCTION("""COMPUTED_VALUE"""),"B20_1.mp3")</f>
        <v>B20_1.mp3</v>
      </c>
      <c r="M1291" s="13" t="str">
        <f ca="1">IFERROR(__xludf.DUMMYFUNCTION("""COMPUTED_VALUE"""),"B20_VD_1.mp3")</f>
        <v>B20_VD_1.mp3</v>
      </c>
    </row>
    <row r="1292" spans="1:13">
      <c r="A1292" s="13">
        <f ca="1">IFERROR(__xludf.DUMMYFUNCTION("""COMPUTED_VALUE"""),2)</f>
        <v>2</v>
      </c>
      <c r="B1292" s="13"/>
      <c r="C1292" s="13" t="str">
        <f ca="1">IFERROR(__xludf.DUMMYFUNCTION("""COMPUTED_VALUE"""),"航班")</f>
        <v>航班</v>
      </c>
      <c r="D1292" s="13" t="str">
        <f ca="1">IFERROR(__xludf.DUMMYFUNCTION("""COMPUTED_VALUE"""),"&lt;ruby&gt;航班&lt;rt&gt;hángbān&lt;/rt&gt;&lt;/ruby&gt;")</f>
        <v>&lt;ruby&gt;航班&lt;rt&gt;hángbān&lt;/rt&gt;&lt;/ruby&gt;</v>
      </c>
      <c r="E1292" s="13" t="str">
        <f ca="1">IFERROR(__xludf.DUMMYFUNCTION("""COMPUTED_VALUE"""),"hángbān")</f>
        <v>hángbān</v>
      </c>
      <c r="F1292" s="13" t="str">
        <f ca="1">IFERROR(__xludf.DUMMYFUNCTION("""COMPUTED_VALUE"""),"Danh từ")</f>
        <v>Danh từ</v>
      </c>
      <c r="G1292" s="13" t="str">
        <f ca="1">IFERROR(__xludf.DUMMYFUNCTION("""COMPUTED_VALUE"""),"chuyến bay")</f>
        <v>chuyến bay</v>
      </c>
      <c r="H1292" s="13" t="str">
        <f ca="1">IFERROR(__xludf.DUMMYFUNCTION("""COMPUTED_VALUE"""),"你的航班已经起飞了。")</f>
        <v>你的航班已经起飞了。</v>
      </c>
      <c r="I1292" s="13"/>
      <c r="J1292" s="13" t="str">
        <f ca="1">IFERROR(__xludf.DUMMYFUNCTION("""COMPUTED_VALUE"""),"Chuyến bay của bạn đã cất cánh rồi.")</f>
        <v>Chuyến bay của bạn đã cất cánh rồi.</v>
      </c>
      <c r="K1292" s="13" t="str">
        <f ca="1">IFERROR(__xludf.DUMMYFUNCTION("""COMPUTED_VALUE"""),"H4_B20_BG-02.png")</f>
        <v>H4_B20_BG-02.png</v>
      </c>
      <c r="L1292" s="13" t="str">
        <f ca="1">IFERROR(__xludf.DUMMYFUNCTION("""COMPUTED_VALUE"""),"B20_2.mp3")</f>
        <v>B20_2.mp3</v>
      </c>
      <c r="M1292" s="13" t="str">
        <f ca="1">IFERROR(__xludf.DUMMYFUNCTION("""COMPUTED_VALUE"""),"B20_VD_2.mp3")</f>
        <v>B20_VD_2.mp3</v>
      </c>
    </row>
    <row r="1293" spans="1:13">
      <c r="A1293" s="13">
        <f ca="1">IFERROR(__xludf.DUMMYFUNCTION("""COMPUTED_VALUE"""),3)</f>
        <v>3</v>
      </c>
      <c r="B1293" s="13"/>
      <c r="C1293" s="13" t="str">
        <f ca="1">IFERROR(__xludf.DUMMYFUNCTION("""COMPUTED_VALUE"""),"推迟")</f>
        <v>推迟</v>
      </c>
      <c r="D1293" s="13" t="str">
        <f ca="1">IFERROR(__xludf.DUMMYFUNCTION("""COMPUTED_VALUE"""),"&lt;ruby&gt;推迟&lt;rt&gt;tuīchí&lt;/rt&gt;&lt;/ruby&gt;")</f>
        <v>&lt;ruby&gt;推迟&lt;rt&gt;tuīchí&lt;/rt&gt;&lt;/ruby&gt;</v>
      </c>
      <c r="E1293" s="13" t="str">
        <f ca="1">IFERROR(__xludf.DUMMYFUNCTION("""COMPUTED_VALUE"""),"tuīchí")</f>
        <v>tuīchí</v>
      </c>
      <c r="F1293" s="13" t="str">
        <f ca="1">IFERROR(__xludf.DUMMYFUNCTION("""COMPUTED_VALUE"""),"Động từ")</f>
        <v>Động từ</v>
      </c>
      <c r="G1293" s="13" t="str">
        <f ca="1">IFERROR(__xludf.DUMMYFUNCTION("""COMPUTED_VALUE"""),"hoãn lại")</f>
        <v>hoãn lại</v>
      </c>
      <c r="H1293" s="13" t="str">
        <f ca="1">IFERROR(__xludf.DUMMYFUNCTION("""COMPUTED_VALUE"""),"航班推迟了两个小时。")</f>
        <v>航班推迟了两个小时。</v>
      </c>
      <c r="I1293" s="13"/>
      <c r="J1293" s="13" t="str">
        <f ca="1">IFERROR(__xludf.DUMMYFUNCTION("""COMPUTED_VALUE"""),"Chuyến bay bị hoãn hai giờ.")</f>
        <v>Chuyến bay bị hoãn hai giờ.</v>
      </c>
      <c r="K1293" s="13" t="str">
        <f ca="1">IFERROR(__xludf.DUMMYFUNCTION("""COMPUTED_VALUE"""),"H4_B20_BG-03.png")</f>
        <v>H4_B20_BG-03.png</v>
      </c>
      <c r="L1293" s="13" t="str">
        <f ca="1">IFERROR(__xludf.DUMMYFUNCTION("""COMPUTED_VALUE"""),"B20_3.mp3")</f>
        <v>B20_3.mp3</v>
      </c>
      <c r="M1293" s="13" t="str">
        <f ca="1">IFERROR(__xludf.DUMMYFUNCTION("""COMPUTED_VALUE"""),"B20_VD_3.mp3")</f>
        <v>B20_VD_3.mp3</v>
      </c>
    </row>
    <row r="1294" spans="1:13">
      <c r="A1294" s="13">
        <f ca="1">IFERROR(__xludf.DUMMYFUNCTION("""COMPUTED_VALUE"""),4)</f>
        <v>4</v>
      </c>
      <c r="B1294" s="13"/>
      <c r="C1294" s="13" t="str">
        <f ca="1">IFERROR(__xludf.DUMMYFUNCTION("""COMPUTED_VALUE"""),"高速公路")</f>
        <v>高速公路</v>
      </c>
      <c r="D1294" s="13" t="str">
        <f ca="1">IFERROR(__xludf.DUMMYFUNCTION("""COMPUTED_VALUE"""),"&lt;ruby&gt;高速公路&lt;rt&gt;gāosù gōnglù&lt;/rt&gt;&lt;/ruby&gt;")</f>
        <v>&lt;ruby&gt;高速公路&lt;rt&gt;gāosù gōnglù&lt;/rt&gt;&lt;/ruby&gt;</v>
      </c>
      <c r="E1294" s="13" t="str">
        <f ca="1">IFERROR(__xludf.DUMMYFUNCTION("""COMPUTED_VALUE"""),"gāosù gōnglù")</f>
        <v>gāosù gōnglù</v>
      </c>
      <c r="F1294" s="13" t="str">
        <f ca="1">IFERROR(__xludf.DUMMYFUNCTION("""COMPUTED_VALUE"""),"Danh từ")</f>
        <v>Danh từ</v>
      </c>
      <c r="G1294" s="13" t="str">
        <f ca="1">IFERROR(__xludf.DUMMYFUNCTION("""COMPUTED_VALUE"""),"đường cao tốc")</f>
        <v>đường cao tốc</v>
      </c>
      <c r="H1294" s="13" t="str">
        <f ca="1">IFERROR(__xludf.DUMMYFUNCTION("""COMPUTED_VALUE"""),"高速公路让人们出行更加方便。")</f>
        <v>高速公路让人们出行更加方便。</v>
      </c>
      <c r="I1294" s="13"/>
      <c r="J1294" s="13" t="str">
        <f ca="1">IFERROR(__xludf.DUMMYFUNCTION("""COMPUTED_VALUE"""),"Cao tốc giúp mọi người đi lại dễ dàng.")</f>
        <v>Cao tốc giúp mọi người đi lại dễ dàng.</v>
      </c>
      <c r="K1294" s="13" t="str">
        <f ca="1">IFERROR(__xludf.DUMMYFUNCTION("""COMPUTED_VALUE"""),"H4_B20_BG-04.png")</f>
        <v>H4_B20_BG-04.png</v>
      </c>
      <c r="L1294" s="13" t="str">
        <f ca="1">IFERROR(__xludf.DUMMYFUNCTION("""COMPUTED_VALUE"""),"B20_4.mp3")</f>
        <v>B20_4.mp3</v>
      </c>
      <c r="M1294" s="13" t="str">
        <f ca="1">IFERROR(__xludf.DUMMYFUNCTION("""COMPUTED_VALUE"""),"B20_VD_4.mp3")</f>
        <v>B20_VD_4.mp3</v>
      </c>
    </row>
    <row r="1295" spans="1:13">
      <c r="A1295" s="13">
        <f ca="1">IFERROR(__xludf.DUMMYFUNCTION("""COMPUTED_VALUE"""),5)</f>
        <v>5</v>
      </c>
      <c r="B1295" s="13"/>
      <c r="C1295" s="13" t="str">
        <f ca="1">IFERROR(__xludf.DUMMYFUNCTION("""COMPUTED_VALUE"""),"登机牌")</f>
        <v>登机牌</v>
      </c>
      <c r="D1295" s="13" t="str">
        <f ca="1">IFERROR(__xludf.DUMMYFUNCTION("""COMPUTED_VALUE"""),"&lt;ruby&gt;登机牌&lt;rt&gt;dēngjīpái&lt;/rt&gt;&lt;/ruby&gt;")</f>
        <v>&lt;ruby&gt;登机牌&lt;rt&gt;dēngjīpái&lt;/rt&gt;&lt;/ruby&gt;</v>
      </c>
      <c r="E1295" s="13" t="str">
        <f ca="1">IFERROR(__xludf.DUMMYFUNCTION("""COMPUTED_VALUE"""),"dēngjīpái")</f>
        <v>dēngjīpái</v>
      </c>
      <c r="F1295" s="13" t="str">
        <f ca="1">IFERROR(__xludf.DUMMYFUNCTION("""COMPUTED_VALUE"""),"Danh từ")</f>
        <v>Danh từ</v>
      </c>
      <c r="G1295" s="13" t="str">
        <f ca="1">IFERROR(__xludf.DUMMYFUNCTION("""COMPUTED_VALUE"""),"thẻ lên máy bay")</f>
        <v>thẻ lên máy bay</v>
      </c>
      <c r="H1295" s="13" t="str">
        <f ca="1">IFERROR(__xludf.DUMMYFUNCTION("""COMPUTED_VALUE""")," 这是一张登机牌。")</f>
        <v xml:space="preserve"> 这是一张登机牌。</v>
      </c>
      <c r="I1295" s="13"/>
      <c r="J1295" s="13" t="str">
        <f ca="1">IFERROR(__xludf.DUMMYFUNCTION("""COMPUTED_VALUE"""),"Đây là một tấm thẻ lên máy bay.")</f>
        <v>Đây là một tấm thẻ lên máy bay.</v>
      </c>
      <c r="K1295" s="13" t="str">
        <f ca="1">IFERROR(__xludf.DUMMYFUNCTION("""COMPUTED_VALUE"""),"H4_B20_BG-05.png")</f>
        <v>H4_B20_BG-05.png</v>
      </c>
      <c r="L1295" s="13" t="str">
        <f ca="1">IFERROR(__xludf.DUMMYFUNCTION("""COMPUTED_VALUE"""),"B20_5.mp3")</f>
        <v>B20_5.mp3</v>
      </c>
      <c r="M1295" s="13" t="str">
        <f ca="1">IFERROR(__xludf.DUMMYFUNCTION("""COMPUTED_VALUE"""),"B20_VD_5.mp3")</f>
        <v>B20_VD_5.mp3</v>
      </c>
    </row>
    <row r="1296" spans="1:13">
      <c r="A1296" s="13">
        <f ca="1">IFERROR(__xludf.DUMMYFUNCTION("""COMPUTED_VALUE"""),6)</f>
        <v>6</v>
      </c>
      <c r="B1296" s="13"/>
      <c r="C1296" s="13" t="str">
        <f ca="1">IFERROR(__xludf.DUMMYFUNCTION("""COMPUTED_VALUE"""),"首都")</f>
        <v>首都</v>
      </c>
      <c r="D1296" s="13" t="str">
        <f ca="1">IFERROR(__xludf.DUMMYFUNCTION("""COMPUTED_VALUE"""),"&lt;ruby&gt;首都&lt;rt&gt;shǒudū&lt;/rt&gt;&lt;/ruby&gt;")</f>
        <v>&lt;ruby&gt;首都&lt;rt&gt;shǒudū&lt;/rt&gt;&lt;/ruby&gt;</v>
      </c>
      <c r="E1296" s="13" t="str">
        <f ca="1">IFERROR(__xludf.DUMMYFUNCTION("""COMPUTED_VALUE"""),"shǒudū")</f>
        <v>shǒudū</v>
      </c>
      <c r="F1296" s="13" t="str">
        <f ca="1">IFERROR(__xludf.DUMMYFUNCTION("""COMPUTED_VALUE"""),"Danh từ")</f>
        <v>Danh từ</v>
      </c>
      <c r="G1296" s="13" t="str">
        <f ca="1">IFERROR(__xludf.DUMMYFUNCTION("""COMPUTED_VALUE"""),"thủ đô")</f>
        <v>thủ đô</v>
      </c>
      <c r="H1296" s="13" t="str">
        <f ca="1">IFERROR(__xludf.DUMMYFUNCTION("""COMPUTED_VALUE""")," 河内首都是祖国的心脏。")</f>
        <v xml:space="preserve"> 河内首都是祖国的心脏。</v>
      </c>
      <c r="I1296" s="13"/>
      <c r="J1296" s="13" t="str">
        <f ca="1">IFERROR(__xludf.DUMMYFUNCTION("""COMPUTED_VALUE"""),"Thủ đô Hà Nội là trái tim của Tổ Quốc.")</f>
        <v>Thủ đô Hà Nội là trái tim của Tổ Quốc.</v>
      </c>
      <c r="K1296" s="13" t="str">
        <f ca="1">IFERROR(__xludf.DUMMYFUNCTION("""COMPUTED_VALUE"""),"H4_B20_BG-06.png")</f>
        <v>H4_B20_BG-06.png</v>
      </c>
      <c r="L1296" s="13" t="str">
        <f ca="1">IFERROR(__xludf.DUMMYFUNCTION("""COMPUTED_VALUE"""),"B20_6.mp3")</f>
        <v>B20_6.mp3</v>
      </c>
      <c r="M1296" s="13" t="str">
        <f ca="1">IFERROR(__xludf.DUMMYFUNCTION("""COMPUTED_VALUE"""),"B20_VD_6.mp3")</f>
        <v>B20_VD_6.mp3</v>
      </c>
    </row>
    <row r="1297" spans="1:13">
      <c r="A1297" s="13">
        <f ca="1">IFERROR(__xludf.DUMMYFUNCTION("""COMPUTED_VALUE"""),7)</f>
        <v>7</v>
      </c>
      <c r="B1297" s="13"/>
      <c r="C1297" s="13" t="str">
        <f ca="1">IFERROR(__xludf.DUMMYFUNCTION("""COMPUTED_VALUE"""),"旅行")</f>
        <v>旅行</v>
      </c>
      <c r="D1297" s="13" t="str">
        <f ca="1">IFERROR(__xludf.DUMMYFUNCTION("""COMPUTED_VALUE"""),"&lt;ruby&gt;旅行&lt;rt&gt;lǚxíng&lt;/rt&gt;&lt;/ruby&gt;")</f>
        <v>&lt;ruby&gt;旅行&lt;rt&gt;lǚxíng&lt;/rt&gt;&lt;/ruby&gt;</v>
      </c>
      <c r="E1297" s="13" t="str">
        <f ca="1">IFERROR(__xludf.DUMMYFUNCTION("""COMPUTED_VALUE"""),"lǚxíng")</f>
        <v>lǚxíng</v>
      </c>
      <c r="F1297" s="13" t="str">
        <f ca="1">IFERROR(__xludf.DUMMYFUNCTION("""COMPUTED_VALUE"""),"Động từ")</f>
        <v>Động từ</v>
      </c>
      <c r="G1297" s="13" t="str">
        <f ca="1">IFERROR(__xludf.DUMMYFUNCTION("""COMPUTED_VALUE"""),"du lịch")</f>
        <v>du lịch</v>
      </c>
      <c r="H1297" s="13" t="str">
        <f ca="1">IFERROR(__xludf.DUMMYFUNCTION("""COMPUTED_VALUE"""),"我喜欢一个人旅行。")</f>
        <v>我喜欢一个人旅行。</v>
      </c>
      <c r="I1297" s="13"/>
      <c r="J1297" s="13" t="str">
        <f ca="1">IFERROR(__xludf.DUMMYFUNCTION("""COMPUTED_VALUE"""),"Tôi thích đi du lịch một mình.")</f>
        <v>Tôi thích đi du lịch một mình.</v>
      </c>
      <c r="K1297" s="13" t="str">
        <f ca="1">IFERROR(__xludf.DUMMYFUNCTION("""COMPUTED_VALUE"""),"H4_B20_BG-07.png")</f>
        <v>H4_B20_BG-07.png</v>
      </c>
      <c r="L1297" s="13" t="str">
        <f ca="1">IFERROR(__xludf.DUMMYFUNCTION("""COMPUTED_VALUE"""),"B20_7.mp3")</f>
        <v>B20_7.mp3</v>
      </c>
      <c r="M1297" s="13" t="str">
        <f ca="1">IFERROR(__xludf.DUMMYFUNCTION("""COMPUTED_VALUE"""),"B20_VD_7.mp3")</f>
        <v>B20_VD_7.mp3</v>
      </c>
    </row>
    <row r="1298" spans="1:13">
      <c r="A1298" s="13">
        <f ca="1">IFERROR(__xludf.DUMMYFUNCTION("""COMPUTED_VALUE"""),8)</f>
        <v>8</v>
      </c>
      <c r="B1298" s="13"/>
      <c r="C1298" s="13" t="str">
        <f ca="1">IFERROR(__xludf.DUMMYFUNCTION("""COMPUTED_VALUE"""),"民族")</f>
        <v>民族</v>
      </c>
      <c r="D1298" s="13" t="str">
        <f ca="1">IFERROR(__xludf.DUMMYFUNCTION("""COMPUTED_VALUE"""),"&lt;ruby&gt;民族&lt;rt&gt;mínzú&lt;/rt&gt;&lt;/ruby&gt;")</f>
        <v>&lt;ruby&gt;民族&lt;rt&gt;mínzú&lt;/rt&gt;&lt;/ruby&gt;</v>
      </c>
      <c r="E1298" s="13" t="str">
        <f ca="1">IFERROR(__xludf.DUMMYFUNCTION("""COMPUTED_VALUE"""),"mínzú")</f>
        <v>mínzú</v>
      </c>
      <c r="F1298" s="13" t="str">
        <f ca="1">IFERROR(__xludf.DUMMYFUNCTION("""COMPUTED_VALUE"""),"Danh từ")</f>
        <v>Danh từ</v>
      </c>
      <c r="G1298" s="13" t="str">
        <f ca="1">IFERROR(__xludf.DUMMYFUNCTION("""COMPUTED_VALUE"""),"dân tộc")</f>
        <v>dân tộc</v>
      </c>
      <c r="H1298" s="13" t="str">
        <f ca="1">IFERROR(__xludf.DUMMYFUNCTION("""COMPUTED_VALUE"""),"各民族和睦相处。")</f>
        <v>各民族和睦相处。</v>
      </c>
      <c r="I1298" s="13"/>
      <c r="J1298" s="13" t="str">
        <f ca="1">IFERROR(__xludf.DUMMYFUNCTION("""COMPUTED_VALUE"""),"Các dân tộc sống hòa thuận với nhau.")</f>
        <v>Các dân tộc sống hòa thuận với nhau.</v>
      </c>
      <c r="K1298" s="13" t="str">
        <f ca="1">IFERROR(__xludf.DUMMYFUNCTION("""COMPUTED_VALUE"""),"H4_B20_BG-08.png")</f>
        <v>H4_B20_BG-08.png</v>
      </c>
      <c r="L1298" s="13" t="str">
        <f ca="1">IFERROR(__xludf.DUMMYFUNCTION("""COMPUTED_VALUE"""),"B20_8.mp3")</f>
        <v>B20_8.mp3</v>
      </c>
      <c r="M1298" s="13" t="str">
        <f ca="1">IFERROR(__xludf.DUMMYFUNCTION("""COMPUTED_VALUE"""),"B20_VD_8.mp3")</f>
        <v>B20_VD_8.mp3</v>
      </c>
    </row>
    <row r="1299" spans="1:13">
      <c r="A1299" s="13">
        <f ca="1">IFERROR(__xludf.DUMMYFUNCTION("""COMPUTED_VALUE"""),9)</f>
        <v>9</v>
      </c>
      <c r="B1299" s="13"/>
      <c r="C1299" s="13" t="str">
        <f ca="1">IFERROR(__xludf.DUMMYFUNCTION("""COMPUTED_VALUE"""),"对话")</f>
        <v>对话</v>
      </c>
      <c r="D1299" s="13" t="str">
        <f ca="1">IFERROR(__xludf.DUMMYFUNCTION("""COMPUTED_VALUE"""),"&lt;ruby&gt;对话&lt;rt&gt;duìhuà&lt;/rt&gt;&lt;/ruby&gt;")</f>
        <v>&lt;ruby&gt;对话&lt;rt&gt;duìhuà&lt;/rt&gt;&lt;/ruby&gt;</v>
      </c>
      <c r="E1299" s="13" t="str">
        <f ca="1">IFERROR(__xludf.DUMMYFUNCTION("""COMPUTED_VALUE"""),"duìhuà")</f>
        <v>duìhuà</v>
      </c>
      <c r="F1299" s="13" t="str">
        <f ca="1">IFERROR(__xludf.DUMMYFUNCTION("""COMPUTED_VALUE"""),"Động từ")</f>
        <v>Động từ</v>
      </c>
      <c r="G1299" s="13" t="str">
        <f ca="1">IFERROR(__xludf.DUMMYFUNCTION("""COMPUTED_VALUE"""),"đối thoại, tiếp xúc")</f>
        <v>đối thoại, tiếp xúc</v>
      </c>
      <c r="H1299" s="13" t="str">
        <f ca="1">IFERROR(__xludf.DUMMYFUNCTION("""COMPUTED_VALUE"""),"你听到他们父子的对话了吗？")</f>
        <v>你听到他们父子的对话了吗？</v>
      </c>
      <c r="I1299" s="13"/>
      <c r="J1299" s="13" t="str">
        <f ca="1">IFERROR(__xludf.DUMMYFUNCTION("""COMPUTED_VALUE"""),"Bạn nghe thấy cuộc đối thoại giữa hai bố con họ không?")</f>
        <v>Bạn nghe thấy cuộc đối thoại giữa hai bố con họ không?</v>
      </c>
      <c r="K1299" s="13" t="str">
        <f ca="1">IFERROR(__xludf.DUMMYFUNCTION("""COMPUTED_VALUE"""),"H4_B20_BG-09.png")</f>
        <v>H4_B20_BG-09.png</v>
      </c>
      <c r="L1299" s="13" t="str">
        <f ca="1">IFERROR(__xludf.DUMMYFUNCTION("""COMPUTED_VALUE"""),"B20_9.mp3")</f>
        <v>B20_9.mp3</v>
      </c>
      <c r="M1299" s="13" t="str">
        <f ca="1">IFERROR(__xludf.DUMMYFUNCTION("""COMPUTED_VALUE"""),"B20_VD_9.mp3")</f>
        <v>B20_VD_9.mp3</v>
      </c>
    </row>
    <row r="1300" spans="1:13">
      <c r="A1300" s="13">
        <f ca="1">IFERROR(__xludf.DUMMYFUNCTION("""COMPUTED_VALUE"""),10)</f>
        <v>10</v>
      </c>
      <c r="B1300" s="13"/>
      <c r="C1300" s="13" t="str">
        <f ca="1">IFERROR(__xludf.DUMMYFUNCTION("""COMPUTED_VALUE"""),"普通话")</f>
        <v>普通话</v>
      </c>
      <c r="D1300" s="13" t="str">
        <f ca="1">IFERROR(__xludf.DUMMYFUNCTION("""COMPUTED_VALUE"""),"&lt;ruby&gt;普通话&lt;rt&gt;pǔtōnghuà&lt;/rt&gt;&lt;/ruby&gt;")</f>
        <v>&lt;ruby&gt;普通话&lt;rt&gt;pǔtōnghuà&lt;/rt&gt;&lt;/ruby&gt;</v>
      </c>
      <c r="E1300" s="13" t="str">
        <f ca="1">IFERROR(__xludf.DUMMYFUNCTION("""COMPUTED_VALUE"""),"pǔtōnghuà")</f>
        <v>pǔtōnghuà</v>
      </c>
      <c r="F1300" s="13" t="str">
        <f ca="1">IFERROR(__xludf.DUMMYFUNCTION("""COMPUTED_VALUE"""),"Danh từ")</f>
        <v>Danh từ</v>
      </c>
      <c r="G1300" s="13" t="str">
        <f ca="1">IFERROR(__xludf.DUMMYFUNCTION("""COMPUTED_VALUE"""),"tiếng phổ thông, tiếng Quan thoại")</f>
        <v>tiếng phổ thông, tiếng Quan thoại</v>
      </c>
      <c r="H1300" s="13" t="str">
        <f ca="1">IFERROR(__xludf.DUMMYFUNCTION("""COMPUTED_VALUE"""),"她说普通话说得很标准。")</f>
        <v>她说普通话说得很标准。</v>
      </c>
      <c r="I1300" s="13"/>
      <c r="J1300" s="13" t="str">
        <f ca="1">IFERROR(__xludf.DUMMYFUNCTION("""COMPUTED_VALUE"""),"Cô ấy nói tiếng phổ thông rất chuẩn.")</f>
        <v>Cô ấy nói tiếng phổ thông rất chuẩn.</v>
      </c>
      <c r="K1300" s="13" t="str">
        <f ca="1">IFERROR(__xludf.DUMMYFUNCTION("""COMPUTED_VALUE"""),"H4_B20_BG-10.png")</f>
        <v>H4_B20_BG-10.png</v>
      </c>
      <c r="L1300" s="13" t="str">
        <f ca="1">IFERROR(__xludf.DUMMYFUNCTION("""COMPUTED_VALUE"""),"B20_10.mp3")</f>
        <v>B20_10.mp3</v>
      </c>
      <c r="M1300" s="13" t="str">
        <f ca="1">IFERROR(__xludf.DUMMYFUNCTION("""COMPUTED_VALUE"""),"B20_VD_10.mp3")</f>
        <v>B20_VD_10.mp3</v>
      </c>
    </row>
    <row r="1301" spans="1:13">
      <c r="A1301" s="13">
        <f ca="1">IFERROR(__xludf.DUMMYFUNCTION("""COMPUTED_VALUE"""),11)</f>
        <v>11</v>
      </c>
      <c r="B1301" s="13"/>
      <c r="C1301" s="13" t="str">
        <f ca="1">IFERROR(__xludf.DUMMYFUNCTION("""COMPUTED_VALUE"""),"出发")</f>
        <v>出发</v>
      </c>
      <c r="D1301" s="13" t="str">
        <f ca="1">IFERROR(__xludf.DUMMYFUNCTION("""COMPUTED_VALUE"""),"&lt;ruby&gt;出发&lt;rt&gt;chūfā&lt;/rt&gt;&lt;/ruby&gt;")</f>
        <v>&lt;ruby&gt;出发&lt;rt&gt;chūfā&lt;/rt&gt;&lt;/ruby&gt;</v>
      </c>
      <c r="E1301" s="13" t="str">
        <f ca="1">IFERROR(__xludf.DUMMYFUNCTION("""COMPUTED_VALUE"""),"chūfā")</f>
        <v>chūfā</v>
      </c>
      <c r="F1301" s="13" t="str">
        <f ca="1">IFERROR(__xludf.DUMMYFUNCTION("""COMPUTED_VALUE"""),"Động từ")</f>
        <v>Động từ</v>
      </c>
      <c r="G1301" s="13" t="str">
        <f ca="1">IFERROR(__xludf.DUMMYFUNCTION("""COMPUTED_VALUE"""),"xuất phát, khởi hành")</f>
        <v>xuất phát, khởi hành</v>
      </c>
      <c r="H1301" s="13" t="str">
        <f ca="1">IFERROR(__xludf.DUMMYFUNCTION("""COMPUTED_VALUE"""),"我们正从公园出发去学校。")</f>
        <v>我们正从公园出发去学校。</v>
      </c>
      <c r="I1301" s="13"/>
      <c r="J1301" s="13" t="str">
        <f ca="1">IFERROR(__xludf.DUMMYFUNCTION("""COMPUTED_VALUE"""),"Chúng tôi đang xuất phát từ công viên về trường.")</f>
        <v>Chúng tôi đang xuất phát từ công viên về trường.</v>
      </c>
      <c r="K1301" s="13" t="str">
        <f ca="1">IFERROR(__xludf.DUMMYFUNCTION("""COMPUTED_VALUE"""),"H4_B20_BG-11.png")</f>
        <v>H4_B20_BG-11.png</v>
      </c>
      <c r="L1301" s="13" t="str">
        <f ca="1">IFERROR(__xludf.DUMMYFUNCTION("""COMPUTED_VALUE"""),"B20_11.mp3")</f>
        <v>B20_11.mp3</v>
      </c>
      <c r="M1301" s="13" t="str">
        <f ca="1">IFERROR(__xludf.DUMMYFUNCTION("""COMPUTED_VALUE"""),"B20_VD_11.mp3")</f>
        <v>B20_VD_11.mp3</v>
      </c>
    </row>
    <row r="1302" spans="1:13">
      <c r="A1302" s="13">
        <f ca="1">IFERROR(__xludf.DUMMYFUNCTION("""COMPUTED_VALUE"""),12)</f>
        <v>12</v>
      </c>
      <c r="B1302" s="13"/>
      <c r="C1302" s="13" t="str">
        <f ca="1">IFERROR(__xludf.DUMMYFUNCTION("""COMPUTED_VALUE"""),"怪")</f>
        <v>怪</v>
      </c>
      <c r="D1302" s="13" t="str">
        <f ca="1">IFERROR(__xludf.DUMMYFUNCTION("""COMPUTED_VALUE"""),"&lt;ruby&gt;怪&lt;rt&gt;guài&lt;/rt&gt;&lt;/ruby&gt;")</f>
        <v>&lt;ruby&gt;怪&lt;rt&gt;guài&lt;/rt&gt;&lt;/ruby&gt;</v>
      </c>
      <c r="E1302" s="13" t="str">
        <f ca="1">IFERROR(__xludf.DUMMYFUNCTION("""COMPUTED_VALUE"""),"guài")</f>
        <v>guài</v>
      </c>
      <c r="F1302" s="13" t="str">
        <f ca="1">IFERROR(__xludf.DUMMYFUNCTION("""COMPUTED_VALUE"""),"Phó từ")</f>
        <v>Phó từ</v>
      </c>
      <c r="G1302" s="13" t="str">
        <f ca="1">IFERROR(__xludf.DUMMYFUNCTION("""COMPUTED_VALUE"""),"rất, vô cùng")</f>
        <v>rất, vô cùng</v>
      </c>
      <c r="H1302" s="13" t="str">
        <f ca="1">IFERROR(__xludf.DUMMYFUNCTION("""COMPUTED_VALUE"""),"这个行李箱怪重的。")</f>
        <v>这个行李箱怪重的。</v>
      </c>
      <c r="I1302" s="13"/>
      <c r="J1302" s="13" t="str">
        <f ca="1">IFERROR(__xludf.DUMMYFUNCTION("""COMPUTED_VALUE"""),"Chiếc vali rất nặng.")</f>
        <v>Chiếc vali rất nặng.</v>
      </c>
      <c r="K1302" s="13" t="str">
        <f ca="1">IFERROR(__xludf.DUMMYFUNCTION("""COMPUTED_VALUE"""),"H4_B20_BG-12.png")</f>
        <v>H4_B20_BG-12.png</v>
      </c>
      <c r="L1302" s="13" t="str">
        <f ca="1">IFERROR(__xludf.DUMMYFUNCTION("""COMPUTED_VALUE"""),"B20_12.mp3")</f>
        <v>B20_12.mp3</v>
      </c>
      <c r="M1302" s="13" t="str">
        <f ca="1">IFERROR(__xludf.DUMMYFUNCTION("""COMPUTED_VALUE"""),"B20_VD_12.mp3")</f>
        <v>B20_VD_12.mp3</v>
      </c>
    </row>
    <row r="1303" spans="1:13">
      <c r="A1303" s="13">
        <f ca="1">IFERROR(__xludf.DUMMYFUNCTION("""COMPUTED_VALUE"""),13)</f>
        <v>13</v>
      </c>
      <c r="B1303" s="13"/>
      <c r="C1303" s="13" t="str">
        <f ca="1">IFERROR(__xludf.DUMMYFUNCTION("""COMPUTED_VALUE"""),"可怜")</f>
        <v>可怜</v>
      </c>
      <c r="D1303" s="13" t="str">
        <f ca="1">IFERROR(__xludf.DUMMYFUNCTION("""COMPUTED_VALUE"""),"&lt;ruby&gt;可怜&lt;rt&gt;kělián&lt;/rt&gt;&lt;/ruby&gt;")</f>
        <v>&lt;ruby&gt;可怜&lt;rt&gt;kělián&lt;/rt&gt;&lt;/ruby&gt;</v>
      </c>
      <c r="E1303" s="13" t="str">
        <f ca="1">IFERROR(__xludf.DUMMYFUNCTION("""COMPUTED_VALUE"""),"kělián")</f>
        <v>kělián</v>
      </c>
      <c r="F1303" s="13" t="str">
        <f ca="1">IFERROR(__xludf.DUMMYFUNCTION("""COMPUTED_VALUE"""),"Tính từ")</f>
        <v>Tính từ</v>
      </c>
      <c r="G1303" s="13" t="str">
        <f ca="1">IFERROR(__xludf.DUMMYFUNCTION("""COMPUTED_VALUE"""),"đáng thương, tội nghiệp")</f>
        <v>đáng thương, tội nghiệp</v>
      </c>
      <c r="H1303" s="13" t="str">
        <f ca="1">IFERROR(__xludf.DUMMYFUNCTION("""COMPUTED_VALUE"""),"那个可怜的孩子刚从楼梯上摔下来。")</f>
        <v>那个可怜的孩子刚从楼梯上摔下来。</v>
      </c>
      <c r="I1303" s="13"/>
      <c r="J1303" s="13" t="str">
        <f ca="1">IFERROR(__xludf.DUMMYFUNCTION("""COMPUTED_VALUE"""),"Đứa trẻ đáng thương đó vừa bị ngã cầu thang.")</f>
        <v>Đứa trẻ đáng thương đó vừa bị ngã cầu thang.</v>
      </c>
      <c r="K1303" s="13" t="str">
        <f ca="1">IFERROR(__xludf.DUMMYFUNCTION("""COMPUTED_VALUE"""),"H4_B20_BG-13.png")</f>
        <v>H4_B20_BG-13.png</v>
      </c>
      <c r="L1303" s="13" t="str">
        <f ca="1">IFERROR(__xludf.DUMMYFUNCTION("""COMPUTED_VALUE"""),"B20_13.mp3")</f>
        <v>B20_13.mp3</v>
      </c>
      <c r="M1303" s="13" t="str">
        <f ca="1">IFERROR(__xludf.DUMMYFUNCTION("""COMPUTED_VALUE"""),"B20_VD_13.mp3")</f>
        <v>B20_VD_13.mp3</v>
      </c>
    </row>
    <row r="1304" spans="1:13">
      <c r="A1304" s="13">
        <f ca="1">IFERROR(__xludf.DUMMYFUNCTION("""COMPUTED_VALUE"""),14)</f>
        <v>14</v>
      </c>
      <c r="B1304" s="13"/>
      <c r="C1304" s="13" t="str">
        <f ca="1">IFERROR(__xludf.DUMMYFUNCTION("""COMPUTED_VALUE"""),"对面")</f>
        <v>对面</v>
      </c>
      <c r="D1304" s="13" t="str">
        <f ca="1">IFERROR(__xludf.DUMMYFUNCTION("""COMPUTED_VALUE"""),"&lt;ruby&gt;对面&lt;rt&gt;duìmiàn&lt;/rt&gt;&lt;/ruby&gt;")</f>
        <v>&lt;ruby&gt;对面&lt;rt&gt;duìmiàn&lt;/rt&gt;&lt;/ruby&gt;</v>
      </c>
      <c r="E1304" s="13" t="str">
        <f ca="1">IFERROR(__xludf.DUMMYFUNCTION("""COMPUTED_VALUE"""),"duìmiàn")</f>
        <v>duìmiàn</v>
      </c>
      <c r="F1304" s="13" t="str">
        <f ca="1">IFERROR(__xludf.DUMMYFUNCTION("""COMPUTED_VALUE"""),"Danh từ")</f>
        <v>Danh từ</v>
      </c>
      <c r="G1304" s="13" t="str">
        <f ca="1">IFERROR(__xludf.DUMMYFUNCTION("""COMPUTED_VALUE"""),"đối diện, trước mặt")</f>
        <v>đối diện, trước mặt</v>
      </c>
      <c r="H1304" s="13" t="str">
        <f ca="1">IFERROR(__xludf.DUMMYFUNCTION("""COMPUTED_VALUE"""),"他们坐在对面。")</f>
        <v>他们坐在对面。</v>
      </c>
      <c r="I1304" s="13"/>
      <c r="J1304" s="13" t="str">
        <f ca="1">IFERROR(__xludf.DUMMYFUNCTION("""COMPUTED_VALUE"""),"Họ ngồi đối diện nhau.")</f>
        <v>Họ ngồi đối diện nhau.</v>
      </c>
      <c r="K1304" s="13" t="str">
        <f ca="1">IFERROR(__xludf.DUMMYFUNCTION("""COMPUTED_VALUE"""),"H4_B20_BG-14.png")</f>
        <v>H4_B20_BG-14.png</v>
      </c>
      <c r="L1304" s="13" t="str">
        <f ca="1">IFERROR(__xludf.DUMMYFUNCTION("""COMPUTED_VALUE"""),"B20_14.mp3")</f>
        <v>B20_14.mp3</v>
      </c>
      <c r="M1304" s="13" t="str">
        <f ca="1">IFERROR(__xludf.DUMMYFUNCTION("""COMPUTED_VALUE"""),"B20_VD_14.mp3")</f>
        <v>B20_VD_14.mp3</v>
      </c>
    </row>
    <row r="1305" spans="1:13">
      <c r="A1305" s="13">
        <f ca="1">IFERROR(__xludf.DUMMYFUNCTION("""COMPUTED_VALUE"""),15)</f>
        <v>15</v>
      </c>
      <c r="B1305" s="13"/>
      <c r="C1305" s="13" t="str">
        <f ca="1">IFERROR(__xludf.DUMMYFUNCTION("""COMPUTED_VALUE"""),"祝贺")</f>
        <v>祝贺</v>
      </c>
      <c r="D1305" s="13" t="str">
        <f ca="1">IFERROR(__xludf.DUMMYFUNCTION("""COMPUTED_VALUE"""),"&lt;ruby&gt;祝贺&lt;rt&gt;zhùhè&lt;/rt&gt;&lt;/ruby&gt;")</f>
        <v>&lt;ruby&gt;祝贺&lt;rt&gt;zhùhè&lt;/rt&gt;&lt;/ruby&gt;</v>
      </c>
      <c r="E1305" s="13" t="str">
        <f ca="1">IFERROR(__xludf.DUMMYFUNCTION("""COMPUTED_VALUE"""),"zhùhè")</f>
        <v>zhùhè</v>
      </c>
      <c r="F1305" s="13" t="str">
        <f ca="1">IFERROR(__xludf.DUMMYFUNCTION("""COMPUTED_VALUE"""),"Động từ")</f>
        <v>Động từ</v>
      </c>
      <c r="G1305" s="13" t="str">
        <f ca="1">IFERROR(__xludf.DUMMYFUNCTION("""COMPUTED_VALUE"""),"chúc mừng")</f>
        <v>chúc mừng</v>
      </c>
      <c r="H1305" s="13" t="str">
        <f ca="1">IFERROR(__xludf.DUMMYFUNCTION("""COMPUTED_VALUE"""),"祝贺你毕业了！")</f>
        <v>祝贺你毕业了！</v>
      </c>
      <c r="I1305" s="13"/>
      <c r="J1305" s="13" t="str">
        <f ca="1">IFERROR(__xludf.DUMMYFUNCTION("""COMPUTED_VALUE"""),"Chúc mừng bạn đã tốt nghiệp!")</f>
        <v>Chúc mừng bạn đã tốt nghiệp!</v>
      </c>
      <c r="K1305" s="13" t="str">
        <f ca="1">IFERROR(__xludf.DUMMYFUNCTION("""COMPUTED_VALUE"""),"H4_B20_BG-15.png")</f>
        <v>H4_B20_BG-15.png</v>
      </c>
      <c r="L1305" s="13" t="str">
        <f ca="1">IFERROR(__xludf.DUMMYFUNCTION("""COMPUTED_VALUE"""),"B20_15.mp3")</f>
        <v>B20_15.mp3</v>
      </c>
      <c r="M1305" s="13" t="str">
        <f ca="1">IFERROR(__xludf.DUMMYFUNCTION("""COMPUTED_VALUE"""),"B20_VD_15.mp3")</f>
        <v>B20_VD_15.mp3</v>
      </c>
    </row>
    <row r="1306" spans="1:13">
      <c r="A1306" s="13">
        <f ca="1">IFERROR(__xludf.DUMMYFUNCTION("""COMPUTED_VALUE"""),16)</f>
        <v>16</v>
      </c>
      <c r="B1306" s="13"/>
      <c r="C1306" s="13" t="str">
        <f ca="1">IFERROR(__xludf.DUMMYFUNCTION("""COMPUTED_VALUE"""),"合格")</f>
        <v>合格</v>
      </c>
      <c r="D1306" s="13" t="str">
        <f ca="1">IFERROR(__xludf.DUMMYFUNCTION("""COMPUTED_VALUE"""),"&lt;ruby&gt;合格&lt;rt&gt;hégé&lt;/rt&gt;&lt;/ruby&gt;")</f>
        <v>&lt;ruby&gt;合格&lt;rt&gt;hégé&lt;/rt&gt;&lt;/ruby&gt;</v>
      </c>
      <c r="E1306" s="13" t="str">
        <f ca="1">IFERROR(__xludf.DUMMYFUNCTION("""COMPUTED_VALUE"""),"hégé")</f>
        <v>hégé</v>
      </c>
      <c r="F1306" s="13" t="str">
        <f ca="1">IFERROR(__xludf.DUMMYFUNCTION("""COMPUTED_VALUE"""),"Tính từ")</f>
        <v>Tính từ</v>
      </c>
      <c r="G1306" s="13" t="str">
        <f ca="1">IFERROR(__xludf.DUMMYFUNCTION("""COMPUTED_VALUE"""),"đạt tiêu chuẩn, đạt yêu cầu")</f>
        <v>đạt tiêu chuẩn, đạt yêu cầu</v>
      </c>
      <c r="H1306" s="13" t="str">
        <f ca="1">IFERROR(__xludf.DUMMYFUNCTION("""COMPUTED_VALUE""")," 这次考试我合格了。")</f>
        <v xml:space="preserve"> 这次考试我合格了。</v>
      </c>
      <c r="I1306" s="13"/>
      <c r="J1306" s="13" t="str">
        <f ca="1">IFERROR(__xludf.DUMMYFUNCTION("""COMPUTED_VALUE"""),"Bài kiểm tra lần này tôi đã đạt tiêu chuẩn.")</f>
        <v>Bài kiểm tra lần này tôi đã đạt tiêu chuẩn.</v>
      </c>
      <c r="K1306" s="13" t="str">
        <f ca="1">IFERROR(__xludf.DUMMYFUNCTION("""COMPUTED_VALUE"""),"H4_B20_BG-16.png")</f>
        <v>H4_B20_BG-16.png</v>
      </c>
      <c r="L1306" s="13" t="str">
        <f ca="1">IFERROR(__xludf.DUMMYFUNCTION("""COMPUTED_VALUE"""),"B20_16.mp3")</f>
        <v>B20_16.mp3</v>
      </c>
      <c r="M1306" s="13" t="str">
        <f ca="1">IFERROR(__xludf.DUMMYFUNCTION("""COMPUTED_VALUE"""),"B20_VD_16.mp3")</f>
        <v>B20_VD_16.mp3</v>
      </c>
    </row>
    <row r="1307" spans="1:13">
      <c r="A1307" s="13">
        <f ca="1">IFERROR(__xludf.DUMMYFUNCTION("""COMPUTED_VALUE"""),17)</f>
        <v>17</v>
      </c>
      <c r="B1307" s="13"/>
      <c r="C1307" s="13" t="str">
        <f ca="1">IFERROR(__xludf.DUMMYFUNCTION("""COMPUTED_VALUE"""),"干杯")</f>
        <v>干杯</v>
      </c>
      <c r="D1307" s="13" t="str">
        <f ca="1">IFERROR(__xludf.DUMMYFUNCTION("""COMPUTED_VALUE"""),"&lt;ruby&gt;干杯&lt;rt&gt;gān bēi&lt;/rt&gt;&lt;/ruby&gt;")</f>
        <v>&lt;ruby&gt;干杯&lt;rt&gt;gān bēi&lt;/rt&gt;&lt;/ruby&gt;</v>
      </c>
      <c r="E1307" s="13" t="str">
        <f ca="1">IFERROR(__xludf.DUMMYFUNCTION("""COMPUTED_VALUE"""),"gān bēi")</f>
        <v>gān bēi</v>
      </c>
      <c r="F1307" s="13" t="str">
        <f ca="1">IFERROR(__xludf.DUMMYFUNCTION("""COMPUTED_VALUE"""),"Động từ")</f>
        <v>Động từ</v>
      </c>
      <c r="G1307" s="13" t="str">
        <f ca="1">IFERROR(__xludf.DUMMYFUNCTION("""COMPUTED_VALUE"""),"cạn ly")</f>
        <v>cạn ly</v>
      </c>
      <c r="H1307" s="13" t="str">
        <f ca="1">IFERROR(__xludf.DUMMYFUNCTION("""COMPUTED_VALUE""")," 我们一起干杯吧！")</f>
        <v xml:space="preserve"> 我们一起干杯吧！</v>
      </c>
      <c r="I1307" s="13"/>
      <c r="J1307" s="13" t="str">
        <f ca="1">IFERROR(__xludf.DUMMYFUNCTION("""COMPUTED_VALUE"""),"Chúng ta cùng nâng ly nhé!")</f>
        <v>Chúng ta cùng nâng ly nhé!</v>
      </c>
      <c r="K1307" s="13" t="str">
        <f ca="1">IFERROR(__xludf.DUMMYFUNCTION("""COMPUTED_VALUE"""),"H4_B20_BG-17.png")</f>
        <v>H4_B20_BG-17.png</v>
      </c>
      <c r="L1307" s="13" t="str">
        <f ca="1">IFERROR(__xludf.DUMMYFUNCTION("""COMPUTED_VALUE"""),"B20_17.mp3")</f>
        <v>B20_17.mp3</v>
      </c>
      <c r="M1307" s="13" t="str">
        <f ca="1">IFERROR(__xludf.DUMMYFUNCTION("""COMPUTED_VALUE"""),"B20_VD_17.mp3")</f>
        <v>B20_VD_17.mp3</v>
      </c>
    </row>
    <row r="1308" spans="1:13">
      <c r="A1308" s="13">
        <f ca="1">IFERROR(__xludf.DUMMYFUNCTION("""COMPUTED_VALUE"""),18)</f>
        <v>18</v>
      </c>
      <c r="B1308" s="13"/>
      <c r="C1308" s="13" t="str">
        <f ca="1">IFERROR(__xludf.DUMMYFUNCTION("""COMPUTED_VALUE"""),"打扮")</f>
        <v>打扮</v>
      </c>
      <c r="D1308" s="13" t="str">
        <f ca="1">IFERROR(__xludf.DUMMYFUNCTION("""COMPUTED_VALUE"""),"&lt;ruby&gt;打扮&lt;rt&gt;dǎbàn&lt;/rt&gt;&lt;/ruby&gt;")</f>
        <v>&lt;ruby&gt;打扮&lt;rt&gt;dǎbàn&lt;/rt&gt;&lt;/ruby&gt;</v>
      </c>
      <c r="E1308" s="13" t="str">
        <f ca="1">IFERROR(__xludf.DUMMYFUNCTION("""COMPUTED_VALUE"""),"dǎbàn")</f>
        <v>dǎbàn</v>
      </c>
      <c r="F1308" s="13" t="str">
        <f ca="1">IFERROR(__xludf.DUMMYFUNCTION("""COMPUTED_VALUE"""),"Động từ")</f>
        <v>Động từ</v>
      </c>
      <c r="G1308" s="13" t="str">
        <f ca="1">IFERROR(__xludf.DUMMYFUNCTION("""COMPUTED_VALUE"""),"trang điểm")</f>
        <v>trang điểm</v>
      </c>
      <c r="H1308" s="13" t="str">
        <f ca="1">IFERROR(__xludf.DUMMYFUNCTION("""COMPUTED_VALUE"""),"她打扮得很漂亮。")</f>
        <v>她打扮得很漂亮。</v>
      </c>
      <c r="I1308" s="13"/>
      <c r="J1308" s="13" t="str">
        <f ca="1">IFERROR(__xludf.DUMMYFUNCTION("""COMPUTED_VALUE"""),"Cô ấy trang điểm lên trông rất xinh.")</f>
        <v>Cô ấy trang điểm lên trông rất xinh.</v>
      </c>
      <c r="K1308" s="13" t="str">
        <f ca="1">IFERROR(__xludf.DUMMYFUNCTION("""COMPUTED_VALUE"""),"H4_B20_BG-18.png")</f>
        <v>H4_B20_BG-18.png</v>
      </c>
      <c r="L1308" s="13" t="str">
        <f ca="1">IFERROR(__xludf.DUMMYFUNCTION("""COMPUTED_VALUE"""),"B20_18.mp3")</f>
        <v>B20_18.mp3</v>
      </c>
      <c r="M1308" s="13" t="str">
        <f ca="1">IFERROR(__xludf.DUMMYFUNCTION("""COMPUTED_VALUE"""),"B20_VD_18.mp3")</f>
        <v>B20_VD_18.mp3</v>
      </c>
    </row>
    <row r="1309" spans="1:13">
      <c r="A1309" s="13">
        <f ca="1">IFERROR(__xludf.DUMMYFUNCTION("""COMPUTED_VALUE"""),19)</f>
        <v>19</v>
      </c>
      <c r="B1309" s="13"/>
      <c r="C1309" s="13" t="str">
        <f ca="1">IFERROR(__xludf.DUMMYFUNCTION("""COMPUTED_VALUE"""),"笑话")</f>
        <v>笑话</v>
      </c>
      <c r="D1309" s="13" t="str">
        <f ca="1">IFERROR(__xludf.DUMMYFUNCTION("""COMPUTED_VALUE"""),"&lt;ruby&gt;笑话&lt;rt&gt;xiàohua&lt;/rt&gt;&lt;/ruby&gt;")</f>
        <v>&lt;ruby&gt;笑话&lt;rt&gt;xiàohua&lt;/rt&gt;&lt;/ruby&gt;</v>
      </c>
      <c r="E1309" s="13" t="str">
        <f ca="1">IFERROR(__xludf.DUMMYFUNCTION("""COMPUTED_VALUE"""),"xiàohua")</f>
        <v>xiàohua</v>
      </c>
      <c r="F1309" s="13" t="str">
        <f ca="1">IFERROR(__xludf.DUMMYFUNCTION("""COMPUTED_VALUE"""),"Danh từ")</f>
        <v>Danh từ</v>
      </c>
      <c r="G1309" s="13" t="str">
        <f ca="1">IFERROR(__xludf.DUMMYFUNCTION("""COMPUTED_VALUE"""),"truyện cười")</f>
        <v>truyện cười</v>
      </c>
      <c r="H1309" s="13" t="str">
        <f ca="1">IFERROR(__xludf.DUMMYFUNCTION("""COMPUTED_VALUE"""),"这个笑话太搞笑了！")</f>
        <v>这个笑话太搞笑了！</v>
      </c>
      <c r="I1309" s="13"/>
      <c r="J1309" s="13" t="str">
        <f ca="1">IFERROR(__xludf.DUMMYFUNCTION("""COMPUTED_VALUE"""),"Trò đùa này buồn cười quá đi mất.")</f>
        <v>Trò đùa này buồn cười quá đi mất.</v>
      </c>
      <c r="K1309" s="13" t="str">
        <f ca="1">IFERROR(__xludf.DUMMYFUNCTION("""COMPUTED_VALUE"""),"H4_B20_BG-19.png")</f>
        <v>H4_B20_BG-19.png</v>
      </c>
      <c r="L1309" s="13" t="str">
        <f ca="1">IFERROR(__xludf.DUMMYFUNCTION("""COMPUTED_VALUE"""),"B20_19.mp3")</f>
        <v>B20_19.mp3</v>
      </c>
      <c r="M1309" s="13" t="str">
        <f ca="1">IFERROR(__xludf.DUMMYFUNCTION("""COMPUTED_VALUE"""),"B20_VD_19.mp3")</f>
        <v>B20_VD_19.mp3</v>
      </c>
    </row>
    <row r="1310" spans="1:13">
      <c r="A1310" s="13">
        <f ca="1">IFERROR(__xludf.DUMMYFUNCTION("""COMPUTED_VALUE"""),20)</f>
        <v>20</v>
      </c>
      <c r="B1310" s="13"/>
      <c r="C1310" s="13" t="str">
        <f ca="1">IFERROR(__xludf.DUMMYFUNCTION("""COMPUTED_VALUE"""),"存")</f>
        <v>存</v>
      </c>
      <c r="D1310" s="13" t="str">
        <f ca="1">IFERROR(__xludf.DUMMYFUNCTION("""COMPUTED_VALUE"""),"&lt;ruby&gt;存&lt;rt&gt;cún&lt;/rt&gt;&lt;/ruby&gt;")</f>
        <v>&lt;ruby&gt;存&lt;rt&gt;cún&lt;/rt&gt;&lt;/ruby&gt;</v>
      </c>
      <c r="E1310" s="13" t="str">
        <f ca="1">IFERROR(__xludf.DUMMYFUNCTION("""COMPUTED_VALUE"""),"cún")</f>
        <v>cún</v>
      </c>
      <c r="F1310" s="13" t="str">
        <f ca="1">IFERROR(__xludf.DUMMYFUNCTION("""COMPUTED_VALUE"""),"Động từ")</f>
        <v>Động từ</v>
      </c>
      <c r="G1310" s="13" t="str">
        <f ca="1">IFERROR(__xludf.DUMMYFUNCTION("""COMPUTED_VALUE"""),"gửi")</f>
        <v>gửi</v>
      </c>
      <c r="H1310" s="13" t="str">
        <f ca="1">IFERROR(__xludf.DUMMYFUNCTION("""COMPUTED_VALUE"""),"你可以在这里存硬币。")</f>
        <v>你可以在这里存硬币。</v>
      </c>
      <c r="I1310" s="13"/>
      <c r="J1310" s="13" t="str">
        <f ca="1">IFERROR(__xludf.DUMMYFUNCTION("""COMPUTED_VALUE"""),"Bạn có thể gửi tiền xu ở đây.")</f>
        <v>Bạn có thể gửi tiền xu ở đây.</v>
      </c>
      <c r="K1310" s="13" t="str">
        <f ca="1">IFERROR(__xludf.DUMMYFUNCTION("""COMPUTED_VALUE"""),"H4_B20_BG-20.png")</f>
        <v>H4_B20_BG-20.png</v>
      </c>
      <c r="L1310" s="13" t="str">
        <f ca="1">IFERROR(__xludf.DUMMYFUNCTION("""COMPUTED_VALUE"""),"B20_20.mp3")</f>
        <v>B20_20.mp3</v>
      </c>
      <c r="M1310" s="13" t="str">
        <f ca="1">IFERROR(__xludf.DUMMYFUNCTION("""COMPUTED_VALUE"""),"B20_VD_20.mp3")</f>
        <v>B20_VD_20.mp3</v>
      </c>
    </row>
    <row r="1311" spans="1:13">
      <c r="A1311" s="13">
        <f ca="1">IFERROR(__xludf.DUMMYFUNCTION("""COMPUTED_VALUE"""),21)</f>
        <v>21</v>
      </c>
      <c r="B1311" s="13"/>
      <c r="C1311" s="13" t="str">
        <f ca="1">IFERROR(__xludf.DUMMYFUNCTION("""COMPUTED_VALUE"""),"钥匙")</f>
        <v>钥匙</v>
      </c>
      <c r="D1311" s="13" t="str">
        <f ca="1">IFERROR(__xludf.DUMMYFUNCTION("""COMPUTED_VALUE"""),"&lt;ruby&gt;钥匙&lt;rt&gt;yàoshi&lt;/rt&gt;&lt;/ruby&gt;")</f>
        <v>&lt;ruby&gt;钥匙&lt;rt&gt;yàoshi&lt;/rt&gt;&lt;/ruby&gt;</v>
      </c>
      <c r="E1311" s="13" t="str">
        <f ca="1">IFERROR(__xludf.DUMMYFUNCTION("""COMPUTED_VALUE"""),"yàoshi")</f>
        <v>yàoshi</v>
      </c>
      <c r="F1311" s="13" t="str">
        <f ca="1">IFERROR(__xludf.DUMMYFUNCTION("""COMPUTED_VALUE"""),"Danh từ")</f>
        <v>Danh từ</v>
      </c>
      <c r="G1311" s="13" t="str">
        <f ca="1">IFERROR(__xludf.DUMMYFUNCTION("""COMPUTED_VALUE"""),"chìa khóa")</f>
        <v>chìa khóa</v>
      </c>
      <c r="H1311" s="13" t="str">
        <f ca="1">IFERROR(__xludf.DUMMYFUNCTION("""COMPUTED_VALUE""")," 这是我家的钥匙。")</f>
        <v xml:space="preserve"> 这是我家的钥匙。</v>
      </c>
      <c r="I1311" s="13"/>
      <c r="J1311" s="13" t="str">
        <f ca="1">IFERROR(__xludf.DUMMYFUNCTION("""COMPUTED_VALUE"""),"Đây là chìa khóa nhà tôi.")</f>
        <v>Đây là chìa khóa nhà tôi.</v>
      </c>
      <c r="K1311" s="13" t="str">
        <f ca="1">IFERROR(__xludf.DUMMYFUNCTION("""COMPUTED_VALUE"""),"H4_B20_BG-21.png")</f>
        <v>H4_B20_BG-21.png</v>
      </c>
      <c r="L1311" s="13" t="str">
        <f ca="1">IFERROR(__xludf.DUMMYFUNCTION("""COMPUTED_VALUE"""),"B20_21.mp3")</f>
        <v>B20_21.mp3</v>
      </c>
      <c r="M1311" s="13" t="str">
        <f ca="1">IFERROR(__xludf.DUMMYFUNCTION("""COMPUTED_VALUE"""),"B20_VD_21.mp3")</f>
        <v>B20_VD_21.mp3</v>
      </c>
    </row>
    <row r="1312" spans="1:13">
      <c r="A1312" s="13">
        <f ca="1">IFERROR(__xludf.DUMMYFUNCTION("""COMPUTED_VALUE"""),22)</f>
        <v>22</v>
      </c>
      <c r="B1312" s="13"/>
      <c r="C1312" s="13" t="str">
        <f ca="1">IFERROR(__xludf.DUMMYFUNCTION("""COMPUTED_VALUE"""),"究竟")</f>
        <v>究竟</v>
      </c>
      <c r="D1312" s="13" t="str">
        <f ca="1">IFERROR(__xludf.DUMMYFUNCTION("""COMPUTED_VALUE"""),"&lt;ruby&gt;究竟&lt;rt&gt;jiūjìng&lt;/rt&gt;&lt;/ruby&gt;")</f>
        <v>&lt;ruby&gt;究竟&lt;rt&gt;jiūjìng&lt;/rt&gt;&lt;/ruby&gt;</v>
      </c>
      <c r="E1312" s="13" t="str">
        <f ca="1">IFERROR(__xludf.DUMMYFUNCTION("""COMPUTED_VALUE"""),"jiūjìng")</f>
        <v>jiūjìng</v>
      </c>
      <c r="F1312" s="13" t="str">
        <f ca="1">IFERROR(__xludf.DUMMYFUNCTION("""COMPUTED_VALUE"""),"Phó từ")</f>
        <v>Phó từ</v>
      </c>
      <c r="G1312" s="13" t="str">
        <f ca="1">IFERROR(__xludf.DUMMYFUNCTION("""COMPUTED_VALUE"""),"(được dùng trong câu hỏi để nhấn mạnh) rốt cuộc")</f>
        <v>(được dùng trong câu hỏi để nhấn mạnh) rốt cuộc</v>
      </c>
      <c r="H1312" s="13" t="str">
        <f ca="1">IFERROR(__xludf.DUMMYFUNCTION("""COMPUTED_VALUE""")," 究竟该走哪条路？")</f>
        <v xml:space="preserve"> 究竟该走哪条路？</v>
      </c>
      <c r="I1312" s="13"/>
      <c r="J1312" s="13" t="str">
        <f ca="1">IFERROR(__xludf.DUMMYFUNCTION("""COMPUTED_VALUE"""),"Rốt cuộc nên đi theo con đường nào?")</f>
        <v>Rốt cuộc nên đi theo con đường nào?</v>
      </c>
      <c r="K1312" s="13" t="str">
        <f ca="1">IFERROR(__xludf.DUMMYFUNCTION("""COMPUTED_VALUE"""),"H4_B20_BG-22.png")</f>
        <v>H4_B20_BG-22.png</v>
      </c>
      <c r="L1312" s="13" t="str">
        <f ca="1">IFERROR(__xludf.DUMMYFUNCTION("""COMPUTED_VALUE"""),"B20_22.mp3")</f>
        <v>B20_22.mp3</v>
      </c>
      <c r="M1312" s="13" t="str">
        <f ca="1">IFERROR(__xludf.DUMMYFUNCTION("""COMPUTED_VALUE"""),"B20_VD_22.mp3")</f>
        <v>B20_VD_22.mp3</v>
      </c>
    </row>
    <row r="1313" spans="1:13">
      <c r="A1313" s="13">
        <f ca="1">IFERROR(__xludf.DUMMYFUNCTION("""COMPUTED_VALUE"""),23)</f>
        <v>23</v>
      </c>
      <c r="B1313" s="13"/>
      <c r="C1313" s="13" t="str">
        <f ca="1">IFERROR(__xludf.DUMMYFUNCTION("""COMPUTED_VALUE"""),"烤鸭")</f>
        <v>烤鸭</v>
      </c>
      <c r="D1313" s="13" t="str">
        <f ca="1">IFERROR(__xludf.DUMMYFUNCTION("""COMPUTED_VALUE"""),"&lt;ruby&gt;烤鸭&lt;rt&gt;kǎoyā&lt;/rt&gt;&lt;/ruby&gt;")</f>
        <v>&lt;ruby&gt;烤鸭&lt;rt&gt;kǎoyā&lt;/rt&gt;&lt;/ruby&gt;</v>
      </c>
      <c r="E1313" s="13" t="str">
        <f ca="1">IFERROR(__xludf.DUMMYFUNCTION("""COMPUTED_VALUE"""),"kǎoyā")</f>
        <v>kǎoyā</v>
      </c>
      <c r="F1313" s="13" t="str">
        <f ca="1">IFERROR(__xludf.DUMMYFUNCTION("""COMPUTED_VALUE"""),"Danh từ")</f>
        <v>Danh từ</v>
      </c>
      <c r="G1313" s="13" t="str">
        <f ca="1">IFERROR(__xludf.DUMMYFUNCTION("""COMPUTED_VALUE"""),"vịt quay")</f>
        <v>vịt quay</v>
      </c>
      <c r="H1313" s="13" t="str">
        <f ca="1">IFERROR(__xludf.DUMMYFUNCTION("""COMPUTED_VALUE"""),"北京烤鸭特别好吃。")</f>
        <v>北京烤鸭特别好吃。</v>
      </c>
      <c r="I1313" s="13"/>
      <c r="J1313" s="13" t="str">
        <f ca="1">IFERROR(__xludf.DUMMYFUNCTION("""COMPUTED_VALUE"""),"Món vịt quay Bắc Kinh cực kỳ ngon.")</f>
        <v>Món vịt quay Bắc Kinh cực kỳ ngon.</v>
      </c>
      <c r="K1313" s="13" t="str">
        <f ca="1">IFERROR(__xludf.DUMMYFUNCTION("""COMPUTED_VALUE"""),"H4_B20_BG-23.png")</f>
        <v>H4_B20_BG-23.png</v>
      </c>
      <c r="L1313" s="13" t="str">
        <f ca="1">IFERROR(__xludf.DUMMYFUNCTION("""COMPUTED_VALUE"""),"B20_23.mp3")</f>
        <v>B20_23.mp3</v>
      </c>
      <c r="M1313" s="13" t="str">
        <f ca="1">IFERROR(__xludf.DUMMYFUNCTION("""COMPUTED_VALUE"""),"B20_VD_23.mp3")</f>
        <v>B20_VD_23.mp3</v>
      </c>
    </row>
    <row r="1314" spans="1:13">
      <c r="A1314" s="13">
        <f ca="1">IFERROR(__xludf.DUMMYFUNCTION("""COMPUTED_VALUE"""),24)</f>
        <v>24</v>
      </c>
      <c r="B1314" s="13"/>
      <c r="C1314" s="13" t="str">
        <f ca="1">IFERROR(__xludf.DUMMYFUNCTION("""COMPUTED_VALUE"""),"棵")</f>
        <v>棵</v>
      </c>
      <c r="D1314" s="13" t="str">
        <f ca="1">IFERROR(__xludf.DUMMYFUNCTION("""COMPUTED_VALUE"""),"&lt;ruby&gt;棵&lt;rt&gt;kē&lt;/rt&gt;&lt;/ruby&gt;")</f>
        <v>&lt;ruby&gt;棵&lt;rt&gt;kē&lt;/rt&gt;&lt;/ruby&gt;</v>
      </c>
      <c r="E1314" s="13" t="str">
        <f ca="1">IFERROR(__xludf.DUMMYFUNCTION("""COMPUTED_VALUE"""),"kē")</f>
        <v>kē</v>
      </c>
      <c r="F1314" s="13" t="str">
        <f ca="1">IFERROR(__xludf.DUMMYFUNCTION("""COMPUTED_VALUE"""),"Lượng từ")</f>
        <v>Lượng từ</v>
      </c>
      <c r="G1314" s="13" t="str">
        <f ca="1">IFERROR(__xludf.DUMMYFUNCTION("""COMPUTED_VALUE"""),"(được dùng cho thực vật) cây, ngọn")</f>
        <v>(được dùng cho thực vật) cây, ngọn</v>
      </c>
      <c r="H1314" s="13" t="str">
        <f ca="1">IFERROR(__xludf.DUMMYFUNCTION("""COMPUTED_VALUE"""),"我家院子里有几棵苹果树。")</f>
        <v>我家院子里有几棵苹果树。</v>
      </c>
      <c r="I1314" s="13"/>
      <c r="J1314" s="13" t="str">
        <f ca="1">IFERROR(__xludf.DUMMYFUNCTION("""COMPUTED_VALUE"""),"Trong sân nhà tôi có vài cây táo.")</f>
        <v>Trong sân nhà tôi có vài cây táo.</v>
      </c>
      <c r="K1314" s="13" t="str">
        <f ca="1">IFERROR(__xludf.DUMMYFUNCTION("""COMPUTED_VALUE"""),"H4_B20_BG-24.png")</f>
        <v>H4_B20_BG-24.png</v>
      </c>
      <c r="L1314" s="13" t="str">
        <f ca="1">IFERROR(__xludf.DUMMYFUNCTION("""COMPUTED_VALUE"""),"B20_24.mp3")</f>
        <v>B20_24.mp3</v>
      </c>
      <c r="M1314" s="13" t="str">
        <f ca="1">IFERROR(__xludf.DUMMYFUNCTION("""COMPUTED_VALUE"""),"B20_VD_24.mp3")</f>
        <v>B20_VD_24.mp3</v>
      </c>
    </row>
    <row r="1315" spans="1:13">
      <c r="A1315" s="13">
        <f ca="1">IFERROR(__xludf.DUMMYFUNCTION("""COMPUTED_VALUE"""),25)</f>
        <v>25</v>
      </c>
      <c r="B1315" s="13"/>
      <c r="C1315" s="13" t="str">
        <f ca="1">IFERROR(__xludf.DUMMYFUNCTION("""COMPUTED_VALUE"""),"汤")</f>
        <v>汤</v>
      </c>
      <c r="D1315" s="13" t="str">
        <f ca="1">IFERROR(__xludf.DUMMYFUNCTION("""COMPUTED_VALUE"""),"&lt;ruby&gt;汤&lt;rt&gt;tāng&lt;/rt&gt;&lt;/ruby&gt;")</f>
        <v>&lt;ruby&gt;汤&lt;rt&gt;tāng&lt;/rt&gt;&lt;/ruby&gt;</v>
      </c>
      <c r="E1315" s="13" t="str">
        <f ca="1">IFERROR(__xludf.DUMMYFUNCTION("""COMPUTED_VALUE"""),"tāng")</f>
        <v>tāng</v>
      </c>
      <c r="F1315" s="13" t="str">
        <f ca="1">IFERROR(__xludf.DUMMYFUNCTION("""COMPUTED_VALUE"""),"Danh từ")</f>
        <v>Danh từ</v>
      </c>
      <c r="G1315" s="13" t="str">
        <f ca="1">IFERROR(__xludf.DUMMYFUNCTION("""COMPUTED_VALUE"""),"canh, súp")</f>
        <v>canh, súp</v>
      </c>
      <c r="H1315" s="13" t="str">
        <f ca="1">IFERROR(__xludf.DUMMYFUNCTION("""COMPUTED_VALUE"""),"今天喝冬瓜汤。")</f>
        <v>今天喝冬瓜汤。</v>
      </c>
      <c r="I1315" s="13"/>
      <c r="J1315" s="13" t="str">
        <f ca="1">IFERROR(__xludf.DUMMYFUNCTION("""COMPUTED_VALUE"""),"Hôm nay ăn canh bí đao.")</f>
        <v>Hôm nay ăn canh bí đao.</v>
      </c>
      <c r="K1315" s="13" t="str">
        <f ca="1">IFERROR(__xludf.DUMMYFUNCTION("""COMPUTED_VALUE"""),"H4_B20_BG-25.png")</f>
        <v>H4_B20_BG-25.png</v>
      </c>
      <c r="L1315" s="13" t="str">
        <f ca="1">IFERROR(__xludf.DUMMYFUNCTION("""COMPUTED_VALUE"""),"B20_25.mp3")</f>
        <v>B20_25.mp3</v>
      </c>
      <c r="M1315" s="13" t="str">
        <f ca="1">IFERROR(__xludf.DUMMYFUNCTION("""COMPUTED_VALUE"""),"B20_VD_25.mp3")</f>
        <v>B20_VD_25.mp3</v>
      </c>
    </row>
    <row r="1316" spans="1:13">
      <c r="A1316" s="13">
        <f ca="1">IFERROR(__xludf.DUMMYFUNCTION("""COMPUTED_VALUE"""),26)</f>
        <v>26</v>
      </c>
      <c r="B1316" s="13"/>
      <c r="C1316" s="13" t="str">
        <f ca="1">IFERROR(__xludf.DUMMYFUNCTION("""COMPUTED_VALUE"""),"小吃")</f>
        <v>小吃</v>
      </c>
      <c r="D1316" s="13" t="str">
        <f ca="1">IFERROR(__xludf.DUMMYFUNCTION("""COMPUTED_VALUE"""),"&lt;ruby&gt;小吃&lt;rt&gt;xiǎochī&lt;/rt&gt;&lt;/ruby&gt;")</f>
        <v>&lt;ruby&gt;小吃&lt;rt&gt;xiǎochī&lt;/rt&gt;&lt;/ruby&gt;</v>
      </c>
      <c r="E1316" s="13" t="str">
        <f ca="1">IFERROR(__xludf.DUMMYFUNCTION("""COMPUTED_VALUE"""),"xiǎochī")</f>
        <v>xiǎochī</v>
      </c>
      <c r="F1316" s="13" t="str">
        <f ca="1">IFERROR(__xludf.DUMMYFUNCTION("""COMPUTED_VALUE"""),"Danh từ")</f>
        <v>Danh từ</v>
      </c>
      <c r="G1316" s="13" t="str">
        <f ca="1">IFERROR(__xludf.DUMMYFUNCTION("""COMPUTED_VALUE"""),"món ăn vặt")</f>
        <v>món ăn vặt</v>
      </c>
      <c r="H1316" s="13" t="str">
        <f ca="1">IFERROR(__xludf.DUMMYFUNCTION("""COMPUTED_VALUE"""),"我最喜欢的街头小吃是炸鸡块。")</f>
        <v>我最喜欢的街头小吃是炸鸡块。</v>
      </c>
      <c r="I1316" s="13"/>
      <c r="J1316" s="13" t="str">
        <f ca="1">IFERROR(__xludf.DUMMYFUNCTION("""COMPUTED_VALUE"""),"Món ăn vặt mà tôi thích nhất là gà viên chiên.")</f>
        <v>Món ăn vặt mà tôi thích nhất là gà viên chiên.</v>
      </c>
      <c r="K1316" s="13" t="str">
        <f ca="1">IFERROR(__xludf.DUMMYFUNCTION("""COMPUTED_VALUE"""),"H4_B20_BG-26.png")</f>
        <v>H4_B20_BG-26.png</v>
      </c>
      <c r="L1316" s="13" t="str">
        <f ca="1">IFERROR(__xludf.DUMMYFUNCTION("""COMPUTED_VALUE"""),"B20_26.mp3")</f>
        <v>B20_26.mp3</v>
      </c>
      <c r="M1316" s="13" t="str">
        <f ca="1">IFERROR(__xludf.DUMMYFUNCTION("""COMPUTED_VALUE"""),"B20_VD_26.mp3")</f>
        <v>B20_VD_26.mp3</v>
      </c>
    </row>
    <row r="1317" spans="1:13">
      <c r="A1317" s="13">
        <f ca="1">IFERROR(__xludf.DUMMYFUNCTION("""COMPUTED_VALUE"""),27)</f>
        <v>27</v>
      </c>
      <c r="B1317" s="13"/>
      <c r="C1317" s="13" t="str">
        <f ca="1">IFERROR(__xludf.DUMMYFUNCTION("""COMPUTED_VALUE"""),"收拾")</f>
        <v>收拾</v>
      </c>
      <c r="D1317" s="13" t="str">
        <f ca="1">IFERROR(__xludf.DUMMYFUNCTION("""COMPUTED_VALUE"""),"&lt;ruby&gt;收拾&lt;rt&gt;shōushi&lt;/rt&gt;&lt;/ruby&gt;")</f>
        <v>&lt;ruby&gt;收拾&lt;rt&gt;shōushi&lt;/rt&gt;&lt;/ruby&gt;</v>
      </c>
      <c r="E1317" s="13" t="str">
        <f ca="1">IFERROR(__xludf.DUMMYFUNCTION("""COMPUTED_VALUE"""),"shōushi")</f>
        <v>shōushi</v>
      </c>
      <c r="F1317" s="13" t="str">
        <f ca="1">IFERROR(__xludf.DUMMYFUNCTION("""COMPUTED_VALUE"""),"Động từ")</f>
        <v>Động từ</v>
      </c>
      <c r="G1317" s="13" t="str">
        <f ca="1">IFERROR(__xludf.DUMMYFUNCTION("""COMPUTED_VALUE"""),"thu dọn, thu xếp")</f>
        <v>thu dọn, thu xếp</v>
      </c>
      <c r="H1317" s="13" t="str">
        <f ca="1">IFERROR(__xludf.DUMMYFUNCTION("""COMPUTED_VALUE""")," 我们已经把这些塑料瓶收拾干净了。")</f>
        <v xml:space="preserve"> 我们已经把这些塑料瓶收拾干净了。</v>
      </c>
      <c r="I1317" s="13"/>
      <c r="J1317" s="13" t="str">
        <f ca="1">IFERROR(__xludf.DUMMYFUNCTION("""COMPUTED_VALUE"""),"Chúng tôi đã dọn dẹp hết chỗ chai nhựa này rồi.")</f>
        <v>Chúng tôi đã dọn dẹp hết chỗ chai nhựa này rồi.</v>
      </c>
      <c r="K1317" s="13" t="str">
        <f ca="1">IFERROR(__xludf.DUMMYFUNCTION("""COMPUTED_VALUE"""),"H4_B20_BG-27.png")</f>
        <v>H4_B20_BG-27.png</v>
      </c>
      <c r="L1317" s="13" t="str">
        <f ca="1">IFERROR(__xludf.DUMMYFUNCTION("""COMPUTED_VALUE"""),"B20_27.mp3")</f>
        <v>B20_27.mp3</v>
      </c>
      <c r="M1317" s="13" t="str">
        <f ca="1">IFERROR(__xludf.DUMMYFUNCTION("""COMPUTED_VALUE"""),"B20_VD_27.mp3")</f>
        <v>B20_VD_27.mp3</v>
      </c>
    </row>
    <row r="1318" spans="1:13">
      <c r="A1318" s="13">
        <f ca="1">IFERROR(__xludf.DUMMYFUNCTION("""COMPUTED_VALUE"""),28)</f>
        <v>28</v>
      </c>
      <c r="B1318" s="13"/>
      <c r="C1318" s="13" t="str">
        <f ca="1">IFERROR(__xludf.DUMMYFUNCTION("""COMPUTED_VALUE"""),"辣")</f>
        <v>辣</v>
      </c>
      <c r="D1318" s="13" t="str">
        <f ca="1">IFERROR(__xludf.DUMMYFUNCTION("""COMPUTED_VALUE"""),"&lt;ruby&gt;辣&lt;rt&gt;là&lt;/rt&gt;&lt;/ruby&gt;")</f>
        <v>&lt;ruby&gt;辣&lt;rt&gt;là&lt;/rt&gt;&lt;/ruby&gt;</v>
      </c>
      <c r="E1318" s="13" t="str">
        <f ca="1">IFERROR(__xludf.DUMMYFUNCTION("""COMPUTED_VALUE"""),"là")</f>
        <v>là</v>
      </c>
      <c r="F1318" s="13" t="str">
        <f ca="1">IFERROR(__xludf.DUMMYFUNCTION("""COMPUTED_VALUE"""),"Tính từ")</f>
        <v>Tính từ</v>
      </c>
      <c r="G1318" s="13" t="str">
        <f ca="1">IFERROR(__xludf.DUMMYFUNCTION("""COMPUTED_VALUE"""),"cay")</f>
        <v>cay</v>
      </c>
      <c r="H1318" s="13" t="str">
        <f ca="1">IFERROR(__xludf.DUMMYFUNCTION("""COMPUTED_VALUE"""),"这道菜太辣了。")</f>
        <v>这道菜太辣了。</v>
      </c>
      <c r="I1318" s="13"/>
      <c r="J1318" s="13" t="str">
        <f ca="1">IFERROR(__xludf.DUMMYFUNCTION("""COMPUTED_VALUE"""),"Món ăn này cay quá.")</f>
        <v>Món ăn này cay quá.</v>
      </c>
      <c r="K1318" s="13" t="str">
        <f ca="1">IFERROR(__xludf.DUMMYFUNCTION("""COMPUTED_VALUE"""),"H4_B20_BG-28.png")</f>
        <v>H4_B20_BG-28.png</v>
      </c>
      <c r="L1318" s="13" t="str">
        <f ca="1">IFERROR(__xludf.DUMMYFUNCTION("""COMPUTED_VALUE"""),"B20_28.mp3")</f>
        <v>B20_28.mp3</v>
      </c>
      <c r="M1318" s="13" t="str">
        <f ca="1">IFERROR(__xludf.DUMMYFUNCTION("""COMPUTED_VALUE"""),"B20_VD_28.mp3")</f>
        <v>B20_VD_28.mp3</v>
      </c>
    </row>
    <row r="1319" spans="1:13">
      <c r="A1319" s="13">
        <f ca="1">IFERROR(__xludf.DUMMYFUNCTION("""COMPUTED_VALUE"""),29)</f>
        <v>29</v>
      </c>
      <c r="B1319" s="13"/>
      <c r="C1319" s="13" t="str">
        <f ca="1">IFERROR(__xludf.DUMMYFUNCTION("""COMPUTED_VALUE"""),"香")</f>
        <v>香</v>
      </c>
      <c r="D1319" s="13" t="str">
        <f ca="1">IFERROR(__xludf.DUMMYFUNCTION("""COMPUTED_VALUE"""),"&lt;ruby&gt;香&lt;rt&gt;xiāng&lt;/rt&gt;&lt;/ruby&gt;")</f>
        <v>&lt;ruby&gt;香&lt;rt&gt;xiāng&lt;/rt&gt;&lt;/ruby&gt;</v>
      </c>
      <c r="E1319" s="13" t="str">
        <f ca="1">IFERROR(__xludf.DUMMYFUNCTION("""COMPUTED_VALUE"""),"xiāng")</f>
        <v>xiāng</v>
      </c>
      <c r="F1319" s="13" t="str">
        <f ca="1">IFERROR(__xludf.DUMMYFUNCTION("""COMPUTED_VALUE"""),"Tính từ")</f>
        <v>Tính từ</v>
      </c>
      <c r="G1319" s="13" t="str">
        <f ca="1">IFERROR(__xludf.DUMMYFUNCTION("""COMPUTED_VALUE"""),"thơm")</f>
        <v>thơm</v>
      </c>
      <c r="H1319" s="13" t="str">
        <f ca="1">IFERROR(__xludf.DUMMYFUNCTION("""COMPUTED_VALUE""")," 这道清蒸龙虾真香。")</f>
        <v xml:space="preserve"> 这道清蒸龙虾真香。</v>
      </c>
      <c r="I1319" s="13"/>
      <c r="J1319" s="13" t="str">
        <f ca="1">IFERROR(__xludf.DUMMYFUNCTION("""COMPUTED_VALUE"""),"Món tôm hùm hấp này thật là thơm.")</f>
        <v>Món tôm hùm hấp này thật là thơm.</v>
      </c>
      <c r="K1319" s="13" t="str">
        <f ca="1">IFERROR(__xludf.DUMMYFUNCTION("""COMPUTED_VALUE"""),"H4_B20_BG-29.png")</f>
        <v>H4_B20_BG-29.png</v>
      </c>
      <c r="L1319" s="13" t="str">
        <f ca="1">IFERROR(__xludf.DUMMYFUNCTION("""COMPUTED_VALUE"""),"B20_29.mp3")</f>
        <v>B20_29.mp3</v>
      </c>
      <c r="M1319" s="13" t="str">
        <f ca="1">IFERROR(__xludf.DUMMYFUNCTION("""COMPUTED_VALUE"""),"B20_VD_29.mp3")</f>
        <v>B20_VD_29.mp3</v>
      </c>
    </row>
    <row r="1320" spans="1:13">
      <c r="A1320" s="13">
        <f ca="1">IFERROR(__xludf.DUMMYFUNCTION("""COMPUTED_VALUE"""),30)</f>
        <v>30</v>
      </c>
      <c r="B1320" s="13"/>
      <c r="C1320" s="13" t="str">
        <f ca="1">IFERROR(__xludf.DUMMYFUNCTION("""COMPUTED_VALUE"""),"酸")</f>
        <v>酸</v>
      </c>
      <c r="D1320" s="13" t="str">
        <f ca="1">IFERROR(__xludf.DUMMYFUNCTION("""COMPUTED_VALUE"""),"&lt;ruby&gt;酸&lt;rt&gt;suān&lt;/rt&gt;&lt;/ruby&gt;")</f>
        <v>&lt;ruby&gt;酸&lt;rt&gt;suān&lt;/rt&gt;&lt;/ruby&gt;</v>
      </c>
      <c r="E1320" s="13" t="str">
        <f ca="1">IFERROR(__xludf.DUMMYFUNCTION("""COMPUTED_VALUE"""),"suān")</f>
        <v>suān</v>
      </c>
      <c r="F1320" s="13" t="str">
        <f ca="1">IFERROR(__xludf.DUMMYFUNCTION("""COMPUTED_VALUE"""),"Tính từ")</f>
        <v>Tính từ</v>
      </c>
      <c r="G1320" s="13" t="str">
        <f ca="1">IFERROR(__xludf.DUMMYFUNCTION("""COMPUTED_VALUE"""),"chua")</f>
        <v>chua</v>
      </c>
      <c r="H1320" s="13" t="str">
        <f ca="1">IFERROR(__xludf.DUMMYFUNCTION("""COMPUTED_VALUE"""),"这颗杨桃好酸。")</f>
        <v>这颗杨桃好酸。</v>
      </c>
      <c r="I1320" s="13"/>
      <c r="J1320" s="13" t="str">
        <f ca="1">IFERROR(__xludf.DUMMYFUNCTION("""COMPUTED_VALUE"""),"Quả khế này rất chua.")</f>
        <v>Quả khế này rất chua.</v>
      </c>
      <c r="K1320" s="13" t="str">
        <f ca="1">IFERROR(__xludf.DUMMYFUNCTION("""COMPUTED_VALUE"""),"H4_B20_BG-30.png")</f>
        <v>H4_B20_BG-30.png</v>
      </c>
      <c r="L1320" s="13" t="str">
        <f ca="1">IFERROR(__xludf.DUMMYFUNCTION("""COMPUTED_VALUE"""),"B20_30.mp3")</f>
        <v>B20_30.mp3</v>
      </c>
      <c r="M1320" s="13" t="str">
        <f ca="1">IFERROR(__xludf.DUMMYFUNCTION("""COMPUTED_VALUE"""),"B20_VD_30.mp3")</f>
        <v>B20_VD_30.mp3</v>
      </c>
    </row>
    <row r="1321" spans="1:13">
      <c r="A1321" s="13"/>
      <c r="B1321" s="13" t="str">
        <f ca="1">IFERROR(__xludf.DUMMYFUNCTION("""COMPUTED_VALUE"""),"Tên chủ đề")</f>
        <v>Tên chủ đề</v>
      </c>
      <c r="C1321" s="13" t="str">
        <f ca="1">IFERROR(__xludf.DUMMYFUNCTION("""COMPUTED_VALUE"""),"Từ vựng")</f>
        <v>Từ vựng</v>
      </c>
      <c r="D1321" s="13" t="str">
        <f ca="1">IFERROR(__xludf.DUMMYFUNCTION("""COMPUTED_VALUE"""),"HTML")</f>
        <v>HTML</v>
      </c>
      <c r="E1321" s="13" t="str">
        <f ca="1">IFERROR(__xludf.DUMMYFUNCTION("""COMPUTED_VALUE"""),"Phiên âm")</f>
        <v>Phiên âm</v>
      </c>
      <c r="F1321" s="13" t="str">
        <f ca="1">IFERROR(__xludf.DUMMYFUNCTION("""COMPUTED_VALUE"""),"Loại từ")</f>
        <v>Loại từ</v>
      </c>
      <c r="G1321" s="13" t="str">
        <f ca="1">IFERROR(__xludf.DUMMYFUNCTION("""COMPUTED_VALUE"""),"Nghĩa")</f>
        <v>Nghĩa</v>
      </c>
      <c r="H1321" s="13" t="str">
        <f ca="1">IFERROR(__xludf.DUMMYFUNCTION("""COMPUTED_VALUE"""),"Ví dụ")</f>
        <v>Ví dụ</v>
      </c>
      <c r="I1321" s="13" t="str">
        <f ca="1">IFERROR(__xludf.DUMMYFUNCTION("""COMPUTED_VALUE"""),"Pinyin")</f>
        <v>Pinyin</v>
      </c>
      <c r="J1321" s="13" t="str">
        <f ca="1">IFERROR(__xludf.DUMMYFUNCTION("""COMPUTED_VALUE"""),"Nghĩa ví dụ")</f>
        <v>Nghĩa ví dụ</v>
      </c>
      <c r="K1321" s="13" t="str">
        <f ca="1">IFERROR(__xludf.DUMMYFUNCTION("""COMPUTED_VALUE"""),"Tên ảnh/Gif flashcard")</f>
        <v>Tên ảnh/Gif flashcard</v>
      </c>
      <c r="L1321" s="13" t="str">
        <f ca="1">IFERROR(__xludf.DUMMYFUNCTION("""COMPUTED_VALUE"""),"Tên audio từ vựng")</f>
        <v>Tên audio từ vựng</v>
      </c>
      <c r="M1321" s="13" t="str">
        <f ca="1">IFERROR(__xludf.DUMMYFUNCTION("""COMPUTED_VALUE"""),"Tên audio ví dụ")</f>
        <v>Tên audio ví dụ</v>
      </c>
    </row>
    <row r="1322" spans="1:13">
      <c r="A1322" s="13">
        <f ca="1">IFERROR(__xludf.DUMMYFUNCTION("""COMPUTED_VALUE"""),1)</f>
        <v>1</v>
      </c>
      <c r="B1322" s="13"/>
      <c r="C1322" s="13" t="str">
        <f ca="1">IFERROR(__xludf.DUMMYFUNCTION("""COMPUTED_VALUE"""),"爱护")</f>
        <v>爱护</v>
      </c>
      <c r="D1322" s="13" t="str">
        <f ca="1">IFERROR(__xludf.DUMMYFUNCTION("""COMPUTED_VALUE"""),"&lt;ruby&gt;爱护&lt;rt&gt;àihù&lt;/rt&gt;&lt;/ruby&gt;")</f>
        <v>&lt;ruby&gt;爱护&lt;rt&gt;àihù&lt;/rt&gt;&lt;/ruby&gt;</v>
      </c>
      <c r="E1322" s="13" t="str">
        <f ca="1">IFERROR(__xludf.DUMMYFUNCTION("""COMPUTED_VALUE"""),"àihù")</f>
        <v>àihù</v>
      </c>
      <c r="F1322" s="13" t="str">
        <f ca="1">IFERROR(__xludf.DUMMYFUNCTION("""COMPUTED_VALUE"""),"Động từ")</f>
        <v>Động từ</v>
      </c>
      <c r="G1322" s="13" t="str">
        <f ca="1">IFERROR(__xludf.DUMMYFUNCTION("""COMPUTED_VALUE"""),"yêu quý, quý trọng")</f>
        <v>yêu quý, quý trọng</v>
      </c>
      <c r="H1322" s="13" t="str">
        <f ca="1">IFERROR(__xludf.DUMMYFUNCTION("""COMPUTED_VALUE"""),"母亲总是爱护自己的孩子。")</f>
        <v>母亲总是爱护自己的孩子。</v>
      </c>
      <c r="I1322" s="13"/>
      <c r="J1322" s="13" t="str">
        <f ca="1">IFERROR(__xludf.DUMMYFUNCTION("""COMPUTED_VALUE"""),"Người mẹ luôn yêu quý đứa con của mình.")</f>
        <v>Người mẹ luôn yêu quý đứa con của mình.</v>
      </c>
      <c r="K1322" s="13" t="str">
        <f ca="1">IFERROR(__xludf.DUMMYFUNCTION("""COMPUTED_VALUE"""),"H5_B1_BG-01.png")</f>
        <v>H5_B1_BG-01.png</v>
      </c>
      <c r="L1322" s="13" t="str">
        <f ca="1">IFERROR(__xludf.DUMMYFUNCTION("""COMPUTED_VALUE"""),"B1-01.mp3")</f>
        <v>B1-01.mp3</v>
      </c>
      <c r="M1322" s="13" t="str">
        <f ca="1">IFERROR(__xludf.DUMMYFUNCTION("""COMPUTED_VALUE"""),"B1_VD_1.mp3")</f>
        <v>B1_VD_1.mp3</v>
      </c>
    </row>
    <row r="1323" spans="1:13">
      <c r="A1323" s="13">
        <f ca="1">IFERROR(__xludf.DUMMYFUNCTION("""COMPUTED_VALUE"""),2)</f>
        <v>2</v>
      </c>
      <c r="B1323" s="13"/>
      <c r="C1323" s="13" t="str">
        <f ca="1">IFERROR(__xludf.DUMMYFUNCTION("""COMPUTED_VALUE"""),"恩爱")</f>
        <v>恩爱</v>
      </c>
      <c r="D1323" s="13" t="str">
        <f ca="1">IFERROR(__xludf.DUMMYFUNCTION("""COMPUTED_VALUE"""),"&lt;ruby&gt;恩爱&lt;rt&gt;ēn'ài&lt;/rt&gt;&lt;/ruby&gt;")</f>
        <v>&lt;ruby&gt;恩爱&lt;rt&gt;ēn'ài&lt;/rt&gt;&lt;/ruby&gt;</v>
      </c>
      <c r="E1323" s="13" t="str">
        <f ca="1">IFERROR(__xludf.DUMMYFUNCTION("""COMPUTED_VALUE"""),"ēn'ài")</f>
        <v>ēn'ài</v>
      </c>
      <c r="F1323" s="13" t="str">
        <f ca="1">IFERROR(__xludf.DUMMYFUNCTION("""COMPUTED_VALUE"""),"Tính từ")</f>
        <v>Tính từ</v>
      </c>
      <c r="G1323" s="13" t="str">
        <f ca="1">IFERROR(__xludf.DUMMYFUNCTION("""COMPUTED_VALUE"""),"ân ái, đằm thắm (vợ chồng)")</f>
        <v>ân ái, đằm thắm (vợ chồng)</v>
      </c>
      <c r="H1323" s="13" t="str">
        <f ca="1">IFERROR(__xludf.DUMMYFUNCTION("""COMPUTED_VALUE"""),"他们是一对恩爱的夫妻。")</f>
        <v>他们是一对恩爱的夫妻。</v>
      </c>
      <c r="I1323" s="13"/>
      <c r="J1323" s="13" t="str">
        <f ca="1">IFERROR(__xludf.DUMMYFUNCTION("""COMPUTED_VALUE"""),"Họ là một cặp vợ chồng rất tình cảm.")</f>
        <v>Họ là một cặp vợ chồng rất tình cảm.</v>
      </c>
      <c r="K1323" s="13" t="str">
        <f ca="1">IFERROR(__xludf.DUMMYFUNCTION("""COMPUTED_VALUE"""),"H5_B1_BG-02.png")</f>
        <v>H5_B1_BG-02.png</v>
      </c>
      <c r="L1323" s="13" t="str">
        <f ca="1">IFERROR(__xludf.DUMMYFUNCTION("""COMPUTED_VALUE"""),"B1-02.mp3")</f>
        <v>B1-02.mp3</v>
      </c>
      <c r="M1323" s="13" t="str">
        <f ca="1">IFERROR(__xludf.DUMMYFUNCTION("""COMPUTED_VALUE"""),"B1_VD_2.mp3")</f>
        <v>B1_VD_2.mp3</v>
      </c>
    </row>
    <row r="1324" spans="1:13">
      <c r="A1324" s="13">
        <f ca="1">IFERROR(__xludf.DUMMYFUNCTION("""COMPUTED_VALUE"""),3)</f>
        <v>3</v>
      </c>
      <c r="B1324" s="13"/>
      <c r="C1324" s="13" t="str">
        <f ca="1">IFERROR(__xludf.DUMMYFUNCTION("""COMPUTED_VALUE"""),"婚姻")</f>
        <v>婚姻</v>
      </c>
      <c r="D1324" s="13" t="str">
        <f ca="1">IFERROR(__xludf.DUMMYFUNCTION("""COMPUTED_VALUE"""),"&lt;ruby&gt;婚姻&lt;rt&gt;hūnyīn&lt;/rt&gt;&lt;/ruby&gt;")</f>
        <v>&lt;ruby&gt;婚姻&lt;rt&gt;hūnyīn&lt;/rt&gt;&lt;/ruby&gt;</v>
      </c>
      <c r="E1324" s="13" t="str">
        <f ca="1">IFERROR(__xludf.DUMMYFUNCTION("""COMPUTED_VALUE"""),"hūnyīn")</f>
        <v>hūnyīn</v>
      </c>
      <c r="F1324" s="13" t="str">
        <f ca="1">IFERROR(__xludf.DUMMYFUNCTION("""COMPUTED_VALUE"""),"Danh từ")</f>
        <v>Danh từ</v>
      </c>
      <c r="G1324" s="13" t="str">
        <f ca="1">IFERROR(__xludf.DUMMYFUNCTION("""COMPUTED_VALUE"""),"hôn nhân")</f>
        <v>hôn nhân</v>
      </c>
      <c r="H1324" s="13" t="str">
        <f ca="1">IFERROR(__xludf.DUMMYFUNCTION("""COMPUTED_VALUE"""),"幸福的婚姻需要两个人一起努力。")</f>
        <v>幸福的婚姻需要两个人一起努力。</v>
      </c>
      <c r="I1324" s="13"/>
      <c r="J1324" s="13" t="str">
        <f ca="1">IFERROR(__xludf.DUMMYFUNCTION("""COMPUTED_VALUE"""),"Một cuộc hôn nhân hạnh phúc cần sự cố gắng từ cả hai người.")</f>
        <v>Một cuộc hôn nhân hạnh phúc cần sự cố gắng từ cả hai người.</v>
      </c>
      <c r="K1324" s="13" t="str">
        <f ca="1">IFERROR(__xludf.DUMMYFUNCTION("""COMPUTED_VALUE"""),"H5_B1_BG-03.png")</f>
        <v>H5_B1_BG-03.png</v>
      </c>
      <c r="L1324" s="13" t="str">
        <f ca="1">IFERROR(__xludf.DUMMYFUNCTION("""COMPUTED_VALUE"""),"B1-03.mp3")</f>
        <v>B1-03.mp3</v>
      </c>
      <c r="M1324" s="13" t="str">
        <f ca="1">IFERROR(__xludf.DUMMYFUNCTION("""COMPUTED_VALUE"""),"B1_VD_3.mp3")</f>
        <v>B1_VD_3.mp3</v>
      </c>
    </row>
    <row r="1325" spans="1:13">
      <c r="A1325" s="13">
        <f ca="1">IFERROR(__xludf.DUMMYFUNCTION("""COMPUTED_VALUE"""),4)</f>
        <v>4</v>
      </c>
      <c r="B1325" s="13"/>
      <c r="C1325" s="13" t="str">
        <f ca="1">IFERROR(__xludf.DUMMYFUNCTION("""COMPUTED_VALUE"""),"吵架")</f>
        <v>吵架</v>
      </c>
      <c r="D1325" s="13" t="str">
        <f ca="1">IFERROR(__xludf.DUMMYFUNCTION("""COMPUTED_VALUE"""),"&lt;ruby&gt;吵架&lt;rt&gt;chǎojià&lt;/rt&gt;&lt;/ruby&gt;")</f>
        <v>&lt;ruby&gt;吵架&lt;rt&gt;chǎojià&lt;/rt&gt;&lt;/ruby&gt;</v>
      </c>
      <c r="E1325" s="13" t="str">
        <f ca="1">IFERROR(__xludf.DUMMYFUNCTION("""COMPUTED_VALUE"""),"chǎojià")</f>
        <v>chǎojià</v>
      </c>
      <c r="F1325" s="13" t="str">
        <f ca="1">IFERROR(__xludf.DUMMYFUNCTION("""COMPUTED_VALUE"""),"Động từ")</f>
        <v>Động từ</v>
      </c>
      <c r="G1325" s="13" t="str">
        <f ca="1">IFERROR(__xludf.DUMMYFUNCTION("""COMPUTED_VALUE"""),"cãi nhau")</f>
        <v>cãi nhau</v>
      </c>
      <c r="H1325" s="13" t="str">
        <f ca="1">IFERROR(__xludf.DUMMYFUNCTION("""COMPUTED_VALUE"""),"他们俩在吵架。")</f>
        <v>他们俩在吵架。</v>
      </c>
      <c r="I1325" s="13"/>
      <c r="J1325" s="13" t="str">
        <f ca="1">IFERROR(__xludf.DUMMYFUNCTION("""COMPUTED_VALUE"""),"Hai người họ đang cãi nhau.")</f>
        <v>Hai người họ đang cãi nhau.</v>
      </c>
      <c r="K1325" s="13" t="str">
        <f ca="1">IFERROR(__xludf.DUMMYFUNCTION("""COMPUTED_VALUE"""),"H5_B1_BG-04.png")</f>
        <v>H5_B1_BG-04.png</v>
      </c>
      <c r="L1325" s="13" t="str">
        <f ca="1">IFERROR(__xludf.DUMMYFUNCTION("""COMPUTED_VALUE"""),"B1-04.mp3")</f>
        <v>B1-04.mp3</v>
      </c>
      <c r="M1325" s="13" t="str">
        <f ca="1">IFERROR(__xludf.DUMMYFUNCTION("""COMPUTED_VALUE"""),"B1_VD_4.mp3")</f>
        <v>B1_VD_4.mp3</v>
      </c>
    </row>
    <row r="1326" spans="1:13">
      <c r="A1326" s="13">
        <f ca="1">IFERROR(__xludf.DUMMYFUNCTION("""COMPUTED_VALUE"""),5)</f>
        <v>5</v>
      </c>
      <c r="B1326" s="13"/>
      <c r="C1326" s="13" t="str">
        <f ca="1">IFERROR(__xludf.DUMMYFUNCTION("""COMPUTED_VALUE"""),"吵")</f>
        <v>吵</v>
      </c>
      <c r="D1326" s="13" t="str">
        <f ca="1">IFERROR(__xludf.DUMMYFUNCTION("""COMPUTED_VALUE"""),"&lt;ruby&gt;吵&lt;rt&gt;chǎo&lt;/rt&gt;&lt;/ruby&gt;")</f>
        <v>&lt;ruby&gt;吵&lt;rt&gt;chǎo&lt;/rt&gt;&lt;/ruby&gt;</v>
      </c>
      <c r="E1326" s="13" t="str">
        <f ca="1">IFERROR(__xludf.DUMMYFUNCTION("""COMPUTED_VALUE"""),"chǎo")</f>
        <v>chǎo</v>
      </c>
      <c r="F1326" s="13" t="str">
        <f ca="1">IFERROR(__xludf.DUMMYFUNCTION("""COMPUTED_VALUE"""),"Động từ/Tính từ")</f>
        <v>Động từ/Tính từ</v>
      </c>
      <c r="G1326" s="13" t="str">
        <f ca="1">IFERROR(__xludf.DUMMYFUNCTION("""COMPUTED_VALUE"""),"làm ồn; ồn ào")</f>
        <v>làm ồn; ồn ào</v>
      </c>
      <c r="H1326" s="13" t="str">
        <f ca="1">IFERROR(__xludf.DUMMYFUNCTION("""COMPUTED_VALUE"""),"别吵了，坐下来好好说话。")</f>
        <v>别吵了，坐下来好好说话。</v>
      </c>
      <c r="I1326" s="13"/>
      <c r="J1326" s="13" t="str">
        <f ca="1">IFERROR(__xludf.DUMMYFUNCTION("""COMPUTED_VALUE"""),"Đừng cãi nhau nữa, ngồi xuống nói chuyện tử tế đi.")</f>
        <v>Đừng cãi nhau nữa, ngồi xuống nói chuyện tử tế đi.</v>
      </c>
      <c r="K1326" s="13" t="str">
        <f ca="1">IFERROR(__xludf.DUMMYFUNCTION("""COMPUTED_VALUE"""),"H5_B1_BG-05.png")</f>
        <v>H5_B1_BG-05.png</v>
      </c>
      <c r="L1326" s="13" t="str">
        <f ca="1">IFERROR(__xludf.DUMMYFUNCTION("""COMPUTED_VALUE"""),"B1-05.mp3")</f>
        <v>B1-05.mp3</v>
      </c>
      <c r="M1326" s="13" t="str">
        <f ca="1">IFERROR(__xludf.DUMMYFUNCTION("""COMPUTED_VALUE"""),"B1_VD_5.mp3")</f>
        <v>B1_VD_5.mp3</v>
      </c>
    </row>
    <row r="1327" spans="1:13">
      <c r="A1327" s="13">
        <f ca="1">IFERROR(__xludf.DUMMYFUNCTION("""COMPUTED_VALUE"""),6)</f>
        <v>6</v>
      </c>
      <c r="B1327" s="13"/>
      <c r="C1327" s="13" t="str">
        <f ca="1">IFERROR(__xludf.DUMMYFUNCTION("""COMPUTED_VALUE"""),"相敬如宾")</f>
        <v>相敬如宾</v>
      </c>
      <c r="D1327" s="13" t="str">
        <f ca="1">IFERROR(__xludf.DUMMYFUNCTION("""COMPUTED_VALUE"""),"&lt;ruby&gt;相敬如宾&lt;rt&gt;xiāngjìng rúbīn&lt;/rt&gt;&lt;/ruby&gt;")</f>
        <v>&lt;ruby&gt;相敬如宾&lt;rt&gt;xiāngjìng rúbīn&lt;/rt&gt;&lt;/ruby&gt;</v>
      </c>
      <c r="E1327" s="13" t="str">
        <f ca="1">IFERROR(__xludf.DUMMYFUNCTION("""COMPUTED_VALUE"""),"xiāngjìng rúbīn")</f>
        <v>xiāngjìng rúbīn</v>
      </c>
      <c r="F1327" s="13"/>
      <c r="G1327" s="13" t="str">
        <f ca="1">IFERROR(__xludf.DUMMYFUNCTION("""COMPUTED_VALUE"""),"tương kính như tân (tôn trọng lẫn nhau) (thành ngữ mô tả mối quan hệ 2 người, thường là vợ chồng)")</f>
        <v>tương kính như tân (tôn trọng lẫn nhau) (thành ngữ mô tả mối quan hệ 2 người, thường là vợ chồng)</v>
      </c>
      <c r="H1327" s="13" t="str">
        <f ca="1">IFERROR(__xludf.DUMMYFUNCTION("""COMPUTED_VALUE"""),"他们结婚多年，一直相敬如宾。")</f>
        <v>他们结婚多年，一直相敬如宾。</v>
      </c>
      <c r="I1327" s="13"/>
      <c r="J1327" s="13" t="str">
        <f ca="1">IFERROR(__xludf.DUMMYFUNCTION("""COMPUTED_VALUE"""),"Họ đã kết hôn nhiều năm và luôn tôn trọng nhau như khách.")</f>
        <v>Họ đã kết hôn nhiều năm và luôn tôn trọng nhau như khách.</v>
      </c>
      <c r="K1327" s="13" t="str">
        <f ca="1">IFERROR(__xludf.DUMMYFUNCTION("""COMPUTED_VALUE"""),"H5_B1_BG-06.png")</f>
        <v>H5_B1_BG-06.png</v>
      </c>
      <c r="L1327" s="13" t="str">
        <f ca="1">IFERROR(__xludf.DUMMYFUNCTION("""COMPUTED_VALUE"""),"B1-06.mp3")</f>
        <v>B1-06.mp3</v>
      </c>
      <c r="M1327" s="13" t="str">
        <f ca="1">IFERROR(__xludf.DUMMYFUNCTION("""COMPUTED_VALUE"""),"B1_VD_6.mp3")</f>
        <v>B1_VD_6.mp3</v>
      </c>
    </row>
    <row r="1328" spans="1:13">
      <c r="A1328" s="13">
        <f ca="1">IFERROR(__xludf.DUMMYFUNCTION("""COMPUTED_VALUE"""),7)</f>
        <v>7</v>
      </c>
      <c r="B1328" s="13"/>
      <c r="C1328" s="13" t="str">
        <f ca="1">IFERROR(__xludf.DUMMYFUNCTION("""COMPUTED_VALUE"""),"患难与共")</f>
        <v>患难与共</v>
      </c>
      <c r="D1328" s="13" t="str">
        <f ca="1">IFERROR(__xludf.DUMMYFUNCTION("""COMPUTED_VALUE"""),"&lt;ruby&gt;患难与共&lt;rt&gt;huànnàn yǔgòng&lt;/rt&gt;&lt;/ruby&gt;")</f>
        <v>&lt;ruby&gt;患难与共&lt;rt&gt;huànnàn yǔgòng&lt;/rt&gt;&lt;/ruby&gt;</v>
      </c>
      <c r="E1328" s="13" t="str">
        <f ca="1">IFERROR(__xludf.DUMMYFUNCTION("""COMPUTED_VALUE"""),"huànnàn yǔgòng")</f>
        <v>huànnàn yǔgòng</v>
      </c>
      <c r="F1328" s="13"/>
      <c r="G1328" s="13" t="str">
        <f ca="1">IFERROR(__xludf.DUMMYFUNCTION("""COMPUTED_VALUE"""),"hoạn nạn có nhau (thành ngữ)")</f>
        <v>hoạn nạn có nhau (thành ngữ)</v>
      </c>
      <c r="H1328" s="13" t="str">
        <f ca="1">IFERROR(__xludf.DUMMYFUNCTION("""COMPUTED_VALUE"""),"他们是一对患难与共的夫妻。")</f>
        <v>他们是一对患难与共的夫妻。</v>
      </c>
      <c r="I1328" s="13"/>
      <c r="J1328" s="13" t="str">
        <f ca="1">IFERROR(__xludf.DUMMYFUNCTION("""COMPUTED_VALUE"""),"Họ là một cặp vợ chồng cùng nhau vượt qua hoạn nạn.")</f>
        <v>Họ là một cặp vợ chồng cùng nhau vượt qua hoạn nạn.</v>
      </c>
      <c r="K1328" s="13" t="str">
        <f ca="1">IFERROR(__xludf.DUMMYFUNCTION("""COMPUTED_VALUE"""),"H5_B1_BG-07.png")</f>
        <v>H5_B1_BG-07.png</v>
      </c>
      <c r="L1328" s="13" t="str">
        <f ca="1">IFERROR(__xludf.DUMMYFUNCTION("""COMPUTED_VALUE"""),"B1-07.mp3")</f>
        <v>B1-07.mp3</v>
      </c>
      <c r="M1328" s="13" t="str">
        <f ca="1">IFERROR(__xludf.DUMMYFUNCTION("""COMPUTED_VALUE"""),"B1_VD_7.mp3")</f>
        <v>B1_VD_7.mp3</v>
      </c>
    </row>
    <row r="1329" spans="1:13">
      <c r="A1329" s="13">
        <f ca="1">IFERROR(__xludf.DUMMYFUNCTION("""COMPUTED_VALUE"""),8)</f>
        <v>8</v>
      </c>
      <c r="B1329" s="13"/>
      <c r="C1329" s="13" t="str">
        <f ca="1">IFERROR(__xludf.DUMMYFUNCTION("""COMPUTED_VALUE"""),"老婆")</f>
        <v>老婆</v>
      </c>
      <c r="D1329" s="13" t="str">
        <f ca="1">IFERROR(__xludf.DUMMYFUNCTION("""COMPUTED_VALUE"""),"&lt;ruby&gt;老婆&lt;rt&gt;lǎopo&lt;/rt&gt;&lt;/ruby&gt;")</f>
        <v>&lt;ruby&gt;老婆&lt;rt&gt;lǎopo&lt;/rt&gt;&lt;/ruby&gt;</v>
      </c>
      <c r="E1329" s="13" t="str">
        <f ca="1">IFERROR(__xludf.DUMMYFUNCTION("""COMPUTED_VALUE"""),"lǎopo")</f>
        <v>lǎopo</v>
      </c>
      <c r="F1329" s="13" t="str">
        <f ca="1">IFERROR(__xludf.DUMMYFUNCTION("""COMPUTED_VALUE"""),"Danh từ")</f>
        <v>Danh từ</v>
      </c>
      <c r="G1329" s="13" t="str">
        <f ca="1">IFERROR(__xludf.DUMMYFUNCTION("""COMPUTED_VALUE"""),"vợ")</f>
        <v>vợ</v>
      </c>
      <c r="H1329" s="13" t="str">
        <f ca="1">IFERROR(__xludf.DUMMYFUNCTION("""COMPUTED_VALUE"""),"我的老婆正在期待我们的宝宝出生。")</f>
        <v>我的老婆正在期待我们的宝宝出生。</v>
      </c>
      <c r="I1329" s="13"/>
      <c r="J1329" s="13" t="str">
        <f ca="1">IFERROR(__xludf.DUMMYFUNCTION("""COMPUTED_VALUE"""),"Vợ tôi đang mong chờ em bé của chúng tôi chào đời.")</f>
        <v>Vợ tôi đang mong chờ em bé của chúng tôi chào đời.</v>
      </c>
      <c r="K1329" s="13" t="str">
        <f ca="1">IFERROR(__xludf.DUMMYFUNCTION("""COMPUTED_VALUE"""),"H5_B1_BG-08.png")</f>
        <v>H5_B1_BG-08.png</v>
      </c>
      <c r="L1329" s="13" t="str">
        <f ca="1">IFERROR(__xludf.DUMMYFUNCTION("""COMPUTED_VALUE"""),"B1-08.mp3")</f>
        <v>B1-08.mp3</v>
      </c>
      <c r="M1329" s="13" t="str">
        <f ca="1">IFERROR(__xludf.DUMMYFUNCTION("""COMPUTED_VALUE"""),"B1_VD_8.mp3")</f>
        <v>B1_VD_8.mp3</v>
      </c>
    </row>
    <row r="1330" spans="1:13">
      <c r="A1330" s="13">
        <f ca="1">IFERROR(__xludf.DUMMYFUNCTION("""COMPUTED_VALUE"""),9)</f>
        <v>9</v>
      </c>
      <c r="B1330" s="13"/>
      <c r="C1330" s="13" t="str">
        <f ca="1">IFERROR(__xludf.DUMMYFUNCTION("""COMPUTED_VALUE"""),"离婚")</f>
        <v>离婚</v>
      </c>
      <c r="D1330" s="13" t="str">
        <f ca="1">IFERROR(__xludf.DUMMYFUNCTION("""COMPUTED_VALUE"""),"&lt;ruby&gt;离婚&lt;rt&gt;lí hūn&lt;/rt&gt;&lt;/ruby&gt;")</f>
        <v>&lt;ruby&gt;离婚&lt;rt&gt;lí hūn&lt;/rt&gt;&lt;/ruby&gt;</v>
      </c>
      <c r="E1330" s="13" t="str">
        <f ca="1">IFERROR(__xludf.DUMMYFUNCTION("""COMPUTED_VALUE"""),"lí hūn")</f>
        <v>lí hūn</v>
      </c>
      <c r="F1330" s="13" t="str">
        <f ca="1">IFERROR(__xludf.DUMMYFUNCTION("""COMPUTED_VALUE"""),"Động từ")</f>
        <v>Động từ</v>
      </c>
      <c r="G1330" s="13" t="str">
        <f ca="1">IFERROR(__xludf.DUMMYFUNCTION("""COMPUTED_VALUE"""),"ly hôn")</f>
        <v>ly hôn</v>
      </c>
      <c r="H1330" s="13" t="str">
        <f ca="1">IFERROR(__xludf.DUMMYFUNCTION("""COMPUTED_VALUE"""),"他们因为性格不合而离婚了。")</f>
        <v>他们因为性格不合而离婚了。</v>
      </c>
      <c r="I1330" s="13"/>
      <c r="J1330" s="13" t="str">
        <f ca="1">IFERROR(__xludf.DUMMYFUNCTION("""COMPUTED_VALUE"""),"Họ ly hôn vì tính cách không hợp nhau.")</f>
        <v>Họ ly hôn vì tính cách không hợp nhau.</v>
      </c>
      <c r="K1330" s="13" t="str">
        <f ca="1">IFERROR(__xludf.DUMMYFUNCTION("""COMPUTED_VALUE"""),"H5_B1_BG-09.png")</f>
        <v>H5_B1_BG-09.png</v>
      </c>
      <c r="L1330" s="13" t="str">
        <f ca="1">IFERROR(__xludf.DUMMYFUNCTION("""COMPUTED_VALUE"""),"B1-09.mp3")</f>
        <v>B1-09.mp3</v>
      </c>
      <c r="M1330" s="13" t="str">
        <f ca="1">IFERROR(__xludf.DUMMYFUNCTION("""COMPUTED_VALUE"""),"B1_VD_9.mp3")</f>
        <v>B1_VD_9.mp3</v>
      </c>
    </row>
    <row r="1331" spans="1:13">
      <c r="A1331" s="13">
        <f ca="1">IFERROR(__xludf.DUMMYFUNCTION("""COMPUTED_VALUE"""),10)</f>
        <v>10</v>
      </c>
      <c r="B1331" s="13"/>
      <c r="C1331" s="13" t="str">
        <f ca="1">IFERROR(__xludf.DUMMYFUNCTION("""COMPUTED_VALUE"""),"抱怨")</f>
        <v>抱怨</v>
      </c>
      <c r="D1331" s="13" t="str">
        <f ca="1">IFERROR(__xludf.DUMMYFUNCTION("""COMPUTED_VALUE"""),"&lt;ruby&gt;抱怨&lt;rt&gt;bàoyuàn&lt;/rt&gt;&lt;/ruby&gt;")</f>
        <v>&lt;ruby&gt;抱怨&lt;rt&gt;bàoyuàn&lt;/rt&gt;&lt;/ruby&gt;</v>
      </c>
      <c r="E1331" s="13" t="str">
        <f ca="1">IFERROR(__xludf.DUMMYFUNCTION("""COMPUTED_VALUE"""),"bàoyuàn")</f>
        <v>bàoyuàn</v>
      </c>
      <c r="F1331" s="13" t="str">
        <f ca="1">IFERROR(__xludf.DUMMYFUNCTION("""COMPUTED_VALUE"""),"Động từ")</f>
        <v>Động từ</v>
      </c>
      <c r="G1331" s="13" t="str">
        <f ca="1">IFERROR(__xludf.DUMMYFUNCTION("""COMPUTED_VALUE"""),"oán trách, phàn nàn")</f>
        <v>oán trách, phàn nàn</v>
      </c>
      <c r="H1331" s="13" t="str">
        <f ca="1">IFERROR(__xludf.DUMMYFUNCTION("""COMPUTED_VALUE"""),"爸爸在抱怨女儿不听话")</f>
        <v>爸爸在抱怨女儿不听话</v>
      </c>
      <c r="I1331" s="13"/>
      <c r="J1331" s="13" t="str">
        <f ca="1">IFERROR(__xludf.DUMMYFUNCTION("""COMPUTED_VALUE"""),"Người bố đang phàn nàn rằng con gái không chịu nghe lời.")</f>
        <v>Người bố đang phàn nàn rằng con gái không chịu nghe lời.</v>
      </c>
      <c r="K1331" s="13" t="str">
        <f ca="1">IFERROR(__xludf.DUMMYFUNCTION("""COMPUTED_VALUE"""),"H5_B1_BG-10.png")</f>
        <v>H5_B1_BG-10.png</v>
      </c>
      <c r="L1331" s="13" t="str">
        <f ca="1">IFERROR(__xludf.DUMMYFUNCTION("""COMPUTED_VALUE"""),"B1-10.mp3")</f>
        <v>B1-10.mp3</v>
      </c>
      <c r="M1331" s="13" t="str">
        <f ca="1">IFERROR(__xludf.DUMMYFUNCTION("""COMPUTED_VALUE"""),"B1_VD_10.mp3")</f>
        <v>B1_VD_10.mp3</v>
      </c>
    </row>
    <row r="1332" spans="1:13">
      <c r="A1332" s="13">
        <f ca="1">IFERROR(__xludf.DUMMYFUNCTION("""COMPUTED_VALUE"""),11)</f>
        <v>11</v>
      </c>
      <c r="B1332" s="13"/>
      <c r="C1332" s="13" t="str">
        <f ca="1">IFERROR(__xludf.DUMMYFUNCTION("""COMPUTED_VALUE"""),"不耐烦")</f>
        <v>不耐烦</v>
      </c>
      <c r="D1332" s="13" t="str">
        <f ca="1">IFERROR(__xludf.DUMMYFUNCTION("""COMPUTED_VALUE"""),"&lt;ruby&gt;不耐烦&lt;rt&gt;bú nàifán&lt;/rt&gt;&lt;/ruby&gt;")</f>
        <v>&lt;ruby&gt;不耐烦&lt;rt&gt;bú nàifán&lt;/rt&gt;&lt;/ruby&gt;</v>
      </c>
      <c r="E1332" s="13" t="str">
        <f ca="1">IFERROR(__xludf.DUMMYFUNCTION("""COMPUTED_VALUE"""),"bú nàifán")</f>
        <v>bú nàifán</v>
      </c>
      <c r="F1332" s="13"/>
      <c r="G1332" s="13" t="str">
        <f ca="1">IFERROR(__xludf.DUMMYFUNCTION("""COMPUTED_VALUE"""),"sốt ruột, bực mình")</f>
        <v>sốt ruột, bực mình</v>
      </c>
      <c r="H1332" s="13" t="str">
        <f ca="1">IFERROR(__xludf.DUMMYFUNCTION("""COMPUTED_VALUE"""),"他听了几句就显得有点儿不耐烦了。")</f>
        <v>他听了几句就显得有点儿不耐烦了。</v>
      </c>
      <c r="I1332" s="13"/>
      <c r="J1332" s="13" t="str">
        <f ca="1">IFERROR(__xludf.DUMMYFUNCTION("""COMPUTED_VALUE"""),"Anh ấy nghe vài câu đã tỏ ra hơi khó chịu.")</f>
        <v>Anh ấy nghe vài câu đã tỏ ra hơi khó chịu.</v>
      </c>
      <c r="K1332" s="13" t="str">
        <f ca="1">IFERROR(__xludf.DUMMYFUNCTION("""COMPUTED_VALUE"""),"H5_B1_BG-11.png")</f>
        <v>H5_B1_BG-11.png</v>
      </c>
      <c r="L1332" s="13" t="str">
        <f ca="1">IFERROR(__xludf.DUMMYFUNCTION("""COMPUTED_VALUE"""),"B1-11.mp3")</f>
        <v>B1-11.mp3</v>
      </c>
      <c r="M1332" s="13" t="str">
        <f ca="1">IFERROR(__xludf.DUMMYFUNCTION("""COMPUTED_VALUE"""),"B1_VD_11.mp3")</f>
        <v>B1_VD_11.mp3</v>
      </c>
    </row>
    <row r="1333" spans="1:13">
      <c r="A1333" s="13">
        <f ca="1">IFERROR(__xludf.DUMMYFUNCTION("""COMPUTED_VALUE"""),12)</f>
        <v>12</v>
      </c>
      <c r="B1333" s="13"/>
      <c r="C1333" s="13" t="str">
        <f ca="1">IFERROR(__xludf.DUMMYFUNCTION("""COMPUTED_VALUE"""),"暗暗")</f>
        <v>暗暗</v>
      </c>
      <c r="D1333" s="13" t="str">
        <f ca="1">IFERROR(__xludf.DUMMYFUNCTION("""COMPUTED_VALUE"""),"&lt;ruby&gt;暗暗&lt;rt&gt;àn'àn&lt;/rt&gt;&lt;/ruby&gt;")</f>
        <v>&lt;ruby&gt;暗暗&lt;rt&gt;àn'àn&lt;/rt&gt;&lt;/ruby&gt;</v>
      </c>
      <c r="E1333" s="13" t="str">
        <f ca="1">IFERROR(__xludf.DUMMYFUNCTION("""COMPUTED_VALUE"""),"àn'àn")</f>
        <v>àn'àn</v>
      </c>
      <c r="F1333" s="13" t="str">
        <f ca="1">IFERROR(__xludf.DUMMYFUNCTION("""COMPUTED_VALUE"""),"Phó từ")</f>
        <v>Phó từ</v>
      </c>
      <c r="G1333" s="13" t="str">
        <f ca="1">IFERROR(__xludf.DUMMYFUNCTION("""COMPUTED_VALUE"""),"thầm, ngấm ngầm")</f>
        <v>thầm, ngấm ngầm</v>
      </c>
      <c r="H1333" s="13" t="str">
        <f ca="1">IFERROR(__xludf.DUMMYFUNCTION("""COMPUTED_VALUE"""),"听到这句话，她心里暗暗高兴。")</f>
        <v>听到这句话，她心里暗暗高兴。</v>
      </c>
      <c r="I1333" s="13"/>
      <c r="J1333" s="13" t="str">
        <f ca="1">IFERROR(__xludf.DUMMYFUNCTION("""COMPUTED_VALUE"""),"Nghe câu nói này, cô ấy lặng lẽ vui trong lòng.")</f>
        <v>Nghe câu nói này, cô ấy lặng lẽ vui trong lòng.</v>
      </c>
      <c r="K1333" s="13" t="str">
        <f ca="1">IFERROR(__xludf.DUMMYFUNCTION("""COMPUTED_VALUE"""),"H5_B1_BG-12.png")</f>
        <v>H5_B1_BG-12.png</v>
      </c>
      <c r="L1333" s="13" t="str">
        <f ca="1">IFERROR(__xludf.DUMMYFUNCTION("""COMPUTED_VALUE"""),"B1-12.mp3")</f>
        <v>B1-12.mp3</v>
      </c>
      <c r="M1333" s="13" t="str">
        <f ca="1">IFERROR(__xludf.DUMMYFUNCTION("""COMPUTED_VALUE"""),"B1_VD_12.mp3")</f>
        <v>B1_VD_12.mp3</v>
      </c>
    </row>
    <row r="1334" spans="1:13">
      <c r="A1334" s="13">
        <f ca="1">IFERROR(__xludf.DUMMYFUNCTION("""COMPUTED_VALUE"""),13)</f>
        <v>13</v>
      </c>
      <c r="B1334" s="13"/>
      <c r="C1334" s="13" t="str">
        <f ca="1">IFERROR(__xludf.DUMMYFUNCTION("""COMPUTED_VALUE"""),"催")</f>
        <v>催</v>
      </c>
      <c r="D1334" s="13" t="str">
        <f ca="1">IFERROR(__xludf.DUMMYFUNCTION("""COMPUTED_VALUE"""),"&lt;ruby&gt;催&lt;rt&gt;cuī&lt;/rt&gt;&lt;/ruby&gt;")</f>
        <v>&lt;ruby&gt;催&lt;rt&gt;cuī&lt;/rt&gt;&lt;/ruby&gt;</v>
      </c>
      <c r="E1334" s="13" t="str">
        <f ca="1">IFERROR(__xludf.DUMMYFUNCTION("""COMPUTED_VALUE"""),"cuī")</f>
        <v>cuī</v>
      </c>
      <c r="F1334" s="13" t="str">
        <f ca="1">IFERROR(__xludf.DUMMYFUNCTION("""COMPUTED_VALUE"""),"Động từ")</f>
        <v>Động từ</v>
      </c>
      <c r="G1334" s="13" t="str">
        <f ca="1">IFERROR(__xludf.DUMMYFUNCTION("""COMPUTED_VALUE"""),"thúc giục, hối thúc")</f>
        <v>thúc giục, hối thúc</v>
      </c>
      <c r="H1334" s="13" t="str">
        <f ca="1">IFERROR(__xludf.DUMMYFUNCTION("""COMPUTED_VALUE"""),"妈妈总是催我早睡早起。")</f>
        <v>妈妈总是催我早睡早起。</v>
      </c>
      <c r="I1334" s="13"/>
      <c r="J1334" s="13" t="str">
        <f ca="1">IFERROR(__xludf.DUMMYFUNCTION("""COMPUTED_VALUE"""),"Mẹ lúc nào cũng thúc giục tôi đi ngủ sớm và dậy sớm.")</f>
        <v>Mẹ lúc nào cũng thúc giục tôi đi ngủ sớm và dậy sớm.</v>
      </c>
      <c r="K1334" s="13" t="str">
        <f ca="1">IFERROR(__xludf.DUMMYFUNCTION("""COMPUTED_VALUE"""),"H5_B1_BG-13.png")</f>
        <v>H5_B1_BG-13.png</v>
      </c>
      <c r="L1334" s="13" t="str">
        <f ca="1">IFERROR(__xludf.DUMMYFUNCTION("""COMPUTED_VALUE"""),"B1-13.mp3")</f>
        <v>B1-13.mp3</v>
      </c>
      <c r="M1334" s="13" t="str">
        <f ca="1">IFERROR(__xludf.DUMMYFUNCTION("""COMPUTED_VALUE"""),"B1_VD_13.mp3")</f>
        <v>B1_VD_13.mp3</v>
      </c>
    </row>
    <row r="1335" spans="1:13">
      <c r="A1335" s="13">
        <f ca="1">IFERROR(__xludf.DUMMYFUNCTION("""COMPUTED_VALUE"""),14)</f>
        <v>14</v>
      </c>
      <c r="B1335" s="13"/>
      <c r="C1335" s="13" t="str">
        <f ca="1">IFERROR(__xludf.DUMMYFUNCTION("""COMPUTED_VALUE"""),"等待")</f>
        <v>等待</v>
      </c>
      <c r="D1335" s="13" t="str">
        <f ca="1">IFERROR(__xludf.DUMMYFUNCTION("""COMPUTED_VALUE"""),"&lt;ruby&gt;等待&lt;rt&gt;děngdài&lt;/rt&gt;&lt;/ruby&gt;")</f>
        <v>&lt;ruby&gt;等待&lt;rt&gt;děngdài&lt;/rt&gt;&lt;/ruby&gt;</v>
      </c>
      <c r="E1335" s="13" t="str">
        <f ca="1">IFERROR(__xludf.DUMMYFUNCTION("""COMPUTED_VALUE"""),"děngdài")</f>
        <v>děngdài</v>
      </c>
      <c r="F1335" s="13" t="str">
        <f ca="1">IFERROR(__xludf.DUMMYFUNCTION("""COMPUTED_VALUE"""),"Động từ")</f>
        <v>Động từ</v>
      </c>
      <c r="G1335" s="13" t="str">
        <f ca="1">IFERROR(__xludf.DUMMYFUNCTION("""COMPUTED_VALUE"""),"đợi, chờ")</f>
        <v>đợi, chờ</v>
      </c>
      <c r="H1335" s="13" t="str">
        <f ca="1">IFERROR(__xludf.DUMMYFUNCTION("""COMPUTED_VALUE"""),"我在车站等待公交车。")</f>
        <v>我在车站等待公交车。</v>
      </c>
      <c r="I1335" s="13"/>
      <c r="J1335" s="13" t="str">
        <f ca="1">IFERROR(__xludf.DUMMYFUNCTION("""COMPUTED_VALUE"""),"Tôi đang chờ xe buýt ở trạm xe.")</f>
        <v>Tôi đang chờ xe buýt ở trạm xe.</v>
      </c>
      <c r="K1335" s="13" t="str">
        <f ca="1">IFERROR(__xludf.DUMMYFUNCTION("""COMPUTED_VALUE"""),"H5_B1_BG-14.png")</f>
        <v>H5_B1_BG-14.png</v>
      </c>
      <c r="L1335" s="13" t="str">
        <f ca="1">IFERROR(__xludf.DUMMYFUNCTION("""COMPUTED_VALUE"""),"B1-14.mp3")</f>
        <v>B1-14.mp3</v>
      </c>
      <c r="M1335" s="13" t="str">
        <f ca="1">IFERROR(__xludf.DUMMYFUNCTION("""COMPUTED_VALUE"""),"B1_VD_14.mp3")</f>
        <v>B1_VD_14.mp3</v>
      </c>
    </row>
    <row r="1336" spans="1:13">
      <c r="A1336" s="13">
        <f ca="1">IFERROR(__xludf.DUMMYFUNCTION("""COMPUTED_VALUE"""),15)</f>
        <v>15</v>
      </c>
      <c r="B1336" s="13"/>
      <c r="C1336" s="13" t="str">
        <f ca="1">IFERROR(__xludf.DUMMYFUNCTION("""COMPUTED_VALUE"""),"递")</f>
        <v>递</v>
      </c>
      <c r="D1336" s="13" t="str">
        <f ca="1">IFERROR(__xludf.DUMMYFUNCTION("""COMPUTED_VALUE"""),"&lt;ruby&gt;递&lt;rt&gt;dì&lt;/rt&gt;&lt;/ruby&gt;")</f>
        <v>&lt;ruby&gt;递&lt;rt&gt;dì&lt;/rt&gt;&lt;/ruby&gt;</v>
      </c>
      <c r="E1336" s="13" t="str">
        <f ca="1">IFERROR(__xludf.DUMMYFUNCTION("""COMPUTED_VALUE"""),"dì")</f>
        <v>dì</v>
      </c>
      <c r="F1336" s="13" t="str">
        <f ca="1">IFERROR(__xludf.DUMMYFUNCTION("""COMPUTED_VALUE"""),"Động từ")</f>
        <v>Động từ</v>
      </c>
      <c r="G1336" s="13" t="str">
        <f ca="1">IFERROR(__xludf.DUMMYFUNCTION("""COMPUTED_VALUE"""),"đưa, chuyển")</f>
        <v>đưa, chuyển</v>
      </c>
      <c r="H1336" s="13" t="str">
        <f ca="1">IFERROR(__xludf.DUMMYFUNCTION("""COMPUTED_VALUE"""),"他递给我一个包裹。")</f>
        <v>他递给我一个包裹。</v>
      </c>
      <c r="I1336" s="13"/>
      <c r="J1336" s="13" t="str">
        <f ca="1">IFERROR(__xludf.DUMMYFUNCTION("""COMPUTED_VALUE"""),"Anh ấy đưa cho tôi một gói hàng.")</f>
        <v>Anh ấy đưa cho tôi một gói hàng.</v>
      </c>
      <c r="K1336" s="13" t="str">
        <f ca="1">IFERROR(__xludf.DUMMYFUNCTION("""COMPUTED_VALUE"""),"H5_B1_BG-15.png")</f>
        <v>H5_B1_BG-15.png</v>
      </c>
      <c r="L1336" s="13" t="str">
        <f ca="1">IFERROR(__xludf.DUMMYFUNCTION("""COMPUTED_VALUE"""),"B1-15.mp3")</f>
        <v>B1-15.mp3</v>
      </c>
      <c r="M1336" s="13" t="str">
        <f ca="1">IFERROR(__xludf.DUMMYFUNCTION("""COMPUTED_VALUE"""),"B1_VD_15.mp3")</f>
        <v>B1_VD_15.mp3</v>
      </c>
    </row>
    <row r="1337" spans="1:13">
      <c r="A1337" s="13">
        <f ca="1">IFERROR(__xludf.DUMMYFUNCTION("""COMPUTED_VALUE"""),16)</f>
        <v>16</v>
      </c>
      <c r="B1337" s="13"/>
      <c r="C1337" s="13" t="str">
        <f ca="1">IFERROR(__xludf.DUMMYFUNCTION("""COMPUTED_VALUE"""),"电台")</f>
        <v>电台</v>
      </c>
      <c r="D1337" s="13" t="str">
        <f ca="1">IFERROR(__xludf.DUMMYFUNCTION("""COMPUTED_VALUE"""),"&lt;ruby&gt;电台&lt;rt&gt;diàntái&lt;/rt&gt;&lt;/ruby&gt;")</f>
        <v>&lt;ruby&gt;电台&lt;rt&gt;diàntái&lt;/rt&gt;&lt;/ruby&gt;</v>
      </c>
      <c r="E1337" s="13" t="str">
        <f ca="1">IFERROR(__xludf.DUMMYFUNCTION("""COMPUTED_VALUE"""),"diàntái")</f>
        <v>diàntái</v>
      </c>
      <c r="F1337" s="13" t="str">
        <f ca="1">IFERROR(__xludf.DUMMYFUNCTION("""COMPUTED_VALUE"""),"Danh từ")</f>
        <v>Danh từ</v>
      </c>
      <c r="G1337" s="13" t="str">
        <f ca="1">IFERROR(__xludf.DUMMYFUNCTION("""COMPUTED_VALUE"""),"đài phát thanh")</f>
        <v>đài phát thanh</v>
      </c>
      <c r="H1337" s="13" t="str">
        <f ca="1">IFERROR(__xludf.DUMMYFUNCTION("""COMPUTED_VALUE"""),"他在电台工作已经五年了。")</f>
        <v>他在电台工作已经五年了。</v>
      </c>
      <c r="I1337" s="13"/>
      <c r="J1337" s="13" t="str">
        <f ca="1">IFERROR(__xludf.DUMMYFUNCTION("""COMPUTED_VALUE"""),"Anh ấy đã làm việc tại đài phát thanh 5 năm rồi.")</f>
        <v>Anh ấy đã làm việc tại đài phát thanh 5 năm rồi.</v>
      </c>
      <c r="K1337" s="13" t="str">
        <f ca="1">IFERROR(__xludf.DUMMYFUNCTION("""COMPUTED_VALUE"""),"H5_B1_BG-16.png")</f>
        <v>H5_B1_BG-16.png</v>
      </c>
      <c r="L1337" s="13" t="str">
        <f ca="1">IFERROR(__xludf.DUMMYFUNCTION("""COMPUTED_VALUE"""),"B1-16.mp3")</f>
        <v>B1-16.mp3</v>
      </c>
      <c r="M1337" s="13" t="str">
        <f ca="1">IFERROR(__xludf.DUMMYFUNCTION("""COMPUTED_VALUE"""),"B1_VD_16.mp3")</f>
        <v>B1_VD_16.mp3</v>
      </c>
    </row>
    <row r="1338" spans="1:13">
      <c r="A1338" s="13">
        <f ca="1">IFERROR(__xludf.DUMMYFUNCTION("""COMPUTED_VALUE"""),17)</f>
        <v>17</v>
      </c>
      <c r="B1338" s="13"/>
      <c r="C1338" s="13" t="str">
        <f ca="1">IFERROR(__xludf.DUMMYFUNCTION("""COMPUTED_VALUE"""),"对比")</f>
        <v>对比</v>
      </c>
      <c r="D1338" s="13" t="str">
        <f ca="1">IFERROR(__xludf.DUMMYFUNCTION("""COMPUTED_VALUE"""),"&lt;ruby&gt;对比&lt;rt&gt;duìbǐ&lt;/rt&gt;&lt;/ruby&gt;")</f>
        <v>&lt;ruby&gt;对比&lt;rt&gt;duìbǐ&lt;/rt&gt;&lt;/ruby&gt;</v>
      </c>
      <c r="E1338" s="13" t="str">
        <f ca="1">IFERROR(__xludf.DUMMYFUNCTION("""COMPUTED_VALUE"""),"duìbǐ")</f>
        <v>duìbǐ</v>
      </c>
      <c r="F1338" s="13" t="str">
        <f ca="1">IFERROR(__xludf.DUMMYFUNCTION("""COMPUTED_VALUE"""),"Động từ")</f>
        <v>Động từ</v>
      </c>
      <c r="G1338" s="13" t="str">
        <f ca="1">IFERROR(__xludf.DUMMYFUNCTION("""COMPUTED_VALUE"""),"so sánh")</f>
        <v>so sánh</v>
      </c>
      <c r="H1338" s="13" t="str">
        <f ca="1">IFERROR(__xludf.DUMMYFUNCTION("""COMPUTED_VALUE"""),"她对比了两件裙子。")</f>
        <v>她对比了两件裙子。</v>
      </c>
      <c r="I1338" s="13"/>
      <c r="J1338" s="13" t="str">
        <f ca="1">IFERROR(__xludf.DUMMYFUNCTION("""COMPUTED_VALUE"""),"Cô ấy so sánh hai chiếc váy.")</f>
        <v>Cô ấy so sánh hai chiếc váy.</v>
      </c>
      <c r="K1338" s="13" t="str">
        <f ca="1">IFERROR(__xludf.DUMMYFUNCTION("""COMPUTED_VALUE"""),"H5_B1_BG-17.png")</f>
        <v>H5_B1_BG-17.png</v>
      </c>
      <c r="L1338" s="13" t="str">
        <f ca="1">IFERROR(__xludf.DUMMYFUNCTION("""COMPUTED_VALUE"""),"B1-17.mp3")</f>
        <v>B1-17.mp3</v>
      </c>
      <c r="M1338" s="13" t="str">
        <f ca="1">IFERROR(__xludf.DUMMYFUNCTION("""COMPUTED_VALUE"""),"B1_VD_17.mp3")</f>
        <v>B1_VD_17.mp3</v>
      </c>
    </row>
    <row r="1339" spans="1:13">
      <c r="A1339" s="13">
        <f ca="1">IFERROR(__xludf.DUMMYFUNCTION("""COMPUTED_VALUE"""),18)</f>
        <v>18</v>
      </c>
      <c r="B1339" s="13"/>
      <c r="C1339" s="13" t="str">
        <f ca="1">IFERROR(__xludf.DUMMYFUNCTION("""COMPUTED_VALUE"""),"喊")</f>
        <v>喊</v>
      </c>
      <c r="D1339" s="13" t="str">
        <f ca="1">IFERROR(__xludf.DUMMYFUNCTION("""COMPUTED_VALUE"""),"&lt;ruby&gt;喊&lt;rt&gt;hăn&lt;/rt&gt;&lt;/ruby&gt;")</f>
        <v>&lt;ruby&gt;喊&lt;rt&gt;hăn&lt;/rt&gt;&lt;/ruby&gt;</v>
      </c>
      <c r="E1339" s="13" t="str">
        <f ca="1">IFERROR(__xludf.DUMMYFUNCTION("""COMPUTED_VALUE"""),"hăn")</f>
        <v>hăn</v>
      </c>
      <c r="F1339" s="13" t="str">
        <f ca="1">IFERROR(__xludf.DUMMYFUNCTION("""COMPUTED_VALUE"""),"Động từ")</f>
        <v>Động từ</v>
      </c>
      <c r="G1339" s="13" t="str">
        <f ca="1">IFERROR(__xludf.DUMMYFUNCTION("""COMPUTED_VALUE"""),"kêu, gọi")</f>
        <v>kêu, gọi</v>
      </c>
      <c r="H1339" s="13" t="str">
        <f ca="1">IFERROR(__xludf.DUMMYFUNCTION("""COMPUTED_VALUE"""),"他大声喊出了口号。")</f>
        <v>他大声喊出了口号。</v>
      </c>
      <c r="I1339" s="13"/>
      <c r="J1339" s="13" t="str">
        <f ca="1">IFERROR(__xludf.DUMMYFUNCTION("""COMPUTED_VALUE"""),"Anh ấy hô lớn khẩu hiệu.")</f>
        <v>Anh ấy hô lớn khẩu hiệu.</v>
      </c>
      <c r="K1339" s="13" t="str">
        <f ca="1">IFERROR(__xludf.DUMMYFUNCTION("""COMPUTED_VALUE"""),"H5_B1_BG-18.png")</f>
        <v>H5_B1_BG-18.png</v>
      </c>
      <c r="L1339" s="13" t="str">
        <f ca="1">IFERROR(__xludf.DUMMYFUNCTION("""COMPUTED_VALUE"""),"B1-18.mp3")</f>
        <v>B1-18.mp3</v>
      </c>
      <c r="M1339" s="13" t="str">
        <f ca="1">IFERROR(__xludf.DUMMYFUNCTION("""COMPUTED_VALUE"""),"B1_VD_18.mp3")</f>
        <v>B1_VD_18.mp3</v>
      </c>
    </row>
    <row r="1340" spans="1:13">
      <c r="A1340" s="13">
        <f ca="1">IFERROR(__xludf.DUMMYFUNCTION("""COMPUTED_VALUE"""),19)</f>
        <v>19</v>
      </c>
      <c r="B1340" s="13"/>
      <c r="C1340" s="13" t="str">
        <f ca="1">IFERROR(__xludf.DUMMYFUNCTION("""COMPUTED_VALUE"""),"女士")</f>
        <v>女士</v>
      </c>
      <c r="D1340" s="13" t="str">
        <f ca="1">IFERROR(__xludf.DUMMYFUNCTION("""COMPUTED_VALUE"""),"&lt;ruby&gt;女士&lt;rt&gt;nǚshì&lt;/rt&gt;&lt;/ruby&gt;")</f>
        <v>&lt;ruby&gt;女士&lt;rt&gt;nǚshì&lt;/rt&gt;&lt;/ruby&gt;</v>
      </c>
      <c r="E1340" s="13" t="str">
        <f ca="1">IFERROR(__xludf.DUMMYFUNCTION("""COMPUTED_VALUE"""),"nǚshì")</f>
        <v>nǚshì</v>
      </c>
      <c r="F1340" s="13" t="str">
        <f ca="1">IFERROR(__xludf.DUMMYFUNCTION("""COMPUTED_VALUE"""),"Danh từ")</f>
        <v>Danh từ</v>
      </c>
      <c r="G1340" s="13" t="str">
        <f ca="1">IFERROR(__xludf.DUMMYFUNCTION("""COMPUTED_VALUE"""),"bà (dạng lịch sự để gọi phụ nữ)")</f>
        <v>bà (dạng lịch sự để gọi phụ nữ)</v>
      </c>
      <c r="H1340" s="13" t="str">
        <f ca="1">IFERROR(__xludf.DUMMYFUNCTION("""COMPUTED_VALUE"""),"那位女士是我们的新老板。")</f>
        <v>那位女士是我们的新老板。</v>
      </c>
      <c r="I1340" s="13"/>
      <c r="J1340" s="13" t="str">
        <f ca="1">IFERROR(__xludf.DUMMYFUNCTION("""COMPUTED_VALUE"""),"Quý cô đó là sếp mới của chúng tôi.")</f>
        <v>Quý cô đó là sếp mới của chúng tôi.</v>
      </c>
      <c r="K1340" s="13" t="str">
        <f ca="1">IFERROR(__xludf.DUMMYFUNCTION("""COMPUTED_VALUE"""),"H5_B1_BG-19.png")</f>
        <v>H5_B1_BG-19.png</v>
      </c>
      <c r="L1340" s="13" t="str">
        <f ca="1">IFERROR(__xludf.DUMMYFUNCTION("""COMPUTED_VALUE"""),"B1-19.mp3")</f>
        <v>B1-19.mp3</v>
      </c>
      <c r="M1340" s="13" t="str">
        <f ca="1">IFERROR(__xludf.DUMMYFUNCTION("""COMPUTED_VALUE"""),"B1_VD_19.mp3")</f>
        <v>B1_VD_19.mp3</v>
      </c>
    </row>
    <row r="1341" spans="1:13">
      <c r="A1341" s="13">
        <f ca="1">IFERROR(__xludf.DUMMYFUNCTION("""COMPUTED_VALUE"""),20)</f>
        <v>20</v>
      </c>
      <c r="B1341" s="13"/>
      <c r="C1341" s="13" t="str">
        <f ca="1">IFERROR(__xludf.DUMMYFUNCTION("""COMPUTED_VALUE"""),"如何")</f>
        <v>如何</v>
      </c>
      <c r="D1341" s="13" t="str">
        <f ca="1">IFERROR(__xludf.DUMMYFUNCTION("""COMPUTED_VALUE"""),"&lt;ruby&gt;如何&lt;rt&gt;rúhé&lt;/rt&gt;&lt;/ruby&gt;")</f>
        <v>&lt;ruby&gt;如何&lt;rt&gt;rúhé&lt;/rt&gt;&lt;/ruby&gt;</v>
      </c>
      <c r="E1341" s="13" t="str">
        <f ca="1">IFERROR(__xludf.DUMMYFUNCTION("""COMPUTED_VALUE"""),"rúhé")</f>
        <v>rúhé</v>
      </c>
      <c r="F1341" s="13" t="str">
        <f ca="1">IFERROR(__xludf.DUMMYFUNCTION("""COMPUTED_VALUE"""),"Đại từ")</f>
        <v>Đại từ</v>
      </c>
      <c r="G1341" s="13" t="str">
        <f ca="1">IFERROR(__xludf.DUMMYFUNCTION("""COMPUTED_VALUE"""),"như thế nào")</f>
        <v>như thế nào</v>
      </c>
      <c r="H1341" s="13" t="str">
        <f ca="1">IFERROR(__xludf.DUMMYFUNCTION("""COMPUTED_VALUE"""),"你觉得这个房子如何？")</f>
        <v>你觉得这个房子如何？</v>
      </c>
      <c r="I1341" s="13"/>
      <c r="J1341" s="13" t="str">
        <f ca="1">IFERROR(__xludf.DUMMYFUNCTION("""COMPUTED_VALUE"""),"Bạn cảm thấy ngôi nhà này thế nào?")</f>
        <v>Bạn cảm thấy ngôi nhà này thế nào?</v>
      </c>
      <c r="K1341" s="13" t="str">
        <f ca="1">IFERROR(__xludf.DUMMYFUNCTION("""COMPUTED_VALUE"""),"H5_B1_BG-20.png")</f>
        <v>H5_B1_BG-20.png</v>
      </c>
      <c r="L1341" s="13" t="str">
        <f ca="1">IFERROR(__xludf.DUMMYFUNCTION("""COMPUTED_VALUE"""),"B1-20.mp3")</f>
        <v>B1-20.mp3</v>
      </c>
      <c r="M1341" s="13" t="str">
        <f ca="1">IFERROR(__xludf.DUMMYFUNCTION("""COMPUTED_VALUE"""),"B1_VD_20.mp3")</f>
        <v>B1_VD_20.mp3</v>
      </c>
    </row>
    <row r="1342" spans="1:13">
      <c r="A1342" s="13">
        <f ca="1">IFERROR(__xludf.DUMMYFUNCTION("""COMPUTED_VALUE"""),21)</f>
        <v>21</v>
      </c>
      <c r="B1342" s="13"/>
      <c r="C1342" s="13" t="str">
        <f ca="1">IFERROR(__xludf.DUMMYFUNCTION("""COMPUTED_VALUE"""),"评委")</f>
        <v>评委</v>
      </c>
      <c r="D1342" s="13" t="str">
        <f ca="1">IFERROR(__xludf.DUMMYFUNCTION("""COMPUTED_VALUE"""),"&lt;ruby&gt;评委&lt;rt&gt;píngwěi&lt;/rt&gt;&lt;/ruby&gt;")</f>
        <v>&lt;ruby&gt;评委&lt;rt&gt;píngwěi&lt;/rt&gt;&lt;/ruby&gt;</v>
      </c>
      <c r="E1342" s="13" t="str">
        <f ca="1">IFERROR(__xludf.DUMMYFUNCTION("""COMPUTED_VALUE"""),"píngwěi")</f>
        <v>píngwěi</v>
      </c>
      <c r="F1342" s="13" t="str">
        <f ca="1">IFERROR(__xludf.DUMMYFUNCTION("""COMPUTED_VALUE"""),"Danh từ")</f>
        <v>Danh từ</v>
      </c>
      <c r="G1342" s="13" t="str">
        <f ca="1">IFERROR(__xludf.DUMMYFUNCTION("""COMPUTED_VALUE"""),"ban giám khảo")</f>
        <v>ban giám khảo</v>
      </c>
      <c r="H1342" s="13" t="str">
        <f ca="1">IFERROR(__xludf.DUMMYFUNCTION("""COMPUTED_VALUE"""),"评委对选手的表现做出了详细的评价。")</f>
        <v>评委对选手的表现做出了详细的评价。</v>
      </c>
      <c r="I1342" s="13"/>
      <c r="J1342" s="13" t="str">
        <f ca="1">IFERROR(__xludf.DUMMYFUNCTION("""COMPUTED_VALUE"""),"Ban giám khảo đã đưa ra đánh giá chi tiết về phần trình bày của thí sinh.")</f>
        <v>Ban giám khảo đã đưa ra đánh giá chi tiết về phần trình bày của thí sinh.</v>
      </c>
      <c r="K1342" s="13" t="str">
        <f ca="1">IFERROR(__xludf.DUMMYFUNCTION("""COMPUTED_VALUE"""),"H5_B1_BG-21.png")</f>
        <v>H5_B1_BG-21.png</v>
      </c>
      <c r="L1342" s="13" t="str">
        <f ca="1">IFERROR(__xludf.DUMMYFUNCTION("""COMPUTED_VALUE"""),"B1-21.mp3")</f>
        <v>B1-21.mp3</v>
      </c>
      <c r="M1342" s="13" t="str">
        <f ca="1">IFERROR(__xludf.DUMMYFUNCTION("""COMPUTED_VALUE"""),"B1_VD_21.mp3")</f>
        <v>B1_VD_21.mp3</v>
      </c>
    </row>
    <row r="1343" spans="1:13">
      <c r="A1343" s="13">
        <f ca="1">IFERROR(__xludf.DUMMYFUNCTION("""COMPUTED_VALUE"""),22)</f>
        <v>22</v>
      </c>
      <c r="B1343" s="13"/>
      <c r="C1343" s="13" t="str">
        <f ca="1">IFERROR(__xludf.DUMMYFUNCTION("""COMPUTED_VALUE"""),"叙述")</f>
        <v>叙述</v>
      </c>
      <c r="D1343" s="13" t="str">
        <f ca="1">IFERROR(__xludf.DUMMYFUNCTION("""COMPUTED_VALUE"""),"&lt;ruby&gt;叙述&lt;rt&gt;xùshù&lt;/rt&gt;&lt;/ruby&gt;")</f>
        <v>&lt;ruby&gt;叙述&lt;rt&gt;xùshù&lt;/rt&gt;&lt;/ruby&gt;</v>
      </c>
      <c r="E1343" s="13" t="str">
        <f ca="1">IFERROR(__xludf.DUMMYFUNCTION("""COMPUTED_VALUE"""),"xùshù")</f>
        <v>xùshù</v>
      </c>
      <c r="F1343" s="13" t="str">
        <f ca="1">IFERROR(__xludf.DUMMYFUNCTION("""COMPUTED_VALUE"""),"Động từ")</f>
        <v>Động từ</v>
      </c>
      <c r="G1343" s="13" t="str">
        <f ca="1">IFERROR(__xludf.DUMMYFUNCTION("""COMPUTED_VALUE"""),"thuật lại")</f>
        <v>thuật lại</v>
      </c>
      <c r="H1343" s="13" t="str">
        <f ca="1">IFERROR(__xludf.DUMMYFUNCTION("""COMPUTED_VALUE"""),"他叙述了事故发生的过程。")</f>
        <v>他叙述了事故发生的过程。</v>
      </c>
      <c r="I1343" s="13"/>
      <c r="J1343" s="13" t="str">
        <f ca="1">IFERROR(__xludf.DUMMYFUNCTION("""COMPUTED_VALUE"""),"Anh ấy kể lại quá trình xảy ra tai nạn.")</f>
        <v>Anh ấy kể lại quá trình xảy ra tai nạn.</v>
      </c>
      <c r="K1343" s="13" t="str">
        <f ca="1">IFERROR(__xludf.DUMMYFUNCTION("""COMPUTED_VALUE"""),"H5_B1_BG-22.png")</f>
        <v>H5_B1_BG-22.png</v>
      </c>
      <c r="L1343" s="13" t="str">
        <f ca="1">IFERROR(__xludf.DUMMYFUNCTION("""COMPUTED_VALUE"""),"B1-22.mp3")</f>
        <v>B1-22.mp3</v>
      </c>
      <c r="M1343" s="13" t="str">
        <f ca="1">IFERROR(__xludf.DUMMYFUNCTION("""COMPUTED_VALUE"""),"B1_VD_22.mp3")</f>
        <v>B1_VD_22.mp3</v>
      </c>
    </row>
    <row r="1344" spans="1:13">
      <c r="A1344" s="13">
        <f ca="1">IFERROR(__xludf.DUMMYFUNCTION("""COMPUTED_VALUE"""),23)</f>
        <v>23</v>
      </c>
      <c r="B1344" s="13"/>
      <c r="C1344" s="13" t="str">
        <f ca="1">IFERROR(__xludf.DUMMYFUNCTION("""COMPUTED_VALUE"""),"项")</f>
        <v>项</v>
      </c>
      <c r="D1344" s="13" t="str">
        <f ca="1">IFERROR(__xludf.DUMMYFUNCTION("""COMPUTED_VALUE"""),"&lt;ruby&gt;项&lt;rt&gt;xiàng&lt;/rt&gt;&lt;/ruby&gt;")</f>
        <v>&lt;ruby&gt;项&lt;rt&gt;xiàng&lt;/rt&gt;&lt;/ruby&gt;</v>
      </c>
      <c r="E1344" s="13" t="str">
        <f ca="1">IFERROR(__xludf.DUMMYFUNCTION("""COMPUTED_VALUE"""),"xiàng")</f>
        <v>xiàng</v>
      </c>
      <c r="F1344" s="13" t="str">
        <f ca="1">IFERROR(__xludf.DUMMYFUNCTION("""COMPUTED_VALUE"""),"Lượng từ")</f>
        <v>Lượng từ</v>
      </c>
      <c r="G1344" s="13" t="str">
        <f ca="1">IFERROR(__xludf.DUMMYFUNCTION("""COMPUTED_VALUE"""),"(được dùng cho những vật được chia thành hạng mục) hạng mục, mục")</f>
        <v>(được dùng cho những vật được chia thành hạng mục) hạng mục, mục</v>
      </c>
      <c r="H1344" s="13" t="str">
        <f ca="1">IFERROR(__xludf.DUMMYFUNCTION("""COMPUTED_VALUE"""),"比赛规则中的每一项都需要严格遵守。")</f>
        <v>比赛规则中的每一项都需要严格遵守。</v>
      </c>
      <c r="I1344" s="13"/>
      <c r="J1344" s="13" t="str">
        <f ca="1">IFERROR(__xludf.DUMMYFUNCTION("""COMPUTED_VALUE"""),"Mỗi hạng mục trong quy tắc thi đấu đều cần được tuân thủ nghiêm ngặt.")</f>
        <v>Mỗi hạng mục trong quy tắc thi đấu đều cần được tuân thủ nghiêm ngặt.</v>
      </c>
      <c r="K1344" s="13" t="str">
        <f ca="1">IFERROR(__xludf.DUMMYFUNCTION("""COMPUTED_VALUE"""),"H5_B1_BG-23.png")</f>
        <v>H5_B1_BG-23.png</v>
      </c>
      <c r="L1344" s="13" t="str">
        <f ca="1">IFERROR(__xludf.DUMMYFUNCTION("""COMPUTED_VALUE"""),"B1-23.mp3")</f>
        <v>B1-23.mp3</v>
      </c>
      <c r="M1344" s="13" t="str">
        <f ca="1">IFERROR(__xludf.DUMMYFUNCTION("""COMPUTED_VALUE"""),"B1_VD_23.mp3")</f>
        <v>B1_VD_23.mp3</v>
      </c>
    </row>
    <row r="1345" spans="1:13">
      <c r="A1345" s="13">
        <f ca="1">IFERROR(__xludf.DUMMYFUNCTION("""COMPUTED_VALUE"""),24)</f>
        <v>24</v>
      </c>
      <c r="B1345" s="13"/>
      <c r="C1345" s="13" t="str">
        <f ca="1">IFERROR(__xludf.DUMMYFUNCTION("""COMPUTED_VALUE"""),"轮")</f>
        <v>轮</v>
      </c>
      <c r="D1345" s="13" t="str">
        <f ca="1">IFERROR(__xludf.DUMMYFUNCTION("""COMPUTED_VALUE"""),"&lt;ruby&gt;轮&lt;rt&gt;lún&lt;/rt&gt;&lt;/ruby&gt;")</f>
        <v>&lt;ruby&gt;轮&lt;rt&gt;lún&lt;/rt&gt;&lt;/ruby&gt;</v>
      </c>
      <c r="E1345" s="13" t="str">
        <f ca="1">IFERROR(__xludf.DUMMYFUNCTION("""COMPUTED_VALUE"""),"lún")</f>
        <v>lún</v>
      </c>
      <c r="F1345" s="13" t="str">
        <f ca="1">IFERROR(__xludf.DUMMYFUNCTION("""COMPUTED_VALUE"""),"Động từ")</f>
        <v>Động từ</v>
      </c>
      <c r="G1345" s="13" t="str">
        <f ca="1">IFERROR(__xludf.DUMMYFUNCTION("""COMPUTED_VALUE"""),"luân phiên, thay phiên")</f>
        <v>luân phiên, thay phiên</v>
      </c>
      <c r="H1345" s="13" t="str">
        <f ca="1">IFERROR(__xludf.DUMMYFUNCTION("""COMPUTED_VALUE"""),"这次会议需要大家轮着发言。")</f>
        <v>这次会议需要大家轮着发言。</v>
      </c>
      <c r="I1345" s="13"/>
      <c r="J1345" s="13" t="str">
        <f ca="1">IFERROR(__xludf.DUMMYFUNCTION("""COMPUTED_VALUE"""),"Cuộc họp lần này cần mọi người thay phiên nhau phát biểu.")</f>
        <v>Cuộc họp lần này cần mọi người thay phiên nhau phát biểu.</v>
      </c>
      <c r="K1345" s="13" t="str">
        <f ca="1">IFERROR(__xludf.DUMMYFUNCTION("""COMPUTED_VALUE"""),"H5_B1_BG-24.png")</f>
        <v>H5_B1_BG-24.png</v>
      </c>
      <c r="L1345" s="13" t="str">
        <f ca="1">IFERROR(__xludf.DUMMYFUNCTION("""COMPUTED_VALUE"""),"B1-24.mp3")</f>
        <v>B1-24.mp3</v>
      </c>
      <c r="M1345" s="13" t="str">
        <f ca="1">IFERROR(__xludf.DUMMYFUNCTION("""COMPUTED_VALUE"""),"B1_VD_24.mp3")</f>
        <v>B1_VD_24.mp3</v>
      </c>
    </row>
    <row r="1346" spans="1:13">
      <c r="A1346" s="13">
        <f ca="1">IFERROR(__xludf.DUMMYFUNCTION("""COMPUTED_VALUE"""),25)</f>
        <v>25</v>
      </c>
      <c r="B1346" s="13"/>
      <c r="C1346" s="13" t="str">
        <f ca="1">IFERROR(__xludf.DUMMYFUNCTION("""COMPUTED_VALUE"""),"肩膀")</f>
        <v>肩膀</v>
      </c>
      <c r="D1346" s="13" t="str">
        <f ca="1">IFERROR(__xludf.DUMMYFUNCTION("""COMPUTED_VALUE"""),"&lt;ruby&gt;肩膀&lt;rt&gt;jiānbǎng&lt;/rt&gt;&lt;/ruby&gt;")</f>
        <v>&lt;ruby&gt;肩膀&lt;rt&gt;jiānbǎng&lt;/rt&gt;&lt;/ruby&gt;</v>
      </c>
      <c r="E1346" s="13" t="str">
        <f ca="1">IFERROR(__xludf.DUMMYFUNCTION("""COMPUTED_VALUE"""),"jiānbǎng")</f>
        <v>jiānbǎng</v>
      </c>
      <c r="F1346" s="13" t="str">
        <f ca="1">IFERROR(__xludf.DUMMYFUNCTION("""COMPUTED_VALUE"""),"Danh từ")</f>
        <v>Danh từ</v>
      </c>
      <c r="G1346" s="13" t="str">
        <f ca="1">IFERROR(__xludf.DUMMYFUNCTION("""COMPUTED_VALUE"""),"bờ vai, vai")</f>
        <v>bờ vai, vai</v>
      </c>
      <c r="H1346" s="13" t="str">
        <f ca="1">IFERROR(__xludf.DUMMYFUNCTION("""COMPUTED_VALUE"""),"他的肩膀很宽，看起来很有力量。")</f>
        <v>他的肩膀很宽，看起来很有力量。</v>
      </c>
      <c r="I1346" s="13"/>
      <c r="J1346" s="13" t="str">
        <f ca="1">IFERROR(__xludf.DUMMYFUNCTION("""COMPUTED_VALUE"""),"Vai của anh ấy rất rộng, trông rất khỏe mạnh.")</f>
        <v>Vai của anh ấy rất rộng, trông rất khỏe mạnh.</v>
      </c>
      <c r="K1346" s="13" t="str">
        <f ca="1">IFERROR(__xludf.DUMMYFUNCTION("""COMPUTED_VALUE"""),"H5_B1_BG-25.png")</f>
        <v>H5_B1_BG-25.png</v>
      </c>
      <c r="L1346" s="13" t="str">
        <f ca="1">IFERROR(__xludf.DUMMYFUNCTION("""COMPUTED_VALUE"""),"B1-25.mp3")</f>
        <v>B1-25.mp3</v>
      </c>
      <c r="M1346" s="13" t="str">
        <f ca="1">IFERROR(__xludf.DUMMYFUNCTION("""COMPUTED_VALUE"""),"B1_VD_25.mp3")</f>
        <v>B1_VD_25.mp3</v>
      </c>
    </row>
    <row r="1347" spans="1:13">
      <c r="A1347" s="13">
        <f ca="1">IFERROR(__xludf.DUMMYFUNCTION("""COMPUTED_VALUE"""),26)</f>
        <v>26</v>
      </c>
      <c r="B1347" s="13"/>
      <c r="C1347" s="13" t="str">
        <f ca="1">IFERROR(__xludf.DUMMYFUNCTION("""COMPUTED_VALUE"""),"居然")</f>
        <v>居然</v>
      </c>
      <c r="D1347" s="13" t="str">
        <f ca="1">IFERROR(__xludf.DUMMYFUNCTION("""COMPUTED_VALUE"""),"&lt;ruby&gt;居然&lt;rt&gt;jūrán&lt;/rt&gt;&lt;/ruby&gt;")</f>
        <v>&lt;ruby&gt;居然&lt;rt&gt;jūrán&lt;/rt&gt;&lt;/ruby&gt;</v>
      </c>
      <c r="E1347" s="13" t="str">
        <f ca="1">IFERROR(__xludf.DUMMYFUNCTION("""COMPUTED_VALUE"""),"jūrán")</f>
        <v>jūrán</v>
      </c>
      <c r="F1347" s="13" t="str">
        <f ca="1">IFERROR(__xludf.DUMMYFUNCTION("""COMPUTED_VALUE"""),"Phó từ")</f>
        <v>Phó từ</v>
      </c>
      <c r="G1347" s="13" t="str">
        <f ca="1">IFERROR(__xludf.DUMMYFUNCTION("""COMPUTED_VALUE"""),"(chỉ sự bất ngờ) lại có thể, lại")</f>
        <v>(chỉ sự bất ngờ) lại có thể, lại</v>
      </c>
      <c r="H1347" s="13" t="str">
        <f ca="1">IFERROR(__xludf.DUMMYFUNCTION("""COMPUTED_VALUE"""),"他摔倒时，居然用肩膀接住了重物")</f>
        <v>他摔倒时，居然用肩膀接住了重物</v>
      </c>
      <c r="I1347" s="13"/>
      <c r="J1347" s="13" t="str">
        <f ca="1">IFERROR(__xludf.DUMMYFUNCTION("""COMPUTED_VALUE"""),"Khi ngã, anh ấy lại dùng vai đỡ được vật nặng.")</f>
        <v>Khi ngã, anh ấy lại dùng vai đỡ được vật nặng.</v>
      </c>
      <c r="K1347" s="13" t="str">
        <f ca="1">IFERROR(__xludf.DUMMYFUNCTION("""COMPUTED_VALUE"""),"H5_B1_BG-26.png")</f>
        <v>H5_B1_BG-26.png</v>
      </c>
      <c r="L1347" s="13" t="str">
        <f ca="1">IFERROR(__xludf.DUMMYFUNCTION("""COMPUTED_VALUE"""),"B1-26.mp3")</f>
        <v>B1-26.mp3</v>
      </c>
      <c r="M1347" s="13" t="str">
        <f ca="1">IFERROR(__xludf.DUMMYFUNCTION("""COMPUTED_VALUE"""),"B1_VD_26.mp3")</f>
        <v>B1_VD_26.mp3</v>
      </c>
    </row>
    <row r="1348" spans="1:13">
      <c r="A1348" s="13">
        <f ca="1">IFERROR(__xludf.DUMMYFUNCTION("""COMPUTED_VALUE"""),27)</f>
        <v>27</v>
      </c>
      <c r="B1348" s="13"/>
      <c r="C1348" s="13" t="str">
        <f ca="1">IFERROR(__xludf.DUMMYFUNCTION("""COMPUTED_VALUE"""),"靠")</f>
        <v>靠</v>
      </c>
      <c r="D1348" s="13" t="str">
        <f ca="1">IFERROR(__xludf.DUMMYFUNCTION("""COMPUTED_VALUE"""),"&lt;ruby&gt;靠&lt;rt&gt;kào&lt;/rt&gt;&lt;/ruby&gt;")</f>
        <v>&lt;ruby&gt;靠&lt;rt&gt;kào&lt;/rt&gt;&lt;/ruby&gt;</v>
      </c>
      <c r="E1348" s="13" t="str">
        <f ca="1">IFERROR(__xludf.DUMMYFUNCTION("""COMPUTED_VALUE"""),"kào")</f>
        <v>kào</v>
      </c>
      <c r="F1348" s="13" t="str">
        <f ca="1">IFERROR(__xludf.DUMMYFUNCTION("""COMPUTED_VALUE"""),"Động từ")</f>
        <v>Động từ</v>
      </c>
      <c r="G1348" s="13" t="str">
        <f ca="1">IFERROR(__xludf.DUMMYFUNCTION("""COMPUTED_VALUE"""),"dựa, tựa")</f>
        <v>dựa, tựa</v>
      </c>
      <c r="H1348" s="13" t="str">
        <f ca="1">IFERROR(__xludf.DUMMYFUNCTION("""COMPUTED_VALUE"""),"她累了，靠在墙上休息了一会儿。")</f>
        <v>她累了，靠在墙上休息了一会儿。</v>
      </c>
      <c r="I1348" s="13"/>
      <c r="J1348" s="13" t="str">
        <f ca="1">IFERROR(__xludf.DUMMYFUNCTION("""COMPUTED_VALUE"""),"Cô ấy mệt quá, dựa vào tường nghỉ ngơi một lát.")</f>
        <v>Cô ấy mệt quá, dựa vào tường nghỉ ngơi một lát.</v>
      </c>
      <c r="K1348" s="13" t="str">
        <f ca="1">IFERROR(__xludf.DUMMYFUNCTION("""COMPUTED_VALUE"""),"H5_B1_BG-27.png")</f>
        <v>H5_B1_BG-27.png</v>
      </c>
      <c r="L1348" s="13" t="str">
        <f ca="1">IFERROR(__xludf.DUMMYFUNCTION("""COMPUTED_VALUE"""),"B1-27.mp3")</f>
        <v>B1-27.mp3</v>
      </c>
      <c r="M1348" s="13" t="str">
        <f ca="1">IFERROR(__xludf.DUMMYFUNCTION("""COMPUTED_VALUE"""),"B1_VD_27.mp3")</f>
        <v>B1_VD_27.mp3</v>
      </c>
    </row>
    <row r="1349" spans="1:13">
      <c r="A1349" s="13">
        <f ca="1">IFERROR(__xludf.DUMMYFUNCTION("""COMPUTED_VALUE"""),28)</f>
        <v>28</v>
      </c>
      <c r="B1349" s="13"/>
      <c r="C1349" s="13" t="str">
        <f ca="1">IFERROR(__xludf.DUMMYFUNCTION("""COMPUTED_VALUE"""),"半夜")</f>
        <v>半夜</v>
      </c>
      <c r="D1349" s="13" t="str">
        <f ca="1">IFERROR(__xludf.DUMMYFUNCTION("""COMPUTED_VALUE"""),"&lt;ruby&gt;半夜&lt;rt&gt;bànyè&lt;/rt&gt;&lt;/ruby&gt;")</f>
        <v>&lt;ruby&gt;半夜&lt;rt&gt;bànyè&lt;/rt&gt;&lt;/ruby&gt;</v>
      </c>
      <c r="E1349" s="13" t="str">
        <f ca="1">IFERROR(__xludf.DUMMYFUNCTION("""COMPUTED_VALUE"""),"bànyè")</f>
        <v>bànyè</v>
      </c>
      <c r="F1349" s="13" t="str">
        <f ca="1">IFERROR(__xludf.DUMMYFUNCTION("""COMPUTED_VALUE"""),"Danh từ")</f>
        <v>Danh từ</v>
      </c>
      <c r="G1349" s="13" t="str">
        <f ca="1">IFERROR(__xludf.DUMMYFUNCTION("""COMPUTED_VALUE"""),"nửa đêm, đêm hôm")</f>
        <v>nửa đêm, đêm hôm</v>
      </c>
      <c r="H1349" s="13" t="str">
        <f ca="1">IFERROR(__xludf.DUMMYFUNCTION("""COMPUTED_VALUE"""),"他半夜醒来，发现头很疼。")</f>
        <v>他半夜醒来，发现头很疼。</v>
      </c>
      <c r="I1349" s="13"/>
      <c r="J1349" s="13" t="str">
        <f ca="1">IFERROR(__xludf.DUMMYFUNCTION("""COMPUTED_VALUE"""),"Anh ấy tỉnh dậy lúc nửa đêm, phát hiện đầu rất đau.")</f>
        <v>Anh ấy tỉnh dậy lúc nửa đêm, phát hiện đầu rất đau.</v>
      </c>
      <c r="K1349" s="13" t="str">
        <f ca="1">IFERROR(__xludf.DUMMYFUNCTION("""COMPUTED_VALUE"""),"H5_B1_BG-28.png")</f>
        <v>H5_B1_BG-28.png</v>
      </c>
      <c r="L1349" s="13" t="str">
        <f ca="1">IFERROR(__xludf.DUMMYFUNCTION("""COMPUTED_VALUE"""),"B1-28.mp3")</f>
        <v>B1-28.mp3</v>
      </c>
      <c r="M1349" s="13" t="str">
        <f ca="1">IFERROR(__xludf.DUMMYFUNCTION("""COMPUTED_VALUE"""),"B1_VD_28.mp3")</f>
        <v>B1_VD_28.mp3</v>
      </c>
    </row>
    <row r="1350" spans="1:13">
      <c r="A1350" s="13">
        <f ca="1">IFERROR(__xludf.DUMMYFUNCTION("""COMPUTED_VALUE"""),29)</f>
        <v>29</v>
      </c>
      <c r="B1350" s="13"/>
      <c r="C1350" s="13" t="str">
        <f ca="1">IFERROR(__xludf.DUMMYFUNCTION("""COMPUTED_VALUE"""),"脑袋")</f>
        <v>脑袋</v>
      </c>
      <c r="D1350" s="13" t="str">
        <f ca="1">IFERROR(__xludf.DUMMYFUNCTION("""COMPUTED_VALUE"""),"&lt;ruby&gt;脑袋&lt;rt&gt;nǎodai&lt;/rt&gt;&lt;/ruby&gt;")</f>
        <v>&lt;ruby&gt;脑袋&lt;rt&gt;nǎodai&lt;/rt&gt;&lt;/ruby&gt;</v>
      </c>
      <c r="E1350" s="13" t="str">
        <f ca="1">IFERROR(__xludf.DUMMYFUNCTION("""COMPUTED_VALUE"""),"nǎodai")</f>
        <v>nǎodai</v>
      </c>
      <c r="F1350" s="13" t="str">
        <f ca="1">IFERROR(__xludf.DUMMYFUNCTION("""COMPUTED_VALUE"""),"Danh từ")</f>
        <v>Danh từ</v>
      </c>
      <c r="G1350" s="13" t="str">
        <f ca="1">IFERROR(__xludf.DUMMYFUNCTION("""COMPUTED_VALUE"""),"đầu")</f>
        <v>đầu</v>
      </c>
      <c r="H1350" s="13" t="str">
        <f ca="1">IFERROR(__xludf.DUMMYFUNCTION("""COMPUTED_VALUE"""),"他的脑袋经常会疼，需要去医院检查一下。")</f>
        <v>他的脑袋经常会疼，需要去医院检查一下。</v>
      </c>
      <c r="I1350" s="13"/>
      <c r="J1350" s="13" t="str">
        <f ca="1">IFERROR(__xludf.DUMMYFUNCTION("""COMPUTED_VALUE"""),"Đầu anh ấy thường xuyên đau, cần đến bệnh viện kiểm tra.")</f>
        <v>Đầu anh ấy thường xuyên đau, cần đến bệnh viện kiểm tra.</v>
      </c>
      <c r="K1350" s="13" t="str">
        <f ca="1">IFERROR(__xludf.DUMMYFUNCTION("""COMPUTED_VALUE"""),"H5_B1_BG-29.png")</f>
        <v>H5_B1_BG-29.png</v>
      </c>
      <c r="L1350" s="13" t="str">
        <f ca="1">IFERROR(__xludf.DUMMYFUNCTION("""COMPUTED_VALUE"""),"B1-29.mp3")</f>
        <v>B1-29.mp3</v>
      </c>
      <c r="M1350" s="13" t="str">
        <f ca="1">IFERROR(__xludf.DUMMYFUNCTION("""COMPUTED_VALUE"""),"B1_VD_29.mp3")</f>
        <v>B1_VD_29.mp3</v>
      </c>
    </row>
    <row r="1351" spans="1:13">
      <c r="A1351" s="13">
        <f ca="1">IFERROR(__xludf.DUMMYFUNCTION("""COMPUTED_VALUE"""),30)</f>
        <v>30</v>
      </c>
      <c r="B1351" s="13"/>
      <c r="C1351" s="13" t="str">
        <f ca="1">IFERROR(__xludf.DUMMYFUNCTION("""COMPUTED_VALUE"""),"伸")</f>
        <v>伸</v>
      </c>
      <c r="D1351" s="13" t="str">
        <f ca="1">IFERROR(__xludf.DUMMYFUNCTION("""COMPUTED_VALUE"""),"&lt;ruby&gt;伸&lt;rt&gt;shēn&lt;/rt&gt;&lt;/ruby&gt;")</f>
        <v>&lt;ruby&gt;伸&lt;rt&gt;shēn&lt;/rt&gt;&lt;/ruby&gt;</v>
      </c>
      <c r="E1351" s="13" t="str">
        <f ca="1">IFERROR(__xludf.DUMMYFUNCTION("""COMPUTED_VALUE"""),"shēn")</f>
        <v>shēn</v>
      </c>
      <c r="F1351" s="13" t="str">
        <f ca="1">IFERROR(__xludf.DUMMYFUNCTION("""COMPUTED_VALUE"""),"Động từ")</f>
        <v>Động từ</v>
      </c>
      <c r="G1351" s="13" t="str">
        <f ca="1">IFERROR(__xludf.DUMMYFUNCTION("""COMPUTED_VALUE"""),"duỗi, chìa")</f>
        <v>duỗi, chìa</v>
      </c>
      <c r="H1351" s="13" t="str">
        <f ca="1">IFERROR(__xludf.DUMMYFUNCTION("""COMPUTED_VALUE"""),"他伸出手指，指向了前面的方向。")</f>
        <v>他伸出手指，指向了前面的方向。</v>
      </c>
      <c r="I1351" s="13"/>
      <c r="J1351" s="13" t="str">
        <f ca="1">IFERROR(__xludf.DUMMYFUNCTION("""COMPUTED_VALUE""")," Anh ấy vươn ngón tay, chỉ về phía trước.")</f>
        <v xml:space="preserve"> Anh ấy vươn ngón tay, chỉ về phía trước.</v>
      </c>
      <c r="K1351" s="13" t="str">
        <f ca="1">IFERROR(__xludf.DUMMYFUNCTION("""COMPUTED_VALUE"""),"H5_B1_BG-30.png")</f>
        <v>H5_B1_BG-30.png</v>
      </c>
      <c r="L1351" s="13" t="str">
        <f ca="1">IFERROR(__xludf.DUMMYFUNCTION("""COMPUTED_VALUE"""),"B1-30.mp3")</f>
        <v>B1-30.mp3</v>
      </c>
      <c r="M1351" s="13" t="str">
        <f ca="1">IFERROR(__xludf.DUMMYFUNCTION("""COMPUTED_VALUE"""),"B1_VD_30.mp3")</f>
        <v>B1_VD_30.mp3</v>
      </c>
    </row>
    <row r="1352" spans="1:13">
      <c r="A1352" s="13">
        <f ca="1">IFERROR(__xludf.DUMMYFUNCTION("""COMPUTED_VALUE"""),31)</f>
        <v>31</v>
      </c>
      <c r="B1352" s="13"/>
      <c r="C1352" s="13" t="str">
        <f ca="1">IFERROR(__xludf.DUMMYFUNCTION("""COMPUTED_VALUE"""),"手指")</f>
        <v>手指</v>
      </c>
      <c r="D1352" s="13" t="str">
        <f ca="1">IFERROR(__xludf.DUMMYFUNCTION("""COMPUTED_VALUE"""),"&lt;ruby&gt;手指&lt;rt&gt;shǒuzhǐ&lt;/rt&gt;&lt;/ruby&gt;")</f>
        <v>&lt;ruby&gt;手指&lt;rt&gt;shǒuzhǐ&lt;/rt&gt;&lt;/ruby&gt;</v>
      </c>
      <c r="E1352" s="13" t="str">
        <f ca="1">IFERROR(__xludf.DUMMYFUNCTION("""COMPUTED_VALUE"""),"shǒuzhǐ")</f>
        <v>shǒuzhǐ</v>
      </c>
      <c r="F1352" s="13" t="str">
        <f ca="1">IFERROR(__xludf.DUMMYFUNCTION("""COMPUTED_VALUE"""),"Danh từ")</f>
        <v>Danh từ</v>
      </c>
      <c r="G1352" s="13" t="str">
        <f ca="1">IFERROR(__xludf.DUMMYFUNCTION("""COMPUTED_VALUE"""),"ngón tay")</f>
        <v>ngón tay</v>
      </c>
      <c r="H1352" s="13" t="str">
        <f ca="1">IFERROR(__xludf.DUMMYFUNCTION("""COMPUTED_VALUE"""),"人的手指很灵活，可以做很多精细的动作。")</f>
        <v>人的手指很灵活，可以做很多精细的动作。</v>
      </c>
      <c r="I1352" s="13"/>
      <c r="J1352" s="13" t="str">
        <f ca="1">IFERROR(__xludf.DUMMYFUNCTION("""COMPUTED_VALUE"""),"Ngón tay của con người rất linh hoạt, có thể thực hiện nhiều động tác tinh tế.")</f>
        <v>Ngón tay của con người rất linh hoạt, có thể thực hiện nhiều động tác tinh tế.</v>
      </c>
      <c r="K1352" s="13" t="str">
        <f ca="1">IFERROR(__xludf.DUMMYFUNCTION("""COMPUTED_VALUE"""),"H5_B1_BG-31.png")</f>
        <v>H5_B1_BG-31.png</v>
      </c>
      <c r="L1352" s="13" t="str">
        <f ca="1">IFERROR(__xludf.DUMMYFUNCTION("""COMPUTED_VALUE"""),"B1-31.mp3")</f>
        <v>B1-31.mp3</v>
      </c>
      <c r="M1352" s="13" t="str">
        <f ca="1">IFERROR(__xludf.DUMMYFUNCTION("""COMPUTED_VALUE"""),"B1_VD_31.mp3")</f>
        <v>B1_VD_31.mp3</v>
      </c>
    </row>
    <row r="1353" spans="1:13">
      <c r="A1353" s="13">
        <f ca="1">IFERROR(__xludf.DUMMYFUNCTION("""COMPUTED_VALUE"""),32)</f>
        <v>32</v>
      </c>
      <c r="B1353" s="13"/>
      <c r="C1353" s="13" t="str">
        <f ca="1">IFERROR(__xludf.DUMMYFUNCTION("""COMPUTED_VALUE"""),"细节")</f>
        <v>细节</v>
      </c>
      <c r="D1353" s="13" t="str">
        <f ca="1">IFERROR(__xludf.DUMMYFUNCTION("""COMPUTED_VALUE"""),"&lt;ruby&gt;细节&lt;rt&gt;xìjié&lt;/rt&gt;&lt;/ruby&gt;")</f>
        <v>&lt;ruby&gt;细节&lt;rt&gt;xìjié&lt;/rt&gt;&lt;/ruby&gt;</v>
      </c>
      <c r="E1353" s="13" t="str">
        <f ca="1">IFERROR(__xludf.DUMMYFUNCTION("""COMPUTED_VALUE"""),"xìjié")</f>
        <v>xìjié</v>
      </c>
      <c r="F1353" s="13" t="str">
        <f ca="1">IFERROR(__xludf.DUMMYFUNCTION("""COMPUTED_VALUE"""),"Danh từ")</f>
        <v>Danh từ</v>
      </c>
      <c r="G1353" s="13" t="str">
        <f ca="1">IFERROR(__xludf.DUMMYFUNCTION("""COMPUTED_VALUE"""),"chi tiết")</f>
        <v>chi tiết</v>
      </c>
      <c r="H1353" s="13" t="str">
        <f ca="1">IFERROR(__xludf.DUMMYFUNCTION("""COMPUTED_VALUE"""),"这幅画的细节很丰富。")</f>
        <v>这幅画的细节很丰富。</v>
      </c>
      <c r="I1353" s="13"/>
      <c r="J1353" s="13" t="str">
        <f ca="1">IFERROR(__xludf.DUMMYFUNCTION("""COMPUTED_VALUE"""),"Chi tiết của bức tranh rất phong phú.")</f>
        <v>Chi tiết của bức tranh rất phong phú.</v>
      </c>
      <c r="K1353" s="13" t="str">
        <f ca="1">IFERROR(__xludf.DUMMYFUNCTION("""COMPUTED_VALUE"""),"H5_B1_BG-32.png")</f>
        <v>H5_B1_BG-32.png</v>
      </c>
      <c r="L1353" s="13" t="str">
        <f ca="1">IFERROR(__xludf.DUMMYFUNCTION("""COMPUTED_VALUE"""),"B1-32.mp3")</f>
        <v>B1-32.mp3</v>
      </c>
      <c r="M1353" s="13" t="str">
        <f ca="1">IFERROR(__xludf.DUMMYFUNCTION("""COMPUTED_VALUE"""),"B1_VD_32.mp3")</f>
        <v>B1_VD_32.mp3</v>
      </c>
    </row>
    <row r="1354" spans="1:13">
      <c r="A1354" s="13">
        <f ca="1">IFERROR(__xludf.DUMMYFUNCTION("""COMPUTED_VALUE"""),33)</f>
        <v>33</v>
      </c>
      <c r="B1354" s="13"/>
      <c r="C1354" s="13" t="str">
        <f ca="1">IFERROR(__xludf.DUMMYFUNCTION("""COMPUTED_VALUE"""),"自杀")</f>
        <v>自杀</v>
      </c>
      <c r="D1354" s="13" t="str">
        <f ca="1">IFERROR(__xludf.DUMMYFUNCTION("""COMPUTED_VALUE"""),"&lt;ruby&gt;自杀&lt;rt&gt;zìshā&lt;/rt&gt;&lt;/ruby&gt;")</f>
        <v>&lt;ruby&gt;自杀&lt;rt&gt;zìshā&lt;/rt&gt;&lt;/ruby&gt;</v>
      </c>
      <c r="E1354" s="13" t="str">
        <f ca="1">IFERROR(__xludf.DUMMYFUNCTION("""COMPUTED_VALUE"""),"zìshā")</f>
        <v>zìshā</v>
      </c>
      <c r="F1354" s="13" t="str">
        <f ca="1">IFERROR(__xludf.DUMMYFUNCTION("""COMPUTED_VALUE"""),"Động từ")</f>
        <v>Động từ</v>
      </c>
      <c r="G1354" s="13" t="str">
        <f ca="1">IFERROR(__xludf.DUMMYFUNCTION("""COMPUTED_VALUE"""),"tự tử")</f>
        <v>tự tử</v>
      </c>
      <c r="H1354" s="13" t="str">
        <f ca="1">IFERROR(__xludf.DUMMYFUNCTION("""COMPUTED_VALUE"""),"生命很宝贵，你千万不要选择自杀!")</f>
        <v>生命很宝贵，你千万不要选择自杀!</v>
      </c>
      <c r="I1354" s="13"/>
      <c r="J1354" s="13" t="str">
        <f ca="1">IFERROR(__xludf.DUMMYFUNCTION("""COMPUTED_VALUE"""),"Cuộc sống rất quý giá, bạn nhất định đừng chọn tự tử!")</f>
        <v>Cuộc sống rất quý giá, bạn nhất định đừng chọn tự tử!</v>
      </c>
      <c r="K1354" s="13" t="str">
        <f ca="1">IFERROR(__xludf.DUMMYFUNCTION("""COMPUTED_VALUE"""),"H5_B1_BG-33.png")</f>
        <v>H5_B1_BG-33.png</v>
      </c>
      <c r="L1354" s="13" t="str">
        <f ca="1">IFERROR(__xludf.DUMMYFUNCTION("""COMPUTED_VALUE"""),"B1-33.mp3")</f>
        <v>B1-33.mp3</v>
      </c>
      <c r="M1354" s="13" t="str">
        <f ca="1">IFERROR(__xludf.DUMMYFUNCTION("""COMPUTED_VALUE"""),"B1_VD_33.mp3")</f>
        <v>B1_VD_33.mp3</v>
      </c>
    </row>
    <row r="1355" spans="1:13">
      <c r="A1355" s="13">
        <f ca="1">IFERROR(__xludf.DUMMYFUNCTION("""COMPUTED_VALUE"""),34)</f>
        <v>34</v>
      </c>
      <c r="B1355" s="13"/>
      <c r="C1355" s="13" t="str">
        <f ca="1">IFERROR(__xludf.DUMMYFUNCTION("""COMPUTED_VALUE"""),"瘫痪")</f>
        <v>瘫痪</v>
      </c>
      <c r="D1355" s="13" t="str">
        <f ca="1">IFERROR(__xludf.DUMMYFUNCTION("""COMPUTED_VALUE"""),"&lt;ruby&gt;瘫痪&lt;rt&gt;tānhuàn&lt;/rt&gt;&lt;/ruby&gt;")</f>
        <v>&lt;ruby&gt;瘫痪&lt;rt&gt;tānhuàn&lt;/rt&gt;&lt;/ruby&gt;</v>
      </c>
      <c r="E1355" s="13" t="str">
        <f ca="1">IFERROR(__xludf.DUMMYFUNCTION("""COMPUTED_VALUE"""),"tānhuàn")</f>
        <v>tānhuàn</v>
      </c>
      <c r="F1355" s="13" t="str">
        <f ca="1">IFERROR(__xludf.DUMMYFUNCTION("""COMPUTED_VALUE"""),"Động từ")</f>
        <v>Động từ</v>
      </c>
      <c r="G1355" s="13" t="str">
        <f ca="1">IFERROR(__xludf.DUMMYFUNCTION("""COMPUTED_VALUE"""),"bị liệt")</f>
        <v>bị liệt</v>
      </c>
      <c r="H1355" s="13" t="str">
        <f ca="1">IFERROR(__xludf.DUMMYFUNCTION("""COMPUTED_VALUE"""),"意外导致他的下半身瘫痪了。")</f>
        <v>意外导致他的下半身瘫痪了。</v>
      </c>
      <c r="I1355" s="13"/>
      <c r="J1355" s="13" t="str">
        <f ca="1">IFERROR(__xludf.DUMMYFUNCTION("""COMPUTED_VALUE"""),"Tai nạn khiến anh ấy bị liệt nửa dưới cơ thể.")</f>
        <v>Tai nạn khiến anh ấy bị liệt nửa dưới cơ thể.</v>
      </c>
      <c r="K1355" s="13" t="str">
        <f ca="1">IFERROR(__xludf.DUMMYFUNCTION("""COMPUTED_VALUE"""),"H5_B1_BG-34.png")</f>
        <v>H5_B1_BG-34.png</v>
      </c>
      <c r="L1355" s="13" t="str">
        <f ca="1">IFERROR(__xludf.DUMMYFUNCTION("""COMPUTED_VALUE"""),"B1-34.mp3")</f>
        <v>B1-34.mp3</v>
      </c>
      <c r="M1355" s="13" t="str">
        <f ca="1">IFERROR(__xludf.DUMMYFUNCTION("""COMPUTED_VALUE"""),"B1_VD_34.mp3")</f>
        <v>B1_VD_34.mp3</v>
      </c>
    </row>
    <row r="1356" spans="1:13">
      <c r="A1356" s="13">
        <f ca="1">IFERROR(__xludf.DUMMYFUNCTION("""COMPUTED_VALUE"""),35)</f>
        <v>35</v>
      </c>
      <c r="B1356" s="13"/>
      <c r="C1356" s="13" t="str">
        <f ca="1">IFERROR(__xludf.DUMMYFUNCTION("""COMPUTED_VALUE"""),"歪歪扭扭")</f>
        <v>歪歪扭扭</v>
      </c>
      <c r="D1356" s="13" t="str">
        <f ca="1">IFERROR(__xludf.DUMMYFUNCTION("""COMPUTED_VALUE"""),"&lt;ruby&gt;歪歪扭扭&lt;rt&gt;wāiwāiniǔniǔ&lt;/rt&gt;&lt;/ruby&gt;")</f>
        <v>&lt;ruby&gt;歪歪扭扭&lt;rt&gt;wāiwāiniǔniǔ&lt;/rt&gt;&lt;/ruby&gt;</v>
      </c>
      <c r="E1356" s="13" t="str">
        <f ca="1">IFERROR(__xludf.DUMMYFUNCTION("""COMPUTED_VALUE"""),"wāiwāiniǔniǔ")</f>
        <v>wāiwāiniǔniǔ</v>
      </c>
      <c r="F1356" s="13" t="str">
        <f ca="1">IFERROR(__xludf.DUMMYFUNCTION("""COMPUTED_VALUE"""),"Tính từ")</f>
        <v>Tính từ</v>
      </c>
      <c r="G1356" s="13" t="str">
        <f ca="1">IFERROR(__xludf.DUMMYFUNCTION("""COMPUTED_VALUE"""),"xiêu vẹo, nguệch ngoac ")</f>
        <v xml:space="preserve">xiêu vẹo, nguệch ngoac </v>
      </c>
      <c r="H1356" s="13" t="str">
        <f ca="1">IFERROR(__xludf.DUMMYFUNCTION("""COMPUTED_VALUE"""),"他写的字歪歪扭扭的，看不清楚。")</f>
        <v>他写的字歪歪扭扭的，看不清楚。</v>
      </c>
      <c r="I1356" s="13"/>
      <c r="J1356" s="13" t="str">
        <f ca="1">IFERROR(__xludf.DUMMYFUNCTION("""COMPUTED_VALUE"""),"Chữ anh ấy viết xiêu vẹo, nhìn không rõ.")</f>
        <v>Chữ anh ấy viết xiêu vẹo, nhìn không rõ.</v>
      </c>
      <c r="K1356" s="13" t="str">
        <f ca="1">IFERROR(__xludf.DUMMYFUNCTION("""COMPUTED_VALUE"""),"H5_B1_BG-35.png")</f>
        <v>H5_B1_BG-35.png</v>
      </c>
      <c r="L1356" s="13" t="str">
        <f ca="1">IFERROR(__xludf.DUMMYFUNCTION("""COMPUTED_VALUE"""),"B1-35.mp3")</f>
        <v>B1-35.mp3</v>
      </c>
      <c r="M1356" s="13" t="str">
        <f ca="1">IFERROR(__xludf.DUMMYFUNCTION("""COMPUTED_VALUE"""),"B1_VD_35.mp3")</f>
        <v>B1_VD_35.mp3</v>
      </c>
    </row>
    <row r="1357" spans="1:13">
      <c r="A1357" s="13">
        <f ca="1">IFERROR(__xludf.DUMMYFUNCTION("""COMPUTED_VALUE"""),36)</f>
        <v>36</v>
      </c>
      <c r="B1357" s="13"/>
      <c r="C1357" s="13" t="str">
        <f ca="1">IFERROR(__xludf.DUMMYFUNCTION("""COMPUTED_VALUE"""),"入围")</f>
        <v>入围</v>
      </c>
      <c r="D1357" s="13" t="str">
        <f ca="1">IFERROR(__xludf.DUMMYFUNCTION("""COMPUTED_VALUE"""),"&lt;ruby&gt;入围&lt;rt&gt;rùwéi&lt;/rt&gt;&lt;/ruby&gt;")</f>
        <v>&lt;ruby&gt;入围&lt;rt&gt;rùwéi&lt;/rt&gt;&lt;/ruby&gt;</v>
      </c>
      <c r="E1357" s="13" t="str">
        <f ca="1">IFERROR(__xludf.DUMMYFUNCTION("""COMPUTED_VALUE"""),"rùwéi")</f>
        <v>rùwéi</v>
      </c>
      <c r="F1357" s="13" t="str">
        <f ca="1">IFERROR(__xludf.DUMMYFUNCTION("""COMPUTED_VALUE"""),"Động từ")</f>
        <v>Động từ</v>
      </c>
      <c r="G1357" s="13" t="str">
        <f ca="1">IFERROR(__xludf.DUMMYFUNCTION("""COMPUTED_VALUE"""),"vượt qua vòng sơ tuyển")</f>
        <v>vượt qua vòng sơ tuyển</v>
      </c>
      <c r="H1357" s="13" t="str">
        <f ca="1">IFERROR(__xludf.DUMMYFUNCTION("""COMPUTED_VALUE"""),"他在比赛中表现出色，成功入围了决赛。")</f>
        <v>他在比赛中表现出色，成功入围了决赛。</v>
      </c>
      <c r="I1357" s="13"/>
      <c r="J1357" s="13" t="str">
        <f ca="1">IFERROR(__xludf.DUMMYFUNCTION("""COMPUTED_VALUE"""),"Anh ấy có màn trình diễn xuất sắc trong cuộc thi và lọt vào chung kết.")</f>
        <v>Anh ấy có màn trình diễn xuất sắc trong cuộc thi và lọt vào chung kết.</v>
      </c>
      <c r="K1357" s="13" t="str">
        <f ca="1">IFERROR(__xludf.DUMMYFUNCTION("""COMPUTED_VALUE"""),"H5_B1_BG-36.png")</f>
        <v>H5_B1_BG-36.png</v>
      </c>
      <c r="L1357" s="13" t="str">
        <f ca="1">IFERROR(__xludf.DUMMYFUNCTION("""COMPUTED_VALUE"""),"B1-36.mp3")</f>
        <v>B1-36.mp3</v>
      </c>
      <c r="M1357" s="13" t="str">
        <f ca="1">IFERROR(__xludf.DUMMYFUNCTION("""COMPUTED_VALUE"""),"B1_VD_36.mp3")</f>
        <v>B1_VD_36.mp3</v>
      </c>
    </row>
    <row r="1358" spans="1:13">
      <c r="A1358" s="13">
        <f ca="1">IFERROR(__xludf.DUMMYFUNCTION("""COMPUTED_VALUE"""),37)</f>
        <v>37</v>
      </c>
      <c r="B1358" s="13"/>
      <c r="C1358" s="13" t="str">
        <f ca="1">IFERROR(__xludf.DUMMYFUNCTION("""COMPUTED_VALUE"""),"蚊子")</f>
        <v>蚊子</v>
      </c>
      <c r="D1358" s="13" t="str">
        <f ca="1">IFERROR(__xludf.DUMMYFUNCTION("""COMPUTED_VALUE"""),"&lt;ruby&gt;蚊子&lt;rt&gt;wénzi&lt;/rt&gt;&lt;/ruby&gt;")</f>
        <v>&lt;ruby&gt;蚊子&lt;rt&gt;wénzi&lt;/rt&gt;&lt;/ruby&gt;</v>
      </c>
      <c r="E1358" s="13" t="str">
        <f ca="1">IFERROR(__xludf.DUMMYFUNCTION("""COMPUTED_VALUE"""),"wénzi")</f>
        <v>wénzi</v>
      </c>
      <c r="F1358" s="13" t="str">
        <f ca="1">IFERROR(__xludf.DUMMYFUNCTION("""COMPUTED_VALUE"""),"Danh từ")</f>
        <v>Danh từ</v>
      </c>
      <c r="G1358" s="13" t="str">
        <f ca="1">IFERROR(__xludf.DUMMYFUNCTION("""COMPUTED_VALUE"""),"con muỗi")</f>
        <v>con muỗi</v>
      </c>
      <c r="H1358" s="13" t="str">
        <f ca="1">IFERROR(__xludf.DUMMYFUNCTION("""COMPUTED_VALUE"""),"半夜的时候，他的肩膀被蚊子叮了。")</f>
        <v>半夜的时候，他的肩膀被蚊子叮了。</v>
      </c>
      <c r="I1358" s="13"/>
      <c r="J1358" s="13" t="str">
        <f ca="1">IFERROR(__xludf.DUMMYFUNCTION("""COMPUTED_VALUE"""),"Nửa đêm, vai anh ấy bị muỗi đốt.")</f>
        <v>Nửa đêm, vai anh ấy bị muỗi đốt.</v>
      </c>
      <c r="K1358" s="13" t="str">
        <f ca="1">IFERROR(__xludf.DUMMYFUNCTION("""COMPUTED_VALUE"""),"H5_B1_BG-37.png")</f>
        <v>H5_B1_BG-37.png</v>
      </c>
      <c r="L1358" s="13" t="str">
        <f ca="1">IFERROR(__xludf.DUMMYFUNCTION("""COMPUTED_VALUE"""),"B1-37.mp3")</f>
        <v>B1-37.mp3</v>
      </c>
      <c r="M1358" s="13" t="str">
        <f ca="1">IFERROR(__xludf.DUMMYFUNCTION("""COMPUTED_VALUE"""),"B1_VD_37.mp3")</f>
        <v>B1_VD_37.mp3</v>
      </c>
    </row>
    <row r="1359" spans="1:13">
      <c r="A1359" s="13">
        <f ca="1">IFERROR(__xludf.DUMMYFUNCTION("""COMPUTED_VALUE"""),38)</f>
        <v>38</v>
      </c>
      <c r="B1359" s="13"/>
      <c r="C1359" s="13" t="str">
        <f ca="1">IFERROR(__xludf.DUMMYFUNCTION("""COMPUTED_VALUE"""),"叮")</f>
        <v>叮</v>
      </c>
      <c r="D1359" s="13" t="str">
        <f ca="1">IFERROR(__xludf.DUMMYFUNCTION("""COMPUTED_VALUE"""),"&lt;ruby&gt;叮&lt;rt&gt;dīng&lt;/rt&gt;&lt;/ruby&gt;")</f>
        <v>&lt;ruby&gt;叮&lt;rt&gt;dīng&lt;/rt&gt;&lt;/ruby&gt;</v>
      </c>
      <c r="E1359" s="13" t="str">
        <f ca="1">IFERROR(__xludf.DUMMYFUNCTION("""COMPUTED_VALUE"""),"dīng")</f>
        <v>dīng</v>
      </c>
      <c r="F1359" s="13" t="str">
        <f ca="1">IFERROR(__xludf.DUMMYFUNCTION("""COMPUTED_VALUE"""),"Động từ")</f>
        <v>Động từ</v>
      </c>
      <c r="G1359" s="13" t="str">
        <f ca="1">IFERROR(__xludf.DUMMYFUNCTION("""COMPUTED_VALUE"""),"đốt, chích")</f>
        <v>đốt, chích</v>
      </c>
      <c r="H1359" s="13" t="str">
        <f ca="1">IFERROR(__xludf.DUMMYFUNCTION("""COMPUTED_VALUE"""),"他的手指被蚊子叮出了一个小红点。")</f>
        <v>他的手指被蚊子叮出了一个小红点。</v>
      </c>
      <c r="I1359" s="13"/>
      <c r="J1359" s="13" t="str">
        <f ca="1">IFERROR(__xludf.DUMMYFUNCTION("""COMPUTED_VALUE"""),"Ngón tay anh ấy bị muỗi đốt, xuất hiện một chấm đỏ nhỏ.")</f>
        <v>Ngón tay anh ấy bị muỗi đốt, xuất hiện một chấm đỏ nhỏ.</v>
      </c>
      <c r="K1359" s="13" t="str">
        <f ca="1">IFERROR(__xludf.DUMMYFUNCTION("""COMPUTED_VALUE"""),"H5_B1_BG-38.png")</f>
        <v>H5_B1_BG-38.png</v>
      </c>
      <c r="L1359" s="13" t="str">
        <f ca="1">IFERROR(__xludf.DUMMYFUNCTION("""COMPUTED_VALUE"""),"B1-38.mp3")</f>
        <v>B1-38.mp3</v>
      </c>
      <c r="M1359" s="13" t="str">
        <f ca="1">IFERROR(__xludf.DUMMYFUNCTION("""COMPUTED_VALUE"""),"B1_VD_38.mp3")</f>
        <v>B1_VD_38.mp3</v>
      </c>
    </row>
    <row r="1360" spans="1:13">
      <c r="A1360" s="13">
        <f ca="1">IFERROR(__xludf.DUMMYFUNCTION("""COMPUTED_VALUE"""),1)</f>
        <v>1</v>
      </c>
      <c r="B1360" s="13"/>
      <c r="C1360" s="13" t="str">
        <f ca="1">IFERROR(__xludf.DUMMYFUNCTION("""COMPUTED_VALUE"""),"姑姑")</f>
        <v>姑姑</v>
      </c>
      <c r="D1360" s="13" t="str">
        <f ca="1">IFERROR(__xludf.DUMMYFUNCTION("""COMPUTED_VALUE"""),"&lt;ruby&gt;姑姑&lt;rt&gt;gūgu&lt;/rt&gt;&lt;/ruby&gt;")</f>
        <v>&lt;ruby&gt;姑姑&lt;rt&gt;gūgu&lt;/rt&gt;&lt;/ruby&gt;</v>
      </c>
      <c r="E1360" s="13" t="str">
        <f ca="1">IFERROR(__xludf.DUMMYFUNCTION("""COMPUTED_VALUE"""),"gūgu")</f>
        <v>gūgu</v>
      </c>
      <c r="F1360" s="13" t="str">
        <f ca="1">IFERROR(__xludf.DUMMYFUNCTION("""COMPUTED_VALUE"""),"Danh từ")</f>
        <v>Danh từ</v>
      </c>
      <c r="G1360" s="13" t="str">
        <f ca="1">IFERROR(__xludf.DUMMYFUNCTION("""COMPUTED_VALUE"""),"cô")</f>
        <v>cô</v>
      </c>
      <c r="H1360" s="13" t="str">
        <f ca="1">IFERROR(__xludf.DUMMYFUNCTION("""COMPUTED_VALUE"""),"我的姑姑总是给我买我最喜欢的糖果。")</f>
        <v>我的姑姑总是给我买我最喜欢的糖果。</v>
      </c>
      <c r="I1360" s="13"/>
      <c r="J1360" s="13" t="str">
        <f ca="1">IFERROR(__xludf.DUMMYFUNCTION("""COMPUTED_VALUE"""),"Cô của tôi luôn mua những viên kẹo mà tôi thích nhất.")</f>
        <v>Cô của tôi luôn mua những viên kẹo mà tôi thích nhất.</v>
      </c>
      <c r="K1360" s="13" t="str">
        <f ca="1">IFERROR(__xludf.DUMMYFUNCTION("""COMPUTED_VALUE"""),"H5_B2_BG-01.png")</f>
        <v>H5_B2_BG-01.png</v>
      </c>
      <c r="L1360" s="13" t="str">
        <f ca="1">IFERROR(__xludf.DUMMYFUNCTION("""COMPUTED_VALUE"""),"B2-01.mp3")</f>
        <v>B2-01.mp3</v>
      </c>
      <c r="M1360" s="13" t="str">
        <f ca="1">IFERROR(__xludf.DUMMYFUNCTION("""COMPUTED_VALUE"""),"B2_VD_1.mp3")</f>
        <v>B2_VD_1.mp3</v>
      </c>
    </row>
    <row r="1361" spans="1:13">
      <c r="A1361" s="13">
        <f ca="1">IFERROR(__xludf.DUMMYFUNCTION("""COMPUTED_VALUE"""),2)</f>
        <v>2</v>
      </c>
      <c r="B1361" s="13"/>
      <c r="C1361" s="13" t="str">
        <f ca="1">IFERROR(__xludf.DUMMYFUNCTION("""COMPUTED_VALUE"""),"姥姥")</f>
        <v>姥姥</v>
      </c>
      <c r="D1361" s="13" t="str">
        <f ca="1">IFERROR(__xludf.DUMMYFUNCTION("""COMPUTED_VALUE"""),"&lt;ruby&gt;姥姥&lt;rt&gt;lǎolao&lt;/rt&gt;&lt;/ruby&gt;")</f>
        <v>&lt;ruby&gt;姥姥&lt;rt&gt;lǎolao&lt;/rt&gt;&lt;/ruby&gt;</v>
      </c>
      <c r="E1361" s="13" t="str">
        <f ca="1">IFERROR(__xludf.DUMMYFUNCTION("""COMPUTED_VALUE"""),"lǎolao")</f>
        <v>lǎolao</v>
      </c>
      <c r="F1361" s="13" t="str">
        <f ca="1">IFERROR(__xludf.DUMMYFUNCTION("""COMPUTED_VALUE"""),"Danh từ")</f>
        <v>Danh từ</v>
      </c>
      <c r="G1361" s="13" t="str">
        <f ca="1">IFERROR(__xludf.DUMMYFUNCTION("""COMPUTED_VALUE"""),"bà ngoại")</f>
        <v>bà ngoại</v>
      </c>
      <c r="H1361" s="13" t="str">
        <f ca="1">IFERROR(__xludf.DUMMYFUNCTION("""COMPUTED_VALUE"""),"每次去姥姥家，她都会做一桌丰盛的饭菜。")</f>
        <v>每次去姥姥家，她都会做一桌丰盛的饭菜。</v>
      </c>
      <c r="I1361" s="13"/>
      <c r="J1361" s="13" t="str">
        <f ca="1">IFERROR(__xludf.DUMMYFUNCTION("""COMPUTED_VALUE"""),"Mỗi lần đến nhà bà ngoại, bà đều nấu một bàn đầy đồ ăn ngon.")</f>
        <v>Mỗi lần đến nhà bà ngoại, bà đều nấu một bàn đầy đồ ăn ngon.</v>
      </c>
      <c r="K1361" s="13" t="str">
        <f ca="1">IFERROR(__xludf.DUMMYFUNCTION("""COMPUTED_VALUE"""),"H5_B2_BG-02.png")</f>
        <v>H5_B2_BG-02.png</v>
      </c>
      <c r="L1361" s="13" t="str">
        <f ca="1">IFERROR(__xludf.DUMMYFUNCTION("""COMPUTED_VALUE"""),"B2-02.mp3")</f>
        <v>B2-02.mp3</v>
      </c>
      <c r="M1361" s="13" t="str">
        <f ca="1">IFERROR(__xludf.DUMMYFUNCTION("""COMPUTED_VALUE"""),"B2_VD_2.mp3")</f>
        <v>B2_VD_2.mp3</v>
      </c>
    </row>
    <row r="1362" spans="1:13">
      <c r="A1362" s="13">
        <f ca="1">IFERROR(__xludf.DUMMYFUNCTION("""COMPUTED_VALUE"""),3)</f>
        <v>3</v>
      </c>
      <c r="B1362" s="13"/>
      <c r="C1362" s="13" t="str">
        <f ca="1">IFERROR(__xludf.DUMMYFUNCTION("""COMPUTED_VALUE"""),"舅舅")</f>
        <v>舅舅</v>
      </c>
      <c r="D1362" s="13" t="str">
        <f ca="1">IFERROR(__xludf.DUMMYFUNCTION("""COMPUTED_VALUE"""),"&lt;ruby&gt;舅舅&lt;rt&gt;jiùjiu&lt;/rt&gt;&lt;/ruby&gt;")</f>
        <v>&lt;ruby&gt;舅舅&lt;rt&gt;jiùjiu&lt;/rt&gt;&lt;/ruby&gt;</v>
      </c>
      <c r="E1362" s="13" t="str">
        <f ca="1">IFERROR(__xludf.DUMMYFUNCTION("""COMPUTED_VALUE"""),"jiùjiu")</f>
        <v>jiùjiu</v>
      </c>
      <c r="F1362" s="13" t="str">
        <f ca="1">IFERROR(__xludf.DUMMYFUNCTION("""COMPUTED_VALUE"""),"Danh từ")</f>
        <v>Danh từ</v>
      </c>
      <c r="G1362" s="13" t="str">
        <f ca="1">IFERROR(__xludf.DUMMYFUNCTION("""COMPUTED_VALUE"""),"cậu")</f>
        <v>cậu</v>
      </c>
      <c r="H1362" s="13" t="str">
        <f ca="1">IFERROR(__xludf.DUMMYFUNCTION("""COMPUTED_VALUE"""),"舅舅总是带我去公园玩。")</f>
        <v>舅舅总是带我去公园玩。</v>
      </c>
      <c r="I1362" s="13"/>
      <c r="J1362" s="13" t="str">
        <f ca="1">IFERROR(__xludf.DUMMYFUNCTION("""COMPUTED_VALUE"""),"Cậu thường đưa tôi đi chơi công viên.")</f>
        <v>Cậu thường đưa tôi đi chơi công viên.</v>
      </c>
      <c r="K1362" s="13" t="str">
        <f ca="1">IFERROR(__xludf.DUMMYFUNCTION("""COMPUTED_VALUE"""),"H5_B2_BG-03.png")</f>
        <v>H5_B2_BG-03.png</v>
      </c>
      <c r="L1362" s="13" t="str">
        <f ca="1">IFERROR(__xludf.DUMMYFUNCTION("""COMPUTED_VALUE"""),"B2-03.mp3")</f>
        <v>B2-03.mp3</v>
      </c>
      <c r="M1362" s="13" t="str">
        <f ca="1">IFERROR(__xludf.DUMMYFUNCTION("""COMPUTED_VALUE"""),"B2_VD_3.mp3")</f>
        <v>B2_VD_3.mp3</v>
      </c>
    </row>
    <row r="1363" spans="1:13">
      <c r="A1363" s="13">
        <f ca="1">IFERROR(__xludf.DUMMYFUNCTION("""COMPUTED_VALUE"""),4)</f>
        <v>4</v>
      </c>
      <c r="B1363" s="13"/>
      <c r="C1363" s="13" t="str">
        <f ca="1">IFERROR(__xludf.DUMMYFUNCTION("""COMPUTED_VALUE"""),"一辈子")</f>
        <v>一辈子</v>
      </c>
      <c r="D1363" s="13" t="str">
        <f ca="1">IFERROR(__xludf.DUMMYFUNCTION("""COMPUTED_VALUE"""),"&lt;ruby&gt;一辈子&lt;rt&gt;yíbèizi&lt;/rt&gt;&lt;/ruby&gt;")</f>
        <v>&lt;ruby&gt;一辈子&lt;rt&gt;yíbèizi&lt;/rt&gt;&lt;/ruby&gt;</v>
      </c>
      <c r="E1363" s="13" t="str">
        <f ca="1">IFERROR(__xludf.DUMMYFUNCTION("""COMPUTED_VALUE"""),"yíbèizi")</f>
        <v>yíbèizi</v>
      </c>
      <c r="F1363" s="13" t="str">
        <f ca="1">IFERROR(__xludf.DUMMYFUNCTION("""COMPUTED_VALUE"""),"Danh từ")</f>
        <v>Danh từ</v>
      </c>
      <c r="G1363" s="13" t="str">
        <f ca="1">IFERROR(__xludf.DUMMYFUNCTION("""COMPUTED_VALUE"""),"suốt đời, cả đời")</f>
        <v>suốt đời, cả đời</v>
      </c>
      <c r="H1363" s="13" t="str">
        <f ca="1">IFERROR(__xludf.DUMMYFUNCTION("""COMPUTED_VALUE"""),"我希望一辈子都能像现在这样和家人在一起。")</f>
        <v>我希望一辈子都能像现在这样和家人在一起。</v>
      </c>
      <c r="I1363" s="13"/>
      <c r="J1363" s="13" t="str">
        <f ca="1">IFERROR(__xludf.DUMMYFUNCTION("""COMPUTED_VALUE"""),"Tôi hy vọng cả đời này có thể ở bên gia đình giống như bây giờ.")</f>
        <v>Tôi hy vọng cả đời này có thể ở bên gia đình giống như bây giờ.</v>
      </c>
      <c r="K1363" s="13" t="str">
        <f ca="1">IFERROR(__xludf.DUMMYFUNCTION("""COMPUTED_VALUE"""),"H5_B2_BG-04.png")</f>
        <v>H5_B2_BG-04.png</v>
      </c>
      <c r="L1363" s="13" t="str">
        <f ca="1">IFERROR(__xludf.DUMMYFUNCTION("""COMPUTED_VALUE"""),"B2-04.mp3")</f>
        <v>B2-04.mp3</v>
      </c>
      <c r="M1363" s="13" t="str">
        <f ca="1">IFERROR(__xludf.DUMMYFUNCTION("""COMPUTED_VALUE"""),"B2_VD_4.mp3")</f>
        <v>B2_VD_4.mp3</v>
      </c>
    </row>
    <row r="1364" spans="1:13">
      <c r="A1364" s="13">
        <f ca="1">IFERROR(__xludf.DUMMYFUNCTION("""COMPUTED_VALUE"""),5)</f>
        <v>5</v>
      </c>
      <c r="B1364" s="13"/>
      <c r="C1364" s="13" t="str">
        <f ca="1">IFERROR(__xludf.DUMMYFUNCTION("""COMPUTED_VALUE"""),"微笑")</f>
        <v>微笑</v>
      </c>
      <c r="D1364" s="13" t="str">
        <f ca="1">IFERROR(__xludf.DUMMYFUNCTION("""COMPUTED_VALUE"""),"&lt;ruby&gt;微笑&lt;rt&gt;wēixiào&lt;/rt&gt;&lt;/ruby&gt;")</f>
        <v>&lt;ruby&gt;微笑&lt;rt&gt;wēixiào&lt;/rt&gt;&lt;/ruby&gt;</v>
      </c>
      <c r="E1364" s="13" t="str">
        <f ca="1">IFERROR(__xludf.DUMMYFUNCTION("""COMPUTED_VALUE"""),"wēixiào")</f>
        <v>wēixiào</v>
      </c>
      <c r="F1364" s="13" t="str">
        <f ca="1">IFERROR(__xludf.DUMMYFUNCTION("""COMPUTED_VALUE"""),"Động từ/Danh từ")</f>
        <v>Động từ/Danh từ</v>
      </c>
      <c r="G1364" s="13" t="str">
        <f ca="1">IFERROR(__xludf.DUMMYFUNCTION("""COMPUTED_VALUE"""),"mỉm cười; vẻ mặt tươi cười, nụ cười")</f>
        <v>mỉm cười; vẻ mặt tươi cười, nụ cười</v>
      </c>
      <c r="H1364" s="13" t="str">
        <f ca="1">IFERROR(__xludf.DUMMYFUNCTION("""COMPUTED_VALUE"""),"母亲的微笑总能让我感到安心和幸福。")</f>
        <v>母亲的微笑总能让我感到安心和幸福。</v>
      </c>
      <c r="I1364" s="13"/>
      <c r="J1364" s="13" t="str">
        <f ca="1">IFERROR(__xludf.DUMMYFUNCTION("""COMPUTED_VALUE"""),"Nụ cười của mẹ luôn khiến tôi cảm thấy yên tâm và hạnh phúc.")</f>
        <v>Nụ cười của mẹ luôn khiến tôi cảm thấy yên tâm và hạnh phúc.</v>
      </c>
      <c r="K1364" s="13" t="str">
        <f ca="1">IFERROR(__xludf.DUMMYFUNCTION("""COMPUTED_VALUE"""),"H5_B2_BG-05.png")</f>
        <v>H5_B2_BG-05.png</v>
      </c>
      <c r="L1364" s="13" t="str">
        <f ca="1">IFERROR(__xludf.DUMMYFUNCTION("""COMPUTED_VALUE"""),"B2-05.mp3")</f>
        <v>B2-05.mp3</v>
      </c>
      <c r="M1364" s="13" t="str">
        <f ca="1">IFERROR(__xludf.DUMMYFUNCTION("""COMPUTED_VALUE"""),"B2_VD_5.mp3")</f>
        <v>B2_VD_5.mp3</v>
      </c>
    </row>
    <row r="1365" spans="1:13">
      <c r="A1365" s="13">
        <f ca="1">IFERROR(__xludf.DUMMYFUNCTION("""COMPUTED_VALUE"""),6)</f>
        <v>6</v>
      </c>
      <c r="B1365" s="13"/>
      <c r="C1365" s="13" t="str">
        <f ca="1">IFERROR(__xludf.DUMMYFUNCTION("""COMPUTED_VALUE"""),"温暖")</f>
        <v>温暖</v>
      </c>
      <c r="D1365" s="13" t="str">
        <f ca="1">IFERROR(__xludf.DUMMYFUNCTION("""COMPUTED_VALUE"""),"&lt;ruby&gt;温暖&lt;rt&gt;wēnnuăn&lt;/rt&gt;&lt;/ruby&gt;")</f>
        <v>&lt;ruby&gt;温暖&lt;rt&gt;wēnnuăn&lt;/rt&gt;&lt;/ruby&gt;</v>
      </c>
      <c r="E1365" s="13" t="str">
        <f ca="1">IFERROR(__xludf.DUMMYFUNCTION("""COMPUTED_VALUE"""),"wēnnuăn")</f>
        <v>wēnnuăn</v>
      </c>
      <c r="F1365" s="13" t="str">
        <f ca="1">IFERROR(__xludf.DUMMYFUNCTION("""COMPUTED_VALUE"""),"Tính từ/Động từ")</f>
        <v>Tính từ/Động từ</v>
      </c>
      <c r="G1365" s="13" t="str">
        <f ca="1">IFERROR(__xludf.DUMMYFUNCTION("""COMPUTED_VALUE"""),"ấm áp; sưởi ấm")</f>
        <v>ấm áp; sưởi ấm</v>
      </c>
      <c r="H1365" s="13" t="str">
        <f ca="1">IFERROR(__xludf.DUMMYFUNCTION("""COMPUTED_VALUE"""),"温暖的火炉带来了舒适。")</f>
        <v>温暖的火炉带来了舒适。</v>
      </c>
      <c r="I1365" s="13"/>
      <c r="J1365" s="13" t="str">
        <f ca="1">IFERROR(__xludf.DUMMYFUNCTION("""COMPUTED_VALUE"""),"Lò sưởi ấm áp tạo cảm giác dễ chịu.")</f>
        <v>Lò sưởi ấm áp tạo cảm giác dễ chịu.</v>
      </c>
      <c r="K1365" s="13" t="str">
        <f ca="1">IFERROR(__xludf.DUMMYFUNCTION("""COMPUTED_VALUE"""),"H5_B2_BG-06.png")</f>
        <v>H5_B2_BG-06.png</v>
      </c>
      <c r="L1365" s="13" t="str">
        <f ca="1">IFERROR(__xludf.DUMMYFUNCTION("""COMPUTED_VALUE"""),"B2-06.mp3")</f>
        <v>B2-06.mp3</v>
      </c>
      <c r="M1365" s="13" t="str">
        <f ca="1">IFERROR(__xludf.DUMMYFUNCTION("""COMPUTED_VALUE"""),"B2_VD_6.mp3")</f>
        <v>B2_VD_6.mp3</v>
      </c>
    </row>
    <row r="1366" spans="1:13">
      <c r="A1366" s="13">
        <f ca="1">IFERROR(__xludf.DUMMYFUNCTION("""COMPUTED_VALUE"""),7)</f>
        <v>7</v>
      </c>
      <c r="B1366" s="13"/>
      <c r="C1366" s="13" t="str">
        <f ca="1">IFERROR(__xludf.DUMMYFUNCTION("""COMPUTED_VALUE"""),"流泪")</f>
        <v>流泪</v>
      </c>
      <c r="D1366" s="13" t="str">
        <f ca="1">IFERROR(__xludf.DUMMYFUNCTION("""COMPUTED_VALUE"""),"&lt;ruby&gt;流泪&lt;rt&gt;liú lèi&lt;/rt&gt;&lt;/ruby&gt;")</f>
        <v>&lt;ruby&gt;流泪&lt;rt&gt;liú lèi&lt;/rt&gt;&lt;/ruby&gt;</v>
      </c>
      <c r="E1366" s="13" t="str">
        <f ca="1">IFERROR(__xludf.DUMMYFUNCTION("""COMPUTED_VALUE"""),"liú lèi")</f>
        <v>liú lèi</v>
      </c>
      <c r="F1366" s="13" t="str">
        <f ca="1">IFERROR(__xludf.DUMMYFUNCTION("""COMPUTED_VALUE"""),"Động từ")</f>
        <v>Động từ</v>
      </c>
      <c r="G1366" s="13" t="str">
        <f ca="1">IFERROR(__xludf.DUMMYFUNCTION("""COMPUTED_VALUE"""),"chảy nước mắt")</f>
        <v>chảy nước mắt</v>
      </c>
      <c r="H1366" s="13" t="str">
        <f ca="1">IFERROR(__xludf.DUMMYFUNCTION("""COMPUTED_VALUE"""),"小男孩因为考试失败而流泪了。")</f>
        <v>小男孩因为考试失败而流泪了。</v>
      </c>
      <c r="I1366" s="13"/>
      <c r="J1366" s="13" t="str">
        <f ca="1">IFERROR(__xludf.DUMMYFUNCTION("""COMPUTED_VALUE"""),"Cậu bé đã khóc vì thi trượt.")</f>
        <v>Cậu bé đã khóc vì thi trượt.</v>
      </c>
      <c r="K1366" s="13" t="str">
        <f ca="1">IFERROR(__xludf.DUMMYFUNCTION("""COMPUTED_VALUE"""),"H5_B2_BG-07.png")</f>
        <v>H5_B2_BG-07.png</v>
      </c>
      <c r="L1366" s="13" t="str">
        <f ca="1">IFERROR(__xludf.DUMMYFUNCTION("""COMPUTED_VALUE"""),"B2-07.mp3")</f>
        <v>B2-07.mp3</v>
      </c>
      <c r="M1366" s="13" t="str">
        <f ca="1">IFERROR(__xludf.DUMMYFUNCTION("""COMPUTED_VALUE"""),"B2_VD_7.mp3")</f>
        <v>B2_VD_7.mp3</v>
      </c>
    </row>
    <row r="1367" spans="1:13">
      <c r="A1367" s="13">
        <f ca="1">IFERROR(__xludf.DUMMYFUNCTION("""COMPUTED_VALUE"""),8)</f>
        <v>8</v>
      </c>
      <c r="B1367" s="13"/>
      <c r="C1367" s="13" t="str">
        <f ca="1">IFERROR(__xludf.DUMMYFUNCTION("""COMPUTED_VALUE"""),"感受")</f>
        <v>感受</v>
      </c>
      <c r="D1367" s="13" t="str">
        <f ca="1">IFERROR(__xludf.DUMMYFUNCTION("""COMPUTED_VALUE"""),"&lt;ruby&gt;感受&lt;rt&gt;gǎnshòu&lt;/rt&gt;&lt;/ruby&gt;")</f>
        <v>&lt;ruby&gt;感受&lt;rt&gt;gǎnshòu&lt;/rt&gt;&lt;/ruby&gt;</v>
      </c>
      <c r="E1367" s="13" t="str">
        <f ca="1">IFERROR(__xludf.DUMMYFUNCTION("""COMPUTED_VALUE"""),"gǎnshòu")</f>
        <v>gǎnshòu</v>
      </c>
      <c r="F1367" s="13" t="str">
        <f ca="1">IFERROR(__xludf.DUMMYFUNCTION("""COMPUTED_VALUE"""),"Động từ/Danh từ")</f>
        <v>Động từ/Danh từ</v>
      </c>
      <c r="G1367" s="13" t="str">
        <f ca="1">IFERROR(__xludf.DUMMYFUNCTION("""COMPUTED_VALUE"""),"cảm nhận; sự cảm nhận")</f>
        <v>cảm nhận; sự cảm nhận</v>
      </c>
      <c r="H1367" s="13" t="str">
        <f ca="1">IFERROR(__xludf.DUMMYFUNCTION("""COMPUTED_VALUE"""),"他感受到了巨大的压力。")</f>
        <v>他感受到了巨大的压力。</v>
      </c>
      <c r="I1367" s="13"/>
      <c r="J1367" s="13" t="str">
        <f ca="1">IFERROR(__xludf.DUMMYFUNCTION("""COMPUTED_VALUE"""),"Anh ấy cảm thấy áp lực vô cùng.")</f>
        <v>Anh ấy cảm thấy áp lực vô cùng.</v>
      </c>
      <c r="K1367" s="13" t="str">
        <f ca="1">IFERROR(__xludf.DUMMYFUNCTION("""COMPUTED_VALUE"""),"H5_B2_BG-08.png")</f>
        <v>H5_B2_BG-08.png</v>
      </c>
      <c r="L1367" s="13" t="str">
        <f ca="1">IFERROR(__xludf.DUMMYFUNCTION("""COMPUTED_VALUE"""),"B2-08.mp3")</f>
        <v>B2-08.mp3</v>
      </c>
      <c r="M1367" s="13" t="str">
        <f ca="1">IFERROR(__xludf.DUMMYFUNCTION("""COMPUTED_VALUE"""),"B2_VD_8.mp3")</f>
        <v>B2_VD_8.mp3</v>
      </c>
    </row>
    <row r="1368" spans="1:13">
      <c r="A1368" s="13">
        <f ca="1">IFERROR(__xludf.DUMMYFUNCTION("""COMPUTED_VALUE"""),9)</f>
        <v>9</v>
      </c>
      <c r="B1368" s="13"/>
      <c r="C1368" s="13" t="str">
        <f ca="1">IFERROR(__xludf.DUMMYFUNCTION("""COMPUTED_VALUE"""),"想象")</f>
        <v>想象</v>
      </c>
      <c r="D1368" s="13" t="str">
        <f ca="1">IFERROR(__xludf.DUMMYFUNCTION("""COMPUTED_VALUE"""),"&lt;ruby&gt;想象&lt;rt&gt;xiăngxiàng&lt;/rt&gt;&lt;/ruby&gt;")</f>
        <v>&lt;ruby&gt;想象&lt;rt&gt;xiăngxiàng&lt;/rt&gt;&lt;/ruby&gt;</v>
      </c>
      <c r="E1368" s="13" t="str">
        <f ca="1">IFERROR(__xludf.DUMMYFUNCTION("""COMPUTED_VALUE"""),"xiăngxiàng")</f>
        <v>xiăngxiàng</v>
      </c>
      <c r="F1368" s="13" t="str">
        <f ca="1">IFERROR(__xludf.DUMMYFUNCTION("""COMPUTED_VALUE"""),"Động từ")</f>
        <v>Động từ</v>
      </c>
      <c r="G1368" s="13" t="str">
        <f ca="1">IFERROR(__xludf.DUMMYFUNCTION("""COMPUTED_VALUE"""),"tưởng tượng")</f>
        <v>tưởng tượng</v>
      </c>
      <c r="H1368" s="13" t="str">
        <f ca="1">IFERROR(__xludf.DUMMYFUNCTION("""COMPUTED_VALUE"""),"他想象自己是个英雄。")</f>
        <v>他想象自己是个英雄。</v>
      </c>
      <c r="I1368" s="13"/>
      <c r="J1368" s="13" t="str">
        <f ca="1">IFERROR(__xludf.DUMMYFUNCTION("""COMPUTED_VALUE"""),"Anh ấy tưởng tượng mình là một anh hùng.")</f>
        <v>Anh ấy tưởng tượng mình là một anh hùng.</v>
      </c>
      <c r="K1368" s="13" t="str">
        <f ca="1">IFERROR(__xludf.DUMMYFUNCTION("""COMPUTED_VALUE"""),"H5_B2_BG-09.png")</f>
        <v>H5_B2_BG-09.png</v>
      </c>
      <c r="L1368" s="13" t="str">
        <f ca="1">IFERROR(__xludf.DUMMYFUNCTION("""COMPUTED_VALUE"""),"B2-09.mp3")</f>
        <v>B2-09.mp3</v>
      </c>
      <c r="M1368" s="13" t="str">
        <f ca="1">IFERROR(__xludf.DUMMYFUNCTION("""COMPUTED_VALUE"""),"B2_VD_9.mp3")</f>
        <v>B2_VD_9.mp3</v>
      </c>
    </row>
    <row r="1369" spans="1:13">
      <c r="A1369" s="13">
        <f ca="1">IFERROR(__xludf.DUMMYFUNCTION("""COMPUTED_VALUE"""),10)</f>
        <v>10</v>
      </c>
      <c r="B1369" s="13"/>
      <c r="C1369" s="13" t="str">
        <f ca="1">IFERROR(__xludf.DUMMYFUNCTION("""COMPUTED_VALUE"""),"夜")</f>
        <v>夜</v>
      </c>
      <c r="D1369" s="13" t="str">
        <f ca="1">IFERROR(__xludf.DUMMYFUNCTION("""COMPUTED_VALUE"""),"&lt;ruby&gt;夜&lt;rt&gt;yè&lt;/rt&gt;&lt;/ruby&gt;")</f>
        <v>&lt;ruby&gt;夜&lt;rt&gt;yè&lt;/rt&gt;&lt;/ruby&gt;</v>
      </c>
      <c r="E1369" s="13" t="str">
        <f ca="1">IFERROR(__xludf.DUMMYFUNCTION("""COMPUTED_VALUE"""),"yè")</f>
        <v>yè</v>
      </c>
      <c r="F1369" s="13" t="str">
        <f ca="1">IFERROR(__xludf.DUMMYFUNCTION("""COMPUTED_VALUE"""),"Danh từ")</f>
        <v>Danh từ</v>
      </c>
      <c r="G1369" s="13" t="str">
        <f ca="1">IFERROR(__xludf.DUMMYFUNCTION("""COMPUTED_VALUE"""),"ban đêm")</f>
        <v>ban đêm</v>
      </c>
      <c r="H1369" s="13" t="str">
        <f ca="1">IFERROR(__xludf.DUMMYFUNCTION("""COMPUTED_VALUE"""),"小时候，我经常听妈妈在夜里讲故事。")</f>
        <v>小时候，我经常听妈妈在夜里讲故事。</v>
      </c>
      <c r="I1369" s="13"/>
      <c r="J1369" s="13" t="str">
        <f ca="1">IFERROR(__xludf.DUMMYFUNCTION("""COMPUTED_VALUE"""),"Khi còn nhỏ, tôi thường nghe mẹ kể chuyện vào ban đêm.")</f>
        <v>Khi còn nhỏ, tôi thường nghe mẹ kể chuyện vào ban đêm.</v>
      </c>
      <c r="K1369" s="13" t="str">
        <f ca="1">IFERROR(__xludf.DUMMYFUNCTION("""COMPUTED_VALUE"""),"H5_B2_BG-10.png")</f>
        <v>H5_B2_BG-10.png</v>
      </c>
      <c r="L1369" s="13" t="str">
        <f ca="1">IFERROR(__xludf.DUMMYFUNCTION("""COMPUTED_VALUE"""),"B2-10.mp3")</f>
        <v>B2-10.mp3</v>
      </c>
      <c r="M1369" s="13" t="str">
        <f ca="1">IFERROR(__xludf.DUMMYFUNCTION("""COMPUTED_VALUE"""),"B2_VD_10.mp3")</f>
        <v>B2_VD_10.mp3</v>
      </c>
    </row>
    <row r="1370" spans="1:13">
      <c r="A1370" s="13">
        <f ca="1">IFERROR(__xludf.DUMMYFUNCTION("""COMPUTED_VALUE"""),11)</f>
        <v>11</v>
      </c>
      <c r="B1370" s="13"/>
      <c r="C1370" s="13" t="str">
        <f ca="1">IFERROR(__xludf.DUMMYFUNCTION("""COMPUTED_VALUE"""),"强烈")</f>
        <v>强烈</v>
      </c>
      <c r="D1370" s="13" t="str">
        <f ca="1">IFERROR(__xludf.DUMMYFUNCTION("""COMPUTED_VALUE"""),"&lt;ruby&gt;强烈&lt;rt&gt;qiángliè&lt;/rt&gt;&lt;/ruby&gt;")</f>
        <v>&lt;ruby&gt;强烈&lt;rt&gt;qiángliè&lt;/rt&gt;&lt;/ruby&gt;</v>
      </c>
      <c r="E1370" s="13" t="str">
        <f ca="1">IFERROR(__xludf.DUMMYFUNCTION("""COMPUTED_VALUE"""),"qiángliè")</f>
        <v>qiángliè</v>
      </c>
      <c r="F1370" s="13" t="str">
        <f ca="1">IFERROR(__xludf.DUMMYFUNCTION("""COMPUTED_VALUE"""),"Tính từ")</f>
        <v>Tính từ</v>
      </c>
      <c r="G1370" s="13" t="str">
        <f ca="1">IFERROR(__xludf.DUMMYFUNCTION("""COMPUTED_VALUE"""),"mãnh liệt, kịch liệt, cố gắng hết mức")</f>
        <v>mãnh liệt, kịch liệt, cố gắng hết mức</v>
      </c>
      <c r="H1370" s="13" t="str">
        <f ca="1">IFERROR(__xludf.DUMMYFUNCTION("""COMPUTED_VALUE"""),"每次听到家人的声音，我都会有一种强烈的安全感。")</f>
        <v>每次听到家人的声音，我都会有一种强烈的安全感。</v>
      </c>
      <c r="I1370" s="13"/>
      <c r="J1370" s="13" t="str">
        <f ca="1">IFERROR(__xludf.DUMMYFUNCTION("""COMPUTED_VALUE"""),"Mỗi lần nghe thấy giọng nói của gia đình, tôi đều có cảm giác an toàn mãnh liệt.")</f>
        <v>Mỗi lần nghe thấy giọng nói của gia đình, tôi đều có cảm giác an toàn mãnh liệt.</v>
      </c>
      <c r="K1370" s="13" t="str">
        <f ca="1">IFERROR(__xludf.DUMMYFUNCTION("""COMPUTED_VALUE"""),"H5_B2_BG-11.png")</f>
        <v>H5_B2_BG-11.png</v>
      </c>
      <c r="L1370" s="13" t="str">
        <f ca="1">IFERROR(__xludf.DUMMYFUNCTION("""COMPUTED_VALUE"""),"B2-11.mp3")</f>
        <v>B2-11.mp3</v>
      </c>
      <c r="M1370" s="13" t="str">
        <f ca="1">IFERROR(__xludf.DUMMYFUNCTION("""COMPUTED_VALUE"""),"B2_VD_11.mp3")</f>
        <v>B2_VD_11.mp3</v>
      </c>
    </row>
    <row r="1371" spans="1:13">
      <c r="A1371" s="13">
        <f ca="1">IFERROR(__xludf.DUMMYFUNCTION("""COMPUTED_VALUE"""),12)</f>
        <v>12</v>
      </c>
      <c r="B1371" s="13"/>
      <c r="C1371" s="13" t="str">
        <f ca="1">IFERROR(__xludf.DUMMYFUNCTION("""COMPUTED_VALUE"""),"被子")</f>
        <v>被子</v>
      </c>
      <c r="D1371" s="13" t="str">
        <f ca="1">IFERROR(__xludf.DUMMYFUNCTION("""COMPUTED_VALUE"""),"&lt;ruby&gt;被子&lt;rt&gt;bèizi&lt;/rt&gt;&lt;/ruby&gt;")</f>
        <v>&lt;ruby&gt;被子&lt;rt&gt;bèizi&lt;/rt&gt;&lt;/ruby&gt;</v>
      </c>
      <c r="E1371" s="13" t="str">
        <f ca="1">IFERROR(__xludf.DUMMYFUNCTION("""COMPUTED_VALUE"""),"bèizi")</f>
        <v>bèizi</v>
      </c>
      <c r="F1371" s="13" t="str">
        <f ca="1">IFERROR(__xludf.DUMMYFUNCTION("""COMPUTED_VALUE"""),"Danh từ")</f>
        <v>Danh từ</v>
      </c>
      <c r="G1371" s="13" t="str">
        <f ca="1">IFERROR(__xludf.DUMMYFUNCTION("""COMPUTED_VALUE"""),"mền, chăn")</f>
        <v>mền, chăn</v>
      </c>
      <c r="H1371" s="13" t="str">
        <f ca="1">IFERROR(__xludf.DUMMYFUNCTION("""COMPUTED_VALUE"""),"冬天的晚上，盖着厚厚的被子感觉特别暖和。")</f>
        <v>冬天的晚上，盖着厚厚的被子感觉特别暖和。</v>
      </c>
      <c r="I1371" s="13"/>
      <c r="J1371" s="13" t="str">
        <f ca="1">IFERROR(__xludf.DUMMYFUNCTION("""COMPUTED_VALUE"""),"Vào buổi tối mùa đông, đắp chăn dày cảm thấy rất ấm áp.")</f>
        <v>Vào buổi tối mùa đông, đắp chăn dày cảm thấy rất ấm áp.</v>
      </c>
      <c r="K1371" s="13" t="str">
        <f ca="1">IFERROR(__xludf.DUMMYFUNCTION("""COMPUTED_VALUE"""),"H5_B2_BG-12.png")</f>
        <v>H5_B2_BG-12.png</v>
      </c>
      <c r="L1371" s="13" t="str">
        <f ca="1">IFERROR(__xludf.DUMMYFUNCTION("""COMPUTED_VALUE"""),"B2-12.mp3")</f>
        <v>B2-12.mp3</v>
      </c>
      <c r="M1371" s="13" t="str">
        <f ca="1">IFERROR(__xludf.DUMMYFUNCTION("""COMPUTED_VALUE"""),"B2_VD_12.mp3")</f>
        <v>B2_VD_12.mp3</v>
      </c>
    </row>
    <row r="1372" spans="1:13">
      <c r="A1372" s="13">
        <f ca="1">IFERROR(__xludf.DUMMYFUNCTION("""COMPUTED_VALUE"""),13)</f>
        <v>13</v>
      </c>
      <c r="B1372" s="13"/>
      <c r="C1372" s="13" t="str">
        <f ca="1">IFERROR(__xludf.DUMMYFUNCTION("""COMPUTED_VALUE"""),"灰尘")</f>
        <v>灰尘</v>
      </c>
      <c r="D1372" s="13" t="str">
        <f ca="1">IFERROR(__xludf.DUMMYFUNCTION("""COMPUTED_VALUE"""),"&lt;ruby&gt;灰尘&lt;rt&gt;huīchén&lt;/rt&gt;&lt;/ruby&gt;")</f>
        <v>&lt;ruby&gt;灰尘&lt;rt&gt;huīchén&lt;/rt&gt;&lt;/ruby&gt;</v>
      </c>
      <c r="E1372" s="13" t="str">
        <f ca="1">IFERROR(__xludf.DUMMYFUNCTION("""COMPUTED_VALUE"""),"huīchén")</f>
        <v>huīchén</v>
      </c>
      <c r="F1372" s="13" t="str">
        <f ca="1">IFERROR(__xludf.DUMMYFUNCTION("""COMPUTED_VALUE"""),"Danh từ")</f>
        <v>Danh từ</v>
      </c>
      <c r="G1372" s="13" t="str">
        <f ca="1">IFERROR(__xludf.DUMMYFUNCTION("""COMPUTED_VALUE"""),"bụi bặm")</f>
        <v>bụi bặm</v>
      </c>
      <c r="H1372" s="13" t="str">
        <f ca="1">IFERROR(__xludf.DUMMYFUNCTION("""COMPUTED_VALUE"""),"窗户好久没擦了，上面积满了灰尘。")</f>
        <v>窗户好久没擦了，上面积满了灰尘。</v>
      </c>
      <c r="I1372" s="13"/>
      <c r="J1372" s="13" t="str">
        <f ca="1">IFERROR(__xludf.DUMMYFUNCTION("""COMPUTED_VALUE"""),"Cửa sổ lâu ngày không lau, trên đó phủ đầy bụi.")</f>
        <v>Cửa sổ lâu ngày không lau, trên đó phủ đầy bụi.</v>
      </c>
      <c r="K1372" s="13" t="str">
        <f ca="1">IFERROR(__xludf.DUMMYFUNCTION("""COMPUTED_VALUE"""),"H5_B2_BG-13.png")</f>
        <v>H5_B2_BG-13.png</v>
      </c>
      <c r="L1372" s="13" t="str">
        <f ca="1">IFERROR(__xludf.DUMMYFUNCTION("""COMPUTED_VALUE"""),"B2-13.mp3")</f>
        <v>B2-13.mp3</v>
      </c>
      <c r="M1372" s="13" t="str">
        <f ca="1">IFERROR(__xludf.DUMMYFUNCTION("""COMPUTED_VALUE"""),"B2_VD_13.mp3")</f>
        <v>B2_VD_13.mp3</v>
      </c>
    </row>
    <row r="1373" spans="1:13">
      <c r="A1373" s="13">
        <f ca="1">IFERROR(__xludf.DUMMYFUNCTION("""COMPUTED_VALUE"""),14)</f>
        <v>14</v>
      </c>
      <c r="B1373" s="13"/>
      <c r="C1373" s="13" t="str">
        <f ca="1">IFERROR(__xludf.DUMMYFUNCTION("""COMPUTED_VALUE"""),"农村")</f>
        <v>农村</v>
      </c>
      <c r="D1373" s="13" t="str">
        <f ca="1">IFERROR(__xludf.DUMMYFUNCTION("""COMPUTED_VALUE"""),"&lt;ruby&gt;农村&lt;rt&gt;nóngcūn&lt;/rt&gt;&lt;/ruby&gt;")</f>
        <v>&lt;ruby&gt;农村&lt;rt&gt;nóngcūn&lt;/rt&gt;&lt;/ruby&gt;</v>
      </c>
      <c r="E1373" s="13" t="str">
        <f ca="1">IFERROR(__xludf.DUMMYFUNCTION("""COMPUTED_VALUE"""),"nóngcūn")</f>
        <v>nóngcūn</v>
      </c>
      <c r="F1373" s="13" t="str">
        <f ca="1">IFERROR(__xludf.DUMMYFUNCTION("""COMPUTED_VALUE"""),"Danh từ")</f>
        <v>Danh từ</v>
      </c>
      <c r="G1373" s="13" t="str">
        <f ca="1">IFERROR(__xludf.DUMMYFUNCTION("""COMPUTED_VALUE"""),"nông thôn")</f>
        <v>nông thôn</v>
      </c>
      <c r="H1373" s="13" t="str">
        <f ca="1">IFERROR(__xludf.DUMMYFUNCTION("""COMPUTED_VALUE"""),"我喜欢农村的生活。")</f>
        <v>我喜欢农村的生活。</v>
      </c>
      <c r="I1373" s="13"/>
      <c r="J1373" s="13" t="str">
        <f ca="1">IFERROR(__xludf.DUMMYFUNCTION("""COMPUTED_VALUE"""),"Tôi thích cuộc sống ở nông thôn.")</f>
        <v>Tôi thích cuộc sống ở nông thôn.</v>
      </c>
      <c r="K1373" s="13" t="str">
        <f ca="1">IFERROR(__xludf.DUMMYFUNCTION("""COMPUTED_VALUE"""),"H5_B2_BG-14.png")</f>
        <v>H5_B2_BG-14.png</v>
      </c>
      <c r="L1373" s="13" t="str">
        <f ca="1">IFERROR(__xludf.DUMMYFUNCTION("""COMPUTED_VALUE"""),"B2-14.mp3")</f>
        <v>B2-14.mp3</v>
      </c>
      <c r="M1373" s="13" t="str">
        <f ca="1">IFERROR(__xludf.DUMMYFUNCTION("""COMPUTED_VALUE"""),"B2_VD_14.mp3")</f>
        <v>B2_VD_14.mp3</v>
      </c>
    </row>
    <row r="1374" spans="1:13">
      <c r="A1374" s="13">
        <f ca="1">IFERROR(__xludf.DUMMYFUNCTION("""COMPUTED_VALUE"""),15)</f>
        <v>15</v>
      </c>
      <c r="B1374" s="13"/>
      <c r="C1374" s="13" t="str">
        <f ca="1">IFERROR(__xludf.DUMMYFUNCTION("""COMPUTED_VALUE"""),"卧室")</f>
        <v>卧室</v>
      </c>
      <c r="D1374" s="13" t="str">
        <f ca="1">IFERROR(__xludf.DUMMYFUNCTION("""COMPUTED_VALUE"""),"&lt;ruby&gt;卧室&lt;rt&gt;wòshì&lt;/rt&gt;&lt;/ruby&gt;")</f>
        <v>&lt;ruby&gt;卧室&lt;rt&gt;wòshì&lt;/rt&gt;&lt;/ruby&gt;</v>
      </c>
      <c r="E1374" s="13" t="str">
        <f ca="1">IFERROR(__xludf.DUMMYFUNCTION("""COMPUTED_VALUE"""),"wòshì")</f>
        <v>wòshì</v>
      </c>
      <c r="F1374" s="13" t="str">
        <f ca="1">IFERROR(__xludf.DUMMYFUNCTION("""COMPUTED_VALUE"""),"Danh từ")</f>
        <v>Danh từ</v>
      </c>
      <c r="G1374" s="13" t="str">
        <f ca="1">IFERROR(__xludf.DUMMYFUNCTION("""COMPUTED_VALUE"""),"phòng ngủ")</f>
        <v>phòng ngủ</v>
      </c>
      <c r="H1374" s="13" t="str">
        <f ca="1">IFERROR(__xludf.DUMMYFUNCTION("""COMPUTED_VALUE"""),"她的卧室布置得非常温馨，还有一张柔软的大床。")</f>
        <v>她的卧室布置得非常温馨，还有一张柔软的大床。</v>
      </c>
      <c r="I1374" s="13"/>
      <c r="J1374" s="13" t="str">
        <f ca="1">IFERROR(__xludf.DUMMYFUNCTION("""COMPUTED_VALUE"""),"Phòng ngủ của cô ấy được trang trí rất ấm cúng, còn có một chiếc giường lớn êm ái.")</f>
        <v>Phòng ngủ của cô ấy được trang trí rất ấm cúng, còn có một chiếc giường lớn êm ái.</v>
      </c>
      <c r="K1374" s="13" t="str">
        <f ca="1">IFERROR(__xludf.DUMMYFUNCTION("""COMPUTED_VALUE"""),"H5_B2_BG-15.png")</f>
        <v>H5_B2_BG-15.png</v>
      </c>
      <c r="L1374" s="13" t="str">
        <f ca="1">IFERROR(__xludf.DUMMYFUNCTION("""COMPUTED_VALUE"""),"B2-15.mp3")</f>
        <v>B2-15.mp3</v>
      </c>
      <c r="M1374" s="13" t="str">
        <f ca="1">IFERROR(__xludf.DUMMYFUNCTION("""COMPUTED_VALUE"""),"B2_VD_15.mp3")</f>
        <v>B2_VD_15.mp3</v>
      </c>
    </row>
    <row r="1375" spans="1:13">
      <c r="A1375" s="13">
        <f ca="1">IFERROR(__xludf.DUMMYFUNCTION("""COMPUTED_VALUE"""),16)</f>
        <v>16</v>
      </c>
      <c r="B1375" s="13"/>
      <c r="C1375" s="13" t="str">
        <f ca="1">IFERROR(__xludf.DUMMYFUNCTION("""COMPUTED_VALUE"""),"屋（子）")</f>
        <v>屋（子）</v>
      </c>
      <c r="D1375" s="13" t="str">
        <f ca="1">IFERROR(__xludf.DUMMYFUNCTION("""COMPUTED_VALUE"""),"&lt;ruby&gt;屋（子）&lt;rt&gt;wū (zi)&lt;/rt&gt;&lt;/ruby&gt;")</f>
        <v>&lt;ruby&gt;屋（子）&lt;rt&gt;wū (zi)&lt;/rt&gt;&lt;/ruby&gt;</v>
      </c>
      <c r="E1375" s="13" t="str">
        <f ca="1">IFERROR(__xludf.DUMMYFUNCTION("""COMPUTED_VALUE"""),"wū (zi)")</f>
        <v>wū (zi)</v>
      </c>
      <c r="F1375" s="13" t="str">
        <f ca="1">IFERROR(__xludf.DUMMYFUNCTION("""COMPUTED_VALUE"""),"Danh từ")</f>
        <v>Danh từ</v>
      </c>
      <c r="G1375" s="13" t="str">
        <f ca="1">IFERROR(__xludf.DUMMYFUNCTION("""COMPUTED_VALUE"""),"nhà")</f>
        <v>nhà</v>
      </c>
      <c r="H1375" s="13" t="str">
        <f ca="1">IFERROR(__xludf.DUMMYFUNCTION("""COMPUTED_VALUE"""),"屋子里面有点暗。")</f>
        <v>屋子里面有点暗。</v>
      </c>
      <c r="I1375" s="13"/>
      <c r="J1375" s="13" t="str">
        <f ca="1">IFERROR(__xludf.DUMMYFUNCTION("""COMPUTED_VALUE"""),"Trong nhà có chút hơi tối.")</f>
        <v>Trong nhà có chút hơi tối.</v>
      </c>
      <c r="K1375" s="13" t="str">
        <f ca="1">IFERROR(__xludf.DUMMYFUNCTION("""COMPUTED_VALUE"""),"H5_B2_BG-16.png")</f>
        <v>H5_B2_BG-16.png</v>
      </c>
      <c r="L1375" s="13" t="str">
        <f ca="1">IFERROR(__xludf.DUMMYFUNCTION("""COMPUTED_VALUE"""),"B2-16.mp3")</f>
        <v>B2-16.mp3</v>
      </c>
      <c r="M1375" s="13" t="str">
        <f ca="1">IFERROR(__xludf.DUMMYFUNCTION("""COMPUTED_VALUE"""),"B2_VD_16.mp3")</f>
        <v>B2_VD_16.mp3</v>
      </c>
    </row>
    <row r="1376" spans="1:13">
      <c r="A1376" s="13">
        <f ca="1">IFERROR(__xludf.DUMMYFUNCTION("""COMPUTED_VALUE"""),17)</f>
        <v>17</v>
      </c>
      <c r="B1376" s="13"/>
      <c r="C1376" s="13" t="str">
        <f ca="1">IFERROR(__xludf.DUMMYFUNCTION("""COMPUTED_VALUE"""),"县")</f>
        <v>县</v>
      </c>
      <c r="D1376" s="13" t="str">
        <f ca="1">IFERROR(__xludf.DUMMYFUNCTION("""COMPUTED_VALUE"""),"&lt;ruby&gt;县&lt;rt&gt;xiàn&lt;/rt&gt;&lt;/ruby&gt;")</f>
        <v>&lt;ruby&gt;县&lt;rt&gt;xiàn&lt;/rt&gt;&lt;/ruby&gt;</v>
      </c>
      <c r="E1376" s="13" t="str">
        <f ca="1">IFERROR(__xludf.DUMMYFUNCTION("""COMPUTED_VALUE"""),"xiàn")</f>
        <v>xiàn</v>
      </c>
      <c r="F1376" s="13" t="str">
        <f ca="1">IFERROR(__xludf.DUMMYFUNCTION("""COMPUTED_VALUE"""),"Danh từ")</f>
        <v>Danh từ</v>
      </c>
      <c r="G1376" s="13" t="str">
        <f ca="1">IFERROR(__xludf.DUMMYFUNCTION("""COMPUTED_VALUE"""),"huyện")</f>
        <v>huyện</v>
      </c>
      <c r="H1376" s="13" t="str">
        <f ca="1">IFERROR(__xludf.DUMMYFUNCTION("""COMPUTED_VALUE"""),"我住在这个县。")</f>
        <v>我住在这个县。</v>
      </c>
      <c r="I1376" s="13"/>
      <c r="J1376" s="13" t="str">
        <f ca="1">IFERROR(__xludf.DUMMYFUNCTION("""COMPUTED_VALUE"""),"Tôi sống ở huyện này.")</f>
        <v>Tôi sống ở huyện này.</v>
      </c>
      <c r="K1376" s="13" t="str">
        <f ca="1">IFERROR(__xludf.DUMMYFUNCTION("""COMPUTED_VALUE"""),"H5_B2_BG-17.png")</f>
        <v>H5_B2_BG-17.png</v>
      </c>
      <c r="L1376" s="13" t="str">
        <f ca="1">IFERROR(__xludf.DUMMYFUNCTION("""COMPUTED_VALUE"""),"B2-17.mp3")</f>
        <v>B2-17.mp3</v>
      </c>
      <c r="M1376" s="13" t="str">
        <f ca="1">IFERROR(__xludf.DUMMYFUNCTION("""COMPUTED_VALUE"""),"B2_VD_17.mp3")</f>
        <v>B2_VD_17.mp3</v>
      </c>
    </row>
    <row r="1377" spans="1:13">
      <c r="A1377" s="13">
        <f ca="1">IFERROR(__xludf.DUMMYFUNCTION("""COMPUTED_VALUE"""),18)</f>
        <v>18</v>
      </c>
      <c r="B1377" s="13"/>
      <c r="C1377" s="13" t="str">
        <f ca="1">IFERROR(__xludf.DUMMYFUNCTION("""COMPUTED_VALUE"""),"装修")</f>
        <v>装修</v>
      </c>
      <c r="D1377" s="13" t="str">
        <f ca="1">IFERROR(__xludf.DUMMYFUNCTION("""COMPUTED_VALUE"""),"&lt;ruby&gt;装修&lt;rt&gt;zhuāngxiū&lt;/rt&gt;&lt;/ruby&gt;")</f>
        <v>&lt;ruby&gt;装修&lt;rt&gt;zhuāngxiū&lt;/rt&gt;&lt;/ruby&gt;</v>
      </c>
      <c r="E1377" s="13" t="str">
        <f ca="1">IFERROR(__xludf.DUMMYFUNCTION("""COMPUTED_VALUE"""),"zhuāngxiū")</f>
        <v>zhuāngxiū</v>
      </c>
      <c r="F1377" s="13" t="str">
        <f ca="1">IFERROR(__xludf.DUMMYFUNCTION("""COMPUTED_VALUE"""),"Động từ")</f>
        <v>Động từ</v>
      </c>
      <c r="G1377" s="13" t="str">
        <f ca="1">IFERROR(__xludf.DUMMYFUNCTION("""COMPUTED_VALUE"""),"sửa sang, trang hoàng")</f>
        <v>sửa sang, trang hoàng</v>
      </c>
      <c r="H1377" s="13" t="str">
        <f ca="1">IFERROR(__xludf.DUMMYFUNCTION("""COMPUTED_VALUE"""),"我们正在装修新家。")</f>
        <v>我们正在装修新家。</v>
      </c>
      <c r="I1377" s="13"/>
      <c r="J1377" s="13" t="str">
        <f ca="1">IFERROR(__xludf.DUMMYFUNCTION("""COMPUTED_VALUE"""),"Chúng tôi đang sửa sang nhà mới.")</f>
        <v>Chúng tôi đang sửa sang nhà mới.</v>
      </c>
      <c r="K1377" s="13" t="str">
        <f ca="1">IFERROR(__xludf.DUMMYFUNCTION("""COMPUTED_VALUE"""),"H5_B2_BG-18.png")</f>
        <v>H5_B2_BG-18.png</v>
      </c>
      <c r="L1377" s="13" t="str">
        <f ca="1">IFERROR(__xludf.DUMMYFUNCTION("""COMPUTED_VALUE"""),"B2-18.mp3")</f>
        <v>B2-18.mp3</v>
      </c>
      <c r="M1377" s="13" t="str">
        <f ca="1">IFERROR(__xludf.DUMMYFUNCTION("""COMPUTED_VALUE"""),"B2_VD_18.mp3")</f>
        <v>B2_VD_18.mp3</v>
      </c>
    </row>
    <row r="1378" spans="1:13">
      <c r="A1378" s="13">
        <f ca="1">IFERROR(__xludf.DUMMYFUNCTION("""COMPUTED_VALUE"""),19)</f>
        <v>19</v>
      </c>
      <c r="B1378" s="13"/>
      <c r="C1378" s="13" t="str">
        <f ca="1">IFERROR(__xludf.DUMMYFUNCTION("""COMPUTED_VALUE"""),"铺")</f>
        <v>铺</v>
      </c>
      <c r="D1378" s="13" t="str">
        <f ca="1">IFERROR(__xludf.DUMMYFUNCTION("""COMPUTED_VALUE"""),"&lt;ruby&gt;铺&lt;rt&gt;pū&lt;/rt&gt;&lt;/ruby&gt;")</f>
        <v>&lt;ruby&gt;铺&lt;rt&gt;pū&lt;/rt&gt;&lt;/ruby&gt;</v>
      </c>
      <c r="E1378" s="13" t="str">
        <f ca="1">IFERROR(__xludf.DUMMYFUNCTION("""COMPUTED_VALUE"""),"pū")</f>
        <v>pū</v>
      </c>
      <c r="F1378" s="13" t="str">
        <f ca="1">IFERROR(__xludf.DUMMYFUNCTION("""COMPUTED_VALUE"""),"Động từ")</f>
        <v>Động từ</v>
      </c>
      <c r="G1378" s="13" t="str">
        <f ca="1">IFERROR(__xludf.DUMMYFUNCTION("""COMPUTED_VALUE"""),"trải")</f>
        <v>trải</v>
      </c>
      <c r="H1378" s="13" t="str">
        <f ca="1">IFERROR(__xludf.DUMMYFUNCTION("""COMPUTED_VALUE"""),"地板上铺了一张漂亮的地毯，看起来很舒适。")</f>
        <v>地板上铺了一张漂亮的地毯，看起来很舒适。</v>
      </c>
      <c r="I1378" s="13"/>
      <c r="J1378" s="13" t="str">
        <f ca="1">IFERROR(__xludf.DUMMYFUNCTION("""COMPUTED_VALUE"""),"Trên sàn trải một tấm thảm đẹp, trông rất thoải mái.")</f>
        <v>Trên sàn trải một tấm thảm đẹp, trông rất thoải mái.</v>
      </c>
      <c r="K1378" s="13" t="str">
        <f ca="1">IFERROR(__xludf.DUMMYFUNCTION("""COMPUTED_VALUE"""),"H5_B2_BG-19.png")</f>
        <v>H5_B2_BG-19.png</v>
      </c>
      <c r="L1378" s="13" t="str">
        <f ca="1">IFERROR(__xludf.DUMMYFUNCTION("""COMPUTED_VALUE"""),"B2-19.mp3")</f>
        <v>B2-19.mp3</v>
      </c>
      <c r="M1378" s="13" t="str">
        <f ca="1">IFERROR(__xludf.DUMMYFUNCTION("""COMPUTED_VALUE"""),"B2_VD_19.mp3")</f>
        <v>B2_VD_19.mp3</v>
      </c>
    </row>
    <row r="1379" spans="1:13">
      <c r="A1379" s="13">
        <f ca="1">IFERROR(__xludf.DUMMYFUNCTION("""COMPUTED_VALUE"""),20)</f>
        <v>20</v>
      </c>
      <c r="B1379" s="13"/>
      <c r="C1379" s="13" t="str">
        <f ca="1">IFERROR(__xludf.DUMMYFUNCTION("""COMPUTED_VALUE"""),"套")</f>
        <v>套</v>
      </c>
      <c r="D1379" s="13" t="str">
        <f ca="1">IFERROR(__xludf.DUMMYFUNCTION("""COMPUTED_VALUE"""),"&lt;ruby&gt;套&lt;rt&gt;tào&lt;/rt&gt;&lt;/ruby&gt;")</f>
        <v>&lt;ruby&gt;套&lt;rt&gt;tào&lt;/rt&gt;&lt;/ruby&gt;</v>
      </c>
      <c r="E1379" s="13" t="str">
        <f ca="1">IFERROR(__xludf.DUMMYFUNCTION("""COMPUTED_VALUE"""),"tào")</f>
        <v>tào</v>
      </c>
      <c r="F1379" s="13" t="str">
        <f ca="1">IFERROR(__xludf.DUMMYFUNCTION("""COMPUTED_VALUE"""),"Lượng từ")</f>
        <v>Lượng từ</v>
      </c>
      <c r="G1379" s="13" t="str">
        <f ca="1">IFERROR(__xludf.DUMMYFUNCTION("""COMPUTED_VALUE"""),"bộ, căn, cái")</f>
        <v>bộ, căn, cái</v>
      </c>
      <c r="H1379" s="13" t="str">
        <f ca="1">IFERROR(__xludf.DUMMYFUNCTION("""COMPUTED_VALUE"""),"他们买了一套大房子，准备搬进去住。")</f>
        <v>他们买了一套大房子，准备搬进去住。</v>
      </c>
      <c r="I1379" s="13"/>
      <c r="J1379" s="13" t="str">
        <f ca="1">IFERROR(__xludf.DUMMYFUNCTION("""COMPUTED_VALUE"""),"Họ đã mua một căn nhà lớn, chuẩn bị chuyển vào ở.")</f>
        <v>Họ đã mua một căn nhà lớn, chuẩn bị chuyển vào ở.</v>
      </c>
      <c r="K1379" s="13" t="str">
        <f ca="1">IFERROR(__xludf.DUMMYFUNCTION("""COMPUTED_VALUE"""),"H5_B2_BG-20.png")</f>
        <v>H5_B2_BG-20.png</v>
      </c>
      <c r="L1379" s="13" t="str">
        <f ca="1">IFERROR(__xludf.DUMMYFUNCTION("""COMPUTED_VALUE"""),"B2-20.mp3")</f>
        <v>B2-20.mp3</v>
      </c>
      <c r="M1379" s="13" t="str">
        <f ca="1">IFERROR(__xludf.DUMMYFUNCTION("""COMPUTED_VALUE"""),"B2_VD_20.mp3")</f>
        <v>B2_VD_20.mp3</v>
      </c>
    </row>
    <row r="1380" spans="1:13">
      <c r="A1380" s="13">
        <f ca="1">IFERROR(__xludf.DUMMYFUNCTION("""COMPUTED_VALUE"""),21)</f>
        <v>21</v>
      </c>
      <c r="B1380" s="13"/>
      <c r="C1380" s="13" t="str">
        <f ca="1">IFERROR(__xludf.DUMMYFUNCTION("""COMPUTED_VALUE"""),"锁")</f>
        <v>锁</v>
      </c>
      <c r="D1380" s="13" t="str">
        <f ca="1">IFERROR(__xludf.DUMMYFUNCTION("""COMPUTED_VALUE"""),"&lt;ruby&gt;锁&lt;rt&gt;suǒ&lt;/rt&gt;&lt;/ruby&gt;")</f>
        <v>&lt;ruby&gt;锁&lt;rt&gt;suǒ&lt;/rt&gt;&lt;/ruby&gt;</v>
      </c>
      <c r="E1380" s="13" t="str">
        <f ca="1">IFERROR(__xludf.DUMMYFUNCTION("""COMPUTED_VALUE"""),"suǒ")</f>
        <v>suǒ</v>
      </c>
      <c r="F1380" s="13" t="str">
        <f ca="1">IFERROR(__xludf.DUMMYFUNCTION("""COMPUTED_VALUE"""),"Danh từ/Động từ")</f>
        <v>Danh từ/Động từ</v>
      </c>
      <c r="G1380" s="13" t="str">
        <f ca="1">IFERROR(__xludf.DUMMYFUNCTION("""COMPUTED_VALUE"""),"cái khóa; khóa")</f>
        <v>cái khóa; khóa</v>
      </c>
      <c r="H1380" s="13" t="str">
        <f ca="1">IFERROR(__xludf.DUMMYFUNCTION("""COMPUTED_VALUE"""),"离开家前，请一定要记得把门锁好。")</f>
        <v>离开家前，请一定要记得把门锁好。</v>
      </c>
      <c r="I1380" s="13"/>
      <c r="J1380" s="13" t="str">
        <f ca="1">IFERROR(__xludf.DUMMYFUNCTION("""COMPUTED_VALUE"""),"Trước khi rời nhà, nhất định phải nhớ khóa cửa.")</f>
        <v>Trước khi rời nhà, nhất định phải nhớ khóa cửa.</v>
      </c>
      <c r="K1380" s="13" t="str">
        <f ca="1">IFERROR(__xludf.DUMMYFUNCTION("""COMPUTED_VALUE"""),"H5_B2_BG-21.png")</f>
        <v>H5_B2_BG-21.png</v>
      </c>
      <c r="L1380" s="13" t="str">
        <f ca="1">IFERROR(__xludf.DUMMYFUNCTION("""COMPUTED_VALUE"""),"B2-21.mp3")</f>
        <v>B2-21.mp3</v>
      </c>
      <c r="M1380" s="13" t="str">
        <f ca="1">IFERROR(__xludf.DUMMYFUNCTION("""COMPUTED_VALUE"""),"B2_VD_21.mp3")</f>
        <v>B2_VD_21.mp3</v>
      </c>
    </row>
    <row r="1381" spans="1:13">
      <c r="A1381" s="13">
        <f ca="1">IFERROR(__xludf.DUMMYFUNCTION("""COMPUTED_VALUE"""),22)</f>
        <v>22</v>
      </c>
      <c r="B1381" s="13"/>
      <c r="C1381" s="13" t="str">
        <f ca="1">IFERROR(__xludf.DUMMYFUNCTION("""COMPUTED_VALUE"""),"亮")</f>
        <v>亮</v>
      </c>
      <c r="D1381" s="13" t="str">
        <f ca="1">IFERROR(__xludf.DUMMYFUNCTION("""COMPUTED_VALUE"""),"&lt;ruby&gt;亮&lt;rt&gt;liàng&lt;/rt&gt;&lt;/ruby&gt;")</f>
        <v>&lt;ruby&gt;亮&lt;rt&gt;liàng&lt;/rt&gt;&lt;/ruby&gt;</v>
      </c>
      <c r="E1381" s="13" t="str">
        <f ca="1">IFERROR(__xludf.DUMMYFUNCTION("""COMPUTED_VALUE"""),"liàng")</f>
        <v>liàng</v>
      </c>
      <c r="F1381" s="13" t="str">
        <f ca="1">IFERROR(__xludf.DUMMYFUNCTION("""COMPUTED_VALUE"""),"Tính từ/Động từ")</f>
        <v>Tính từ/Động từ</v>
      </c>
      <c r="G1381" s="13" t="str">
        <f ca="1">IFERROR(__xludf.DUMMYFUNCTION("""COMPUTED_VALUE"""),"sáng; tỏa sáng")</f>
        <v>sáng; tỏa sáng</v>
      </c>
      <c r="H1381" s="13" t="str">
        <f ca="1">IFERROR(__xludf.DUMMYFUNCTION("""COMPUTED_VALUE"""),"阳光从窗外照进来，整个屋子变得特别亮。")</f>
        <v>阳光从窗外照进来，整个屋子变得特别亮。</v>
      </c>
      <c r="I1381" s="13"/>
      <c r="J1381" s="13" t="str">
        <f ca="1">IFERROR(__xludf.DUMMYFUNCTION("""COMPUTED_VALUE"""),"Ánh nắng chiếu qua cửa sổ, làm cả căn nhà trở nên sáng bừng.")</f>
        <v>Ánh nắng chiếu qua cửa sổ, làm cả căn nhà trở nên sáng bừng.</v>
      </c>
      <c r="K1381" s="13" t="str">
        <f ca="1">IFERROR(__xludf.DUMMYFUNCTION("""COMPUTED_VALUE"""),"H5_B2_BG-22.png")</f>
        <v>H5_B2_BG-22.png</v>
      </c>
      <c r="L1381" s="13" t="str">
        <f ca="1">IFERROR(__xludf.DUMMYFUNCTION("""COMPUTED_VALUE"""),"B2-22.mp3")</f>
        <v>B2-22.mp3</v>
      </c>
      <c r="M1381" s="13" t="str">
        <f ca="1">IFERROR(__xludf.DUMMYFUNCTION("""COMPUTED_VALUE"""),"B2_VD_22.mp3")</f>
        <v>B2_VD_22.mp3</v>
      </c>
    </row>
    <row r="1382" spans="1:13">
      <c r="A1382" s="13">
        <f ca="1">IFERROR(__xludf.DUMMYFUNCTION("""COMPUTED_VALUE"""),23)</f>
        <v>23</v>
      </c>
      <c r="B1382" s="13"/>
      <c r="C1382" s="13" t="str">
        <f ca="1">IFERROR(__xludf.DUMMYFUNCTION("""COMPUTED_VALUE"""),"晒")</f>
        <v>晒</v>
      </c>
      <c r="D1382" s="13" t="str">
        <f ca="1">IFERROR(__xludf.DUMMYFUNCTION("""COMPUTED_VALUE"""),"&lt;ruby&gt;晒&lt;rt&gt;shài&lt;/rt&gt;&lt;/ruby&gt;")</f>
        <v>&lt;ruby&gt;晒&lt;rt&gt;shài&lt;/rt&gt;&lt;/ruby&gt;</v>
      </c>
      <c r="E1382" s="13" t="str">
        <f ca="1">IFERROR(__xludf.DUMMYFUNCTION("""COMPUTED_VALUE"""),"shài")</f>
        <v>shài</v>
      </c>
      <c r="F1382" s="13" t="str">
        <f ca="1">IFERROR(__xludf.DUMMYFUNCTION("""COMPUTED_VALUE"""),"Động từ")</f>
        <v>Động từ</v>
      </c>
      <c r="G1382" s="13" t="str">
        <f ca="1">IFERROR(__xludf.DUMMYFUNCTION("""COMPUTED_VALUE"""),"phơi")</f>
        <v>phơi</v>
      </c>
      <c r="H1382" s="13" t="str">
        <f ca="1">IFERROR(__xludf.DUMMYFUNCTION("""COMPUTED_VALUE"""),"妈妈把被子拿到院子里晒了一下午，现在特别暖和。")</f>
        <v>妈妈把被子拿到院子里晒了一下午，现在特别暖和。</v>
      </c>
      <c r="I1382" s="13"/>
      <c r="J1382" s="13" t="str">
        <f ca="1">IFERROR(__xludf.DUMMYFUNCTION("""COMPUTED_VALUE"""),"Mẹ đã mang chăn ra sân phơi cả buổi chiều, giờ rất ấm áp.")</f>
        <v>Mẹ đã mang chăn ra sân phơi cả buổi chiều, giờ rất ấm áp.</v>
      </c>
      <c r="K1382" s="13" t="str">
        <f ca="1">IFERROR(__xludf.DUMMYFUNCTION("""COMPUTED_VALUE"""),"H5_B2_BG-23.png")</f>
        <v>H5_B2_BG-23.png</v>
      </c>
      <c r="L1382" s="13" t="str">
        <f ca="1">IFERROR(__xludf.DUMMYFUNCTION("""COMPUTED_VALUE"""),"B2-23.mp3")</f>
        <v>B2-23.mp3</v>
      </c>
      <c r="M1382" s="13" t="str">
        <f ca="1">IFERROR(__xludf.DUMMYFUNCTION("""COMPUTED_VALUE"""),"B2_VD_23.mp3")</f>
        <v>B2_VD_23.mp3</v>
      </c>
    </row>
    <row r="1383" spans="1:13">
      <c r="A1383" s="13">
        <f ca="1">IFERROR(__xludf.DUMMYFUNCTION("""COMPUTED_VALUE"""),24)</f>
        <v>24</v>
      </c>
      <c r="B1383" s="13"/>
      <c r="C1383" s="13" t="str">
        <f ca="1">IFERROR(__xludf.DUMMYFUNCTION("""COMPUTED_VALUE"""),"不得了")</f>
        <v>不得了</v>
      </c>
      <c r="D1383" s="13" t="str">
        <f ca="1">IFERROR(__xludf.DUMMYFUNCTION("""COMPUTED_VALUE"""),"&lt;ruby&gt;不得了&lt;rt&gt;bùdéliǎo&lt;/rt&gt;&lt;/ruby&gt;")</f>
        <v>&lt;ruby&gt;不得了&lt;rt&gt;bùdéliǎo&lt;/rt&gt;&lt;/ruby&gt;</v>
      </c>
      <c r="E1383" s="13" t="str">
        <f ca="1">IFERROR(__xludf.DUMMYFUNCTION("""COMPUTED_VALUE"""),"bùdéliǎo")</f>
        <v>bùdéliǎo</v>
      </c>
      <c r="F1383" s="13" t="str">
        <f ca="1">IFERROR(__xludf.DUMMYFUNCTION("""COMPUTED_VALUE"""),"Tính từ")</f>
        <v>Tính từ</v>
      </c>
      <c r="G1383" s="13" t="str">
        <f ca="1">IFERROR(__xludf.DUMMYFUNCTION("""COMPUTED_VALUE"""),"cực kỳ, vô cùng")</f>
        <v>cực kỳ, vô cùng</v>
      </c>
      <c r="H1383" s="13" t="str">
        <f ca="1">IFERROR(__xludf.DUMMYFUNCTION("""COMPUTED_VALUE"""),"他跑了一整天，累得不得了。")</f>
        <v>他跑了一整天，累得不得了。</v>
      </c>
      <c r="I1383" s="13"/>
      <c r="J1383" s="13" t="str">
        <f ca="1">IFERROR(__xludf.DUMMYFUNCTION("""COMPUTED_VALUE"""),"Anh ấy chạy suốt cả ngày, mệt không chịu nổi.")</f>
        <v>Anh ấy chạy suốt cả ngày, mệt không chịu nổi.</v>
      </c>
      <c r="K1383" s="13" t="str">
        <f ca="1">IFERROR(__xludf.DUMMYFUNCTION("""COMPUTED_VALUE"""),"H5_B2_BG-24.png")</f>
        <v>H5_B2_BG-24.png</v>
      </c>
      <c r="L1383" s="13" t="str">
        <f ca="1">IFERROR(__xludf.DUMMYFUNCTION("""COMPUTED_VALUE"""),"B2-24.mp3")</f>
        <v>B2-24.mp3</v>
      </c>
      <c r="M1383" s="13" t="str">
        <f ca="1">IFERROR(__xludf.DUMMYFUNCTION("""COMPUTED_VALUE"""),"B2_VD_24.mp3")</f>
        <v>B2_VD_24.mp3</v>
      </c>
    </row>
    <row r="1384" spans="1:13">
      <c r="A1384" s="13">
        <f ca="1">IFERROR(__xludf.DUMMYFUNCTION("""COMPUTED_VALUE"""),25)</f>
        <v>25</v>
      </c>
      <c r="B1384" s="13"/>
      <c r="C1384" s="13" t="str">
        <f ca="1">IFERROR(__xludf.DUMMYFUNCTION("""COMPUTED_VALUE"""),"长途")</f>
        <v>长途</v>
      </c>
      <c r="D1384" s="13" t="str">
        <f ca="1">IFERROR(__xludf.DUMMYFUNCTION("""COMPUTED_VALUE"""),"&lt;ruby&gt;长途&lt;rt&gt;chángtú&lt;/rt&gt;&lt;/ruby&gt;")</f>
        <v>&lt;ruby&gt;长途&lt;rt&gt;chángtú&lt;/rt&gt;&lt;/ruby&gt;</v>
      </c>
      <c r="E1384" s="13" t="str">
        <f ca="1">IFERROR(__xludf.DUMMYFUNCTION("""COMPUTED_VALUE"""),"chángtú")</f>
        <v>chángtú</v>
      </c>
      <c r="F1384" s="13" t="str">
        <f ca="1">IFERROR(__xludf.DUMMYFUNCTION("""COMPUTED_VALUE"""),"Tính từ")</f>
        <v>Tính từ</v>
      </c>
      <c r="G1384" s="13" t="str">
        <f ca="1">IFERROR(__xludf.DUMMYFUNCTION("""COMPUTED_VALUE"""),"đường dài")</f>
        <v>đường dài</v>
      </c>
      <c r="H1384" s="13" t="str">
        <f ca="1">IFERROR(__xludf.DUMMYFUNCTION("""COMPUTED_VALUE"""),"他们刚完成了一次长途旅行。")</f>
        <v>他们刚完成了一次长途旅行。</v>
      </c>
      <c r="I1384" s="13"/>
      <c r="J1384" s="13" t="str">
        <f ca="1">IFERROR(__xludf.DUMMYFUNCTION("""COMPUTED_VALUE"""),"Họ vừa hoàn thành một chuyến du lịch đường dài.")</f>
        <v>Họ vừa hoàn thành một chuyến du lịch đường dài.</v>
      </c>
      <c r="K1384" s="13" t="str">
        <f ca="1">IFERROR(__xludf.DUMMYFUNCTION("""COMPUTED_VALUE"""),"H5_B2_BG-25.png")</f>
        <v>H5_B2_BG-25.png</v>
      </c>
      <c r="L1384" s="13" t="str">
        <f ca="1">IFERROR(__xludf.DUMMYFUNCTION("""COMPUTED_VALUE"""),"B2-25.mp3")</f>
        <v>B2-25.mp3</v>
      </c>
      <c r="M1384" s="13" t="str">
        <f ca="1">IFERROR(__xludf.DUMMYFUNCTION("""COMPUTED_VALUE"""),"B2_VD_25.mp3")</f>
        <v>B2_VD_25.mp3</v>
      </c>
    </row>
    <row r="1385" spans="1:13">
      <c r="A1385" s="13">
        <f ca="1">IFERROR(__xludf.DUMMYFUNCTION("""COMPUTED_VALUE"""),26)</f>
        <v>26</v>
      </c>
      <c r="B1385" s="13"/>
      <c r="C1385" s="13" t="str">
        <f ca="1">IFERROR(__xludf.DUMMYFUNCTION("""COMPUTED_VALUE"""),"打工")</f>
        <v>打工</v>
      </c>
      <c r="D1385" s="13" t="str">
        <f ca="1">IFERROR(__xludf.DUMMYFUNCTION("""COMPUTED_VALUE"""),"&lt;ruby&gt;打工&lt;rt&gt;dǎ gōng&lt;/rt&gt;&lt;/ruby&gt;")</f>
        <v>&lt;ruby&gt;打工&lt;rt&gt;dǎ gōng&lt;/rt&gt;&lt;/ruby&gt;</v>
      </c>
      <c r="E1385" s="13" t="str">
        <f ca="1">IFERROR(__xludf.DUMMYFUNCTION("""COMPUTED_VALUE"""),"dǎ gōng")</f>
        <v>dǎ gōng</v>
      </c>
      <c r="F1385" s="13" t="str">
        <f ca="1">IFERROR(__xludf.DUMMYFUNCTION("""COMPUTED_VALUE"""),"Động từ")</f>
        <v>Động từ</v>
      </c>
      <c r="G1385" s="13" t="str">
        <f ca="1">IFERROR(__xludf.DUMMYFUNCTION("""COMPUTED_VALUE"""),"làm thuê, làm công")</f>
        <v>làm thuê, làm công</v>
      </c>
      <c r="H1385" s="13" t="str">
        <f ca="1">IFERROR(__xludf.DUMMYFUNCTION("""COMPUTED_VALUE"""),"为了支付学费，他晚上去餐馆打工。")</f>
        <v>为了支付学费，他晚上去餐馆打工。</v>
      </c>
      <c r="I1385" s="13"/>
      <c r="J1385" s="13" t="str">
        <f ca="1">IFERROR(__xludf.DUMMYFUNCTION("""COMPUTED_VALUE"""),"Để trả học phí, anh ấy đi làm thêm ở nhà hàng vào buổi tối.")</f>
        <v>Để trả học phí, anh ấy đi làm thêm ở nhà hàng vào buổi tối.</v>
      </c>
      <c r="K1385" s="13" t="str">
        <f ca="1">IFERROR(__xludf.DUMMYFUNCTION("""COMPUTED_VALUE"""),"H5_B2_BG-26.png")</f>
        <v>H5_B2_BG-26.png</v>
      </c>
      <c r="L1385" s="13" t="str">
        <f ca="1">IFERROR(__xludf.DUMMYFUNCTION("""COMPUTED_VALUE"""),"B2-26.mp3")</f>
        <v>B2-26.mp3</v>
      </c>
      <c r="M1385" s="13" t="str">
        <f ca="1">IFERROR(__xludf.DUMMYFUNCTION("""COMPUTED_VALUE"""),"B2_VD_26.mp3")</f>
        <v>B2_VD_26.mp3</v>
      </c>
    </row>
    <row r="1386" spans="1:13">
      <c r="A1386" s="13">
        <f ca="1">IFERROR(__xludf.DUMMYFUNCTION("""COMPUTED_VALUE"""),27)</f>
        <v>27</v>
      </c>
      <c r="B1386" s="13"/>
      <c r="C1386" s="13" t="str">
        <f ca="1">IFERROR(__xludf.DUMMYFUNCTION("""COMPUTED_VALUE"""),"冻")</f>
        <v>冻</v>
      </c>
      <c r="D1386" s="13" t="str">
        <f ca="1">IFERROR(__xludf.DUMMYFUNCTION("""COMPUTED_VALUE"""),"&lt;ruby&gt;冻&lt;rt&gt;dòng&lt;/rt&gt;&lt;/ruby&gt;")</f>
        <v>&lt;ruby&gt;冻&lt;rt&gt;dòng&lt;/rt&gt;&lt;/ruby&gt;</v>
      </c>
      <c r="E1386" s="13" t="str">
        <f ca="1">IFERROR(__xludf.DUMMYFUNCTION("""COMPUTED_VALUE"""),"dòng")</f>
        <v>dòng</v>
      </c>
      <c r="F1386" s="13" t="str">
        <f ca="1">IFERROR(__xludf.DUMMYFUNCTION("""COMPUTED_VALUE"""),"Động từ")</f>
        <v>Động từ</v>
      </c>
      <c r="G1386" s="13" t="str">
        <f ca="1">IFERROR(__xludf.DUMMYFUNCTION("""COMPUTED_VALUE"""),"bị cóng, rét")</f>
        <v>bị cóng, rét</v>
      </c>
      <c r="H1386" s="13" t="str">
        <f ca="1">IFERROR(__xludf.DUMMYFUNCTION("""COMPUTED_VALUE"""),"天气太冷了，他冻得直发抖。")</f>
        <v>天气太冷了，他冻得直发抖。</v>
      </c>
      <c r="I1386" s="13"/>
      <c r="J1386" s="13" t="str">
        <f ca="1">IFERROR(__xludf.DUMMYFUNCTION("""COMPUTED_VALUE"""),"Trời quá lạnh, anh ấy rét đến mức run cầm cập.")</f>
        <v>Trời quá lạnh, anh ấy rét đến mức run cầm cập.</v>
      </c>
      <c r="K1386" s="13" t="str">
        <f ca="1">IFERROR(__xludf.DUMMYFUNCTION("""COMPUTED_VALUE"""),"H5_B2_BG-27.png")</f>
        <v>H5_B2_BG-27.png</v>
      </c>
      <c r="L1386" s="13" t="str">
        <f ca="1">IFERROR(__xludf.DUMMYFUNCTION("""COMPUTED_VALUE"""),"B2-27.mp3")</f>
        <v>B2-27.mp3</v>
      </c>
      <c r="M1386" s="13" t="str">
        <f ca="1">IFERROR(__xludf.DUMMYFUNCTION("""COMPUTED_VALUE"""),"B2_VD_27.mp3")</f>
        <v>B2_VD_27.mp3</v>
      </c>
    </row>
    <row r="1387" spans="1:13">
      <c r="A1387" s="13">
        <f ca="1">IFERROR(__xludf.DUMMYFUNCTION("""COMPUTED_VALUE"""),28)</f>
        <v>28</v>
      </c>
      <c r="B1387" s="13"/>
      <c r="C1387" s="13" t="str">
        <f ca="1">IFERROR(__xludf.DUMMYFUNCTION("""COMPUTED_VALUE"""),"断")</f>
        <v>断</v>
      </c>
      <c r="D1387" s="13" t="str">
        <f ca="1">IFERROR(__xludf.DUMMYFUNCTION("""COMPUTED_VALUE"""),"&lt;ruby&gt;断&lt;rt&gt;duàn&lt;/rt&gt;&lt;/ruby&gt;")</f>
        <v>&lt;ruby&gt;断&lt;rt&gt;duàn&lt;/rt&gt;&lt;/ruby&gt;</v>
      </c>
      <c r="E1387" s="13" t="str">
        <f ca="1">IFERROR(__xludf.DUMMYFUNCTION("""COMPUTED_VALUE"""),"duàn")</f>
        <v>duàn</v>
      </c>
      <c r="F1387" s="13" t="str">
        <f ca="1">IFERROR(__xludf.DUMMYFUNCTION("""COMPUTED_VALUE"""),"Động từ")</f>
        <v>Động từ</v>
      </c>
      <c r="G1387" s="13" t="str">
        <f ca="1">IFERROR(__xludf.DUMMYFUNCTION("""COMPUTED_VALUE"""),"dứt, cai")</f>
        <v>dứt, cai</v>
      </c>
      <c r="H1387" s="13" t="str">
        <f ca="1">IFERROR(__xludf.DUMMYFUNCTION("""COMPUTED_VALUE"""),"他决定断掉每天喝酒的习惯。")</f>
        <v>他决定断掉每天喝酒的习惯。</v>
      </c>
      <c r="I1387" s="13"/>
      <c r="J1387" s="13" t="str">
        <f ca="1">IFERROR(__xludf.DUMMYFUNCTION("""COMPUTED_VALUE"""),"Anh ấy quyết định từ bỏ thói quen uống rượu mỗi ngày.")</f>
        <v>Anh ấy quyết định từ bỏ thói quen uống rượu mỗi ngày.</v>
      </c>
      <c r="K1387" s="13" t="str">
        <f ca="1">IFERROR(__xludf.DUMMYFUNCTION("""COMPUTED_VALUE"""),"H5_B2_BG-28.png")</f>
        <v>H5_B2_BG-28.png</v>
      </c>
      <c r="L1387" s="13" t="str">
        <f ca="1">IFERROR(__xludf.DUMMYFUNCTION("""COMPUTED_VALUE"""),"B2-28.mp3")</f>
        <v>B2-28.mp3</v>
      </c>
      <c r="M1387" s="13" t="str">
        <f ca="1">IFERROR(__xludf.DUMMYFUNCTION("""COMPUTED_VALUE"""),"B2_VD_28.mp3")</f>
        <v>B2_VD_28.mp3</v>
      </c>
    </row>
    <row r="1388" spans="1:13">
      <c r="A1388" s="13">
        <f ca="1">IFERROR(__xludf.DUMMYFUNCTION("""COMPUTED_VALUE"""),29)</f>
        <v>29</v>
      </c>
      <c r="B1388" s="13"/>
      <c r="C1388" s="13" t="str">
        <f ca="1">IFERROR(__xludf.DUMMYFUNCTION("""COMPUTED_VALUE"""),"坚决")</f>
        <v>坚决</v>
      </c>
      <c r="D1388" s="13" t="str">
        <f ca="1">IFERROR(__xludf.DUMMYFUNCTION("""COMPUTED_VALUE"""),"&lt;ruby&gt;坚决&lt;rt&gt;jiānjué&lt;/rt&gt;&lt;/ruby&gt;")</f>
        <v>&lt;ruby&gt;坚决&lt;rt&gt;jiānjué&lt;/rt&gt;&lt;/ruby&gt;</v>
      </c>
      <c r="E1388" s="13" t="str">
        <f ca="1">IFERROR(__xludf.DUMMYFUNCTION("""COMPUTED_VALUE"""),"jiānjué")</f>
        <v>jiānjué</v>
      </c>
      <c r="F1388" s="13" t="str">
        <f ca="1">IFERROR(__xludf.DUMMYFUNCTION("""COMPUTED_VALUE"""),"Tính từ")</f>
        <v>Tính từ</v>
      </c>
      <c r="G1388" s="13" t="str">
        <f ca="1">IFERROR(__xludf.DUMMYFUNCTION("""COMPUTED_VALUE"""),"kiên quyết")</f>
        <v>kiên quyết</v>
      </c>
      <c r="H1388" s="13" t="str">
        <f ca="1">IFERROR(__xludf.DUMMYFUNCTION("""COMPUTED_VALUE"""),"我们坚决反对这个决定。")</f>
        <v>我们坚决反对这个决定。</v>
      </c>
      <c r="I1388" s="13"/>
      <c r="J1388" s="13" t="str">
        <f ca="1">IFERROR(__xludf.DUMMYFUNCTION("""COMPUTED_VALUE"""),"Chúng tôi kiên quyết phản đối quyết định này.")</f>
        <v>Chúng tôi kiên quyết phản đối quyết định này.</v>
      </c>
      <c r="K1388" s="13" t="str">
        <f ca="1">IFERROR(__xludf.DUMMYFUNCTION("""COMPUTED_VALUE"""),"H5_B2_BG-29.png")</f>
        <v>H5_B2_BG-29.png</v>
      </c>
      <c r="L1388" s="13" t="str">
        <f ca="1">IFERROR(__xludf.DUMMYFUNCTION("""COMPUTED_VALUE"""),"B2-29.mp3")</f>
        <v>B2-29.mp3</v>
      </c>
      <c r="M1388" s="13" t="str">
        <f ca="1">IFERROR(__xludf.DUMMYFUNCTION("""COMPUTED_VALUE"""),"B2_VD_29.mp3")</f>
        <v>B2_VD_29.mp3</v>
      </c>
    </row>
    <row r="1389" spans="1:13">
      <c r="A1389" s="13">
        <f ca="1">IFERROR(__xludf.DUMMYFUNCTION("""COMPUTED_VALUE"""),30)</f>
        <v>30</v>
      </c>
      <c r="B1389" s="13"/>
      <c r="C1389" s="13" t="str">
        <f ca="1">IFERROR(__xludf.DUMMYFUNCTION("""COMPUTED_VALUE"""),"临")</f>
        <v>临</v>
      </c>
      <c r="D1389" s="13" t="str">
        <f ca="1">IFERROR(__xludf.DUMMYFUNCTION("""COMPUTED_VALUE"""),"&lt;ruby&gt;临&lt;rt&gt;lín&lt;/rt&gt;&lt;/ruby&gt;")</f>
        <v>&lt;ruby&gt;临&lt;rt&gt;lín&lt;/rt&gt;&lt;/ruby&gt;</v>
      </c>
      <c r="E1389" s="13" t="str">
        <f ca="1">IFERROR(__xludf.DUMMYFUNCTION("""COMPUTED_VALUE"""),"lín")</f>
        <v>lín</v>
      </c>
      <c r="F1389" s="13" t="str">
        <f ca="1">IFERROR(__xludf.DUMMYFUNCTION("""COMPUTED_VALUE"""),"Giới từ")</f>
        <v>Giới từ</v>
      </c>
      <c r="G1389" s="13" t="str">
        <f ca="1">IFERROR(__xludf.DUMMYFUNCTION("""COMPUTED_VALUE"""),"sắp, gần")</f>
        <v>sắp, gần</v>
      </c>
      <c r="H1389" s="13" t="str">
        <f ca="1">IFERROR(__xludf.DUMMYFUNCTION("""COMPUTED_VALUE"""),"临出门前，他又检查了一遍门锁。")</f>
        <v>临出门前，他又检查了一遍门锁。</v>
      </c>
      <c r="I1389" s="13"/>
      <c r="J1389" s="13" t="str">
        <f ca="1">IFERROR(__xludf.DUMMYFUNCTION("""COMPUTED_VALUE"""),"Trước khi ra khỏi nhà, anh ấy lại kiểm tra khóa cửa một lần nữa.")</f>
        <v>Trước khi ra khỏi nhà, anh ấy lại kiểm tra khóa cửa một lần nữa.</v>
      </c>
      <c r="K1389" s="13" t="str">
        <f ca="1">IFERROR(__xludf.DUMMYFUNCTION("""COMPUTED_VALUE"""),"H5_B2_BG-30.png")</f>
        <v>H5_B2_BG-30.png</v>
      </c>
      <c r="L1389" s="13" t="str">
        <f ca="1">IFERROR(__xludf.DUMMYFUNCTION("""COMPUTED_VALUE"""),"B2-30.mp3")</f>
        <v>B2-30.mp3</v>
      </c>
      <c r="M1389" s="13" t="str">
        <f ca="1">IFERROR(__xludf.DUMMYFUNCTION("""COMPUTED_VALUE"""),"B2_VD_30.mp3")</f>
        <v>B2_VD_30.mp3</v>
      </c>
    </row>
    <row r="1390" spans="1:13">
      <c r="A1390" s="13">
        <f ca="1">IFERROR(__xludf.DUMMYFUNCTION("""COMPUTED_VALUE"""),31)</f>
        <v>31</v>
      </c>
      <c r="B1390" s="13"/>
      <c r="C1390" s="13" t="str">
        <f ca="1">IFERROR(__xludf.DUMMYFUNCTION("""COMPUTED_VALUE"""),"飘")</f>
        <v>飘</v>
      </c>
      <c r="D1390" s="13" t="str">
        <f ca="1">IFERROR(__xludf.DUMMYFUNCTION("""COMPUTED_VALUE"""),"&lt;ruby&gt;飘&lt;rt&gt;piāo&lt;/rt&gt;&lt;/ruby&gt;")</f>
        <v>&lt;ruby&gt;飘&lt;rt&gt;piāo&lt;/rt&gt;&lt;/ruby&gt;</v>
      </c>
      <c r="E1390" s="13" t="str">
        <f ca="1">IFERROR(__xludf.DUMMYFUNCTION("""COMPUTED_VALUE"""),"piāo")</f>
        <v>piāo</v>
      </c>
      <c r="F1390" s="13" t="str">
        <f ca="1">IFERROR(__xludf.DUMMYFUNCTION("""COMPUTED_VALUE"""),"Động từ")</f>
        <v>Động từ</v>
      </c>
      <c r="G1390" s="13" t="str">
        <f ca="1">IFERROR(__xludf.DUMMYFUNCTION("""COMPUTED_VALUE"""),"thoảng đưa, thoang thoảng")</f>
        <v>thoảng đưa, thoang thoảng</v>
      </c>
      <c r="H1390" s="13" t="str">
        <f ca="1">IFERROR(__xludf.DUMMYFUNCTION("""COMPUTED_VALUE"""),"微风吹过，花香飘进了房间。")</f>
        <v>微风吹过，花香飘进了房间。</v>
      </c>
      <c r="I1390" s="13"/>
      <c r="J1390" s="13" t="str">
        <f ca="1">IFERROR(__xludf.DUMMYFUNCTION("""COMPUTED_VALUE"""),"Cơn gió nhẹ thổi qua, hương hoa thoảng vào phòng.")</f>
        <v>Cơn gió nhẹ thổi qua, hương hoa thoảng vào phòng.</v>
      </c>
      <c r="K1390" s="13" t="str">
        <f ca="1">IFERROR(__xludf.DUMMYFUNCTION("""COMPUTED_VALUE"""),"H5_B2_BG-31.png")</f>
        <v>H5_B2_BG-31.png</v>
      </c>
      <c r="L1390" s="13" t="str">
        <f ca="1">IFERROR(__xludf.DUMMYFUNCTION("""COMPUTED_VALUE"""),"B2-31.mp3")</f>
        <v>B2-31.mp3</v>
      </c>
      <c r="M1390" s="13" t="str">
        <f ca="1">IFERROR(__xludf.DUMMYFUNCTION("""COMPUTED_VALUE"""),"B2_VD_31.mp3")</f>
        <v>B2_VD_31.mp3</v>
      </c>
    </row>
    <row r="1391" spans="1:13">
      <c r="A1391" s="13">
        <f ca="1">IFERROR(__xludf.DUMMYFUNCTION("""COMPUTED_VALUE"""),32)</f>
        <v>32</v>
      </c>
      <c r="B1391" s="13"/>
      <c r="C1391" s="13" t="str">
        <f ca="1">IFERROR(__xludf.DUMMYFUNCTION("""COMPUTED_VALUE"""),"悄悄")</f>
        <v>悄悄</v>
      </c>
      <c r="D1391" s="13" t="str">
        <f ca="1">IFERROR(__xludf.DUMMYFUNCTION("""COMPUTED_VALUE"""),"&lt;ruby&gt;悄悄&lt;rt&gt;qiāoqiāo&lt;/rt&gt;&lt;/ruby&gt;")</f>
        <v>&lt;ruby&gt;悄悄&lt;rt&gt;qiāoqiāo&lt;/rt&gt;&lt;/ruby&gt;</v>
      </c>
      <c r="E1391" s="13" t="str">
        <f ca="1">IFERROR(__xludf.DUMMYFUNCTION("""COMPUTED_VALUE"""),"qiāoqiāo")</f>
        <v>qiāoqiāo</v>
      </c>
      <c r="F1391" s="13" t="str">
        <f ca="1">IFERROR(__xludf.DUMMYFUNCTION("""COMPUTED_VALUE"""),"Phó từ")</f>
        <v>Phó từ</v>
      </c>
      <c r="G1391" s="13" t="str">
        <f ca="1">IFERROR(__xludf.DUMMYFUNCTION("""COMPUTED_VALUE"""),"lặng lẽ, nhẹ nhàng")</f>
        <v>lặng lẽ, nhẹ nhàng</v>
      </c>
      <c r="H1391" s="13" t="str">
        <f ca="1">IFERROR(__xludf.DUMMYFUNCTION("""COMPUTED_VALUE"""),"他悄悄地把信放在桌子上。")</f>
        <v>他悄悄地把信放在桌子上。</v>
      </c>
      <c r="I1391" s="13"/>
      <c r="J1391" s="13" t="str">
        <f ca="1">IFERROR(__xludf.DUMMYFUNCTION("""COMPUTED_VALUE"""),"Anh ấy lặng lẽ đặt lá thư lên bàn.")</f>
        <v>Anh ấy lặng lẽ đặt lá thư lên bàn.</v>
      </c>
      <c r="K1391" s="13" t="str">
        <f ca="1">IFERROR(__xludf.DUMMYFUNCTION("""COMPUTED_VALUE"""),"H5_B2_BG-32.png")</f>
        <v>H5_B2_BG-32.png</v>
      </c>
      <c r="L1391" s="13" t="str">
        <f ca="1">IFERROR(__xludf.DUMMYFUNCTION("""COMPUTED_VALUE"""),"B2-32.mp3")</f>
        <v>B2-32.mp3</v>
      </c>
      <c r="M1391" s="13" t="str">
        <f ca="1">IFERROR(__xludf.DUMMYFUNCTION("""COMPUTED_VALUE"""),"B2_VD_32.mp3")</f>
        <v>B2_VD_32.mp3</v>
      </c>
    </row>
    <row r="1392" spans="1:13">
      <c r="A1392" s="13">
        <f ca="1">IFERROR(__xludf.DUMMYFUNCTION("""COMPUTED_VALUE"""),33)</f>
        <v>33</v>
      </c>
      <c r="B1392" s="13"/>
      <c r="C1392" s="13" t="str">
        <f ca="1">IFERROR(__xludf.DUMMYFUNCTION("""COMPUTED_VALUE"""),"以来")</f>
        <v>以来</v>
      </c>
      <c r="D1392" s="13" t="str">
        <f ca="1">IFERROR(__xludf.DUMMYFUNCTION("""COMPUTED_VALUE"""),"&lt;ruby&gt;以来&lt;rt&gt;yǐlái&lt;/rt&gt;&lt;/ruby&gt;")</f>
        <v>&lt;ruby&gt;以来&lt;rt&gt;yǐlái&lt;/rt&gt;&lt;/ruby&gt;</v>
      </c>
      <c r="E1392" s="13" t="str">
        <f ca="1">IFERROR(__xludf.DUMMYFUNCTION("""COMPUTED_VALUE"""),"yǐlái")</f>
        <v>yǐlái</v>
      </c>
      <c r="F1392" s="13" t="str">
        <f ca="1">IFERROR(__xludf.DUMMYFUNCTION("""COMPUTED_VALUE"""),"Danh từ")</f>
        <v>Danh từ</v>
      </c>
      <c r="G1392" s="13" t="str">
        <f ca="1">IFERROR(__xludf.DUMMYFUNCTION("""COMPUTED_VALUE"""),"đến nay")</f>
        <v>đến nay</v>
      </c>
      <c r="H1392" s="13" t="str">
        <f ca="1">IFERROR(__xludf.DUMMYFUNCTION("""COMPUTED_VALUE"""),"结婚以来，他们很幸福。")</f>
        <v>结婚以来，他们很幸福。</v>
      </c>
      <c r="I1392" s="13"/>
      <c r="J1392" s="13" t="str">
        <f ca="1">IFERROR(__xludf.DUMMYFUNCTION("""COMPUTED_VALUE"""),"Kể từ khi kết hôn, họ rất hạnh phúc.")</f>
        <v>Kể từ khi kết hôn, họ rất hạnh phúc.</v>
      </c>
      <c r="K1392" s="13" t="str">
        <f ca="1">IFERROR(__xludf.DUMMYFUNCTION("""COMPUTED_VALUE"""),"H5_B2_BG-33.png")</f>
        <v>H5_B2_BG-33.png</v>
      </c>
      <c r="L1392" s="13" t="str">
        <f ca="1">IFERROR(__xludf.DUMMYFUNCTION("""COMPUTED_VALUE"""),"B2-33.mp3")</f>
        <v>B2-33.mp3</v>
      </c>
      <c r="M1392" s="13" t="str">
        <f ca="1">IFERROR(__xludf.DUMMYFUNCTION("""COMPUTED_VALUE"""),"B2_VD_33.mp3")</f>
        <v>B2_VD_33.mp3</v>
      </c>
    </row>
    <row r="1393" spans="1:13">
      <c r="A1393" s="13">
        <f ca="1">IFERROR(__xludf.DUMMYFUNCTION("""COMPUTED_VALUE"""),34)</f>
        <v>34</v>
      </c>
      <c r="B1393" s="13"/>
      <c r="C1393" s="13" t="str">
        <f ca="1">IFERROR(__xludf.DUMMYFUNCTION("""COMPUTED_VALUE"""),"阵")</f>
        <v>阵</v>
      </c>
      <c r="D1393" s="13" t="str">
        <f ca="1">IFERROR(__xludf.DUMMYFUNCTION("""COMPUTED_VALUE"""),"&lt;ruby&gt;阵&lt;rt&gt;zhèn&lt;/rt&gt;&lt;/ruby&gt;")</f>
        <v>&lt;ruby&gt;阵&lt;rt&gt;zhèn&lt;/rt&gt;&lt;/ruby&gt;</v>
      </c>
      <c r="E1393" s="13" t="str">
        <f ca="1">IFERROR(__xludf.DUMMYFUNCTION("""COMPUTED_VALUE"""),"zhèn")</f>
        <v>zhèn</v>
      </c>
      <c r="F1393" s="13" t="str">
        <f ca="1">IFERROR(__xludf.DUMMYFUNCTION("""COMPUTED_VALUE"""),"Lượng từ")</f>
        <v>Lượng từ</v>
      </c>
      <c r="G1393" s="13" t="str">
        <f ca="1">IFERROR(__xludf.DUMMYFUNCTION("""COMPUTED_VALUE"""),"(chỉ giai đoạn trải qua của sự việc hoặc hành động) trận, cơn, làn")</f>
        <v>(chỉ giai đoạn trải qua của sự việc hoặc hành động) trận, cơn, làn</v>
      </c>
      <c r="H1393" s="13" t="str">
        <f ca="1">IFERROR(__xludf.DUMMYFUNCTION("""COMPUTED_VALUE"""),"天空突然刮起了一阵大风，把旗子吹得飘动起来。")</f>
        <v>天空突然刮起了一阵大风，把旗子吹得飘动起来。</v>
      </c>
      <c r="I1393" s="13"/>
      <c r="J1393" s="13" t="str">
        <f ca="1">IFERROR(__xludf.DUMMYFUNCTION("""COMPUTED_VALUE"""),"Trên trời bỗng nổi lên một cơn gió lớn, làm lá cờ bay phấp phới.")</f>
        <v>Trên trời bỗng nổi lên một cơn gió lớn, làm lá cờ bay phấp phới.</v>
      </c>
      <c r="K1393" s="13" t="str">
        <f ca="1">IFERROR(__xludf.DUMMYFUNCTION("""COMPUTED_VALUE"""),"H5_B2_BG-34.png")</f>
        <v>H5_B2_BG-34.png</v>
      </c>
      <c r="L1393" s="13" t="str">
        <f ca="1">IFERROR(__xludf.DUMMYFUNCTION("""COMPUTED_VALUE"""),"B2-34.mp3")</f>
        <v>B2-34.mp3</v>
      </c>
      <c r="M1393" s="13" t="str">
        <f ca="1">IFERROR(__xludf.DUMMYFUNCTION("""COMPUTED_VALUE"""),"B2_VD_34.mp3")</f>
        <v>B2_VD_34.mp3</v>
      </c>
    </row>
    <row r="1394" spans="1:13">
      <c r="A1394" s="13">
        <f ca="1">IFERROR(__xludf.DUMMYFUNCTION("""COMPUTED_VALUE"""),35)</f>
        <v>35</v>
      </c>
      <c r="B1394" s="13"/>
      <c r="C1394" s="13" t="str">
        <f ca="1">IFERROR(__xludf.DUMMYFUNCTION("""COMPUTED_VALUE"""),"挣")</f>
        <v>挣</v>
      </c>
      <c r="D1394" s="13" t="str">
        <f ca="1">IFERROR(__xludf.DUMMYFUNCTION("""COMPUTED_VALUE"""),"&lt;ruby&gt;挣&lt;rt&gt;zhèng&lt;/rt&gt;&lt;/ruby&gt;")</f>
        <v>&lt;ruby&gt;挣&lt;rt&gt;zhèng&lt;/rt&gt;&lt;/ruby&gt;</v>
      </c>
      <c r="E1394" s="13" t="str">
        <f ca="1">IFERROR(__xludf.DUMMYFUNCTION("""COMPUTED_VALUE"""),"zhèng")</f>
        <v>zhèng</v>
      </c>
      <c r="F1394" s="13" t="str">
        <f ca="1">IFERROR(__xludf.DUMMYFUNCTION("""COMPUTED_VALUE"""),"Động từ")</f>
        <v>Động từ</v>
      </c>
      <c r="G1394" s="13" t="str">
        <f ca="1">IFERROR(__xludf.DUMMYFUNCTION("""COMPUTED_VALUE"""),"kiếm (tiền)")</f>
        <v>kiếm (tiền)</v>
      </c>
      <c r="H1394" s="13" t="str">
        <f ca="1">IFERROR(__xludf.DUMMYFUNCTION("""COMPUTED_VALUE"""),"他每天努力工作，希望多挣点钱养家。")</f>
        <v>他每天努力工作，希望多挣点钱养家。</v>
      </c>
      <c r="I1394" s="13"/>
      <c r="J1394" s="13" t="str">
        <f ca="1">IFERROR(__xludf.DUMMYFUNCTION("""COMPUTED_VALUE"""),"Anh ấy làm việc chăm chỉ mỗi ngày, hy vọng kiếm được nhiều tiền để nuôi gia đình.")</f>
        <v>Anh ấy làm việc chăm chỉ mỗi ngày, hy vọng kiếm được nhiều tiền để nuôi gia đình.</v>
      </c>
      <c r="K1394" s="13" t="str">
        <f ca="1">IFERROR(__xludf.DUMMYFUNCTION("""COMPUTED_VALUE"""),"H5_B2_BG-35.png")</f>
        <v>H5_B2_BG-35.png</v>
      </c>
      <c r="L1394" s="13" t="str">
        <f ca="1">IFERROR(__xludf.DUMMYFUNCTION("""COMPUTED_VALUE"""),"B2-35.mp3")</f>
        <v>B2-35.mp3</v>
      </c>
      <c r="M1394" s="13" t="str">
        <f ca="1">IFERROR(__xludf.DUMMYFUNCTION("""COMPUTED_VALUE"""),"B2_VD_35.mp3")</f>
        <v>B2_VD_35.mp3</v>
      </c>
    </row>
    <row r="1395" spans="1:13">
      <c r="A1395" s="13">
        <f ca="1">IFERROR(__xludf.DUMMYFUNCTION("""COMPUTED_VALUE"""),36)</f>
        <v>36</v>
      </c>
      <c r="B1395" s="13"/>
      <c r="C1395" s="13" t="str">
        <f ca="1">IFERROR(__xludf.DUMMYFUNCTION("""COMPUTED_VALUE"""),"醉")</f>
        <v>醉</v>
      </c>
      <c r="D1395" s="13" t="str">
        <f ca="1">IFERROR(__xludf.DUMMYFUNCTION("""COMPUTED_VALUE"""),"&lt;ruby&gt;醉&lt;rt&gt;zuì&lt;/rt&gt;&lt;/ruby&gt;")</f>
        <v>&lt;ruby&gt;醉&lt;rt&gt;zuì&lt;/rt&gt;&lt;/ruby&gt;</v>
      </c>
      <c r="E1395" s="13" t="str">
        <f ca="1">IFERROR(__xludf.DUMMYFUNCTION("""COMPUTED_VALUE"""),"zuì")</f>
        <v>zuì</v>
      </c>
      <c r="F1395" s="13" t="str">
        <f ca="1">IFERROR(__xludf.DUMMYFUNCTION("""COMPUTED_VALUE"""),"Động từ")</f>
        <v>Động từ</v>
      </c>
      <c r="G1395" s="13" t="str">
        <f ca="1">IFERROR(__xludf.DUMMYFUNCTION("""COMPUTED_VALUE"""),"say (rượu)")</f>
        <v>say (rượu)</v>
      </c>
      <c r="H1395" s="13" t="str">
        <f ca="1">IFERROR(__xludf.DUMMYFUNCTION("""COMPUTED_VALUE"""),"他喝了很多酒，醉得连路都走不稳了。")</f>
        <v>他喝了很多酒，醉得连路都走不稳了。</v>
      </c>
      <c r="I1395" s="13"/>
      <c r="J1395" s="13" t="str">
        <f ca="1">IFERROR(__xludf.DUMMYFUNCTION("""COMPUTED_VALUE"""),"Anh ấy uống quá nhiều rượu, say đến mức đi không vững.")</f>
        <v>Anh ấy uống quá nhiều rượu, say đến mức đi không vững.</v>
      </c>
      <c r="K1395" s="13" t="str">
        <f ca="1">IFERROR(__xludf.DUMMYFUNCTION("""COMPUTED_VALUE"""),"H5_B2_BG-36.png")</f>
        <v>H5_B2_BG-36.png</v>
      </c>
      <c r="L1395" s="13" t="str">
        <f ca="1">IFERROR(__xludf.DUMMYFUNCTION("""COMPUTED_VALUE"""),"B2-36.mp3")</f>
        <v>B2-36.mp3</v>
      </c>
      <c r="M1395" s="13" t="str">
        <f ca="1">IFERROR(__xludf.DUMMYFUNCTION("""COMPUTED_VALUE"""),"B2_VD_36.mp3")</f>
        <v>B2_VD_36.mp3</v>
      </c>
    </row>
    <row r="1396" spans="1:13">
      <c r="A1396" s="13">
        <f ca="1">IFERROR(__xludf.DUMMYFUNCTION("""COMPUTED_VALUE"""),37)</f>
        <v>37</v>
      </c>
      <c r="B1396" s="13"/>
      <c r="C1396" s="13" t="str">
        <f ca="1">IFERROR(__xludf.DUMMYFUNCTION("""COMPUTED_VALUE"""),"串")</f>
        <v>串</v>
      </c>
      <c r="D1396" s="13" t="str">
        <f ca="1">IFERROR(__xludf.DUMMYFUNCTION("""COMPUTED_VALUE"""),"&lt;ruby&gt;串&lt;rt&gt;chuàn&lt;/rt&gt;&lt;/ruby&gt;")</f>
        <v>&lt;ruby&gt;串&lt;rt&gt;chuàn&lt;/rt&gt;&lt;/ruby&gt;</v>
      </c>
      <c r="E1396" s="13" t="str">
        <f ca="1">IFERROR(__xludf.DUMMYFUNCTION("""COMPUTED_VALUE"""),"chuàn")</f>
        <v>chuàn</v>
      </c>
      <c r="F1396" s="13" t="str">
        <f ca="1">IFERROR(__xludf.DUMMYFUNCTION("""COMPUTED_VALUE"""),"Lượng từ")</f>
        <v>Lượng từ</v>
      </c>
      <c r="G1396" s="13" t="str">
        <f ca="1">IFERROR(__xludf.DUMMYFUNCTION("""COMPUTED_VALUE"""),"xâu, chuỗi, đời")</f>
        <v>xâu, chuỗi, đời</v>
      </c>
      <c r="H1396" s="13" t="str">
        <f ca="1">IFERROR(__xludf.DUMMYFUNCTION("""COMPUTED_VALUE"""),"门口挂着一串红色的灯笼，非常喜庆。")</f>
        <v>门口挂着一串红色的灯笼，非常喜庆。</v>
      </c>
      <c r="I1396" s="13"/>
      <c r="J1396" s="13" t="str">
        <f ca="1">IFERROR(__xludf.DUMMYFUNCTION("""COMPUTED_VALUE"""),"Trước cửa treo một chuỗi đèn lồng đỏ, rất rực rỡ.")</f>
        <v>Trước cửa treo một chuỗi đèn lồng đỏ, rất rực rỡ.</v>
      </c>
      <c r="K1396" s="13" t="str">
        <f ca="1">IFERROR(__xludf.DUMMYFUNCTION("""COMPUTED_VALUE"""),"H5_B2_BG-37.png")</f>
        <v>H5_B2_BG-37.png</v>
      </c>
      <c r="L1396" s="13" t="str">
        <f ca="1">IFERROR(__xludf.DUMMYFUNCTION("""COMPUTED_VALUE"""),"B2-37.mp3")</f>
        <v>B2-37.mp3</v>
      </c>
      <c r="M1396" s="13" t="str">
        <f ca="1">IFERROR(__xludf.DUMMYFUNCTION("""COMPUTED_VALUE"""),"B2_VD_37.mp3")</f>
        <v>B2_VD_37.mp3</v>
      </c>
    </row>
    <row r="1397" spans="1:13">
      <c r="A1397" s="13">
        <f ca="1">IFERROR(__xludf.DUMMYFUNCTION("""COMPUTED_VALUE"""),38)</f>
        <v>38</v>
      </c>
      <c r="B1397" s="13"/>
      <c r="C1397" s="13" t="str">
        <f ca="1">IFERROR(__xludf.DUMMYFUNCTION("""COMPUTED_VALUE"""),"立刻")</f>
        <v>立刻</v>
      </c>
      <c r="D1397" s="13" t="str">
        <f ca="1">IFERROR(__xludf.DUMMYFUNCTION("""COMPUTED_VALUE"""),"&lt;ruby&gt;立刻&lt;rt&gt;lìkè&lt;/rt&gt;&lt;/ruby&gt;")</f>
        <v>&lt;ruby&gt;立刻&lt;rt&gt;lìkè&lt;/rt&gt;&lt;/ruby&gt;</v>
      </c>
      <c r="E1397" s="13" t="str">
        <f ca="1">IFERROR(__xludf.DUMMYFUNCTION("""COMPUTED_VALUE"""),"lìkè")</f>
        <v>lìkè</v>
      </c>
      <c r="F1397" s="13" t="str">
        <f ca="1">IFERROR(__xludf.DUMMYFUNCTION("""COMPUTED_VALUE"""),"Phó từ")</f>
        <v>Phó từ</v>
      </c>
      <c r="G1397" s="13" t="str">
        <f ca="1">IFERROR(__xludf.DUMMYFUNCTION("""COMPUTED_VALUE"""),"lập tức")</f>
        <v>lập tức</v>
      </c>
      <c r="H1397" s="13" t="str">
        <f ca="1">IFERROR(__xludf.DUMMYFUNCTION("""COMPUTED_VALUE"""),"听到电话响，她立刻跑过去接听。")</f>
        <v>听到电话响，她立刻跑过去接听。</v>
      </c>
      <c r="I1397" s="13"/>
      <c r="J1397" s="13" t="str">
        <f ca="1">IFERROR(__xludf.DUMMYFUNCTION("""COMPUTED_VALUE""")," Nghe thấy điện thoại reo, cô ấy lập tức chạy đến nghe máy.")</f>
        <v xml:space="preserve"> Nghe thấy điện thoại reo, cô ấy lập tức chạy đến nghe máy.</v>
      </c>
      <c r="K1397" s="13" t="str">
        <f ca="1">IFERROR(__xludf.DUMMYFUNCTION("""COMPUTED_VALUE"""),"H5_B2_BG-38.png")</f>
        <v>H5_B2_BG-38.png</v>
      </c>
      <c r="L1397" s="13" t="str">
        <f ca="1">IFERROR(__xludf.DUMMYFUNCTION("""COMPUTED_VALUE"""),"B2-38.mp3")</f>
        <v>B2-38.mp3</v>
      </c>
      <c r="M1397" s="13" t="str">
        <f ca="1">IFERROR(__xludf.DUMMYFUNCTION("""COMPUTED_VALUE"""),"B2_VD_38.mp3")</f>
        <v>B2_VD_38.mp3</v>
      </c>
    </row>
    <row r="1398" spans="1:13">
      <c r="A1398" s="13">
        <f ca="1">IFERROR(__xludf.DUMMYFUNCTION("""COMPUTED_VALUE"""),39)</f>
        <v>39</v>
      </c>
      <c r="B1398" s="13"/>
      <c r="C1398" s="13" t="str">
        <f ca="1">IFERROR(__xludf.DUMMYFUNCTION("""COMPUTED_VALUE"""),"扑")</f>
        <v>扑</v>
      </c>
      <c r="D1398" s="13" t="str">
        <f ca="1">IFERROR(__xludf.DUMMYFUNCTION("""COMPUTED_VALUE"""),"&lt;ruby&gt;扑&lt;rt&gt;pū&lt;/rt&gt;&lt;/ruby&gt;")</f>
        <v>&lt;ruby&gt;扑&lt;rt&gt;pū&lt;/rt&gt;&lt;/ruby&gt;</v>
      </c>
      <c r="E1398" s="13" t="str">
        <f ca="1">IFERROR(__xludf.DUMMYFUNCTION("""COMPUTED_VALUE"""),"pū")</f>
        <v>pū</v>
      </c>
      <c r="F1398" s="13" t="str">
        <f ca="1">IFERROR(__xludf.DUMMYFUNCTION("""COMPUTED_VALUE"""),"Động từ")</f>
        <v>Động từ</v>
      </c>
      <c r="G1398" s="13" t="str">
        <f ca="1">IFERROR(__xludf.DUMMYFUNCTION("""COMPUTED_VALUE"""),"bổ nhào, lao vào, (mùi) phả vào")</f>
        <v>bổ nhào, lao vào, (mùi) phả vào</v>
      </c>
      <c r="H1398" s="13" t="str">
        <f ca="1">IFERROR(__xludf.DUMMYFUNCTION("""COMPUTED_VALUE"""),"孩子们为了抢球，一起扑向足球。")</f>
        <v>孩子们为了抢球，一起扑向足球。</v>
      </c>
      <c r="I1398" s="13"/>
      <c r="J1398" s="13" t="str">
        <f ca="1">IFERROR(__xludf.DUMMYFUNCTION("""COMPUTED_VALUE"""),"Lũ trẻ cùng lao về phía quả bóng để tranh giành.")</f>
        <v>Lũ trẻ cùng lao về phía quả bóng để tranh giành.</v>
      </c>
      <c r="K1398" s="13" t="str">
        <f ca="1">IFERROR(__xludf.DUMMYFUNCTION("""COMPUTED_VALUE"""),"H5_B2_BG-39.png")</f>
        <v>H5_B2_BG-39.png</v>
      </c>
      <c r="L1398" s="13" t="str">
        <f ca="1">IFERROR(__xludf.DUMMYFUNCTION("""COMPUTED_VALUE"""),"B2-39.mp3")</f>
        <v>B2-39.mp3</v>
      </c>
      <c r="M1398" s="13" t="str">
        <f ca="1">IFERROR(__xludf.DUMMYFUNCTION("""COMPUTED_VALUE"""),"B2_VD_39.mp3")</f>
        <v>B2_VD_39.mp3</v>
      </c>
    </row>
    <row r="1399" spans="1:13">
      <c r="A1399" s="13">
        <f ca="1">IFERROR(__xludf.DUMMYFUNCTION("""COMPUTED_VALUE"""),1)</f>
        <v>1</v>
      </c>
      <c r="B1399" s="13"/>
      <c r="C1399" s="13" t="str">
        <f ca="1">IFERROR(__xludf.DUMMYFUNCTION("""COMPUTED_VALUE"""),"包括")</f>
        <v>包括</v>
      </c>
      <c r="D1399" s="13" t="str">
        <f ca="1">IFERROR(__xludf.DUMMYFUNCTION("""COMPUTED_VALUE"""),"&lt;ruby&gt;包括&lt;rt&gt;bāokuò&lt;/rt&gt;&lt;/ruby&gt;")</f>
        <v>&lt;ruby&gt;包括&lt;rt&gt;bāokuò&lt;/rt&gt;&lt;/ruby&gt;</v>
      </c>
      <c r="E1399" s="13" t="str">
        <f ca="1">IFERROR(__xludf.DUMMYFUNCTION("""COMPUTED_VALUE"""),"bāokuò")</f>
        <v>bāokuò</v>
      </c>
      <c r="F1399" s="13" t="str">
        <f ca="1">IFERROR(__xludf.DUMMYFUNCTION("""COMPUTED_VALUE"""),"Động từ")</f>
        <v>Động từ</v>
      </c>
      <c r="G1399" s="13" t="str">
        <f ca="1">IFERROR(__xludf.DUMMYFUNCTION("""COMPUTED_VALUE"""),"bao gồm")</f>
        <v>bao gồm</v>
      </c>
      <c r="H1399" s="13" t="str">
        <f ca="1">IFERROR(__xludf.DUMMYFUNCTION("""COMPUTED_VALUE"""),"我们家有六口人，包括爷爷、奶奶、爸爸、妈妈、哥哥和我。")</f>
        <v>我们家有六口人，包括爷爷、奶奶、爸爸、妈妈、哥哥和我。</v>
      </c>
      <c r="I1399" s="13"/>
      <c r="J1399" s="13" t="str">
        <f ca="1">IFERROR(__xludf.DUMMYFUNCTION("""COMPUTED_VALUE"""),"Nhà tôi có sáu người, bao gồm ông nội, bà nội, bố, mẹ, anh trai và tôi.")</f>
        <v>Nhà tôi có sáu người, bao gồm ông nội, bà nội, bố, mẹ, anh trai và tôi.</v>
      </c>
      <c r="K1399" s="13" t="str">
        <f ca="1">IFERROR(__xludf.DUMMYFUNCTION("""COMPUTED_VALUE"""),"H5_B3_BG-01.png")</f>
        <v>H5_B3_BG-01.png</v>
      </c>
      <c r="L1399" s="13" t="str">
        <f ca="1">IFERROR(__xludf.DUMMYFUNCTION("""COMPUTED_VALUE"""),"B3-01.mp3")</f>
        <v>B3-01.mp3</v>
      </c>
      <c r="M1399" s="13" t="str">
        <f ca="1">IFERROR(__xludf.DUMMYFUNCTION("""COMPUTED_VALUE"""),"B3_VD_1.mp3")</f>
        <v>B3_VD_1.mp3</v>
      </c>
    </row>
    <row r="1400" spans="1:13">
      <c r="A1400" s="13">
        <f ca="1">IFERROR(__xludf.DUMMYFUNCTION("""COMPUTED_VALUE"""),2)</f>
        <v>2</v>
      </c>
      <c r="B1400" s="13"/>
      <c r="C1400" s="13" t="str">
        <f ca="1">IFERROR(__xludf.DUMMYFUNCTION("""COMPUTED_VALUE"""),"干活儿")</f>
        <v>干活儿</v>
      </c>
      <c r="D1400" s="13" t="str">
        <f ca="1">IFERROR(__xludf.DUMMYFUNCTION("""COMPUTED_VALUE"""),"&lt;ruby&gt;干活儿&lt;rt&gt;gàn huór&lt;/rt&gt;&lt;/ruby&gt;")</f>
        <v>&lt;ruby&gt;干活儿&lt;rt&gt;gàn huór&lt;/rt&gt;&lt;/ruby&gt;</v>
      </c>
      <c r="E1400" s="13" t="str">
        <f ca="1">IFERROR(__xludf.DUMMYFUNCTION("""COMPUTED_VALUE"""),"gàn huór")</f>
        <v>gàn huór</v>
      </c>
      <c r="F1400" s="13" t="str">
        <f ca="1">IFERROR(__xludf.DUMMYFUNCTION("""COMPUTED_VALUE"""),"Động từ")</f>
        <v>Động từ</v>
      </c>
      <c r="G1400" s="13" t="str">
        <f ca="1">IFERROR(__xludf.DUMMYFUNCTION("""COMPUTED_VALUE"""),"làm việc")</f>
        <v>làm việc</v>
      </c>
      <c r="H1400" s="13" t="str">
        <f ca="1">IFERROR(__xludf.DUMMYFUNCTION("""COMPUTED_VALUE"""),"她正在干活儿，跟客户通过视频会议沟通。")</f>
        <v>她正在干活儿，跟客户通过视频会议沟通。</v>
      </c>
      <c r="I1400" s="13"/>
      <c r="J1400" s="13" t="str">
        <f ca="1">IFERROR(__xludf.DUMMYFUNCTION("""COMPUTED_VALUE"""),"Cô ấy đang làm việc, trao đổi với khách hàng qua cuộc họp video.")</f>
        <v>Cô ấy đang làm việc, trao đổi với khách hàng qua cuộc họp video.</v>
      </c>
      <c r="K1400" s="13" t="str">
        <f ca="1">IFERROR(__xludf.DUMMYFUNCTION("""COMPUTED_VALUE"""),"H5_B3_BG-02.png")</f>
        <v>H5_B3_BG-02.png</v>
      </c>
      <c r="L1400" s="13" t="str">
        <f ca="1">IFERROR(__xludf.DUMMYFUNCTION("""COMPUTED_VALUE"""),"B3-02.mp3")</f>
        <v>B3-02.mp3</v>
      </c>
      <c r="M1400" s="13" t="str">
        <f ca="1">IFERROR(__xludf.DUMMYFUNCTION("""COMPUTED_VALUE"""),"B3_VD_2.mp3")</f>
        <v>B3_VD_2.mp3</v>
      </c>
    </row>
    <row r="1401" spans="1:13">
      <c r="A1401" s="13">
        <f ca="1">IFERROR(__xludf.DUMMYFUNCTION("""COMPUTED_VALUE"""),3)</f>
        <v>3</v>
      </c>
      <c r="B1401" s="13"/>
      <c r="C1401" s="13" t="str">
        <f ca="1">IFERROR(__xludf.DUMMYFUNCTION("""COMPUTED_VALUE"""),"工人")</f>
        <v>工人</v>
      </c>
      <c r="D1401" s="13" t="str">
        <f ca="1">IFERROR(__xludf.DUMMYFUNCTION("""COMPUTED_VALUE"""),"&lt;ruby&gt;工人&lt;rt&gt;gōngrén&lt;/rt&gt;&lt;/ruby&gt;")</f>
        <v>&lt;ruby&gt;工人&lt;rt&gt;gōngrén&lt;/rt&gt;&lt;/ruby&gt;</v>
      </c>
      <c r="E1401" s="13" t="str">
        <f ca="1">IFERROR(__xludf.DUMMYFUNCTION("""COMPUTED_VALUE"""),"gōngrén")</f>
        <v>gōngrén</v>
      </c>
      <c r="F1401" s="13" t="str">
        <f ca="1">IFERROR(__xludf.DUMMYFUNCTION("""COMPUTED_VALUE"""),"Danh từ")</f>
        <v>Danh từ</v>
      </c>
      <c r="G1401" s="13" t="str">
        <f ca="1">IFERROR(__xludf.DUMMYFUNCTION("""COMPUTED_VALUE"""),"công nhân")</f>
        <v>công nhân</v>
      </c>
      <c r="H1401" s="13" t="str">
        <f ca="1">IFERROR(__xludf.DUMMYFUNCTION("""COMPUTED_VALUE"""),"工人们每天早上六点开始工作，一直到傍晚才休息。")</f>
        <v>工人们每天早上六点开始工作，一直到傍晚才休息。</v>
      </c>
      <c r="I1401" s="13"/>
      <c r="J1401" s="13" t="str">
        <f ca="1">IFERROR(__xludf.DUMMYFUNCTION("""COMPUTED_VALUE"""),"Các công nhân mỗi ngày bắt đầu làm việc từ sáu giờ sáng, mãi đến chiều tối mới được nghỉ ngơi.")</f>
        <v>Các công nhân mỗi ngày bắt đầu làm việc từ sáu giờ sáng, mãi đến chiều tối mới được nghỉ ngơi.</v>
      </c>
      <c r="K1401" s="13" t="str">
        <f ca="1">IFERROR(__xludf.DUMMYFUNCTION("""COMPUTED_VALUE"""),"H5_B3_BG-03.png")</f>
        <v>H5_B3_BG-03.png</v>
      </c>
      <c r="L1401" s="13" t="str">
        <f ca="1">IFERROR(__xludf.DUMMYFUNCTION("""COMPUTED_VALUE"""),"B3-03.mp3")</f>
        <v>B3-03.mp3</v>
      </c>
      <c r="M1401" s="13" t="str">
        <f ca="1">IFERROR(__xludf.DUMMYFUNCTION("""COMPUTED_VALUE"""),"B3_VD_3.mp3")</f>
        <v>B3_VD_3.mp3</v>
      </c>
    </row>
    <row r="1402" spans="1:13">
      <c r="A1402" s="13">
        <f ca="1">IFERROR(__xludf.DUMMYFUNCTION("""COMPUTED_VALUE"""),4)</f>
        <v>4</v>
      </c>
      <c r="B1402" s="13"/>
      <c r="C1402" s="13" t="str">
        <f ca="1">IFERROR(__xludf.DUMMYFUNCTION("""COMPUTED_VALUE"""),"辞职")</f>
        <v>辞职</v>
      </c>
      <c r="D1402" s="13" t="str">
        <f ca="1">IFERROR(__xludf.DUMMYFUNCTION("""COMPUTED_VALUE"""),"&lt;ruby&gt;辞职&lt;rt&gt;cí zhí&lt;/rt&gt;&lt;/ruby&gt;")</f>
        <v>&lt;ruby&gt;辞职&lt;rt&gt;cí zhí&lt;/rt&gt;&lt;/ruby&gt;</v>
      </c>
      <c r="E1402" s="13" t="str">
        <f ca="1">IFERROR(__xludf.DUMMYFUNCTION("""COMPUTED_VALUE"""),"cí zhí")</f>
        <v>cí zhí</v>
      </c>
      <c r="F1402" s="13" t="str">
        <f ca="1">IFERROR(__xludf.DUMMYFUNCTION("""COMPUTED_VALUE"""),"Động từ")</f>
        <v>Động từ</v>
      </c>
      <c r="G1402" s="13" t="str">
        <f ca="1">IFERROR(__xludf.DUMMYFUNCTION("""COMPUTED_VALUE"""),"từ chức")</f>
        <v>từ chức</v>
      </c>
      <c r="H1402" s="13" t="str">
        <f ca="1">IFERROR(__xludf.DUMMYFUNCTION("""COMPUTED_VALUE"""),"她因为个人原因向公司提出了辞职。")</f>
        <v>她因为个人原因向公司提出了辞职。</v>
      </c>
      <c r="I1402" s="13"/>
      <c r="J1402" s="13" t="str">
        <f ca="1">IFERROR(__xludf.DUMMYFUNCTION("""COMPUTED_VALUE"""),"Cô ấy đã nộp đơn xin nghỉ việc với lý do cá nhân.")</f>
        <v>Cô ấy đã nộp đơn xin nghỉ việc với lý do cá nhân.</v>
      </c>
      <c r="K1402" s="13" t="str">
        <f ca="1">IFERROR(__xludf.DUMMYFUNCTION("""COMPUTED_VALUE"""),"H5_B3_BG-04.png")</f>
        <v>H5_B3_BG-04.png</v>
      </c>
      <c r="L1402" s="13" t="str">
        <f ca="1">IFERROR(__xludf.DUMMYFUNCTION("""COMPUTED_VALUE"""),"B3-04.mp3")</f>
        <v>B3-04.mp3</v>
      </c>
      <c r="M1402" s="13" t="str">
        <f ca="1">IFERROR(__xludf.DUMMYFUNCTION("""COMPUTED_VALUE"""),"B3_VD_4.mp3")</f>
        <v>B3_VD_4.mp3</v>
      </c>
    </row>
    <row r="1403" spans="1:13">
      <c r="A1403" s="13">
        <f ca="1">IFERROR(__xludf.DUMMYFUNCTION("""COMPUTED_VALUE"""),5)</f>
        <v>5</v>
      </c>
      <c r="B1403" s="13"/>
      <c r="C1403" s="13" t="str">
        <f ca="1">IFERROR(__xludf.DUMMYFUNCTION("""COMPUTED_VALUE"""),"各自")</f>
        <v>各自</v>
      </c>
      <c r="D1403" s="13" t="str">
        <f ca="1">IFERROR(__xludf.DUMMYFUNCTION("""COMPUTED_VALUE"""),"&lt;ruby&gt;各自&lt;rt&gt;gèzì&lt;/rt&gt;&lt;/ruby&gt;")</f>
        <v>&lt;ruby&gt;各自&lt;rt&gt;gèzì&lt;/rt&gt;&lt;/ruby&gt;</v>
      </c>
      <c r="E1403" s="13" t="str">
        <f ca="1">IFERROR(__xludf.DUMMYFUNCTION("""COMPUTED_VALUE"""),"gèzì")</f>
        <v>gèzì</v>
      </c>
      <c r="F1403" s="13" t="str">
        <f ca="1">IFERROR(__xludf.DUMMYFUNCTION("""COMPUTED_VALUE"""),"Đại từ")</f>
        <v>Đại từ</v>
      </c>
      <c r="G1403" s="13" t="str">
        <f ca="1">IFERROR(__xludf.DUMMYFUNCTION("""COMPUTED_VALUE"""),"từng người, riêng mình, mỗi")</f>
        <v>từng người, riêng mình, mỗi</v>
      </c>
      <c r="H1403" s="13" t="str">
        <f ca="1">IFERROR(__xludf.DUMMYFUNCTION("""COMPUTED_VALUE"""),"每个人都可以根据各自的兴趣选择活动。")</f>
        <v>每个人都可以根据各自的兴趣选择活动。</v>
      </c>
      <c r="I1403" s="13"/>
      <c r="J1403" s="13" t="str">
        <f ca="1">IFERROR(__xludf.DUMMYFUNCTION("""COMPUTED_VALUE"""),"Mỗi người có thể chọn hoạt động theo sở thích của mình.")</f>
        <v>Mỗi người có thể chọn hoạt động theo sở thích của mình.</v>
      </c>
      <c r="K1403" s="13" t="str">
        <f ca="1">IFERROR(__xludf.DUMMYFUNCTION("""COMPUTED_VALUE"""),"H5_B3_BG-05.png")</f>
        <v>H5_B3_BG-05.png</v>
      </c>
      <c r="L1403" s="13" t="str">
        <f ca="1">IFERROR(__xludf.DUMMYFUNCTION("""COMPUTED_VALUE"""),"B3-05.mp3")</f>
        <v>B3-05.mp3</v>
      </c>
      <c r="M1403" s="13" t="str">
        <f ca="1">IFERROR(__xludf.DUMMYFUNCTION("""COMPUTED_VALUE"""),"B3_VD_5.mp3")</f>
        <v>B3_VD_5.mp3</v>
      </c>
    </row>
    <row r="1404" spans="1:13">
      <c r="A1404" s="13">
        <f ca="1">IFERROR(__xludf.DUMMYFUNCTION("""COMPUTED_VALUE"""),6)</f>
        <v>6</v>
      </c>
      <c r="B1404" s="13"/>
      <c r="C1404" s="13" t="str">
        <f ca="1">IFERROR(__xludf.DUMMYFUNCTION("""COMPUTED_VALUE"""),"时刻")</f>
        <v>时刻</v>
      </c>
      <c r="D1404" s="13" t="str">
        <f ca="1">IFERROR(__xludf.DUMMYFUNCTION("""COMPUTED_VALUE"""),"&lt;ruby&gt;时刻&lt;rt&gt;shíkè&lt;/rt&gt;&lt;/ruby&gt;")</f>
        <v>&lt;ruby&gt;时刻&lt;rt&gt;shíkè&lt;/rt&gt;&lt;/ruby&gt;</v>
      </c>
      <c r="E1404" s="13" t="str">
        <f ca="1">IFERROR(__xludf.DUMMYFUNCTION("""COMPUTED_VALUE"""),"shíkè")</f>
        <v>shíkè</v>
      </c>
      <c r="F1404" s="13" t="str">
        <f ca="1">IFERROR(__xludf.DUMMYFUNCTION("""COMPUTED_VALUE"""),"Danh từ")</f>
        <v>Danh từ</v>
      </c>
      <c r="G1404" s="13" t="str">
        <f ca="1">IFERROR(__xludf.DUMMYFUNCTION("""COMPUTED_VALUE"""),"thời khắc, thời gian")</f>
        <v>thời khắc, thời gian</v>
      </c>
      <c r="H1404" s="13" t="str">
        <f ca="1">IFERROR(__xludf.DUMMYFUNCTION("""COMPUTED_VALUE"""),"作为医生，她必须时刻准备应对突发情况。")</f>
        <v>作为医生，她必须时刻准备应对突发情况。</v>
      </c>
      <c r="I1404" s="13"/>
      <c r="J1404" s="13" t="str">
        <f ca="1">IFERROR(__xludf.DUMMYFUNCTION("""COMPUTED_VALUE""")," Là một bác sĩ, cô ấy phải luôn sẵn sàng ứng phó với các tình huống khẩn cấp.")</f>
        <v xml:space="preserve"> Là một bác sĩ, cô ấy phải luôn sẵn sàng ứng phó với các tình huống khẩn cấp.</v>
      </c>
      <c r="K1404" s="13" t="str">
        <f ca="1">IFERROR(__xludf.DUMMYFUNCTION("""COMPUTED_VALUE"""),"H5_B3_BG-06.png")</f>
        <v>H5_B3_BG-06.png</v>
      </c>
      <c r="L1404" s="13" t="str">
        <f ca="1">IFERROR(__xludf.DUMMYFUNCTION("""COMPUTED_VALUE"""),"B3-06.mp3")</f>
        <v>B3-06.mp3</v>
      </c>
      <c r="M1404" s="13" t="str">
        <f ca="1">IFERROR(__xludf.DUMMYFUNCTION("""COMPUTED_VALUE"""),"B3_VD_6.mp3")</f>
        <v>B3_VD_6.mp3</v>
      </c>
    </row>
    <row r="1405" spans="1:13">
      <c r="A1405" s="13">
        <f ca="1">IFERROR(__xludf.DUMMYFUNCTION("""COMPUTED_VALUE"""),7)</f>
        <v>7</v>
      </c>
      <c r="B1405" s="13"/>
      <c r="C1405" s="13" t="str">
        <f ca="1">IFERROR(__xludf.DUMMYFUNCTION("""COMPUTED_VALUE"""),"随时")</f>
        <v>随时</v>
      </c>
      <c r="D1405" s="13" t="str">
        <f ca="1">IFERROR(__xludf.DUMMYFUNCTION("""COMPUTED_VALUE"""),"&lt;ruby&gt;随时&lt;rt&gt;suíshí&lt;/rt&gt;&lt;/ruby&gt;")</f>
        <v>&lt;ruby&gt;随时&lt;rt&gt;suíshí&lt;/rt&gt;&lt;/ruby&gt;</v>
      </c>
      <c r="E1405" s="13" t="str">
        <f ca="1">IFERROR(__xludf.DUMMYFUNCTION("""COMPUTED_VALUE"""),"suíshí")</f>
        <v>suíshí</v>
      </c>
      <c r="F1405" s="13" t="str">
        <f ca="1">IFERROR(__xludf.DUMMYFUNCTION("""COMPUTED_VALUE"""),"Phó từ")</f>
        <v>Phó từ</v>
      </c>
      <c r="G1405" s="13" t="str">
        <f ca="1">IFERROR(__xludf.DUMMYFUNCTION("""COMPUTED_VALUE"""),"bất cứ lúc nào")</f>
        <v>bất cứ lúc nào</v>
      </c>
      <c r="H1405" s="13" t="str">
        <f ca="1">IFERROR(__xludf.DUMMYFUNCTION("""COMPUTED_VALUE"""),"随时有热水供应吗？")</f>
        <v>随时有热水供应吗？</v>
      </c>
      <c r="I1405" s="13"/>
      <c r="J1405" s="13" t="str">
        <f ca="1">IFERROR(__xludf.DUMMYFUNCTION("""COMPUTED_VALUE"""),"Nước nóng có sẵn bất cứ khi nào cần không?")</f>
        <v>Nước nóng có sẵn bất cứ khi nào cần không?</v>
      </c>
      <c r="K1405" s="13" t="str">
        <f ca="1">IFERROR(__xludf.DUMMYFUNCTION("""COMPUTED_VALUE"""),"H5_B3_BG-07.png")</f>
        <v>H5_B3_BG-07.png</v>
      </c>
      <c r="L1405" s="13" t="str">
        <f ca="1">IFERROR(__xludf.DUMMYFUNCTION("""COMPUTED_VALUE"""),"B3-07.mp3")</f>
        <v>B3-07.mp3</v>
      </c>
      <c r="M1405" s="13" t="str">
        <f ca="1">IFERROR(__xludf.DUMMYFUNCTION("""COMPUTED_VALUE"""),"B3_VD_7.mp3")</f>
        <v>B3_VD_7.mp3</v>
      </c>
    </row>
    <row r="1406" spans="1:13">
      <c r="A1406" s="13">
        <f ca="1">IFERROR(__xludf.DUMMYFUNCTION("""COMPUTED_VALUE"""),8)</f>
        <v>8</v>
      </c>
      <c r="B1406" s="13"/>
      <c r="C1406" s="13" t="str">
        <f ca="1">IFERROR(__xludf.DUMMYFUNCTION("""COMPUTED_VALUE"""),"盼望")</f>
        <v>盼望</v>
      </c>
      <c r="D1406" s="13" t="str">
        <f ca="1">IFERROR(__xludf.DUMMYFUNCTION("""COMPUTED_VALUE"""),"&lt;ruby&gt;盼望&lt;rt&gt;pànwàng&lt;/rt&gt;&lt;/ruby&gt;")</f>
        <v>&lt;ruby&gt;盼望&lt;rt&gt;pànwàng&lt;/rt&gt;&lt;/ruby&gt;</v>
      </c>
      <c r="E1406" s="13" t="str">
        <f ca="1">IFERROR(__xludf.DUMMYFUNCTION("""COMPUTED_VALUE"""),"pànwàng")</f>
        <v>pànwàng</v>
      </c>
      <c r="F1406" s="13" t="str">
        <f ca="1">IFERROR(__xludf.DUMMYFUNCTION("""COMPUTED_VALUE"""),"Động từ")</f>
        <v>Động từ</v>
      </c>
      <c r="G1406" s="13" t="str">
        <f ca="1">IFERROR(__xludf.DUMMYFUNCTION("""COMPUTED_VALUE"""),"trông mong, mong mỏi")</f>
        <v>trông mong, mong mỏi</v>
      </c>
      <c r="H1406" s="13" t="str">
        <f ca="1">IFERROR(__xludf.DUMMYFUNCTION("""COMPUTED_VALUE"""),"他努力学习，盼望将来能有一份稳定的工作。")</f>
        <v>他努力学习，盼望将来能有一份稳定的工作。</v>
      </c>
      <c r="I1406" s="13"/>
      <c r="J1406" s="13" t="str">
        <f ca="1">IFERROR(__xludf.DUMMYFUNCTION("""COMPUTED_VALUE"""),"Anh ấy chăm chỉ học hành mong rằng sau này sẽ có một công việc ổn định.")</f>
        <v>Anh ấy chăm chỉ học hành mong rằng sau này sẽ có một công việc ổn định.</v>
      </c>
      <c r="K1406" s="13" t="str">
        <f ca="1">IFERROR(__xludf.DUMMYFUNCTION("""COMPUTED_VALUE"""),"H5_B3_BG-08.png")</f>
        <v>H5_B3_BG-08.png</v>
      </c>
      <c r="L1406" s="13" t="str">
        <f ca="1">IFERROR(__xludf.DUMMYFUNCTION("""COMPUTED_VALUE"""),"B3-08.mp3")</f>
        <v>B3-08.mp3</v>
      </c>
      <c r="M1406" s="13" t="str">
        <f ca="1">IFERROR(__xludf.DUMMYFUNCTION("""COMPUTED_VALUE"""),"B3_VD_8.mp3")</f>
        <v>B3_VD_8.mp3</v>
      </c>
    </row>
    <row r="1407" spans="1:13">
      <c r="A1407" s="13">
        <f ca="1">IFERROR(__xludf.DUMMYFUNCTION("""COMPUTED_VALUE"""),9)</f>
        <v>9</v>
      </c>
      <c r="B1407" s="13"/>
      <c r="C1407" s="13" t="str">
        <f ca="1">IFERROR(__xludf.DUMMYFUNCTION("""COMPUTED_VALUE"""),"稳定")</f>
        <v>稳定</v>
      </c>
      <c r="D1407" s="13" t="str">
        <f ca="1">IFERROR(__xludf.DUMMYFUNCTION("""COMPUTED_VALUE"""),"&lt;ruby&gt;稳定&lt;rt&gt;wěndìng&lt;/rt&gt;&lt;/ruby&gt;")</f>
        <v>&lt;ruby&gt;稳定&lt;rt&gt;wěndìng&lt;/rt&gt;&lt;/ruby&gt;</v>
      </c>
      <c r="E1407" s="13" t="str">
        <f ca="1">IFERROR(__xludf.DUMMYFUNCTION("""COMPUTED_VALUE"""),"wěndìng")</f>
        <v>wěndìng</v>
      </c>
      <c r="F1407" s="13" t="str">
        <f ca="1">IFERROR(__xludf.DUMMYFUNCTION("""COMPUTED_VALUE"""),"Tính từ ")</f>
        <v xml:space="preserve">Tính từ </v>
      </c>
      <c r="G1407" s="13" t="str">
        <f ca="1">IFERROR(__xludf.DUMMYFUNCTION("""COMPUTED_VALUE"""),"ổn định")</f>
        <v>ổn định</v>
      </c>
      <c r="H1407" s="13" t="str">
        <f ca="1">IFERROR(__xludf.DUMMYFUNCTION("""COMPUTED_VALUE"""),"她的目标是找到一份收入稳定的工作。")</f>
        <v>她的目标是找到一份收入稳定的工作。</v>
      </c>
      <c r="I1407" s="13"/>
      <c r="J1407" s="13" t="str">
        <f ca="1">IFERROR(__xludf.DUMMYFUNCTION("""COMPUTED_VALUE"""),"Mục tiêu của cô ấy là tìm một công việc có thu nhập ổn định.")</f>
        <v>Mục tiêu của cô ấy là tìm một công việc có thu nhập ổn định.</v>
      </c>
      <c r="K1407" s="13" t="str">
        <f ca="1">IFERROR(__xludf.DUMMYFUNCTION("""COMPUTED_VALUE"""),"H5_B3_BG-09.png")</f>
        <v>H5_B3_BG-09.png</v>
      </c>
      <c r="L1407" s="13" t="str">
        <f ca="1">IFERROR(__xludf.DUMMYFUNCTION("""COMPUTED_VALUE"""),"B3-09.mp3")</f>
        <v>B3-09.mp3</v>
      </c>
      <c r="M1407" s="13" t="str">
        <f ca="1">IFERROR(__xludf.DUMMYFUNCTION("""COMPUTED_VALUE"""),"B3_VD_9.mp3")</f>
        <v>B3_VD_9.mp3</v>
      </c>
    </row>
    <row r="1408" spans="1:13">
      <c r="A1408" s="13">
        <f ca="1">IFERROR(__xludf.DUMMYFUNCTION("""COMPUTED_VALUE"""),10)</f>
        <v>10</v>
      </c>
      <c r="B1408" s="13"/>
      <c r="C1408" s="13" t="str">
        <f ca="1">IFERROR(__xludf.DUMMYFUNCTION("""COMPUTED_VALUE"""),"舒适")</f>
        <v>舒适</v>
      </c>
      <c r="D1408" s="13" t="str">
        <f ca="1">IFERROR(__xludf.DUMMYFUNCTION("""COMPUTED_VALUE"""),"&lt;ruby&gt;舒适&lt;rt&gt;shūshì&lt;/rt&gt;&lt;/ruby&gt;")</f>
        <v>&lt;ruby&gt;舒适&lt;rt&gt;shūshì&lt;/rt&gt;&lt;/ruby&gt;</v>
      </c>
      <c r="E1408" s="13" t="str">
        <f ca="1">IFERROR(__xludf.DUMMYFUNCTION("""COMPUTED_VALUE"""),"shūshì")</f>
        <v>shūshì</v>
      </c>
      <c r="F1408" s="13" t="str">
        <f ca="1">IFERROR(__xludf.DUMMYFUNCTION("""COMPUTED_VALUE"""),"Tính từ ")</f>
        <v xml:space="preserve">Tính từ </v>
      </c>
      <c r="G1408" s="13" t="str">
        <f ca="1">IFERROR(__xludf.DUMMYFUNCTION("""COMPUTED_VALUE"""),"dễ chịu, thoải mái")</f>
        <v>dễ chịu, thoải mái</v>
      </c>
      <c r="H1408" s="13" t="str">
        <f ca="1">IFERROR(__xludf.DUMMYFUNCTION("""COMPUTED_VALUE"""),"这个床很舒适，睡得很好。")</f>
        <v>这个床很舒适，睡得很好。</v>
      </c>
      <c r="I1408" s="13"/>
      <c r="J1408" s="13" t="str">
        <f ca="1">IFERROR(__xludf.DUMMYFUNCTION("""COMPUTED_VALUE"""),"Cái giường này rất thoải mái, tôi ngủ rất ngon.")</f>
        <v>Cái giường này rất thoải mái, tôi ngủ rất ngon.</v>
      </c>
      <c r="K1408" s="13" t="str">
        <f ca="1">IFERROR(__xludf.DUMMYFUNCTION("""COMPUTED_VALUE"""),"H5_B3_BG-10.png")</f>
        <v>H5_B3_BG-10.png</v>
      </c>
      <c r="L1408" s="13" t="str">
        <f ca="1">IFERROR(__xludf.DUMMYFUNCTION("""COMPUTED_VALUE"""),"B3-10.mp3")</f>
        <v>B3-10.mp3</v>
      </c>
      <c r="M1408" s="13" t="str">
        <f ca="1">IFERROR(__xludf.DUMMYFUNCTION("""COMPUTED_VALUE"""),"B3_VD_10.mp3")</f>
        <v>B3_VD_10.mp3</v>
      </c>
    </row>
    <row r="1409" spans="1:13">
      <c r="A1409" s="13">
        <f ca="1">IFERROR(__xludf.DUMMYFUNCTION("""COMPUTED_VALUE"""),11)</f>
        <v>11</v>
      </c>
      <c r="B1409" s="13"/>
      <c r="C1409" s="13" t="str">
        <f ca="1">IFERROR(__xludf.DUMMYFUNCTION("""COMPUTED_VALUE"""),"发愁")</f>
        <v>发愁</v>
      </c>
      <c r="D1409" s="13" t="str">
        <f ca="1">IFERROR(__xludf.DUMMYFUNCTION("""COMPUTED_VALUE"""),"&lt;ruby&gt;发愁&lt;rt&gt;fā chóu&lt;/rt&gt;&lt;/ruby&gt;")</f>
        <v>&lt;ruby&gt;发愁&lt;rt&gt;fā chóu&lt;/rt&gt;&lt;/ruby&gt;</v>
      </c>
      <c r="E1409" s="13" t="str">
        <f ca="1">IFERROR(__xludf.DUMMYFUNCTION("""COMPUTED_VALUE"""),"fā chóu")</f>
        <v>fā chóu</v>
      </c>
      <c r="F1409" s="13" t="str">
        <f ca="1">IFERROR(__xludf.DUMMYFUNCTION("""COMPUTED_VALUE"""),"Động từ")</f>
        <v>Động từ</v>
      </c>
      <c r="G1409" s="13" t="str">
        <f ca="1">IFERROR(__xludf.DUMMYFUNCTION("""COMPUTED_VALUE"""),"lo âu, buồn rầu")</f>
        <v>lo âu, buồn rầu</v>
      </c>
      <c r="H1409" s="13" t="str">
        <f ca="1">IFERROR(__xludf.DUMMYFUNCTION("""COMPUTED_VALUE"""),"她正在为找不到合适的工作发愁。")</f>
        <v>她正在为找不到合适的工作发愁。</v>
      </c>
      <c r="I1409" s="13"/>
      <c r="J1409" s="13" t="str">
        <f ca="1">IFERROR(__xludf.DUMMYFUNCTION("""COMPUTED_VALUE"""),"Cô ấy đang lo lắng vì không tìm được công việc phù hợp.")</f>
        <v>Cô ấy đang lo lắng vì không tìm được công việc phù hợp.</v>
      </c>
      <c r="K1409" s="13" t="str">
        <f ca="1">IFERROR(__xludf.DUMMYFUNCTION("""COMPUTED_VALUE"""),"H5_B3_BG-11.png")</f>
        <v>H5_B3_BG-11.png</v>
      </c>
      <c r="L1409" s="13" t="str">
        <f ca="1">IFERROR(__xludf.DUMMYFUNCTION("""COMPUTED_VALUE"""),"B3-11.mp3")</f>
        <v>B3-11.mp3</v>
      </c>
      <c r="M1409" s="13" t="str">
        <f ca="1">IFERROR(__xludf.DUMMYFUNCTION("""COMPUTED_VALUE"""),"B3_VD_11.mp3")</f>
        <v>B3_VD_11.mp3</v>
      </c>
    </row>
    <row r="1410" spans="1:13">
      <c r="A1410" s="13">
        <f ca="1">IFERROR(__xludf.DUMMYFUNCTION("""COMPUTED_VALUE"""),12)</f>
        <v>12</v>
      </c>
      <c r="B1410" s="13"/>
      <c r="C1410" s="13" t="str">
        <f ca="1">IFERROR(__xludf.DUMMYFUNCTION("""COMPUTED_VALUE"""),"未来")</f>
        <v>未来</v>
      </c>
      <c r="D1410" s="13" t="str">
        <f ca="1">IFERROR(__xludf.DUMMYFUNCTION("""COMPUTED_VALUE"""),"&lt;ruby&gt;未来&lt;rt&gt;wèilái&lt;/rt&gt;&lt;/ruby&gt;")</f>
        <v>&lt;ruby&gt;未来&lt;rt&gt;wèilái&lt;/rt&gt;&lt;/ruby&gt;</v>
      </c>
      <c r="E1410" s="13" t="str">
        <f ca="1">IFERROR(__xludf.DUMMYFUNCTION("""COMPUTED_VALUE"""),"wèilái")</f>
        <v>wèilái</v>
      </c>
      <c r="F1410" s="13" t="str">
        <f ca="1">IFERROR(__xludf.DUMMYFUNCTION("""COMPUTED_VALUE"""),"Danh từ")</f>
        <v>Danh từ</v>
      </c>
      <c r="G1410" s="13" t="str">
        <f ca="1">IFERROR(__xludf.DUMMYFUNCTION("""COMPUTED_VALUE"""),"tương lai")</f>
        <v>tương lai</v>
      </c>
      <c r="H1410" s="13" t="str">
        <f ca="1">IFERROR(__xludf.DUMMYFUNCTION("""COMPUTED_VALUE"""),"未来她想成为一名医生。")</f>
        <v>未来她想成为一名医生。</v>
      </c>
      <c r="I1410" s="13"/>
      <c r="J1410" s="13" t="str">
        <f ca="1">IFERROR(__xludf.DUMMYFUNCTION("""COMPUTED_VALUE"""),"Tương lai cô ấy muốn trở thành bác sĩ.")</f>
        <v>Tương lai cô ấy muốn trở thành bác sĩ.</v>
      </c>
      <c r="K1410" s="13" t="str">
        <f ca="1">IFERROR(__xludf.DUMMYFUNCTION("""COMPUTED_VALUE"""),"H5_B3_BG-12.png")</f>
        <v>H5_B3_BG-12.png</v>
      </c>
      <c r="L1410" s="13" t="str">
        <f ca="1">IFERROR(__xludf.DUMMYFUNCTION("""COMPUTED_VALUE"""),"B3-12.mp3")</f>
        <v>B3-12.mp3</v>
      </c>
      <c r="M1410" s="13" t="str">
        <f ca="1">IFERROR(__xludf.DUMMYFUNCTION("""COMPUTED_VALUE"""),"B3_VD_12.mp3")</f>
        <v>B3_VD_12.mp3</v>
      </c>
    </row>
    <row r="1411" spans="1:13">
      <c r="A1411" s="13">
        <f ca="1">IFERROR(__xludf.DUMMYFUNCTION("""COMPUTED_VALUE"""),13)</f>
        <v>13</v>
      </c>
      <c r="B1411" s="13"/>
      <c r="C1411" s="13" t="str">
        <f ca="1">IFERROR(__xludf.DUMMYFUNCTION("""COMPUTED_VALUE"""),"待遇")</f>
        <v>待遇</v>
      </c>
      <c r="D1411" s="13" t="str">
        <f ca="1">IFERROR(__xludf.DUMMYFUNCTION("""COMPUTED_VALUE"""),"&lt;ruby&gt;待遇&lt;rt&gt;dàiyù&lt;/rt&gt;&lt;/ruby&gt;")</f>
        <v>&lt;ruby&gt;待遇&lt;rt&gt;dàiyù&lt;/rt&gt;&lt;/ruby&gt;</v>
      </c>
      <c r="E1411" s="13" t="str">
        <f ca="1">IFERROR(__xludf.DUMMYFUNCTION("""COMPUTED_VALUE"""),"dàiyù")</f>
        <v>dàiyù</v>
      </c>
      <c r="F1411" s="13" t="str">
        <f ca="1">IFERROR(__xludf.DUMMYFUNCTION("""COMPUTED_VALUE"""),"Danh từ")</f>
        <v>Danh từ</v>
      </c>
      <c r="G1411" s="13" t="str">
        <f ca="1">IFERROR(__xludf.DUMMYFUNCTION("""COMPUTED_VALUE"""),"sự đãi ngộ")</f>
        <v>sự đãi ngộ</v>
      </c>
      <c r="H1411" s="13" t="str">
        <f ca="1">IFERROR(__xludf.DUMMYFUNCTION("""COMPUTED_VALUE"""),"她的待遇包括奖金和福利。")</f>
        <v>她的待遇包括奖金和福利。</v>
      </c>
      <c r="I1411" s="13"/>
      <c r="J1411" s="13" t="str">
        <f ca="1">IFERROR(__xludf.DUMMYFUNCTION("""COMPUTED_VALUE"""),"Đãi ngộ của cô ấy bao gồm tiền thưởng và phúc lợi.")</f>
        <v>Đãi ngộ của cô ấy bao gồm tiền thưởng và phúc lợi.</v>
      </c>
      <c r="K1411" s="13" t="str">
        <f ca="1">IFERROR(__xludf.DUMMYFUNCTION("""COMPUTED_VALUE"""),"H5_B3_BG-13.png")</f>
        <v>H5_B3_BG-13.png</v>
      </c>
      <c r="L1411" s="13" t="str">
        <f ca="1">IFERROR(__xludf.DUMMYFUNCTION("""COMPUTED_VALUE"""),"B3-13.mp3")</f>
        <v>B3-13.mp3</v>
      </c>
      <c r="M1411" s="13" t="str">
        <f ca="1">IFERROR(__xludf.DUMMYFUNCTION("""COMPUTED_VALUE"""),"B3_VD_13.mp3")</f>
        <v>B3_VD_13.mp3</v>
      </c>
    </row>
    <row r="1412" spans="1:13">
      <c r="A1412" s="13">
        <f ca="1">IFERROR(__xludf.DUMMYFUNCTION("""COMPUTED_VALUE"""),14)</f>
        <v>14</v>
      </c>
      <c r="B1412" s="13"/>
      <c r="C1412" s="13" t="str">
        <f ca="1">IFERROR(__xludf.DUMMYFUNCTION("""COMPUTED_VALUE"""),"钓")</f>
        <v>钓</v>
      </c>
      <c r="D1412" s="13" t="str">
        <f ca="1">IFERROR(__xludf.DUMMYFUNCTION("""COMPUTED_VALUE"""),"&lt;ruby&gt;钓&lt;rt&gt;diào&lt;/rt&gt;&lt;/ruby&gt;")</f>
        <v>&lt;ruby&gt;钓&lt;rt&gt;diào&lt;/rt&gt;&lt;/ruby&gt;</v>
      </c>
      <c r="E1412" s="13" t="str">
        <f ca="1">IFERROR(__xludf.DUMMYFUNCTION("""COMPUTED_VALUE"""),"diào")</f>
        <v>diào</v>
      </c>
      <c r="F1412" s="13" t="str">
        <f ca="1">IFERROR(__xludf.DUMMYFUNCTION("""COMPUTED_VALUE"""),"Động từ")</f>
        <v>Động từ</v>
      </c>
      <c r="G1412" s="13" t="str">
        <f ca="1">IFERROR(__xludf.DUMMYFUNCTION("""COMPUTED_VALUE"""),"câu (cá)")</f>
        <v>câu (cá)</v>
      </c>
      <c r="H1412" s="13" t="str">
        <f ca="1">IFERROR(__xludf.DUMMYFUNCTION("""COMPUTED_VALUE"""),"周末他和朋友一起去河边钓鱼。")</f>
        <v>周末他和朋友一起去河边钓鱼。</v>
      </c>
      <c r="I1412" s="13"/>
      <c r="J1412" s="13" t="str">
        <f ca="1">IFERROR(__xludf.DUMMYFUNCTION("""COMPUTED_VALUE""")," Cuối tuần anh ấy cùng bạn đi câu cá bên sông.")</f>
        <v xml:space="preserve"> Cuối tuần anh ấy cùng bạn đi câu cá bên sông.</v>
      </c>
      <c r="K1412" s="13" t="str">
        <f ca="1">IFERROR(__xludf.DUMMYFUNCTION("""COMPUTED_VALUE"""),"H5_B3_BG-14.png")</f>
        <v>H5_B3_BG-14.png</v>
      </c>
      <c r="L1412" s="13" t="str">
        <f ca="1">IFERROR(__xludf.DUMMYFUNCTION("""COMPUTED_VALUE"""),"B3-14.mp3")</f>
        <v>B3-14.mp3</v>
      </c>
      <c r="M1412" s="13" t="str">
        <f ca="1">IFERROR(__xludf.DUMMYFUNCTION("""COMPUTED_VALUE"""),"B3_VD_14.mp3")</f>
        <v>B3_VD_14.mp3</v>
      </c>
    </row>
    <row r="1413" spans="1:13">
      <c r="A1413" s="13">
        <f ca="1">IFERROR(__xludf.DUMMYFUNCTION("""COMPUTED_VALUE"""),15)</f>
        <v>15</v>
      </c>
      <c r="B1413" s="13"/>
      <c r="C1413" s="13" t="str">
        <f ca="1">IFERROR(__xludf.DUMMYFUNCTION("""COMPUTED_VALUE"""),"顿")</f>
        <v>顿</v>
      </c>
      <c r="D1413" s="13" t="str">
        <f ca="1">IFERROR(__xludf.DUMMYFUNCTION("""COMPUTED_VALUE"""),"&lt;ruby&gt;顿&lt;rt&gt;dùn&lt;/rt&gt;&lt;/ruby&gt;")</f>
        <v>&lt;ruby&gt;顿&lt;rt&gt;dùn&lt;/rt&gt;&lt;/ruby&gt;</v>
      </c>
      <c r="E1413" s="13" t="str">
        <f ca="1">IFERROR(__xludf.DUMMYFUNCTION("""COMPUTED_VALUE"""),"dùn")</f>
        <v>dùn</v>
      </c>
      <c r="F1413" s="13" t="str">
        <f ca="1">IFERROR(__xludf.DUMMYFUNCTION("""COMPUTED_VALUE"""),"Lượng từ ")</f>
        <v xml:space="preserve">Lượng từ </v>
      </c>
      <c r="G1413" s="13" t="str">
        <f ca="1">IFERROR(__xludf.DUMMYFUNCTION("""COMPUTED_VALUE"""),"bữa")</f>
        <v>bữa</v>
      </c>
      <c r="H1413" s="13" t="str">
        <f ca="1">IFERROR(__xludf.DUMMYFUNCTION("""COMPUTED_VALUE"""),"忙了一整天，他好好吃了一顿晚饭。")</f>
        <v>忙了一整天，他好好吃了一顿晚饭。</v>
      </c>
      <c r="I1413" s="13"/>
      <c r="J1413" s="13" t="str">
        <f ca="1">IFERROR(__xludf.DUMMYFUNCTION("""COMPUTED_VALUE"""),"Sau một ngày bận rộn, anh ấy đã ăn một bữa tối thật ngon.")</f>
        <v>Sau một ngày bận rộn, anh ấy đã ăn một bữa tối thật ngon.</v>
      </c>
      <c r="K1413" s="13" t="str">
        <f ca="1">IFERROR(__xludf.DUMMYFUNCTION("""COMPUTED_VALUE"""),"H5_B3_BG-15.png")</f>
        <v>H5_B3_BG-15.png</v>
      </c>
      <c r="L1413" s="13" t="str">
        <f ca="1">IFERROR(__xludf.DUMMYFUNCTION("""COMPUTED_VALUE"""),"B3-15.mp3")</f>
        <v>B3-15.mp3</v>
      </c>
      <c r="M1413" s="13" t="str">
        <f ca="1">IFERROR(__xludf.DUMMYFUNCTION("""COMPUTED_VALUE"""),"B3_VD_15.mp3")</f>
        <v>B3_VD_15.mp3</v>
      </c>
    </row>
    <row r="1414" spans="1:13">
      <c r="A1414" s="13">
        <f ca="1">IFERROR(__xludf.DUMMYFUNCTION("""COMPUTED_VALUE"""),16)</f>
        <v>16</v>
      </c>
      <c r="B1414" s="13"/>
      <c r="C1414" s="13" t="str">
        <f ca="1">IFERROR(__xludf.DUMMYFUNCTION("""COMPUTED_VALUE"""),"疯")</f>
        <v>疯</v>
      </c>
      <c r="D1414" s="13" t="str">
        <f ca="1">IFERROR(__xludf.DUMMYFUNCTION("""COMPUTED_VALUE"""),"&lt;ruby&gt;疯&lt;rt&gt;fēng&lt;/rt&gt;&lt;/ruby&gt;")</f>
        <v>&lt;ruby&gt;疯&lt;rt&gt;fēng&lt;/rt&gt;&lt;/ruby&gt;</v>
      </c>
      <c r="E1414" s="13" t="str">
        <f ca="1">IFERROR(__xludf.DUMMYFUNCTION("""COMPUTED_VALUE"""),"fēng")</f>
        <v>fēng</v>
      </c>
      <c r="F1414" s="13" t="str">
        <f ca="1">IFERROR(__xludf.DUMMYFUNCTION("""COMPUTED_VALUE"""),"Động từ")</f>
        <v>Động từ</v>
      </c>
      <c r="G1414" s="13" t="str">
        <f ca="1">IFERROR(__xludf.DUMMYFUNCTION("""COMPUTED_VALUE"""),"phát điên, hóa điên")</f>
        <v>phát điên, hóa điên</v>
      </c>
      <c r="H1414" s="13" t="str">
        <f ca="1">IFERROR(__xludf.DUMMYFUNCTION("""COMPUTED_VALUE"""),"他最近工作太忙了，感觉快疯了。")</f>
        <v>他最近工作太忙了，感觉快疯了。</v>
      </c>
      <c r="I1414" s="13"/>
      <c r="J1414" s="13" t="str">
        <f ca="1">IFERROR(__xludf.DUMMYFUNCTION("""COMPUTED_VALUE"""),"Gần đây anh ấy làm việc quá bận, cảm thấy sắp phát điên.")</f>
        <v>Gần đây anh ấy làm việc quá bận, cảm thấy sắp phát điên.</v>
      </c>
      <c r="K1414" s="13" t="str">
        <f ca="1">IFERROR(__xludf.DUMMYFUNCTION("""COMPUTED_VALUE"""),"H5_B3_BG-16.png")</f>
        <v>H5_B3_BG-16.png</v>
      </c>
      <c r="L1414" s="13" t="str">
        <f ca="1">IFERROR(__xludf.DUMMYFUNCTION("""COMPUTED_VALUE"""),"B3-16.mp3")</f>
        <v>B3-16.mp3</v>
      </c>
      <c r="M1414" s="13" t="str">
        <f ca="1">IFERROR(__xludf.DUMMYFUNCTION("""COMPUTED_VALUE"""),"B3_VD_16.mp3")</f>
        <v>B3_VD_16.mp3</v>
      </c>
    </row>
    <row r="1415" spans="1:13">
      <c r="A1415" s="13">
        <f ca="1">IFERROR(__xludf.DUMMYFUNCTION("""COMPUTED_VALUE"""),17)</f>
        <v>17</v>
      </c>
      <c r="B1415" s="13"/>
      <c r="C1415" s="13" t="str">
        <f ca="1">IFERROR(__xludf.DUMMYFUNCTION("""COMPUTED_VALUE"""),"轮流")</f>
        <v>轮流</v>
      </c>
      <c r="D1415" s="13" t="str">
        <f ca="1">IFERROR(__xludf.DUMMYFUNCTION("""COMPUTED_VALUE"""),"&lt;ruby&gt;轮流&lt;rt&gt;lúnliú&lt;/rt&gt;&lt;/ruby&gt;")</f>
        <v>&lt;ruby&gt;轮流&lt;rt&gt;lúnliú&lt;/rt&gt;&lt;/ruby&gt;</v>
      </c>
      <c r="E1415" s="13" t="str">
        <f ca="1">IFERROR(__xludf.DUMMYFUNCTION("""COMPUTED_VALUE"""),"lúnliú")</f>
        <v>lúnliú</v>
      </c>
      <c r="F1415" s="13" t="str">
        <f ca="1">IFERROR(__xludf.DUMMYFUNCTION("""COMPUTED_VALUE"""),"Động từ")</f>
        <v>Động từ</v>
      </c>
      <c r="G1415" s="13" t="str">
        <f ca="1">IFERROR(__xludf.DUMMYFUNCTION("""COMPUTED_VALUE"""),"luân phiên")</f>
        <v>luân phiên</v>
      </c>
      <c r="H1415" s="13" t="str">
        <f ca="1">IFERROR(__xludf.DUMMYFUNCTION("""COMPUTED_VALUE"""),"我们每天轮流打扫卫生。")</f>
        <v>我们每天轮流打扫卫生。</v>
      </c>
      <c r="I1415" s="13"/>
      <c r="J1415" s="13" t="str">
        <f ca="1">IFERROR(__xludf.DUMMYFUNCTION("""COMPUTED_VALUE"""),"Chúng tôi mỗi ngày luân phiên dọn dẹp vệ sinh.")</f>
        <v>Chúng tôi mỗi ngày luân phiên dọn dẹp vệ sinh.</v>
      </c>
      <c r="K1415" s="13" t="str">
        <f ca="1">IFERROR(__xludf.DUMMYFUNCTION("""COMPUTED_VALUE"""),"H5_B3_BG-17.png")</f>
        <v>H5_B3_BG-17.png</v>
      </c>
      <c r="L1415" s="13" t="str">
        <f ca="1">IFERROR(__xludf.DUMMYFUNCTION("""COMPUTED_VALUE"""),"B3-17.mp3")</f>
        <v>B3-17.mp3</v>
      </c>
      <c r="M1415" s="13" t="str">
        <f ca="1">IFERROR(__xludf.DUMMYFUNCTION("""COMPUTED_VALUE"""),"B3_VD_17.mp3")</f>
        <v>B3_VD_17.mp3</v>
      </c>
    </row>
    <row r="1416" spans="1:13">
      <c r="A1416" s="13">
        <f ca="1">IFERROR(__xludf.DUMMYFUNCTION("""COMPUTED_VALUE"""),18)</f>
        <v>18</v>
      </c>
      <c r="B1416" s="13"/>
      <c r="C1416" s="13" t="str">
        <f ca="1">IFERROR(__xludf.DUMMYFUNCTION("""COMPUTED_VALUE"""),"海鲜")</f>
        <v>海鲜</v>
      </c>
      <c r="D1416" s="13" t="str">
        <f ca="1">IFERROR(__xludf.DUMMYFUNCTION("""COMPUTED_VALUE"""),"&lt;ruby&gt;海鲜&lt;rt&gt;hǎixiān&lt;/rt&gt;&lt;/ruby&gt;")</f>
        <v>&lt;ruby&gt;海鲜&lt;rt&gt;hǎixiān&lt;/rt&gt;&lt;/ruby&gt;</v>
      </c>
      <c r="E1416" s="13" t="str">
        <f ca="1">IFERROR(__xludf.DUMMYFUNCTION("""COMPUTED_VALUE"""),"hǎixiān")</f>
        <v>hǎixiān</v>
      </c>
      <c r="F1416" s="13" t="str">
        <f ca="1">IFERROR(__xludf.DUMMYFUNCTION("""COMPUTED_VALUE"""),"Danh từ")</f>
        <v>Danh từ</v>
      </c>
      <c r="G1416" s="13" t="str">
        <f ca="1">IFERROR(__xludf.DUMMYFUNCTION("""COMPUTED_VALUE"""),"hải sản")</f>
        <v>hải sản</v>
      </c>
      <c r="H1416" s="13" t="str">
        <f ca="1">IFERROR(__xludf.DUMMYFUNCTION("""COMPUTED_VALUE"""),"去海边旅游的时候，他吃了很多新鲜的海鲜。")</f>
        <v>去海边旅游的时候，他吃了很多新鲜的海鲜。</v>
      </c>
      <c r="I1416" s="13"/>
      <c r="J1416" s="13" t="str">
        <f ca="1">IFERROR(__xludf.DUMMYFUNCTION("""COMPUTED_VALUE"""),"Khi đi du lịch biển, anh ấy đã ăn rất nhiều hải sản tươi ngon.")</f>
        <v>Khi đi du lịch biển, anh ấy đã ăn rất nhiều hải sản tươi ngon.</v>
      </c>
      <c r="K1416" s="13" t="str">
        <f ca="1">IFERROR(__xludf.DUMMYFUNCTION("""COMPUTED_VALUE"""),"H5_B3_BG-18.png")</f>
        <v>H5_B3_BG-18.png</v>
      </c>
      <c r="L1416" s="13" t="str">
        <f ca="1">IFERROR(__xludf.DUMMYFUNCTION("""COMPUTED_VALUE"""),"B3-18.mp3")</f>
        <v>B3-18.mp3</v>
      </c>
      <c r="M1416" s="13" t="str">
        <f ca="1">IFERROR(__xludf.DUMMYFUNCTION("""COMPUTED_VALUE"""),"B3_VD_18.mp3")</f>
        <v>B3_VD_18.mp3</v>
      </c>
    </row>
    <row r="1417" spans="1:13">
      <c r="A1417" s="13">
        <f ca="1">IFERROR(__xludf.DUMMYFUNCTION("""COMPUTED_VALUE"""),19)</f>
        <v>19</v>
      </c>
      <c r="B1417" s="13"/>
      <c r="C1417" s="13" t="str">
        <f ca="1">IFERROR(__xludf.DUMMYFUNCTION("""COMPUTED_VALUE"""),"勿")</f>
        <v>勿</v>
      </c>
      <c r="D1417" s="13" t="str">
        <f ca="1">IFERROR(__xludf.DUMMYFUNCTION("""COMPUTED_VALUE"""),"&lt;ruby&gt;勿&lt;rt&gt;wù&lt;/rt&gt;&lt;/ruby&gt;")</f>
        <v>&lt;ruby&gt;勿&lt;rt&gt;wù&lt;/rt&gt;&lt;/ruby&gt;</v>
      </c>
      <c r="E1417" s="13" t="str">
        <f ca="1">IFERROR(__xludf.DUMMYFUNCTION("""COMPUTED_VALUE"""),"wù")</f>
        <v>wù</v>
      </c>
      <c r="F1417" s="13" t="str">
        <f ca="1">IFERROR(__xludf.DUMMYFUNCTION("""COMPUTED_VALUE"""),"Phó từ")</f>
        <v>Phó từ</v>
      </c>
      <c r="G1417" s="13" t="str">
        <f ca="1">IFERROR(__xludf.DUMMYFUNCTION("""COMPUTED_VALUE""")," (được dùng trong câu mệnh lệnh) chớ, đừng")</f>
        <v xml:space="preserve"> (được dùng trong câu mệnh lệnh) chớ, đừng</v>
      </c>
      <c r="H1417" s="13" t="str">
        <f ca="1">IFERROR(__xludf.DUMMYFUNCTION("""COMPUTED_VALUE"""),"请勿在图书馆里大声说话。")</f>
        <v>请勿在图书馆里大声说话。</v>
      </c>
      <c r="I1417" s="13"/>
      <c r="J1417" s="13" t="str">
        <f ca="1">IFERROR(__xludf.DUMMYFUNCTION("""COMPUTED_VALUE"""),"Xin đừng nói chuyện lớn tiếng trong thư viện.")</f>
        <v>Xin đừng nói chuyện lớn tiếng trong thư viện.</v>
      </c>
      <c r="K1417" s="13" t="str">
        <f ca="1">IFERROR(__xludf.DUMMYFUNCTION("""COMPUTED_VALUE"""),"H5_B3_BG-19.png")</f>
        <v>H5_B3_BG-19.png</v>
      </c>
      <c r="L1417" s="13" t="str">
        <f ca="1">IFERROR(__xludf.DUMMYFUNCTION("""COMPUTED_VALUE"""),"B3-19.mp3")</f>
        <v>B3-19.mp3</v>
      </c>
      <c r="M1417" s="13" t="str">
        <f ca="1">IFERROR(__xludf.DUMMYFUNCTION("""COMPUTED_VALUE"""),"B3_VD_19.mp3")</f>
        <v>B3_VD_19.mp3</v>
      </c>
    </row>
    <row r="1418" spans="1:13">
      <c r="A1418" s="13">
        <f ca="1">IFERROR(__xludf.DUMMYFUNCTION("""COMPUTED_VALUE"""),20)</f>
        <v>20</v>
      </c>
      <c r="B1418" s="13"/>
      <c r="C1418" s="13" t="str">
        <f ca="1">IFERROR(__xludf.DUMMYFUNCTION("""COMPUTED_VALUE"""),"二手")</f>
        <v>二手</v>
      </c>
      <c r="D1418" s="13" t="str">
        <f ca="1">IFERROR(__xludf.DUMMYFUNCTION("""COMPUTED_VALUE"""),"&lt;ruby&gt;二手&lt;rt&gt;èrshǒu&lt;/rt&gt;&lt;/ruby&gt;")</f>
        <v>&lt;ruby&gt;二手&lt;rt&gt;èrshǒu&lt;/rt&gt;&lt;/ruby&gt;</v>
      </c>
      <c r="E1418" s="13" t="str">
        <f ca="1">IFERROR(__xludf.DUMMYFUNCTION("""COMPUTED_VALUE"""),"èrshǒu")</f>
        <v>èrshǒu</v>
      </c>
      <c r="F1418" s="13" t="str">
        <f ca="1">IFERROR(__xludf.DUMMYFUNCTION("""COMPUTED_VALUE"""),"Tính từ ")</f>
        <v xml:space="preserve">Tính từ </v>
      </c>
      <c r="G1418" s="13" t="str">
        <f ca="1">IFERROR(__xludf.DUMMYFUNCTION("""COMPUTED_VALUE"""),"đã qua sử dụng, second-hand")</f>
        <v>đã qua sử dụng, second-hand</v>
      </c>
      <c r="H1418" s="13" t="str">
        <f ca="1">IFERROR(__xludf.DUMMYFUNCTION("""COMPUTED_VALUE"""),"他买了一辆二手车，因为价格比较便宜。")</f>
        <v>他买了一辆二手车，因为价格比较便宜。</v>
      </c>
      <c r="I1418" s="13"/>
      <c r="J1418" s="13" t="str">
        <f ca="1">IFERROR(__xludf.DUMMYFUNCTION("""COMPUTED_VALUE"""),"Anh ấy mua một chiếc xe cũ vì giá cả tương đối rẻ.")</f>
        <v>Anh ấy mua một chiếc xe cũ vì giá cả tương đối rẻ.</v>
      </c>
      <c r="K1418" s="13" t="str">
        <f ca="1">IFERROR(__xludf.DUMMYFUNCTION("""COMPUTED_VALUE"""),"H5_B3_BG-20.png")</f>
        <v>H5_B3_BG-20.png</v>
      </c>
      <c r="L1418" s="13" t="str">
        <f ca="1">IFERROR(__xludf.DUMMYFUNCTION("""COMPUTED_VALUE"""),"B3-20.mp3")</f>
        <v>B3-20.mp3</v>
      </c>
      <c r="M1418" s="13" t="str">
        <f ca="1">IFERROR(__xludf.DUMMYFUNCTION("""COMPUTED_VALUE"""),"B3_VD_20.mp3")</f>
        <v>B3_VD_20.mp3</v>
      </c>
    </row>
    <row r="1419" spans="1:13">
      <c r="A1419" s="13">
        <f ca="1">IFERROR(__xludf.DUMMYFUNCTION("""COMPUTED_VALUE"""),21)</f>
        <v>21</v>
      </c>
      <c r="B1419" s="13"/>
      <c r="C1419" s="13" t="str">
        <f ca="1">IFERROR(__xludf.DUMMYFUNCTION("""COMPUTED_VALUE"""),"漏")</f>
        <v>漏</v>
      </c>
      <c r="D1419" s="13" t="str">
        <f ca="1">IFERROR(__xludf.DUMMYFUNCTION("""COMPUTED_VALUE"""),"&lt;ruby&gt;漏&lt;rt&gt;lòu&lt;/rt&gt;&lt;/ruby&gt;")</f>
        <v>&lt;ruby&gt;漏&lt;rt&gt;lòu&lt;/rt&gt;&lt;/ruby&gt;</v>
      </c>
      <c r="E1419" s="13" t="str">
        <f ca="1">IFERROR(__xludf.DUMMYFUNCTION("""COMPUTED_VALUE"""),"lòu")</f>
        <v>lòu</v>
      </c>
      <c r="F1419" s="13" t="str">
        <f ca="1">IFERROR(__xludf.DUMMYFUNCTION("""COMPUTED_VALUE"""),"Động từ")</f>
        <v>Động từ</v>
      </c>
      <c r="G1419" s="13" t="str">
        <f ca="1">IFERROR(__xludf.DUMMYFUNCTION("""COMPUTED_VALUE"""),"chảy, rỉ")</f>
        <v>chảy, rỉ</v>
      </c>
      <c r="H1419" s="13" t="str">
        <f ca="1">IFERROR(__xludf.DUMMYFUNCTION("""COMPUTED_VALUE"""),"壶里的水漏光了。")</f>
        <v>壶里的水漏光了。</v>
      </c>
      <c r="I1419" s="13"/>
      <c r="J1419" s="13" t="str">
        <f ca="1">IFERROR(__xludf.DUMMYFUNCTION("""COMPUTED_VALUE"""),"Nước trong ấm chảy hết rồi.")</f>
        <v>Nước trong ấm chảy hết rồi.</v>
      </c>
      <c r="K1419" s="13" t="str">
        <f ca="1">IFERROR(__xludf.DUMMYFUNCTION("""COMPUTED_VALUE"""),"H5_B3_BG-21.png")</f>
        <v>H5_B3_BG-21.png</v>
      </c>
      <c r="L1419" s="13" t="str">
        <f ca="1">IFERROR(__xludf.DUMMYFUNCTION("""COMPUTED_VALUE"""),"B3-21.mp3")</f>
        <v>B3-21.mp3</v>
      </c>
      <c r="M1419" s="13" t="str">
        <f ca="1">IFERROR(__xludf.DUMMYFUNCTION("""COMPUTED_VALUE"""),"B3_VD_21.mp3")</f>
        <v>B3_VD_21.mp3</v>
      </c>
    </row>
    <row r="1420" spans="1:13">
      <c r="A1420" s="13">
        <f ca="1">IFERROR(__xludf.DUMMYFUNCTION("""COMPUTED_VALUE"""),22)</f>
        <v>22</v>
      </c>
      <c r="B1420" s="13"/>
      <c r="C1420" s="13" t="str">
        <f ca="1">IFERROR(__xludf.DUMMYFUNCTION("""COMPUTED_VALUE"""),"平静")</f>
        <v>平静</v>
      </c>
      <c r="D1420" s="13" t="str">
        <f ca="1">IFERROR(__xludf.DUMMYFUNCTION("""COMPUTED_VALUE"""),"&lt;ruby&gt;平静&lt;rt&gt;píngjìng&lt;/rt&gt;&lt;/ruby&gt;")</f>
        <v>&lt;ruby&gt;平静&lt;rt&gt;píngjìng&lt;/rt&gt;&lt;/ruby&gt;</v>
      </c>
      <c r="E1420" s="13" t="str">
        <f ca="1">IFERROR(__xludf.DUMMYFUNCTION("""COMPUTED_VALUE"""),"píngjìng")</f>
        <v>píngjìng</v>
      </c>
      <c r="F1420" s="13" t="str">
        <f ca="1">IFERROR(__xludf.DUMMYFUNCTION("""COMPUTED_VALUE"""),"Tính từ ")</f>
        <v xml:space="preserve">Tính từ </v>
      </c>
      <c r="G1420" s="13" t="str">
        <f ca="1">IFERROR(__xludf.DUMMYFUNCTION("""COMPUTED_VALUE"""),"yên ổn, yên ả")</f>
        <v>yên ổn, yên ả</v>
      </c>
      <c r="H1420" s="13" t="str">
        <f ca="1">IFERROR(__xludf.DUMMYFUNCTION("""COMPUTED_VALUE"""),"平静的湖面没有一丝波澜。")</f>
        <v>平静的湖面没有一丝波澜。</v>
      </c>
      <c r="I1420" s="13"/>
      <c r="J1420" s="13" t="str">
        <f ca="1">IFERROR(__xludf.DUMMYFUNCTION("""COMPUTED_VALUE"""),"Mặt hồ phẳng lặng không có gợn sóng.")</f>
        <v>Mặt hồ phẳng lặng không có gợn sóng.</v>
      </c>
      <c r="K1420" s="13" t="str">
        <f ca="1">IFERROR(__xludf.DUMMYFUNCTION("""COMPUTED_VALUE"""),"H5_B3_BG-22.png")</f>
        <v>H5_B3_BG-22.png</v>
      </c>
      <c r="L1420" s="13" t="str">
        <f ca="1">IFERROR(__xludf.DUMMYFUNCTION("""COMPUTED_VALUE"""),"B3-22.mp3")</f>
        <v>B3-22.mp3</v>
      </c>
      <c r="M1420" s="13" t="str">
        <f ca="1">IFERROR(__xludf.DUMMYFUNCTION("""COMPUTED_VALUE"""),"B3_VD_22.mp3")</f>
        <v>B3_VD_22.mp3</v>
      </c>
    </row>
    <row r="1421" spans="1:13">
      <c r="A1421" s="13">
        <f ca="1">IFERROR(__xludf.DUMMYFUNCTION("""COMPUTED_VALUE"""),23)</f>
        <v>23</v>
      </c>
      <c r="B1421" s="13"/>
      <c r="C1421" s="13" t="str">
        <f ca="1">IFERROR(__xludf.DUMMYFUNCTION("""COMPUTED_VALUE"""),"太太")</f>
        <v>太太</v>
      </c>
      <c r="D1421" s="13" t="str">
        <f ca="1">IFERROR(__xludf.DUMMYFUNCTION("""COMPUTED_VALUE"""),"&lt;ruby&gt;太太&lt;rt&gt;tàitai&lt;/rt&gt;&lt;/ruby&gt;")</f>
        <v>&lt;ruby&gt;太太&lt;rt&gt;tàitai&lt;/rt&gt;&lt;/ruby&gt;</v>
      </c>
      <c r="E1421" s="13" t="str">
        <f ca="1">IFERROR(__xludf.DUMMYFUNCTION("""COMPUTED_VALUE"""),"tàitai")</f>
        <v>tàitai</v>
      </c>
      <c r="F1421" s="13" t="str">
        <f ca="1">IFERROR(__xludf.DUMMYFUNCTION("""COMPUTED_VALUE"""),"Danh từ")</f>
        <v>Danh từ</v>
      </c>
      <c r="G1421" s="13" t="str">
        <f ca="1">IFERROR(__xludf.DUMMYFUNCTION("""COMPUTED_VALUE"""),"vợ")</f>
        <v>vợ</v>
      </c>
      <c r="H1421" s="13" t="str">
        <f ca="1">IFERROR(__xludf.DUMMYFUNCTION("""COMPUTED_VALUE"""),"他的太太怀孕了。")</f>
        <v>他的太太怀孕了。</v>
      </c>
      <c r="I1421" s="13"/>
      <c r="J1421" s="13" t="str">
        <f ca="1">IFERROR(__xludf.DUMMYFUNCTION("""COMPUTED_VALUE"""),"Vợ anh ấy mang bầu rồi.")</f>
        <v>Vợ anh ấy mang bầu rồi.</v>
      </c>
      <c r="K1421" s="13" t="str">
        <f ca="1">IFERROR(__xludf.DUMMYFUNCTION("""COMPUTED_VALUE"""),"H5_B3_BG-23.png")</f>
        <v>H5_B3_BG-23.png</v>
      </c>
      <c r="L1421" s="13" t="str">
        <f ca="1">IFERROR(__xludf.DUMMYFUNCTION("""COMPUTED_VALUE"""),"B3-23.mp3")</f>
        <v>B3-23.mp3</v>
      </c>
      <c r="M1421" s="13" t="str">
        <f ca="1">IFERROR(__xludf.DUMMYFUNCTION("""COMPUTED_VALUE"""),"B3_VD_23.mp3")</f>
        <v>B3_VD_23.mp3</v>
      </c>
    </row>
    <row r="1422" spans="1:13">
      <c r="A1422" s="13">
        <f ca="1">IFERROR(__xludf.DUMMYFUNCTION("""COMPUTED_VALUE"""),24)</f>
        <v>24</v>
      </c>
      <c r="B1422" s="13"/>
      <c r="C1422" s="13" t="str">
        <f ca="1">IFERROR(__xludf.DUMMYFUNCTION("""COMPUTED_VALUE"""),"人生")</f>
        <v>人生</v>
      </c>
      <c r="D1422" s="13" t="str">
        <f ca="1">IFERROR(__xludf.DUMMYFUNCTION("""COMPUTED_VALUE"""),"&lt;ruby&gt;人生&lt;rt&gt;rénshēng&lt;/rt&gt;&lt;/ruby&gt;")</f>
        <v>&lt;ruby&gt;人生&lt;rt&gt;rénshēng&lt;/rt&gt;&lt;/ruby&gt;</v>
      </c>
      <c r="E1422" s="13" t="str">
        <f ca="1">IFERROR(__xludf.DUMMYFUNCTION("""COMPUTED_VALUE"""),"rénshēng")</f>
        <v>rénshēng</v>
      </c>
      <c r="F1422" s="13" t="str">
        <f ca="1">IFERROR(__xludf.DUMMYFUNCTION("""COMPUTED_VALUE"""),"Danh từ")</f>
        <v>Danh từ</v>
      </c>
      <c r="G1422" s="13" t="str">
        <f ca="1">IFERROR(__xludf.DUMMYFUNCTION("""COMPUTED_VALUE"""),"đời nguời")</f>
        <v>đời nguời</v>
      </c>
      <c r="H1422" s="13" t="str">
        <f ca="1">IFERROR(__xludf.DUMMYFUNCTION("""COMPUTED_VALUE"""),"人生有时很难，但要坚持。")</f>
        <v>人生有时很难，但要坚持。</v>
      </c>
      <c r="I1422" s="13"/>
      <c r="J1422" s="13" t="str">
        <f ca="1">IFERROR(__xludf.DUMMYFUNCTION("""COMPUTED_VALUE"""),"Đời người đôi khi rất khó khăn, nhưng phải kiên trì.")</f>
        <v>Đời người đôi khi rất khó khăn, nhưng phải kiên trì.</v>
      </c>
      <c r="K1422" s="13" t="str">
        <f ca="1">IFERROR(__xludf.DUMMYFUNCTION("""COMPUTED_VALUE"""),"H5_B3_BG-24.png")</f>
        <v>H5_B3_BG-24.png</v>
      </c>
      <c r="L1422" s="13" t="str">
        <f ca="1">IFERROR(__xludf.DUMMYFUNCTION("""COMPUTED_VALUE"""),"B3-24.mp3")</f>
        <v>B3-24.mp3</v>
      </c>
      <c r="M1422" s="13" t="str">
        <f ca="1">IFERROR(__xludf.DUMMYFUNCTION("""COMPUTED_VALUE"""),"B3_VD_24.mp3")</f>
        <v>B3_VD_24.mp3</v>
      </c>
    </row>
    <row r="1423" spans="1:13">
      <c r="A1423" s="13">
        <f ca="1">IFERROR(__xludf.DUMMYFUNCTION("""COMPUTED_VALUE"""),25)</f>
        <v>25</v>
      </c>
      <c r="B1423" s="13"/>
      <c r="C1423" s="13" t="str">
        <f ca="1">IFERROR(__xludf.DUMMYFUNCTION("""COMPUTED_VALUE"""),"时代")</f>
        <v>时代</v>
      </c>
      <c r="D1423" s="13" t="str">
        <f ca="1">IFERROR(__xludf.DUMMYFUNCTION("""COMPUTED_VALUE"""),"&lt;ruby&gt;时代&lt;rt&gt;shídài&lt;/rt&gt;&lt;/ruby&gt;")</f>
        <v>&lt;ruby&gt;时代&lt;rt&gt;shídài&lt;/rt&gt;&lt;/ruby&gt;</v>
      </c>
      <c r="E1423" s="13" t="str">
        <f ca="1">IFERROR(__xludf.DUMMYFUNCTION("""COMPUTED_VALUE"""),"shídài")</f>
        <v>shídài</v>
      </c>
      <c r="F1423" s="13" t="str">
        <f ca="1">IFERROR(__xludf.DUMMYFUNCTION("""COMPUTED_VALUE"""),"Danh từ")</f>
        <v>Danh từ</v>
      </c>
      <c r="G1423" s="13" t="str">
        <f ca="1">IFERROR(__xludf.DUMMYFUNCTION("""COMPUTED_VALUE"""),"thời đại")</f>
        <v>thời đại</v>
      </c>
      <c r="H1423" s="13" t="str">
        <f ca="1">IFERROR(__xludf.DUMMYFUNCTION("""COMPUTED_VALUE"""),"现在是信息时代，科技发展非常快。")</f>
        <v>现在是信息时代，科技发展非常快。</v>
      </c>
      <c r="I1423" s="13"/>
      <c r="J1423" s="13" t="str">
        <f ca="1">IFERROR(__xludf.DUMMYFUNCTION("""COMPUTED_VALUE"""),"Hiện nay là thời đại thông tin, công nghệ phát triển rất nhanh.")</f>
        <v>Hiện nay là thời đại thông tin, công nghệ phát triển rất nhanh.</v>
      </c>
      <c r="K1423" s="13" t="str">
        <f ca="1">IFERROR(__xludf.DUMMYFUNCTION("""COMPUTED_VALUE"""),"H5_B3_BG-25.png")</f>
        <v>H5_B3_BG-25.png</v>
      </c>
      <c r="L1423" s="13" t="str">
        <f ca="1">IFERROR(__xludf.DUMMYFUNCTION("""COMPUTED_VALUE"""),"B3-25.mp3")</f>
        <v>B3-25.mp3</v>
      </c>
      <c r="M1423" s="13" t="str">
        <f ca="1">IFERROR(__xludf.DUMMYFUNCTION("""COMPUTED_VALUE"""),"B3_VD_25.mp3")</f>
        <v>B3_VD_25.mp3</v>
      </c>
    </row>
    <row r="1424" spans="1:13">
      <c r="A1424" s="13">
        <f ca="1">IFERROR(__xludf.DUMMYFUNCTION("""COMPUTED_VALUE"""),26)</f>
        <v>26</v>
      </c>
      <c r="B1424" s="13"/>
      <c r="C1424" s="13" t="str">
        <f ca="1">IFERROR(__xludf.DUMMYFUNCTION("""COMPUTED_VALUE"""),"台阶")</f>
        <v>台阶</v>
      </c>
      <c r="D1424" s="13" t="str">
        <f ca="1">IFERROR(__xludf.DUMMYFUNCTION("""COMPUTED_VALUE"""),"&lt;ruby&gt;台阶&lt;rt&gt;táijiē&lt;/rt&gt;&lt;/ruby&gt;")</f>
        <v>&lt;ruby&gt;台阶&lt;rt&gt;táijiē&lt;/rt&gt;&lt;/ruby&gt;</v>
      </c>
      <c r="E1424" s="13" t="str">
        <f ca="1">IFERROR(__xludf.DUMMYFUNCTION("""COMPUTED_VALUE"""),"táijiē")</f>
        <v>táijiē</v>
      </c>
      <c r="F1424" s="13" t="str">
        <f ca="1">IFERROR(__xludf.DUMMYFUNCTION("""COMPUTED_VALUE"""),"Danh từ")</f>
        <v>Danh từ</v>
      </c>
      <c r="G1424" s="13" t="str">
        <f ca="1">IFERROR(__xludf.DUMMYFUNCTION("""COMPUTED_VALUE"""),"bậc thềm")</f>
        <v>bậc thềm</v>
      </c>
      <c r="H1424" s="13" t="str">
        <f ca="1">IFERROR(__xludf.DUMMYFUNCTION("""COMPUTED_VALUE"""),"她坐在台阶上，静静地看着夕阳。")</f>
        <v>她坐在台阶上，静静地看着夕阳。</v>
      </c>
      <c r="I1424" s="13"/>
      <c r="J1424" s="13" t="str">
        <f ca="1">IFERROR(__xludf.DUMMYFUNCTION("""COMPUTED_VALUE""")," Cô ấy ngồi trên bậc thang, lặng lẽ ngắm hoàng hôn.")</f>
        <v xml:space="preserve"> Cô ấy ngồi trên bậc thang, lặng lẽ ngắm hoàng hôn.</v>
      </c>
      <c r="K1424" s="13" t="str">
        <f ca="1">IFERROR(__xludf.DUMMYFUNCTION("""COMPUTED_VALUE"""),"H5_B3_BG-26.png")</f>
        <v>H5_B3_BG-26.png</v>
      </c>
      <c r="L1424" s="13" t="str">
        <f ca="1">IFERROR(__xludf.DUMMYFUNCTION("""COMPUTED_VALUE"""),"B3-26.mp3")</f>
        <v>B3-26.mp3</v>
      </c>
      <c r="M1424" s="13" t="str">
        <f ca="1">IFERROR(__xludf.DUMMYFUNCTION("""COMPUTED_VALUE"""),"B3_VD_26.mp3")</f>
        <v>B3_VD_26.mp3</v>
      </c>
    </row>
    <row r="1425" spans="1:13">
      <c r="A1425" s="13">
        <f ca="1">IFERROR(__xludf.DUMMYFUNCTION("""COMPUTED_VALUE"""),27)</f>
        <v>27</v>
      </c>
      <c r="B1425" s="13"/>
      <c r="C1425" s="13" t="str">
        <f ca="1">IFERROR(__xludf.DUMMYFUNCTION("""COMPUTED_VALUE"""),"拥抱")</f>
        <v>拥抱</v>
      </c>
      <c r="D1425" s="13" t="str">
        <f ca="1">IFERROR(__xludf.DUMMYFUNCTION("""COMPUTED_VALUE"""),"&lt;ruby&gt;拥抱&lt;rt&gt;yōngbào&lt;/rt&gt;&lt;/ruby&gt;")</f>
        <v>&lt;ruby&gt;拥抱&lt;rt&gt;yōngbào&lt;/rt&gt;&lt;/ruby&gt;</v>
      </c>
      <c r="E1425" s="13" t="str">
        <f ca="1">IFERROR(__xludf.DUMMYFUNCTION("""COMPUTED_VALUE"""),"yōngbào")</f>
        <v>yōngbào</v>
      </c>
      <c r="F1425" s="13" t="str">
        <f ca="1">IFERROR(__xludf.DUMMYFUNCTION("""COMPUTED_VALUE"""),"Động từ")</f>
        <v>Động từ</v>
      </c>
      <c r="G1425" s="13" t="str">
        <f ca="1">IFERROR(__xludf.DUMMYFUNCTION("""COMPUTED_VALUE"""),"ôm chặt")</f>
        <v>ôm chặt</v>
      </c>
      <c r="H1425" s="13" t="str">
        <f ca="1">IFERROR(__xludf.DUMMYFUNCTION("""COMPUTED_VALUE"""),"她们给了对方一个温暖的拥抱。")</f>
        <v>她们给了对方一个温暖的拥抱。</v>
      </c>
      <c r="I1425" s="13"/>
      <c r="J1425" s="13" t="str">
        <f ca="1">IFERROR(__xludf.DUMMYFUNCTION("""COMPUTED_VALUE"""),"Họ dành cho nhau một cái ôm ấm áp.")</f>
        <v>Họ dành cho nhau một cái ôm ấm áp.</v>
      </c>
      <c r="K1425" s="13" t="str">
        <f ca="1">IFERROR(__xludf.DUMMYFUNCTION("""COMPUTED_VALUE"""),"H5_B3_BG-27.png")</f>
        <v>H5_B3_BG-27.png</v>
      </c>
      <c r="L1425" s="13" t="str">
        <f ca="1">IFERROR(__xludf.DUMMYFUNCTION("""COMPUTED_VALUE"""),"B3-27.mp3")</f>
        <v>B3-27.mp3</v>
      </c>
      <c r="M1425" s="13" t="str">
        <f ca="1">IFERROR(__xludf.DUMMYFUNCTION("""COMPUTED_VALUE"""),"B3_VD_27.mp3")</f>
        <v>B3_VD_27.mp3</v>
      </c>
    </row>
    <row r="1426" spans="1:13">
      <c r="A1426" s="13">
        <f ca="1">IFERROR(__xludf.DUMMYFUNCTION("""COMPUTED_VALUE"""),28)</f>
        <v>28</v>
      </c>
      <c r="B1426" s="13"/>
      <c r="C1426" s="13" t="str">
        <f ca="1">IFERROR(__xludf.DUMMYFUNCTION("""COMPUTED_VALUE"""),"着火")</f>
        <v>着火</v>
      </c>
      <c r="D1426" s="13" t="str">
        <f ca="1">IFERROR(__xludf.DUMMYFUNCTION("""COMPUTED_VALUE"""),"&lt;ruby&gt;着火&lt;rt&gt;zháo huǒ&lt;/rt&gt;&lt;/ruby&gt;")</f>
        <v>&lt;ruby&gt;着火&lt;rt&gt;zháo huǒ&lt;/rt&gt;&lt;/ruby&gt;</v>
      </c>
      <c r="E1426" s="13" t="str">
        <f ca="1">IFERROR(__xludf.DUMMYFUNCTION("""COMPUTED_VALUE"""),"zháo huǒ")</f>
        <v>zháo huǒ</v>
      </c>
      <c r="F1426" s="13" t="str">
        <f ca="1">IFERROR(__xludf.DUMMYFUNCTION("""COMPUTED_VALUE"""),"Động từ")</f>
        <v>Động từ</v>
      </c>
      <c r="G1426" s="13" t="str">
        <f ca="1">IFERROR(__xludf.DUMMYFUNCTION("""COMPUTED_VALUE"""),"bốc cháy, cháy")</f>
        <v>bốc cháy, cháy</v>
      </c>
      <c r="H1426" s="13" t="str">
        <f ca="1">IFERROR(__xludf.DUMMYFUNCTION("""COMPUTED_VALUE"""),"那堆柴火正在着火。")</f>
        <v>那堆柴火正在着火。</v>
      </c>
      <c r="I1426" s="13"/>
      <c r="J1426" s="13" t="str">
        <f ca="1">IFERROR(__xludf.DUMMYFUNCTION("""COMPUTED_VALUE"""),"Đống củi đó đang bốc cháy.")</f>
        <v>Đống củi đó đang bốc cháy.</v>
      </c>
      <c r="K1426" s="13" t="str">
        <f ca="1">IFERROR(__xludf.DUMMYFUNCTION("""COMPUTED_VALUE"""),"H5_B3_BG-28.png")</f>
        <v>H5_B3_BG-28.png</v>
      </c>
      <c r="L1426" s="13" t="str">
        <f ca="1">IFERROR(__xludf.DUMMYFUNCTION("""COMPUTED_VALUE"""),"B3-28.mp3")</f>
        <v>B3-28.mp3</v>
      </c>
      <c r="M1426" s="13" t="str">
        <f ca="1">IFERROR(__xludf.DUMMYFUNCTION("""COMPUTED_VALUE"""),"B3_VD_28.mp3")</f>
        <v>B3_VD_28.mp3</v>
      </c>
    </row>
    <row r="1427" spans="1:13">
      <c r="A1427" s="13">
        <f ca="1">IFERROR(__xludf.DUMMYFUNCTION("""COMPUTED_VALUE"""),29)</f>
        <v>29</v>
      </c>
      <c r="B1427" s="13"/>
      <c r="C1427" s="13" t="str">
        <f ca="1">IFERROR(__xludf.DUMMYFUNCTION("""COMPUTED_VALUE"""),"撞")</f>
        <v>撞</v>
      </c>
      <c r="D1427" s="13" t="str">
        <f ca="1">IFERROR(__xludf.DUMMYFUNCTION("""COMPUTED_VALUE"""),"&lt;ruby&gt;撞&lt;rt&gt;zhuàng&lt;/rt&gt;&lt;/ruby&gt;")</f>
        <v>&lt;ruby&gt;撞&lt;rt&gt;zhuàng&lt;/rt&gt;&lt;/ruby&gt;</v>
      </c>
      <c r="E1427" s="13" t="str">
        <f ca="1">IFERROR(__xludf.DUMMYFUNCTION("""COMPUTED_VALUE"""),"zhuàng")</f>
        <v>zhuàng</v>
      </c>
      <c r="F1427" s="13" t="str">
        <f ca="1">IFERROR(__xludf.DUMMYFUNCTION("""COMPUTED_VALUE"""),"Động từ")</f>
        <v>Động từ</v>
      </c>
      <c r="G1427" s="13" t="str">
        <f ca="1">IFERROR(__xludf.DUMMYFUNCTION("""COMPUTED_VALUE"""),"đụng, đâm vào")</f>
        <v>đụng, đâm vào</v>
      </c>
      <c r="H1427" s="13" t="str">
        <f ca="1">IFERROR(__xludf.DUMMYFUNCTION("""COMPUTED_VALUE"""),"车子撞到树上了。")</f>
        <v>车子撞到树上了。</v>
      </c>
      <c r="I1427" s="13"/>
      <c r="J1427" s="13" t="str">
        <f ca="1">IFERROR(__xludf.DUMMYFUNCTION("""COMPUTED_VALUE"""),"Xe đâm vào cây rồi.")</f>
        <v>Xe đâm vào cây rồi.</v>
      </c>
      <c r="K1427" s="13" t="str">
        <f ca="1">IFERROR(__xludf.DUMMYFUNCTION("""COMPUTED_VALUE"""),"H5_B3_BG-29.png")</f>
        <v>H5_B3_BG-29.png</v>
      </c>
      <c r="L1427" s="13" t="str">
        <f ca="1">IFERROR(__xludf.DUMMYFUNCTION("""COMPUTED_VALUE"""),"B3-29.mp3")</f>
        <v>B3-29.mp3</v>
      </c>
      <c r="M1427" s="13" t="str">
        <f ca="1">IFERROR(__xludf.DUMMYFUNCTION("""COMPUTED_VALUE"""),"B3_VD_29.mp3")</f>
        <v>B3_VD_29.mp3</v>
      </c>
    </row>
    <row r="1428" spans="1:13">
      <c r="A1428" s="13">
        <f ca="1">IFERROR(__xludf.DUMMYFUNCTION("""COMPUTED_VALUE"""),30)</f>
        <v>30</v>
      </c>
      <c r="B1428" s="13"/>
      <c r="C1428" s="13" t="str">
        <f ca="1">IFERROR(__xludf.DUMMYFUNCTION("""COMPUTED_VALUE"""),"海里")</f>
        <v>海里</v>
      </c>
      <c r="D1428" s="13" t="str">
        <f ca="1">IFERROR(__xludf.DUMMYFUNCTION("""COMPUTED_VALUE"""),"&lt;ruby&gt;海里&lt;rt&gt;hǎilǐ&lt;/rt&gt;&lt;/ruby&gt;")</f>
        <v>&lt;ruby&gt;海里&lt;rt&gt;hǎilǐ&lt;/rt&gt;&lt;/ruby&gt;</v>
      </c>
      <c r="E1428" s="13" t="str">
        <f ca="1">IFERROR(__xludf.DUMMYFUNCTION("""COMPUTED_VALUE"""),"hǎilǐ")</f>
        <v>hǎilǐ</v>
      </c>
      <c r="F1428" s="13" t="str">
        <f ca="1">IFERROR(__xludf.DUMMYFUNCTION("""COMPUTED_VALUE"""),"Lượng từ ")</f>
        <v xml:space="preserve">Lượng từ </v>
      </c>
      <c r="G1428" s="13" t="str">
        <f ca="1">IFERROR(__xludf.DUMMYFUNCTION("""COMPUTED_VALUE"""),"hải lý")</f>
        <v>hải lý</v>
      </c>
      <c r="H1428" s="13" t="str">
        <f ca="1">IFERROR(__xludf.DUMMYFUNCTION("""COMPUTED_VALUE"""),"海里是一个测量距离的单位。")</f>
        <v>海里是一个测量距离的单位。</v>
      </c>
      <c r="I1428" s="13"/>
      <c r="J1428" s="13" t="str">
        <f ca="1">IFERROR(__xludf.DUMMYFUNCTION("""COMPUTED_VALUE"""),"Hải lý là một đơn vị đo khoảng cách.")</f>
        <v>Hải lý là một đơn vị đo khoảng cách.</v>
      </c>
      <c r="K1428" s="13" t="str">
        <f ca="1">IFERROR(__xludf.DUMMYFUNCTION("""COMPUTED_VALUE"""),"H5_B3_BG-30.png")</f>
        <v>H5_B3_BG-30.png</v>
      </c>
      <c r="L1428" s="13" t="str">
        <f ca="1">IFERROR(__xludf.DUMMYFUNCTION("""COMPUTED_VALUE"""),"B3-30.mp3")</f>
        <v>B3-30.mp3</v>
      </c>
      <c r="M1428" s="13" t="str">
        <f ca="1">IFERROR(__xludf.DUMMYFUNCTION("""COMPUTED_VALUE"""),"B3_VD_30.mp3")</f>
        <v>B3_VD_30.mp3</v>
      </c>
    </row>
    <row r="1429" spans="1:13">
      <c r="A1429" s="13">
        <f ca="1">IFERROR(__xludf.DUMMYFUNCTION("""COMPUTED_VALUE"""),31)</f>
        <v>31</v>
      </c>
      <c r="B1429" s="13"/>
      <c r="C1429" s="13" t="str">
        <f ca="1">IFERROR(__xludf.DUMMYFUNCTION("""COMPUTED_VALUE"""),"帆船")</f>
        <v>帆船</v>
      </c>
      <c r="D1429" s="13" t="str">
        <f ca="1">IFERROR(__xludf.DUMMYFUNCTION("""COMPUTED_VALUE"""),"&lt;ruby&gt;帆船&lt;rt&gt;fānchuán&lt;/rt&gt;&lt;/ruby&gt;")</f>
        <v>&lt;ruby&gt;帆船&lt;rt&gt;fānchuán&lt;/rt&gt;&lt;/ruby&gt;</v>
      </c>
      <c r="E1429" s="13" t="str">
        <f ca="1">IFERROR(__xludf.DUMMYFUNCTION("""COMPUTED_VALUE"""),"fānchuán")</f>
        <v>fānchuán</v>
      </c>
      <c r="F1429" s="13" t="str">
        <f ca="1">IFERROR(__xludf.DUMMYFUNCTION("""COMPUTED_VALUE"""),"Danh từ")</f>
        <v>Danh từ</v>
      </c>
      <c r="G1429" s="13" t="str">
        <f ca="1">IFERROR(__xludf.DUMMYFUNCTION("""COMPUTED_VALUE"""),"thuyền buồm")</f>
        <v>thuyền buồm</v>
      </c>
      <c r="H1429" s="13" t="str">
        <f ca="1">IFERROR(__xludf.DUMMYFUNCTION("""COMPUTED_VALUE"""),"我们坐着帆船在海上旅行，欣赏美丽的风景。")</f>
        <v>我们坐着帆船在海上旅行，欣赏美丽的风景。</v>
      </c>
      <c r="I1429" s="13"/>
      <c r="J1429" s="13" t="str">
        <f ca="1">IFERROR(__xludf.DUMMYFUNCTION("""COMPUTED_VALUE"""),"Chúng tôi đi thuyền buồm trên biển, ngắm cảnh đẹp.")</f>
        <v>Chúng tôi đi thuyền buồm trên biển, ngắm cảnh đẹp.</v>
      </c>
      <c r="K1429" s="13" t="str">
        <f ca="1">IFERROR(__xludf.DUMMYFUNCTION("""COMPUTED_VALUE"""),"H5_B3_BG-31.png")</f>
        <v>H5_B3_BG-31.png</v>
      </c>
      <c r="L1429" s="13" t="str">
        <f ca="1">IFERROR(__xludf.DUMMYFUNCTION("""COMPUTED_VALUE"""),"B3-31.mp3")</f>
        <v>B3-31.mp3</v>
      </c>
      <c r="M1429" s="13" t="str">
        <f ca="1">IFERROR(__xludf.DUMMYFUNCTION("""COMPUTED_VALUE"""),"B3_VD_31.mp3")</f>
        <v>B3_VD_31.mp3</v>
      </c>
    </row>
    <row r="1430" spans="1:13">
      <c r="A1430" s="13">
        <f ca="1">IFERROR(__xludf.DUMMYFUNCTION("""COMPUTED_VALUE"""),32)</f>
        <v>32</v>
      </c>
      <c r="B1430" s="13"/>
      <c r="C1430" s="13" t="str">
        <f ca="1">IFERROR(__xludf.DUMMYFUNCTION("""COMPUTED_VALUE"""),"艘")</f>
        <v>艘</v>
      </c>
      <c r="D1430" s="13" t="str">
        <f ca="1">IFERROR(__xludf.DUMMYFUNCTION("""COMPUTED_VALUE"""),"&lt;ruby&gt;艘&lt;rt&gt;sōu&lt;/rt&gt;&lt;/ruby&gt;")</f>
        <v>&lt;ruby&gt;艘&lt;rt&gt;sōu&lt;/rt&gt;&lt;/ruby&gt;</v>
      </c>
      <c r="E1430" s="13" t="str">
        <f ca="1">IFERROR(__xludf.DUMMYFUNCTION("""COMPUTED_VALUE"""),"sōu")</f>
        <v>sōu</v>
      </c>
      <c r="F1430" s="13" t="str">
        <f ca="1">IFERROR(__xludf.DUMMYFUNCTION("""COMPUTED_VALUE"""),"Lượng từ ")</f>
        <v xml:space="preserve">Lượng từ </v>
      </c>
      <c r="G1430" s="13" t="str">
        <f ca="1">IFERROR(__xludf.DUMMYFUNCTION("""COMPUTED_VALUE"""),"(được dùng cho tàu/thuyền) chiếc, con ")</f>
        <v xml:space="preserve">(được dùng cho tàu/thuyền) chiếc, con </v>
      </c>
      <c r="H1430" s="13" t="str">
        <f ca="1">IFERROR(__xludf.DUMMYFUNCTION("""COMPUTED_VALUE"""),"这艘船非常大，可以载很多人。")</f>
        <v>这艘船非常大，可以载很多人。</v>
      </c>
      <c r="I1430" s="13"/>
      <c r="J1430" s="13" t="str">
        <f ca="1">IFERROR(__xludf.DUMMYFUNCTION("""COMPUTED_VALUE"""),"Chiếc tàu này rất lớn, có thể chở được rất nhiều người.")</f>
        <v>Chiếc tàu này rất lớn, có thể chở được rất nhiều người.</v>
      </c>
      <c r="K1430" s="13" t="str">
        <f ca="1">IFERROR(__xludf.DUMMYFUNCTION("""COMPUTED_VALUE"""),"H5_B3_BG-32.png")</f>
        <v>H5_B3_BG-32.png</v>
      </c>
      <c r="L1430" s="13" t="str">
        <f ca="1">IFERROR(__xludf.DUMMYFUNCTION("""COMPUTED_VALUE"""),"B3-32.mp3")</f>
        <v>B3-32.mp3</v>
      </c>
      <c r="M1430" s="13" t="str">
        <f ca="1">IFERROR(__xludf.DUMMYFUNCTION("""COMPUTED_VALUE"""),"B3_VD_32.mp3")</f>
        <v>B3_VD_32.mp3</v>
      </c>
    </row>
    <row r="1431" spans="1:13">
      <c r="A1431" s="13">
        <f ca="1">IFERROR(__xludf.DUMMYFUNCTION("""COMPUTED_VALUE"""),33)</f>
        <v>33</v>
      </c>
      <c r="B1431" s="13"/>
      <c r="C1431" s="13" t="str">
        <f ca="1">IFERROR(__xludf.DUMMYFUNCTION("""COMPUTED_VALUE"""),"航行")</f>
        <v>航行</v>
      </c>
      <c r="D1431" s="13" t="str">
        <f ca="1">IFERROR(__xludf.DUMMYFUNCTION("""COMPUTED_VALUE"""),"&lt;ruby&gt;航行&lt;rt&gt;hángxíng&lt;/rt&gt;&lt;/ruby&gt;")</f>
        <v>&lt;ruby&gt;航行&lt;rt&gt;hángxíng&lt;/rt&gt;&lt;/ruby&gt;</v>
      </c>
      <c r="E1431" s="13" t="str">
        <f ca="1">IFERROR(__xludf.DUMMYFUNCTION("""COMPUTED_VALUE"""),"hángxíng")</f>
        <v>hángxíng</v>
      </c>
      <c r="F1431" s="13" t="str">
        <f ca="1">IFERROR(__xludf.DUMMYFUNCTION("""COMPUTED_VALUE"""),"Động từ")</f>
        <v>Động từ</v>
      </c>
      <c r="G1431" s="13" t="str">
        <f ca="1">IFERROR(__xludf.DUMMYFUNCTION("""COMPUTED_VALUE"""),"đi tàu thủy, đi thuyền buồm, giong thuyền")</f>
        <v>đi tàu thủy, đi thuyền buồm, giong thuyền</v>
      </c>
      <c r="H1431" s="13" t="str">
        <f ca="1">IFERROR(__xludf.DUMMYFUNCTION("""COMPUTED_VALUE"""),"这艘船已经在海上航行了三天了。")</f>
        <v>这艘船已经在海上航行了三天了。</v>
      </c>
      <c r="I1431" s="13"/>
      <c r="J1431" s="13" t="str">
        <f ca="1">IFERROR(__xludf.DUMMYFUNCTION("""COMPUTED_VALUE"""),"Con tàu này đã đi trên biển được ba ngày rồi.")</f>
        <v>Con tàu này đã đi trên biển được ba ngày rồi.</v>
      </c>
      <c r="K1431" s="13" t="str">
        <f ca="1">IFERROR(__xludf.DUMMYFUNCTION("""COMPUTED_VALUE"""),"H5_B3_BG-33.png")</f>
        <v>H5_B3_BG-33.png</v>
      </c>
      <c r="L1431" s="13" t="str">
        <f ca="1">IFERROR(__xludf.DUMMYFUNCTION("""COMPUTED_VALUE"""),"B3-33.mp3")</f>
        <v>B3-33.mp3</v>
      </c>
      <c r="M1431" s="13" t="str">
        <f ca="1">IFERROR(__xludf.DUMMYFUNCTION("""COMPUTED_VALUE"""),"B3_VD_33.mp3")</f>
        <v>B3_VD_33.mp3</v>
      </c>
    </row>
    <row r="1432" spans="1:13">
      <c r="A1432" s="13">
        <f ca="1">IFERROR(__xludf.DUMMYFUNCTION("""COMPUTED_VALUE"""),34)</f>
        <v>34</v>
      </c>
      <c r="B1432" s="13"/>
      <c r="C1432" s="13" t="str">
        <f ca="1">IFERROR(__xludf.DUMMYFUNCTION("""COMPUTED_VALUE"""),"闪电")</f>
        <v>闪电</v>
      </c>
      <c r="D1432" s="13" t="str">
        <f ca="1">IFERROR(__xludf.DUMMYFUNCTION("""COMPUTED_VALUE"""),"&lt;ruby&gt;闪电&lt;rt&gt;shǎndiàn&lt;/rt&gt;&lt;/ruby&gt;")</f>
        <v>&lt;ruby&gt;闪电&lt;rt&gt;shǎndiàn&lt;/rt&gt;&lt;/ruby&gt;</v>
      </c>
      <c r="E1432" s="13" t="str">
        <f ca="1">IFERROR(__xludf.DUMMYFUNCTION("""COMPUTED_VALUE"""),"shǎndiàn")</f>
        <v>shǎndiàn</v>
      </c>
      <c r="F1432" s="13" t="str">
        <f ca="1">IFERROR(__xludf.DUMMYFUNCTION("""COMPUTED_VALUE"""),"Danh từ")</f>
        <v>Danh từ</v>
      </c>
      <c r="G1432" s="13" t="str">
        <f ca="1">IFERROR(__xludf.DUMMYFUNCTION("""COMPUTED_VALUE"""),"chớp")</f>
        <v>chớp</v>
      </c>
      <c r="H1432" s="13" t="str">
        <f ca="1">IFERROR(__xludf.DUMMYFUNCTION("""COMPUTED_VALUE"""),"昨晚雷雨很大，天上不停地闪电。")</f>
        <v>昨晚雷雨很大，天上不停地闪电。</v>
      </c>
      <c r="I1432" s="13"/>
      <c r="J1432" s="13" t="str">
        <f ca="1">IFERROR(__xludf.DUMMYFUNCTION("""COMPUTED_VALUE"""),"Tối qua có cơn mưa giông lớn, trên trời chớp liên tục.")</f>
        <v>Tối qua có cơn mưa giông lớn, trên trời chớp liên tục.</v>
      </c>
      <c r="K1432" s="13" t="str">
        <f ca="1">IFERROR(__xludf.DUMMYFUNCTION("""COMPUTED_VALUE"""),"H5_B3_BG-34.png")</f>
        <v>H5_B3_BG-34.png</v>
      </c>
      <c r="L1432" s="13" t="str">
        <f ca="1">IFERROR(__xludf.DUMMYFUNCTION("""COMPUTED_VALUE"""),"B3-34.mp3")</f>
        <v>B3-34.mp3</v>
      </c>
      <c r="M1432" s="13" t="str">
        <f ca="1">IFERROR(__xludf.DUMMYFUNCTION("""COMPUTED_VALUE"""),"B3_VD_34.mp3")</f>
        <v>B3_VD_34.mp3</v>
      </c>
    </row>
    <row r="1433" spans="1:13">
      <c r="A1433" s="13">
        <f ca="1">IFERROR(__xludf.DUMMYFUNCTION("""COMPUTED_VALUE"""),35)</f>
        <v>35</v>
      </c>
      <c r="B1433" s="13"/>
      <c r="C1433" s="13" t="str">
        <f ca="1">IFERROR(__xludf.DUMMYFUNCTION("""COMPUTED_VALUE"""),"积蓄")</f>
        <v>积蓄</v>
      </c>
      <c r="D1433" s="13" t="str">
        <f ca="1">IFERROR(__xludf.DUMMYFUNCTION("""COMPUTED_VALUE"""),"&lt;ruby&gt;积蓄&lt;rt&gt;jīxù&lt;/rt&gt;&lt;/ruby&gt;")</f>
        <v>&lt;ruby&gt;积蓄&lt;rt&gt;jīxù&lt;/rt&gt;&lt;/ruby&gt;</v>
      </c>
      <c r="E1433" s="13" t="str">
        <f ca="1">IFERROR(__xludf.DUMMYFUNCTION("""COMPUTED_VALUE"""),"jīxù")</f>
        <v>jīxù</v>
      </c>
      <c r="F1433" s="13" t="str">
        <f ca="1">IFERROR(__xludf.DUMMYFUNCTION("""COMPUTED_VALUE"""),"Danh từ/Động từ")</f>
        <v>Danh từ/Động từ</v>
      </c>
      <c r="G1433" s="13" t="str">
        <f ca="1">IFERROR(__xludf.DUMMYFUNCTION("""COMPUTED_VALUE"""),"tiền để dành; dành dụm")</f>
        <v>tiền để dành; dành dụm</v>
      </c>
      <c r="H1433" s="13" t="str">
        <f ca="1">IFERROR(__xludf.DUMMYFUNCTION("""COMPUTED_VALUE"""),"妹妹把存下来的积蓄放进储蓄罐里。")</f>
        <v>妹妹把存下来的积蓄放进储蓄罐里。</v>
      </c>
      <c r="I1433" s="13"/>
      <c r="J1433" s="13" t="str">
        <f ca="1">IFERROR(__xludf.DUMMYFUNCTION("""COMPUTED_VALUE"""),"Em gái đút tiền tích kiệm vào trong con heo đất.")</f>
        <v>Em gái đút tiền tích kiệm vào trong con heo đất.</v>
      </c>
      <c r="K1433" s="13" t="str">
        <f ca="1">IFERROR(__xludf.DUMMYFUNCTION("""COMPUTED_VALUE"""),"H5_B3_BG-35.png")</f>
        <v>H5_B3_BG-35.png</v>
      </c>
      <c r="L1433" s="13" t="str">
        <f ca="1">IFERROR(__xludf.DUMMYFUNCTION("""COMPUTED_VALUE"""),"B3-35.mp3")</f>
        <v>B3-35.mp3</v>
      </c>
      <c r="M1433" s="13" t="str">
        <f ca="1">IFERROR(__xludf.DUMMYFUNCTION("""COMPUTED_VALUE"""),"B3_VD_35.mp3")</f>
        <v>B3_VD_35.mp3</v>
      </c>
    </row>
    <row r="1434" spans="1:13">
      <c r="A1434" s="13">
        <f ca="1">IFERROR(__xludf.DUMMYFUNCTION("""COMPUTED_VALUE"""),36)</f>
        <v>36</v>
      </c>
      <c r="B1434" s="13"/>
      <c r="C1434" s="13" t="str">
        <f ca="1">IFERROR(__xludf.DUMMYFUNCTION("""COMPUTED_VALUE"""),"傍晚")</f>
        <v>傍晚</v>
      </c>
      <c r="D1434" s="13" t="str">
        <f ca="1">IFERROR(__xludf.DUMMYFUNCTION("""COMPUTED_VALUE"""),"&lt;ruby&gt;傍晚&lt;rt&gt;bàngwăn&lt;/rt&gt;&lt;/ruby&gt;")</f>
        <v>&lt;ruby&gt;傍晚&lt;rt&gt;bàngwăn&lt;/rt&gt;&lt;/ruby&gt;</v>
      </c>
      <c r="E1434" s="13" t="str">
        <f ca="1">IFERROR(__xludf.DUMMYFUNCTION("""COMPUTED_VALUE"""),"bàngwăn")</f>
        <v>bàngwăn</v>
      </c>
      <c r="F1434" s="13" t="str">
        <f ca="1">IFERROR(__xludf.DUMMYFUNCTION("""COMPUTED_VALUE"""),"Danh từ")</f>
        <v>Danh từ</v>
      </c>
      <c r="G1434" s="13" t="str">
        <f ca="1">IFERROR(__xludf.DUMMYFUNCTION("""COMPUTED_VALUE"""),"hoàng hôn, lúc chạng vạng")</f>
        <v>hoàng hôn, lúc chạng vạng</v>
      </c>
      <c r="H1434" s="13" t="str">
        <f ca="1">IFERROR(__xludf.DUMMYFUNCTION("""COMPUTED_VALUE"""),"今天的傍晚真美。")</f>
        <v>今天的傍晚真美。</v>
      </c>
      <c r="I1434" s="13"/>
      <c r="J1434" s="13" t="str">
        <f ca="1">IFERROR(__xludf.DUMMYFUNCTION("""COMPUTED_VALUE"""),"Cảnh hoàng hôn hôm nay thật đẹp.")</f>
        <v>Cảnh hoàng hôn hôm nay thật đẹp.</v>
      </c>
      <c r="K1434" s="13" t="str">
        <f ca="1">IFERROR(__xludf.DUMMYFUNCTION("""COMPUTED_VALUE"""),"H5_B3_BG-36.png")</f>
        <v>H5_B3_BG-36.png</v>
      </c>
      <c r="L1434" s="13" t="str">
        <f ca="1">IFERROR(__xludf.DUMMYFUNCTION("""COMPUTED_VALUE"""),"B3-36.mp3")</f>
        <v>B3-36.mp3</v>
      </c>
      <c r="M1434" s="13" t="str">
        <f ca="1">IFERROR(__xludf.DUMMYFUNCTION("""COMPUTED_VALUE"""),"B3_VD_36.mp3")</f>
        <v>B3_VD_36.mp3</v>
      </c>
    </row>
    <row r="1435" spans="1:13">
      <c r="A1435" s="13">
        <f ca="1">IFERROR(__xludf.DUMMYFUNCTION("""COMPUTED_VALUE"""),37)</f>
        <v>37</v>
      </c>
      <c r="B1435" s="13"/>
      <c r="C1435" s="13" t="str">
        <f ca="1">IFERROR(__xludf.DUMMYFUNCTION("""COMPUTED_VALUE"""),"彩虹")</f>
        <v>彩虹</v>
      </c>
      <c r="D1435" s="13" t="str">
        <f ca="1">IFERROR(__xludf.DUMMYFUNCTION("""COMPUTED_VALUE"""),"&lt;ruby&gt;彩虹&lt;rt&gt;cǎihóng&lt;/rt&gt;&lt;/ruby&gt;")</f>
        <v>&lt;ruby&gt;彩虹&lt;rt&gt;cǎihóng&lt;/rt&gt;&lt;/ruby&gt;</v>
      </c>
      <c r="E1435" s="13" t="str">
        <f ca="1">IFERROR(__xludf.DUMMYFUNCTION("""COMPUTED_VALUE"""),"cǎihóng")</f>
        <v>cǎihóng</v>
      </c>
      <c r="F1435" s="13" t="str">
        <f ca="1">IFERROR(__xludf.DUMMYFUNCTION("""COMPUTED_VALUE"""),"Danh từ")</f>
        <v>Danh từ</v>
      </c>
      <c r="G1435" s="13" t="str">
        <f ca="1">IFERROR(__xludf.DUMMYFUNCTION("""COMPUTED_VALUE"""),"cầu vồng")</f>
        <v>cầu vồng</v>
      </c>
      <c r="H1435" s="13" t="str">
        <f ca="1">IFERROR(__xludf.DUMMYFUNCTION("""COMPUTED_VALUE"""),"雨后，天空出现了一道美丽的彩虹。")</f>
        <v>雨后，天空出现了一道美丽的彩虹。</v>
      </c>
      <c r="I1435" s="13"/>
      <c r="J1435" s="13" t="str">
        <f ca="1">IFERROR(__xludf.DUMMYFUNCTION("""COMPUTED_VALUE"""),"Sau cơn mưa, bầu trời xuất hiện một cầu vồng tuyệt đẹp.")</f>
        <v>Sau cơn mưa, bầu trời xuất hiện một cầu vồng tuyệt đẹp.</v>
      </c>
      <c r="K1435" s="13" t="str">
        <f ca="1">IFERROR(__xludf.DUMMYFUNCTION("""COMPUTED_VALUE"""),"H5_B3_BG-37.png")</f>
        <v>H5_B3_BG-37.png</v>
      </c>
      <c r="L1435" s="13" t="str">
        <f ca="1">IFERROR(__xludf.DUMMYFUNCTION("""COMPUTED_VALUE"""),"B3-37.mp3")</f>
        <v>B3-37.mp3</v>
      </c>
      <c r="M1435" s="13" t="str">
        <f ca="1">IFERROR(__xludf.DUMMYFUNCTION("""COMPUTED_VALUE"""),"B3_VD_37.mp3")</f>
        <v>B3_VD_37.mp3</v>
      </c>
    </row>
    <row r="1436" spans="1:13">
      <c r="A1436" s="13">
        <f ca="1">IFERROR(__xludf.DUMMYFUNCTION("""COMPUTED_VALUE"""),38)</f>
        <v>38</v>
      </c>
      <c r="B1436" s="13"/>
      <c r="C1436" s="13" t="str">
        <f ca="1">IFERROR(__xludf.DUMMYFUNCTION("""COMPUTED_VALUE"""),"陆地")</f>
        <v>陆地</v>
      </c>
      <c r="D1436" s="13" t="str">
        <f ca="1">IFERROR(__xludf.DUMMYFUNCTION("""COMPUTED_VALUE"""),"&lt;ruby&gt;陆地&lt;rt&gt;lùdì&lt;/rt&gt;&lt;/ruby&gt;")</f>
        <v>&lt;ruby&gt;陆地&lt;rt&gt;lùdì&lt;/rt&gt;&lt;/ruby&gt;</v>
      </c>
      <c r="E1436" s="13" t="str">
        <f ca="1">IFERROR(__xludf.DUMMYFUNCTION("""COMPUTED_VALUE"""),"lùdì")</f>
        <v>lùdì</v>
      </c>
      <c r="F1436" s="13" t="str">
        <f ca="1">IFERROR(__xludf.DUMMYFUNCTION("""COMPUTED_VALUE"""),"Danh từ")</f>
        <v>Danh từ</v>
      </c>
      <c r="G1436" s="13" t="str">
        <f ca="1">IFERROR(__xludf.DUMMYFUNCTION("""COMPUTED_VALUE"""),"đất liền")</f>
        <v>đất liền</v>
      </c>
      <c r="H1436" s="13" t="str">
        <f ca="1">IFERROR(__xludf.DUMMYFUNCTION("""COMPUTED_VALUE"""),"飞机终于降落在陆地上了。")</f>
        <v>飞机终于降落在陆地上了。</v>
      </c>
      <c r="I1436" s="13"/>
      <c r="J1436" s="13" t="str">
        <f ca="1">IFERROR(__xludf.DUMMYFUNCTION("""COMPUTED_VALUE"""),"Máy bay cuối cùng đã hạ cánh xuống đất liền.")</f>
        <v>Máy bay cuối cùng đã hạ cánh xuống đất liền.</v>
      </c>
      <c r="K1436" s="13" t="str">
        <f ca="1">IFERROR(__xludf.DUMMYFUNCTION("""COMPUTED_VALUE"""),"H5_B3_BG-38.png")</f>
        <v>H5_B3_BG-38.png</v>
      </c>
      <c r="L1436" s="13" t="str">
        <f ca="1">IFERROR(__xludf.DUMMYFUNCTION("""COMPUTED_VALUE"""),"B3-38.mp3")</f>
        <v>B3-38.mp3</v>
      </c>
      <c r="M1436" s="13" t="str">
        <f ca="1">IFERROR(__xludf.DUMMYFUNCTION("""COMPUTED_VALUE"""),"B3_VD_38.mp3")</f>
        <v>B3_VD_38.mp3</v>
      </c>
    </row>
    <row r="1437" spans="1:13">
      <c r="A1437" s="13">
        <f ca="1">IFERROR(__xludf.DUMMYFUNCTION("""COMPUTED_VALUE"""),39)</f>
        <v>39</v>
      </c>
      <c r="B1437" s="13"/>
      <c r="C1437" s="13" t="str">
        <f ca="1">IFERROR(__xludf.DUMMYFUNCTION("""COMPUTED_VALUE"""),"雷")</f>
        <v>雷</v>
      </c>
      <c r="D1437" s="13" t="str">
        <f ca="1">IFERROR(__xludf.DUMMYFUNCTION("""COMPUTED_VALUE"""),"&lt;ruby&gt;雷&lt;rt&gt;léi&lt;/rt&gt;&lt;/ruby&gt;")</f>
        <v>&lt;ruby&gt;雷&lt;rt&gt;léi&lt;/rt&gt;&lt;/ruby&gt;</v>
      </c>
      <c r="E1437" s="13" t="str">
        <f ca="1">IFERROR(__xludf.DUMMYFUNCTION("""COMPUTED_VALUE"""),"léi")</f>
        <v>léi</v>
      </c>
      <c r="F1437" s="13" t="str">
        <f ca="1">IFERROR(__xludf.DUMMYFUNCTION("""COMPUTED_VALUE"""),"Danh từ")</f>
        <v>Danh từ</v>
      </c>
      <c r="G1437" s="13" t="str">
        <f ca="1">IFERROR(__xludf.DUMMYFUNCTION("""COMPUTED_VALUE"""),"sấm")</f>
        <v>sấm</v>
      </c>
      <c r="H1437" s="13" t="str">
        <f ca="1">IFERROR(__xludf.DUMMYFUNCTION("""COMPUTED_VALUE"""),"打雷的时候，最好不要站在树下。")</f>
        <v>打雷的时候，最好不要站在树下。</v>
      </c>
      <c r="I1437" s="13"/>
      <c r="J1437" s="13" t="str">
        <f ca="1">IFERROR(__xludf.DUMMYFUNCTION("""COMPUTED_VALUE"""),"Khi có sấm sét, tốt nhất không nên đứng dưới gốc cây.")</f>
        <v>Khi có sấm sét, tốt nhất không nên đứng dưới gốc cây.</v>
      </c>
      <c r="K1437" s="13" t="str">
        <f ca="1">IFERROR(__xludf.DUMMYFUNCTION("""COMPUTED_VALUE"""),"H5_B3_BG-39.png")</f>
        <v>H5_B3_BG-39.png</v>
      </c>
      <c r="L1437" s="13" t="str">
        <f ca="1">IFERROR(__xludf.DUMMYFUNCTION("""COMPUTED_VALUE"""),"B3-39.mp3")</f>
        <v>B3-39.mp3</v>
      </c>
      <c r="M1437" s="13" t="str">
        <f ca="1">IFERROR(__xludf.DUMMYFUNCTION("""COMPUTED_VALUE"""),"B3_VD_39.mp3")</f>
        <v>B3_VD_39.mp3</v>
      </c>
    </row>
    <row r="1438" spans="1:13">
      <c r="A1438" s="13">
        <f ca="1">IFERROR(__xludf.DUMMYFUNCTION("""COMPUTED_VALUE"""),40)</f>
        <v>40</v>
      </c>
      <c r="B1438" s="13"/>
      <c r="C1438" s="13" t="str">
        <f ca="1">IFERROR(__xludf.DUMMYFUNCTION("""COMPUTED_VALUE"""),"驾驶")</f>
        <v>驾驶</v>
      </c>
      <c r="D1438" s="13" t="str">
        <f ca="1">IFERROR(__xludf.DUMMYFUNCTION("""COMPUTED_VALUE"""),"&lt;ruby&gt;驾驶&lt;rt&gt;jiàshǐ&lt;/rt&gt;&lt;/ruby&gt;")</f>
        <v>&lt;ruby&gt;驾驶&lt;rt&gt;jiàshǐ&lt;/rt&gt;&lt;/ruby&gt;</v>
      </c>
      <c r="E1438" s="13" t="str">
        <f ca="1">IFERROR(__xludf.DUMMYFUNCTION("""COMPUTED_VALUE"""),"jiàshǐ")</f>
        <v>jiàshǐ</v>
      </c>
      <c r="F1438" s="13" t="str">
        <f ca="1">IFERROR(__xludf.DUMMYFUNCTION("""COMPUTED_VALUE"""),"Động từ")</f>
        <v>Động từ</v>
      </c>
      <c r="G1438" s="13" t="str">
        <f ca="1">IFERROR(__xludf.DUMMYFUNCTION("""COMPUTED_VALUE"""),"điều khiển")</f>
        <v>điều khiển</v>
      </c>
      <c r="H1438" s="13" t="str">
        <f ca="1">IFERROR(__xludf.DUMMYFUNCTION("""COMPUTED_VALUE"""),"她正在学习如何驾驶。")</f>
        <v>她正在学习如何驾驶。</v>
      </c>
      <c r="I1438" s="13"/>
      <c r="J1438" s="13" t="str">
        <f ca="1">IFERROR(__xludf.DUMMYFUNCTION("""COMPUTED_VALUE"""),"Cô ấy đang học cách lái xe.")</f>
        <v>Cô ấy đang học cách lái xe.</v>
      </c>
      <c r="K1438" s="13" t="str">
        <f ca="1">IFERROR(__xludf.DUMMYFUNCTION("""COMPUTED_VALUE"""),"H5_B3_BG-40.png")</f>
        <v>H5_B3_BG-40.png</v>
      </c>
      <c r="L1438" s="13" t="str">
        <f ca="1">IFERROR(__xludf.DUMMYFUNCTION("""COMPUTED_VALUE"""),"B3-40.mp3")</f>
        <v>B3-40.mp3</v>
      </c>
      <c r="M1438" s="13" t="str">
        <f ca="1">IFERROR(__xludf.DUMMYFUNCTION("""COMPUTED_VALUE"""),"B3_VD_40.mp3")</f>
        <v>B3_VD_40.mp3</v>
      </c>
    </row>
    <row r="1439" spans="1:13">
      <c r="A1439" s="13">
        <f ca="1">IFERROR(__xludf.DUMMYFUNCTION("""COMPUTED_VALUE"""),41)</f>
        <v>41</v>
      </c>
      <c r="B1439" s="13"/>
      <c r="C1439" s="13" t="str">
        <f ca="1">IFERROR(__xludf.DUMMYFUNCTION("""COMPUTED_VALUE"""),"击")</f>
        <v>击</v>
      </c>
      <c r="D1439" s="13" t="str">
        <f ca="1">IFERROR(__xludf.DUMMYFUNCTION("""COMPUTED_VALUE"""),"&lt;ruby&gt;击&lt;rt&gt;jī&lt;/rt&gt;&lt;/ruby&gt;")</f>
        <v>&lt;ruby&gt;击&lt;rt&gt;jī&lt;/rt&gt;&lt;/ruby&gt;</v>
      </c>
      <c r="E1439" s="13" t="str">
        <f ca="1">IFERROR(__xludf.DUMMYFUNCTION("""COMPUTED_VALUE"""),"jī")</f>
        <v>jī</v>
      </c>
      <c r="F1439" s="13" t="str">
        <f ca="1">IFERROR(__xludf.DUMMYFUNCTION("""COMPUTED_VALUE"""),"Động từ")</f>
        <v>Động từ</v>
      </c>
      <c r="G1439" s="13" t="str">
        <f ca="1">IFERROR(__xludf.DUMMYFUNCTION("""COMPUTED_VALUE"""),"đánh")</f>
        <v>đánh</v>
      </c>
      <c r="H1439" s="13" t="str">
        <f ca="1">IFERROR(__xludf.DUMMYFUNCTION("""COMPUTED_VALUE"""),"闪电击中了大树。")</f>
        <v>闪电击中了大树。</v>
      </c>
      <c r="I1439" s="13"/>
      <c r="J1439" s="13" t="str">
        <f ca="1">IFERROR(__xludf.DUMMYFUNCTION("""COMPUTED_VALUE"""),"Sấm sét đánh trúng cây lớn.")</f>
        <v>Sấm sét đánh trúng cây lớn.</v>
      </c>
      <c r="K1439" s="13" t="str">
        <f ca="1">IFERROR(__xludf.DUMMYFUNCTION("""COMPUTED_VALUE"""),"H5_B3_BG-41.png")</f>
        <v>H5_B3_BG-41.png</v>
      </c>
      <c r="L1439" s="13" t="str">
        <f ca="1">IFERROR(__xludf.DUMMYFUNCTION("""COMPUTED_VALUE"""),"B3-41.mp3")</f>
        <v>B3-41.mp3</v>
      </c>
      <c r="M1439" s="13" t="str">
        <f ca="1">IFERROR(__xludf.DUMMYFUNCTION("""COMPUTED_VALUE"""),"B3_VD_41.mp3")</f>
        <v>B3_VD_41.mp3</v>
      </c>
    </row>
    <row r="1440" spans="1:13">
      <c r="A1440" s="13">
        <f ca="1">IFERROR(__xludf.DUMMYFUNCTION("""COMPUTED_VALUE"""),1)</f>
        <v>1</v>
      </c>
      <c r="B1440" s="13"/>
      <c r="C1440" s="13" t="str">
        <f ca="1">IFERROR(__xludf.DUMMYFUNCTION("""COMPUTED_VALUE"""),"背")</f>
        <v>背</v>
      </c>
      <c r="D1440" s="13" t="str">
        <f ca="1">IFERROR(__xludf.DUMMYFUNCTION("""COMPUTED_VALUE"""),"&lt;ruby&gt;背&lt;rt&gt;bēi&lt;/rt&gt;&lt;/ruby&gt;")</f>
        <v>&lt;ruby&gt;背&lt;rt&gt;bēi&lt;/rt&gt;&lt;/ruby&gt;</v>
      </c>
      <c r="E1440" s="13" t="str">
        <f ca="1">IFERROR(__xludf.DUMMYFUNCTION("""COMPUTED_VALUE"""),"bēi")</f>
        <v>bēi</v>
      </c>
      <c r="F1440" s="13" t="str">
        <f ca="1">IFERROR(__xludf.DUMMYFUNCTION("""COMPUTED_VALUE"""),"Động từ")</f>
        <v>Động từ</v>
      </c>
      <c r="G1440" s="13" t="str">
        <f ca="1">IFERROR(__xludf.DUMMYFUNCTION("""COMPUTED_VALUE"""),"vác, cõng")</f>
        <v>vác, cõng</v>
      </c>
      <c r="H1440" s="13" t="str">
        <f ca="1">IFERROR(__xludf.DUMMYFUNCTION("""COMPUTED_VALUE"""),"我背书包去学校。
")</f>
        <v xml:space="preserve">我背书包去学校。
</v>
      </c>
      <c r="I1440" s="13"/>
      <c r="J1440" s="13" t="str">
        <f ca="1">IFERROR(__xludf.DUMMYFUNCTION("""COMPUTED_VALUE"""),"Tôi mang cặp sách đến trường.")</f>
        <v>Tôi mang cặp sách đến trường.</v>
      </c>
      <c r="K1440" s="13" t="str">
        <f ca="1">IFERROR(__xludf.DUMMYFUNCTION("""COMPUTED_VALUE"""),"H5_B4_BG-01.png")</f>
        <v>H5_B4_BG-01.png</v>
      </c>
      <c r="L1440" s="13" t="str">
        <f ca="1">IFERROR(__xludf.DUMMYFUNCTION("""COMPUTED_VALUE"""),"B4-01.mp3")</f>
        <v>B4-01.mp3</v>
      </c>
      <c r="M1440" s="13" t="str">
        <f ca="1">IFERROR(__xludf.DUMMYFUNCTION("""COMPUTED_VALUE"""),"B4_VD_1.mp3")</f>
        <v>B4_VD_1.mp3</v>
      </c>
    </row>
    <row r="1441" spans="1:13">
      <c r="A1441" s="13">
        <f ca="1">IFERROR(__xludf.DUMMYFUNCTION("""COMPUTED_VALUE"""),2)</f>
        <v>2</v>
      </c>
      <c r="B1441" s="13"/>
      <c r="C1441" s="13" t="str">
        <f ca="1">IFERROR(__xludf.DUMMYFUNCTION("""COMPUTED_VALUE"""),"本领")</f>
        <v>本领</v>
      </c>
      <c r="D1441" s="13" t="str">
        <f ca="1">IFERROR(__xludf.DUMMYFUNCTION("""COMPUTED_VALUE"""),"&lt;ruby&gt;本领&lt;rt&gt;běnlǐng&lt;/rt&gt;&lt;/ruby&gt;")</f>
        <v>&lt;ruby&gt;本领&lt;rt&gt;běnlǐng&lt;/rt&gt;&lt;/ruby&gt;</v>
      </c>
      <c r="E1441" s="13" t="str">
        <f ca="1">IFERROR(__xludf.DUMMYFUNCTION("""COMPUTED_VALUE"""),"běnlǐng")</f>
        <v>běnlǐng</v>
      </c>
      <c r="F1441" s="13" t="str">
        <f ca="1">IFERROR(__xludf.DUMMYFUNCTION("""COMPUTED_VALUE"""),"Danh từ")</f>
        <v>Danh từ</v>
      </c>
      <c r="G1441" s="13" t="str">
        <f ca="1">IFERROR(__xludf.DUMMYFUNCTION("""COMPUTED_VALUE"""),"bản lĩnh, năng lực")</f>
        <v>bản lĩnh, năng lực</v>
      </c>
      <c r="H1441" s="13" t="str">
        <f ca="1">IFERROR(__xludf.DUMMYFUNCTION("""COMPUTED_VALUE"""),"她的本领很特别。
")</f>
        <v xml:space="preserve">她的本领很特别。
</v>
      </c>
      <c r="I1441" s="13"/>
      <c r="J1441" s="13" t="str">
        <f ca="1">IFERROR(__xludf.DUMMYFUNCTION("""COMPUTED_VALUE"""),"Tài năng của cô ấy rất đặc biệt.")</f>
        <v>Tài năng của cô ấy rất đặc biệt.</v>
      </c>
      <c r="K1441" s="13" t="str">
        <f ca="1">IFERROR(__xludf.DUMMYFUNCTION("""COMPUTED_VALUE"""),"H5_B4_BG-02.png")</f>
        <v>H5_B4_BG-02.png</v>
      </c>
      <c r="L1441" s="13" t="str">
        <f ca="1">IFERROR(__xludf.DUMMYFUNCTION("""COMPUTED_VALUE"""),"B4-02.mp3")</f>
        <v>B4-02.mp3</v>
      </c>
      <c r="M1441" s="13" t="str">
        <f ca="1">IFERROR(__xludf.DUMMYFUNCTION("""COMPUTED_VALUE"""),"B4_VD_2.mp3")</f>
        <v>B4_VD_2.mp3</v>
      </c>
    </row>
    <row r="1442" spans="1:13">
      <c r="A1442" s="13">
        <f ca="1">IFERROR(__xludf.DUMMYFUNCTION("""COMPUTED_VALUE"""),3)</f>
        <v>3</v>
      </c>
      <c r="B1442" s="13"/>
      <c r="C1442" s="13" t="str">
        <f ca="1">IFERROR(__xludf.DUMMYFUNCTION("""COMPUTED_VALUE"""),"成就")</f>
        <v>成就</v>
      </c>
      <c r="D1442" s="13" t="str">
        <f ca="1">IFERROR(__xludf.DUMMYFUNCTION("""COMPUTED_VALUE"""),"&lt;ruby&gt;成就&lt;rt&gt;chéngjiù&lt;/rt&gt;&lt;/ruby&gt;")</f>
        <v>&lt;ruby&gt;成就&lt;rt&gt;chéngjiù&lt;/rt&gt;&lt;/ruby&gt;</v>
      </c>
      <c r="E1442" s="13" t="str">
        <f ca="1">IFERROR(__xludf.DUMMYFUNCTION("""COMPUTED_VALUE"""),"chéngjiù")</f>
        <v>chéngjiù</v>
      </c>
      <c r="F1442" s="13" t="str">
        <f ca="1">IFERROR(__xludf.DUMMYFUNCTION("""COMPUTED_VALUE"""),"Danh từ")</f>
        <v>Danh từ</v>
      </c>
      <c r="G1442" s="13" t="str">
        <f ca="1">IFERROR(__xludf.DUMMYFUNCTION("""COMPUTED_VALUE"""),"thành tựu, thành quả")</f>
        <v>thành tựu, thành quả</v>
      </c>
      <c r="H1442" s="13" t="str">
        <f ca="1">IFERROR(__xludf.DUMMYFUNCTION("""COMPUTED_VALUE"""),"通过努力，他取得了很大的成就。
")</f>
        <v xml:space="preserve">通过努力，他取得了很大的成就。
</v>
      </c>
      <c r="I1442" s="13"/>
      <c r="J1442" s="13" t="str">
        <f ca="1">IFERROR(__xludf.DUMMYFUNCTION("""COMPUTED_VALUE"""),"Bằng nỗ lực, anh ấy đạt được thành tựu lớn.")</f>
        <v>Bằng nỗ lực, anh ấy đạt được thành tựu lớn.</v>
      </c>
      <c r="K1442" s="13" t="str">
        <f ca="1">IFERROR(__xludf.DUMMYFUNCTION("""COMPUTED_VALUE"""),"H5_B4_BG-03.png")</f>
        <v>H5_B4_BG-03.png</v>
      </c>
      <c r="L1442" s="13" t="str">
        <f ca="1">IFERROR(__xludf.DUMMYFUNCTION("""COMPUTED_VALUE"""),"B4-03.mp3")</f>
        <v>B4-03.mp3</v>
      </c>
      <c r="M1442" s="13" t="str">
        <f ca="1">IFERROR(__xludf.DUMMYFUNCTION("""COMPUTED_VALUE"""),"B4_VD_3.mp3")</f>
        <v>B4_VD_3.mp3</v>
      </c>
    </row>
    <row r="1443" spans="1:13">
      <c r="A1443" s="13">
        <f ca="1">IFERROR(__xludf.DUMMYFUNCTION("""COMPUTED_VALUE"""),4)</f>
        <v>4</v>
      </c>
      <c r="B1443" s="13"/>
      <c r="C1443" s="13" t="str">
        <f ca="1">IFERROR(__xludf.DUMMYFUNCTION("""COMPUTED_VALUE"""),"诚恳")</f>
        <v>诚恳</v>
      </c>
      <c r="D1443" s="13" t="str">
        <f ca="1">IFERROR(__xludf.DUMMYFUNCTION("""COMPUTED_VALUE"""),"&lt;ruby&gt;诚恳&lt;rt&gt;chéngkěn&lt;/rt&gt;&lt;/ruby&gt;")</f>
        <v>&lt;ruby&gt;诚恳&lt;rt&gt;chéngkěn&lt;/rt&gt;&lt;/ruby&gt;</v>
      </c>
      <c r="E1443" s="13" t="str">
        <f ca="1">IFERROR(__xludf.DUMMYFUNCTION("""COMPUTED_VALUE"""),"chéngkěn")</f>
        <v>chéngkěn</v>
      </c>
      <c r="F1443" s="13" t="str">
        <f ca="1">IFERROR(__xludf.DUMMYFUNCTION("""COMPUTED_VALUE"""),"Tính từ ")</f>
        <v xml:space="preserve">Tính từ </v>
      </c>
      <c r="G1443" s="13" t="str">
        <f ca="1">IFERROR(__xludf.DUMMYFUNCTION("""COMPUTED_VALUE"""),"thành khẩn, chân thành")</f>
        <v>thành khẩn, chân thành</v>
      </c>
      <c r="H1443" s="13" t="str">
        <f ca="1">IFERROR(__xludf.DUMMYFUNCTION("""COMPUTED_VALUE"""),"孩子们诚恳地向老师道歉，并表示以后一定改正错误。")</f>
        <v>孩子们诚恳地向老师道歉，并表示以后一定改正错误。</v>
      </c>
      <c r="I1443" s="13"/>
      <c r="J1443" s="13" t="str">
        <f ca="1">IFERROR(__xludf.DUMMYFUNCTION("""COMPUTED_VALUE"""),"Những đứa trẻ chân thành xin lỗi cô giáo và hứa sẽ sửa sai trong tương lai.")</f>
        <v>Những đứa trẻ chân thành xin lỗi cô giáo và hứa sẽ sửa sai trong tương lai.</v>
      </c>
      <c r="K1443" s="13" t="str">
        <f ca="1">IFERROR(__xludf.DUMMYFUNCTION("""COMPUTED_VALUE"""),"H5_B4_BG-04.png")</f>
        <v>H5_B4_BG-04.png</v>
      </c>
      <c r="L1443" s="13" t="str">
        <f ca="1">IFERROR(__xludf.DUMMYFUNCTION("""COMPUTED_VALUE"""),"B4-04.mp3")</f>
        <v>B4-04.mp3</v>
      </c>
      <c r="M1443" s="13" t="str">
        <f ca="1">IFERROR(__xludf.DUMMYFUNCTION("""COMPUTED_VALUE"""),"B4_VD_4.mp3")</f>
        <v>B4_VD_4.mp3</v>
      </c>
    </row>
    <row r="1444" spans="1:13">
      <c r="A1444" s="13">
        <f ca="1">IFERROR(__xludf.DUMMYFUNCTION("""COMPUTED_VALUE"""),5)</f>
        <v>5</v>
      </c>
      <c r="B1444" s="13"/>
      <c r="C1444" s="13" t="str">
        <f ca="1">IFERROR(__xludf.DUMMYFUNCTION("""COMPUTED_VALUE"""),"从前")</f>
        <v>从前</v>
      </c>
      <c r="D1444" s="13" t="str">
        <f ca="1">IFERROR(__xludf.DUMMYFUNCTION("""COMPUTED_VALUE"""),"&lt;ruby&gt;从前&lt;rt&gt;cóngqián&lt;/rt&gt;&lt;/ruby&gt;")</f>
        <v>&lt;ruby&gt;从前&lt;rt&gt;cóngqián&lt;/rt&gt;&lt;/ruby&gt;</v>
      </c>
      <c r="E1444" s="13" t="str">
        <f ca="1">IFERROR(__xludf.DUMMYFUNCTION("""COMPUTED_VALUE"""),"cóngqián")</f>
        <v>cóngqián</v>
      </c>
      <c r="F1444" s="13" t="str">
        <f ca="1">IFERROR(__xludf.DUMMYFUNCTION("""COMPUTED_VALUE"""),"Danh từ")</f>
        <v>Danh từ</v>
      </c>
      <c r="G1444" s="13" t="str">
        <f ca="1">IFERROR(__xludf.DUMMYFUNCTION("""COMPUTED_VALUE"""),"trước đây, ngày xưa")</f>
        <v>trước đây, ngày xưa</v>
      </c>
      <c r="H1444" s="13" t="str">
        <f ca="1">IFERROR(__xludf.DUMMYFUNCTION("""COMPUTED_VALUE"""),"从前到现在，他常常帮助有需要的人。")</f>
        <v>从前到现在，他常常帮助有需要的人。</v>
      </c>
      <c r="I1444" s="13"/>
      <c r="J1444" s="13" t="str">
        <f ca="1">IFERROR(__xludf.DUMMYFUNCTION("""COMPUTED_VALUE"""),"Từ trước đến nay, anh ấy lthường xuyên giúp đỡ những người cần hỗ trợ.")</f>
        <v>Từ trước đến nay, anh ấy lthường xuyên giúp đỡ những người cần hỗ trợ.</v>
      </c>
      <c r="K1444" s="13" t="str">
        <f ca="1">IFERROR(__xludf.DUMMYFUNCTION("""COMPUTED_VALUE"""),"H5_B4_BG-05.png")</f>
        <v>H5_B4_BG-05.png</v>
      </c>
      <c r="L1444" s="13" t="str">
        <f ca="1">IFERROR(__xludf.DUMMYFUNCTION("""COMPUTED_VALUE"""),"B4-05.mp3")</f>
        <v>B4-05.mp3</v>
      </c>
      <c r="M1444" s="13" t="str">
        <f ca="1">IFERROR(__xludf.DUMMYFUNCTION("""COMPUTED_VALUE"""),"B4_VD_5.mp3")</f>
        <v>B4_VD_5.mp3</v>
      </c>
    </row>
    <row r="1445" spans="1:13">
      <c r="A1445" s="13">
        <f ca="1">IFERROR(__xludf.DUMMYFUNCTION("""COMPUTED_VALUE"""),6)</f>
        <v>6</v>
      </c>
      <c r="B1445" s="13"/>
      <c r="C1445" s="13" t="str">
        <f ca="1">IFERROR(__xludf.DUMMYFUNCTION("""COMPUTED_VALUE"""),"老实")</f>
        <v>老实</v>
      </c>
      <c r="D1445" s="13" t="str">
        <f ca="1">IFERROR(__xludf.DUMMYFUNCTION("""COMPUTED_VALUE"""),"&lt;ruby&gt;老实&lt;rt&gt;lǎoshi&lt;/rt&gt;&lt;/ruby&gt;")</f>
        <v>&lt;ruby&gt;老实&lt;rt&gt;lǎoshi&lt;/rt&gt;&lt;/ruby&gt;</v>
      </c>
      <c r="E1445" s="13" t="str">
        <f ca="1">IFERROR(__xludf.DUMMYFUNCTION("""COMPUTED_VALUE"""),"lǎoshi")</f>
        <v>lǎoshi</v>
      </c>
      <c r="F1445" s="13" t="str">
        <f ca="1">IFERROR(__xludf.DUMMYFUNCTION("""COMPUTED_VALUE"""),"Tính từ ")</f>
        <v xml:space="preserve">Tính từ </v>
      </c>
      <c r="G1445" s="13" t="str">
        <f ca="1">IFERROR(__xludf.DUMMYFUNCTION("""COMPUTED_VALUE"""),"trung thực, thật thà")</f>
        <v>trung thực, thật thà</v>
      </c>
      <c r="H1445" s="13" t="str">
        <f ca="1">IFERROR(__xludf.DUMMYFUNCTION("""COMPUTED_VALUE"""),"她是一个老实的人，从来都不撒谎。")</f>
        <v>她是一个老实的人，从来都不撒谎。</v>
      </c>
      <c r="I1445" s="13"/>
      <c r="J1445" s="13" t="str">
        <f ca="1">IFERROR(__xludf.DUMMYFUNCTION("""COMPUTED_VALUE"""),"Cô ấy là người thật thà, từ trước đến giờ không bao giờ nói dối.")</f>
        <v>Cô ấy là người thật thà, từ trước đến giờ không bao giờ nói dối.</v>
      </c>
      <c r="K1445" s="13" t="str">
        <f ca="1">IFERROR(__xludf.DUMMYFUNCTION("""COMPUTED_VALUE"""),"H5_B4_BG-06.png")</f>
        <v>H5_B4_BG-06.png</v>
      </c>
      <c r="L1445" s="13" t="str">
        <f ca="1">IFERROR(__xludf.DUMMYFUNCTION("""COMPUTED_VALUE"""),"B4-06.mp3")</f>
        <v>B4-06.mp3</v>
      </c>
      <c r="M1445" s="13" t="str">
        <f ca="1">IFERROR(__xludf.DUMMYFUNCTION("""COMPUTED_VALUE"""),"B4_VD_6.mp3")</f>
        <v>B4_VD_6.mp3</v>
      </c>
    </row>
    <row r="1446" spans="1:13">
      <c r="A1446" s="13">
        <f ca="1">IFERROR(__xludf.DUMMYFUNCTION("""COMPUTED_VALUE"""),7)</f>
        <v>7</v>
      </c>
      <c r="B1446" s="13"/>
      <c r="C1446" s="13" t="str">
        <f ca="1">IFERROR(__xludf.DUMMYFUNCTION("""COMPUTED_VALUE"""),"美德")</f>
        <v>美德</v>
      </c>
      <c r="D1446" s="13" t="str">
        <f ca="1">IFERROR(__xludf.DUMMYFUNCTION("""COMPUTED_VALUE"""),"&lt;ruby&gt;美德&lt;rt&gt;měidé&lt;/rt&gt;&lt;/ruby&gt;")</f>
        <v>&lt;ruby&gt;美德&lt;rt&gt;měidé&lt;/rt&gt;&lt;/ruby&gt;</v>
      </c>
      <c r="E1446" s="13" t="str">
        <f ca="1">IFERROR(__xludf.DUMMYFUNCTION("""COMPUTED_VALUE"""),"měidé")</f>
        <v>měidé</v>
      </c>
      <c r="F1446" s="13" t="str">
        <f ca="1">IFERROR(__xludf.DUMMYFUNCTION("""COMPUTED_VALUE"""),"Danh từ")</f>
        <v>Danh từ</v>
      </c>
      <c r="G1446" s="13" t="str">
        <f ca="1">IFERROR(__xludf.DUMMYFUNCTION("""COMPUTED_VALUE"""),"phẩm chất tốt, đức tính tốt")</f>
        <v>phẩm chất tốt, đức tính tốt</v>
      </c>
      <c r="H1446" s="13" t="str">
        <f ca="1">IFERROR(__xludf.DUMMYFUNCTION("""COMPUTED_VALUE"""),"勤奋工作是美德。
")</f>
        <v xml:space="preserve">勤奋工作是美德。
</v>
      </c>
      <c r="I1446" s="13"/>
      <c r="J1446" s="13" t="str">
        <f ca="1">IFERROR(__xludf.DUMMYFUNCTION("""COMPUTED_VALUE"""),"Chăm chỉ làm việc là một đức tính tốt.")</f>
        <v>Chăm chỉ làm việc là một đức tính tốt.</v>
      </c>
      <c r="K1446" s="13" t="str">
        <f ca="1">IFERROR(__xludf.DUMMYFUNCTION("""COMPUTED_VALUE"""),"H5_B4_BG-07.png")</f>
        <v>H5_B4_BG-07.png</v>
      </c>
      <c r="L1446" s="13" t="str">
        <f ca="1">IFERROR(__xludf.DUMMYFUNCTION("""COMPUTED_VALUE"""),"B4-07.mp3")</f>
        <v>B4-07.mp3</v>
      </c>
      <c r="M1446" s="13" t="str">
        <f ca="1">IFERROR(__xludf.DUMMYFUNCTION("""COMPUTED_VALUE"""),"B4_VD_7.mp3")</f>
        <v>B4_VD_7.mp3</v>
      </c>
    </row>
    <row r="1447" spans="1:13">
      <c r="A1447" s="13">
        <f ca="1">IFERROR(__xludf.DUMMYFUNCTION("""COMPUTED_VALUE"""),8)</f>
        <v>8</v>
      </c>
      <c r="B1447" s="13"/>
      <c r="C1447" s="13" t="str">
        <f ca="1">IFERROR(__xludf.DUMMYFUNCTION("""COMPUTED_VALUE"""),"结实")</f>
        <v>结实</v>
      </c>
      <c r="D1447" s="13" t="str">
        <f ca="1">IFERROR(__xludf.DUMMYFUNCTION("""COMPUTED_VALUE"""),"&lt;ruby&gt;结实&lt;rt&gt;jiēshi&lt;/rt&gt;&lt;/ruby&gt;")</f>
        <v>&lt;ruby&gt;结实&lt;rt&gt;jiēshi&lt;/rt&gt;&lt;/ruby&gt;</v>
      </c>
      <c r="E1447" s="13" t="str">
        <f ca="1">IFERROR(__xludf.DUMMYFUNCTION("""COMPUTED_VALUE"""),"jiēshi")</f>
        <v>jiēshi</v>
      </c>
      <c r="F1447" s="13" t="str">
        <f ca="1">IFERROR(__xludf.DUMMYFUNCTION("""COMPUTED_VALUE"""),"Tính từ ")</f>
        <v xml:space="preserve">Tính từ </v>
      </c>
      <c r="G1447" s="13" t="str">
        <f ca="1">IFERROR(__xludf.DUMMYFUNCTION("""COMPUTED_VALUE"""),"cường tráng, khỏe mạnh")</f>
        <v>cường tráng, khỏe mạnh</v>
      </c>
      <c r="H1447" s="13" t="str">
        <f ca="1">IFERROR(__xludf.DUMMYFUNCTION("""COMPUTED_VALUE"""),"他从小锻炼身体，所以长得很结实。")</f>
        <v>他从小锻炼身体，所以长得很结实。</v>
      </c>
      <c r="I1447" s="13"/>
      <c r="J1447" s="13" t="str">
        <f ca="1">IFERROR(__xludf.DUMMYFUNCTION("""COMPUTED_VALUE"""),"Từ nhỏ anh ấy đã rèn luyện cơ thể nên lớn lên rất cường tráng.")</f>
        <v>Từ nhỏ anh ấy đã rèn luyện cơ thể nên lớn lên rất cường tráng.</v>
      </c>
      <c r="K1447" s="13" t="str">
        <f ca="1">IFERROR(__xludf.DUMMYFUNCTION("""COMPUTED_VALUE"""),"H5_B4_BG-08.png")</f>
        <v>H5_B4_BG-08.png</v>
      </c>
      <c r="L1447" s="13" t="str">
        <f ca="1">IFERROR(__xludf.DUMMYFUNCTION("""COMPUTED_VALUE"""),"B4-08.mp3")</f>
        <v>B4-08.mp3</v>
      </c>
      <c r="M1447" s="13" t="str">
        <f ca="1">IFERROR(__xludf.DUMMYFUNCTION("""COMPUTED_VALUE"""),"B4_VD_8.mp3")</f>
        <v>B4_VD_8.mp3</v>
      </c>
    </row>
    <row r="1448" spans="1:13">
      <c r="A1448" s="13">
        <f ca="1">IFERROR(__xludf.DUMMYFUNCTION("""COMPUTED_VALUE"""),9)</f>
        <v>9</v>
      </c>
      <c r="B1448" s="13"/>
      <c r="C1448" s="13" t="str">
        <f ca="1">IFERROR(__xludf.DUMMYFUNCTION("""COMPUTED_VALUE"""),"满足")</f>
        <v>满足</v>
      </c>
      <c r="D1448" s="13" t="str">
        <f ca="1">IFERROR(__xludf.DUMMYFUNCTION("""COMPUTED_VALUE"""),"&lt;ruby&gt;满足&lt;rt&gt;mănzú&lt;/rt&gt;&lt;/ruby&gt;")</f>
        <v>&lt;ruby&gt;满足&lt;rt&gt;mănzú&lt;/rt&gt;&lt;/ruby&gt;</v>
      </c>
      <c r="E1448" s="13" t="str">
        <f ca="1">IFERROR(__xludf.DUMMYFUNCTION("""COMPUTED_VALUE"""),"mănzú")</f>
        <v>mănzú</v>
      </c>
      <c r="F1448" s="13" t="str">
        <f ca="1">IFERROR(__xludf.DUMMYFUNCTION("""COMPUTED_VALUE"""),"Động từ")</f>
        <v>Động từ</v>
      </c>
      <c r="G1448" s="13" t="str">
        <f ca="1">IFERROR(__xludf.DUMMYFUNCTION("""COMPUTED_VALUE"""),"thỏa mãn, cảm thấy hài lòng")</f>
        <v>thỏa mãn, cảm thấy hài lòng</v>
      </c>
      <c r="H1448" s="13" t="str">
        <f ca="1">IFERROR(__xludf.DUMMYFUNCTION("""COMPUTED_VALUE""")," 她看到自己种的花终于开了，脸上露出了满足的笑容。")</f>
        <v xml:space="preserve"> 她看到自己种的花终于开了，脸上露出了满足的笑容。</v>
      </c>
      <c r="I1448" s="13"/>
      <c r="J1448" s="13" t="str">
        <f ca="1">IFERROR(__xludf.DUMMYFUNCTION("""COMPUTED_VALUE"""),"Cô ấy nhìn thấy bông hoa mình trồng cuối cùng cũng nở, nụ cười mãn nguyện hiện trên khuôn mặt.")</f>
        <v>Cô ấy nhìn thấy bông hoa mình trồng cuối cùng cũng nở, nụ cười mãn nguyện hiện trên khuôn mặt.</v>
      </c>
      <c r="K1448" s="13" t="str">
        <f ca="1">IFERROR(__xludf.DUMMYFUNCTION("""COMPUTED_VALUE"""),"H5_B4_BG-09.png")</f>
        <v>H5_B4_BG-09.png</v>
      </c>
      <c r="L1448" s="13" t="str">
        <f ca="1">IFERROR(__xludf.DUMMYFUNCTION("""COMPUTED_VALUE"""),"B4-09.mp3")</f>
        <v>B4-09.mp3</v>
      </c>
      <c r="M1448" s="13" t="str">
        <f ca="1">IFERROR(__xludf.DUMMYFUNCTION("""COMPUTED_VALUE"""),"B4_VD_9.mp3")</f>
        <v>B4_VD_9.mp3</v>
      </c>
    </row>
    <row r="1449" spans="1:13">
      <c r="A1449" s="13">
        <f ca="1">IFERROR(__xludf.DUMMYFUNCTION("""COMPUTED_VALUE"""),10)</f>
        <v>10</v>
      </c>
      <c r="B1449" s="13"/>
      <c r="C1449" s="13" t="str">
        <f ca="1">IFERROR(__xludf.DUMMYFUNCTION("""COMPUTED_VALUE"""),"人才")</f>
        <v>人才</v>
      </c>
      <c r="D1449" s="13" t="str">
        <f ca="1">IFERROR(__xludf.DUMMYFUNCTION("""COMPUTED_VALUE"""),"&lt;ruby&gt;人才&lt;rt&gt;réncái&lt;/rt&gt;&lt;/ruby&gt;")</f>
        <v>&lt;ruby&gt;人才&lt;rt&gt;réncái&lt;/rt&gt;&lt;/ruby&gt;</v>
      </c>
      <c r="E1449" s="13" t="str">
        <f ca="1">IFERROR(__xludf.DUMMYFUNCTION("""COMPUTED_VALUE"""),"réncái")</f>
        <v>réncái</v>
      </c>
      <c r="F1449" s="13" t="str">
        <f ca="1">IFERROR(__xludf.DUMMYFUNCTION("""COMPUTED_VALUE"""),"Danh từ")</f>
        <v>Danh từ</v>
      </c>
      <c r="G1449" s="13" t="str">
        <f ca="1">IFERROR(__xludf.DUMMYFUNCTION("""COMPUTED_VALUE"""),"người có tài")</f>
        <v>người có tài</v>
      </c>
      <c r="H1449" s="13" t="str">
        <f ca="1">IFERROR(__xludf.DUMMYFUNCTION("""COMPUTED_VALUE"""),"他是个不可多得的人才，公司的发展离不开他的努力。")</f>
        <v>他是个不可多得的人才，公司的发展离不开他的努力。</v>
      </c>
      <c r="I1449" s="13"/>
      <c r="J1449" s="13" t="str">
        <f ca="1">IFERROR(__xludf.DUMMYFUNCTION("""COMPUTED_VALUE"""),"Anh ấy là một nhân tài hiếm có, sự phát triển của công ty không thể thiếu sự nỗ lực của anh ấy.")</f>
        <v>Anh ấy là một nhân tài hiếm có, sự phát triển của công ty không thể thiếu sự nỗ lực của anh ấy.</v>
      </c>
      <c r="K1449" s="13" t="str">
        <f ca="1">IFERROR(__xludf.DUMMYFUNCTION("""COMPUTED_VALUE"""),"H5_B4_BG-10.png")</f>
        <v>H5_B4_BG-10.png</v>
      </c>
      <c r="L1449" s="13" t="str">
        <f ca="1">IFERROR(__xludf.DUMMYFUNCTION("""COMPUTED_VALUE"""),"B4-10.mp3")</f>
        <v>B4-10.mp3</v>
      </c>
      <c r="M1449" s="13" t="str">
        <f ca="1">IFERROR(__xludf.DUMMYFUNCTION("""COMPUTED_VALUE"""),"B4_VD_10.mp3")</f>
        <v>B4_VD_10.mp3</v>
      </c>
    </row>
    <row r="1450" spans="1:13">
      <c r="A1450" s="13">
        <f ca="1">IFERROR(__xludf.DUMMYFUNCTION("""COMPUTED_VALUE"""),11)</f>
        <v>11</v>
      </c>
      <c r="B1450" s="13"/>
      <c r="C1450" s="13" t="str">
        <f ca="1">IFERROR(__xludf.DUMMYFUNCTION("""COMPUTED_VALUE"""),"孝敬")</f>
        <v>孝敬</v>
      </c>
      <c r="D1450" s="13" t="str">
        <f ca="1">IFERROR(__xludf.DUMMYFUNCTION("""COMPUTED_VALUE"""),"&lt;ruby&gt;孝敬&lt;rt&gt;xiàojìng&lt;/rt&gt;&lt;/ruby&gt;")</f>
        <v>&lt;ruby&gt;孝敬&lt;rt&gt;xiàojìng&lt;/rt&gt;&lt;/ruby&gt;</v>
      </c>
      <c r="E1450" s="13" t="str">
        <f ca="1">IFERROR(__xludf.DUMMYFUNCTION("""COMPUTED_VALUE"""),"xiàojìng")</f>
        <v>xiàojìng</v>
      </c>
      <c r="F1450" s="13" t="str">
        <f ca="1">IFERROR(__xludf.DUMMYFUNCTION("""COMPUTED_VALUE"""),"Động từ")</f>
        <v>Động từ</v>
      </c>
      <c r="G1450" s="13" t="str">
        <f ca="1">IFERROR(__xludf.DUMMYFUNCTION("""COMPUTED_VALUE"""),"hiếu kính")</f>
        <v>hiếu kính</v>
      </c>
      <c r="H1450" s="13" t="str">
        <f ca="1">IFERROR(__xludf.DUMMYFUNCTION("""COMPUTED_VALUE"""),"她孝敬父母，每年都会带父母去旅游。
")</f>
        <v xml:space="preserve">她孝敬父母，每年都会带父母去旅游。
</v>
      </c>
      <c r="I1450" s="13"/>
      <c r="J1450" s="13" t="str">
        <f ca="1">IFERROR(__xludf.DUMMYFUNCTION("""COMPUTED_VALUE"""),"Cô ấy hiếu thảo với cha mẹ, mỗi năm đều đưa cha mẹ đi du lịch.")</f>
        <v>Cô ấy hiếu thảo với cha mẹ, mỗi năm đều đưa cha mẹ đi du lịch.</v>
      </c>
      <c r="K1450" s="13" t="str">
        <f ca="1">IFERROR(__xludf.DUMMYFUNCTION("""COMPUTED_VALUE"""),"H5_B4_BG-11.png")</f>
        <v>H5_B4_BG-11.png</v>
      </c>
      <c r="L1450" s="13" t="str">
        <f ca="1">IFERROR(__xludf.DUMMYFUNCTION("""COMPUTED_VALUE"""),"B4-11.mp3")</f>
        <v>B4-11.mp3</v>
      </c>
      <c r="M1450" s="13" t="str">
        <f ca="1">IFERROR(__xludf.DUMMYFUNCTION("""COMPUTED_VALUE"""),"B4_VD_11.mp3")</f>
        <v>B4_VD_11.mp3</v>
      </c>
    </row>
    <row r="1451" spans="1:13">
      <c r="A1451" s="13">
        <f ca="1">IFERROR(__xludf.DUMMYFUNCTION("""COMPUTED_VALUE"""),12)</f>
        <v>12</v>
      </c>
      <c r="B1451" s="13"/>
      <c r="C1451" s="13" t="str">
        <f ca="1">IFERROR(__xludf.DUMMYFUNCTION("""COMPUTED_VALUE"""),"孝顺")</f>
        <v>孝顺</v>
      </c>
      <c r="D1451" s="13" t="str">
        <f ca="1">IFERROR(__xludf.DUMMYFUNCTION("""COMPUTED_VALUE"""),"&lt;ruby&gt;孝顺&lt;rt&gt;xiàoshùn&lt;/rt&gt;&lt;/ruby&gt;")</f>
        <v>&lt;ruby&gt;孝顺&lt;rt&gt;xiàoshùn&lt;/rt&gt;&lt;/ruby&gt;</v>
      </c>
      <c r="E1451" s="13" t="str">
        <f ca="1">IFERROR(__xludf.DUMMYFUNCTION("""COMPUTED_VALUE"""),"xiàoshùn")</f>
        <v>xiàoshùn</v>
      </c>
      <c r="F1451" s="13" t="str">
        <f ca="1">IFERROR(__xludf.DUMMYFUNCTION("""COMPUTED_VALUE"""),"Động từ/Tính từ ")</f>
        <v xml:space="preserve">Động từ/Tính từ </v>
      </c>
      <c r="G1451" s="13" t="str">
        <f ca="1">IFERROR(__xludf.DUMMYFUNCTION("""COMPUTED_VALUE"""),"thể hiện lòng hiếu thảo; hiếu thảo")</f>
        <v>thể hiện lòng hiếu thảo; hiếu thảo</v>
      </c>
      <c r="H1451" s="13" t="str">
        <f ca="1">IFERROR(__xludf.DUMMYFUNCTION("""COMPUTED_VALUE"""),"他从小就很孝顺，总是为父母分担家务。")</f>
        <v>他从小就很孝顺，总是为父母分担家务。</v>
      </c>
      <c r="I1451" s="13"/>
      <c r="J1451" s="13" t="str">
        <f ca="1">IFERROR(__xludf.DUMMYFUNCTION("""COMPUTED_VALUE"""),"Từ nhỏ anh ấy đã rất hiếu thảo, luôn giúp đỡ cha mẹ làm việc nhà.")</f>
        <v>Từ nhỏ anh ấy đã rất hiếu thảo, luôn giúp đỡ cha mẹ làm việc nhà.</v>
      </c>
      <c r="K1451" s="13" t="str">
        <f ca="1">IFERROR(__xludf.DUMMYFUNCTION("""COMPUTED_VALUE"""),"H5_B4_BG-12.png")</f>
        <v>H5_B4_BG-12.png</v>
      </c>
      <c r="L1451" s="13" t="str">
        <f ca="1">IFERROR(__xludf.DUMMYFUNCTION("""COMPUTED_VALUE"""),"B4-12.mp3")</f>
        <v>B4-12.mp3</v>
      </c>
      <c r="M1451" s="13" t="str">
        <f ca="1">IFERROR(__xludf.DUMMYFUNCTION("""COMPUTED_VALUE"""),"B4_VD_12.mp3")</f>
        <v>B4_VD_12.mp3</v>
      </c>
    </row>
    <row r="1452" spans="1:13">
      <c r="A1452" s="13">
        <f ca="1">IFERROR(__xludf.DUMMYFUNCTION("""COMPUTED_VALUE"""),13)</f>
        <v>13</v>
      </c>
      <c r="B1452" s="13"/>
      <c r="C1452" s="13" t="str">
        <f ca="1">IFERROR(__xludf.DUMMYFUNCTION("""COMPUTED_VALUE"""),"银（子）")</f>
        <v>银（子）</v>
      </c>
      <c r="D1452" s="13" t="str">
        <f ca="1">IFERROR(__xludf.DUMMYFUNCTION("""COMPUTED_VALUE"""),"&lt;ruby&gt;银（子）&lt;rt&gt;yín (zi)&lt;/rt&gt;&lt;/ruby&gt;")</f>
        <v>&lt;ruby&gt;银（子）&lt;rt&gt;yín (zi)&lt;/rt&gt;&lt;/ruby&gt;</v>
      </c>
      <c r="E1452" s="13" t="str">
        <f ca="1">IFERROR(__xludf.DUMMYFUNCTION("""COMPUTED_VALUE"""),"yín (zi)")</f>
        <v>yín (zi)</v>
      </c>
      <c r="F1452" s="13" t="str">
        <f ca="1">IFERROR(__xludf.DUMMYFUNCTION("""COMPUTED_VALUE"""),"Danh từ")</f>
        <v>Danh từ</v>
      </c>
      <c r="G1452" s="13" t="str">
        <f ca="1">IFERROR(__xludf.DUMMYFUNCTION("""COMPUTED_VALUE"""),"bạc")</f>
        <v>bạc</v>
      </c>
      <c r="H1452" s="13" t="str">
        <f ca="1">IFERROR(__xludf.DUMMYFUNCTION("""COMPUTED_VALUE"""),"他赚了很多银子。
")</f>
        <v xml:space="preserve">他赚了很多银子。
</v>
      </c>
      <c r="I1452" s="13"/>
      <c r="J1452" s="13" t="str">
        <f ca="1">IFERROR(__xludf.DUMMYFUNCTION("""COMPUTED_VALUE"""),"Anh ấy kiếm được rất nhiều tiền.")</f>
        <v>Anh ấy kiếm được rất nhiều tiền.</v>
      </c>
      <c r="K1452" s="13" t="str">
        <f ca="1">IFERROR(__xludf.DUMMYFUNCTION("""COMPUTED_VALUE"""),"H5_B4_BG-13.png")</f>
        <v>H5_B4_BG-13.png</v>
      </c>
      <c r="L1452" s="13" t="str">
        <f ca="1">IFERROR(__xludf.DUMMYFUNCTION("""COMPUTED_VALUE"""),"B4-13.mp3")</f>
        <v>B4-13.mp3</v>
      </c>
      <c r="M1452" s="13" t="str">
        <f ca="1">IFERROR(__xludf.DUMMYFUNCTION("""COMPUTED_VALUE"""),"B4_VD_13.mp3")</f>
        <v>B4_VD_13.mp3</v>
      </c>
    </row>
    <row r="1453" spans="1:13">
      <c r="A1453" s="13">
        <f ca="1">IFERROR(__xludf.DUMMYFUNCTION("""COMPUTED_VALUE"""),14)</f>
        <v>14</v>
      </c>
      <c r="B1453" s="13"/>
      <c r="C1453" s="13" t="str">
        <f ca="1">IFERROR(__xludf.DUMMYFUNCTION("""COMPUTED_VALUE"""),"惭愧")</f>
        <v>惭愧</v>
      </c>
      <c r="D1453" s="13" t="str">
        <f ca="1">IFERROR(__xludf.DUMMYFUNCTION("""COMPUTED_VALUE"""),"&lt;ruby&gt;惭愧&lt;rt&gt;cánkuì&lt;/rt&gt;&lt;/ruby&gt;")</f>
        <v>&lt;ruby&gt;惭愧&lt;rt&gt;cánkuì&lt;/rt&gt;&lt;/ruby&gt;</v>
      </c>
      <c r="E1453" s="13" t="str">
        <f ca="1">IFERROR(__xludf.DUMMYFUNCTION("""COMPUTED_VALUE"""),"cánkuì")</f>
        <v>cánkuì</v>
      </c>
      <c r="F1453" s="13" t="str">
        <f ca="1">IFERROR(__xludf.DUMMYFUNCTION("""COMPUTED_VALUE"""),"Tính từ ")</f>
        <v xml:space="preserve">Tính từ </v>
      </c>
      <c r="G1453" s="13" t="str">
        <f ca="1">IFERROR(__xludf.DUMMYFUNCTION("""COMPUTED_VALUE"""),"hổ thẹn")</f>
        <v>hổ thẹn</v>
      </c>
      <c r="H1453" s="13" t="str">
        <f ca="1">IFERROR(__xludf.DUMMYFUNCTION("""COMPUTED_VALUE"""),"他因为没有及时完成任务，感到非常惭愧。")</f>
        <v>他因为没有及时完成任务，感到非常惭愧。</v>
      </c>
      <c r="I1453" s="13"/>
      <c r="J1453" s="13" t="str">
        <f ca="1">IFERROR(__xludf.DUMMYFUNCTION("""COMPUTED_VALUE"""),"Anh ấy cảm thấy rất hổ thẹn vì không hoàn thành nhiệm vụ đúng hạn. ")</f>
        <v xml:space="preserve">Anh ấy cảm thấy rất hổ thẹn vì không hoàn thành nhiệm vụ đúng hạn. </v>
      </c>
      <c r="K1453" s="13" t="str">
        <f ca="1">IFERROR(__xludf.DUMMYFUNCTION("""COMPUTED_VALUE"""),"H5_B4_BG-14.png")</f>
        <v>H5_B4_BG-14.png</v>
      </c>
      <c r="L1453" s="13" t="str">
        <f ca="1">IFERROR(__xludf.DUMMYFUNCTION("""COMPUTED_VALUE"""),"B4-14.mp3")</f>
        <v>B4-14.mp3</v>
      </c>
      <c r="M1453" s="13" t="str">
        <f ca="1">IFERROR(__xludf.DUMMYFUNCTION("""COMPUTED_VALUE"""),"B4_VD_14.mp3")</f>
        <v>B4_VD_14.mp3</v>
      </c>
    </row>
    <row r="1454" spans="1:13">
      <c r="A1454" s="13">
        <f ca="1">IFERROR(__xludf.DUMMYFUNCTION("""COMPUTED_VALUE"""),15)</f>
        <v>15</v>
      </c>
      <c r="B1454" s="13"/>
      <c r="C1454" s="13" t="str">
        <f ca="1">IFERROR(__xludf.DUMMYFUNCTION("""COMPUTED_VALUE"""),"反而")</f>
        <v>反而</v>
      </c>
      <c r="D1454" s="13" t="str">
        <f ca="1">IFERROR(__xludf.DUMMYFUNCTION("""COMPUTED_VALUE"""),"&lt;ruby&gt;反而&lt;rt&gt;fǎn'ér &lt;/rt&gt;&lt;/ruby&gt;")</f>
        <v>&lt;ruby&gt;反而&lt;rt&gt;fǎn'ér &lt;/rt&gt;&lt;/ruby&gt;</v>
      </c>
      <c r="E1454" s="13" t="str">
        <f ca="1">IFERROR(__xludf.DUMMYFUNCTION("""COMPUTED_VALUE"""),"fǎn'ér ")</f>
        <v xml:space="preserve">fǎn'ér </v>
      </c>
      <c r="F1454" s="13" t="str">
        <f ca="1">IFERROR(__xludf.DUMMYFUNCTION("""COMPUTED_VALUE"""),"Phó từ")</f>
        <v>Phó từ</v>
      </c>
      <c r="G1454" s="13" t="str">
        <f ca="1">IFERROR(__xludf.DUMMYFUNCTION("""COMPUTED_VALUE"""),"trái lại, ngược lại")</f>
        <v>trái lại, ngược lại</v>
      </c>
      <c r="H1454" s="13" t="str">
        <f ca="1">IFERROR(__xludf.DUMMYFUNCTION("""COMPUTED_VALUE"""),"他本来以为努力工作会得到奖励，反而被上司批评了。")</f>
        <v>他本来以为努力工作会得到奖励，反而被上司批评了。</v>
      </c>
      <c r="I1454" s="13"/>
      <c r="J1454" s="13" t="str">
        <f ca="1">IFERROR(__xludf.DUMMYFUNCTION("""COMPUTED_VALUE"""),"Anh ấy tưởng rằng làm việc chăm chỉ sẽ được thưởng, nhưng lại bị sếp phê bình.")</f>
        <v>Anh ấy tưởng rằng làm việc chăm chỉ sẽ được thưởng, nhưng lại bị sếp phê bình.</v>
      </c>
      <c r="K1454" s="13" t="str">
        <f ca="1">IFERROR(__xludf.DUMMYFUNCTION("""COMPUTED_VALUE"""),"H5_B4_BG-15.png")</f>
        <v>H5_B4_BG-15.png</v>
      </c>
      <c r="L1454" s="13" t="str">
        <f ca="1">IFERROR(__xludf.DUMMYFUNCTION("""COMPUTED_VALUE"""),"B4-15.mp3")</f>
        <v>B4-15.mp3</v>
      </c>
      <c r="M1454" s="13" t="str">
        <f ca="1">IFERROR(__xludf.DUMMYFUNCTION("""COMPUTED_VALUE"""),"B4_VD_15.mp3")</f>
        <v>B4_VD_15.mp3</v>
      </c>
    </row>
    <row r="1455" spans="1:13">
      <c r="A1455" s="13">
        <f ca="1">IFERROR(__xludf.DUMMYFUNCTION("""COMPUTED_VALUE"""),16)</f>
        <v>16</v>
      </c>
      <c r="B1455" s="13"/>
      <c r="C1455" s="13" t="str">
        <f ca="1">IFERROR(__xludf.DUMMYFUNCTION("""COMPUTED_VALUE"""),"古代")</f>
        <v>古代</v>
      </c>
      <c r="D1455" s="13" t="str">
        <f ca="1">IFERROR(__xludf.DUMMYFUNCTION("""COMPUTED_VALUE"""),"&lt;ruby&gt;古代&lt;rt&gt;gǔdài&lt;/rt&gt;&lt;/ruby&gt;")</f>
        <v>&lt;ruby&gt;古代&lt;rt&gt;gǔdài&lt;/rt&gt;&lt;/ruby&gt;</v>
      </c>
      <c r="E1455" s="13" t="str">
        <f ca="1">IFERROR(__xludf.DUMMYFUNCTION("""COMPUTED_VALUE"""),"gǔdài")</f>
        <v>gǔdài</v>
      </c>
      <c r="F1455" s="13" t="str">
        <f ca="1">IFERROR(__xludf.DUMMYFUNCTION("""COMPUTED_VALUE"""),"Danh từ")</f>
        <v>Danh từ</v>
      </c>
      <c r="G1455" s="13" t="str">
        <f ca="1">IFERROR(__xludf.DUMMYFUNCTION("""COMPUTED_VALUE"""),"ngày xưa")</f>
        <v>ngày xưa</v>
      </c>
      <c r="H1455" s="13" t="str">
        <f ca="1">IFERROR(__xludf.DUMMYFUNCTION("""COMPUTED_VALUE"""),"古代社会男人也常常留长头发，象征着身份和力量。")</f>
        <v>古代社会男人也常常留长头发，象征着身份和力量。</v>
      </c>
      <c r="I1455" s="13"/>
      <c r="J1455" s="13" t="str">
        <f ca="1">IFERROR(__xludf.DUMMYFUNCTION("""COMPUTED_VALUE"""),"Trong xã hội cổ đại, đàn ông thường để tóc dài, tượng trưng cho địa vị và sức mạnh.")</f>
        <v>Trong xã hội cổ đại, đàn ông thường để tóc dài, tượng trưng cho địa vị và sức mạnh.</v>
      </c>
      <c r="K1455" s="13" t="str">
        <f ca="1">IFERROR(__xludf.DUMMYFUNCTION("""COMPUTED_VALUE"""),"H5_B4_BG-16.png")</f>
        <v>H5_B4_BG-16.png</v>
      </c>
      <c r="L1455" s="13" t="str">
        <f ca="1">IFERROR(__xludf.DUMMYFUNCTION("""COMPUTED_VALUE"""),"B4-16.mp3")</f>
        <v>B4-16.mp3</v>
      </c>
      <c r="M1455" s="13" t="str">
        <f ca="1">IFERROR(__xludf.DUMMYFUNCTION("""COMPUTED_VALUE"""),"B4_VD_16.mp3")</f>
        <v>B4_VD_16.mp3</v>
      </c>
    </row>
    <row r="1456" spans="1:13">
      <c r="A1456" s="13">
        <f ca="1">IFERROR(__xludf.DUMMYFUNCTION("""COMPUTED_VALUE"""),17)</f>
        <v>17</v>
      </c>
      <c r="B1456" s="13"/>
      <c r="C1456" s="13" t="str">
        <f ca="1">IFERROR(__xludf.DUMMYFUNCTION("""COMPUTED_VALUE"""),"官")</f>
        <v>官</v>
      </c>
      <c r="D1456" s="13" t="str">
        <f ca="1">IFERROR(__xludf.DUMMYFUNCTION("""COMPUTED_VALUE"""),"&lt;ruby&gt;官&lt;rt&gt;guān&lt;/rt&gt;&lt;/ruby&gt;")</f>
        <v>&lt;ruby&gt;官&lt;rt&gt;guān&lt;/rt&gt;&lt;/ruby&gt;</v>
      </c>
      <c r="E1456" s="13" t="str">
        <f ca="1">IFERROR(__xludf.DUMMYFUNCTION("""COMPUTED_VALUE"""),"guān")</f>
        <v>guān</v>
      </c>
      <c r="F1456" s="13" t="str">
        <f ca="1">IFERROR(__xludf.DUMMYFUNCTION("""COMPUTED_VALUE"""),"Danh từ")</f>
        <v>Danh từ</v>
      </c>
      <c r="G1456" s="13" t="str">
        <f ca="1">IFERROR(__xludf.DUMMYFUNCTION("""COMPUTED_VALUE"""),"quan")</f>
        <v>quan</v>
      </c>
      <c r="H1456" s="13" t="str">
        <f ca="1">IFERROR(__xludf.DUMMYFUNCTION("""COMPUTED_VALUE"""),"作为一名官员，要始终坚持公正无私才赢得了人民的尊敬。")</f>
        <v>作为一名官员，要始终坚持公正无私才赢得了人民的尊敬。</v>
      </c>
      <c r="I1456" s="13"/>
      <c r="J1456" s="13" t="str">
        <f ca="1">IFERROR(__xludf.DUMMYFUNCTION("""COMPUTED_VALUE"""),"Là một quan chức, phải luôn luôn công bằng và vô tư mới giành được sự kính trọng từ người dân.")</f>
        <v>Là một quan chức, phải luôn luôn công bằng và vô tư mới giành được sự kính trọng từ người dân.</v>
      </c>
      <c r="K1456" s="13" t="str">
        <f ca="1">IFERROR(__xludf.DUMMYFUNCTION("""COMPUTED_VALUE"""),"H5_B4_BG-17.png")</f>
        <v>H5_B4_BG-17.png</v>
      </c>
      <c r="L1456" s="13" t="str">
        <f ca="1">IFERROR(__xludf.DUMMYFUNCTION("""COMPUTED_VALUE"""),"B4-17.mp3")</f>
        <v>B4-17.mp3</v>
      </c>
      <c r="M1456" s="13" t="str">
        <f ca="1">IFERROR(__xludf.DUMMYFUNCTION("""COMPUTED_VALUE"""),"B4_VD_17.mp3")</f>
        <v>B4_VD_17.mp3</v>
      </c>
    </row>
    <row r="1457" spans="1:13">
      <c r="A1457" s="13">
        <f ca="1">IFERROR(__xludf.DUMMYFUNCTION("""COMPUTED_VALUE"""),18)</f>
        <v>18</v>
      </c>
      <c r="B1457" s="13"/>
      <c r="C1457" s="13" t="str">
        <f ca="1">IFERROR(__xludf.DUMMYFUNCTION("""COMPUTED_VALUE"""),"镇")</f>
        <v>镇</v>
      </c>
      <c r="D1457" s="13" t="str">
        <f ca="1">IFERROR(__xludf.DUMMYFUNCTION("""COMPUTED_VALUE"""),"&lt;ruby&gt;镇&lt;rt&gt;zhèn&lt;/rt&gt;&lt;/ruby&gt;")</f>
        <v>&lt;ruby&gt;镇&lt;rt&gt;zhèn&lt;/rt&gt;&lt;/ruby&gt;</v>
      </c>
      <c r="E1457" s="13" t="str">
        <f ca="1">IFERROR(__xludf.DUMMYFUNCTION("""COMPUTED_VALUE"""),"zhèn")</f>
        <v>zhèn</v>
      </c>
      <c r="F1457" s="13" t="str">
        <f ca="1">IFERROR(__xludf.DUMMYFUNCTION("""COMPUTED_VALUE"""),"Danh từ")</f>
        <v>Danh từ</v>
      </c>
      <c r="G1457" s="13" t="str">
        <f ca="1">IFERROR(__xludf.DUMMYFUNCTION("""COMPUTED_VALUE"""),"thị trấn")</f>
        <v>thị trấn</v>
      </c>
      <c r="H1457" s="13" t="str">
        <f ca="1">IFERROR(__xludf.DUMMYFUNCTION("""COMPUTED_VALUE"""),"这个镇很安静。
")</f>
        <v xml:space="preserve">这个镇很安静。
</v>
      </c>
      <c r="I1457" s="13"/>
      <c r="J1457" s="13" t="str">
        <f ca="1">IFERROR(__xludf.DUMMYFUNCTION("""COMPUTED_VALUE"""),"Thị trấn này rất yên tĩnh.")</f>
        <v>Thị trấn này rất yên tĩnh.</v>
      </c>
      <c r="K1457" s="13" t="str">
        <f ca="1">IFERROR(__xludf.DUMMYFUNCTION("""COMPUTED_VALUE"""),"H5_B4_BG-18.png")</f>
        <v>H5_B4_BG-18.png</v>
      </c>
      <c r="L1457" s="13" t="str">
        <f ca="1">IFERROR(__xludf.DUMMYFUNCTION("""COMPUTED_VALUE"""),"B4-18.mp3")</f>
        <v>B4-18.mp3</v>
      </c>
      <c r="M1457" s="13" t="str">
        <f ca="1">IFERROR(__xludf.DUMMYFUNCTION("""COMPUTED_VALUE"""),"B4_VD_18.mp3")</f>
        <v>B4_VD_18.mp3</v>
      </c>
    </row>
    <row r="1458" spans="1:13">
      <c r="A1458" s="13">
        <f ca="1">IFERROR(__xludf.DUMMYFUNCTION("""COMPUTED_VALUE"""),19)</f>
        <v>19</v>
      </c>
      <c r="B1458" s="13"/>
      <c r="C1458" s="13" t="str">
        <f ca="1">IFERROR(__xludf.DUMMYFUNCTION("""COMPUTED_VALUE"""),"团圆")</f>
        <v>团圆</v>
      </c>
      <c r="D1458" s="13" t="str">
        <f ca="1">IFERROR(__xludf.DUMMYFUNCTION("""COMPUTED_VALUE"""),"&lt;ruby&gt;团圆&lt;rt&gt;tuányuán&lt;/rt&gt;&lt;/ruby&gt;")</f>
        <v>&lt;ruby&gt;团圆&lt;rt&gt;tuányuán&lt;/rt&gt;&lt;/ruby&gt;</v>
      </c>
      <c r="E1458" s="13" t="str">
        <f ca="1">IFERROR(__xludf.DUMMYFUNCTION("""COMPUTED_VALUE"""),"tuányuán")</f>
        <v>tuányuán</v>
      </c>
      <c r="F1458" s="13" t="str">
        <f ca="1">IFERROR(__xludf.DUMMYFUNCTION("""COMPUTED_VALUE"""),"Động từ")</f>
        <v>Động từ</v>
      </c>
      <c r="G1458" s="13" t="str">
        <f ca="1">IFERROR(__xludf.DUMMYFUNCTION("""COMPUTED_VALUE""")," sum họp, đoàn tụ")</f>
        <v xml:space="preserve"> sum họp, đoàn tụ</v>
      </c>
      <c r="H1458" s="13" t="str">
        <f ca="1">IFERROR(__xludf.DUMMYFUNCTION("""COMPUTED_VALUE"""),"每到节假日，很多家庭都会团圆，共享天伦之乐。")</f>
        <v>每到节假日，很多家庭都会团圆，共享天伦之乐。</v>
      </c>
      <c r="I1458" s="13"/>
      <c r="J1458" s="13" t="str">
        <f ca="1">IFERROR(__xludf.DUMMYFUNCTION("""COMPUTED_VALUE"""),"Mỗi dịp lễ Tết, nhiều gia đình sẽ quây quần bên nhau, cùng tận hưởng niềm vui sum vầy.")</f>
        <v>Mỗi dịp lễ Tết, nhiều gia đình sẽ quây quần bên nhau, cùng tận hưởng niềm vui sum vầy.</v>
      </c>
      <c r="K1458" s="13" t="str">
        <f ca="1">IFERROR(__xludf.DUMMYFUNCTION("""COMPUTED_VALUE"""),"H5_B4_BG-19.png")</f>
        <v>H5_B4_BG-19.png</v>
      </c>
      <c r="L1458" s="13" t="str">
        <f ca="1">IFERROR(__xludf.DUMMYFUNCTION("""COMPUTED_VALUE"""),"B4-19.mp3")</f>
        <v>B4-19.mp3</v>
      </c>
      <c r="M1458" s="13" t="str">
        <f ca="1">IFERROR(__xludf.DUMMYFUNCTION("""COMPUTED_VALUE"""),"B4_VD_19.mp3")</f>
        <v>B4_VD_19.mp3</v>
      </c>
    </row>
    <row r="1459" spans="1:13">
      <c r="A1459" s="13">
        <f ca="1">IFERROR(__xludf.DUMMYFUNCTION("""COMPUTED_VALUE"""),20)</f>
        <v>20</v>
      </c>
      <c r="B1459" s="13"/>
      <c r="C1459" s="13" t="str">
        <f ca="1">IFERROR(__xludf.DUMMYFUNCTION("""COMPUTED_VALUE"""),"国君")</f>
        <v>国君</v>
      </c>
      <c r="D1459" s="13" t="str">
        <f ca="1">IFERROR(__xludf.DUMMYFUNCTION("""COMPUTED_VALUE"""),"&lt;ruby&gt;国君&lt;rt&gt;guójūn&lt;/rt&gt;&lt;/ruby&gt;")</f>
        <v>&lt;ruby&gt;国君&lt;rt&gt;guójūn&lt;/rt&gt;&lt;/ruby&gt;</v>
      </c>
      <c r="E1459" s="13" t="str">
        <f ca="1">IFERROR(__xludf.DUMMYFUNCTION("""COMPUTED_VALUE"""),"guójūn")</f>
        <v>guójūn</v>
      </c>
      <c r="F1459" s="13" t="str">
        <f ca="1">IFERROR(__xludf.DUMMYFUNCTION("""COMPUTED_VALUE"""),"Danh từ")</f>
        <v>Danh từ</v>
      </c>
      <c r="G1459" s="13" t="str">
        <f ca="1">IFERROR(__xludf.DUMMYFUNCTION("""COMPUTED_VALUE"""),"vua")</f>
        <v>vua</v>
      </c>
      <c r="H1459" s="13" t="str">
        <f ca="1">IFERROR(__xludf.DUMMYFUNCTION("""COMPUTED_VALUE"""),"国君穿着华丽的衣服。
")</f>
        <v xml:space="preserve">国君穿着华丽的衣服。
</v>
      </c>
      <c r="I1459" s="13"/>
      <c r="J1459" s="13" t="str">
        <f ca="1">IFERROR(__xludf.DUMMYFUNCTION("""COMPUTED_VALUE"""),"Quốc vương mặc đồ lộng lẫy.")</f>
        <v>Quốc vương mặc đồ lộng lẫy.</v>
      </c>
      <c r="K1459" s="13" t="str">
        <f ca="1">IFERROR(__xludf.DUMMYFUNCTION("""COMPUTED_VALUE"""),"H5_B4_BG-20.png")</f>
        <v>H5_B4_BG-20.png</v>
      </c>
      <c r="L1459" s="13" t="str">
        <f ca="1">IFERROR(__xludf.DUMMYFUNCTION("""COMPUTED_VALUE"""),"B4-20.mp3")</f>
        <v>B4-20.mp3</v>
      </c>
      <c r="M1459" s="13" t="str">
        <f ca="1">IFERROR(__xludf.DUMMYFUNCTION("""COMPUTED_VALUE"""),"B4_VD_20.mp3")</f>
        <v>B4_VD_20.mp3</v>
      </c>
    </row>
    <row r="1460" spans="1:13">
      <c r="A1460" s="13">
        <f ca="1">IFERROR(__xludf.DUMMYFUNCTION("""COMPUTED_VALUE"""),21)</f>
        <v>21</v>
      </c>
      <c r="B1460" s="13"/>
      <c r="C1460" s="13" t="str">
        <f ca="1">IFERROR(__xludf.DUMMYFUNCTION("""COMPUTED_VALUE"""),"决心")</f>
        <v>决心</v>
      </c>
      <c r="D1460" s="13" t="str">
        <f ca="1">IFERROR(__xludf.DUMMYFUNCTION("""COMPUTED_VALUE"""),"&lt;ruby&gt;决心&lt;rt&gt;juéxīn&lt;/rt&gt;&lt;/ruby&gt;")</f>
        <v>&lt;ruby&gt;决心&lt;rt&gt;juéxīn&lt;/rt&gt;&lt;/ruby&gt;</v>
      </c>
      <c r="E1460" s="13" t="str">
        <f ca="1">IFERROR(__xludf.DUMMYFUNCTION("""COMPUTED_VALUE"""),"juéxīn")</f>
        <v>juéxīn</v>
      </c>
      <c r="F1460" s="13" t="str">
        <f ca="1">IFERROR(__xludf.DUMMYFUNCTION("""COMPUTED_VALUE"""),"Động từ/Danh từ")</f>
        <v>Động từ/Danh từ</v>
      </c>
      <c r="G1460" s="13" t="str">
        <f ca="1">IFERROR(__xludf.DUMMYFUNCTION("""COMPUTED_VALUE"""),"quyết tâm; sự quyết tâm")</f>
        <v>quyết tâm; sự quyết tâm</v>
      </c>
      <c r="H1460" s="13" t="str">
        <f ca="1">IFERROR(__xludf.DUMMYFUNCTION("""COMPUTED_VALUE"""),"她决心考上大学。")</f>
        <v>她决心考上大学。</v>
      </c>
      <c r="I1460" s="13"/>
      <c r="J1460" s="13" t="str">
        <f ca="1">IFERROR(__xludf.DUMMYFUNCTION("""COMPUTED_VALUE"""),"Cô ấy quyết tâm thi đỗ đại học. ")</f>
        <v xml:space="preserve">Cô ấy quyết tâm thi đỗ đại học. </v>
      </c>
      <c r="K1460" s="13" t="str">
        <f ca="1">IFERROR(__xludf.DUMMYFUNCTION("""COMPUTED_VALUE"""),"H5_B4_BG-21.png")</f>
        <v>H5_B4_BG-21.png</v>
      </c>
      <c r="L1460" s="13" t="str">
        <f ca="1">IFERROR(__xludf.DUMMYFUNCTION("""COMPUTED_VALUE"""),"B4-21.mp3")</f>
        <v>B4-21.mp3</v>
      </c>
      <c r="M1460" s="13" t="str">
        <f ca="1">IFERROR(__xludf.DUMMYFUNCTION("""COMPUTED_VALUE"""),"B4_VD_21.mp3")</f>
        <v>B4_VD_21.mp3</v>
      </c>
    </row>
    <row r="1461" spans="1:13">
      <c r="A1461" s="13">
        <f ca="1">IFERROR(__xludf.DUMMYFUNCTION("""COMPUTED_VALUE"""),22)</f>
        <v>22</v>
      </c>
      <c r="B1461" s="13"/>
      <c r="C1461" s="13" t="str">
        <f ca="1">IFERROR(__xludf.DUMMYFUNCTION("""COMPUTED_VALUE"""),"后背")</f>
        <v>后背</v>
      </c>
      <c r="D1461" s="13" t="str">
        <f ca="1">IFERROR(__xludf.DUMMYFUNCTION("""COMPUTED_VALUE"""),"&lt;ruby&gt;后背&lt;rt&gt;hòubèi&lt;/rt&gt;&lt;/ruby&gt;")</f>
        <v>&lt;ruby&gt;后背&lt;rt&gt;hòubèi&lt;/rt&gt;&lt;/ruby&gt;</v>
      </c>
      <c r="E1461" s="13" t="str">
        <f ca="1">IFERROR(__xludf.DUMMYFUNCTION("""COMPUTED_VALUE"""),"hòubèi")</f>
        <v>hòubèi</v>
      </c>
      <c r="F1461" s="13" t="str">
        <f ca="1">IFERROR(__xludf.DUMMYFUNCTION("""COMPUTED_VALUE"""),"Danh từ")</f>
        <v>Danh từ</v>
      </c>
      <c r="G1461" s="13" t="str">
        <f ca="1">IFERROR(__xludf.DUMMYFUNCTION("""COMPUTED_VALUE"""),"lưng (người)")</f>
        <v>lưng (người)</v>
      </c>
      <c r="H1461" s="13" t="str">
        <f ca="1">IFERROR(__xludf.DUMMYFUNCTION("""COMPUTED_VALUE"""),"他的后背很疼。")</f>
        <v>他的后背很疼。</v>
      </c>
      <c r="I1461" s="13"/>
      <c r="J1461" s="13" t="str">
        <f ca="1">IFERROR(__xludf.DUMMYFUNCTION("""COMPUTED_VALUE"""),"Lưng của anh ấy rất đau.")</f>
        <v>Lưng của anh ấy rất đau.</v>
      </c>
      <c r="K1461" s="13" t="str">
        <f ca="1">IFERROR(__xludf.DUMMYFUNCTION("""COMPUTED_VALUE"""),"H5_B4_BG-22.png")</f>
        <v>H5_B4_BG-22.png</v>
      </c>
      <c r="L1461" s="13" t="str">
        <f ca="1">IFERROR(__xludf.DUMMYFUNCTION("""COMPUTED_VALUE"""),"B4-22.mp3")</f>
        <v>B4-22.mp3</v>
      </c>
      <c r="M1461" s="13" t="str">
        <f ca="1">IFERROR(__xludf.DUMMYFUNCTION("""COMPUTED_VALUE"""),"B4_VD_22.mp3")</f>
        <v>B4_VD_22.mp3</v>
      </c>
    </row>
    <row r="1462" spans="1:13">
      <c r="A1462" s="13">
        <f ca="1">IFERROR(__xludf.DUMMYFUNCTION("""COMPUTED_VALUE"""),23)</f>
        <v>23</v>
      </c>
      <c r="B1462" s="13"/>
      <c r="C1462" s="13" t="str">
        <f ca="1">IFERROR(__xludf.DUMMYFUNCTION("""COMPUTED_VALUE"""),"去世")</f>
        <v>去世</v>
      </c>
      <c r="D1462" s="13" t="str">
        <f ca="1">IFERROR(__xludf.DUMMYFUNCTION("""COMPUTED_VALUE"""),"&lt;ruby&gt;去世&lt;rt&gt;qùshì&lt;/rt&gt;&lt;/ruby&gt;")</f>
        <v>&lt;ruby&gt;去世&lt;rt&gt;qùshì&lt;/rt&gt;&lt;/ruby&gt;</v>
      </c>
      <c r="E1462" s="13" t="str">
        <f ca="1">IFERROR(__xludf.DUMMYFUNCTION("""COMPUTED_VALUE"""),"qùshì")</f>
        <v>qùshì</v>
      </c>
      <c r="F1462" s="13" t="str">
        <f ca="1">IFERROR(__xludf.DUMMYFUNCTION("""COMPUTED_VALUE"""),"Động từ")</f>
        <v>Động từ</v>
      </c>
      <c r="G1462" s="13" t="str">
        <f ca="1">IFERROR(__xludf.DUMMYFUNCTION("""COMPUTED_VALUE""")," qua đời, từ trần")</f>
        <v xml:space="preserve"> qua đời, từ trần</v>
      </c>
      <c r="H1462" s="13" t="str">
        <f ca="1">IFERROR(__xludf.DUMMYFUNCTION("""COMPUTED_VALUE"""),"去世的消息让我们很难过。
")</f>
        <v xml:space="preserve">去世的消息让我们很难过。
</v>
      </c>
      <c r="I1462" s="13"/>
      <c r="J1462" s="13" t="str">
        <f ca="1">IFERROR(__xludf.DUMMYFUNCTION("""COMPUTED_VALUE"""),"Tin về cái chết làm chúng tôi rất buồn.")</f>
        <v>Tin về cái chết làm chúng tôi rất buồn.</v>
      </c>
      <c r="K1462" s="13" t="str">
        <f ca="1">IFERROR(__xludf.DUMMYFUNCTION("""COMPUTED_VALUE"""),"H5_B4_BG-23.png")</f>
        <v>H5_B4_BG-23.png</v>
      </c>
      <c r="L1462" s="13" t="str">
        <f ca="1">IFERROR(__xludf.DUMMYFUNCTION("""COMPUTED_VALUE"""),"B4-23.mp3")</f>
        <v>B4-23.mp3</v>
      </c>
      <c r="M1462" s="13" t="str">
        <f ca="1">IFERROR(__xludf.DUMMYFUNCTION("""COMPUTED_VALUE"""),"B4_VD_23.mp3")</f>
        <v>B4_VD_23.mp3</v>
      </c>
    </row>
    <row r="1463" spans="1:13">
      <c r="A1463" s="13">
        <f ca="1">IFERROR(__xludf.DUMMYFUNCTION("""COMPUTED_VALUE"""),24)</f>
        <v>24</v>
      </c>
      <c r="B1463" s="13"/>
      <c r="C1463" s="13" t="str">
        <f ca="1">IFERROR(__xludf.DUMMYFUNCTION("""COMPUTED_VALUE"""),"主人")</f>
        <v>主人</v>
      </c>
      <c r="D1463" s="13" t="str">
        <f ca="1">IFERROR(__xludf.DUMMYFUNCTION("""COMPUTED_VALUE"""),"&lt;ruby&gt;主人&lt;rt&gt;zhǔrén&lt;/rt&gt;&lt;/ruby&gt;")</f>
        <v>&lt;ruby&gt;主人&lt;rt&gt;zhǔrén&lt;/rt&gt;&lt;/ruby&gt;</v>
      </c>
      <c r="E1463" s="13" t="str">
        <f ca="1">IFERROR(__xludf.DUMMYFUNCTION("""COMPUTED_VALUE"""),"zhǔrén")</f>
        <v>zhǔrén</v>
      </c>
      <c r="F1463" s="13" t="str">
        <f ca="1">IFERROR(__xludf.DUMMYFUNCTION("""COMPUTED_VALUE"""),"Danh từ")</f>
        <v>Danh từ</v>
      </c>
      <c r="G1463" s="13" t="str">
        <f ca="1">IFERROR(__xludf.DUMMYFUNCTION("""COMPUTED_VALUE"""),"người chủ")</f>
        <v>người chủ</v>
      </c>
      <c r="H1463" s="13" t="str">
        <f ca="1">IFERROR(__xludf.DUMMYFUNCTION("""COMPUTED_VALUE"""),"那只流浪狗终于找到了一个好主人，不再流浪街头。")</f>
        <v>那只流浪狗终于找到了一个好主人，不再流浪街头。</v>
      </c>
      <c r="I1463" s="13"/>
      <c r="J1463" s="13" t="str">
        <f ca="1">IFERROR(__xludf.DUMMYFUNCTION("""COMPUTED_VALUE"""),"Con chó hoang đó cuối cùng đã tìm được một chủ nhân tốt, không còn lang thang trên phố nữa.")</f>
        <v>Con chó hoang đó cuối cùng đã tìm được một chủ nhân tốt, không còn lang thang trên phố nữa.</v>
      </c>
      <c r="K1463" s="13" t="str">
        <f ca="1">IFERROR(__xludf.DUMMYFUNCTION("""COMPUTED_VALUE"""),"H5_B4_BG-24.png")</f>
        <v>H5_B4_BG-24.png</v>
      </c>
      <c r="L1463" s="13" t="str">
        <f ca="1">IFERROR(__xludf.DUMMYFUNCTION("""COMPUTED_VALUE"""),"B4-24.mp3")</f>
        <v>B4-24.mp3</v>
      </c>
      <c r="M1463" s="13" t="str">
        <f ca="1">IFERROR(__xludf.DUMMYFUNCTION("""COMPUTED_VALUE"""),"B4_VD_24.mp3")</f>
        <v>B4_VD_24.mp3</v>
      </c>
    </row>
    <row r="1464" spans="1:13">
      <c r="A1464" s="13">
        <f ca="1">IFERROR(__xludf.DUMMYFUNCTION("""COMPUTED_VALUE"""),25)</f>
        <v>25</v>
      </c>
      <c r="B1464" s="13"/>
      <c r="C1464" s="13" t="str">
        <f ca="1">IFERROR(__xludf.DUMMYFUNCTION("""COMPUTED_VALUE"""),"不行")</f>
        <v>不行</v>
      </c>
      <c r="D1464" s="13" t="str">
        <f ca="1">IFERROR(__xludf.DUMMYFUNCTION("""COMPUTED_VALUE"""),"&lt;ruby&gt;不行&lt;rt&gt;bùxíng&lt;/rt&gt;&lt;/ruby&gt;")</f>
        <v>&lt;ruby&gt;不行&lt;rt&gt;bùxíng&lt;/rt&gt;&lt;/ruby&gt;</v>
      </c>
      <c r="E1464" s="13" t="str">
        <f ca="1">IFERROR(__xludf.DUMMYFUNCTION("""COMPUTED_VALUE"""),"bùxíng")</f>
        <v>bùxíng</v>
      </c>
      <c r="F1464" s="13" t="str">
        <f ca="1">IFERROR(__xludf.DUMMYFUNCTION("""COMPUTED_VALUE"""),"Động từ")</f>
        <v>Động từ</v>
      </c>
      <c r="G1464" s="13" t="str">
        <f ca="1">IFERROR(__xludf.DUMMYFUNCTION("""COMPUTED_VALUE"""),"(chỉ mức độ, cường độ...) ghê gớm, kinh khủng, cực kỳ")</f>
        <v>(chỉ mức độ, cường độ...) ghê gớm, kinh khủng, cực kỳ</v>
      </c>
      <c r="H1464" s="13" t="str">
        <f ca="1">IFERROR(__xludf.DUMMYFUNCTION("""COMPUTED_VALUE"""),"他的计划被上司否定了，因为那样做不行。")</f>
        <v>他的计划被上司否定了，因为那样做不行。</v>
      </c>
      <c r="I1464" s="13"/>
      <c r="J1464" s="13" t="str">
        <f ca="1">IFERROR(__xludf.DUMMYFUNCTION("""COMPUTED_VALUE"""),"Kế hoạch của anh ấy đã bị sếp bác bỏ vì làm như vậy là không khả thi.")</f>
        <v>Kế hoạch của anh ấy đã bị sếp bác bỏ vì làm như vậy là không khả thi.</v>
      </c>
      <c r="K1464" s="13" t="str">
        <f ca="1">IFERROR(__xludf.DUMMYFUNCTION("""COMPUTED_VALUE"""),"H5_B4_BG-25.png")</f>
        <v>H5_B4_BG-25.png</v>
      </c>
      <c r="L1464" s="13" t="str">
        <f ca="1">IFERROR(__xludf.DUMMYFUNCTION("""COMPUTED_VALUE"""),"B4-25.mp3")</f>
        <v>B4-25.mp3</v>
      </c>
      <c r="M1464" s="13" t="str">
        <f ca="1">IFERROR(__xludf.DUMMYFUNCTION("""COMPUTED_VALUE"""),"B4_VD_25.mp3")</f>
        <v>B4_VD_25.mp3</v>
      </c>
    </row>
    <row r="1465" spans="1:13">
      <c r="A1465" s="13">
        <f ca="1">IFERROR(__xludf.DUMMYFUNCTION("""COMPUTED_VALUE"""),26)</f>
        <v>26</v>
      </c>
      <c r="B1465" s="13"/>
      <c r="C1465" s="13" t="str">
        <f ca="1">IFERROR(__xludf.DUMMYFUNCTION("""COMPUTED_VALUE"""),"打听")</f>
        <v>打听</v>
      </c>
      <c r="D1465" s="13" t="str">
        <f ca="1">IFERROR(__xludf.DUMMYFUNCTION("""COMPUTED_VALUE"""),"&lt;ruby&gt;打听&lt;rt&gt;dǎtīng&lt;/rt&gt;&lt;/ruby&gt;")</f>
        <v>&lt;ruby&gt;打听&lt;rt&gt;dǎtīng&lt;/rt&gt;&lt;/ruby&gt;</v>
      </c>
      <c r="E1465" s="13" t="str">
        <f ca="1">IFERROR(__xludf.DUMMYFUNCTION("""COMPUTED_VALUE"""),"dǎtīng")</f>
        <v>dǎtīng</v>
      </c>
      <c r="F1465" s="13" t="str">
        <f ca="1">IFERROR(__xludf.DUMMYFUNCTION("""COMPUTED_VALUE"""),"Động từ")</f>
        <v>Động từ</v>
      </c>
      <c r="G1465" s="13" t="str">
        <f ca="1">IFERROR(__xludf.DUMMYFUNCTION("""COMPUTED_VALUE"""),"hỏi thăm, nghe ngóng")</f>
        <v>hỏi thăm, nghe ngóng</v>
      </c>
      <c r="H1465" s="13" t="str">
        <f ca="1">IFERROR(__xludf.DUMMYFUNCTION("""COMPUTED_VALUE"""),"我想打听一下附近有没有好的餐厅。")</f>
        <v>我想打听一下附近有没有好的餐厅。</v>
      </c>
      <c r="I1465" s="13"/>
      <c r="J1465" s="13" t="str">
        <f ca="1">IFERROR(__xludf.DUMMYFUNCTION("""COMPUTED_VALUE"""),"Tôi muốn hỏi xem gần đây có nhà hàng tốt nào không.")</f>
        <v>Tôi muốn hỏi xem gần đây có nhà hàng tốt nào không.</v>
      </c>
      <c r="K1465" s="13" t="str">
        <f ca="1">IFERROR(__xludf.DUMMYFUNCTION("""COMPUTED_VALUE"""),"H5_B4_BG-26.png")</f>
        <v>H5_B4_BG-26.png</v>
      </c>
      <c r="L1465" s="13" t="str">
        <f ca="1">IFERROR(__xludf.DUMMYFUNCTION("""COMPUTED_VALUE"""),"B4-26.mp3")</f>
        <v>B4-26.mp3</v>
      </c>
      <c r="M1465" s="13" t="str">
        <f ca="1">IFERROR(__xludf.DUMMYFUNCTION("""COMPUTED_VALUE"""),"B4_VD_26.mp3")</f>
        <v>B4_VD_26.mp3</v>
      </c>
    </row>
    <row r="1466" spans="1:13">
      <c r="A1466" s="13">
        <f ca="1">IFERROR(__xludf.DUMMYFUNCTION("""COMPUTED_VALUE"""),27)</f>
        <v>27</v>
      </c>
      <c r="B1466" s="13"/>
      <c r="C1466" s="13" t="str">
        <f ca="1">IFERROR(__xludf.DUMMYFUNCTION("""COMPUTED_VALUE"""),"顶")</f>
        <v>顶</v>
      </c>
      <c r="D1466" s="13" t="str">
        <f ca="1">IFERROR(__xludf.DUMMYFUNCTION("""COMPUTED_VALUE"""),"&lt;ruby&gt;顶&lt;rt&gt;dǐng&lt;/rt&gt;&lt;/ruby&gt;")</f>
        <v>&lt;ruby&gt;顶&lt;rt&gt;dǐng&lt;/rt&gt;&lt;/ruby&gt;</v>
      </c>
      <c r="E1466" s="13" t="str">
        <f ca="1">IFERROR(__xludf.DUMMYFUNCTION("""COMPUTED_VALUE"""),"dǐng")</f>
        <v>dǐng</v>
      </c>
      <c r="F1466" s="13" t="str">
        <f ca="1">IFERROR(__xludf.DUMMYFUNCTION("""COMPUTED_VALUE"""),"Động từ")</f>
        <v>Động từ</v>
      </c>
      <c r="G1466" s="13" t="str">
        <f ca="1">IFERROR(__xludf.DUMMYFUNCTION("""COMPUTED_VALUE"""),"đi ngược, chống lại, đối mặt")</f>
        <v>đi ngược, chống lại, đối mặt</v>
      </c>
      <c r="H1466" s="13" t="str">
        <f ca="1">IFERROR(__xludf.DUMMYFUNCTION("""COMPUTED_VALUE"""),"这座山顶很高。
")</f>
        <v xml:space="preserve">这座山顶很高。
</v>
      </c>
      <c r="I1466" s="13"/>
      <c r="J1466" s="13" t="str">
        <f ca="1">IFERROR(__xludf.DUMMYFUNCTION("""COMPUTED_VALUE"""),"Đỉnh của ngọn núi này rất cao.")</f>
        <v>Đỉnh của ngọn núi này rất cao.</v>
      </c>
      <c r="K1466" s="13" t="str">
        <f ca="1">IFERROR(__xludf.DUMMYFUNCTION("""COMPUTED_VALUE"""),"H5_B4_BG-27.png")</f>
        <v>H5_B4_BG-27.png</v>
      </c>
      <c r="L1466" s="13" t="str">
        <f ca="1">IFERROR(__xludf.DUMMYFUNCTION("""COMPUTED_VALUE"""),"B4-27.mp3")</f>
        <v>B4-27.mp3</v>
      </c>
      <c r="M1466" s="13" t="str">
        <f ca="1">IFERROR(__xludf.DUMMYFUNCTION("""COMPUTED_VALUE"""),"B4_VD_27.mp3")</f>
        <v>B4_VD_27.mp3</v>
      </c>
    </row>
    <row r="1467" spans="1:13">
      <c r="A1467" s="13">
        <f ca="1">IFERROR(__xludf.DUMMYFUNCTION("""COMPUTED_VALUE"""),28)</f>
        <v>28</v>
      </c>
      <c r="B1467" s="13"/>
      <c r="C1467" s="13" t="str">
        <f ca="1">IFERROR(__xludf.DUMMYFUNCTION("""COMPUTED_VALUE"""),"流传")</f>
        <v>流传</v>
      </c>
      <c r="D1467" s="13" t="str">
        <f ca="1">IFERROR(__xludf.DUMMYFUNCTION("""COMPUTED_VALUE"""),"&lt;ruby&gt;流传&lt;rt&gt;liúchuán&lt;/rt&gt;&lt;/ruby&gt;")</f>
        <v>&lt;ruby&gt;流传&lt;rt&gt;liúchuán&lt;/rt&gt;&lt;/ruby&gt;</v>
      </c>
      <c r="E1467" s="13" t="str">
        <f ca="1">IFERROR(__xludf.DUMMYFUNCTION("""COMPUTED_VALUE"""),"liúchuán")</f>
        <v>liúchuán</v>
      </c>
      <c r="F1467" s="13" t="str">
        <f ca="1">IFERROR(__xludf.DUMMYFUNCTION("""COMPUTED_VALUE"""),"Động từ")</f>
        <v>Động từ</v>
      </c>
      <c r="G1467" s="13" t="str">
        <f ca="1">IFERROR(__xludf.DUMMYFUNCTION("""COMPUTED_VALUE"""),"lưu truyền")</f>
        <v>lưu truyền</v>
      </c>
      <c r="H1467" s="13" t="str">
        <f ca="1">IFERROR(__xludf.DUMMYFUNCTION("""COMPUTED_VALUE"""),"月饼的故事在民间流传了几千年。")</f>
        <v>月饼的故事在民间流传了几千年。</v>
      </c>
      <c r="I1467" s="13"/>
      <c r="J1467" s="13" t="str">
        <f ca="1">IFERROR(__xludf.DUMMYFUNCTION("""COMPUTED_VALUE"""),"Câu chuyện về bánh Trung thu đã được lưu truyền trong dân gian hàng nghìn năm.")</f>
        <v>Câu chuyện về bánh Trung thu đã được lưu truyền trong dân gian hàng nghìn năm.</v>
      </c>
      <c r="K1467" s="13" t="str">
        <f ca="1">IFERROR(__xludf.DUMMYFUNCTION("""COMPUTED_VALUE"""),"H5_B4_BG-28.png")</f>
        <v>H5_B4_BG-28.png</v>
      </c>
      <c r="L1467" s="13" t="str">
        <f ca="1">IFERROR(__xludf.DUMMYFUNCTION("""COMPUTED_VALUE"""),"B4-28.mp3")</f>
        <v>B4-28.mp3</v>
      </c>
      <c r="M1467" s="13" t="str">
        <f ca="1">IFERROR(__xludf.DUMMYFUNCTION("""COMPUTED_VALUE"""),"B4_VD_28.mp3")</f>
        <v>B4_VD_28.mp3</v>
      </c>
    </row>
    <row r="1468" spans="1:13">
      <c r="A1468" s="13">
        <f ca="1">IFERROR(__xludf.DUMMYFUNCTION("""COMPUTED_VALUE"""),29)</f>
        <v>29</v>
      </c>
      <c r="B1468" s="13"/>
      <c r="C1468" s="13" t="str">
        <f ca="1">IFERROR(__xludf.DUMMYFUNCTION("""COMPUTED_VALUE"""),"扶")</f>
        <v>扶</v>
      </c>
      <c r="D1468" s="13" t="str">
        <f ca="1">IFERROR(__xludf.DUMMYFUNCTION("""COMPUTED_VALUE"""),"&lt;ruby&gt;扶&lt;rt&gt;fú&lt;/rt&gt;&lt;/ruby&gt;")</f>
        <v>&lt;ruby&gt;扶&lt;rt&gt;fú&lt;/rt&gt;&lt;/ruby&gt;</v>
      </c>
      <c r="E1468" s="13" t="str">
        <f ca="1">IFERROR(__xludf.DUMMYFUNCTION("""COMPUTED_VALUE"""),"fú")</f>
        <v>fú</v>
      </c>
      <c r="F1468" s="13" t="str">
        <f ca="1">IFERROR(__xludf.DUMMYFUNCTION("""COMPUTED_VALUE"""),"Động từ")</f>
        <v>Động từ</v>
      </c>
      <c r="G1468" s="13" t="str">
        <f ca="1">IFERROR(__xludf.DUMMYFUNCTION("""COMPUTED_VALUE"""),"đỡ, vịn")</f>
        <v>đỡ, vịn</v>
      </c>
      <c r="H1468" s="13" t="str">
        <f ca="1">IFERROR(__xludf.DUMMYFUNCTION("""COMPUTED_VALUE"""),"小女孩扶着栏杆，认真地练习舞蹈。")</f>
        <v>小女孩扶着栏杆，认真地练习舞蹈。</v>
      </c>
      <c r="I1468" s="13"/>
      <c r="J1468" s="13" t="str">
        <f ca="1">IFERROR(__xludf.DUMMYFUNCTION("""COMPUTED_VALUE"""),"Cô bé đang vịn vào lan can, chăm chỉ luyện tập múa.")</f>
        <v>Cô bé đang vịn vào lan can, chăm chỉ luyện tập múa.</v>
      </c>
      <c r="K1468" s="13" t="str">
        <f ca="1">IFERROR(__xludf.DUMMYFUNCTION("""COMPUTED_VALUE"""),"H5_B4_BG-29.png")</f>
        <v>H5_B4_BG-29.png</v>
      </c>
      <c r="L1468" s="13" t="str">
        <f ca="1">IFERROR(__xludf.DUMMYFUNCTION("""COMPUTED_VALUE"""),"B4-29.mp3")</f>
        <v>B4-29.mp3</v>
      </c>
      <c r="M1468" s="13" t="str">
        <f ca="1">IFERROR(__xludf.DUMMYFUNCTION("""COMPUTED_VALUE"""),"B4_VD_29.mp3")</f>
        <v>B4_VD_29.mp3</v>
      </c>
    </row>
    <row r="1469" spans="1:13">
      <c r="A1469" s="13">
        <f ca="1">IFERROR(__xludf.DUMMYFUNCTION("""COMPUTED_VALUE"""),30)</f>
        <v>30</v>
      </c>
      <c r="B1469" s="13"/>
      <c r="C1469" s="13" t="str">
        <f ca="1">IFERROR(__xludf.DUMMYFUNCTION("""COMPUTED_VALUE"""),"战争")</f>
        <v>战争</v>
      </c>
      <c r="D1469" s="13" t="str">
        <f ca="1">IFERROR(__xludf.DUMMYFUNCTION("""COMPUTED_VALUE"""),"&lt;ruby&gt;战争&lt;rt&gt;zhànzhēng&lt;/rt&gt;&lt;/ruby&gt;")</f>
        <v>&lt;ruby&gt;战争&lt;rt&gt;zhànzhēng&lt;/rt&gt;&lt;/ruby&gt;</v>
      </c>
      <c r="E1469" s="13" t="str">
        <f ca="1">IFERROR(__xludf.DUMMYFUNCTION("""COMPUTED_VALUE"""),"zhànzhēng")</f>
        <v>zhànzhēng</v>
      </c>
      <c r="F1469" s="13" t="str">
        <f ca="1">IFERROR(__xludf.DUMMYFUNCTION("""COMPUTED_VALUE"""),"Danh từ")</f>
        <v>Danh từ</v>
      </c>
      <c r="G1469" s="13" t="str">
        <f ca="1">IFERROR(__xludf.DUMMYFUNCTION("""COMPUTED_VALUE"""),"chiến tranh")</f>
        <v>chiến tranh</v>
      </c>
      <c r="H1469" s="13" t="str">
        <f ca="1">IFERROR(__xludf.DUMMYFUNCTION("""COMPUTED_VALUE"""),"战争让很多家庭失去了亲人。 ")</f>
        <v xml:space="preserve">战争让很多家庭失去了亲人。 </v>
      </c>
      <c r="I1469" s="13"/>
      <c r="J1469" s="13" t="str">
        <f ca="1">IFERROR(__xludf.DUMMYFUNCTION("""COMPUTED_VALUE"""),"Chiến tranh khiến nhiều gia đình mất đi người thân.")</f>
        <v>Chiến tranh khiến nhiều gia đình mất đi người thân.</v>
      </c>
      <c r="K1469" s="13" t="str">
        <f ca="1">IFERROR(__xludf.DUMMYFUNCTION("""COMPUTED_VALUE"""),"H5_B4_BG-30.png")</f>
        <v>H5_B4_BG-30.png</v>
      </c>
      <c r="L1469" s="13" t="str">
        <f ca="1">IFERROR(__xludf.DUMMYFUNCTION("""COMPUTED_VALUE"""),"B4-30.mp3")</f>
        <v>B4-30.mp3</v>
      </c>
      <c r="M1469" s="13" t="str">
        <f ca="1">IFERROR(__xludf.DUMMYFUNCTION("""COMPUTED_VALUE"""),"B4_VD_30.mp3")</f>
        <v>B4_VD_30.mp3</v>
      </c>
    </row>
    <row r="1470" spans="1:13">
      <c r="A1470" s="13">
        <f ca="1">IFERROR(__xludf.DUMMYFUNCTION("""COMPUTED_VALUE"""),31)</f>
        <v>31</v>
      </c>
      <c r="B1470" s="13"/>
      <c r="C1470" s="13" t="str">
        <f ca="1">IFERROR(__xludf.DUMMYFUNCTION("""COMPUTED_VALUE"""),"滑")</f>
        <v>滑</v>
      </c>
      <c r="D1470" s="13" t="str">
        <f ca="1">IFERROR(__xludf.DUMMYFUNCTION("""COMPUTED_VALUE"""),"&lt;ruby&gt;滑&lt;rt&gt;huá&lt;/rt&gt;&lt;/ruby&gt;")</f>
        <v>&lt;ruby&gt;滑&lt;rt&gt;huá&lt;/rt&gt;&lt;/ruby&gt;</v>
      </c>
      <c r="E1470" s="13" t="str">
        <f ca="1">IFERROR(__xludf.DUMMYFUNCTION("""COMPUTED_VALUE"""),"huá")</f>
        <v>huá</v>
      </c>
      <c r="F1470" s="13" t="str">
        <f ca="1">IFERROR(__xludf.DUMMYFUNCTION("""COMPUTED_VALUE"""),"Tính từ /Động từ")</f>
        <v>Tính từ /Động từ</v>
      </c>
      <c r="G1470" s="13" t="str">
        <f ca="1">IFERROR(__xludf.DUMMYFUNCTION("""COMPUTED_VALUE"""),"trơn; trượt")</f>
        <v>trơn; trượt</v>
      </c>
      <c r="H1470" s="13" t="str">
        <f ca="1">IFERROR(__xludf.DUMMYFUNCTION("""COMPUTED_VALUE"""),"雪落使道路非常滑。")</f>
        <v>雪落使道路非常滑。</v>
      </c>
      <c r="I1470" s="13"/>
      <c r="J1470" s="13" t="str">
        <f ca="1">IFERROR(__xludf.DUMMYFUNCTION("""COMPUTED_VALUE"""),"Tuyết rơi khiến đường rất trơn. ")</f>
        <v xml:space="preserve">Tuyết rơi khiến đường rất trơn. </v>
      </c>
      <c r="K1470" s="13" t="str">
        <f ca="1">IFERROR(__xludf.DUMMYFUNCTION("""COMPUTED_VALUE"""),"H5_B4_BG-31.png")</f>
        <v>H5_B4_BG-31.png</v>
      </c>
      <c r="L1470" s="13" t="str">
        <f ca="1">IFERROR(__xludf.DUMMYFUNCTION("""COMPUTED_VALUE"""),"B4-31.mp3")</f>
        <v>B4-31.mp3</v>
      </c>
      <c r="M1470" s="13" t="str">
        <f ca="1">IFERROR(__xludf.DUMMYFUNCTION("""COMPUTED_VALUE"""),"B4_VD_31.mp3")</f>
        <v>B4_VD_31.mp3</v>
      </c>
    </row>
    <row r="1471" spans="1:13">
      <c r="A1471" s="13">
        <f ca="1">IFERROR(__xludf.DUMMYFUNCTION("""COMPUTED_VALUE"""),32)</f>
        <v>32</v>
      </c>
      <c r="B1471" s="13"/>
      <c r="C1471" s="13" t="str">
        <f ca="1">IFERROR(__xludf.DUMMYFUNCTION("""COMPUTED_VALUE"""),"农民")</f>
        <v>农民</v>
      </c>
      <c r="D1471" s="13" t="str">
        <f ca="1">IFERROR(__xludf.DUMMYFUNCTION("""COMPUTED_VALUE"""),"&lt;ruby&gt;农民&lt;rt&gt;nóngmín&lt;/rt&gt;&lt;/ruby&gt;")</f>
        <v>&lt;ruby&gt;农民&lt;rt&gt;nóngmín&lt;/rt&gt;&lt;/ruby&gt;</v>
      </c>
      <c r="E1471" s="13" t="str">
        <f ca="1">IFERROR(__xludf.DUMMYFUNCTION("""COMPUTED_VALUE"""),"nóngmín")</f>
        <v>nóngmín</v>
      </c>
      <c r="F1471" s="13" t="str">
        <f ca="1">IFERROR(__xludf.DUMMYFUNCTION("""COMPUTED_VALUE"""),"Danh từ")</f>
        <v>Danh từ</v>
      </c>
      <c r="G1471" s="13" t="str">
        <f ca="1">IFERROR(__xludf.DUMMYFUNCTION("""COMPUTED_VALUE"""),"nông dân")</f>
        <v>nông dân</v>
      </c>
      <c r="H1471" s="13" t="str">
        <f ca="1">IFERROR(__xludf.DUMMYFUNCTION("""COMPUTED_VALUE"""),"他是一个勤劳的农民。
")</f>
        <v xml:space="preserve">他是一个勤劳的农民。
</v>
      </c>
      <c r="I1471" s="13"/>
      <c r="J1471" s="13" t="str">
        <f ca="1">IFERROR(__xludf.DUMMYFUNCTION("""COMPUTED_VALUE"""),"Anh ấy là một nông dân chăm chỉ.")</f>
        <v>Anh ấy là một nông dân chăm chỉ.</v>
      </c>
      <c r="K1471" s="13" t="str">
        <f ca="1">IFERROR(__xludf.DUMMYFUNCTION("""COMPUTED_VALUE"""),"H5_B4_BG-32.png")</f>
        <v>H5_B4_BG-32.png</v>
      </c>
      <c r="L1471" s="13" t="str">
        <f ca="1">IFERROR(__xludf.DUMMYFUNCTION("""COMPUTED_VALUE"""),"B4-32.mp3")</f>
        <v>B4-32.mp3</v>
      </c>
      <c r="M1471" s="13" t="str">
        <f ca="1">IFERROR(__xludf.DUMMYFUNCTION("""COMPUTED_VALUE"""),"B4_VD_32.mp3")</f>
        <v>B4_VD_32.mp3</v>
      </c>
    </row>
    <row r="1472" spans="1:13">
      <c r="A1472" s="13">
        <f ca="1">IFERROR(__xludf.DUMMYFUNCTION("""COMPUTED_VALUE"""),33)</f>
        <v>33</v>
      </c>
      <c r="B1472" s="13"/>
      <c r="C1472" s="13" t="str">
        <f ca="1">IFERROR(__xludf.DUMMYFUNCTION("""COMPUTED_VALUE"""),"勤奋")</f>
        <v>勤奋</v>
      </c>
      <c r="D1472" s="13" t="str">
        <f ca="1">IFERROR(__xludf.DUMMYFUNCTION("""COMPUTED_VALUE"""),"&lt;ruby&gt;勤奋&lt;rt&gt;qínfèn&lt;/rt&gt;&lt;/ruby&gt;")</f>
        <v>&lt;ruby&gt;勤奋&lt;rt&gt;qínfèn&lt;/rt&gt;&lt;/ruby&gt;</v>
      </c>
      <c r="E1472" s="13" t="str">
        <f ca="1">IFERROR(__xludf.DUMMYFUNCTION("""COMPUTED_VALUE"""),"qínfèn")</f>
        <v>qínfèn</v>
      </c>
      <c r="F1472" s="13" t="str">
        <f ca="1">IFERROR(__xludf.DUMMYFUNCTION("""COMPUTED_VALUE"""),"Tính từ ")</f>
        <v xml:space="preserve">Tính từ </v>
      </c>
      <c r="G1472" s="13" t="str">
        <f ca="1">IFERROR(__xludf.DUMMYFUNCTION("""COMPUTED_VALUE"""),"cần cù, siêng năng")</f>
        <v>cần cù, siêng năng</v>
      </c>
      <c r="H1472" s="13" t="str">
        <f ca="1">IFERROR(__xludf.DUMMYFUNCTION("""COMPUTED_VALUE"""),"他勤奋工作，为家人创造了更好的生活。")</f>
        <v>他勤奋工作，为家人创造了更好的生活。</v>
      </c>
      <c r="I1472" s="13"/>
      <c r="J1472" s="13" t="str">
        <f ca="1">IFERROR(__xludf.DUMMYFUNCTION("""COMPUTED_VALUE"""),"Anh ấy làm việc chăm chỉ để tạo ra cuộc sống tốt hơn cho gia đình.")</f>
        <v>Anh ấy làm việc chăm chỉ để tạo ra cuộc sống tốt hơn cho gia đình.</v>
      </c>
      <c r="K1472" s="13" t="str">
        <f ca="1">IFERROR(__xludf.DUMMYFUNCTION("""COMPUTED_VALUE"""),"H5_B4_BG-33.png")</f>
        <v>H5_B4_BG-33.png</v>
      </c>
      <c r="L1472" s="13" t="str">
        <f ca="1">IFERROR(__xludf.DUMMYFUNCTION("""COMPUTED_VALUE"""),"B4-33.mp3")</f>
        <v>B4-33.mp3</v>
      </c>
      <c r="M1472" s="13" t="str">
        <f ca="1">IFERROR(__xludf.DUMMYFUNCTION("""COMPUTED_VALUE"""),"B4_VD_33.mp3")</f>
        <v>B4_VD_33.mp3</v>
      </c>
    </row>
    <row r="1473" spans="1:13">
      <c r="A1473" s="13">
        <f ca="1">IFERROR(__xludf.DUMMYFUNCTION("""COMPUTED_VALUE"""),34)</f>
        <v>34</v>
      </c>
      <c r="B1473" s="13"/>
      <c r="C1473" s="13" t="str">
        <f ca="1">IFERROR(__xludf.DUMMYFUNCTION("""COMPUTED_VALUE"""),"甩")</f>
        <v>甩</v>
      </c>
      <c r="D1473" s="13" t="str">
        <f ca="1">IFERROR(__xludf.DUMMYFUNCTION("""COMPUTED_VALUE"""),"&lt;ruby&gt;甩&lt;rt&gt;shuǎi&lt;/rt&gt;&lt;/ruby&gt;")</f>
        <v>&lt;ruby&gt;甩&lt;rt&gt;shuǎi&lt;/rt&gt;&lt;/ruby&gt;</v>
      </c>
      <c r="E1473" s="13" t="str">
        <f ca="1">IFERROR(__xludf.DUMMYFUNCTION("""COMPUTED_VALUE"""),"shuǎi")</f>
        <v>shuǎi</v>
      </c>
      <c r="F1473" s="13" t="str">
        <f ca="1">IFERROR(__xludf.DUMMYFUNCTION("""COMPUTED_VALUE"""),"Động từ")</f>
        <v>Động từ</v>
      </c>
      <c r="G1473" s="13" t="str">
        <f ca="1">IFERROR(__xludf.DUMMYFUNCTION("""COMPUTED_VALUE"""),"quăng, vung, ném")</f>
        <v>quăng, vung, ném</v>
      </c>
      <c r="H1473" s="13" t="str">
        <f ca="1">IFERROR(__xludf.DUMMYFUNCTION("""COMPUTED_VALUE"""),"他把香蕉皮甩进了垃圾桶。")</f>
        <v>他把香蕉皮甩进了垃圾桶。</v>
      </c>
      <c r="I1473" s="13"/>
      <c r="J1473" s="13" t="str">
        <f ca="1">IFERROR(__xludf.DUMMYFUNCTION("""COMPUTED_VALUE"""),"Anh ta ném vỏ chuối vào thùng rác. ")</f>
        <v xml:space="preserve">Anh ta ném vỏ chuối vào thùng rác. </v>
      </c>
      <c r="K1473" s="13" t="str">
        <f ca="1">IFERROR(__xludf.DUMMYFUNCTION("""COMPUTED_VALUE"""),"H5_B4_BG-34.png")</f>
        <v>H5_B4_BG-34.png</v>
      </c>
      <c r="L1473" s="13" t="str">
        <f ca="1">IFERROR(__xludf.DUMMYFUNCTION("""COMPUTED_VALUE"""),"B4-34.mp3")</f>
        <v>B4-34.mp3</v>
      </c>
      <c r="M1473" s="13" t="str">
        <f ca="1">IFERROR(__xludf.DUMMYFUNCTION("""COMPUTED_VALUE"""),"B4_VD_34.mp3")</f>
        <v>B4_VD_34.mp3</v>
      </c>
    </row>
    <row r="1474" spans="1:13">
      <c r="A1474" s="13">
        <f ca="1">IFERROR(__xludf.DUMMYFUNCTION("""COMPUTED_VALUE"""),35)</f>
        <v>35</v>
      </c>
      <c r="B1474" s="13"/>
      <c r="C1474" s="13" t="str">
        <f ca="1">IFERROR(__xludf.DUMMYFUNCTION("""COMPUTED_VALUE"""),"时期")</f>
        <v>时期</v>
      </c>
      <c r="D1474" s="13" t="str">
        <f ca="1">IFERROR(__xludf.DUMMYFUNCTION("""COMPUTED_VALUE"""),"&lt;ruby&gt;时期&lt;rt&gt;shíqī&lt;/rt&gt;&lt;/ruby&gt;")</f>
        <v>&lt;ruby&gt;时期&lt;rt&gt;shíqī&lt;/rt&gt;&lt;/ruby&gt;</v>
      </c>
      <c r="E1474" s="13" t="str">
        <f ca="1">IFERROR(__xludf.DUMMYFUNCTION("""COMPUTED_VALUE"""),"shíqī")</f>
        <v>shíqī</v>
      </c>
      <c r="F1474" s="13" t="str">
        <f ca="1">IFERROR(__xludf.DUMMYFUNCTION("""COMPUTED_VALUE"""),"Danh từ")</f>
        <v>Danh từ</v>
      </c>
      <c r="G1474" s="13" t="str">
        <f ca="1">IFERROR(__xludf.DUMMYFUNCTION("""COMPUTED_VALUE"""),"thời kỳ")</f>
        <v>thời kỳ</v>
      </c>
      <c r="H1474" s="13" t="str">
        <f ca="1">IFERROR(__xludf.DUMMYFUNCTION("""COMPUTED_VALUE"""),"在那个时期，很多人过得很艰苦。
")</f>
        <v xml:space="preserve">在那个时期，很多人过得很艰苦。
</v>
      </c>
      <c r="I1474" s="13"/>
      <c r="J1474" s="13" t="str">
        <f ca="1">IFERROR(__xludf.DUMMYFUNCTION("""COMPUTED_VALUE"""),"Vào thời kỳ đó, nhiều người sống rất khó khăn.")</f>
        <v>Vào thời kỳ đó, nhiều người sống rất khó khăn.</v>
      </c>
      <c r="K1474" s="13" t="str">
        <f ca="1">IFERROR(__xludf.DUMMYFUNCTION("""COMPUTED_VALUE"""),"H5_B4_BG-35.png")</f>
        <v>H5_B4_BG-35.png</v>
      </c>
      <c r="L1474" s="13" t="str">
        <f ca="1">IFERROR(__xludf.DUMMYFUNCTION("""COMPUTED_VALUE"""),"B4-35.mp3")</f>
        <v>B4-35.mp3</v>
      </c>
      <c r="M1474" s="13" t="str">
        <f ca="1">IFERROR(__xludf.DUMMYFUNCTION("""COMPUTED_VALUE"""),"B4_VD_35.mp3")</f>
        <v>B4_VD_35.mp3</v>
      </c>
    </row>
    <row r="1475" spans="1:13">
      <c r="A1475" s="13">
        <f ca="1">IFERROR(__xludf.DUMMYFUNCTION("""COMPUTED_VALUE"""),36)</f>
        <v>36</v>
      </c>
      <c r="B1475" s="13"/>
      <c r="C1475" s="13" t="str">
        <f ca="1">IFERROR(__xludf.DUMMYFUNCTION("""COMPUTED_VALUE"""),"食物")</f>
        <v>食物</v>
      </c>
      <c r="D1475" s="13" t="str">
        <f ca="1">IFERROR(__xludf.DUMMYFUNCTION("""COMPUTED_VALUE"""),"&lt;ruby&gt;食物&lt;rt&gt;shíwù&lt;/rt&gt;&lt;/ruby&gt;")</f>
        <v>&lt;ruby&gt;食物&lt;rt&gt;shíwù&lt;/rt&gt;&lt;/ruby&gt;</v>
      </c>
      <c r="E1475" s="13" t="str">
        <f ca="1">IFERROR(__xludf.DUMMYFUNCTION("""COMPUTED_VALUE"""),"shíwù")</f>
        <v>shíwù</v>
      </c>
      <c r="F1475" s="13" t="str">
        <f ca="1">IFERROR(__xludf.DUMMYFUNCTION("""COMPUTED_VALUE"""),"Danh từ")</f>
        <v>Danh từ</v>
      </c>
      <c r="G1475" s="13" t="str">
        <f ca="1">IFERROR(__xludf.DUMMYFUNCTION("""COMPUTED_VALUE"""),"thức ăn")</f>
        <v>thức ăn</v>
      </c>
      <c r="H1475" s="13" t="str">
        <f ca="1">IFERROR(__xludf.DUMMYFUNCTION("""COMPUTED_VALUE"""),"冰箱里有很多新鲜的食物。
")</f>
        <v xml:space="preserve">冰箱里有很多新鲜的食物。
</v>
      </c>
      <c r="I1475" s="13"/>
      <c r="J1475" s="13" t="str">
        <f ca="1">IFERROR(__xludf.DUMMYFUNCTION("""COMPUTED_VALUE"""),"Trong tủ lạnh có nhiều thức ăn tươi.")</f>
        <v>Trong tủ lạnh có nhiều thức ăn tươi.</v>
      </c>
      <c r="K1475" s="13" t="str">
        <f ca="1">IFERROR(__xludf.DUMMYFUNCTION("""COMPUTED_VALUE"""),"H5_B4_BG-36.png")</f>
        <v>H5_B4_BG-36.png</v>
      </c>
      <c r="L1475" s="13" t="str">
        <f ca="1">IFERROR(__xludf.DUMMYFUNCTION("""COMPUTED_VALUE"""),"B4-36.mp3")</f>
        <v>B4-36.mp3</v>
      </c>
      <c r="M1475" s="13" t="str">
        <f ca="1">IFERROR(__xludf.DUMMYFUNCTION("""COMPUTED_VALUE"""),"B4_VD_36.mp3")</f>
        <v>B4_VD_36.mp3</v>
      </c>
    </row>
    <row r="1476" spans="1:13">
      <c r="A1476" s="13">
        <f ca="1">IFERROR(__xludf.DUMMYFUNCTION("""COMPUTED_VALUE"""),37)</f>
        <v>37</v>
      </c>
      <c r="B1476" s="13"/>
      <c r="C1476" s="13" t="str">
        <f ca="1">IFERROR(__xludf.DUMMYFUNCTION("""COMPUTED_VALUE"""),"委屈")</f>
        <v>委屈</v>
      </c>
      <c r="D1476" s="13" t="str">
        <f ca="1">IFERROR(__xludf.DUMMYFUNCTION("""COMPUTED_VALUE"""),"&lt;ruby&gt;委屈&lt;rt&gt;wěiqu&lt;/rt&gt;&lt;/ruby&gt;")</f>
        <v>&lt;ruby&gt;委屈&lt;rt&gt;wěiqu&lt;/rt&gt;&lt;/ruby&gt;</v>
      </c>
      <c r="E1476" s="13" t="str">
        <f ca="1">IFERROR(__xludf.DUMMYFUNCTION("""COMPUTED_VALUE"""),"wěiqu")</f>
        <v>wěiqu</v>
      </c>
      <c r="F1476" s="13" t="str">
        <f ca="1">IFERROR(__xludf.DUMMYFUNCTION("""COMPUTED_VALUE"""),"Động từ/Tính từ ")</f>
        <v xml:space="preserve">Động từ/Tính từ </v>
      </c>
      <c r="G1476" s="13" t="str">
        <f ca="1">IFERROR(__xludf.DUMMYFUNCTION("""COMPUTED_VALUE"""),"để ai chịu thiệt thòi; tủi thân")</f>
        <v>để ai chịu thiệt thòi; tủi thân</v>
      </c>
      <c r="H1476" s="13" t="str">
        <f ca="1">IFERROR(__xludf.DUMMYFUNCTION("""COMPUTED_VALUE"""),"她委屈地哭了起来。")</f>
        <v>她委屈地哭了起来。</v>
      </c>
      <c r="I1476" s="13"/>
      <c r="J1476" s="13" t="str">
        <f ca="1">IFERROR(__xludf.DUMMYFUNCTION("""COMPUTED_VALUE"""),"Cô ấy tủi thân bật khóc nức nở.")</f>
        <v>Cô ấy tủi thân bật khóc nức nở.</v>
      </c>
      <c r="K1476" s="13" t="str">
        <f ca="1">IFERROR(__xludf.DUMMYFUNCTION("""COMPUTED_VALUE"""),"H5_B4_BG-37.png")</f>
        <v>H5_B4_BG-37.png</v>
      </c>
      <c r="L1476" s="13" t="str">
        <f ca="1">IFERROR(__xludf.DUMMYFUNCTION("""COMPUTED_VALUE"""),"B4-37.mp3")</f>
        <v>B4-37.mp3</v>
      </c>
      <c r="M1476" s="13" t="str">
        <f ca="1">IFERROR(__xludf.DUMMYFUNCTION("""COMPUTED_VALUE"""),"B4_VD_37.mp3")</f>
        <v>B4_VD_37.mp3</v>
      </c>
    </row>
    <row r="1477" spans="1:13">
      <c r="A1477" s="13">
        <f ca="1">IFERROR(__xludf.DUMMYFUNCTION("""COMPUTED_VALUE"""),38)</f>
        <v>38</v>
      </c>
      <c r="B1477" s="13"/>
      <c r="C1477" s="13" t="str">
        <f ca="1">IFERROR(__xludf.DUMMYFUNCTION("""COMPUTED_VALUE"""),"物质")</f>
        <v>物质</v>
      </c>
      <c r="D1477" s="13" t="str">
        <f ca="1">IFERROR(__xludf.DUMMYFUNCTION("""COMPUTED_VALUE"""),"&lt;ruby&gt;物质&lt;rt&gt;wùzhì&lt;/rt&gt;&lt;/ruby&gt;")</f>
        <v>&lt;ruby&gt;物质&lt;rt&gt;wùzhì&lt;/rt&gt;&lt;/ruby&gt;</v>
      </c>
      <c r="E1477" s="13" t="str">
        <f ca="1">IFERROR(__xludf.DUMMYFUNCTION("""COMPUTED_VALUE"""),"wùzhì")</f>
        <v>wùzhì</v>
      </c>
      <c r="F1477" s="13" t="str">
        <f ca="1">IFERROR(__xludf.DUMMYFUNCTION("""COMPUTED_VALUE"""),"Danh từ")</f>
        <v>Danh từ</v>
      </c>
      <c r="G1477" s="13" t="str">
        <f ca="1">IFERROR(__xludf.DUMMYFUNCTION("""COMPUTED_VALUE"""),"vật chất")</f>
        <v>vật chất</v>
      </c>
      <c r="H1477" s="13" t="str">
        <f ca="1">IFERROR(__xludf.DUMMYFUNCTION("""COMPUTED_VALUE"""),"他们生活在缺乏物质的环境中。")</f>
        <v>他们生活在缺乏物质的环境中。</v>
      </c>
      <c r="I1477" s="13"/>
      <c r="J1477" s="13" t="str">
        <f ca="1">IFERROR(__xludf.DUMMYFUNCTION("""COMPUTED_VALUE"""),"Họ sống trong một môi trường thiếu thốn vật chất.")</f>
        <v>Họ sống trong một môi trường thiếu thốn vật chất.</v>
      </c>
      <c r="K1477" s="13" t="str">
        <f ca="1">IFERROR(__xludf.DUMMYFUNCTION("""COMPUTED_VALUE"""),"H5_B4_BG-38.png")</f>
        <v>H5_B4_BG-38.png</v>
      </c>
      <c r="L1477" s="13" t="str">
        <f ca="1">IFERROR(__xludf.DUMMYFUNCTION("""COMPUTED_VALUE"""),"B4-38.mp3")</f>
        <v>B4-38.mp3</v>
      </c>
      <c r="M1477" s="13" t="str">
        <f ca="1">IFERROR(__xludf.DUMMYFUNCTION("""COMPUTED_VALUE"""),"B4_VD_38.mp3")</f>
        <v>B4_VD_38.mp3</v>
      </c>
    </row>
    <row r="1478" spans="1:13">
      <c r="A1478" s="13">
        <f ca="1">IFERROR(__xludf.DUMMYFUNCTION("""COMPUTED_VALUE"""),39)</f>
        <v>39</v>
      </c>
      <c r="B1478" s="13"/>
      <c r="C1478" s="13" t="str">
        <f ca="1">IFERROR(__xludf.DUMMYFUNCTION("""COMPUTED_VALUE"""),"占")</f>
        <v>占</v>
      </c>
      <c r="D1478" s="13" t="str">
        <f ca="1">IFERROR(__xludf.DUMMYFUNCTION("""COMPUTED_VALUE"""),"&lt;ruby&gt;占&lt;rt&gt;zhàn&lt;/rt&gt;&lt;/ruby&gt;")</f>
        <v>&lt;ruby&gt;占&lt;rt&gt;zhàn&lt;/rt&gt;&lt;/ruby&gt;</v>
      </c>
      <c r="E1478" s="13" t="str">
        <f ca="1">IFERROR(__xludf.DUMMYFUNCTION("""COMPUTED_VALUE"""),"zhàn")</f>
        <v>zhàn</v>
      </c>
      <c r="F1478" s="13" t="str">
        <f ca="1">IFERROR(__xludf.DUMMYFUNCTION("""COMPUTED_VALUE"""),"Động từ")</f>
        <v>Động từ</v>
      </c>
      <c r="G1478" s="13" t="str">
        <f ca="1">IFERROR(__xludf.DUMMYFUNCTION("""COMPUTED_VALUE"""),"chiếm, giữ")</f>
        <v>chiếm, giữ</v>
      </c>
      <c r="H1478" s="13" t="str">
        <f ca="1">IFERROR(__xludf.DUMMYFUNCTION("""COMPUTED_VALUE"""),"这个国家的森林占了一半的土地。
")</f>
        <v xml:space="preserve">这个国家的森林占了一半的土地。
</v>
      </c>
      <c r="I1478" s="13"/>
      <c r="J1478" s="13" t="str">
        <f ca="1">IFERROR(__xludf.DUMMYFUNCTION("""COMPUTED_VALUE"""),"Rừng chiếm một nửa diện tích đất nước này.")</f>
        <v>Rừng chiếm một nửa diện tích đất nước này.</v>
      </c>
      <c r="K1478" s="13" t="str">
        <f ca="1">IFERROR(__xludf.DUMMYFUNCTION("""COMPUTED_VALUE"""),"H5_B4_BG-39.png")</f>
        <v>H5_B4_BG-39.png</v>
      </c>
      <c r="L1478" s="13" t="str">
        <f ca="1">IFERROR(__xludf.DUMMYFUNCTION("""COMPUTED_VALUE"""),"B4-39.mp3")</f>
        <v>B4-39.mp3</v>
      </c>
      <c r="M1478" s="13" t="str">
        <f ca="1">IFERROR(__xludf.DUMMYFUNCTION("""COMPUTED_VALUE"""),"B4_VD_39.mp3")</f>
        <v>B4_VD_39.mp3</v>
      </c>
    </row>
    <row r="1479" spans="1:13">
      <c r="A1479" s="13">
        <f ca="1">IFERROR(__xludf.DUMMYFUNCTION("""COMPUTED_VALUE"""),40)</f>
        <v>40</v>
      </c>
      <c r="B1479" s="13"/>
      <c r="C1479" s="13" t="str">
        <f ca="1">IFERROR(__xludf.DUMMYFUNCTION("""COMPUTED_VALUE"""),"至今")</f>
        <v>至今</v>
      </c>
      <c r="D1479" s="13" t="str">
        <f ca="1">IFERROR(__xludf.DUMMYFUNCTION("""COMPUTED_VALUE"""),"&lt;ruby&gt;至今&lt;rt&gt;zhìjīn&lt;/rt&gt;&lt;/ruby&gt;")</f>
        <v>&lt;ruby&gt;至今&lt;rt&gt;zhìjīn&lt;/rt&gt;&lt;/ruby&gt;</v>
      </c>
      <c r="E1479" s="13" t="str">
        <f ca="1">IFERROR(__xludf.DUMMYFUNCTION("""COMPUTED_VALUE"""),"zhìjīn")</f>
        <v>zhìjīn</v>
      </c>
      <c r="F1479" s="13" t="str">
        <f ca="1">IFERROR(__xludf.DUMMYFUNCTION("""COMPUTED_VALUE"""),"Phó từ")</f>
        <v>Phó từ</v>
      </c>
      <c r="G1479" s="13" t="str">
        <f ca="1">IFERROR(__xludf.DUMMYFUNCTION("""COMPUTED_VALUE"""),"đến nay, đến bây giờ")</f>
        <v>đến nay, đến bây giờ</v>
      </c>
      <c r="H1479" s="13" t="str">
        <f ca="1">IFERROR(__xludf.DUMMYFUNCTION("""COMPUTED_VALUE"""),"这棵古树至今已近300年。")</f>
        <v>这棵古树至今已近300年。</v>
      </c>
      <c r="I1479" s="13"/>
      <c r="J1479" s="13" t="str">
        <f ca="1">IFERROR(__xludf.DUMMYFUNCTION("""COMPUTED_VALUE"""),"Cây cổ thụ này đến nay đã gần 300 năm tuổi.")</f>
        <v>Cây cổ thụ này đến nay đã gần 300 năm tuổi.</v>
      </c>
      <c r="K1479" s="13" t="str">
        <f ca="1">IFERROR(__xludf.DUMMYFUNCTION("""COMPUTED_VALUE"""),"H5_B4_BG-40.png")</f>
        <v>H5_B4_BG-40.png</v>
      </c>
      <c r="L1479" s="13" t="str">
        <f ca="1">IFERROR(__xludf.DUMMYFUNCTION("""COMPUTED_VALUE"""),"B4-40.mp3")</f>
        <v>B4-40.mp3</v>
      </c>
      <c r="M1479" s="13" t="str">
        <f ca="1">IFERROR(__xludf.DUMMYFUNCTION("""COMPUTED_VALUE"""),"B4_VD_40.mp3")</f>
        <v>B4_VD_40.mp3</v>
      </c>
    </row>
    <row r="1480" spans="1:13">
      <c r="A1480" s="13">
        <f ca="1">IFERROR(__xludf.DUMMYFUNCTION("""COMPUTED_VALUE"""),1)</f>
        <v>1</v>
      </c>
      <c r="B1480" s="13"/>
      <c r="C1480" s="13" t="str">
        <f ca="1">IFERROR(__xludf.DUMMYFUNCTION("""COMPUTED_VALUE"""),"表面")</f>
        <v>表面</v>
      </c>
      <c r="D1480" s="13" t="str">
        <f ca="1">IFERROR(__xludf.DUMMYFUNCTION("""COMPUTED_VALUE"""),"&lt;ruby&gt;表面&lt;rt&gt;biǎomiàn&lt;/rt&gt;&lt;/ruby&gt;")</f>
        <v>&lt;ruby&gt;表面&lt;rt&gt;biǎomiàn&lt;/rt&gt;&lt;/ruby&gt;</v>
      </c>
      <c r="E1480" s="13" t="str">
        <f ca="1">IFERROR(__xludf.DUMMYFUNCTION("""COMPUTED_VALUE"""),"biǎomiàn")</f>
        <v>biǎomiàn</v>
      </c>
      <c r="F1480" s="13" t="str">
        <f ca="1">IFERROR(__xludf.DUMMYFUNCTION("""COMPUTED_VALUE"""),"Danh từ")</f>
        <v>Danh từ</v>
      </c>
      <c r="G1480" s="13" t="str">
        <f ca="1">IFERROR(__xludf.DUMMYFUNCTION("""COMPUTED_VALUE"""),"bề mặt, phía ngoài")</f>
        <v>bề mặt, phía ngoài</v>
      </c>
      <c r="H1480" s="13" t="str">
        <f ca="1">IFERROR(__xludf.DUMMYFUNCTION("""COMPUTED_VALUE"""),"这些石头的表面非常光滑。")</f>
        <v>这些石头的表面非常光滑。</v>
      </c>
      <c r="I1480" s="13"/>
      <c r="J1480" s="13" t="str">
        <f ca="1">IFERROR(__xludf.DUMMYFUNCTION("""COMPUTED_VALUE"""),"Bề mặt của những hòn sỏi này rất nhẵn.")</f>
        <v>Bề mặt của những hòn sỏi này rất nhẵn.</v>
      </c>
      <c r="K1480" s="13" t="str">
        <f ca="1">IFERROR(__xludf.DUMMYFUNCTION("""COMPUTED_VALUE"""),"H5_B5_BG-01.png")</f>
        <v>H5_B5_BG-01.png</v>
      </c>
      <c r="L1480" s="13" t="str">
        <f ca="1">IFERROR(__xludf.DUMMYFUNCTION("""COMPUTED_VALUE"""),"B5-01.mp3")</f>
        <v>B5-01.mp3</v>
      </c>
      <c r="M1480" s="13" t="str">
        <f ca="1">IFERROR(__xludf.DUMMYFUNCTION("""COMPUTED_VALUE"""),"B5_VD_1.mp3")</f>
        <v>B5_VD_1.mp3</v>
      </c>
    </row>
    <row r="1481" spans="1:13">
      <c r="A1481" s="13">
        <f ca="1">IFERROR(__xludf.DUMMYFUNCTION("""COMPUTED_VALUE"""),2)</f>
        <v>2</v>
      </c>
      <c r="B1481" s="13"/>
      <c r="C1481" s="13" t="str">
        <f ca="1">IFERROR(__xludf.DUMMYFUNCTION("""COMPUTED_VALUE"""),"（躲）藏")</f>
        <v>（躲）藏</v>
      </c>
      <c r="D1481" s="13" t="str">
        <f ca="1">IFERROR(__xludf.DUMMYFUNCTION("""COMPUTED_VALUE"""),"&lt;ruby&gt;（躲）藏&lt;rt&gt;(duǒ) cáng&lt;/rt&gt;&lt;/ruby&gt;")</f>
        <v>&lt;ruby&gt;（躲）藏&lt;rt&gt;(duǒ) cáng&lt;/rt&gt;&lt;/ruby&gt;</v>
      </c>
      <c r="E1481" s="13" t="str">
        <f ca="1">IFERROR(__xludf.DUMMYFUNCTION("""COMPUTED_VALUE"""),"(duǒ) cáng")</f>
        <v>(duǒ) cáng</v>
      </c>
      <c r="F1481" s="13" t="str">
        <f ca="1">IFERROR(__xludf.DUMMYFUNCTION("""COMPUTED_VALUE"""),"Động từ")</f>
        <v>Động từ</v>
      </c>
      <c r="G1481" s="13" t="str">
        <f ca="1">IFERROR(__xludf.DUMMYFUNCTION("""COMPUTED_VALUE"""),"giấu, ẩn núp")</f>
        <v>giấu, ẩn núp</v>
      </c>
      <c r="H1481" s="13" t="str">
        <f ca="1">IFERROR(__xludf.DUMMYFUNCTION("""COMPUTED_VALUE"""),"孩子们躲藏在后面。")</f>
        <v>孩子们躲藏在后面。</v>
      </c>
      <c r="I1481" s="13"/>
      <c r="J1481" s="13" t="str">
        <f ca="1">IFERROR(__xludf.DUMMYFUNCTION("""COMPUTED_VALUE"""),"Những đứa trẻ trốn ở phía sau.")</f>
        <v>Những đứa trẻ trốn ở phía sau.</v>
      </c>
      <c r="K1481" s="13" t="str">
        <f ca="1">IFERROR(__xludf.DUMMYFUNCTION("""COMPUTED_VALUE"""),"H5_B5_BG-02.png")</f>
        <v>H5_B5_BG-02.png</v>
      </c>
      <c r="L1481" s="13" t="str">
        <f ca="1">IFERROR(__xludf.DUMMYFUNCTION("""COMPUTED_VALUE"""),"B5-02.mp3")</f>
        <v>B5-02.mp3</v>
      </c>
      <c r="M1481" s="13" t="str">
        <f ca="1">IFERROR(__xludf.DUMMYFUNCTION("""COMPUTED_VALUE"""),"B5_VD_2.mp3")</f>
        <v>B5_VD_2.mp3</v>
      </c>
    </row>
    <row r="1482" spans="1:13">
      <c r="A1482" s="13">
        <f ca="1">IFERROR(__xludf.DUMMYFUNCTION("""COMPUTED_VALUE"""),3)</f>
        <v>3</v>
      </c>
      <c r="B1482" s="13"/>
      <c r="C1482" s="13" t="str">
        <f ca="1">IFERROR(__xludf.DUMMYFUNCTION("""COMPUTED_VALUE"""),"产生")</f>
        <v>产生</v>
      </c>
      <c r="D1482" s="13" t="str">
        <f ca="1">IFERROR(__xludf.DUMMYFUNCTION("""COMPUTED_VALUE"""),"&lt;ruby&gt;产生&lt;rt&gt;chănshēng&lt;/rt&gt;&lt;/ruby&gt;")</f>
        <v>&lt;ruby&gt;产生&lt;rt&gt;chănshēng&lt;/rt&gt;&lt;/ruby&gt;</v>
      </c>
      <c r="E1482" s="13" t="str">
        <f ca="1">IFERROR(__xludf.DUMMYFUNCTION("""COMPUTED_VALUE"""),"chănshēng")</f>
        <v>chănshēng</v>
      </c>
      <c r="F1482" s="13" t="str">
        <f ca="1">IFERROR(__xludf.DUMMYFUNCTION("""COMPUTED_VALUE"""),"Động từ")</f>
        <v>Động từ</v>
      </c>
      <c r="G1482" s="13" t="str">
        <f ca="1">IFERROR(__xludf.DUMMYFUNCTION("""COMPUTED_VALUE"""),"sản sinh, xuất hiện")</f>
        <v>sản sinh, xuất hiện</v>
      </c>
      <c r="H1482" s="13" t="str">
        <f ca="1">IFERROR(__xludf.DUMMYFUNCTION("""COMPUTED_VALUE"""),"这种花会产生一种香味。")</f>
        <v>这种花会产生一种香味。</v>
      </c>
      <c r="I1482" s="13"/>
      <c r="J1482" s="13" t="str">
        <f ca="1">IFERROR(__xludf.DUMMYFUNCTION("""COMPUTED_VALUE"""),"Loài hoa này sẽ sản sinh ra một mùi hương.")</f>
        <v>Loài hoa này sẽ sản sinh ra một mùi hương.</v>
      </c>
      <c r="K1482" s="13" t="str">
        <f ca="1">IFERROR(__xludf.DUMMYFUNCTION("""COMPUTED_VALUE"""),"H5_B5_BG-03.png")</f>
        <v>H5_B5_BG-03.png</v>
      </c>
      <c r="L1482" s="13" t="str">
        <f ca="1">IFERROR(__xludf.DUMMYFUNCTION("""COMPUTED_VALUE"""),"B5-03.mp3")</f>
        <v>B5-03.mp3</v>
      </c>
      <c r="M1482" s="13" t="str">
        <f ca="1">IFERROR(__xludf.DUMMYFUNCTION("""COMPUTED_VALUE"""),"B5_VD_3.mp3")</f>
        <v>B5_VD_3.mp3</v>
      </c>
    </row>
    <row r="1483" spans="1:13">
      <c r="A1483" s="13">
        <f ca="1">IFERROR(__xludf.DUMMYFUNCTION("""COMPUTED_VALUE"""),4)</f>
        <v>4</v>
      </c>
      <c r="B1483" s="13"/>
      <c r="C1483" s="13" t="str">
        <f ca="1">IFERROR(__xludf.DUMMYFUNCTION("""COMPUTED_VALUE"""),"充满")</f>
        <v>充满</v>
      </c>
      <c r="D1483" s="13" t="str">
        <f ca="1">IFERROR(__xludf.DUMMYFUNCTION("""COMPUTED_VALUE"""),"&lt;ruby&gt;充满&lt;rt&gt;chōngmǎn&lt;/rt&gt;&lt;/ruby&gt;")</f>
        <v>&lt;ruby&gt;充满&lt;rt&gt;chōngmǎn&lt;/rt&gt;&lt;/ruby&gt;</v>
      </c>
      <c r="E1483" s="13" t="str">
        <f ca="1">IFERROR(__xludf.DUMMYFUNCTION("""COMPUTED_VALUE"""),"chōngmǎn")</f>
        <v>chōngmǎn</v>
      </c>
      <c r="F1483" s="13" t="str">
        <f ca="1">IFERROR(__xludf.DUMMYFUNCTION("""COMPUTED_VALUE"""),"Động từ")</f>
        <v>Động từ</v>
      </c>
      <c r="G1483" s="13" t="str">
        <f ca="1">IFERROR(__xludf.DUMMYFUNCTION("""COMPUTED_VALUE"""),"chan chứa, tràn ngập")</f>
        <v>chan chứa, tràn ngập</v>
      </c>
      <c r="H1483" s="13" t="str">
        <f ca="1">IFERROR(__xludf.DUMMYFUNCTION("""COMPUTED_VALUE"""),"她的眼神充满了希望。")</f>
        <v>她的眼神充满了希望。</v>
      </c>
      <c r="I1483" s="13"/>
      <c r="J1483" s="13" t="str">
        <f ca="1">IFERROR(__xludf.DUMMYFUNCTION("""COMPUTED_VALUE"""),"Ánh mắt của cô ấy tràn ngập hy vọng.")</f>
        <v>Ánh mắt của cô ấy tràn ngập hy vọng.</v>
      </c>
      <c r="K1483" s="13" t="str">
        <f ca="1">IFERROR(__xludf.DUMMYFUNCTION("""COMPUTED_VALUE"""),"H5_B5_BG-04.png")</f>
        <v>H5_B5_BG-04.png</v>
      </c>
      <c r="L1483" s="13" t="str">
        <f ca="1">IFERROR(__xludf.DUMMYFUNCTION("""COMPUTED_VALUE"""),"B5-04.mp3")</f>
        <v>B5-04.mp3</v>
      </c>
      <c r="M1483" s="13" t="str">
        <f ca="1">IFERROR(__xludf.DUMMYFUNCTION("""COMPUTED_VALUE"""),"B5_VD_4.mp3")</f>
        <v>B5_VD_4.mp3</v>
      </c>
    </row>
    <row r="1484" spans="1:13">
      <c r="A1484" s="13">
        <f ca="1">IFERROR(__xludf.DUMMYFUNCTION("""COMPUTED_VALUE"""),5)</f>
        <v>5</v>
      </c>
      <c r="B1484" s="13"/>
      <c r="C1484" s="13" t="str">
        <f ca="1">IFERROR(__xludf.DUMMYFUNCTION("""COMPUTED_VALUE"""),"从而")</f>
        <v>从而</v>
      </c>
      <c r="D1484" s="13" t="str">
        <f ca="1">IFERROR(__xludf.DUMMYFUNCTION("""COMPUTED_VALUE"""),"&lt;ruby&gt;从而&lt;rt&gt;cóng'ér&lt;/rt&gt;&lt;/ruby&gt;")</f>
        <v>&lt;ruby&gt;从而&lt;rt&gt;cóng'ér&lt;/rt&gt;&lt;/ruby&gt;</v>
      </c>
      <c r="E1484" s="13" t="str">
        <f ca="1">IFERROR(__xludf.DUMMYFUNCTION("""COMPUTED_VALUE"""),"cóng'ér")</f>
        <v>cóng'ér</v>
      </c>
      <c r="F1484" s="13" t="str">
        <f ca="1">IFERROR(__xludf.DUMMYFUNCTION("""COMPUTED_VALUE"""),"Liên từ ")</f>
        <v xml:space="preserve">Liên từ </v>
      </c>
      <c r="G1484" s="13" t="str">
        <f ca="1">IFERROR(__xludf.DUMMYFUNCTION("""COMPUTED_VALUE"""),"do đó, vì vậy")</f>
        <v>do đó, vì vậy</v>
      </c>
      <c r="H1484" s="13" t="str">
        <f ca="1">IFERROR(__xludf.DUMMYFUNCTION("""COMPUTED_VALUE"""),"他努力学习，从而得到了好成绩。")</f>
        <v>他努力学习，从而得到了好成绩。</v>
      </c>
      <c r="I1484" s="13"/>
      <c r="J1484" s="13" t="str">
        <f ca="1">IFERROR(__xludf.DUMMYFUNCTION("""COMPUTED_VALUE"""),"Anh ấy chăm chỉ học tập, vì vậy đã đạt được thành tích tốt.")</f>
        <v>Anh ấy chăm chỉ học tập, vì vậy đã đạt được thành tích tốt.</v>
      </c>
      <c r="K1484" s="13" t="str">
        <f ca="1">IFERROR(__xludf.DUMMYFUNCTION("""COMPUTED_VALUE"""),"H5_B5_BG-05.png")</f>
        <v>H5_B5_BG-05.png</v>
      </c>
      <c r="L1484" s="13" t="str">
        <f ca="1">IFERROR(__xludf.DUMMYFUNCTION("""COMPUTED_VALUE"""),"B5-05.mp3")</f>
        <v>B5-05.mp3</v>
      </c>
      <c r="M1484" s="13" t="str">
        <f ca="1">IFERROR(__xludf.DUMMYFUNCTION("""COMPUTED_VALUE"""),"B5_VD_5.mp3")</f>
        <v>B5_VD_5.mp3</v>
      </c>
    </row>
    <row r="1485" spans="1:13">
      <c r="A1485" s="13">
        <f ca="1">IFERROR(__xludf.DUMMYFUNCTION("""COMPUTED_VALUE"""),6)</f>
        <v>6</v>
      </c>
      <c r="B1485" s="13"/>
      <c r="C1485" s="13" t="str">
        <f ca="1">IFERROR(__xludf.DUMMYFUNCTION("""COMPUTED_VALUE"""),"独特")</f>
        <v>独特</v>
      </c>
      <c r="D1485" s="13" t="str">
        <f ca="1">IFERROR(__xludf.DUMMYFUNCTION("""COMPUTED_VALUE"""),"&lt;ruby&gt;独特&lt;rt&gt;dútè&lt;/rt&gt;&lt;/ruby&gt;")</f>
        <v>&lt;ruby&gt;独特&lt;rt&gt;dútè&lt;/rt&gt;&lt;/ruby&gt;</v>
      </c>
      <c r="E1485" s="13" t="str">
        <f ca="1">IFERROR(__xludf.DUMMYFUNCTION("""COMPUTED_VALUE"""),"dútè")</f>
        <v>dútè</v>
      </c>
      <c r="F1485" s="13" t="str">
        <f ca="1">IFERROR(__xludf.DUMMYFUNCTION("""COMPUTED_VALUE"""),"Tính từ ")</f>
        <v xml:space="preserve">Tính từ </v>
      </c>
      <c r="G1485" s="13" t="str">
        <f ca="1">IFERROR(__xludf.DUMMYFUNCTION("""COMPUTED_VALUE"""),"đặc biệt, riêng biệt")</f>
        <v>đặc biệt, riêng biệt</v>
      </c>
      <c r="H1485" s="13" t="str">
        <f ca="1">IFERROR(__xludf.DUMMYFUNCTION("""COMPUTED_VALUE"""),"这辆车的设计非常独特。")</f>
        <v>这辆车的设计非常独特。</v>
      </c>
      <c r="I1485" s="13"/>
      <c r="J1485" s="13" t="str">
        <f ca="1">IFERROR(__xludf.DUMMYFUNCTION("""COMPUTED_VALUE"""),"Thiết kế của chiếc xe này rất đặc biệt.")</f>
        <v>Thiết kế của chiếc xe này rất đặc biệt.</v>
      </c>
      <c r="K1485" s="13" t="str">
        <f ca="1">IFERROR(__xludf.DUMMYFUNCTION("""COMPUTED_VALUE"""),"H5_B5_BG-06.png")</f>
        <v>H5_B5_BG-06.png</v>
      </c>
      <c r="L1485" s="13" t="str">
        <f ca="1">IFERROR(__xludf.DUMMYFUNCTION("""COMPUTED_VALUE"""),"B5-06.mp3")</f>
        <v>B5-06.mp3</v>
      </c>
      <c r="M1485" s="13" t="str">
        <f ca="1">IFERROR(__xludf.DUMMYFUNCTION("""COMPUTED_VALUE"""),"B5_VD_6.mp3")</f>
        <v>B5_VD_6.mp3</v>
      </c>
    </row>
    <row r="1486" spans="1:13">
      <c r="A1486" s="13">
        <f ca="1">IFERROR(__xludf.DUMMYFUNCTION("""COMPUTED_VALUE"""),7)</f>
        <v>7</v>
      </c>
      <c r="B1486" s="13"/>
      <c r="C1486" s="13" t="str">
        <f ca="1">IFERROR(__xludf.DUMMYFUNCTION("""COMPUTED_VALUE"""),"感激")</f>
        <v>感激</v>
      </c>
      <c r="D1486" s="13" t="str">
        <f ca="1">IFERROR(__xludf.DUMMYFUNCTION("""COMPUTED_VALUE"""),"&lt;ruby&gt;感激&lt;rt&gt;gǎnjī&lt;/rt&gt;&lt;/ruby&gt;")</f>
        <v>&lt;ruby&gt;感激&lt;rt&gt;gǎnjī&lt;/rt&gt;&lt;/ruby&gt;</v>
      </c>
      <c r="E1486" s="13" t="str">
        <f ca="1">IFERROR(__xludf.DUMMYFUNCTION("""COMPUTED_VALUE"""),"gǎnjī")</f>
        <v>gǎnjī</v>
      </c>
      <c r="F1486" s="13" t="str">
        <f ca="1">IFERROR(__xludf.DUMMYFUNCTION("""COMPUTED_VALUE"""),"Động từ")</f>
        <v>Động từ</v>
      </c>
      <c r="G1486" s="13" t="str">
        <f ca="1">IFERROR(__xludf.DUMMYFUNCTION("""COMPUTED_VALUE"""),"cảm kích, biết ơn")</f>
        <v>cảm kích, biết ơn</v>
      </c>
      <c r="H1486" s="13" t="str">
        <f ca="1">IFERROR(__xludf.DUMMYFUNCTION("""COMPUTED_VALUE"""),"我很感激父母对我的支持和帮助。")</f>
        <v>我很感激父母对我的支持和帮助。</v>
      </c>
      <c r="I1486" s="13"/>
      <c r="J1486" s="13" t="str">
        <f ca="1">IFERROR(__xludf.DUMMYFUNCTION("""COMPUTED_VALUE"""),"Tôi rất biết ơn sự ủng hộ và giúp đỡ của bố mẹ.")</f>
        <v>Tôi rất biết ơn sự ủng hộ và giúp đỡ của bố mẹ.</v>
      </c>
      <c r="K1486" s="13" t="str">
        <f ca="1">IFERROR(__xludf.DUMMYFUNCTION("""COMPUTED_VALUE"""),"H5_B5_BG-07.png")</f>
        <v>H5_B5_BG-07.png</v>
      </c>
      <c r="L1486" s="13" t="str">
        <f ca="1">IFERROR(__xludf.DUMMYFUNCTION("""COMPUTED_VALUE"""),"B5-07.mp3")</f>
        <v>B5-07.mp3</v>
      </c>
      <c r="M1486" s="13" t="str">
        <f ca="1">IFERROR(__xludf.DUMMYFUNCTION("""COMPUTED_VALUE"""),"B5_VD_7.mp3")</f>
        <v>B5_VD_7.mp3</v>
      </c>
    </row>
    <row r="1487" spans="1:13">
      <c r="A1487" s="13">
        <f ca="1">IFERROR(__xludf.DUMMYFUNCTION("""COMPUTED_VALUE"""),8)</f>
        <v>8</v>
      </c>
      <c r="B1487" s="13"/>
      <c r="C1487" s="13" t="str">
        <f ca="1">IFERROR(__xludf.DUMMYFUNCTION("""COMPUTED_VALUE"""),"救")</f>
        <v>救</v>
      </c>
      <c r="D1487" s="13" t="str">
        <f ca="1">IFERROR(__xludf.DUMMYFUNCTION("""COMPUTED_VALUE"""),"&lt;ruby&gt;救&lt;rt&gt;jiù&lt;/rt&gt;&lt;/ruby&gt;")</f>
        <v>&lt;ruby&gt;救&lt;rt&gt;jiù&lt;/rt&gt;&lt;/ruby&gt;</v>
      </c>
      <c r="E1487" s="13" t="str">
        <f ca="1">IFERROR(__xludf.DUMMYFUNCTION("""COMPUTED_VALUE"""),"jiù")</f>
        <v>jiù</v>
      </c>
      <c r="F1487" s="13" t="str">
        <f ca="1">IFERROR(__xludf.DUMMYFUNCTION("""COMPUTED_VALUE"""),"Động từ")</f>
        <v>Động từ</v>
      </c>
      <c r="G1487" s="13" t="str">
        <f ca="1">IFERROR(__xludf.DUMMYFUNCTION("""COMPUTED_VALUE"""),"cứu, cứu giúp")</f>
        <v>cứu, cứu giúp</v>
      </c>
      <c r="H1487" s="13" t="str">
        <f ca="1">IFERROR(__xludf.DUMMYFUNCTION("""COMPUTED_VALUE"""),"他及时救了那个掉进河里的男孩。")</f>
        <v>他及时救了那个掉进河里的男孩。</v>
      </c>
      <c r="I1487" s="13"/>
      <c r="J1487" s="13" t="str">
        <f ca="1">IFERROR(__xludf.DUMMYFUNCTION("""COMPUTED_VALUE"""),"Anh ấy đã kịp thời cứu cậu bé bị rơi xuống sông.")</f>
        <v>Anh ấy đã kịp thời cứu cậu bé bị rơi xuống sông.</v>
      </c>
      <c r="K1487" s="13" t="str">
        <f ca="1">IFERROR(__xludf.DUMMYFUNCTION("""COMPUTED_VALUE"""),"H5_B5_BG-08.png")</f>
        <v>H5_B5_BG-08.png</v>
      </c>
      <c r="L1487" s="13" t="str">
        <f ca="1">IFERROR(__xludf.DUMMYFUNCTION("""COMPUTED_VALUE"""),"B5-08.mp3")</f>
        <v>B5-08.mp3</v>
      </c>
      <c r="M1487" s="13" t="str">
        <f ca="1">IFERROR(__xludf.DUMMYFUNCTION("""COMPUTED_VALUE"""),"B5_VD_8.mp3")</f>
        <v>B5_VD_8.mp3</v>
      </c>
    </row>
    <row r="1488" spans="1:13">
      <c r="A1488" s="13">
        <f ca="1">IFERROR(__xludf.DUMMYFUNCTION("""COMPUTED_VALUE"""),9)</f>
        <v>9</v>
      </c>
      <c r="B1488" s="13"/>
      <c r="C1488" s="13" t="str">
        <f ca="1">IFERROR(__xludf.DUMMYFUNCTION("""COMPUTED_VALUE"""),"老百姓")</f>
        <v>老百姓</v>
      </c>
      <c r="D1488" s="13" t="str">
        <f ca="1">IFERROR(__xludf.DUMMYFUNCTION("""COMPUTED_VALUE"""),"&lt;ruby&gt;老百姓&lt;rt&gt;lǎobǎixìng&lt;/rt&gt;&lt;/ruby&gt;")</f>
        <v>&lt;ruby&gt;老百姓&lt;rt&gt;lǎobǎixìng&lt;/rt&gt;&lt;/ruby&gt;</v>
      </c>
      <c r="E1488" s="13" t="str">
        <f ca="1">IFERROR(__xludf.DUMMYFUNCTION("""COMPUTED_VALUE"""),"lǎobǎixìng")</f>
        <v>lǎobǎixìng</v>
      </c>
      <c r="F1488" s="13" t="str">
        <f ca="1">IFERROR(__xludf.DUMMYFUNCTION("""COMPUTED_VALUE"""),"Danh từ")</f>
        <v>Danh từ</v>
      </c>
      <c r="G1488" s="13" t="str">
        <f ca="1">IFERROR(__xludf.DUMMYFUNCTION("""COMPUTED_VALUE"""),"người dân, thường dân")</f>
        <v>người dân, thường dân</v>
      </c>
      <c r="H1488" s="13" t="str">
        <f ca="1">IFERROR(__xludf.DUMMYFUNCTION("""COMPUTED_VALUE"""),"老百姓喜欢种菜。")</f>
        <v>老百姓喜欢种菜。</v>
      </c>
      <c r="I1488" s="13"/>
      <c r="J1488" s="13" t="str">
        <f ca="1">IFERROR(__xludf.DUMMYFUNCTION("""COMPUTED_VALUE"""),"Người dân thích trồng rau.")</f>
        <v>Người dân thích trồng rau.</v>
      </c>
      <c r="K1488" s="13" t="str">
        <f ca="1">IFERROR(__xludf.DUMMYFUNCTION("""COMPUTED_VALUE"""),"H5_B5_BG-09.png")</f>
        <v>H5_B5_BG-09.png</v>
      </c>
      <c r="L1488" s="13" t="str">
        <f ca="1">IFERROR(__xludf.DUMMYFUNCTION("""COMPUTED_VALUE"""),"B5-09.mp3")</f>
        <v>B5-09.mp3</v>
      </c>
      <c r="M1488" s="13" t="str">
        <f ca="1">IFERROR(__xludf.DUMMYFUNCTION("""COMPUTED_VALUE"""),"B5_VD_9.mp3")</f>
        <v>B5_VD_9.mp3</v>
      </c>
    </row>
    <row r="1489" spans="1:13">
      <c r="A1489" s="13">
        <f ca="1">IFERROR(__xludf.DUMMYFUNCTION("""COMPUTED_VALUE"""),10)</f>
        <v>10</v>
      </c>
      <c r="B1489" s="13"/>
      <c r="C1489" s="13" t="str">
        <f ca="1">IFERROR(__xludf.DUMMYFUNCTION("""COMPUTED_VALUE"""),"抢")</f>
        <v>抢</v>
      </c>
      <c r="D1489" s="13" t="str">
        <f ca="1">IFERROR(__xludf.DUMMYFUNCTION("""COMPUTED_VALUE"""),"&lt;ruby&gt;抢&lt;rt&gt;qiăng&lt;/rt&gt;&lt;/ruby&gt;")</f>
        <v>&lt;ruby&gt;抢&lt;rt&gt;qiăng&lt;/rt&gt;&lt;/ruby&gt;</v>
      </c>
      <c r="E1489" s="13" t="str">
        <f ca="1">IFERROR(__xludf.DUMMYFUNCTION("""COMPUTED_VALUE"""),"qiăng")</f>
        <v>qiăng</v>
      </c>
      <c r="F1489" s="13" t="str">
        <f ca="1">IFERROR(__xludf.DUMMYFUNCTION("""COMPUTED_VALUE"""),"Động từ")</f>
        <v>Động từ</v>
      </c>
      <c r="G1489" s="13" t="str">
        <f ca="1">IFERROR(__xludf.DUMMYFUNCTION("""COMPUTED_VALUE"""),"cướp, cướp đoạt, cướp lấy, lấy")</f>
        <v>cướp, cướp đoạt, cướp lấy, lấy</v>
      </c>
      <c r="H1489" s="13" t="str">
        <f ca="1">IFERROR(__xludf.DUMMYFUNCTION("""COMPUTED_VALUE"""),"哥哥抢走了弟弟的玩具。")</f>
        <v>哥哥抢走了弟弟的玩具。</v>
      </c>
      <c r="I1489" s="13"/>
      <c r="J1489" s="13" t="str">
        <f ca="1">IFERROR(__xludf.DUMMYFUNCTION("""COMPUTED_VALUE"""),"Anh trai đã cướp lấy đồ chơi của em trai.")</f>
        <v>Anh trai đã cướp lấy đồ chơi của em trai.</v>
      </c>
      <c r="K1489" s="13" t="str">
        <f ca="1">IFERROR(__xludf.DUMMYFUNCTION("""COMPUTED_VALUE"""),"H5_B5_BG-10.png")</f>
        <v>H5_B5_BG-10.png</v>
      </c>
      <c r="L1489" s="13" t="str">
        <f ca="1">IFERROR(__xludf.DUMMYFUNCTION("""COMPUTED_VALUE"""),"B5-10.mp3")</f>
        <v>B5-10.mp3</v>
      </c>
      <c r="M1489" s="13" t="str">
        <f ca="1">IFERROR(__xludf.DUMMYFUNCTION("""COMPUTED_VALUE"""),"B5_VD_10.mp3")</f>
        <v>B5_VD_10.mp3</v>
      </c>
    </row>
    <row r="1490" spans="1:13">
      <c r="A1490" s="13">
        <f ca="1">IFERROR(__xludf.DUMMYFUNCTION("""COMPUTED_VALUE"""),11)</f>
        <v>11</v>
      </c>
      <c r="B1490" s="13"/>
      <c r="C1490" s="13" t="str">
        <f ca="1">IFERROR(__xludf.DUMMYFUNCTION("""COMPUTED_VALUE"""),"善良")</f>
        <v>善良</v>
      </c>
      <c r="D1490" s="13" t="str">
        <f ca="1">IFERROR(__xludf.DUMMYFUNCTION("""COMPUTED_VALUE"""),"&lt;ruby&gt;善良&lt;rt&gt;shànliáng&lt;/rt&gt;&lt;/ruby&gt;")</f>
        <v>&lt;ruby&gt;善良&lt;rt&gt;shànliáng&lt;/rt&gt;&lt;/ruby&gt;</v>
      </c>
      <c r="E1490" s="13" t="str">
        <f ca="1">IFERROR(__xludf.DUMMYFUNCTION("""COMPUTED_VALUE"""),"shànliáng")</f>
        <v>shànliáng</v>
      </c>
      <c r="F1490" s="13" t="str">
        <f ca="1">IFERROR(__xludf.DUMMYFUNCTION("""COMPUTED_VALUE"""),"Tính từ ")</f>
        <v xml:space="preserve">Tính từ </v>
      </c>
      <c r="G1490" s="13" t="str">
        <f ca="1">IFERROR(__xludf.DUMMYFUNCTION("""COMPUTED_VALUE"""),"lương thiện, tốt bụng")</f>
        <v>lương thiện, tốt bụng</v>
      </c>
      <c r="H1490" s="13" t="str">
        <f ca="1">IFERROR(__xludf.DUMMYFUNCTION("""COMPUTED_VALUE"""),"她是一个非常善良的人，总是帮助别人。")</f>
        <v>她是一个非常善良的人，总是帮助别人。</v>
      </c>
      <c r="I1490" s="13"/>
      <c r="J1490" s="13" t="str">
        <f ca="1">IFERROR(__xludf.DUMMYFUNCTION("""COMPUTED_VALUE"""),"Cô ấy là một người rất lương thiện, luôn giúp đỡ người khác.")</f>
        <v>Cô ấy là một người rất lương thiện, luôn giúp đỡ người khác.</v>
      </c>
      <c r="K1490" s="13" t="str">
        <f ca="1">IFERROR(__xludf.DUMMYFUNCTION("""COMPUTED_VALUE"""),"H5_B5_BG-11.png")</f>
        <v>H5_B5_BG-11.png</v>
      </c>
      <c r="L1490" s="13" t="str">
        <f ca="1">IFERROR(__xludf.DUMMYFUNCTION("""COMPUTED_VALUE"""),"B5-11.mp3")</f>
        <v>B5-11.mp3</v>
      </c>
      <c r="M1490" s="13" t="str">
        <f ca="1">IFERROR(__xludf.DUMMYFUNCTION("""COMPUTED_VALUE"""),"B5_VD_11.mp3")</f>
        <v>B5_VD_11.mp3</v>
      </c>
    </row>
    <row r="1491" spans="1:13">
      <c r="A1491" s="13">
        <f ca="1">IFERROR(__xludf.DUMMYFUNCTION("""COMPUTED_VALUE"""),12)</f>
        <v>12</v>
      </c>
      <c r="B1491" s="13"/>
      <c r="C1491" s="13" t="str">
        <f ca="1">IFERROR(__xludf.DUMMYFUNCTION("""COMPUTED_VALUE"""),"为")</f>
        <v>为</v>
      </c>
      <c r="D1491" s="13" t="str">
        <f ca="1">IFERROR(__xludf.DUMMYFUNCTION("""COMPUTED_VALUE"""),"&lt;ruby&gt;为&lt;rt&gt;wéi&lt;/rt&gt;&lt;/ruby&gt;")</f>
        <v>&lt;ruby&gt;为&lt;rt&gt;wéi&lt;/rt&gt;&lt;/ruby&gt;</v>
      </c>
      <c r="E1491" s="13" t="str">
        <f ca="1">IFERROR(__xludf.DUMMYFUNCTION("""COMPUTED_VALUE"""),"wéi")</f>
        <v>wéi</v>
      </c>
      <c r="F1491" s="13" t="str">
        <f ca="1">IFERROR(__xludf.DUMMYFUNCTION("""COMPUTED_VALUE"""),"Động từ")</f>
        <v>Động từ</v>
      </c>
      <c r="G1491" s="13" t="str">
        <f ca="1">IFERROR(__xludf.DUMMYFUNCTION("""COMPUTED_VALUE"""),"trở thành")</f>
        <v>trở thành</v>
      </c>
      <c r="H1491" s="13" t="str">
        <f ca="1">IFERROR(__xludf.DUMMYFUNCTION("""COMPUTED_VALUE"""),"他想为一名医生，因此很认真学习。")</f>
        <v>他想为一名医生，因此很认真学习。</v>
      </c>
      <c r="I1491" s="13"/>
      <c r="J1491" s="13" t="str">
        <f ca="1">IFERROR(__xludf.DUMMYFUNCTION("""COMPUTED_VALUE"""),"Anh ấy muốn trở thành một bác sĩ, vì vậy anh ấy học rất chăm chỉ.")</f>
        <v>Anh ấy muốn trở thành một bác sĩ, vì vậy anh ấy học rất chăm chỉ.</v>
      </c>
      <c r="K1491" s="13" t="str">
        <f ca="1">IFERROR(__xludf.DUMMYFUNCTION("""COMPUTED_VALUE"""),"H5_B5_BG-12.png")</f>
        <v>H5_B5_BG-12.png</v>
      </c>
      <c r="L1491" s="13" t="str">
        <f ca="1">IFERROR(__xludf.DUMMYFUNCTION("""COMPUTED_VALUE"""),"B5-12.mp3")</f>
        <v>B5-12.mp3</v>
      </c>
      <c r="M1491" s="13" t="str">
        <f ca="1">IFERROR(__xludf.DUMMYFUNCTION("""COMPUTED_VALUE"""),"B5_VD_12.mp3")</f>
        <v>B5_VD_12.mp3</v>
      </c>
    </row>
    <row r="1492" spans="1:13">
      <c r="A1492" s="13">
        <f ca="1">IFERROR(__xludf.DUMMYFUNCTION("""COMPUTED_VALUE"""),13)</f>
        <v>13</v>
      </c>
      <c r="B1492" s="13"/>
      <c r="C1492" s="13" t="str">
        <f ca="1">IFERROR(__xludf.DUMMYFUNCTION("""COMPUTED_VALUE"""),"于")</f>
        <v>于</v>
      </c>
      <c r="D1492" s="13" t="str">
        <f ca="1">IFERROR(__xludf.DUMMYFUNCTION("""COMPUTED_VALUE"""),"&lt;ruby&gt;于&lt;rt&gt;yú&lt;/rt&gt;&lt;/ruby&gt;")</f>
        <v>&lt;ruby&gt;于&lt;rt&gt;yú&lt;/rt&gt;&lt;/ruby&gt;</v>
      </c>
      <c r="E1492" s="13" t="str">
        <f ca="1">IFERROR(__xludf.DUMMYFUNCTION("""COMPUTED_VALUE"""),"yú")</f>
        <v>yú</v>
      </c>
      <c r="F1492" s="13" t="str">
        <f ca="1">IFERROR(__xludf.DUMMYFUNCTION("""COMPUTED_VALUE"""),"Giới từ ")</f>
        <v xml:space="preserve">Giới từ </v>
      </c>
      <c r="G1492" s="13" t="str">
        <f ca="1">IFERROR(__xludf.DUMMYFUNCTION("""COMPUTED_VALUE"""),"từ, ở, vào")</f>
        <v>từ, ở, vào</v>
      </c>
      <c r="H1492" s="13" t="str">
        <f ca="1">IFERROR(__xludf.DUMMYFUNCTION("""COMPUTED_VALUE"""),"他住于上海。")</f>
        <v>他住于上海。</v>
      </c>
      <c r="I1492" s="13"/>
      <c r="J1492" s="13" t="str">
        <f ca="1">IFERROR(__xludf.DUMMYFUNCTION("""COMPUTED_VALUE"""),"Anh ấy sống ở Thượng Hải.")</f>
        <v>Anh ấy sống ở Thượng Hải.</v>
      </c>
      <c r="K1492" s="13" t="str">
        <f ca="1">IFERROR(__xludf.DUMMYFUNCTION("""COMPUTED_VALUE"""),"H5_B5_BG-13.png")</f>
        <v>H5_B5_BG-13.png</v>
      </c>
      <c r="L1492" s="13" t="str">
        <f ca="1">IFERROR(__xludf.DUMMYFUNCTION("""COMPUTED_VALUE"""),"B5-13.mp3")</f>
        <v>B5-13.mp3</v>
      </c>
      <c r="M1492" s="13" t="str">
        <f ca="1">IFERROR(__xludf.DUMMYFUNCTION("""COMPUTED_VALUE"""),"B5_VD_13.mp3")</f>
        <v>B5_VD_13.mp3</v>
      </c>
    </row>
    <row r="1493" spans="1:13">
      <c r="A1493" s="13">
        <f ca="1">IFERROR(__xludf.DUMMYFUNCTION("""COMPUTED_VALUE"""),14)</f>
        <v>14</v>
      </c>
      <c r="B1493" s="13"/>
      <c r="C1493" s="13" t="str">
        <f ca="1">IFERROR(__xludf.DUMMYFUNCTION("""COMPUTED_VALUE"""),"晕")</f>
        <v>晕</v>
      </c>
      <c r="D1493" s="13" t="str">
        <f ca="1">IFERROR(__xludf.DUMMYFUNCTION("""COMPUTED_VALUE"""),"&lt;ruby&gt;晕&lt;rt&gt;yūn&lt;/rt&gt;&lt;/ruby&gt;")</f>
        <v>&lt;ruby&gt;晕&lt;rt&gt;yūn&lt;/rt&gt;&lt;/ruby&gt;</v>
      </c>
      <c r="E1493" s="13" t="str">
        <f ca="1">IFERROR(__xludf.DUMMYFUNCTION("""COMPUTED_VALUE"""),"yūn")</f>
        <v>yūn</v>
      </c>
      <c r="F1493" s="13" t="str">
        <f ca="1">IFERROR(__xludf.DUMMYFUNCTION("""COMPUTED_VALUE"""),"Động từ")</f>
        <v>Động từ</v>
      </c>
      <c r="G1493" s="13" t="str">
        <f ca="1">IFERROR(__xludf.DUMMYFUNCTION("""COMPUTED_VALUE"""),"hôn mê, bất tỉnh")</f>
        <v>hôn mê, bất tỉnh</v>
      </c>
      <c r="H1493" s="13" t="str">
        <f ca="1">IFERROR(__xludf.DUMMYFUNCTION("""COMPUTED_VALUE"""),"他因为太累晕倒了。")</f>
        <v>他因为太累晕倒了。</v>
      </c>
      <c r="I1493" s="13"/>
      <c r="J1493" s="13" t="str">
        <f ca="1">IFERROR(__xludf.DUMMYFUNCTION("""COMPUTED_VALUE"""),"Anh ấy bị ngất vì quá mệt.")</f>
        <v>Anh ấy bị ngất vì quá mệt.</v>
      </c>
      <c r="K1493" s="13" t="str">
        <f ca="1">IFERROR(__xludf.DUMMYFUNCTION("""COMPUTED_VALUE"""),"H5_B5_BG-14.png")</f>
        <v>H5_B5_BG-14.png</v>
      </c>
      <c r="L1493" s="13" t="str">
        <f ca="1">IFERROR(__xludf.DUMMYFUNCTION("""COMPUTED_VALUE"""),"B5-14.mp3")</f>
        <v>B5-14.mp3</v>
      </c>
      <c r="M1493" s="13" t="str">
        <f ca="1">IFERROR(__xludf.DUMMYFUNCTION("""COMPUTED_VALUE"""),"B5_VD_14.mp3")</f>
        <v>B5_VD_14.mp3</v>
      </c>
    </row>
    <row r="1494" spans="1:13">
      <c r="A1494" s="13">
        <f ca="1">IFERROR(__xludf.DUMMYFUNCTION("""COMPUTED_VALUE"""),15)</f>
        <v>15</v>
      </c>
      <c r="B1494" s="13"/>
      <c r="C1494" s="13" t="str">
        <f ca="1">IFERROR(__xludf.DUMMYFUNCTION("""COMPUTED_VALUE"""),"治（疗）")</f>
        <v>治（疗）</v>
      </c>
      <c r="D1494" s="13" t="str">
        <f ca="1">IFERROR(__xludf.DUMMYFUNCTION("""COMPUTED_VALUE"""),"&lt;ruby&gt;治（疗）&lt;rt&gt;zhì (liáo)&lt;/rt&gt;&lt;/ruby&gt;")</f>
        <v>&lt;ruby&gt;治（疗）&lt;rt&gt;zhì (liáo)&lt;/rt&gt;&lt;/ruby&gt;</v>
      </c>
      <c r="E1494" s="13" t="str">
        <f ca="1">IFERROR(__xludf.DUMMYFUNCTION("""COMPUTED_VALUE"""),"zhì (liáo)")</f>
        <v>zhì (liáo)</v>
      </c>
      <c r="F1494" s="13" t="str">
        <f ca="1">IFERROR(__xludf.DUMMYFUNCTION("""COMPUTED_VALUE"""),"Động từ")</f>
        <v>Động từ</v>
      </c>
      <c r="G1494" s="13" t="str">
        <f ca="1">IFERROR(__xludf.DUMMYFUNCTION("""COMPUTED_VALUE"""),"điều trị, chữa bệnh")</f>
        <v>điều trị, chữa bệnh</v>
      </c>
      <c r="H1494" s="13" t="str">
        <f ca="1">IFERROR(__xludf.DUMMYFUNCTION("""COMPUTED_VALUE"""),"她的病需要长期治疗。")</f>
        <v>她的病需要长期治疗。</v>
      </c>
      <c r="I1494" s="13"/>
      <c r="J1494" s="13" t="str">
        <f ca="1">IFERROR(__xludf.DUMMYFUNCTION("""COMPUTED_VALUE"""),"Bệnh của cô ấy cần điều trị lâu dài.")</f>
        <v>Bệnh của cô ấy cần điều trị lâu dài.</v>
      </c>
      <c r="K1494" s="13" t="str">
        <f ca="1">IFERROR(__xludf.DUMMYFUNCTION("""COMPUTED_VALUE"""),"H5_B5_BG-15.png")</f>
        <v>H5_B5_BG-15.png</v>
      </c>
      <c r="L1494" s="13" t="str">
        <f ca="1">IFERROR(__xludf.DUMMYFUNCTION("""COMPUTED_VALUE"""),"B5-15.mp3")</f>
        <v>B5-15.mp3</v>
      </c>
      <c r="M1494" s="13" t="str">
        <f ca="1">IFERROR(__xludf.DUMMYFUNCTION("""COMPUTED_VALUE"""),"B5_VD_15.mp3")</f>
        <v>B5_VD_15.mp3</v>
      </c>
    </row>
    <row r="1495" spans="1:13">
      <c r="A1495" s="13">
        <f ca="1">IFERROR(__xludf.DUMMYFUNCTION("""COMPUTED_VALUE"""),16)</f>
        <v>16</v>
      </c>
      <c r="B1495" s="13"/>
      <c r="C1495" s="13" t="str">
        <f ca="1">IFERROR(__xludf.DUMMYFUNCTION("""COMPUTED_VALUE"""),"冲")</f>
        <v>冲</v>
      </c>
      <c r="D1495" s="13" t="str">
        <f ca="1">IFERROR(__xludf.DUMMYFUNCTION("""COMPUTED_VALUE"""),"&lt;ruby&gt;冲&lt;rt&gt;chōng&lt;/rt&gt;&lt;/ruby&gt;")</f>
        <v>&lt;ruby&gt;冲&lt;rt&gt;chōng&lt;/rt&gt;&lt;/ruby&gt;</v>
      </c>
      <c r="E1495" s="13" t="str">
        <f ca="1">IFERROR(__xludf.DUMMYFUNCTION("""COMPUTED_VALUE"""),"chōng")</f>
        <v>chōng</v>
      </c>
      <c r="F1495" s="13" t="str">
        <f ca="1">IFERROR(__xludf.DUMMYFUNCTION("""COMPUTED_VALUE"""),"Động từ")</f>
        <v>Động từ</v>
      </c>
      <c r="G1495" s="13" t="str">
        <f ca="1">IFERROR(__xludf.DUMMYFUNCTION("""COMPUTED_VALUE"""),"xông thẳng lên")</f>
        <v>xông thẳng lên</v>
      </c>
      <c r="H1495" s="13" t="str">
        <f ca="1">IFERROR(__xludf.DUMMYFUNCTION("""COMPUTED_VALUE"""),"小猫冲过来了。")</f>
        <v>小猫冲过来了。</v>
      </c>
      <c r="I1495" s="13"/>
      <c r="J1495" s="13" t="str">
        <f ca="1">IFERROR(__xludf.DUMMYFUNCTION("""COMPUTED_VALUE"""),"Chú mèo con đang xông tới đây.")</f>
        <v>Chú mèo con đang xông tới đây.</v>
      </c>
      <c r="K1495" s="13" t="str">
        <f ca="1">IFERROR(__xludf.DUMMYFUNCTION("""COMPUTED_VALUE"""),"H5_B5_BG-16.png")</f>
        <v>H5_B5_BG-16.png</v>
      </c>
      <c r="L1495" s="13" t="str">
        <f ca="1">IFERROR(__xludf.DUMMYFUNCTION("""COMPUTED_VALUE"""),"B5-16.mp3")</f>
        <v>B5-16.mp3</v>
      </c>
      <c r="M1495" s="13" t="str">
        <f ca="1">IFERROR(__xludf.DUMMYFUNCTION("""COMPUTED_VALUE"""),"B5_VD_16.mp3")</f>
        <v>B5_VD_16.mp3</v>
      </c>
    </row>
    <row r="1496" spans="1:13">
      <c r="A1496" s="13">
        <f ca="1">IFERROR(__xludf.DUMMYFUNCTION("""COMPUTED_VALUE"""),17)</f>
        <v>17</v>
      </c>
      <c r="B1496" s="13"/>
      <c r="C1496" s="13" t="str">
        <f ca="1">IFERROR(__xludf.DUMMYFUNCTION("""COMPUTED_VALUE"""),"挡")</f>
        <v>挡</v>
      </c>
      <c r="D1496" s="13" t="str">
        <f ca="1">IFERROR(__xludf.DUMMYFUNCTION("""COMPUTED_VALUE"""),"&lt;ruby&gt;挡&lt;rt&gt;dǎng&lt;/rt&gt;&lt;/ruby&gt;")</f>
        <v>&lt;ruby&gt;挡&lt;rt&gt;dǎng&lt;/rt&gt;&lt;/ruby&gt;</v>
      </c>
      <c r="E1496" s="13" t="str">
        <f ca="1">IFERROR(__xludf.DUMMYFUNCTION("""COMPUTED_VALUE"""),"dǎng")</f>
        <v>dǎng</v>
      </c>
      <c r="F1496" s="13" t="str">
        <f ca="1">IFERROR(__xludf.DUMMYFUNCTION("""COMPUTED_VALUE"""),"Động từ")</f>
        <v>Động từ</v>
      </c>
      <c r="G1496" s="13" t="str">
        <f ca="1">IFERROR(__xludf.DUMMYFUNCTION("""COMPUTED_VALUE"""),"chặn, cản")</f>
        <v>chặn, cản</v>
      </c>
      <c r="H1496" s="13" t="str">
        <f ca="1">IFERROR(__xludf.DUMMYFUNCTION("""COMPUTED_VALUE"""),"他用手挡住了阳光。")</f>
        <v>他用手挡住了阳光。</v>
      </c>
      <c r="I1496" s="13"/>
      <c r="J1496" s="13" t="str">
        <f ca="1">IFERROR(__xludf.DUMMYFUNCTION("""COMPUTED_VALUE"""),"Anh ấy dùng tay để che ánh nắng.")</f>
        <v>Anh ấy dùng tay để che ánh nắng.</v>
      </c>
      <c r="K1496" s="13" t="str">
        <f ca="1">IFERROR(__xludf.DUMMYFUNCTION("""COMPUTED_VALUE"""),"H5_B5_BG-17.png")</f>
        <v>H5_B5_BG-17.png</v>
      </c>
      <c r="L1496" s="13" t="str">
        <f ca="1">IFERROR(__xludf.DUMMYFUNCTION("""COMPUTED_VALUE"""),"B5-17.mp3")</f>
        <v>B5-17.mp3</v>
      </c>
      <c r="M1496" s="13" t="str">
        <f ca="1">IFERROR(__xludf.DUMMYFUNCTION("""COMPUTED_VALUE"""),"B5_VD_17.mp3")</f>
        <v>B5_VD_17.mp3</v>
      </c>
    </row>
    <row r="1497" spans="1:13">
      <c r="A1497" s="13">
        <f ca="1">IFERROR(__xludf.DUMMYFUNCTION("""COMPUTED_VALUE"""),18)</f>
        <v>18</v>
      </c>
      <c r="B1497" s="13"/>
      <c r="C1497" s="13" t="str">
        <f ca="1">IFERROR(__xludf.DUMMYFUNCTION("""COMPUTED_VALUE"""),"地区")</f>
        <v>地区</v>
      </c>
      <c r="D1497" s="13" t="str">
        <f ca="1">IFERROR(__xludf.DUMMYFUNCTION("""COMPUTED_VALUE"""),"&lt;ruby&gt;地区&lt;rt&gt;dìqū&lt;/rt&gt;&lt;/ruby&gt;")</f>
        <v>&lt;ruby&gt;地区&lt;rt&gt;dìqū&lt;/rt&gt;&lt;/ruby&gt;</v>
      </c>
      <c r="E1497" s="13" t="str">
        <f ca="1">IFERROR(__xludf.DUMMYFUNCTION("""COMPUTED_VALUE"""),"dìqū")</f>
        <v>dìqū</v>
      </c>
      <c r="F1497" s="13" t="str">
        <f ca="1">IFERROR(__xludf.DUMMYFUNCTION("""COMPUTED_VALUE"""),"Danh từ")</f>
        <v>Danh từ</v>
      </c>
      <c r="G1497" s="13" t="str">
        <f ca="1">IFERROR(__xludf.DUMMYFUNCTION("""COMPUTED_VALUE"""),"khu vực, vùng")</f>
        <v>khu vực, vùng</v>
      </c>
      <c r="H1497" s="13" t="str">
        <f ca="1">IFERROR(__xludf.DUMMYFUNCTION("""COMPUTED_VALUE"""),"这个地区的地势非常复杂。")</f>
        <v>这个地区的地势非常复杂。</v>
      </c>
      <c r="I1497" s="13"/>
      <c r="J1497" s="13" t="str">
        <f ca="1">IFERROR(__xludf.DUMMYFUNCTION("""COMPUTED_VALUE"""),"Địa thế của khu vực này rất phức tạp.")</f>
        <v>Địa thế của khu vực này rất phức tạp.</v>
      </c>
      <c r="K1497" s="13" t="str">
        <f ca="1">IFERROR(__xludf.DUMMYFUNCTION("""COMPUTED_VALUE"""),"H5_B5_BG-18.png")</f>
        <v>H5_B5_BG-18.png</v>
      </c>
      <c r="L1497" s="13" t="str">
        <f ca="1">IFERROR(__xludf.DUMMYFUNCTION("""COMPUTED_VALUE"""),"B5-18.mp3")</f>
        <v>B5-18.mp3</v>
      </c>
      <c r="M1497" s="13" t="str">
        <f ca="1">IFERROR(__xludf.DUMMYFUNCTION("""COMPUTED_VALUE"""),"B5_VD_18.mp3")</f>
        <v>B5_VD_18.mp3</v>
      </c>
    </row>
    <row r="1498" spans="1:13">
      <c r="A1498" s="13">
        <f ca="1">IFERROR(__xludf.DUMMYFUNCTION("""COMPUTED_VALUE"""),19)</f>
        <v>19</v>
      </c>
      <c r="B1498" s="13"/>
      <c r="C1498" s="13" t="str">
        <f ca="1">IFERROR(__xludf.DUMMYFUNCTION("""COMPUTED_VALUE"""),"地势")</f>
        <v>地势</v>
      </c>
      <c r="D1498" s="13" t="str">
        <f ca="1">IFERROR(__xludf.DUMMYFUNCTION("""COMPUTED_VALUE"""),"&lt;ruby&gt;地势&lt;rt&gt;dìshì&lt;/rt&gt;&lt;/ruby&gt;")</f>
        <v>&lt;ruby&gt;地势&lt;rt&gt;dìshì&lt;/rt&gt;&lt;/ruby&gt;</v>
      </c>
      <c r="E1498" s="13" t="str">
        <f ca="1">IFERROR(__xludf.DUMMYFUNCTION("""COMPUTED_VALUE"""),"dìshì")</f>
        <v>dìshì</v>
      </c>
      <c r="F1498" s="13" t="str">
        <f ca="1">IFERROR(__xludf.DUMMYFUNCTION("""COMPUTED_VALUE"""),"Danh từ")</f>
        <v>Danh từ</v>
      </c>
      <c r="G1498" s="13" t="str">
        <f ca="1">IFERROR(__xludf.DUMMYFUNCTION("""COMPUTED_VALUE"""),"địa thế")</f>
        <v>địa thế</v>
      </c>
      <c r="H1498" s="13" t="str">
        <f ca="1">IFERROR(__xludf.DUMMYFUNCTION("""COMPUTED_VALUE"""),"地势较高的地方通常较冷。")</f>
        <v>地势较高的地方通常较冷。</v>
      </c>
      <c r="I1498" s="13"/>
      <c r="J1498" s="13" t="str">
        <f ca="1">IFERROR(__xludf.DUMMYFUNCTION("""COMPUTED_VALUE"""),"Những nơi có địa thế cao thường lạnh hơn.")</f>
        <v>Những nơi có địa thế cao thường lạnh hơn.</v>
      </c>
      <c r="K1498" s="13" t="str">
        <f ca="1">IFERROR(__xludf.DUMMYFUNCTION("""COMPUTED_VALUE"""),"H5_B5_BG-19.png")</f>
        <v>H5_B5_BG-19.png</v>
      </c>
      <c r="L1498" s="13" t="str">
        <f ca="1">IFERROR(__xludf.DUMMYFUNCTION("""COMPUTED_VALUE"""),"B5-19.mp3")</f>
        <v>B5-19.mp3</v>
      </c>
      <c r="M1498" s="13" t="str">
        <f ca="1">IFERROR(__xludf.DUMMYFUNCTION("""COMPUTED_VALUE"""),"B5_VD_19.mp3")</f>
        <v>B5_VD_19.mp3</v>
      </c>
    </row>
    <row r="1499" spans="1:13">
      <c r="A1499" s="13">
        <f ca="1">IFERROR(__xludf.DUMMYFUNCTION("""COMPUTED_VALUE"""),20)</f>
        <v>20</v>
      </c>
      <c r="B1499" s="13"/>
      <c r="C1499" s="13" t="str">
        <f ca="1">IFERROR(__xludf.DUMMYFUNCTION("""COMPUTED_VALUE"""),"分布")</f>
        <v>分布</v>
      </c>
      <c r="D1499" s="13" t="str">
        <f ca="1">IFERROR(__xludf.DUMMYFUNCTION("""COMPUTED_VALUE"""),"&lt;ruby&gt;分布&lt;rt&gt;fēnbù&lt;/rt&gt;&lt;/ruby&gt;")</f>
        <v>&lt;ruby&gt;分布&lt;rt&gt;fēnbù&lt;/rt&gt;&lt;/ruby&gt;</v>
      </c>
      <c r="E1499" s="13" t="str">
        <f ca="1">IFERROR(__xludf.DUMMYFUNCTION("""COMPUTED_VALUE"""),"fēnbù")</f>
        <v>fēnbù</v>
      </c>
      <c r="F1499" s="13" t="str">
        <f ca="1">IFERROR(__xludf.DUMMYFUNCTION("""COMPUTED_VALUE"""),"Động từ")</f>
        <v>Động từ</v>
      </c>
      <c r="G1499" s="13" t="str">
        <f ca="1">IFERROR(__xludf.DUMMYFUNCTION("""COMPUTED_VALUE"""),"phân bố")</f>
        <v>phân bố</v>
      </c>
      <c r="H1499" s="13" t="str">
        <f ca="1">IFERROR(__xludf.DUMMYFUNCTION("""COMPUTED_VALUE"""),"火山的分布与地壳运动有关。")</f>
        <v>火山的分布与地壳运动有关。</v>
      </c>
      <c r="I1499" s="13"/>
      <c r="J1499" s="13" t="str">
        <f ca="1">IFERROR(__xludf.DUMMYFUNCTION("""COMPUTED_VALUE"""),"Sự phân bố của núi lửa liên quan đến sự vận động của vỏ trái đất.")</f>
        <v>Sự phân bố của núi lửa liên quan đến sự vận động của vỏ trái đất.</v>
      </c>
      <c r="K1499" s="13" t="str">
        <f ca="1">IFERROR(__xludf.DUMMYFUNCTION("""COMPUTED_VALUE"""),"H5_B5_BG-20.png")</f>
        <v>H5_B5_BG-20.png</v>
      </c>
      <c r="L1499" s="13" t="str">
        <f ca="1">IFERROR(__xludf.DUMMYFUNCTION("""COMPUTED_VALUE"""),"B5-20.mp3")</f>
        <v>B5-20.mp3</v>
      </c>
      <c r="M1499" s="13" t="str">
        <f ca="1">IFERROR(__xludf.DUMMYFUNCTION("""COMPUTED_VALUE"""),"B5_VD_20.mp3")</f>
        <v>B5_VD_20.mp3</v>
      </c>
    </row>
    <row r="1500" spans="1:13">
      <c r="A1500" s="13">
        <f ca="1">IFERROR(__xludf.DUMMYFUNCTION("""COMPUTED_VALUE"""),21)</f>
        <v>21</v>
      </c>
      <c r="B1500" s="13"/>
      <c r="C1500" s="13" t="str">
        <f ca="1">IFERROR(__xludf.DUMMYFUNCTION("""COMPUTED_VALUE"""),"广大")</f>
        <v>广大</v>
      </c>
      <c r="D1500" s="13" t="str">
        <f ca="1">IFERROR(__xludf.DUMMYFUNCTION("""COMPUTED_VALUE"""),"&lt;ruby&gt;广大&lt;rt&gt;guăngdà&lt;/rt&gt;&lt;/ruby&gt;")</f>
        <v>&lt;ruby&gt;广大&lt;rt&gt;guăngdà&lt;/rt&gt;&lt;/ruby&gt;</v>
      </c>
      <c r="E1500" s="13" t="str">
        <f ca="1">IFERROR(__xludf.DUMMYFUNCTION("""COMPUTED_VALUE"""),"guăngdà")</f>
        <v>guăngdà</v>
      </c>
      <c r="F1500" s="13" t="str">
        <f ca="1">IFERROR(__xludf.DUMMYFUNCTION("""COMPUTED_VALUE"""),"Tính từ ")</f>
        <v xml:space="preserve">Tính từ </v>
      </c>
      <c r="G1500" s="13" t="str">
        <f ca="1">IFERROR(__xludf.DUMMYFUNCTION("""COMPUTED_VALUE"""),"rộng, rộng lớn")</f>
        <v>rộng, rộng lớn</v>
      </c>
      <c r="H1500" s="13" t="str">
        <f ca="1">IFERROR(__xludf.DUMMYFUNCTION("""COMPUTED_VALUE"""),"这片广大地区覆盖着森林和山脉。")</f>
        <v>这片广大地区覆盖着森林和山脉。</v>
      </c>
      <c r="I1500" s="13"/>
      <c r="J1500" s="13" t="str">
        <f ca="1">IFERROR(__xludf.DUMMYFUNCTION("""COMPUTED_VALUE"""),"Khu vực rộng lớn này bao phủ bởi rừng và núi.")</f>
        <v>Khu vực rộng lớn này bao phủ bởi rừng và núi.</v>
      </c>
      <c r="K1500" s="13" t="str">
        <f ca="1">IFERROR(__xludf.DUMMYFUNCTION("""COMPUTED_VALUE"""),"H5_B5_BG-21.png")</f>
        <v>H5_B5_BG-21.png</v>
      </c>
      <c r="L1500" s="13" t="str">
        <f ca="1">IFERROR(__xludf.DUMMYFUNCTION("""COMPUTED_VALUE"""),"B5-21.mp3")</f>
        <v>B5-21.mp3</v>
      </c>
      <c r="M1500" s="13" t="str">
        <f ca="1">IFERROR(__xludf.DUMMYFUNCTION("""COMPUTED_VALUE"""),"B5_VD_21.mp3")</f>
        <v>B5_VD_21.mp3</v>
      </c>
    </row>
    <row r="1501" spans="1:13">
      <c r="A1501" s="13">
        <f ca="1">IFERROR(__xludf.DUMMYFUNCTION("""COMPUTED_VALUE"""),22)</f>
        <v>22</v>
      </c>
      <c r="B1501" s="13"/>
      <c r="C1501" s="13" t="str">
        <f ca="1">IFERROR(__xludf.DUMMYFUNCTION("""COMPUTED_VALUE"""),"火成岩")</f>
        <v>火成岩</v>
      </c>
      <c r="D1501" s="13" t="str">
        <f ca="1">IFERROR(__xludf.DUMMYFUNCTION("""COMPUTED_VALUE"""),"&lt;ruby&gt;火成岩&lt;rt&gt;huǒchéngyán&lt;/rt&gt;&lt;/ruby&gt;")</f>
        <v>&lt;ruby&gt;火成岩&lt;rt&gt;huǒchéngyán&lt;/rt&gt;&lt;/ruby&gt;</v>
      </c>
      <c r="E1501" s="13" t="str">
        <f ca="1">IFERROR(__xludf.DUMMYFUNCTION("""COMPUTED_VALUE"""),"huǒchéngyán")</f>
        <v>huǒchéngyán</v>
      </c>
      <c r="F1501" s="13" t="str">
        <f ca="1">IFERROR(__xludf.DUMMYFUNCTION("""COMPUTED_VALUE"""),"Danh từ")</f>
        <v>Danh từ</v>
      </c>
      <c r="G1501" s="13" t="str">
        <f ca="1">IFERROR(__xludf.DUMMYFUNCTION("""COMPUTED_VALUE"""),"đá phun trào, đá mác-ma")</f>
        <v>đá phun trào, đá mác-ma</v>
      </c>
      <c r="H1501" s="13" t="str">
        <f ca="1">IFERROR(__xludf.DUMMYFUNCTION("""COMPUTED_VALUE"""),"火成岩是由熔岩冷却形成的。")</f>
        <v>火成岩是由熔岩冷却形成的。</v>
      </c>
      <c r="I1501" s="13"/>
      <c r="J1501" s="13" t="str">
        <f ca="1">IFERROR(__xludf.DUMMYFUNCTION("""COMPUTED_VALUE"""),"Đá mác-ma được hình thành từ dung nham nguội.")</f>
        <v>Đá mác-ma được hình thành từ dung nham nguội.</v>
      </c>
      <c r="K1501" s="13" t="str">
        <f ca="1">IFERROR(__xludf.DUMMYFUNCTION("""COMPUTED_VALUE"""),"H5_B5_BG-22.png ")</f>
        <v xml:space="preserve">H5_B5_BG-22.png </v>
      </c>
      <c r="L1501" s="13" t="str">
        <f ca="1">IFERROR(__xludf.DUMMYFUNCTION("""COMPUTED_VALUE"""),"B5-22.mp3")</f>
        <v>B5-22.mp3</v>
      </c>
      <c r="M1501" s="13" t="str">
        <f ca="1">IFERROR(__xludf.DUMMYFUNCTION("""COMPUTED_VALUE"""),"B5_VD_22.mp3")</f>
        <v>B5_VD_22.mp3</v>
      </c>
    </row>
    <row r="1502" spans="1:13">
      <c r="A1502" s="13">
        <f ca="1">IFERROR(__xludf.DUMMYFUNCTION("""COMPUTED_VALUE"""),23)</f>
        <v>23</v>
      </c>
      <c r="B1502" s="13"/>
      <c r="C1502" s="13" t="str">
        <f ca="1">IFERROR(__xludf.DUMMYFUNCTION("""COMPUTED_VALUE"""),"埋")</f>
        <v>埋</v>
      </c>
      <c r="D1502" s="13" t="str">
        <f ca="1">IFERROR(__xludf.DUMMYFUNCTION("""COMPUTED_VALUE"""),"&lt;ruby&gt;埋&lt;rt&gt;mái&lt;/rt&gt;&lt;/ruby&gt;")</f>
        <v>&lt;ruby&gt;埋&lt;rt&gt;mái&lt;/rt&gt;&lt;/ruby&gt;</v>
      </c>
      <c r="E1502" s="13" t="str">
        <f ca="1">IFERROR(__xludf.DUMMYFUNCTION("""COMPUTED_VALUE"""),"mái")</f>
        <v>mái</v>
      </c>
      <c r="F1502" s="13" t="str">
        <f ca="1">IFERROR(__xludf.DUMMYFUNCTION("""COMPUTED_VALUE"""),"Động từ")</f>
        <v>Động từ</v>
      </c>
      <c r="G1502" s="13" t="str">
        <f ca="1">IFERROR(__xludf.DUMMYFUNCTION("""COMPUTED_VALUE"""),"chôn")</f>
        <v>chôn</v>
      </c>
      <c r="H1502" s="13" t="str">
        <f ca="1">IFERROR(__xludf.DUMMYFUNCTION("""COMPUTED_VALUE"""),"他们埋东西在院子里。")</f>
        <v>他们埋东西在院子里。</v>
      </c>
      <c r="I1502" s="13"/>
      <c r="J1502" s="13" t="str">
        <f ca="1">IFERROR(__xludf.DUMMYFUNCTION("""COMPUTED_VALUE"""),"Họ chôn đồ vật ở trong sân.")</f>
        <v>Họ chôn đồ vật ở trong sân.</v>
      </c>
      <c r="K1502" s="13" t="str">
        <f ca="1">IFERROR(__xludf.DUMMYFUNCTION("""COMPUTED_VALUE"""),"H5_B5_BG-23.png")</f>
        <v>H5_B5_BG-23.png</v>
      </c>
      <c r="L1502" s="13" t="str">
        <f ca="1">IFERROR(__xludf.DUMMYFUNCTION("""COMPUTED_VALUE"""),"B5-23.mp3")</f>
        <v>B5-23.mp3</v>
      </c>
      <c r="M1502" s="13" t="str">
        <f ca="1">IFERROR(__xludf.DUMMYFUNCTION("""COMPUTED_VALUE"""),"B5_VD_23.mp3")</f>
        <v>B5_VD_23.mp3</v>
      </c>
    </row>
    <row r="1503" spans="1:13">
      <c r="A1503" s="13">
        <f ca="1">IFERROR(__xludf.DUMMYFUNCTION("""COMPUTED_VALUE"""),24)</f>
        <v>24</v>
      </c>
      <c r="B1503" s="13"/>
      <c r="C1503" s="13" t="str">
        <f ca="1">IFERROR(__xludf.DUMMYFUNCTION("""COMPUTED_VALUE"""),"碰")</f>
        <v>碰</v>
      </c>
      <c r="D1503" s="13" t="str">
        <f ca="1">IFERROR(__xludf.DUMMYFUNCTION("""COMPUTED_VALUE"""),"&lt;ruby&gt;碰&lt;rt&gt;pèng&lt;/rt&gt;&lt;/ruby&gt;")</f>
        <v>&lt;ruby&gt;碰&lt;rt&gt;pèng&lt;/rt&gt;&lt;/ruby&gt;</v>
      </c>
      <c r="E1503" s="13" t="str">
        <f ca="1">IFERROR(__xludf.DUMMYFUNCTION("""COMPUTED_VALUE"""),"pèng")</f>
        <v>pèng</v>
      </c>
      <c r="F1503" s="13" t="str">
        <f ca="1">IFERROR(__xludf.DUMMYFUNCTION("""COMPUTED_VALUE"""),"Động từ")</f>
        <v>Động từ</v>
      </c>
      <c r="G1503" s="13" t="str">
        <f ca="1">IFERROR(__xludf.DUMMYFUNCTION("""COMPUTED_VALUE"""),"đụng, gặp phải")</f>
        <v>đụng, gặp phải</v>
      </c>
      <c r="H1503" s="13" t="str">
        <f ca="1">IFERROR(__xludf.DUMMYFUNCTION("""COMPUTED_VALUE"""),"我不小心碰倒了杯子。")</f>
        <v>我不小心碰倒了杯子。</v>
      </c>
      <c r="I1503" s="13"/>
      <c r="J1503" s="13" t="str">
        <f ca="1">IFERROR(__xludf.DUMMYFUNCTION("""COMPUTED_VALUE"""),"Tôi vô ý làm đổ cái cốc.")</f>
        <v>Tôi vô ý làm đổ cái cốc.</v>
      </c>
      <c r="K1503" s="13" t="str">
        <f ca="1">IFERROR(__xludf.DUMMYFUNCTION("""COMPUTED_VALUE"""),"H5_B5_BG-24.png")</f>
        <v>H5_B5_BG-24.png</v>
      </c>
      <c r="L1503" s="13" t="str">
        <f ca="1">IFERROR(__xludf.DUMMYFUNCTION("""COMPUTED_VALUE"""),"B5-24.mp3")</f>
        <v>B5-24.mp3</v>
      </c>
      <c r="M1503" s="13" t="str">
        <f ca="1">IFERROR(__xludf.DUMMYFUNCTION("""COMPUTED_VALUE"""),"B5_VD_24.mp3")</f>
        <v>B5_VD_24.mp3</v>
      </c>
    </row>
    <row r="1504" spans="1:13">
      <c r="A1504" s="13">
        <f ca="1">IFERROR(__xludf.DUMMYFUNCTION("""COMPUTED_VALUE"""),25)</f>
        <v>25</v>
      </c>
      <c r="B1504" s="13"/>
      <c r="C1504" s="13" t="str">
        <f ca="1">IFERROR(__xludf.DUMMYFUNCTION("""COMPUTED_VALUE"""),"石灰岩")</f>
        <v>石灰岩</v>
      </c>
      <c r="D1504" s="13" t="str">
        <f ca="1">IFERROR(__xludf.DUMMYFUNCTION("""COMPUTED_VALUE"""),"&lt;ruby&gt;石灰岩&lt;rt&gt;shíhuīyán&lt;/rt&gt;&lt;/ruby&gt;")</f>
        <v>&lt;ruby&gt;石灰岩&lt;rt&gt;shíhuīyán&lt;/rt&gt;&lt;/ruby&gt;</v>
      </c>
      <c r="E1504" s="13" t="str">
        <f ca="1">IFERROR(__xludf.DUMMYFUNCTION("""COMPUTED_VALUE"""),"shíhuīyán")</f>
        <v>shíhuīyán</v>
      </c>
      <c r="F1504" s="13" t="str">
        <f ca="1">IFERROR(__xludf.DUMMYFUNCTION("""COMPUTED_VALUE"""),"Danh từ")</f>
        <v>Danh từ</v>
      </c>
      <c r="G1504" s="13" t="str">
        <f ca="1">IFERROR(__xludf.DUMMYFUNCTION("""COMPUTED_VALUE"""),"đá vôi")</f>
        <v>đá vôi</v>
      </c>
      <c r="H1504" s="13" t="str">
        <f ca="1">IFERROR(__xludf.DUMMYFUNCTION("""COMPUTED_VALUE"""),"石灰岩被用来制作黑板粉笔。")</f>
        <v>石灰岩被用来制作黑板粉笔。</v>
      </c>
      <c r="I1504" s="13"/>
      <c r="J1504" s="13" t="str">
        <f ca="1">IFERROR(__xludf.DUMMYFUNCTION("""COMPUTED_VALUE"""),"Đá vôi được dùng làm phấn viết bảng")</f>
        <v>Đá vôi được dùng làm phấn viết bảng</v>
      </c>
      <c r="K1504" s="13" t="str">
        <f ca="1">IFERROR(__xludf.DUMMYFUNCTION("""COMPUTED_VALUE"""),"H5_B5_BG-25.png")</f>
        <v>H5_B5_BG-25.png</v>
      </c>
      <c r="L1504" s="13" t="str">
        <f ca="1">IFERROR(__xludf.DUMMYFUNCTION("""COMPUTED_VALUE"""),"B5-25.mp3")</f>
        <v>B5-25.mp3</v>
      </c>
      <c r="M1504" s="13" t="str">
        <f ca="1">IFERROR(__xludf.DUMMYFUNCTION("""COMPUTED_VALUE"""),"B5_VD_25.mp3")</f>
        <v>B5_VD_25.mp3</v>
      </c>
    </row>
    <row r="1505" spans="1:13">
      <c r="A1505" s="13">
        <f ca="1">IFERROR(__xludf.DUMMYFUNCTION("""COMPUTED_VALUE"""),26)</f>
        <v>26</v>
      </c>
      <c r="B1505" s="13"/>
      <c r="C1505" s="13" t="str">
        <f ca="1">IFERROR(__xludf.DUMMYFUNCTION("""COMPUTED_VALUE"""),"天然")</f>
        <v>天然</v>
      </c>
      <c r="D1505" s="13" t="str">
        <f ca="1">IFERROR(__xludf.DUMMYFUNCTION("""COMPUTED_VALUE"""),"&lt;ruby&gt;天然&lt;rt&gt;tiānrán&lt;/rt&gt;&lt;/ruby&gt;")</f>
        <v>&lt;ruby&gt;天然&lt;rt&gt;tiānrán&lt;/rt&gt;&lt;/ruby&gt;</v>
      </c>
      <c r="E1505" s="13" t="str">
        <f ca="1">IFERROR(__xludf.DUMMYFUNCTION("""COMPUTED_VALUE"""),"tiānrán")</f>
        <v>tiānrán</v>
      </c>
      <c r="F1505" s="13" t="str">
        <f ca="1">IFERROR(__xludf.DUMMYFUNCTION("""COMPUTED_VALUE"""),"Tính từ ")</f>
        <v xml:space="preserve">Tính từ </v>
      </c>
      <c r="G1505" s="13" t="str">
        <f ca="1">IFERROR(__xludf.DUMMYFUNCTION("""COMPUTED_VALUE"""),"tự nhiên, (thuộc) thiên nhiên")</f>
        <v>tự nhiên, (thuộc) thiên nhiên</v>
      </c>
      <c r="H1505" s="13" t="str">
        <f ca="1">IFERROR(__xludf.DUMMYFUNCTION("""COMPUTED_VALUE"""),"这里有很多天然的洞穴。")</f>
        <v>这里有很多天然的洞穴。</v>
      </c>
      <c r="I1505" s="13"/>
      <c r="J1505" s="13" t="str">
        <f ca="1">IFERROR(__xludf.DUMMYFUNCTION("""COMPUTED_VALUE"""),"Ở đây có rất nhiều hang động tự nhiên.")</f>
        <v>Ở đây có rất nhiều hang động tự nhiên.</v>
      </c>
      <c r="K1505" s="13" t="str">
        <f ca="1">IFERROR(__xludf.DUMMYFUNCTION("""COMPUTED_VALUE"""),"H5_B5_BG-26.png")</f>
        <v>H5_B5_BG-26.png</v>
      </c>
      <c r="L1505" s="13" t="str">
        <f ca="1">IFERROR(__xludf.DUMMYFUNCTION("""COMPUTED_VALUE"""),"B5-26.mp3")</f>
        <v>B5-26.mp3</v>
      </c>
      <c r="M1505" s="13" t="str">
        <f ca="1">IFERROR(__xludf.DUMMYFUNCTION("""COMPUTED_VALUE"""),"B5_VD_26.mp3")</f>
        <v>B5_VD_26.mp3</v>
      </c>
    </row>
    <row r="1506" spans="1:13">
      <c r="A1506" s="13">
        <f ca="1">IFERROR(__xludf.DUMMYFUNCTION("""COMPUTED_VALUE"""),27)</f>
        <v>27</v>
      </c>
      <c r="B1506" s="13"/>
      <c r="C1506" s="13" t="str">
        <f ca="1">IFERROR(__xludf.DUMMYFUNCTION("""COMPUTED_VALUE"""),"斜")</f>
        <v>斜</v>
      </c>
      <c r="D1506" s="13" t="str">
        <f ca="1">IFERROR(__xludf.DUMMYFUNCTION("""COMPUTED_VALUE"""),"&lt;ruby&gt;斜&lt;rt&gt;xié&lt;/rt&gt;&lt;/ruby&gt;")</f>
        <v>&lt;ruby&gt;斜&lt;rt&gt;xié&lt;/rt&gt;&lt;/ruby&gt;</v>
      </c>
      <c r="E1506" s="13" t="str">
        <f ca="1">IFERROR(__xludf.DUMMYFUNCTION("""COMPUTED_VALUE"""),"xié")</f>
        <v>xié</v>
      </c>
      <c r="F1506" s="13" t="str">
        <f ca="1">IFERROR(__xludf.DUMMYFUNCTION("""COMPUTED_VALUE"""),"Tính từ ")</f>
        <v xml:space="preserve">Tính từ </v>
      </c>
      <c r="G1506" s="13" t="str">
        <f ca="1">IFERROR(__xludf.DUMMYFUNCTION("""COMPUTED_VALUE"""),"xiên, nghiêng")</f>
        <v>xiên, nghiêng</v>
      </c>
      <c r="H1506" s="13" t="str">
        <f ca="1">IFERROR(__xludf.DUMMYFUNCTION("""COMPUTED_VALUE"""),"这棵树长得有点斜。")</f>
        <v>这棵树长得有点斜。</v>
      </c>
      <c r="I1506" s="13"/>
      <c r="J1506" s="13" t="str">
        <f ca="1">IFERROR(__xludf.DUMMYFUNCTION("""COMPUTED_VALUE"""),"Cây này mọc hơi nghiêng.")</f>
        <v>Cây này mọc hơi nghiêng.</v>
      </c>
      <c r="K1506" s="13" t="str">
        <f ca="1">IFERROR(__xludf.DUMMYFUNCTION("""COMPUTED_VALUE"""),"H5_B5_BG-27.png")</f>
        <v>H5_B5_BG-27.png</v>
      </c>
      <c r="L1506" s="13" t="str">
        <f ca="1">IFERROR(__xludf.DUMMYFUNCTION("""COMPUTED_VALUE"""),"B5-27.mp3")</f>
        <v>B5-27.mp3</v>
      </c>
      <c r="M1506" s="13" t="str">
        <f ca="1">IFERROR(__xludf.DUMMYFUNCTION("""COMPUTED_VALUE"""),"B5_VD_27.mp3")</f>
        <v>B5_VD_27.mp3</v>
      </c>
    </row>
    <row r="1507" spans="1:13">
      <c r="A1507" s="13">
        <f ca="1">IFERROR(__xludf.DUMMYFUNCTION("""COMPUTED_VALUE"""),28)</f>
        <v>28</v>
      </c>
      <c r="B1507" s="13"/>
      <c r="C1507" s="13" t="str">
        <f ca="1">IFERROR(__xludf.DUMMYFUNCTION("""COMPUTED_VALUE"""),"形成")</f>
        <v>形成</v>
      </c>
      <c r="D1507" s="13" t="str">
        <f ca="1">IFERROR(__xludf.DUMMYFUNCTION("""COMPUTED_VALUE"""),"&lt;ruby&gt;形成&lt;rt&gt;xíngchéng&lt;/rt&gt;&lt;/ruby&gt;")</f>
        <v>&lt;ruby&gt;形成&lt;rt&gt;xíngchéng&lt;/rt&gt;&lt;/ruby&gt;</v>
      </c>
      <c r="E1507" s="13" t="str">
        <f ca="1">IFERROR(__xludf.DUMMYFUNCTION("""COMPUTED_VALUE"""),"xíngchéng")</f>
        <v>xíngchéng</v>
      </c>
      <c r="F1507" s="13" t="str">
        <f ca="1">IFERROR(__xludf.DUMMYFUNCTION("""COMPUTED_VALUE"""),"Động từ")</f>
        <v>Động từ</v>
      </c>
      <c r="G1507" s="13" t="str">
        <f ca="1">IFERROR(__xludf.DUMMYFUNCTION("""COMPUTED_VALUE"""),"hình thành")</f>
        <v>hình thành</v>
      </c>
      <c r="H1507" s="13" t="str">
        <f ca="1">IFERROR(__xludf.DUMMYFUNCTION("""COMPUTED_VALUE"""),"山脉是如何形成的？")</f>
        <v>山脉是如何形成的？</v>
      </c>
      <c r="I1507" s="13"/>
      <c r="J1507" s="13" t="str">
        <f ca="1">IFERROR(__xludf.DUMMYFUNCTION("""COMPUTED_VALUE"""),"Các dãy núi được hình thành như thế nào?")</f>
        <v>Các dãy núi được hình thành như thế nào?</v>
      </c>
      <c r="K1507" s="13" t="str">
        <f ca="1">IFERROR(__xludf.DUMMYFUNCTION("""COMPUTED_VALUE"""),"H5_B5_BG-28.png")</f>
        <v>H5_B5_BG-28.png</v>
      </c>
      <c r="L1507" s="13" t="str">
        <f ca="1">IFERROR(__xludf.DUMMYFUNCTION("""COMPUTED_VALUE"""),"B5-28.mp3")</f>
        <v>B5-28.mp3</v>
      </c>
      <c r="M1507" s="13" t="str">
        <f ca="1">IFERROR(__xludf.DUMMYFUNCTION("""COMPUTED_VALUE"""),"B5_VD_28.mp3")</f>
        <v>B5_VD_28.mp3</v>
      </c>
    </row>
    <row r="1508" spans="1:13">
      <c r="A1508" s="13">
        <f ca="1">IFERROR(__xludf.DUMMYFUNCTION("""COMPUTED_VALUE"""),29)</f>
        <v>29</v>
      </c>
      <c r="B1508" s="13"/>
      <c r="C1508" s="13" t="str">
        <f ca="1">IFERROR(__xludf.DUMMYFUNCTION("""COMPUTED_VALUE"""),"形状")</f>
        <v>形状</v>
      </c>
      <c r="D1508" s="13" t="str">
        <f ca="1">IFERROR(__xludf.DUMMYFUNCTION("""COMPUTED_VALUE"""),"&lt;ruby&gt;形状&lt;rt&gt;xíngzhuàng&lt;/rt&gt;&lt;/ruby&gt;")</f>
        <v>&lt;ruby&gt;形状&lt;rt&gt;xíngzhuàng&lt;/rt&gt;&lt;/ruby&gt;</v>
      </c>
      <c r="E1508" s="13" t="str">
        <f ca="1">IFERROR(__xludf.DUMMYFUNCTION("""COMPUTED_VALUE"""),"xíngzhuàng")</f>
        <v>xíngzhuàng</v>
      </c>
      <c r="F1508" s="13" t="str">
        <f ca="1">IFERROR(__xludf.DUMMYFUNCTION("""COMPUTED_VALUE"""),"Danh từ")</f>
        <v>Danh từ</v>
      </c>
      <c r="G1508" s="13" t="str">
        <f ca="1">IFERROR(__xludf.DUMMYFUNCTION("""COMPUTED_VALUE"""),"hình dạng")</f>
        <v>hình dạng</v>
      </c>
      <c r="H1508" s="13" t="str">
        <f ca="1">IFERROR(__xludf.DUMMYFUNCTION("""COMPUTED_VALUE"""),"月亮的形状像香蕉。")</f>
        <v>月亮的形状像香蕉。</v>
      </c>
      <c r="I1508" s="13"/>
      <c r="J1508" s="13" t="str">
        <f ca="1">IFERROR(__xludf.DUMMYFUNCTION("""COMPUTED_VALUE"""),"Hình dạng của mặt trăng giống như quả chuối.")</f>
        <v>Hình dạng của mặt trăng giống như quả chuối.</v>
      </c>
      <c r="K1508" s="13" t="str">
        <f ca="1">IFERROR(__xludf.DUMMYFUNCTION("""COMPUTED_VALUE"""),"H5_B5_BG-29.png")</f>
        <v>H5_B5_BG-29.png</v>
      </c>
      <c r="L1508" s="13" t="str">
        <f ca="1">IFERROR(__xludf.DUMMYFUNCTION("""COMPUTED_VALUE"""),"B5-29.mp3")</f>
        <v>B5-29.mp3</v>
      </c>
      <c r="M1508" s="13" t="str">
        <f ca="1">IFERROR(__xludf.DUMMYFUNCTION("""COMPUTED_VALUE"""),"B5_VD_29.mp3")</f>
        <v>B5_VD_29.mp3</v>
      </c>
    </row>
    <row r="1509" spans="1:13">
      <c r="A1509" s="13">
        <f ca="1">IFERROR(__xludf.DUMMYFUNCTION("""COMPUTED_VALUE"""),30)</f>
        <v>30</v>
      </c>
      <c r="B1509" s="13"/>
      <c r="C1509" s="13" t="str">
        <f ca="1">IFERROR(__xludf.DUMMYFUNCTION("""COMPUTED_VALUE"""),"岩石")</f>
        <v>岩石</v>
      </c>
      <c r="D1509" s="13" t="str">
        <f ca="1">IFERROR(__xludf.DUMMYFUNCTION("""COMPUTED_VALUE"""),"&lt;ruby&gt;岩石&lt;rt&gt;yánshí&lt;/rt&gt;&lt;/ruby&gt;")</f>
        <v>&lt;ruby&gt;岩石&lt;rt&gt;yánshí&lt;/rt&gt;&lt;/ruby&gt;</v>
      </c>
      <c r="E1509" s="13" t="str">
        <f ca="1">IFERROR(__xludf.DUMMYFUNCTION("""COMPUTED_VALUE"""),"yánshí")</f>
        <v>yánshí</v>
      </c>
      <c r="F1509" s="13" t="str">
        <f ca="1">IFERROR(__xludf.DUMMYFUNCTION("""COMPUTED_VALUE"""),"Danh từ")</f>
        <v>Danh từ</v>
      </c>
      <c r="G1509" s="13" t="str">
        <f ca="1">IFERROR(__xludf.DUMMYFUNCTION("""COMPUTED_VALUE"""),"nham thạch")</f>
        <v>nham thạch</v>
      </c>
      <c r="H1509" s="13" t="str">
        <f ca="1">IFERROR(__xludf.DUMMYFUNCTION("""COMPUTED_VALUE"""),"火山喷发后留下了许多熔化的岩石。")</f>
        <v>火山喷发后留下了许多熔化的岩石。</v>
      </c>
      <c r="I1509" s="13"/>
      <c r="J1509" s="13" t="str">
        <f ca="1">IFERROR(__xludf.DUMMYFUNCTION("""COMPUTED_VALUE"""),"Sau khi núi lửa phun trào, đã để lại nhiều nham thạch nóng chảy.")</f>
        <v>Sau khi núi lửa phun trào, đã để lại nhiều nham thạch nóng chảy.</v>
      </c>
      <c r="K1509" s="13" t="str">
        <f ca="1">IFERROR(__xludf.DUMMYFUNCTION("""COMPUTED_VALUE"""),"H5_B5_BG-30.png")</f>
        <v>H5_B5_BG-30.png</v>
      </c>
      <c r="L1509" s="13" t="str">
        <f ca="1">IFERROR(__xludf.DUMMYFUNCTION("""COMPUTED_VALUE"""),"B5-30.mp3")</f>
        <v>B5-30.mp3</v>
      </c>
      <c r="M1509" s="13" t="str">
        <f ca="1">IFERROR(__xludf.DUMMYFUNCTION("""COMPUTED_VALUE"""),"B5_VD_30.mp3")</f>
        <v>B5_VD_30.mp3</v>
      </c>
    </row>
    <row r="1510" spans="1:13">
      <c r="A1510" s="13">
        <f ca="1">IFERROR(__xludf.DUMMYFUNCTION("""COMPUTED_VALUE"""),31)</f>
        <v>31</v>
      </c>
      <c r="B1510" s="13"/>
      <c r="C1510" s="13" t="str">
        <f ca="1">IFERROR(__xludf.DUMMYFUNCTION("""COMPUTED_VALUE"""),"玉")</f>
        <v>玉</v>
      </c>
      <c r="D1510" s="13" t="str">
        <f ca="1">IFERROR(__xludf.DUMMYFUNCTION("""COMPUTED_VALUE"""),"&lt;ruby&gt;玉&lt;rt&gt;yù&lt;/rt&gt;&lt;/ruby&gt;")</f>
        <v>&lt;ruby&gt;玉&lt;rt&gt;yù&lt;/rt&gt;&lt;/ruby&gt;</v>
      </c>
      <c r="E1510" s="13" t="str">
        <f ca="1">IFERROR(__xludf.DUMMYFUNCTION("""COMPUTED_VALUE"""),"yù")</f>
        <v>yù</v>
      </c>
      <c r="F1510" s="13" t="str">
        <f ca="1">IFERROR(__xludf.DUMMYFUNCTION("""COMPUTED_VALUE"""),"Danh từ")</f>
        <v>Danh từ</v>
      </c>
      <c r="G1510" s="13" t="str">
        <f ca="1">IFERROR(__xludf.DUMMYFUNCTION("""COMPUTED_VALUE"""),"ngọc thạch")</f>
        <v>ngọc thạch</v>
      </c>
      <c r="H1510" s="13" t="str">
        <f ca="1">IFERROR(__xludf.DUMMYFUNCTION("""COMPUTED_VALUE"""),"这是一块非常珍贵的玉。")</f>
        <v>这是一块非常珍贵的玉。</v>
      </c>
      <c r="I1510" s="13"/>
      <c r="J1510" s="13" t="str">
        <f ca="1">IFERROR(__xludf.DUMMYFUNCTION("""COMPUTED_VALUE"""),"Đây là một viên ngọc rất quý giá.")</f>
        <v>Đây là một viên ngọc rất quý giá.</v>
      </c>
      <c r="K1510" s="13" t="str">
        <f ca="1">IFERROR(__xludf.DUMMYFUNCTION("""COMPUTED_VALUE"""),"H5_B5_BG-31.png")</f>
        <v>H5_B5_BG-31.png</v>
      </c>
      <c r="L1510" s="13" t="str">
        <f ca="1">IFERROR(__xludf.DUMMYFUNCTION("""COMPUTED_VALUE"""),"B5-31.mp3")</f>
        <v>B5-31.mp3</v>
      </c>
      <c r="M1510" s="13" t="str">
        <f ca="1">IFERROR(__xludf.DUMMYFUNCTION("""COMPUTED_VALUE"""),"B5_VD_31.mp3")</f>
        <v>B5_VD_31.mp3</v>
      </c>
    </row>
    <row r="1511" spans="1:13">
      <c r="A1511" s="13">
        <f ca="1">IFERROR(__xludf.DUMMYFUNCTION("""COMPUTED_VALUE"""),32)</f>
        <v>32</v>
      </c>
      <c r="B1511" s="13"/>
      <c r="C1511" s="13" t="str">
        <f ca="1">IFERROR(__xludf.DUMMYFUNCTION("""COMPUTED_VALUE"""),"珍珠")</f>
        <v>珍珠</v>
      </c>
      <c r="D1511" s="13" t="str">
        <f ca="1">IFERROR(__xludf.DUMMYFUNCTION("""COMPUTED_VALUE"""),"&lt;ruby&gt;珍珠&lt;rt&gt;zhēnzhū&lt;/rt&gt;&lt;/ruby&gt;")</f>
        <v>&lt;ruby&gt;珍珠&lt;rt&gt;zhēnzhū&lt;/rt&gt;&lt;/ruby&gt;</v>
      </c>
      <c r="E1511" s="13" t="str">
        <f ca="1">IFERROR(__xludf.DUMMYFUNCTION("""COMPUTED_VALUE"""),"zhēnzhū")</f>
        <v>zhēnzhū</v>
      </c>
      <c r="F1511" s="13" t="str">
        <f ca="1">IFERROR(__xludf.DUMMYFUNCTION("""COMPUTED_VALUE"""),"Danh từ")</f>
        <v>Danh từ</v>
      </c>
      <c r="G1511" s="13" t="str">
        <f ca="1">IFERROR(__xludf.DUMMYFUNCTION("""COMPUTED_VALUE"""),"trân châu, ngọc trai")</f>
        <v>trân châu, ngọc trai</v>
      </c>
      <c r="H1511" s="13" t="str">
        <f ca="1">IFERROR(__xludf.DUMMYFUNCTION("""COMPUTED_VALUE"""),"她的项链上有很多珍珠。")</f>
        <v>她的项链上有很多珍珠。</v>
      </c>
      <c r="I1511" s="13"/>
      <c r="J1511" s="13" t="str">
        <f ca="1">IFERROR(__xludf.DUMMYFUNCTION("""COMPUTED_VALUE"""),"Trên dây chuyền của cô ấy có nhiều viên ngọc trai.")</f>
        <v>Trên dây chuyền của cô ấy có nhiều viên ngọc trai.</v>
      </c>
      <c r="K1511" s="13" t="str">
        <f ca="1">IFERROR(__xludf.DUMMYFUNCTION("""COMPUTED_VALUE"""),"H5_B5_BG-32.png")</f>
        <v>H5_B5_BG-32.png</v>
      </c>
      <c r="L1511" s="13" t="str">
        <f ca="1">IFERROR(__xludf.DUMMYFUNCTION("""COMPUTED_VALUE"""),"B5-32.mp3")</f>
        <v>B5-32.mp3</v>
      </c>
      <c r="M1511" s="13" t="str">
        <f ca="1">IFERROR(__xludf.DUMMYFUNCTION("""COMPUTED_VALUE"""),"B5_VD_32.mp3")</f>
        <v>B5_VD_32.mp3</v>
      </c>
    </row>
    <row r="1512" spans="1:13">
      <c r="A1512" s="13">
        <f ca="1">IFERROR(__xludf.DUMMYFUNCTION("""COMPUTED_VALUE"""),33)</f>
        <v>33</v>
      </c>
      <c r="B1512" s="13"/>
      <c r="C1512" s="13" t="str">
        <f ca="1">IFERROR(__xludf.DUMMYFUNCTION("""COMPUTED_VALUE"""),"传说")</f>
        <v>传说</v>
      </c>
      <c r="D1512" s="13" t="str">
        <f ca="1">IFERROR(__xludf.DUMMYFUNCTION("""COMPUTED_VALUE"""),"&lt;ruby&gt;传说&lt;rt&gt;chuánshuō&lt;/rt&gt;&lt;/ruby&gt;")</f>
        <v>&lt;ruby&gt;传说&lt;rt&gt;chuánshuō&lt;/rt&gt;&lt;/ruby&gt;</v>
      </c>
      <c r="E1512" s="13" t="str">
        <f ca="1">IFERROR(__xludf.DUMMYFUNCTION("""COMPUTED_VALUE"""),"chuánshuō")</f>
        <v>chuánshuō</v>
      </c>
      <c r="F1512" s="13" t="str">
        <f ca="1">IFERROR(__xludf.DUMMYFUNCTION("""COMPUTED_VALUE"""),"Danh từ")</f>
        <v>Danh từ</v>
      </c>
      <c r="G1512" s="13" t="str">
        <f ca="1">IFERROR(__xludf.DUMMYFUNCTION("""COMPUTED_VALUE"""),"truyền thuyết")</f>
        <v>truyền thuyết</v>
      </c>
      <c r="H1512" s="13" t="str">
        <f ca="1">IFERROR(__xludf.DUMMYFUNCTION("""COMPUTED_VALUE"""),"这个地区有关于龙的传说。")</f>
        <v>这个地区有关于龙的传说。</v>
      </c>
      <c r="I1512" s="13"/>
      <c r="J1512" s="13" t="str">
        <f ca="1">IFERROR(__xludf.DUMMYFUNCTION("""COMPUTED_VALUE"""),"Khu vực này có truyền thuyết về rồng.")</f>
        <v>Khu vực này có truyền thuyết về rồng.</v>
      </c>
      <c r="K1512" s="13" t="str">
        <f ca="1">IFERROR(__xludf.DUMMYFUNCTION("""COMPUTED_VALUE"""),"H5_B5_BG-33.png")</f>
        <v>H5_B5_BG-33.png</v>
      </c>
      <c r="L1512" s="13" t="str">
        <f ca="1">IFERROR(__xludf.DUMMYFUNCTION("""COMPUTED_VALUE"""),"B5-33.mp3")</f>
        <v>B5-33.mp3</v>
      </c>
      <c r="M1512" s="13" t="str">
        <f ca="1">IFERROR(__xludf.DUMMYFUNCTION("""COMPUTED_VALUE"""),"B5_VD_33.mp3")</f>
        <v>B5_VD_33.mp3</v>
      </c>
    </row>
    <row r="1513" spans="1:13">
      <c r="A1513" s="13">
        <f ca="1">IFERROR(__xludf.DUMMYFUNCTION("""COMPUTED_VALUE"""),34)</f>
        <v>34</v>
      </c>
      <c r="B1513" s="13"/>
      <c r="C1513" s="13" t="str">
        <f ca="1">IFERROR(__xludf.DUMMYFUNCTION("""COMPUTED_VALUE"""),"反映")</f>
        <v>反映</v>
      </c>
      <c r="D1513" s="13" t="str">
        <f ca="1">IFERROR(__xludf.DUMMYFUNCTION("""COMPUTED_VALUE"""),"&lt;ruby&gt;反映&lt;rt&gt;fǎnyìng&lt;/rt&gt;&lt;/ruby&gt;")</f>
        <v>&lt;ruby&gt;反映&lt;rt&gt;fǎnyìng&lt;/rt&gt;&lt;/ruby&gt;</v>
      </c>
      <c r="E1513" s="13" t="str">
        <f ca="1">IFERROR(__xludf.DUMMYFUNCTION("""COMPUTED_VALUE"""),"fǎnyìng")</f>
        <v>fǎnyìng</v>
      </c>
      <c r="F1513" s="13" t="str">
        <f ca="1">IFERROR(__xludf.DUMMYFUNCTION("""COMPUTED_VALUE"""),"Động từ")</f>
        <v>Động từ</v>
      </c>
      <c r="G1513" s="13" t="str">
        <f ca="1">IFERROR(__xludf.DUMMYFUNCTION("""COMPUTED_VALUE"""),"phản ánh/thể hiện")</f>
        <v>phản ánh/thể hiện</v>
      </c>
      <c r="H1513" s="13" t="str">
        <f ca="1">IFERROR(__xludf.DUMMYFUNCTION("""COMPUTED_VALUE"""),"镜子反映出我的样子。")</f>
        <v>镜子反映出我的样子。</v>
      </c>
      <c r="I1513" s="13"/>
      <c r="J1513" s="13" t="str">
        <f ca="1">IFERROR(__xludf.DUMMYFUNCTION("""COMPUTED_VALUE"""),"Gương phản chiếu hình dáng của tôi.")</f>
        <v>Gương phản chiếu hình dáng của tôi.</v>
      </c>
      <c r="K1513" s="13" t="str">
        <f ca="1">IFERROR(__xludf.DUMMYFUNCTION("""COMPUTED_VALUE"""),"H5_B5_BG-34.png")</f>
        <v>H5_B5_BG-34.png</v>
      </c>
      <c r="L1513" s="13" t="str">
        <f ca="1">IFERROR(__xludf.DUMMYFUNCTION("""COMPUTED_VALUE"""),"B5-34.mp3")</f>
        <v>B5-34.mp3</v>
      </c>
      <c r="M1513" s="13" t="str">
        <f ca="1">IFERROR(__xludf.DUMMYFUNCTION("""COMPUTED_VALUE"""),"B5_VD_34.mp3")</f>
        <v>B5_VD_34.mp3</v>
      </c>
    </row>
    <row r="1514" spans="1:13">
      <c r="A1514" s="13">
        <f ca="1">IFERROR(__xludf.DUMMYFUNCTION("""COMPUTED_VALUE"""),35)</f>
        <v>35</v>
      </c>
      <c r="B1514" s="13"/>
      <c r="C1514" s="13" t="str">
        <f ca="1">IFERROR(__xludf.DUMMYFUNCTION("""COMPUTED_VALUE"""),"壶")</f>
        <v>壶</v>
      </c>
      <c r="D1514" s="13" t="str">
        <f ca="1">IFERROR(__xludf.DUMMYFUNCTION("""COMPUTED_VALUE"""),"&lt;ruby&gt;壶&lt;rt&gt;hú&lt;/rt&gt;&lt;/ruby&gt;")</f>
        <v>&lt;ruby&gt;壶&lt;rt&gt;hú&lt;/rt&gt;&lt;/ruby&gt;</v>
      </c>
      <c r="E1514" s="13" t="str">
        <f ca="1">IFERROR(__xludf.DUMMYFUNCTION("""COMPUTED_VALUE"""),"hú")</f>
        <v>hú</v>
      </c>
      <c r="F1514" s="13" t="str">
        <f ca="1">IFERROR(__xludf.DUMMYFUNCTION("""COMPUTED_VALUE"""),"Danh từ")</f>
        <v>Danh từ</v>
      </c>
      <c r="G1514" s="13" t="str">
        <f ca="1">IFERROR(__xludf.DUMMYFUNCTION("""COMPUTED_VALUE"""),"ấm, bình")</f>
        <v>ấm, bình</v>
      </c>
      <c r="H1514" s="13" t="str">
        <f ca="1">IFERROR(__xludf.DUMMYFUNCTION("""COMPUTED_VALUE"""),"请给我一壶茶。")</f>
        <v>请给我一壶茶。</v>
      </c>
      <c r="I1514" s="13"/>
      <c r="J1514" s="13" t="str">
        <f ca="1">IFERROR(__xludf.DUMMYFUNCTION("""COMPUTED_VALUE"""),"Làm ơn cho tôi một ấm trà.")</f>
        <v>Làm ơn cho tôi một ấm trà.</v>
      </c>
      <c r="K1514" s="13" t="str">
        <f ca="1">IFERROR(__xludf.DUMMYFUNCTION("""COMPUTED_VALUE"""),"H5_B5_BG-35.png")</f>
        <v>H5_B5_BG-35.png</v>
      </c>
      <c r="L1514" s="13" t="str">
        <f ca="1">IFERROR(__xludf.DUMMYFUNCTION("""COMPUTED_VALUE"""),"B5-35.mp3")</f>
        <v>B5-35.mp3</v>
      </c>
      <c r="M1514" s="13" t="str">
        <f ca="1">IFERROR(__xludf.DUMMYFUNCTION("""COMPUTED_VALUE"""),"B5_VD_35.mp3")</f>
        <v>B5_VD_35.mp3</v>
      </c>
    </row>
    <row r="1515" spans="1:13">
      <c r="A1515" s="13">
        <f ca="1">IFERROR(__xludf.DUMMYFUNCTION("""COMPUTED_VALUE"""),36)</f>
        <v>36</v>
      </c>
      <c r="B1515" s="13"/>
      <c r="C1515" s="13" t="str">
        <f ca="1">IFERROR(__xludf.DUMMYFUNCTION("""COMPUTED_VALUE"""),"角度")</f>
        <v>角度</v>
      </c>
      <c r="D1515" s="13" t="str">
        <f ca="1">IFERROR(__xludf.DUMMYFUNCTION("""COMPUTED_VALUE"""),"&lt;ruby&gt;角度&lt;rt&gt;jiǎodù&lt;/rt&gt;&lt;/ruby&gt;")</f>
        <v>&lt;ruby&gt;角度&lt;rt&gt;jiǎodù&lt;/rt&gt;&lt;/ruby&gt;</v>
      </c>
      <c r="E1515" s="13" t="str">
        <f ca="1">IFERROR(__xludf.DUMMYFUNCTION("""COMPUTED_VALUE"""),"jiǎodù")</f>
        <v>jiǎodù</v>
      </c>
      <c r="F1515" s="13" t="str">
        <f ca="1">IFERROR(__xludf.DUMMYFUNCTION("""COMPUTED_VALUE"""),"Danh từ")</f>
        <v>Danh từ</v>
      </c>
      <c r="G1515" s="13" t="str">
        <f ca="1">IFERROR(__xludf.DUMMYFUNCTION("""COMPUTED_VALUE"""),"độ, độ của góc")</f>
        <v>độ, độ của góc</v>
      </c>
      <c r="H1515" s="13" t="str">
        <f ca="1">IFERROR(__xludf.DUMMYFUNCTION("""COMPUTED_VALUE"""),"从这个角度看，山很高。")</f>
        <v>从这个角度看，山很高。</v>
      </c>
      <c r="I1515" s="13"/>
      <c r="J1515" s="13" t="str">
        <f ca="1">IFERROR(__xludf.DUMMYFUNCTION("""COMPUTED_VALUE"""),"Nhìn từ góc độ này, ngọn núi rất cao.")</f>
        <v>Nhìn từ góc độ này, ngọn núi rất cao.</v>
      </c>
      <c r="K1515" s="13" t="str">
        <f ca="1">IFERROR(__xludf.DUMMYFUNCTION("""COMPUTED_VALUE"""),"H5_B5_BG-36.png")</f>
        <v>H5_B5_BG-36.png</v>
      </c>
      <c r="L1515" s="13" t="str">
        <f ca="1">IFERROR(__xludf.DUMMYFUNCTION("""COMPUTED_VALUE"""),"B5-36.mp3")</f>
        <v>B5-36.mp3</v>
      </c>
      <c r="M1515" s="13" t="str">
        <f ca="1">IFERROR(__xludf.DUMMYFUNCTION("""COMPUTED_VALUE"""),"B5_VD_36.mp3")</f>
        <v>B5_VD_36.mp3</v>
      </c>
    </row>
    <row r="1516" spans="1:13">
      <c r="A1516" s="13">
        <f ca="1">IFERROR(__xludf.DUMMYFUNCTION("""COMPUTED_VALUE"""),37)</f>
        <v>37</v>
      </c>
      <c r="B1516" s="13"/>
      <c r="C1516" s="13" t="str">
        <f ca="1">IFERROR(__xludf.DUMMYFUNCTION("""COMPUTED_VALUE"""),"记载")</f>
        <v>记载</v>
      </c>
      <c r="D1516" s="13" t="str">
        <f ca="1">IFERROR(__xludf.DUMMYFUNCTION("""COMPUTED_VALUE"""),"&lt;ruby&gt;记载&lt;rt&gt;jìzǎi&lt;/rt&gt;&lt;/ruby&gt;")</f>
        <v>&lt;ruby&gt;记载&lt;rt&gt;jìzǎi&lt;/rt&gt;&lt;/ruby&gt;</v>
      </c>
      <c r="E1516" s="13" t="str">
        <f ca="1">IFERROR(__xludf.DUMMYFUNCTION("""COMPUTED_VALUE"""),"jìzǎi")</f>
        <v>jìzǎi</v>
      </c>
      <c r="F1516" s="13" t="str">
        <f ca="1">IFERROR(__xludf.DUMMYFUNCTION("""COMPUTED_VALUE"""),"Động từ")</f>
        <v>Động từ</v>
      </c>
      <c r="G1516" s="13" t="str">
        <f ca="1">IFERROR(__xludf.DUMMYFUNCTION("""COMPUTED_VALUE"""),"ghi chép, ghi lại")</f>
        <v>ghi chép, ghi lại</v>
      </c>
      <c r="H1516" s="13" t="str">
        <f ca="1">IFERROR(__xludf.DUMMYFUNCTION("""COMPUTED_VALUE"""),"历史书上记载了很多重要的事件。")</f>
        <v>历史书上记载了很多重要的事件。</v>
      </c>
      <c r="I1516" s="13"/>
      <c r="J1516" s="13" t="str">
        <f ca="1">IFERROR(__xludf.DUMMYFUNCTION("""COMPUTED_VALUE"""),"Sách lịch sử ghi chép nhiều sự kiện quan trọng.")</f>
        <v>Sách lịch sử ghi chép nhiều sự kiện quan trọng.</v>
      </c>
      <c r="K1516" s="13" t="str">
        <f ca="1">IFERROR(__xludf.DUMMYFUNCTION("""COMPUTED_VALUE"""),"H5_B5_BG-37.png")</f>
        <v>H5_B5_BG-37.png</v>
      </c>
      <c r="L1516" s="13" t="str">
        <f ca="1">IFERROR(__xludf.DUMMYFUNCTION("""COMPUTED_VALUE"""),"B5-37.mp3")</f>
        <v>B5-37.mp3</v>
      </c>
      <c r="M1516" s="13" t="str">
        <f ca="1">IFERROR(__xludf.DUMMYFUNCTION("""COMPUTED_VALUE"""),"B5_VD_37.mp3")</f>
        <v>B5_VD_37.mp3</v>
      </c>
    </row>
    <row r="1517" spans="1:13">
      <c r="A1517" s="13">
        <f ca="1">IFERROR(__xludf.DUMMYFUNCTION("""COMPUTED_VALUE"""),38)</f>
        <v>38</v>
      </c>
      <c r="B1517" s="13"/>
      <c r="C1517" s="13" t="str">
        <f ca="1">IFERROR(__xludf.DUMMYFUNCTION("""COMPUTED_VALUE"""),"龙")</f>
        <v>龙</v>
      </c>
      <c r="D1517" s="13" t="str">
        <f ca="1">IFERROR(__xludf.DUMMYFUNCTION("""COMPUTED_VALUE"""),"&lt;ruby&gt;龙&lt;rt&gt;lóng&lt;/rt&gt;&lt;/ruby&gt;")</f>
        <v>&lt;ruby&gt;龙&lt;rt&gt;lóng&lt;/rt&gt;&lt;/ruby&gt;</v>
      </c>
      <c r="E1517" s="13" t="str">
        <f ca="1">IFERROR(__xludf.DUMMYFUNCTION("""COMPUTED_VALUE"""),"lóng")</f>
        <v>lóng</v>
      </c>
      <c r="F1517" s="13" t="str">
        <f ca="1">IFERROR(__xludf.DUMMYFUNCTION("""COMPUTED_VALUE"""),"Danh từ")</f>
        <v>Danh từ</v>
      </c>
      <c r="G1517" s="13" t="str">
        <f ca="1">IFERROR(__xludf.DUMMYFUNCTION("""COMPUTED_VALUE"""),"rồng")</f>
        <v>rồng</v>
      </c>
      <c r="H1517" s="13" t="str">
        <f ca="1">IFERROR(__xludf.DUMMYFUNCTION("""COMPUTED_VALUE"""),"中国人把龙视为吉祥的象征。")</f>
        <v>中国人把龙视为吉祥的象征。</v>
      </c>
      <c r="I1517" s="13"/>
      <c r="J1517" s="13" t="str">
        <f ca="1">IFERROR(__xludf.DUMMYFUNCTION("""COMPUTED_VALUE"""),"Người Trung Quốc coi rồng là biểu tượng may mắn.")</f>
        <v>Người Trung Quốc coi rồng là biểu tượng may mắn.</v>
      </c>
      <c r="K1517" s="13" t="str">
        <f ca="1">IFERROR(__xludf.DUMMYFUNCTION("""COMPUTED_VALUE"""),"H5_B5_BG-38.png")</f>
        <v>H5_B5_BG-38.png</v>
      </c>
      <c r="L1517" s="13" t="str">
        <f ca="1">IFERROR(__xludf.DUMMYFUNCTION("""COMPUTED_VALUE"""),"B5-38.mp3")</f>
        <v>B5-38.mp3</v>
      </c>
      <c r="M1517" s="13" t="str">
        <f ca="1">IFERROR(__xludf.DUMMYFUNCTION("""COMPUTED_VALUE"""),"B5_VD_38.mp3")</f>
        <v>B5_VD_38.mp3</v>
      </c>
    </row>
    <row r="1518" spans="1:13">
      <c r="A1518" s="13">
        <f ca="1">IFERROR(__xludf.DUMMYFUNCTION("""COMPUTED_VALUE"""),39)</f>
        <v>39</v>
      </c>
      <c r="B1518" s="13"/>
      <c r="C1518" s="13" t="str">
        <f ca="1">IFERROR(__xludf.DUMMYFUNCTION("""COMPUTED_VALUE"""),"描写")</f>
        <v>描写</v>
      </c>
      <c r="D1518" s="13" t="str">
        <f ca="1">IFERROR(__xludf.DUMMYFUNCTION("""COMPUTED_VALUE"""),"&lt;ruby&gt;描写&lt;rt&gt;miáoxiě&lt;/rt&gt;&lt;/ruby&gt;")</f>
        <v>&lt;ruby&gt;描写&lt;rt&gt;miáoxiě&lt;/rt&gt;&lt;/ruby&gt;</v>
      </c>
      <c r="E1518" s="13" t="str">
        <f ca="1">IFERROR(__xludf.DUMMYFUNCTION("""COMPUTED_VALUE"""),"miáoxiě")</f>
        <v>miáoxiě</v>
      </c>
      <c r="F1518" s="13" t="str">
        <f ca="1">IFERROR(__xludf.DUMMYFUNCTION("""COMPUTED_VALUE"""),"Động từ")</f>
        <v>Động từ</v>
      </c>
      <c r="G1518" s="13" t="str">
        <f ca="1">IFERROR(__xludf.DUMMYFUNCTION("""COMPUTED_VALUE"""),"miêu tả")</f>
        <v>miêu tả</v>
      </c>
      <c r="H1518" s="13" t="str">
        <f ca="1">IFERROR(__xludf.DUMMYFUNCTION("""COMPUTED_VALUE"""),"老师让学生描写这里的山水。")</f>
        <v>老师让学生描写这里的山水。</v>
      </c>
      <c r="I1518" s="13"/>
      <c r="J1518" s="13" t="str">
        <f ca="1">IFERROR(__xludf.DUMMYFUNCTION("""COMPUTED_VALUE"""),"Giáo viên yêu cầu học sinh miêu tả núi non và sông nước ở đây.")</f>
        <v>Giáo viên yêu cầu học sinh miêu tả núi non và sông nước ở đây.</v>
      </c>
      <c r="K1518" s="13" t="str">
        <f ca="1">IFERROR(__xludf.DUMMYFUNCTION("""COMPUTED_VALUE"""),"H5_B5_BG-39.png")</f>
        <v>H5_B5_BG-39.png</v>
      </c>
      <c r="L1518" s="13" t="str">
        <f ca="1">IFERROR(__xludf.DUMMYFUNCTION("""COMPUTED_VALUE"""),"B5-39.mp3")</f>
        <v>B5-39.mp3</v>
      </c>
      <c r="M1518" s="13" t="str">
        <f ca="1">IFERROR(__xludf.DUMMYFUNCTION("""COMPUTED_VALUE"""),"B5_VD_39.mp3")</f>
        <v>B5_VD_39.mp3</v>
      </c>
    </row>
    <row r="1519" spans="1:13">
      <c r="A1519" s="13">
        <f ca="1">IFERROR(__xludf.DUMMYFUNCTION("""COMPUTED_VALUE"""),40)</f>
        <v>40</v>
      </c>
      <c r="B1519" s="13"/>
      <c r="C1519" s="13" t="str">
        <f ca="1">IFERROR(__xludf.DUMMYFUNCTION("""COMPUTED_VALUE"""),"如今")</f>
        <v>如今</v>
      </c>
      <c r="D1519" s="13" t="str">
        <f ca="1">IFERROR(__xludf.DUMMYFUNCTION("""COMPUTED_VALUE"""),"&lt;ruby&gt;如今&lt;rt&gt;rújīn&lt;/rt&gt;&lt;/ruby&gt;")</f>
        <v>&lt;ruby&gt;如今&lt;rt&gt;rújīn&lt;/rt&gt;&lt;/ruby&gt;</v>
      </c>
      <c r="E1519" s="13" t="str">
        <f ca="1">IFERROR(__xludf.DUMMYFUNCTION("""COMPUTED_VALUE"""),"rújīn")</f>
        <v>rújīn</v>
      </c>
      <c r="F1519" s="13" t="str">
        <f ca="1">IFERROR(__xludf.DUMMYFUNCTION("""COMPUTED_VALUE"""),"Danh từ")</f>
        <v>Danh từ</v>
      </c>
      <c r="G1519" s="13" t="str">
        <f ca="1">IFERROR(__xludf.DUMMYFUNCTION("""COMPUTED_VALUE"""),"ngày nay")</f>
        <v>ngày nay</v>
      </c>
      <c r="H1519" s="13" t="str">
        <f ca="1">IFERROR(__xludf.DUMMYFUNCTION("""COMPUTED_VALUE"""),"如今，大家都用手机。")</f>
        <v>如今，大家都用手机。</v>
      </c>
      <c r="I1519" s="13"/>
      <c r="J1519" s="13" t="str">
        <f ca="1">IFERROR(__xludf.DUMMYFUNCTION("""COMPUTED_VALUE"""),"Ngày nay, mọi người đều dùng điện thoại.")</f>
        <v>Ngày nay, mọi người đều dùng điện thoại.</v>
      </c>
      <c r="K1519" s="13" t="str">
        <f ca="1">IFERROR(__xludf.DUMMYFUNCTION("""COMPUTED_VALUE"""),"H5_B5_BG-40.png")</f>
        <v>H5_B5_BG-40.png</v>
      </c>
      <c r="L1519" s="13" t="str">
        <f ca="1">IFERROR(__xludf.DUMMYFUNCTION("""COMPUTED_VALUE"""),"B5-40.mp3")</f>
        <v>B5-40.mp3</v>
      </c>
      <c r="M1519" s="13" t="str">
        <f ca="1">IFERROR(__xludf.DUMMYFUNCTION("""COMPUTED_VALUE"""),"B5_VD_40.mp3")</f>
        <v>B5_VD_40.mp3</v>
      </c>
    </row>
    <row r="1520" spans="1:13">
      <c r="A1520" s="13">
        <f ca="1">IFERROR(__xludf.DUMMYFUNCTION("""COMPUTED_VALUE"""),41)</f>
        <v>41</v>
      </c>
      <c r="B1520" s="13"/>
      <c r="C1520" s="13" t="str">
        <f ca="1">IFERROR(__xludf.DUMMYFUNCTION("""COMPUTED_VALUE"""),"诗")</f>
        <v>诗</v>
      </c>
      <c r="D1520" s="13" t="str">
        <f ca="1">IFERROR(__xludf.DUMMYFUNCTION("""COMPUTED_VALUE"""),"&lt;ruby&gt;诗&lt;rt&gt;shī&lt;/rt&gt;&lt;/ruby&gt;")</f>
        <v>&lt;ruby&gt;诗&lt;rt&gt;shī&lt;/rt&gt;&lt;/ruby&gt;</v>
      </c>
      <c r="E1520" s="13" t="str">
        <f ca="1">IFERROR(__xludf.DUMMYFUNCTION("""COMPUTED_VALUE"""),"shī")</f>
        <v>shī</v>
      </c>
      <c r="F1520" s="13" t="str">
        <f ca="1">IFERROR(__xludf.DUMMYFUNCTION("""COMPUTED_VALUE"""),"Danh từ")</f>
        <v>Danh từ</v>
      </c>
      <c r="G1520" s="13" t="str">
        <f ca="1">IFERROR(__xludf.DUMMYFUNCTION("""COMPUTED_VALUE"""),"thơ")</f>
        <v>thơ</v>
      </c>
      <c r="H1520" s="13" t="str">
        <f ca="1">IFERROR(__xludf.DUMMYFUNCTION("""COMPUTED_VALUE"""),"他喜欢写诗。")</f>
        <v>他喜欢写诗。</v>
      </c>
      <c r="I1520" s="13"/>
      <c r="J1520" s="13" t="str">
        <f ca="1">IFERROR(__xludf.DUMMYFUNCTION("""COMPUTED_VALUE"""),"Anh ấy thích viết thơ.")</f>
        <v>Anh ấy thích viết thơ.</v>
      </c>
      <c r="K1520" s="13" t="str">
        <f ca="1">IFERROR(__xludf.DUMMYFUNCTION("""COMPUTED_VALUE"""),"H5_B5_BG-41.png")</f>
        <v>H5_B5_BG-41.png</v>
      </c>
      <c r="L1520" s="13" t="str">
        <f ca="1">IFERROR(__xludf.DUMMYFUNCTION("""COMPUTED_VALUE"""),"B5-41.mp3")</f>
        <v>B5-41.mp3</v>
      </c>
      <c r="M1520" s="13" t="str">
        <f ca="1">IFERROR(__xludf.DUMMYFUNCTION("""COMPUTED_VALUE"""),"B5_VD_41.mp3")</f>
        <v>B5_VD_41.mp3</v>
      </c>
    </row>
    <row r="1521" spans="1:13">
      <c r="A1521" s="13">
        <f ca="1">IFERROR(__xludf.DUMMYFUNCTION("""COMPUTED_VALUE"""),42)</f>
        <v>42</v>
      </c>
      <c r="B1521" s="13"/>
      <c r="C1521" s="13" t="str">
        <f ca="1">IFERROR(__xludf.DUMMYFUNCTION("""COMPUTED_VALUE"""),"文字")</f>
        <v>文字</v>
      </c>
      <c r="D1521" s="13" t="str">
        <f ca="1">IFERROR(__xludf.DUMMYFUNCTION("""COMPUTED_VALUE"""),"&lt;ruby&gt;文字&lt;rt&gt;wénzì&lt;/rt&gt;&lt;/ruby&gt;")</f>
        <v>&lt;ruby&gt;文字&lt;rt&gt;wénzì&lt;/rt&gt;&lt;/ruby&gt;</v>
      </c>
      <c r="E1521" s="13" t="str">
        <f ca="1">IFERROR(__xludf.DUMMYFUNCTION("""COMPUTED_VALUE"""),"wénzì")</f>
        <v>wénzì</v>
      </c>
      <c r="F1521" s="13" t="str">
        <f ca="1">IFERROR(__xludf.DUMMYFUNCTION("""COMPUTED_VALUE"""),"Danh từ")</f>
        <v>Danh từ</v>
      </c>
      <c r="G1521" s="13" t="str">
        <f ca="1">IFERROR(__xludf.DUMMYFUNCTION("""COMPUTED_VALUE"""),"văn tự (ngôn ngữ viết)")</f>
        <v>văn tự (ngôn ngữ viết)</v>
      </c>
      <c r="H1521" s="13" t="str">
        <f ca="1">IFERROR(__xludf.DUMMYFUNCTION("""COMPUTED_VALUE"""),"汉字是中国古老的文字。")</f>
        <v>汉字是中国古老的文字。</v>
      </c>
      <c r="I1521" s="13"/>
      <c r="J1521" s="13" t="str">
        <f ca="1">IFERROR(__xludf.DUMMYFUNCTION("""COMPUTED_VALUE"""),"Chữ Hán là văn tự cổ xưa của Trung Quốc.")</f>
        <v>Chữ Hán là văn tự cổ xưa của Trung Quốc.</v>
      </c>
      <c r="K1521" s="13" t="str">
        <f ca="1">IFERROR(__xludf.DUMMYFUNCTION("""COMPUTED_VALUE"""),"H5_B5_BG-42.png")</f>
        <v>H5_B5_BG-42.png</v>
      </c>
      <c r="L1521" s="13" t="str">
        <f ca="1">IFERROR(__xludf.DUMMYFUNCTION("""COMPUTED_VALUE"""),"B5-42.mp3")</f>
        <v>B5-42.mp3</v>
      </c>
      <c r="M1521" s="13" t="str">
        <f ca="1">IFERROR(__xludf.DUMMYFUNCTION("""COMPUTED_VALUE"""),"B5_VD_42.mp3")</f>
        <v>B5_VD_42.mp3</v>
      </c>
    </row>
    <row r="1522" spans="1:13">
      <c r="A1522" s="13">
        <f ca="1">IFERROR(__xludf.DUMMYFUNCTION("""COMPUTED_VALUE"""),43)</f>
        <v>43</v>
      </c>
      <c r="B1522" s="13"/>
      <c r="C1522" s="13" t="str">
        <f ca="1">IFERROR(__xludf.DUMMYFUNCTION("""COMPUTED_VALUE"""),"亿")</f>
        <v>亿</v>
      </c>
      <c r="D1522" s="13" t="str">
        <f ca="1">IFERROR(__xludf.DUMMYFUNCTION("""COMPUTED_VALUE"""),"&lt;ruby&gt;亿&lt;rt&gt;yì&lt;/rt&gt;&lt;/ruby&gt;")</f>
        <v>&lt;ruby&gt;亿&lt;rt&gt;yì&lt;/rt&gt;&lt;/ruby&gt;</v>
      </c>
      <c r="E1522" s="13" t="str">
        <f ca="1">IFERROR(__xludf.DUMMYFUNCTION("""COMPUTED_VALUE"""),"yì")</f>
        <v>yì</v>
      </c>
      <c r="F1522" s="13" t="str">
        <f ca="1">IFERROR(__xludf.DUMMYFUNCTION("""COMPUTED_VALUE"""),"số.")</f>
        <v>số.</v>
      </c>
      <c r="G1522" s="13" t="str">
        <f ca="1">IFERROR(__xludf.DUMMYFUNCTION("""COMPUTED_VALUE"""),"một trăm triệu")</f>
        <v>một trăm triệu</v>
      </c>
      <c r="H1522" s="13" t="str">
        <f ca="1">IFERROR(__xludf.DUMMYFUNCTION("""COMPUTED_VALUE"""),"这张支票的金额是一亿。")</f>
        <v>这张支票的金额是一亿。</v>
      </c>
      <c r="I1522" s="13"/>
      <c r="J1522" s="13" t="str">
        <f ca="1">IFERROR(__xludf.DUMMYFUNCTION("""COMPUTED_VALUE"""),"Số tiền trên tấm séc này là một trăm triệu.")</f>
        <v>Số tiền trên tấm séc này là một trăm triệu.</v>
      </c>
      <c r="K1522" s="13" t="str">
        <f ca="1">IFERROR(__xludf.DUMMYFUNCTION("""COMPUTED_VALUE"""),"H5_B5_BG-43.png")</f>
        <v>H5_B5_BG-43.png</v>
      </c>
      <c r="L1522" s="13" t="str">
        <f ca="1">IFERROR(__xludf.DUMMYFUNCTION("""COMPUTED_VALUE"""),"B5-43.mp3")</f>
        <v>B5-43.mp3</v>
      </c>
      <c r="M1522" s="13" t="str">
        <f ca="1">IFERROR(__xludf.DUMMYFUNCTION("""COMPUTED_VALUE"""),"B5_VD_43.mp3")</f>
        <v>B5_VD_43.mp3</v>
      </c>
    </row>
    <row r="1523" spans="1:13">
      <c r="A1523" s="13">
        <f ca="1">IFERROR(__xludf.DUMMYFUNCTION("""COMPUTED_VALUE"""),44)</f>
        <v>44</v>
      </c>
      <c r="B1523" s="13"/>
      <c r="C1523" s="13" t="str">
        <f ca="1">IFERROR(__xludf.DUMMYFUNCTION("""COMPUTED_VALUE"""),"悠久")</f>
        <v>悠久</v>
      </c>
      <c r="D1523" s="13" t="str">
        <f ca="1">IFERROR(__xludf.DUMMYFUNCTION("""COMPUTED_VALUE"""),"&lt;ruby&gt;悠久&lt;rt&gt;yōujiǔ&lt;/rt&gt;&lt;/ruby&gt;")</f>
        <v>&lt;ruby&gt;悠久&lt;rt&gt;yōujiǔ&lt;/rt&gt;&lt;/ruby&gt;</v>
      </c>
      <c r="E1523" s="13" t="str">
        <f ca="1">IFERROR(__xludf.DUMMYFUNCTION("""COMPUTED_VALUE"""),"yōujiǔ")</f>
        <v>yōujiǔ</v>
      </c>
      <c r="F1523" s="13" t="str">
        <f ca="1">IFERROR(__xludf.DUMMYFUNCTION("""COMPUTED_VALUE"""),"Tính từ ")</f>
        <v xml:space="preserve">Tính từ </v>
      </c>
      <c r="G1523" s="13" t="str">
        <f ca="1">IFERROR(__xludf.DUMMYFUNCTION("""COMPUTED_VALUE"""),"lâu đời")</f>
        <v>lâu đời</v>
      </c>
      <c r="H1523" s="13" t="str">
        <f ca="1">IFERROR(__xludf.DUMMYFUNCTION("""COMPUTED_VALUE"""),"这是一座悠久的城市。")</f>
        <v>这是一座悠久的城市。</v>
      </c>
      <c r="I1523" s="13"/>
      <c r="J1523" s="13" t="str">
        <f ca="1">IFERROR(__xludf.DUMMYFUNCTION("""COMPUTED_VALUE"""),"Đây là một thành phố lâu đời.")</f>
        <v>Đây là một thành phố lâu đời.</v>
      </c>
      <c r="K1523" s="13" t="str">
        <f ca="1">IFERROR(__xludf.DUMMYFUNCTION("""COMPUTED_VALUE"""),"H5_B5_BG-44.png")</f>
        <v>H5_B5_BG-44.png</v>
      </c>
      <c r="L1523" s="13" t="str">
        <f ca="1">IFERROR(__xludf.DUMMYFUNCTION("""COMPUTED_VALUE"""),"B5-44.mp3")</f>
        <v>B5-44.mp3</v>
      </c>
      <c r="M1523" s="13" t="str">
        <f ca="1">IFERROR(__xludf.DUMMYFUNCTION("""COMPUTED_VALUE"""),"B5_VD_44.mp3")</f>
        <v>B5_VD_44.mp3</v>
      </c>
    </row>
    <row r="1524" spans="1:13">
      <c r="A1524" s="13">
        <f ca="1">IFERROR(__xludf.DUMMYFUNCTION("""COMPUTED_VALUE"""),45)</f>
        <v>45</v>
      </c>
      <c r="B1524" s="13"/>
      <c r="C1524" s="13" t="str">
        <f ca="1">IFERROR(__xludf.DUMMYFUNCTION("""COMPUTED_VALUE"""),"优美")</f>
        <v>优美</v>
      </c>
      <c r="D1524" s="13" t="str">
        <f ca="1">IFERROR(__xludf.DUMMYFUNCTION("""COMPUTED_VALUE"""),"&lt;ruby&gt;优美&lt;rt&gt;yōuměi&lt;/rt&gt;&lt;/ruby&gt;")</f>
        <v>&lt;ruby&gt;优美&lt;rt&gt;yōuměi&lt;/rt&gt;&lt;/ruby&gt;</v>
      </c>
      <c r="E1524" s="13" t="str">
        <f ca="1">IFERROR(__xludf.DUMMYFUNCTION("""COMPUTED_VALUE"""),"yōuměi")</f>
        <v>yōuměi</v>
      </c>
      <c r="F1524" s="13" t="str">
        <f ca="1">IFERROR(__xludf.DUMMYFUNCTION("""COMPUTED_VALUE"""),"Tính từ ")</f>
        <v xml:space="preserve">Tính từ </v>
      </c>
      <c r="G1524" s="13" t="str">
        <f ca="1">IFERROR(__xludf.DUMMYFUNCTION("""COMPUTED_VALUE"""),"đẹp đẽ, tốt đẹp")</f>
        <v>đẹp đẽ, tốt đẹp</v>
      </c>
      <c r="H1524" s="13" t="str">
        <f ca="1">IFERROR(__xludf.DUMMYFUNCTION("""COMPUTED_VALUE"""),"这个地方的风景很优美。")</f>
        <v>这个地方的风景很优美。</v>
      </c>
      <c r="I1524" s="13"/>
      <c r="J1524" s="13" t="str">
        <f ca="1">IFERROR(__xludf.DUMMYFUNCTION("""COMPUTED_VALUE"""),"Phong cảnh nơi này rất đẹp đẽ.")</f>
        <v>Phong cảnh nơi này rất đẹp đẽ.</v>
      </c>
      <c r="K1524" s="13" t="str">
        <f ca="1">IFERROR(__xludf.DUMMYFUNCTION("""COMPUTED_VALUE"""),"H5_B5_BG-45.png")</f>
        <v>H5_B5_BG-45.png</v>
      </c>
      <c r="L1524" s="13" t="str">
        <f ca="1">IFERROR(__xludf.DUMMYFUNCTION("""COMPUTED_VALUE"""),"B5-45.mp3")</f>
        <v>B5-45.mp3</v>
      </c>
      <c r="M1524" s="13" t="str">
        <f ca="1">IFERROR(__xludf.DUMMYFUNCTION("""COMPUTED_VALUE"""),"B5_VD_45.mp3")</f>
        <v>B5_VD_45.mp3</v>
      </c>
    </row>
    <row r="1525" spans="1:13">
      <c r="A1525" s="13">
        <f ca="1">IFERROR(__xludf.DUMMYFUNCTION("""COMPUTED_VALUE"""),46)</f>
        <v>46</v>
      </c>
      <c r="B1525" s="13"/>
      <c r="C1525" s="13" t="str">
        <f ca="1">IFERROR(__xludf.DUMMYFUNCTION("""COMPUTED_VALUE"""),"赞美")</f>
        <v>赞美</v>
      </c>
      <c r="D1525" s="13" t="str">
        <f ca="1">IFERROR(__xludf.DUMMYFUNCTION("""COMPUTED_VALUE"""),"&lt;ruby&gt;赞美&lt;rt&gt;zànměi&lt;/rt&gt;&lt;/ruby&gt;")</f>
        <v>&lt;ruby&gt;赞美&lt;rt&gt;zànměi&lt;/rt&gt;&lt;/ruby&gt;</v>
      </c>
      <c r="E1525" s="13" t="str">
        <f ca="1">IFERROR(__xludf.DUMMYFUNCTION("""COMPUTED_VALUE"""),"zànměi")</f>
        <v>zànměi</v>
      </c>
      <c r="F1525" s="13" t="str">
        <f ca="1">IFERROR(__xludf.DUMMYFUNCTION("""COMPUTED_VALUE"""),"Động từ")</f>
        <v>Động từ</v>
      </c>
      <c r="G1525" s="13" t="str">
        <f ca="1">IFERROR(__xludf.DUMMYFUNCTION("""COMPUTED_VALUE"""),"ca ngợi, ca tụng")</f>
        <v>ca ngợi, ca tụng</v>
      </c>
      <c r="H1525" s="13" t="str">
        <f ca="1">IFERROR(__xludf.DUMMYFUNCTION("""COMPUTED_VALUE"""),"老师赞美了我的画。")</f>
        <v>老师赞美了我的画。</v>
      </c>
      <c r="I1525" s="13"/>
      <c r="J1525" s="13" t="str">
        <f ca="1">IFERROR(__xludf.DUMMYFUNCTION("""COMPUTED_VALUE"""),"Cô giáo khen bức tranh của tôi.")</f>
        <v>Cô giáo khen bức tranh của tôi.</v>
      </c>
      <c r="K1525" s="13" t="str">
        <f ca="1">IFERROR(__xludf.DUMMYFUNCTION("""COMPUTED_VALUE"""),"H5_B5_BG-46.png")</f>
        <v>H5_B5_BG-46.png</v>
      </c>
      <c r="L1525" s="13" t="str">
        <f ca="1">IFERROR(__xludf.DUMMYFUNCTION("""COMPUTED_VALUE"""),"B5-46.mp3")</f>
        <v>B5-46.mp3</v>
      </c>
      <c r="M1525" s="13" t="str">
        <f ca="1">IFERROR(__xludf.DUMMYFUNCTION("""COMPUTED_VALUE"""),"B5_VD_46.mp3")</f>
        <v>B5_VD_46.mp3</v>
      </c>
    </row>
    <row r="1526" spans="1:13">
      <c r="A1526" s="13">
        <f ca="1">IFERROR(__xludf.DUMMYFUNCTION("""COMPUTED_VALUE"""),1)</f>
        <v>1</v>
      </c>
      <c r="B1526" s="13"/>
      <c r="C1526" s="13" t="str">
        <f ca="1">IFERROR(__xludf.DUMMYFUNCTION("""COMPUTED_VALUE"""),"熬夜")</f>
        <v>熬夜</v>
      </c>
      <c r="D1526" s="13" t="str">
        <f ca="1">IFERROR(__xludf.DUMMYFUNCTION("""COMPUTED_VALUE"""),"&lt;ruby&gt;熬夜&lt;rt&gt;áo yè&lt;/rt&gt;&lt;/ruby&gt;")</f>
        <v>&lt;ruby&gt;熬夜&lt;rt&gt;áo yè&lt;/rt&gt;&lt;/ruby&gt;</v>
      </c>
      <c r="E1526" s="13" t="str">
        <f ca="1">IFERROR(__xludf.DUMMYFUNCTION("""COMPUTED_VALUE"""),"áo yè")</f>
        <v>áo yè</v>
      </c>
      <c r="F1526" s="13" t="str">
        <f ca="1">IFERROR(__xludf.DUMMYFUNCTION("""COMPUTED_VALUE"""),"Động từ")</f>
        <v>Động từ</v>
      </c>
      <c r="G1526" s="13" t="str">
        <f ca="1">IFERROR(__xludf.DUMMYFUNCTION("""COMPUTED_VALUE"""),"thức khuya")</f>
        <v>thức khuya</v>
      </c>
      <c r="H1526" s="13" t="str">
        <f ca="1">IFERROR(__xludf.DUMMYFUNCTION("""COMPUTED_VALUE"""),"孩子们最喜欢熬夜过年，因为可以看烟花，还能拿到红包。")</f>
        <v>孩子们最喜欢熬夜过年，因为可以看烟花，还能拿到红包。</v>
      </c>
      <c r="I1526" s="13"/>
      <c r="J1526" s="13" t="str">
        <f ca="1">IFERROR(__xludf.DUMMYFUNCTION("""COMPUTED_VALUE"""),"Trẻ em thích thức khuya vào đêm giao thừa vì có thể xem pháo hoa và nhận lì xì.")</f>
        <v>Trẻ em thích thức khuya vào đêm giao thừa vì có thể xem pháo hoa và nhận lì xì.</v>
      </c>
      <c r="K1526" s="13" t="str">
        <f ca="1">IFERROR(__xludf.DUMMYFUNCTION("""COMPUTED_VALUE"""),"H5_B6_BG-01.png")</f>
        <v>H5_B6_BG-01.png</v>
      </c>
      <c r="L1526" s="13" t="str">
        <f ca="1">IFERROR(__xludf.DUMMYFUNCTION("""COMPUTED_VALUE"""),"B6-01.mp3")</f>
        <v>B6-01.mp3</v>
      </c>
      <c r="M1526" s="13" t="str">
        <f ca="1">IFERROR(__xludf.DUMMYFUNCTION("""COMPUTED_VALUE"""),"B6_VD_1.mp3")</f>
        <v>B6_VD_1.mp3</v>
      </c>
    </row>
    <row r="1527" spans="1:13">
      <c r="A1527" s="13">
        <f ca="1">IFERROR(__xludf.DUMMYFUNCTION("""COMPUTED_VALUE"""),2)</f>
        <v>2</v>
      </c>
      <c r="B1527" s="13"/>
      <c r="C1527" s="13" t="str">
        <f ca="1">IFERROR(__xludf.DUMMYFUNCTION("""COMPUTED_VALUE"""),"鞭炮")</f>
        <v>鞭炮</v>
      </c>
      <c r="D1527" s="13" t="str">
        <f ca="1">IFERROR(__xludf.DUMMYFUNCTION("""COMPUTED_VALUE"""),"&lt;ruby&gt;鞭炮&lt;rt&gt;biānpào&lt;/rt&gt;&lt;/ruby&gt;")</f>
        <v>&lt;ruby&gt;鞭炮&lt;rt&gt;biānpào&lt;/rt&gt;&lt;/ruby&gt;</v>
      </c>
      <c r="E1527" s="13" t="str">
        <f ca="1">IFERROR(__xludf.DUMMYFUNCTION("""COMPUTED_VALUE"""),"biānpào")</f>
        <v>biānpào</v>
      </c>
      <c r="F1527" s="13" t="str">
        <f ca="1">IFERROR(__xludf.DUMMYFUNCTION("""COMPUTED_VALUE"""),"Danh từ")</f>
        <v>Danh từ</v>
      </c>
      <c r="G1527" s="13" t="str">
        <f ca="1">IFERROR(__xludf.DUMMYFUNCTION("""COMPUTED_VALUE"""),"pháo")</f>
        <v>pháo</v>
      </c>
      <c r="H1527" s="13" t="str">
        <f ca="1">IFERROR(__xludf.DUMMYFUNCTION("""COMPUTED_VALUE"""),"过春节的时候，孩子们喜欢放鞭炮。")</f>
        <v>过春节的时候，孩子们喜欢放鞭炮。</v>
      </c>
      <c r="I1527" s="13"/>
      <c r="J1527" s="13" t="str">
        <f ca="1">IFERROR(__xludf.DUMMYFUNCTION("""COMPUTED_VALUE"""),"Vào dịp Tết, trẻ em thích đốt pháo.")</f>
        <v>Vào dịp Tết, trẻ em thích đốt pháo.</v>
      </c>
      <c r="K1527" s="13" t="str">
        <f ca="1">IFERROR(__xludf.DUMMYFUNCTION("""COMPUTED_VALUE"""),"H5_B6_BG-02.png")</f>
        <v>H5_B6_BG-02.png</v>
      </c>
      <c r="L1527" s="13" t="str">
        <f ca="1">IFERROR(__xludf.DUMMYFUNCTION("""COMPUTED_VALUE"""),"B6-02.mp3")</f>
        <v>B6-02.mp3</v>
      </c>
      <c r="M1527" s="13" t="str">
        <f ca="1">IFERROR(__xludf.DUMMYFUNCTION("""COMPUTED_VALUE"""),"B6_VD_2.mp3")</f>
        <v>B6_VD_2.mp3</v>
      </c>
    </row>
    <row r="1528" spans="1:13">
      <c r="A1528" s="13">
        <f ca="1">IFERROR(__xludf.DUMMYFUNCTION("""COMPUTED_VALUE"""),3)</f>
        <v>3</v>
      </c>
      <c r="B1528" s="13"/>
      <c r="C1528" s="13" t="str">
        <f ca="1">IFERROR(__xludf.DUMMYFUNCTION("""COMPUTED_VALUE"""),"除")</f>
        <v>除</v>
      </c>
      <c r="D1528" s="13" t="str">
        <f ca="1">IFERROR(__xludf.DUMMYFUNCTION("""COMPUTED_VALUE"""),"&lt;ruby&gt;除&lt;rt&gt;chú&lt;/rt&gt;&lt;/ruby&gt;")</f>
        <v>&lt;ruby&gt;除&lt;rt&gt;chú&lt;/rt&gt;&lt;/ruby&gt;</v>
      </c>
      <c r="E1528" s="13" t="str">
        <f ca="1">IFERROR(__xludf.DUMMYFUNCTION("""COMPUTED_VALUE"""),"chú")</f>
        <v>chú</v>
      </c>
      <c r="F1528" s="13" t="str">
        <f ca="1">IFERROR(__xludf.DUMMYFUNCTION("""COMPUTED_VALUE"""),"Động từ")</f>
        <v>Động từ</v>
      </c>
      <c r="G1528" s="13" t="str">
        <f ca="1">IFERROR(__xludf.DUMMYFUNCTION("""COMPUTED_VALUE"""),"trừ khử")</f>
        <v>trừ khử</v>
      </c>
      <c r="H1528" s="13" t="str">
        <f ca="1">IFERROR(__xludf.DUMMYFUNCTION("""COMPUTED_VALUE"""),"他决定除去所有不必要的东西，把房间收拾得更整洁。")</f>
        <v>他决定除去所有不必要的东西，把房间收拾得更整洁。</v>
      </c>
      <c r="I1528" s="13"/>
      <c r="J1528" s="13" t="str">
        <f ca="1">IFERROR(__xludf.DUMMYFUNCTION("""COMPUTED_VALUE"""),"Anh ấy quyết định loại bỏ tất cả những thứ không cần thiết và dọn dẹp phòng trở nên gọn gàng hơn.")</f>
        <v>Anh ấy quyết định loại bỏ tất cả những thứ không cần thiết và dọn dẹp phòng trở nên gọn gàng hơn.</v>
      </c>
      <c r="K1528" s="13" t="str">
        <f ca="1">IFERROR(__xludf.DUMMYFUNCTION("""COMPUTED_VALUE"""),"H5_B6_BG-03.png")</f>
        <v>H5_B6_BG-03.png</v>
      </c>
      <c r="L1528" s="13" t="str">
        <f ca="1">IFERROR(__xludf.DUMMYFUNCTION("""COMPUTED_VALUE"""),"B6-03.mp3")</f>
        <v>B6-03.mp3</v>
      </c>
      <c r="M1528" s="13" t="str">
        <f ca="1">IFERROR(__xludf.DUMMYFUNCTION("""COMPUTED_VALUE"""),"B6_VD_3.mp3")</f>
        <v>B6_VD_3.mp3</v>
      </c>
    </row>
    <row r="1529" spans="1:13">
      <c r="A1529" s="13">
        <f ca="1">IFERROR(__xludf.DUMMYFUNCTION("""COMPUTED_VALUE"""),4)</f>
        <v>4</v>
      </c>
      <c r="B1529" s="13"/>
      <c r="C1529" s="13" t="str">
        <f ca="1">IFERROR(__xludf.DUMMYFUNCTION("""COMPUTED_VALUE"""),"除夕")</f>
        <v>除夕</v>
      </c>
      <c r="D1529" s="13" t="str">
        <f ca="1">IFERROR(__xludf.DUMMYFUNCTION("""COMPUTED_VALUE"""),"&lt;ruby&gt;除夕&lt;rt&gt;chúxi&lt;/rt&gt;&lt;/ruby&gt;")</f>
        <v>&lt;ruby&gt;除夕&lt;rt&gt;chúxi&lt;/rt&gt;&lt;/ruby&gt;</v>
      </c>
      <c r="E1529" s="13" t="str">
        <f ca="1">IFERROR(__xludf.DUMMYFUNCTION("""COMPUTED_VALUE"""),"chúxi")</f>
        <v>chúxi</v>
      </c>
      <c r="F1529" s="13" t="str">
        <f ca="1">IFERROR(__xludf.DUMMYFUNCTION("""COMPUTED_VALUE"""),"Danh từ")</f>
        <v>Danh từ</v>
      </c>
      <c r="G1529" s="13" t="str">
        <f ca="1">IFERROR(__xludf.DUMMYFUNCTION("""COMPUTED_VALUE"""),"đêm giao thừa, trừ tịch")</f>
        <v>đêm giao thừa, trừ tịch</v>
      </c>
      <c r="H1529" s="13" t="str">
        <f ca="1">IFERROR(__xludf.DUMMYFUNCTION("""COMPUTED_VALUE"""),"除夕夜，我们全家一起吃年夜饭、看烟花。")</f>
        <v>除夕夜，我们全家一起吃年夜饭、看烟花。</v>
      </c>
      <c r="I1529" s="13"/>
      <c r="J1529" s="13" t="str">
        <f ca="1">IFERROR(__xludf.DUMMYFUNCTION("""COMPUTED_VALUE"""),"Đêm giao thừa, cả gia đình chúng tôi cùng nhau ăn bữa cơm tất niên và xem pháo hoa.")</f>
        <v>Đêm giao thừa, cả gia đình chúng tôi cùng nhau ăn bữa cơm tất niên và xem pháo hoa.</v>
      </c>
      <c r="K1529" s="13" t="str">
        <f ca="1">IFERROR(__xludf.DUMMYFUNCTION("""COMPUTED_VALUE"""),"H5_B6_BG-04.png")</f>
        <v>H5_B6_BG-04.png</v>
      </c>
      <c r="L1529" s="13" t="str">
        <f ca="1">IFERROR(__xludf.DUMMYFUNCTION("""COMPUTED_VALUE"""),"B6-04.mp3")</f>
        <v>B6-04.mp3</v>
      </c>
      <c r="M1529" s="13" t="str">
        <f ca="1">IFERROR(__xludf.DUMMYFUNCTION("""COMPUTED_VALUE"""),"B6_VD_4.mp3")</f>
        <v>B6_VD_4.mp3</v>
      </c>
    </row>
    <row r="1530" spans="1:13">
      <c r="A1530" s="13">
        <f ca="1">IFERROR(__xludf.DUMMYFUNCTION("""COMPUTED_VALUE"""),5)</f>
        <v>5</v>
      </c>
      <c r="B1530" s="13"/>
      <c r="C1530" s="13" t="str">
        <f ca="1">IFERROR(__xludf.DUMMYFUNCTION("""COMPUTED_VALUE"""),"纷纷")</f>
        <v>纷纷</v>
      </c>
      <c r="D1530" s="13" t="str">
        <f ca="1">IFERROR(__xludf.DUMMYFUNCTION("""COMPUTED_VALUE"""),"&lt;ruby&gt;纷纷&lt;rt&gt;fēnfēn&lt;/rt&gt;&lt;/ruby&gt;")</f>
        <v>&lt;ruby&gt;纷纷&lt;rt&gt;fēnfēn&lt;/rt&gt;&lt;/ruby&gt;</v>
      </c>
      <c r="E1530" s="13" t="str">
        <f ca="1">IFERROR(__xludf.DUMMYFUNCTION("""COMPUTED_VALUE"""),"fēnfēn")</f>
        <v>fēnfēn</v>
      </c>
      <c r="F1530" s="13" t="str">
        <f ca="1">IFERROR(__xludf.DUMMYFUNCTION("""COMPUTED_VALUE"""),"Tính từ /Phó từ")</f>
        <v>Tính từ /Phó từ</v>
      </c>
      <c r="G1530" s="13" t="str">
        <f ca="1">IFERROR(__xludf.DUMMYFUNCTION("""COMPUTED_VALUE"""),"tới tấp, dồn dập; nhao nhao, sôi nổi")</f>
        <v>tới tấp, dồn dập; nhao nhao, sôi nổi</v>
      </c>
      <c r="H1530" s="13" t="str">
        <f ca="1">IFERROR(__xludf.DUMMYFUNCTION("""COMPUTED_VALUE"""),"消息刚刚传出，网友们纷纷在社交媒体上开始发表评论。")</f>
        <v>消息刚刚传出，网友们纷纷在社交媒体上开始发表评论。</v>
      </c>
      <c r="I1530" s="13"/>
      <c r="J1530" s="13" t="str">
        <f ca="1">IFERROR(__xludf.DUMMYFUNCTION("""COMPUTED_VALUE"""),"Tin tức vừa phát ra, các cư dân mạng lập tức bắt đầu đăng bình luận trên mạng xã hội.")</f>
        <v>Tin tức vừa phát ra, các cư dân mạng lập tức bắt đầu đăng bình luận trên mạng xã hội.</v>
      </c>
      <c r="K1530" s="13" t="str">
        <f ca="1">IFERROR(__xludf.DUMMYFUNCTION("""COMPUTED_VALUE"""),"H5_B6_BG-05.png")</f>
        <v>H5_B6_BG-05.png</v>
      </c>
      <c r="L1530" s="13" t="str">
        <f ca="1">IFERROR(__xludf.DUMMYFUNCTION("""COMPUTED_VALUE"""),"B6-05.mp3")</f>
        <v>B6-05.mp3</v>
      </c>
      <c r="M1530" s="13" t="str">
        <f ca="1">IFERROR(__xludf.DUMMYFUNCTION("""COMPUTED_VALUE"""),"B6_VD_5.mp3")</f>
        <v>B6_VD_5.mp3</v>
      </c>
    </row>
    <row r="1531" spans="1:13">
      <c r="A1531" s="13">
        <f ca="1">IFERROR(__xludf.DUMMYFUNCTION("""COMPUTED_VALUE"""),6)</f>
        <v>6</v>
      </c>
      <c r="B1531" s="13"/>
      <c r="C1531" s="13" t="str">
        <f ca="1">IFERROR(__xludf.DUMMYFUNCTION("""COMPUTED_VALUE"""),"风俗")</f>
        <v>风俗</v>
      </c>
      <c r="D1531" s="13" t="str">
        <f ca="1">IFERROR(__xludf.DUMMYFUNCTION("""COMPUTED_VALUE"""),"&lt;ruby&gt;风俗&lt;rt&gt;fēngsú&lt;/rt&gt;&lt;/ruby&gt;")</f>
        <v>&lt;ruby&gt;风俗&lt;rt&gt;fēngsú&lt;/rt&gt;&lt;/ruby&gt;</v>
      </c>
      <c r="E1531" s="13" t="str">
        <f ca="1">IFERROR(__xludf.DUMMYFUNCTION("""COMPUTED_VALUE"""),"fēngsú")</f>
        <v>fēngsú</v>
      </c>
      <c r="F1531" s="13" t="str">
        <f ca="1">IFERROR(__xludf.DUMMYFUNCTION("""COMPUTED_VALUE"""),"Danh từ")</f>
        <v>Danh từ</v>
      </c>
      <c r="G1531" s="13" t="str">
        <f ca="1">IFERROR(__xludf.DUMMYFUNCTION("""COMPUTED_VALUE"""),"phong tục, tục lệ")</f>
        <v>phong tục, tục lệ</v>
      </c>
      <c r="H1531" s="13" t="str">
        <f ca="1">IFERROR(__xludf.DUMMYFUNCTION("""COMPUTED_VALUE"""),"每个国家都有自己的风俗习惯，我们应该尊重不同文化的风俗。")</f>
        <v>每个国家都有自己的风俗习惯，我们应该尊重不同文化的风俗。</v>
      </c>
      <c r="I1531" s="13"/>
      <c r="J1531" s="13" t="str">
        <f ca="1">IFERROR(__xludf.DUMMYFUNCTION("""COMPUTED_VALUE"""),"Mỗi quốc gia đều có phong tục tập quán riêng, chúng ta nên tôn trọng phong tục của các nền văn hóa khác nhau.")</f>
        <v>Mỗi quốc gia đều có phong tục tập quán riêng, chúng ta nên tôn trọng phong tục của các nền văn hóa khác nhau.</v>
      </c>
      <c r="K1531" s="13" t="str">
        <f ca="1">IFERROR(__xludf.DUMMYFUNCTION("""COMPUTED_VALUE"""),"H5_B6_BG-06.png")</f>
        <v>H5_B6_BG-06.png</v>
      </c>
      <c r="L1531" s="13" t="str">
        <f ca="1">IFERROR(__xludf.DUMMYFUNCTION("""COMPUTED_VALUE"""),"B6-06.mp3")</f>
        <v>B6-06.mp3</v>
      </c>
      <c r="M1531" s="13" t="str">
        <f ca="1">IFERROR(__xludf.DUMMYFUNCTION("""COMPUTED_VALUE"""),"B6_VD_6.mp3")</f>
        <v>B6_VD_6.mp3</v>
      </c>
    </row>
    <row r="1532" spans="1:13">
      <c r="A1532" s="13">
        <f ca="1">IFERROR(__xludf.DUMMYFUNCTION("""COMPUTED_VALUE"""),7)</f>
        <v>7</v>
      </c>
      <c r="B1532" s="13"/>
      <c r="C1532" s="13" t="str">
        <f ca="1">IFERROR(__xludf.DUMMYFUNCTION("""COMPUTED_VALUE"""),"赶紧")</f>
        <v>赶紧</v>
      </c>
      <c r="D1532" s="13" t="str">
        <f ca="1">IFERROR(__xludf.DUMMYFUNCTION("""COMPUTED_VALUE"""),"&lt;ruby&gt;赶紧&lt;rt&gt;gănjǐn&lt;/rt&gt;&lt;/ruby&gt;")</f>
        <v>&lt;ruby&gt;赶紧&lt;rt&gt;gănjǐn&lt;/rt&gt;&lt;/ruby&gt;</v>
      </c>
      <c r="E1532" s="13" t="str">
        <f ca="1">IFERROR(__xludf.DUMMYFUNCTION("""COMPUTED_VALUE"""),"gănjǐn")</f>
        <v>gănjǐn</v>
      </c>
      <c r="F1532" s="13" t="str">
        <f ca="1">IFERROR(__xludf.DUMMYFUNCTION("""COMPUTED_VALUE"""),"Phó từ")</f>
        <v>Phó từ</v>
      </c>
      <c r="G1532" s="13" t="str">
        <f ca="1">IFERROR(__xludf.DUMMYFUNCTION("""COMPUTED_VALUE"""),"ngay lập tức")</f>
        <v>ngay lập tức</v>
      </c>
      <c r="H1532" s="13" t="str">
        <f ca="1">IFERROR(__xludf.DUMMYFUNCTION("""COMPUTED_VALUE"""),"知道考试快开始了，他赶紧复习。")</f>
        <v>知道考试快开始了，他赶紧复习。</v>
      </c>
      <c r="I1532" s="13"/>
      <c r="J1532" s="13" t="str">
        <f ca="1">IFERROR(__xludf.DUMMYFUNCTION("""COMPUTED_VALUE"""),"Biết kỳ thi sắp bắt đầu, cậu ấy liền ôn tập ngay lập tức.")</f>
        <v>Biết kỳ thi sắp bắt đầu, cậu ấy liền ôn tập ngay lập tức.</v>
      </c>
      <c r="K1532" s="13" t="str">
        <f ca="1">IFERROR(__xludf.DUMMYFUNCTION("""COMPUTED_VALUE"""),"H5_B6_BG-07.png")</f>
        <v>H5_B6_BG-07.png</v>
      </c>
      <c r="L1532" s="13" t="str">
        <f ca="1">IFERROR(__xludf.DUMMYFUNCTION("""COMPUTED_VALUE"""),"B6-07.mp3")</f>
        <v>B6-07.mp3</v>
      </c>
      <c r="M1532" s="13" t="str">
        <f ca="1">IFERROR(__xludf.DUMMYFUNCTION("""COMPUTED_VALUE"""),"B6_VD_7.mp3")</f>
        <v>B6_VD_7.mp3</v>
      </c>
    </row>
    <row r="1533" spans="1:13">
      <c r="A1533" s="13">
        <f ca="1">IFERROR(__xludf.DUMMYFUNCTION("""COMPUTED_VALUE"""),8)</f>
        <v>8</v>
      </c>
      <c r="B1533" s="13"/>
      <c r="C1533" s="13" t="str">
        <f ca="1">IFERROR(__xludf.DUMMYFUNCTION("""COMPUTED_VALUE"""),"杀")</f>
        <v>杀</v>
      </c>
      <c r="D1533" s="13" t="str">
        <f ca="1">IFERROR(__xludf.DUMMYFUNCTION("""COMPUTED_VALUE"""),"&lt;ruby&gt;杀&lt;rt&gt;shā&lt;/rt&gt;&lt;/ruby&gt;")</f>
        <v>&lt;ruby&gt;杀&lt;rt&gt;shā&lt;/rt&gt;&lt;/ruby&gt;</v>
      </c>
      <c r="E1533" s="13" t="str">
        <f ca="1">IFERROR(__xludf.DUMMYFUNCTION("""COMPUTED_VALUE"""),"shā")</f>
        <v>shā</v>
      </c>
      <c r="F1533" s="13" t="str">
        <f ca="1">IFERROR(__xludf.DUMMYFUNCTION("""COMPUTED_VALUE"""),"Động từ")</f>
        <v>Động từ</v>
      </c>
      <c r="G1533" s="13" t="str">
        <f ca="1">IFERROR(__xludf.DUMMYFUNCTION("""COMPUTED_VALUE"""),"giết")</f>
        <v>giết</v>
      </c>
      <c r="H1533" s="13" t="str">
        <f ca="1">IFERROR(__xludf.DUMMYFUNCTION("""COMPUTED_VALUE"""),"他为了保护自己，不得不杀死那只野兽。")</f>
        <v>他为了保护自己，不得不杀死那只野兽。</v>
      </c>
      <c r="I1533" s="13"/>
      <c r="J1533" s="13" t="str">
        <f ca="1">IFERROR(__xludf.DUMMYFUNCTION("""COMPUTED_VALUE"""),"Anh ấy buộc phải giết con thú hoang để bảo vệ bản thân.")</f>
        <v>Anh ấy buộc phải giết con thú hoang để bảo vệ bản thân.</v>
      </c>
      <c r="K1533" s="13" t="str">
        <f ca="1">IFERROR(__xludf.DUMMYFUNCTION("""COMPUTED_VALUE"""),"H5_B6_BG-08.png")</f>
        <v>H5_B6_BG-08.png</v>
      </c>
      <c r="L1533" s="13" t="str">
        <f ca="1">IFERROR(__xludf.DUMMYFUNCTION("""COMPUTED_VALUE"""),"B6-08.mp3")</f>
        <v>B6-08.mp3</v>
      </c>
      <c r="M1533" s="13" t="str">
        <f ca="1">IFERROR(__xludf.DUMMYFUNCTION("""COMPUTED_VALUE"""),"B6_VD_8.mp3")</f>
        <v>B6_VD_8.mp3</v>
      </c>
    </row>
    <row r="1534" spans="1:13">
      <c r="A1534" s="13">
        <f ca="1">IFERROR(__xludf.DUMMYFUNCTION("""COMPUTED_VALUE"""),9)</f>
        <v>9</v>
      </c>
      <c r="B1534" s="13"/>
      <c r="C1534" s="13" t="str">
        <f ca="1">IFERROR(__xludf.DUMMYFUNCTION("""COMPUTED_VALUE"""),"射（击）")</f>
        <v>射（击）</v>
      </c>
      <c r="D1534" s="13" t="str">
        <f ca="1">IFERROR(__xludf.DUMMYFUNCTION("""COMPUTED_VALUE"""),"&lt;ruby&gt;射（击）&lt;rt&gt;shè (jī)&lt;/rt&gt;&lt;/ruby&gt;")</f>
        <v>&lt;ruby&gt;射（击）&lt;rt&gt;shè (jī)&lt;/rt&gt;&lt;/ruby&gt;</v>
      </c>
      <c r="E1534" s="13" t="str">
        <f ca="1">IFERROR(__xludf.DUMMYFUNCTION("""COMPUTED_VALUE"""),"shè (jī)")</f>
        <v>shè (jī)</v>
      </c>
      <c r="F1534" s="13" t="str">
        <f ca="1">IFERROR(__xludf.DUMMYFUNCTION("""COMPUTED_VALUE"""),"Động từ")</f>
        <v>Động từ</v>
      </c>
      <c r="G1534" s="13" t="str">
        <f ca="1">IFERROR(__xludf.DUMMYFUNCTION("""COMPUTED_VALUE"""),"bắn")</f>
        <v>bắn</v>
      </c>
      <c r="H1534" s="13" t="str">
        <f ca="1">IFERROR(__xludf.DUMMYFUNCTION("""COMPUTED_VALUE"""),"他在比赛中射箭非常出色，赢得了冠军。")</f>
        <v>他在比赛中射箭非常出色，赢得了冠军。</v>
      </c>
      <c r="I1534" s="13"/>
      <c r="J1534" s="13" t="str">
        <f ca="1">IFERROR(__xludf.DUMMYFUNCTION("""COMPUTED_VALUE"""),"Anh ấy bắn cung rất xuất sắc trong cuộc thi và đã giành được chức vô địch.")</f>
        <v>Anh ấy bắn cung rất xuất sắc trong cuộc thi và đã giành được chức vô địch.</v>
      </c>
      <c r="K1534" s="13" t="str">
        <f ca="1">IFERROR(__xludf.DUMMYFUNCTION("""COMPUTED_VALUE"""),"H5_B6_BG-09.png")</f>
        <v>H5_B6_BG-09.png</v>
      </c>
      <c r="L1534" s="13" t="str">
        <f ca="1">IFERROR(__xludf.DUMMYFUNCTION("""COMPUTED_VALUE"""),"B6-09.mp3")</f>
        <v>B6-09.mp3</v>
      </c>
      <c r="M1534" s="13" t="str">
        <f ca="1">IFERROR(__xludf.DUMMYFUNCTION("""COMPUTED_VALUE"""),"B6_VD_9.mp3")</f>
        <v>B6_VD_9.mp3</v>
      </c>
    </row>
    <row r="1535" spans="1:13">
      <c r="A1535" s="13">
        <f ca="1">IFERROR(__xludf.DUMMYFUNCTION("""COMPUTED_VALUE"""),10)</f>
        <v>10</v>
      </c>
      <c r="B1535" s="13"/>
      <c r="C1535" s="13" t="str">
        <f ca="1">IFERROR(__xludf.DUMMYFUNCTION("""COMPUTED_VALUE"""),"守岁")</f>
        <v>守岁</v>
      </c>
      <c r="D1535" s="13" t="str">
        <f ca="1">IFERROR(__xludf.DUMMYFUNCTION("""COMPUTED_VALUE"""),"&lt;ruby&gt;守岁&lt;rt&gt;shǒusuì&lt;/rt&gt;&lt;/ruby&gt;")</f>
        <v>&lt;ruby&gt;守岁&lt;rt&gt;shǒusuì&lt;/rt&gt;&lt;/ruby&gt;</v>
      </c>
      <c r="E1535" s="13" t="str">
        <f ca="1">IFERROR(__xludf.DUMMYFUNCTION("""COMPUTED_VALUE"""),"shǒusuì")</f>
        <v>shǒusuì</v>
      </c>
      <c r="F1535" s="13" t="str">
        <f ca="1">IFERROR(__xludf.DUMMYFUNCTION("""COMPUTED_VALUE"""),"Động từ")</f>
        <v>Động từ</v>
      </c>
      <c r="G1535" s="13" t="str">
        <f ca="1">IFERROR(__xludf.DUMMYFUNCTION("""COMPUTED_VALUE"""),"đón giao thừa")</f>
        <v>đón giao thừa</v>
      </c>
      <c r="H1535" s="13" t="str">
        <f ca="1">IFERROR(__xludf.DUMMYFUNCTION("""COMPUTED_VALUE"""),"我们全家一起看烟花守岁。")</f>
        <v>我们全家一起看烟花守岁。</v>
      </c>
      <c r="I1535" s="13"/>
      <c r="J1535" s="13" t="str">
        <f ca="1">IFERROR(__xludf.DUMMYFUNCTION("""COMPUTED_VALUE"""),"Cả nhà chúng tôi cùng nhau xem pháo hoa đón giao thừa.")</f>
        <v>Cả nhà chúng tôi cùng nhau xem pháo hoa đón giao thừa.</v>
      </c>
      <c r="K1535" s="13" t="str">
        <f ca="1">IFERROR(__xludf.DUMMYFUNCTION("""COMPUTED_VALUE"""),"H5_B6_BG-10.png")</f>
        <v>H5_B6_BG-10.png</v>
      </c>
      <c r="L1535" s="13" t="str">
        <f ca="1">IFERROR(__xludf.DUMMYFUNCTION("""COMPUTED_VALUE"""),"B6-10.mp3")</f>
        <v>B6-10.mp3</v>
      </c>
      <c r="M1535" s="13" t="str">
        <f ca="1">IFERROR(__xludf.DUMMYFUNCTION("""COMPUTED_VALUE"""),"B6_VD_10.mp3")</f>
        <v>B6_VD_10.mp3</v>
      </c>
    </row>
    <row r="1536" spans="1:13">
      <c r="A1536" s="13">
        <f ca="1">IFERROR(__xludf.DUMMYFUNCTION("""COMPUTED_VALUE"""),11)</f>
        <v>11</v>
      </c>
      <c r="B1536" s="13"/>
      <c r="C1536" s="13" t="str">
        <f ca="1">IFERROR(__xludf.DUMMYFUNCTION("""COMPUTED_VALUE"""),"逃")</f>
        <v>逃</v>
      </c>
      <c r="D1536" s="13" t="str">
        <f ca="1">IFERROR(__xludf.DUMMYFUNCTION("""COMPUTED_VALUE"""),"&lt;ruby&gt;逃&lt;rt&gt;táo&lt;/rt&gt;&lt;/ruby&gt;")</f>
        <v>&lt;ruby&gt;逃&lt;rt&gt;táo&lt;/rt&gt;&lt;/ruby&gt;</v>
      </c>
      <c r="E1536" s="13" t="str">
        <f ca="1">IFERROR(__xludf.DUMMYFUNCTION("""COMPUTED_VALUE"""),"táo")</f>
        <v>táo</v>
      </c>
      <c r="F1536" s="13" t="str">
        <f ca="1">IFERROR(__xludf.DUMMYFUNCTION("""COMPUTED_VALUE"""),"Động từ")</f>
        <v>Động từ</v>
      </c>
      <c r="G1536" s="13" t="str">
        <f ca="1">IFERROR(__xludf.DUMMYFUNCTION("""COMPUTED_VALUE"""),"chạy trốn")</f>
        <v>chạy trốn</v>
      </c>
      <c r="H1536" s="13" t="str">
        <f ca="1">IFERROR(__xludf.DUMMYFUNCTION("""COMPUTED_VALUE"""),"他在车着火之前逃了出来。")</f>
        <v>他在车着火之前逃了出来。</v>
      </c>
      <c r="I1536" s="13"/>
      <c r="J1536" s="13" t="str">
        <f ca="1">IFERROR(__xludf.DUMMYFUNCTION("""COMPUTED_VALUE"""),"Anh ấy đã thoát khỏi xe hơi, tước khi nó bị cháy.")</f>
        <v>Anh ấy đã thoát khỏi xe hơi, tước khi nó bị cháy.</v>
      </c>
      <c r="K1536" s="13" t="str">
        <f ca="1">IFERROR(__xludf.DUMMYFUNCTION("""COMPUTED_VALUE"""),"H5_B6_BG-11.png")</f>
        <v>H5_B6_BG-11.png</v>
      </c>
      <c r="L1536" s="13" t="str">
        <f ca="1">IFERROR(__xludf.DUMMYFUNCTION("""COMPUTED_VALUE"""),"B6-11.mp3")</f>
        <v>B6-11.mp3</v>
      </c>
      <c r="M1536" s="13" t="str">
        <f ca="1">IFERROR(__xludf.DUMMYFUNCTION("""COMPUTED_VALUE"""),"B6_VD_11.mp3")</f>
        <v>B6_VD_11.mp3</v>
      </c>
    </row>
    <row r="1537" spans="1:13">
      <c r="A1537" s="13">
        <f ca="1">IFERROR(__xludf.DUMMYFUNCTION("""COMPUTED_VALUE"""),12)</f>
        <v>12</v>
      </c>
      <c r="B1537" s="13"/>
      <c r="C1537" s="13" t="str">
        <f ca="1">IFERROR(__xludf.DUMMYFUNCTION("""COMPUTED_VALUE"""),"（代）替")</f>
        <v>（代）替</v>
      </c>
      <c r="D1537" s="13" t="str">
        <f ca="1">IFERROR(__xludf.DUMMYFUNCTION("""COMPUTED_VALUE"""),"&lt;ruby&gt;（代）替&lt;rt&gt;(dài) tì&lt;/rt&gt;&lt;/ruby&gt;")</f>
        <v>&lt;ruby&gt;（代）替&lt;rt&gt;(dài) tì&lt;/rt&gt;&lt;/ruby&gt;</v>
      </c>
      <c r="E1537" s="13" t="str">
        <f ca="1">IFERROR(__xludf.DUMMYFUNCTION("""COMPUTED_VALUE"""),"(dài) tì")</f>
        <v>(dài) tì</v>
      </c>
      <c r="F1537" s="13" t="str">
        <f ca="1">IFERROR(__xludf.DUMMYFUNCTION("""COMPUTED_VALUE"""),"Động từ")</f>
        <v>Động từ</v>
      </c>
      <c r="G1537" s="13" t="str">
        <f ca="1">IFERROR(__xludf.DUMMYFUNCTION("""COMPUTED_VALUE"""),"thay thế")</f>
        <v>thay thế</v>
      </c>
      <c r="H1537" s="13" t="str">
        <f ca="1">IFERROR(__xludf.DUMMYFUNCTION("""COMPUTED_VALUE"""),"黄老师生病了，今天的课由李老师代替他讲授。")</f>
        <v>黄老师生病了，今天的课由李老师代替他讲授。</v>
      </c>
      <c r="I1537" s="13"/>
      <c r="J1537" s="13" t="str">
        <f ca="1">IFERROR(__xludf.DUMMYFUNCTION("""COMPUTED_VALUE"""),"Thầy Hoàng bị ốm rồi, hôm nay bài giảng sẽ do cô Lý thay thầy ấy giảng dạy.")</f>
        <v>Thầy Hoàng bị ốm rồi, hôm nay bài giảng sẽ do cô Lý thay thầy ấy giảng dạy.</v>
      </c>
      <c r="K1537" s="13" t="str">
        <f ca="1">IFERROR(__xludf.DUMMYFUNCTION("""COMPUTED_VALUE"""),"H5_B6_BG-12.png")</f>
        <v>H5_B6_BG-12.png</v>
      </c>
      <c r="L1537" s="13" t="str">
        <f ca="1">IFERROR(__xludf.DUMMYFUNCTION("""COMPUTED_VALUE"""),"B6-12.mp3")</f>
        <v>B6-12.mp3</v>
      </c>
      <c r="M1537" s="13" t="str">
        <f ca="1">IFERROR(__xludf.DUMMYFUNCTION("""COMPUTED_VALUE"""),"B6_VD_12.mp3")</f>
        <v>B6_VD_12.mp3</v>
      </c>
    </row>
    <row r="1538" spans="1:13">
      <c r="A1538" s="13">
        <f ca="1">IFERROR(__xludf.DUMMYFUNCTION("""COMPUTED_VALUE"""),13)</f>
        <v>13</v>
      </c>
      <c r="B1538" s="13"/>
      <c r="C1538" s="13" t="str">
        <f ca="1">IFERROR(__xludf.DUMMYFUNCTION("""COMPUTED_VALUE"""),"制造")</f>
        <v>制造</v>
      </c>
      <c r="D1538" s="13" t="str">
        <f ca="1">IFERROR(__xludf.DUMMYFUNCTION("""COMPUTED_VALUE"""),"&lt;ruby&gt;制造&lt;rt&gt;zhìzào&lt;/rt&gt;&lt;/ruby&gt;")</f>
        <v>&lt;ruby&gt;制造&lt;rt&gt;zhìzào&lt;/rt&gt;&lt;/ruby&gt;</v>
      </c>
      <c r="E1538" s="13" t="str">
        <f ca="1">IFERROR(__xludf.DUMMYFUNCTION("""COMPUTED_VALUE"""),"zhìzào")</f>
        <v>zhìzào</v>
      </c>
      <c r="F1538" s="13" t="str">
        <f ca="1">IFERROR(__xludf.DUMMYFUNCTION("""COMPUTED_VALUE"""),"Động từ")</f>
        <v>Động từ</v>
      </c>
      <c r="G1538" s="13" t="str">
        <f ca="1">IFERROR(__xludf.DUMMYFUNCTION("""COMPUTED_VALUE"""),"gây ra, sản xuất")</f>
        <v>gây ra, sản xuất</v>
      </c>
      <c r="H1538" s="13" t="str">
        <f ca="1">IFERROR(__xludf.DUMMYFUNCTION("""COMPUTED_VALUE"""),"这场火灾制造了很大的损失，对我们家影响很大。")</f>
        <v>这场火灾制造了很大的损失，对我们家影响很大。</v>
      </c>
      <c r="I1538" s="13"/>
      <c r="J1538" s="13" t="str">
        <f ca="1">IFERROR(__xludf.DUMMYFUNCTION("""COMPUTED_VALUE"""),"Hỏa hoạn này đã gây ra rất nhiều thiệt hại đối với gia đình tôi.")</f>
        <v>Hỏa hoạn này đã gây ra rất nhiều thiệt hại đối với gia đình tôi.</v>
      </c>
      <c r="K1538" s="13" t="str">
        <f ca="1">IFERROR(__xludf.DUMMYFUNCTION("""COMPUTED_VALUE"""),"H5_B6_BG-13.png")</f>
        <v>H5_B6_BG-13.png</v>
      </c>
      <c r="L1538" s="13" t="str">
        <f ca="1">IFERROR(__xludf.DUMMYFUNCTION("""COMPUTED_VALUE"""),"B6-13.mp3")</f>
        <v>B6-13.mp3</v>
      </c>
      <c r="M1538" s="13" t="str">
        <f ca="1">IFERROR(__xludf.DUMMYFUNCTION("""COMPUTED_VALUE"""),"B6_VD_13.mp3")</f>
        <v>B6_VD_13.mp3</v>
      </c>
    </row>
    <row r="1539" spans="1:13">
      <c r="A1539" s="13">
        <f ca="1">IFERROR(__xludf.DUMMYFUNCTION("""COMPUTED_VALUE"""),14)</f>
        <v>14</v>
      </c>
      <c r="B1539" s="13"/>
      <c r="C1539" s="13" t="str">
        <f ca="1">IFERROR(__xludf.DUMMYFUNCTION("""COMPUTED_VALUE"""),"追")</f>
        <v>追</v>
      </c>
      <c r="D1539" s="13" t="str">
        <f ca="1">IFERROR(__xludf.DUMMYFUNCTION("""COMPUTED_VALUE"""),"&lt;ruby&gt;追&lt;rt&gt;zhuī&lt;/rt&gt;&lt;/ruby&gt;")</f>
        <v>&lt;ruby&gt;追&lt;rt&gt;zhuī&lt;/rt&gt;&lt;/ruby&gt;</v>
      </c>
      <c r="E1539" s="13" t="str">
        <f ca="1">IFERROR(__xludf.DUMMYFUNCTION("""COMPUTED_VALUE"""),"zhuī")</f>
        <v>zhuī</v>
      </c>
      <c r="F1539" s="13" t="str">
        <f ca="1">IFERROR(__xludf.DUMMYFUNCTION("""COMPUTED_VALUE"""),"Động từ")</f>
        <v>Động từ</v>
      </c>
      <c r="G1539" s="13" t="str">
        <f ca="1">IFERROR(__xludf.DUMMYFUNCTION("""COMPUTED_VALUE"""),"đuổi theo")</f>
        <v>đuổi theo</v>
      </c>
      <c r="H1539" s="13" t="str">
        <f ca="1">IFERROR(__xludf.DUMMYFUNCTION("""COMPUTED_VALUE"""),"孩子们在操场上追来追去，笑得特别开心。")</f>
        <v>孩子们在操场上追来追去，笑得特别开心。</v>
      </c>
      <c r="I1539" s="13"/>
      <c r="J1539" s="13" t="str">
        <f ca="1">IFERROR(__xludf.DUMMYFUNCTION("""COMPUTED_VALUE"""),"Lũ trẻ đuổi nhau trên sân chơi, cười đùa vô cùng vui vẻ!")</f>
        <v>Lũ trẻ đuổi nhau trên sân chơi, cười đùa vô cùng vui vẻ!</v>
      </c>
      <c r="K1539" s="13" t="str">
        <f ca="1">IFERROR(__xludf.DUMMYFUNCTION("""COMPUTED_VALUE"""),"H5_B6_BG-14.png")</f>
        <v>H5_B6_BG-14.png</v>
      </c>
      <c r="L1539" s="13" t="str">
        <f ca="1">IFERROR(__xludf.DUMMYFUNCTION("""COMPUTED_VALUE"""),"B6-14.mp3")</f>
        <v>B6-14.mp3</v>
      </c>
      <c r="M1539" s="13" t="str">
        <f ca="1">IFERROR(__xludf.DUMMYFUNCTION("""COMPUTED_VALUE"""),"B6_VD_14.mp3")</f>
        <v>B6_VD_14.mp3</v>
      </c>
    </row>
    <row r="1540" spans="1:13">
      <c r="A1540" s="13">
        <f ca="1">IFERROR(__xludf.DUMMYFUNCTION("""COMPUTED_VALUE"""),15)</f>
        <v>15</v>
      </c>
      <c r="B1540" s="13"/>
      <c r="C1540" s="13" t="str">
        <f ca="1">IFERROR(__xludf.DUMMYFUNCTION("""COMPUTED_VALUE"""),"农历")</f>
        <v>农历</v>
      </c>
      <c r="D1540" s="13" t="str">
        <f ca="1">IFERROR(__xludf.DUMMYFUNCTION("""COMPUTED_VALUE"""),"&lt;ruby&gt;农历&lt;rt&gt;nónglì&lt;/rt&gt;&lt;/ruby&gt;")</f>
        <v>&lt;ruby&gt;农历&lt;rt&gt;nónglì&lt;/rt&gt;&lt;/ruby&gt;</v>
      </c>
      <c r="E1540" s="13" t="str">
        <f ca="1">IFERROR(__xludf.DUMMYFUNCTION("""COMPUTED_VALUE"""),"nónglì")</f>
        <v>nónglì</v>
      </c>
      <c r="F1540" s="13" t="str">
        <f ca="1">IFERROR(__xludf.DUMMYFUNCTION("""COMPUTED_VALUE"""),"Danh từ")</f>
        <v>Danh từ</v>
      </c>
      <c r="G1540" s="13" t="str">
        <f ca="1">IFERROR(__xludf.DUMMYFUNCTION("""COMPUTED_VALUE"""),"âm lịch, Nông lịch")</f>
        <v>âm lịch, Nông lịch</v>
      </c>
      <c r="H1540" s="13" t="str">
        <f ca="1">IFERROR(__xludf.DUMMYFUNCTION("""COMPUTED_VALUE"""),"农历五月初五是端午节，大家都会吃粽子。")</f>
        <v>农历五月初五是端午节，大家都会吃粽子。</v>
      </c>
      <c r="I1540" s="13"/>
      <c r="J1540" s="13" t="str">
        <f ca="1">IFERROR(__xludf.DUMMYFUNCTION("""COMPUTED_VALUE"""),"Ngày 5 tháng 5 âm lịch là Tết Đoan Ngọ, mọi người đều ăn bánh ú.")</f>
        <v>Ngày 5 tháng 5 âm lịch là Tết Đoan Ngọ, mọi người đều ăn bánh ú.</v>
      </c>
      <c r="K1540" s="13" t="str">
        <f ca="1">IFERROR(__xludf.DUMMYFUNCTION("""COMPUTED_VALUE"""),"H5_B6_BG-15.png")</f>
        <v>H5_B6_BG-15.png</v>
      </c>
      <c r="L1540" s="13" t="str">
        <f ca="1">IFERROR(__xludf.DUMMYFUNCTION("""COMPUTED_VALUE"""),"B6-15.mp3")</f>
        <v>B6-15.mp3</v>
      </c>
      <c r="M1540" s="13" t="str">
        <f ca="1">IFERROR(__xludf.DUMMYFUNCTION("""COMPUTED_VALUE"""),"B6_VD_15.mp3")</f>
        <v>B6_VD_15.mp3</v>
      </c>
    </row>
    <row r="1541" spans="1:13">
      <c r="A1541" s="13">
        <f ca="1">IFERROR(__xludf.DUMMYFUNCTION("""COMPUTED_VALUE"""),16)</f>
        <v>16</v>
      </c>
      <c r="B1541" s="13"/>
      <c r="C1541" s="13" t="str">
        <f ca="1">IFERROR(__xludf.DUMMYFUNCTION("""COMPUTED_VALUE"""),"此外")</f>
        <v>此外</v>
      </c>
      <c r="D1541" s="13" t="str">
        <f ca="1">IFERROR(__xludf.DUMMYFUNCTION("""COMPUTED_VALUE"""),"&lt;ruby&gt;此外&lt;rt&gt;cǐwài&lt;/rt&gt;&lt;/ruby&gt;")</f>
        <v>&lt;ruby&gt;此外&lt;rt&gt;cǐwài&lt;/rt&gt;&lt;/ruby&gt;</v>
      </c>
      <c r="E1541" s="13" t="str">
        <f ca="1">IFERROR(__xludf.DUMMYFUNCTION("""COMPUTED_VALUE"""),"cǐwài")</f>
        <v>cǐwài</v>
      </c>
      <c r="F1541" s="13" t="str">
        <f ca="1">IFERROR(__xludf.DUMMYFUNCTION("""COMPUTED_VALUE"""),"Liên từ")</f>
        <v>Liên từ</v>
      </c>
      <c r="G1541" s="13" t="str">
        <f ca="1">IFERROR(__xludf.DUMMYFUNCTION("""COMPUTED_VALUE"""),"ngoài ra, hơn nữa")</f>
        <v>ngoài ra, hơn nữa</v>
      </c>
      <c r="H1541" s="13" t="str">
        <f ca="1">IFERROR(__xludf.DUMMYFUNCTION("""COMPUTED_VALUE"""),"他很喜欢运动，此外也很喜欢唱歌和弹琴。")</f>
        <v>他很喜欢运动，此外也很喜欢唱歌和弹琴。</v>
      </c>
      <c r="I1541" s="13"/>
      <c r="J1541" s="13" t="str">
        <f ca="1">IFERROR(__xludf.DUMMYFUNCTION("""COMPUTED_VALUE"""),"Anh ấy rất thích chơi thể thao, ngoài ra anh ấy cũng rất thích đàn hát.")</f>
        <v>Anh ấy rất thích chơi thể thao, ngoài ra anh ấy cũng rất thích đàn hát.</v>
      </c>
      <c r="K1541" s="13" t="str">
        <f ca="1">IFERROR(__xludf.DUMMYFUNCTION("""COMPUTED_VALUE"""),"H5_B6_BG-16.png")</f>
        <v>H5_B6_BG-16.png</v>
      </c>
      <c r="L1541" s="13" t="str">
        <f ca="1">IFERROR(__xludf.DUMMYFUNCTION("""COMPUTED_VALUE"""),"B6-16.mp3")</f>
        <v>B6-16.mp3</v>
      </c>
      <c r="M1541" s="13" t="str">
        <f ca="1">IFERROR(__xludf.DUMMYFUNCTION("""COMPUTED_VALUE"""),"B6_VD_16.mp3")</f>
        <v>B6_VD_16.mp3</v>
      </c>
    </row>
    <row r="1542" spans="1:13">
      <c r="A1542" s="13">
        <f ca="1">IFERROR(__xludf.DUMMYFUNCTION("""COMPUTED_VALUE"""),17)</f>
        <v>17</v>
      </c>
      <c r="B1542" s="13"/>
      <c r="C1542" s="13" t="str">
        <f ca="1">IFERROR(__xludf.DUMMYFUNCTION("""COMPUTED_VALUE"""),"姑娘")</f>
        <v>姑娘</v>
      </c>
      <c r="D1542" s="13" t="str">
        <f ca="1">IFERROR(__xludf.DUMMYFUNCTION("""COMPUTED_VALUE"""),"&lt;ruby&gt;姑娘&lt;rt&gt;gūniang&lt;/rt&gt;&lt;/ruby&gt;")</f>
        <v>&lt;ruby&gt;姑娘&lt;rt&gt;gūniang&lt;/rt&gt;&lt;/ruby&gt;</v>
      </c>
      <c r="E1542" s="13" t="str">
        <f ca="1">IFERROR(__xludf.DUMMYFUNCTION("""COMPUTED_VALUE"""),"gūniang")</f>
        <v>gūniang</v>
      </c>
      <c r="F1542" s="13" t="str">
        <f ca="1">IFERROR(__xludf.DUMMYFUNCTION("""COMPUTED_VALUE"""),"Danh từ")</f>
        <v>Danh từ</v>
      </c>
      <c r="G1542" s="13" t="str">
        <f ca="1">IFERROR(__xludf.DUMMYFUNCTION("""COMPUTED_VALUE"""),"cô gái, thiếu nữ")</f>
        <v>cô gái, thiếu nữ</v>
      </c>
      <c r="H1542" s="13" t="str">
        <f ca="1">IFERROR(__xludf.DUMMYFUNCTION("""COMPUTED_VALUE"""),"曾经的小女孩，现在已经成为一位漂亮的姑娘。")</f>
        <v>曾经的小女孩，现在已经成为一位漂亮的姑娘。</v>
      </c>
      <c r="I1542" s="13"/>
      <c r="J1542" s="13" t="str">
        <f ca="1">IFERROR(__xludf.DUMMYFUNCTION("""COMPUTED_VALUE"""),"Cô bé ngày nào, giờ đã thành thiếu nữ.")</f>
        <v>Cô bé ngày nào, giờ đã thành thiếu nữ.</v>
      </c>
      <c r="K1542" s="13" t="str">
        <f ca="1">IFERROR(__xludf.DUMMYFUNCTION("""COMPUTED_VALUE"""),"H5_B6_BG-17.png")</f>
        <v>H5_B6_BG-17.png</v>
      </c>
      <c r="L1542" s="13" t="str">
        <f ca="1">IFERROR(__xludf.DUMMYFUNCTION("""COMPUTED_VALUE"""),"B6-17.mp3")</f>
        <v>B6-17.mp3</v>
      </c>
      <c r="M1542" s="13" t="str">
        <f ca="1">IFERROR(__xludf.DUMMYFUNCTION("""COMPUTED_VALUE"""),"B6_VD_17.mp3")</f>
        <v>B6_VD_17.mp3</v>
      </c>
    </row>
    <row r="1543" spans="1:13">
      <c r="A1543" s="13">
        <f ca="1">IFERROR(__xludf.DUMMYFUNCTION("""COMPUTED_VALUE"""),18)</f>
        <v>18</v>
      </c>
      <c r="B1543" s="13"/>
      <c r="C1543" s="13" t="str">
        <f ca="1">IFERROR(__xludf.DUMMYFUNCTION("""COMPUTED_VALUE"""),"锅")</f>
        <v>锅</v>
      </c>
      <c r="D1543" s="13" t="str">
        <f ca="1">IFERROR(__xludf.DUMMYFUNCTION("""COMPUTED_VALUE"""),"&lt;ruby&gt;锅&lt;rt&gt;guō&lt;/rt&gt;&lt;/ruby&gt;")</f>
        <v>&lt;ruby&gt;锅&lt;rt&gt;guō&lt;/rt&gt;&lt;/ruby&gt;</v>
      </c>
      <c r="E1543" s="13" t="str">
        <f ca="1">IFERROR(__xludf.DUMMYFUNCTION("""COMPUTED_VALUE"""),"guō")</f>
        <v>guō</v>
      </c>
      <c r="F1543" s="13" t="str">
        <f ca="1">IFERROR(__xludf.DUMMYFUNCTION("""COMPUTED_VALUE"""),"Danh từ")</f>
        <v>Danh từ</v>
      </c>
      <c r="G1543" s="13" t="str">
        <f ca="1">IFERROR(__xludf.DUMMYFUNCTION("""COMPUTED_VALUE"""),"(cái) nồi")</f>
        <v>(cái) nồi</v>
      </c>
      <c r="H1543" s="13" t="str">
        <f ca="1">IFERROR(__xludf.DUMMYFUNCTION("""COMPUTED_VALUE"""),"妈妈正在用锅煮汤，香味飘满了整个厨房。")</f>
        <v>妈妈正在用锅煮汤，香味飘满了整个厨房。</v>
      </c>
      <c r="I1543" s="13"/>
      <c r="J1543" s="13" t="str">
        <f ca="1">IFERROR(__xludf.DUMMYFUNCTION("""COMPUTED_VALUE"""),"Mẹ đang dùng nồi nấu canh, hương thơm lan tỏa khắp cả bếp.")</f>
        <v>Mẹ đang dùng nồi nấu canh, hương thơm lan tỏa khắp cả bếp.</v>
      </c>
      <c r="K1543" s="13" t="str">
        <f ca="1">IFERROR(__xludf.DUMMYFUNCTION("""COMPUTED_VALUE"""),"H5_B6_BG-18.png")</f>
        <v>H5_B6_BG-18.png</v>
      </c>
      <c r="L1543" s="13" t="str">
        <f ca="1">IFERROR(__xludf.DUMMYFUNCTION("""COMPUTED_VALUE"""),"B6-18.mp3")</f>
        <v>B6-18.mp3</v>
      </c>
      <c r="M1543" s="13" t="str">
        <f ca="1">IFERROR(__xludf.DUMMYFUNCTION("""COMPUTED_VALUE"""),"B6_VD_18.mp3")</f>
        <v>B6_VD_18.mp3</v>
      </c>
    </row>
    <row r="1544" spans="1:13">
      <c r="A1544" s="13">
        <f ca="1">IFERROR(__xludf.DUMMYFUNCTION("""COMPUTED_VALUE"""),19)</f>
        <v>19</v>
      </c>
      <c r="B1544" s="13"/>
      <c r="C1544" s="13" t="str">
        <f ca="1">IFERROR(__xludf.DUMMYFUNCTION("""COMPUTED_VALUE"""),"盆（子）")</f>
        <v>盆（子）</v>
      </c>
      <c r="D1544" s="13" t="str">
        <f ca="1">IFERROR(__xludf.DUMMYFUNCTION("""COMPUTED_VALUE"""),"&lt;ruby&gt;盆（子）&lt;rt&gt;pén (zi)&lt;/rt&gt;&lt;/ruby&gt;")</f>
        <v>&lt;ruby&gt;盆（子）&lt;rt&gt;pén (zi)&lt;/rt&gt;&lt;/ruby&gt;</v>
      </c>
      <c r="E1544" s="13" t="str">
        <f ca="1">IFERROR(__xludf.DUMMYFUNCTION("""COMPUTED_VALUE"""),"pén (zi)")</f>
        <v>pén (zi)</v>
      </c>
      <c r="F1544" s="13" t="str">
        <f ca="1">IFERROR(__xludf.DUMMYFUNCTION("""COMPUTED_VALUE"""),"Danh từ")</f>
        <v>Danh từ</v>
      </c>
      <c r="G1544" s="13" t="str">
        <f ca="1">IFERROR(__xludf.DUMMYFUNCTION("""COMPUTED_VALUE"""),"chậu, bồn")</f>
        <v>chậu, bồn</v>
      </c>
      <c r="H1544" s="13" t="str">
        <f ca="1">IFERROR(__xludf.DUMMYFUNCTION("""COMPUTED_VALUE"""),"他拿着一个盆子去打水。")</f>
        <v>他拿着一个盆子去打水。</v>
      </c>
      <c r="I1544" s="13"/>
      <c r="J1544" s="13" t="str">
        <f ca="1">IFERROR(__xludf.DUMMYFUNCTION("""COMPUTED_VALUE"""),"Anh ấy cầm một cái chậu đi lấy nước.")</f>
        <v>Anh ấy cầm một cái chậu đi lấy nước.</v>
      </c>
      <c r="K1544" s="13" t="str">
        <f ca="1">IFERROR(__xludf.DUMMYFUNCTION("""COMPUTED_VALUE"""),"H5_B6_BG-19.png")</f>
        <v>H5_B6_BG-19.png</v>
      </c>
      <c r="L1544" s="13" t="str">
        <f ca="1">IFERROR(__xludf.DUMMYFUNCTION("""COMPUTED_VALUE"""),"B6-19.mp3")</f>
        <v>B6-19.mp3</v>
      </c>
      <c r="M1544" s="13" t="str">
        <f ca="1">IFERROR(__xludf.DUMMYFUNCTION("""COMPUTED_VALUE"""),"B6_VD_19.mp3")</f>
        <v>B6_VD_19.mp3</v>
      </c>
    </row>
    <row r="1545" spans="1:13">
      <c r="A1545" s="13">
        <f ca="1">IFERROR(__xludf.DUMMYFUNCTION("""COMPUTED_VALUE"""),20)</f>
        <v>20</v>
      </c>
      <c r="B1545" s="13"/>
      <c r="C1545" s="13" t="str">
        <f ca="1">IFERROR(__xludf.DUMMYFUNCTION("""COMPUTED_VALUE"""),"外公")</f>
        <v>外公</v>
      </c>
      <c r="D1545" s="13" t="str">
        <f ca="1">IFERROR(__xludf.DUMMYFUNCTION("""COMPUTED_VALUE"""),"&lt;ruby&gt;外公&lt;rt&gt;wàigōng&lt;/rt&gt;&lt;/ruby&gt;")</f>
        <v>&lt;ruby&gt;外公&lt;rt&gt;wàigōng&lt;/rt&gt;&lt;/ruby&gt;</v>
      </c>
      <c r="E1545" s="13" t="str">
        <f ca="1">IFERROR(__xludf.DUMMYFUNCTION("""COMPUTED_VALUE"""),"wàigōng")</f>
        <v>wàigōng</v>
      </c>
      <c r="F1545" s="13" t="str">
        <f ca="1">IFERROR(__xludf.DUMMYFUNCTION("""COMPUTED_VALUE"""),"Danh từ")</f>
        <v>Danh từ</v>
      </c>
      <c r="G1545" s="13" t="str">
        <f ca="1">IFERROR(__xludf.DUMMYFUNCTION("""COMPUTED_VALUE"""),"ông ngoại")</f>
        <v>ông ngoại</v>
      </c>
      <c r="H1545" s="13" t="str">
        <f ca="1">IFERROR(__xludf.DUMMYFUNCTION("""COMPUTED_VALUE"""),"每个周末我都会去看望外公。")</f>
        <v>每个周末我都会去看望外公。</v>
      </c>
      <c r="I1545" s="13"/>
      <c r="J1545" s="13" t="str">
        <f ca="1">IFERROR(__xludf.DUMMYFUNCTION("""COMPUTED_VALUE"""),"Mỗi cuối tuần, tôi đều đến thăm ông ngoại.")</f>
        <v>Mỗi cuối tuần, tôi đều đến thăm ông ngoại.</v>
      </c>
      <c r="K1545" s="13" t="str">
        <f ca="1">IFERROR(__xludf.DUMMYFUNCTION("""COMPUTED_VALUE"""),"H5_B6_BG-20.png")</f>
        <v>H5_B6_BG-20.png</v>
      </c>
      <c r="L1545" s="13" t="str">
        <f ca="1">IFERROR(__xludf.DUMMYFUNCTION("""COMPUTED_VALUE"""),"B6-20.mp3")</f>
        <v>B6-20.mp3</v>
      </c>
      <c r="M1545" s="13" t="str">
        <f ca="1">IFERROR(__xludf.DUMMYFUNCTION("""COMPUTED_VALUE"""),"B6_VD_20.mp3")</f>
        <v>B6_VD_20.mp3</v>
      </c>
    </row>
    <row r="1546" spans="1:13">
      <c r="A1546" s="13">
        <f ca="1">IFERROR(__xludf.DUMMYFUNCTION("""COMPUTED_VALUE"""),21)</f>
        <v>21</v>
      </c>
      <c r="B1546" s="13"/>
      <c r="C1546" s="13" t="str">
        <f ca="1">IFERROR(__xludf.DUMMYFUNCTION("""COMPUTED_VALUE"""),"影子")</f>
        <v>影子</v>
      </c>
      <c r="D1546" s="13" t="str">
        <f ca="1">IFERROR(__xludf.DUMMYFUNCTION("""COMPUTED_VALUE"""),"&lt;ruby&gt;影子&lt;rt&gt;yǐngzi&lt;/rt&gt;&lt;/ruby&gt;")</f>
        <v>&lt;ruby&gt;影子&lt;rt&gt;yǐngzi&lt;/rt&gt;&lt;/ruby&gt;</v>
      </c>
      <c r="E1546" s="13" t="str">
        <f ca="1">IFERROR(__xludf.DUMMYFUNCTION("""COMPUTED_VALUE"""),"yǐngzi")</f>
        <v>yǐngzi</v>
      </c>
      <c r="F1546" s="13" t="str">
        <f ca="1">IFERROR(__xludf.DUMMYFUNCTION("""COMPUTED_VALUE"""),"Danh từ")</f>
        <v>Danh từ</v>
      </c>
      <c r="G1546" s="13" t="str">
        <f ca="1">IFERROR(__xludf.DUMMYFUNCTION("""COMPUTED_VALUE"""),"bóng dáng")</f>
        <v>bóng dáng</v>
      </c>
      <c r="H1546" s="13" t="str">
        <f ca="1">IFERROR(__xludf.DUMMYFUNCTION("""COMPUTED_VALUE"""),"在镜子里，我看到自己的影子，觉得像是另一个人。")</f>
        <v>在镜子里，我看到自己的影子，觉得像是另一个人。</v>
      </c>
      <c r="I1546" s="13"/>
      <c r="J1546" s="13" t="str">
        <f ca="1">IFERROR(__xludf.DUMMYFUNCTION("""COMPUTED_VALUE"""),"Trong gương, tôi thấy bóng dáng của mình, cảm giác như là một người khác.")</f>
        <v>Trong gương, tôi thấy bóng dáng của mình, cảm giác như là một người khác.</v>
      </c>
      <c r="K1546" s="13" t="str">
        <f ca="1">IFERROR(__xludf.DUMMYFUNCTION("""COMPUTED_VALUE"""),"H5_B6_BG-21.png")</f>
        <v>H5_B6_BG-21.png</v>
      </c>
      <c r="L1546" s="13" t="str">
        <f ca="1">IFERROR(__xludf.DUMMYFUNCTION("""COMPUTED_VALUE"""),"B6-21.mp3")</f>
        <v>B6-21.mp3</v>
      </c>
      <c r="M1546" s="13" t="str">
        <f ca="1">IFERROR(__xludf.DUMMYFUNCTION("""COMPUTED_VALUE"""),"B6_VD_21.mp3")</f>
        <v>B6_VD_21.mp3</v>
      </c>
    </row>
    <row r="1547" spans="1:13">
      <c r="A1547" s="13">
        <f ca="1">IFERROR(__xludf.DUMMYFUNCTION("""COMPUTED_VALUE"""),22)</f>
        <v>22</v>
      </c>
      <c r="B1547" s="13"/>
      <c r="C1547" s="13" t="str">
        <f ca="1">IFERROR(__xludf.DUMMYFUNCTION("""COMPUTED_VALUE"""),"灾害")</f>
        <v>灾害</v>
      </c>
      <c r="D1547" s="13" t="str">
        <f ca="1">IFERROR(__xludf.DUMMYFUNCTION("""COMPUTED_VALUE"""),"&lt;ruby&gt;灾害&lt;rt&gt;zāihài&lt;/rt&gt;&lt;/ruby&gt;")</f>
        <v>&lt;ruby&gt;灾害&lt;rt&gt;zāihài&lt;/rt&gt;&lt;/ruby&gt;</v>
      </c>
      <c r="E1547" s="13" t="str">
        <f ca="1">IFERROR(__xludf.DUMMYFUNCTION("""COMPUTED_VALUE"""),"zāihài")</f>
        <v>zāihài</v>
      </c>
      <c r="F1547" s="13" t="str">
        <f ca="1">IFERROR(__xludf.DUMMYFUNCTION("""COMPUTED_VALUE"""),"Danh từ")</f>
        <v>Danh từ</v>
      </c>
      <c r="G1547" s="13" t="str">
        <f ca="1">IFERROR(__xludf.DUMMYFUNCTION("""COMPUTED_VALUE"""),"tai họa")</f>
        <v>tai họa</v>
      </c>
      <c r="H1547" s="13" t="str">
        <f ca="1">IFERROR(__xludf.DUMMYFUNCTION("""COMPUTED_VALUE"""),"这场台风造成了严重的灾害，许多人失去了家园。")</f>
        <v>这场台风造成了严重的灾害，许多人失去了家园。</v>
      </c>
      <c r="I1547" s="13"/>
      <c r="J1547" s="13" t="str">
        <f ca="1">IFERROR(__xludf.DUMMYFUNCTION("""COMPUTED_VALUE"""),"Cơn bão này gây ra tai họa nghiêm trọng, nhiều người đã mất nhà cửa.")</f>
        <v>Cơn bão này gây ra tai họa nghiêm trọng, nhiều người đã mất nhà cửa.</v>
      </c>
      <c r="K1547" s="13" t="str">
        <f ca="1">IFERROR(__xludf.DUMMYFUNCTION("""COMPUTED_VALUE"""),"H5_B6_BG-22.png")</f>
        <v>H5_B6_BG-22.png</v>
      </c>
      <c r="L1547" s="13" t="str">
        <f ca="1">IFERROR(__xludf.DUMMYFUNCTION("""COMPUTED_VALUE"""),"B6-22.mp3")</f>
        <v>B6-22.mp3</v>
      </c>
      <c r="M1547" s="13" t="str">
        <f ca="1">IFERROR(__xludf.DUMMYFUNCTION("""COMPUTED_VALUE"""),"B6_VD_22.mp3")</f>
        <v>B6_VD_22.mp3</v>
      </c>
    </row>
    <row r="1548" spans="1:13">
      <c r="A1548" s="13">
        <f ca="1">IFERROR(__xludf.DUMMYFUNCTION("""COMPUTED_VALUE"""),23)</f>
        <v>23</v>
      </c>
      <c r="B1548" s="13"/>
      <c r="C1548" s="13" t="str">
        <f ca="1">IFERROR(__xludf.DUMMYFUNCTION("""COMPUTED_VALUE"""),"整个")</f>
        <v>整个</v>
      </c>
      <c r="D1548" s="13" t="str">
        <f ca="1">IFERROR(__xludf.DUMMYFUNCTION("""COMPUTED_VALUE"""),"&lt;ruby&gt;整个&lt;rt&gt;zhěnggè&lt;/rt&gt;&lt;/ruby&gt;")</f>
        <v>&lt;ruby&gt;整个&lt;rt&gt;zhěnggè&lt;/rt&gt;&lt;/ruby&gt;</v>
      </c>
      <c r="E1548" s="13" t="str">
        <f ca="1">IFERROR(__xludf.DUMMYFUNCTION("""COMPUTED_VALUE"""),"zhěnggè")</f>
        <v>zhěnggè</v>
      </c>
      <c r="F1548" s="13" t="str">
        <f ca="1">IFERROR(__xludf.DUMMYFUNCTION("""COMPUTED_VALUE"""),"Tính từ ")</f>
        <v xml:space="preserve">Tính từ </v>
      </c>
      <c r="G1548" s="13" t="str">
        <f ca="1">IFERROR(__xludf.DUMMYFUNCTION("""COMPUTED_VALUE"""),"cả")</f>
        <v>cả</v>
      </c>
      <c r="H1548" s="13" t="str">
        <f ca="1">IFERROR(__xludf.DUMMYFUNCTION("""COMPUTED_VALUE"""),"整个城市都被大雪覆盖，街道上非常安静。")</f>
        <v>整个城市都被大雪覆盖，街道上非常安静。</v>
      </c>
      <c r="I1548" s="13"/>
      <c r="J1548" s="13" t="str">
        <f ca="1">IFERROR(__xludf.DUMMYFUNCTION("""COMPUTED_VALUE"""),"Toàn thành phố đều bị tuyết lớn phủ kín, trên các con phố rất yên tĩnh.")</f>
        <v>Toàn thành phố đều bị tuyết lớn phủ kín, trên các con phố rất yên tĩnh.</v>
      </c>
      <c r="K1548" s="13" t="str">
        <f ca="1">IFERROR(__xludf.DUMMYFUNCTION("""COMPUTED_VALUE"""),"H5_B6_BG-23.png")</f>
        <v>H5_B6_BG-23.png</v>
      </c>
      <c r="L1548" s="13" t="str">
        <f ca="1">IFERROR(__xludf.DUMMYFUNCTION("""COMPUTED_VALUE"""),"B6-23.mp3")</f>
        <v>B6-23.mp3</v>
      </c>
      <c r="M1548" s="13" t="str">
        <f ca="1">IFERROR(__xludf.DUMMYFUNCTION("""COMPUTED_VALUE"""),"B6_VD_23.mp3")</f>
        <v>B6_VD_23.mp3</v>
      </c>
    </row>
    <row r="1549" spans="1:13">
      <c r="A1549" s="13">
        <f ca="1">IFERROR(__xludf.DUMMYFUNCTION("""COMPUTED_VALUE"""),24)</f>
        <v>24</v>
      </c>
      <c r="B1549" s="13"/>
      <c r="C1549" s="13" t="str">
        <f ca="1">IFERROR(__xludf.DUMMYFUNCTION("""COMPUTED_VALUE"""),"由来")</f>
        <v>由来</v>
      </c>
      <c r="D1549" s="13" t="str">
        <f ca="1">IFERROR(__xludf.DUMMYFUNCTION("""COMPUTED_VALUE"""),"&lt;ruby&gt;由来&lt;rt&gt;yóulái &lt;/rt&gt;&lt;/ruby&gt;")</f>
        <v>&lt;ruby&gt;由来&lt;rt&gt;yóulái &lt;/rt&gt;&lt;/ruby&gt;</v>
      </c>
      <c r="E1549" s="13" t="str">
        <f ca="1">IFERROR(__xludf.DUMMYFUNCTION("""COMPUTED_VALUE"""),"yóulái ")</f>
        <v xml:space="preserve">yóulái </v>
      </c>
      <c r="F1549" s="13" t="str">
        <f ca="1">IFERROR(__xludf.DUMMYFUNCTION("""COMPUTED_VALUE"""),"Danh từ")</f>
        <v>Danh từ</v>
      </c>
      <c r="G1549" s="13" t="str">
        <f ca="1">IFERROR(__xludf.DUMMYFUNCTION("""COMPUTED_VALUE"""),"nguồn gốc")</f>
        <v>nguồn gốc</v>
      </c>
      <c r="H1549" s="13" t="str">
        <f ca="1">IFERROR(__xludf.DUMMYFUNCTION("""COMPUTED_VALUE"""),"这座古庙有着悠久的由来，是几百年来的宗教中心。")</f>
        <v>这座古庙有着悠久的由来，是几百年来的宗教中心。</v>
      </c>
      <c r="I1549" s="13"/>
      <c r="J1549" s="13" t="str">
        <f ca="1">IFERROR(__xludf.DUMMYFUNCTION("""COMPUTED_VALUE"""),"Ngôi chùa cổ này có nguồn gốc lâu dài, là trung tâm tôn giáo từ hàng trăm năm trước")</f>
        <v>Ngôi chùa cổ này có nguồn gốc lâu dài, là trung tâm tôn giáo từ hàng trăm năm trước</v>
      </c>
      <c r="K1549" s="13" t="str">
        <f ca="1">IFERROR(__xludf.DUMMYFUNCTION("""COMPUTED_VALUE"""),"H5_B6_BG-24.png")</f>
        <v>H5_B6_BG-24.png</v>
      </c>
      <c r="L1549" s="13" t="str">
        <f ca="1">IFERROR(__xludf.DUMMYFUNCTION("""COMPUTED_VALUE"""),"B6-24.mp3")</f>
        <v>B6-24.mp3</v>
      </c>
      <c r="M1549" s="13" t="str">
        <f ca="1">IFERROR(__xludf.DUMMYFUNCTION("""COMPUTED_VALUE"""),"B6_VD_24.mp3")</f>
        <v>B6_VD_24.mp3</v>
      </c>
    </row>
    <row r="1550" spans="1:13">
      <c r="A1550" s="13">
        <f ca="1">IFERROR(__xludf.DUMMYFUNCTION("""COMPUTED_VALUE"""),25)</f>
        <v>25</v>
      </c>
      <c r="B1550" s="13"/>
      <c r="C1550" s="13" t="str">
        <f ca="1">IFERROR(__xludf.DUMMYFUNCTION("""COMPUTED_VALUE"""),"怪物")</f>
        <v>怪物</v>
      </c>
      <c r="D1550" s="13" t="str">
        <f ca="1">IFERROR(__xludf.DUMMYFUNCTION("""COMPUTED_VALUE"""),"&lt;ruby&gt;怪物&lt;rt&gt;guàiwù&lt;/rt&gt;&lt;/ruby&gt;")</f>
        <v>&lt;ruby&gt;怪物&lt;rt&gt;guàiwù&lt;/rt&gt;&lt;/ruby&gt;</v>
      </c>
      <c r="E1550" s="13" t="str">
        <f ca="1">IFERROR(__xludf.DUMMYFUNCTION("""COMPUTED_VALUE"""),"guàiwù")</f>
        <v>guàiwù</v>
      </c>
      <c r="F1550" s="13" t="str">
        <f ca="1">IFERROR(__xludf.DUMMYFUNCTION("""COMPUTED_VALUE"""),"Danh từ")</f>
        <v>Danh từ</v>
      </c>
      <c r="G1550" s="13" t="str">
        <f ca="1">IFERROR(__xludf.DUMMYFUNCTION("""COMPUTED_VALUE"""),"quái vật")</f>
        <v>quái vật</v>
      </c>
      <c r="H1550" s="13" t="str">
        <f ca="1">IFERROR(__xludf.DUMMYFUNCTION("""COMPUTED_VALUE"""),"电影里的怪物非常可怕，所有人都被吓坏了。")</f>
        <v>电影里的怪物非常可怕，所有人都被吓坏了。</v>
      </c>
      <c r="I1550" s="13"/>
      <c r="J1550" s="13" t="str">
        <f ca="1">IFERROR(__xludf.DUMMYFUNCTION("""COMPUTED_VALUE"""),"Con quái vật trong bộ phim rất đáng sợ, mọi người đều bị nó làm cho hoảng sợ.")</f>
        <v>Con quái vật trong bộ phim rất đáng sợ, mọi người đều bị nó làm cho hoảng sợ.</v>
      </c>
      <c r="K1550" s="13" t="str">
        <f ca="1">IFERROR(__xludf.DUMMYFUNCTION("""COMPUTED_VALUE"""),"H5_B6_BG-25.png")</f>
        <v>H5_B6_BG-25.png</v>
      </c>
      <c r="L1550" s="13" t="str">
        <f ca="1">IFERROR(__xludf.DUMMYFUNCTION("""COMPUTED_VALUE"""),"B6-25.mp3")</f>
        <v>B6-25.mp3</v>
      </c>
      <c r="M1550" s="13" t="str">
        <f ca="1">IFERROR(__xludf.DUMMYFUNCTION("""COMPUTED_VALUE"""),"B6_VD_25.mp3")</f>
        <v>B6_VD_25.mp3</v>
      </c>
    </row>
    <row r="1551" spans="1:13">
      <c r="A1551" s="13">
        <f ca="1">IFERROR(__xludf.DUMMYFUNCTION("""COMPUTED_VALUE"""),26)</f>
        <v>26</v>
      </c>
      <c r="B1551" s="13"/>
      <c r="C1551" s="13" t="str">
        <f ca="1">IFERROR(__xludf.DUMMYFUNCTION("""COMPUTED_VALUE"""),"箭")</f>
        <v>箭</v>
      </c>
      <c r="D1551" s="13" t="str">
        <f ca="1">IFERROR(__xludf.DUMMYFUNCTION("""COMPUTED_VALUE"""),"&lt;ruby&gt;箭&lt;rt&gt;jiàn&lt;/rt&gt;&lt;/ruby&gt;")</f>
        <v>&lt;ruby&gt;箭&lt;rt&gt;jiàn&lt;/rt&gt;&lt;/ruby&gt;</v>
      </c>
      <c r="E1551" s="13" t="str">
        <f ca="1">IFERROR(__xludf.DUMMYFUNCTION("""COMPUTED_VALUE"""),"jiàn")</f>
        <v>jiàn</v>
      </c>
      <c r="F1551" s="13" t="str">
        <f ca="1">IFERROR(__xludf.DUMMYFUNCTION("""COMPUTED_VALUE"""),"Danh từ")</f>
        <v>Danh từ</v>
      </c>
      <c r="G1551" s="13" t="str">
        <f ca="1">IFERROR(__xludf.DUMMYFUNCTION("""COMPUTED_VALUE"""),"mũi tên")</f>
        <v>mũi tên</v>
      </c>
      <c r="H1551" s="13" t="str">
        <f ca="1">IFERROR(__xludf.DUMMYFUNCTION("""COMPUTED_VALUE"""),"这支箭的设计非常精美，看起来像一件艺术品。")</f>
        <v>这支箭的设计非常精美，看起来像一件艺术品。</v>
      </c>
      <c r="I1551" s="13"/>
      <c r="J1551" s="13" t="str">
        <f ca="1">IFERROR(__xludf.DUMMYFUNCTION("""COMPUTED_VALUE"""),"Mũi tên này được thiết kế rất tinh xảo, trông giống như một tác phẩm nghệ thuật.")</f>
        <v>Mũi tên này được thiết kế rất tinh xảo, trông giống như một tác phẩm nghệ thuật.</v>
      </c>
      <c r="K1551" s="13" t="str">
        <f ca="1">IFERROR(__xludf.DUMMYFUNCTION("""COMPUTED_VALUE"""),"H5_B6_BG-26.png")</f>
        <v>H5_B6_BG-26.png</v>
      </c>
      <c r="L1551" s="13" t="str">
        <f ca="1">IFERROR(__xludf.DUMMYFUNCTION("""COMPUTED_VALUE"""),"B6-26.mp3")</f>
        <v>B6-26.mp3</v>
      </c>
      <c r="M1551" s="13" t="str">
        <f ca="1">IFERROR(__xludf.DUMMYFUNCTION("""COMPUTED_VALUE"""),"B6_VD_26.mp3")</f>
        <v>B6_VD_26.mp3</v>
      </c>
    </row>
    <row r="1552" spans="1:13">
      <c r="A1552" s="13">
        <f ca="1">IFERROR(__xludf.DUMMYFUNCTION("""COMPUTED_VALUE"""),27)</f>
        <v>27</v>
      </c>
      <c r="B1552" s="13"/>
      <c r="C1552" s="13" t="str">
        <f ca="1">IFERROR(__xludf.DUMMYFUNCTION("""COMPUTED_VALUE"""),"英雄")</f>
        <v>英雄</v>
      </c>
      <c r="D1552" s="13" t="str">
        <f ca="1">IFERROR(__xludf.DUMMYFUNCTION("""COMPUTED_VALUE"""),"&lt;ruby&gt;英雄&lt;rt&gt;yīngxióng&lt;/rt&gt;&lt;/ruby&gt;")</f>
        <v>&lt;ruby&gt;英雄&lt;rt&gt;yīngxióng&lt;/rt&gt;&lt;/ruby&gt;</v>
      </c>
      <c r="E1552" s="13" t="str">
        <f ca="1">IFERROR(__xludf.DUMMYFUNCTION("""COMPUTED_VALUE"""),"yīngxióng")</f>
        <v>yīngxióng</v>
      </c>
      <c r="F1552" s="13" t="str">
        <f ca="1">IFERROR(__xludf.DUMMYFUNCTION("""COMPUTED_VALUE"""),"Danh từ")</f>
        <v>Danh từ</v>
      </c>
      <c r="G1552" s="13" t="str">
        <f ca="1">IFERROR(__xludf.DUMMYFUNCTION("""COMPUTED_VALUE"""),"anh hùng")</f>
        <v>anh hùng</v>
      </c>
      <c r="H1552" s="13" t="str">
        <f ca="1">IFERROR(__xludf.DUMMYFUNCTION("""COMPUTED_VALUE"""),"他希望将来能成为一个英雄，保护大家。")</f>
        <v>他希望将来能成为一个英雄，保护大家。</v>
      </c>
      <c r="I1552" s="13"/>
      <c r="J1552" s="13" t="str">
        <f ca="1">IFERROR(__xludf.DUMMYFUNCTION("""COMPUTED_VALUE"""),"Cậu ấy mong rằng sau này mình sẽ là anh hùng bảo vệ mọi người.")</f>
        <v>Cậu ấy mong rằng sau này mình sẽ là anh hùng bảo vệ mọi người.</v>
      </c>
      <c r="K1552" s="13" t="str">
        <f ca="1">IFERROR(__xludf.DUMMYFUNCTION("""COMPUTED_VALUE"""),"H5_B6_BG-27.png")</f>
        <v>H5_B6_BG-27.png</v>
      </c>
      <c r="L1552" s="13" t="str">
        <f ca="1">IFERROR(__xludf.DUMMYFUNCTION("""COMPUTED_VALUE"""),"B6-27.mp3")</f>
        <v>B6-27.mp3</v>
      </c>
      <c r="M1552" s="13" t="str">
        <f ca="1">IFERROR(__xludf.DUMMYFUNCTION("""COMPUTED_VALUE"""),"B6_VD_27.mp3")</f>
        <v>B6_VD_27.mp3</v>
      </c>
    </row>
    <row r="1553" spans="1:13">
      <c r="A1553" s="13">
        <f ca="1">IFERROR(__xludf.DUMMYFUNCTION("""COMPUTED_VALUE"""),28)</f>
        <v>28</v>
      </c>
      <c r="B1553" s="13"/>
      <c r="C1553" s="13" t="str">
        <f ca="1">IFERROR(__xludf.DUMMYFUNCTION("""COMPUTED_VALUE"""),"表达")</f>
        <v>表达</v>
      </c>
      <c r="D1553" s="13" t="str">
        <f ca="1">IFERROR(__xludf.DUMMYFUNCTION("""COMPUTED_VALUE"""),"&lt;ruby&gt;表达&lt;rt&gt;biǎodá&lt;/rt&gt;&lt;/ruby&gt;")</f>
        <v>&lt;ruby&gt;表达&lt;rt&gt;biǎodá&lt;/rt&gt;&lt;/ruby&gt;</v>
      </c>
      <c r="E1553" s="13" t="str">
        <f ca="1">IFERROR(__xludf.DUMMYFUNCTION("""COMPUTED_VALUE"""),"biǎodá")</f>
        <v>biǎodá</v>
      </c>
      <c r="F1553" s="13" t="str">
        <f ca="1">IFERROR(__xludf.DUMMYFUNCTION("""COMPUTED_VALUE"""),"Động từ")</f>
        <v>Động từ</v>
      </c>
      <c r="G1553" s="13" t="str">
        <f ca="1">IFERROR(__xludf.DUMMYFUNCTION("""COMPUTED_VALUE"""),"bày tỏ, giãi bày")</f>
        <v>bày tỏ, giãi bày</v>
      </c>
      <c r="H1553" s="13" t="str">
        <f ca="1">IFERROR(__xludf.DUMMYFUNCTION("""COMPUTED_VALUE"""),"我用绘画表达对大自然的热爱。")</f>
        <v>我用绘画表达对大自然的热爱。</v>
      </c>
      <c r="I1553" s="13"/>
      <c r="J1553" s="13" t="str">
        <f ca="1">IFERROR(__xludf.DUMMYFUNCTION("""COMPUTED_VALUE"""),"Tôi dùng hội họa để bày tỏ tình yêu với thiên nhiên.")</f>
        <v>Tôi dùng hội họa để bày tỏ tình yêu với thiên nhiên.</v>
      </c>
      <c r="K1553" s="13" t="str">
        <f ca="1">IFERROR(__xludf.DUMMYFUNCTION("""COMPUTED_VALUE"""),"H5_B6_BG-28.png")</f>
        <v>H5_B6_BG-28.png</v>
      </c>
      <c r="L1553" s="13" t="str">
        <f ca="1">IFERROR(__xludf.DUMMYFUNCTION("""COMPUTED_VALUE"""),"B6-28.mp3")</f>
        <v>B6-28.mp3</v>
      </c>
      <c r="M1553" s="13" t="str">
        <f ca="1">IFERROR(__xludf.DUMMYFUNCTION("""COMPUTED_VALUE"""),"B6_VD_28.mp3")</f>
        <v>B6_VD_28.mp3</v>
      </c>
    </row>
    <row r="1554" spans="1:13">
      <c r="A1554" s="13">
        <f ca="1">IFERROR(__xludf.DUMMYFUNCTION("""COMPUTED_VALUE"""),29)</f>
        <v>29</v>
      </c>
      <c r="B1554" s="13"/>
      <c r="C1554" s="13" t="str">
        <f ca="1">IFERROR(__xludf.DUMMYFUNCTION("""COMPUTED_VALUE"""),"骨（头）")</f>
        <v>骨（头）</v>
      </c>
      <c r="D1554" s="13" t="str">
        <f ca="1">IFERROR(__xludf.DUMMYFUNCTION("""COMPUTED_VALUE"""),"&lt;ruby&gt;骨（头）&lt;rt&gt;gŭ (tou)&lt;/rt&gt;&lt;/ruby&gt;")</f>
        <v>&lt;ruby&gt;骨（头）&lt;rt&gt;gŭ (tou)&lt;/rt&gt;&lt;/ruby&gt;</v>
      </c>
      <c r="E1554" s="13" t="str">
        <f ca="1">IFERROR(__xludf.DUMMYFUNCTION("""COMPUTED_VALUE"""),"gŭ (tou)")</f>
        <v>gŭ (tou)</v>
      </c>
      <c r="F1554" s="13" t="str">
        <f ca="1">IFERROR(__xludf.DUMMYFUNCTION("""COMPUTED_VALUE"""),"Danh từ")</f>
        <v>Danh từ</v>
      </c>
      <c r="G1554" s="13" t="str">
        <f ca="1">IFERROR(__xludf.DUMMYFUNCTION("""COMPUTED_VALUE"""),"xương")</f>
        <v>xương</v>
      </c>
      <c r="H1554" s="13" t="str">
        <f ca="1">IFERROR(__xludf.DUMMYFUNCTION("""COMPUTED_VALUE"""),"他摔倒时骨头断了，胳膊现在还在打石膏。")</f>
        <v>他摔倒时骨头断了，胳膊现在还在打石膏。</v>
      </c>
      <c r="I1554" s="13"/>
      <c r="J1554" s="13" t="str">
        <f ca="1">IFERROR(__xludf.DUMMYFUNCTION("""COMPUTED_VALUE"""),"Anh ấy ngã và đập mạnh xuống đất, kết quả là bj gãy tay.")</f>
        <v>Anh ấy ngã và đập mạnh xuống đất, kết quả là bj gãy tay.</v>
      </c>
      <c r="K1554" s="13" t="str">
        <f ca="1">IFERROR(__xludf.DUMMYFUNCTION("""COMPUTED_VALUE"""),"H5_B6_BG-29.png")</f>
        <v>H5_B6_BG-29.png</v>
      </c>
      <c r="L1554" s="13" t="str">
        <f ca="1">IFERROR(__xludf.DUMMYFUNCTION("""COMPUTED_VALUE"""),"B6-29.mp3")</f>
        <v>B6-29.mp3</v>
      </c>
      <c r="M1554" s="13" t="str">
        <f ca="1">IFERROR(__xludf.DUMMYFUNCTION("""COMPUTED_VALUE"""),"B6_VD_29.mp3")</f>
        <v>B6_VD_29.mp3</v>
      </c>
    </row>
    <row r="1555" spans="1:13">
      <c r="A1555" s="13">
        <f ca="1">IFERROR(__xludf.DUMMYFUNCTION("""COMPUTED_VALUE"""),30)</f>
        <v>30</v>
      </c>
      <c r="B1555" s="13"/>
      <c r="C1555" s="13" t="str">
        <f ca="1">IFERROR(__xludf.DUMMYFUNCTION("""COMPUTED_VALUE"""),"果然")</f>
        <v>果然</v>
      </c>
      <c r="D1555" s="13" t="str">
        <f ca="1">IFERROR(__xludf.DUMMYFUNCTION("""COMPUTED_VALUE"""),"&lt;ruby&gt;果然&lt;rt&gt;guǒrán&lt;/rt&gt;&lt;/ruby&gt;")</f>
        <v>&lt;ruby&gt;果然&lt;rt&gt;guǒrán&lt;/rt&gt;&lt;/ruby&gt;</v>
      </c>
      <c r="E1555" s="13" t="str">
        <f ca="1">IFERROR(__xludf.DUMMYFUNCTION("""COMPUTED_VALUE"""),"guǒrán")</f>
        <v>guǒrán</v>
      </c>
      <c r="F1555" s="13" t="str">
        <f ca="1">IFERROR(__xludf.DUMMYFUNCTION("""COMPUTED_VALUE"""),"Phó từ")</f>
        <v>Phó từ</v>
      </c>
      <c r="G1555" s="13" t="str">
        <f ca="1">IFERROR(__xludf.DUMMYFUNCTION("""COMPUTED_VALUE"""),"quả nhiên")</f>
        <v>quả nhiên</v>
      </c>
      <c r="H1555" s="13" t="str">
        <f ca="1">IFERROR(__xludf.DUMMYFUNCTION("""COMPUTED_VALUE"""),"果然，他赢得了比赛，大家都为他感到骄傲。")</f>
        <v>果然，他赢得了比赛，大家都为他感到骄傲。</v>
      </c>
      <c r="I1555" s="13"/>
      <c r="J1555" s="13" t="str">
        <f ca="1">IFERROR(__xludf.DUMMYFUNCTION("""COMPUTED_VALUE"""),"Quả nhiên anh ấy đã giành chiến thắng trong cuộc thi, mọi người đều cảm thấy tự hào về anh ấy.")</f>
        <v>Quả nhiên anh ấy đã giành chiến thắng trong cuộc thi, mọi người đều cảm thấy tự hào về anh ấy.</v>
      </c>
      <c r="K1555" s="13" t="str">
        <f ca="1">IFERROR(__xludf.DUMMYFUNCTION("""COMPUTED_VALUE"""),"H5_B6_BG-30.png")</f>
        <v>H5_B6_BG-30.png</v>
      </c>
      <c r="L1555" s="13" t="str">
        <f ca="1">IFERROR(__xludf.DUMMYFUNCTION("""COMPUTED_VALUE"""),"B6-30.mp3")</f>
        <v>B6-30.mp3</v>
      </c>
      <c r="M1555" s="13" t="str">
        <f ca="1">IFERROR(__xludf.DUMMYFUNCTION("""COMPUTED_VALUE"""),"B6_VD_30.mp3")</f>
        <v>B6_VD_30.mp3</v>
      </c>
    </row>
    <row r="1556" spans="1:13">
      <c r="A1556" s="13">
        <f ca="1">IFERROR(__xludf.DUMMYFUNCTION("""COMPUTED_VALUE"""),31)</f>
        <v>31</v>
      </c>
      <c r="B1556" s="13"/>
      <c r="C1556" s="13" t="str">
        <f ca="1">IFERROR(__xludf.DUMMYFUNCTION("""COMPUTED_VALUE"""),"恨")</f>
        <v>恨</v>
      </c>
      <c r="D1556" s="13" t="str">
        <f ca="1">IFERROR(__xludf.DUMMYFUNCTION("""COMPUTED_VALUE"""),"&lt;ruby&gt;恨&lt;rt&gt;hèn&lt;/rt&gt;&lt;/ruby&gt;")</f>
        <v>&lt;ruby&gt;恨&lt;rt&gt;hèn&lt;/rt&gt;&lt;/ruby&gt;</v>
      </c>
      <c r="E1556" s="13" t="str">
        <f ca="1">IFERROR(__xludf.DUMMYFUNCTION("""COMPUTED_VALUE"""),"hèn")</f>
        <v>hèn</v>
      </c>
      <c r="F1556" s="13" t="str">
        <f ca="1">IFERROR(__xludf.DUMMYFUNCTION("""COMPUTED_VALUE"""),"Động từ")</f>
        <v>Động từ</v>
      </c>
      <c r="G1556" s="13" t="str">
        <f ca="1">IFERROR(__xludf.DUMMYFUNCTION("""COMPUTED_VALUE"""),"oán hận, căm ghét")</f>
        <v>oán hận, căm ghét</v>
      </c>
      <c r="H1556" s="13" t="str">
        <f ca="1">IFERROR(__xludf.DUMMYFUNCTION("""COMPUTED_VALUE"""),"他恨那只老鼠，因为它偷走了他的面包。")</f>
        <v>他恨那只老鼠，因为它偷走了他的面包。</v>
      </c>
      <c r="I1556" s="13"/>
      <c r="J1556" s="13" t="str">
        <f ca="1">IFERROR(__xludf.DUMMYFUNCTION("""COMPUTED_VALUE"""),"Anh ấy căm ghét con chuột đó vì nó đã ăn trộm chiếc bánh mì của anh ấy.")</f>
        <v>Anh ấy căm ghét con chuột đó vì nó đã ăn trộm chiếc bánh mì của anh ấy.</v>
      </c>
      <c r="K1556" s="13" t="str">
        <f ca="1">IFERROR(__xludf.DUMMYFUNCTION("""COMPUTED_VALUE"""),"H5_B6_BG-31.png")</f>
        <v>H5_B6_BG-31.png</v>
      </c>
      <c r="L1556" s="13" t="str">
        <f ca="1">IFERROR(__xludf.DUMMYFUNCTION("""COMPUTED_VALUE"""),"B6-31.mp3")</f>
        <v>B6-31.mp3</v>
      </c>
      <c r="M1556" s="13" t="str">
        <f ca="1">IFERROR(__xludf.DUMMYFUNCTION("""COMPUTED_VALUE"""),"B6_VD_31.mp3")</f>
        <v>B6_VD_31.mp3</v>
      </c>
    </row>
    <row r="1557" spans="1:13">
      <c r="A1557" s="13">
        <f ca="1">IFERROR(__xludf.DUMMYFUNCTION("""COMPUTED_VALUE"""),32)</f>
        <v>32</v>
      </c>
      <c r="B1557" s="13"/>
      <c r="C1557" s="13" t="str">
        <f ca="1">IFERROR(__xludf.DUMMYFUNCTION("""COMPUTED_VALUE"""),"伤害")</f>
        <v>伤害</v>
      </c>
      <c r="D1557" s="13" t="str">
        <f ca="1">IFERROR(__xludf.DUMMYFUNCTION("""COMPUTED_VALUE"""),"&lt;ruby&gt;伤害&lt;rt&gt;shānghài&lt;/rt&gt;&lt;/ruby&gt;")</f>
        <v>&lt;ruby&gt;伤害&lt;rt&gt;shānghài&lt;/rt&gt;&lt;/ruby&gt;</v>
      </c>
      <c r="E1557" s="13" t="str">
        <f ca="1">IFERROR(__xludf.DUMMYFUNCTION("""COMPUTED_VALUE"""),"shānghài")</f>
        <v>shānghài</v>
      </c>
      <c r="F1557" s="13" t="str">
        <f ca="1">IFERROR(__xludf.DUMMYFUNCTION("""COMPUTED_VALUE"""),"Động từ")</f>
        <v>Động từ</v>
      </c>
      <c r="G1557" s="13" t="str">
        <f ca="1">IFERROR(__xludf.DUMMYFUNCTION("""COMPUTED_VALUE"""),"làm hại")</f>
        <v>làm hại</v>
      </c>
      <c r="H1557" s="13" t="str">
        <f ca="1">IFERROR(__xludf.DUMMYFUNCTION("""COMPUTED_VALUE"""),"他的话伤害了她的感情。")</f>
        <v>他的话伤害了她的感情。</v>
      </c>
      <c r="I1557" s="13"/>
      <c r="J1557" s="13" t="str">
        <f ca="1">IFERROR(__xludf.DUMMYFUNCTION("""COMPUTED_VALUE"""),"Những lời anh ấy nói đã làm tổn thương cảm xúc của cô ấy.")</f>
        <v>Những lời anh ấy nói đã làm tổn thương cảm xúc của cô ấy.</v>
      </c>
      <c r="K1557" s="13" t="str">
        <f ca="1">IFERROR(__xludf.DUMMYFUNCTION("""COMPUTED_VALUE"""),"H5_B6_BG-32.png")</f>
        <v>H5_B6_BG-32.png</v>
      </c>
      <c r="L1557" s="13" t="str">
        <f ca="1">IFERROR(__xludf.DUMMYFUNCTION("""COMPUTED_VALUE"""),"B6-32.mp3")</f>
        <v>B6-32.mp3</v>
      </c>
      <c r="M1557" s="13" t="str">
        <f ca="1">IFERROR(__xludf.DUMMYFUNCTION("""COMPUTED_VALUE"""),"B6_VD_32.mp3")</f>
        <v>B6_VD_32.mp3</v>
      </c>
    </row>
    <row r="1558" spans="1:13">
      <c r="A1558" s="13">
        <f ca="1">IFERROR(__xludf.DUMMYFUNCTION("""COMPUTED_VALUE"""),33)</f>
        <v>33</v>
      </c>
      <c r="B1558" s="13"/>
      <c r="C1558" s="13" t="str">
        <f ca="1">IFERROR(__xludf.DUMMYFUNCTION("""COMPUTED_VALUE"""),"似的")</f>
        <v>似的</v>
      </c>
      <c r="D1558" s="13" t="str">
        <f ca="1">IFERROR(__xludf.DUMMYFUNCTION("""COMPUTED_VALUE"""),"&lt;ruby&gt;似的&lt;rt&gt;shide&lt;/rt&gt;&lt;/ruby&gt;")</f>
        <v>&lt;ruby&gt;似的&lt;rt&gt;shide&lt;/rt&gt;&lt;/ruby&gt;</v>
      </c>
      <c r="E1558" s="13" t="str">
        <f ca="1">IFERROR(__xludf.DUMMYFUNCTION("""COMPUTED_VALUE"""),"shide")</f>
        <v>shide</v>
      </c>
      <c r="F1558" s="13" t="str">
        <f ca="1">IFERROR(__xludf.DUMMYFUNCTION("""COMPUTED_VALUE"""),"trợ.")</f>
        <v>trợ.</v>
      </c>
      <c r="G1558" s="13" t="str">
        <f ca="1">IFERROR(__xludf.DUMMYFUNCTION("""COMPUTED_VALUE"""),"(chỉ sự giống nhau) dường như, tựa như")</f>
        <v>(chỉ sự giống nhau) dường như, tựa như</v>
      </c>
      <c r="H1558" s="13" t="str">
        <f ca="1">IFERROR(__xludf.DUMMYFUNCTION("""COMPUTED_VALUE"""),"他跑得像风似的，完全追不上。")</f>
        <v>他跑得像风似的，完全追不上。</v>
      </c>
      <c r="I1558" s="13"/>
      <c r="J1558" s="13" t="str">
        <f ca="1">IFERROR(__xludf.DUMMYFUNCTION("""COMPUTED_VALUE"""),"Anh ấy chạy nhanh như gió, hoàn toàn không thể đuổi kịp.")</f>
        <v>Anh ấy chạy nhanh như gió, hoàn toàn không thể đuổi kịp.</v>
      </c>
      <c r="K1558" s="13" t="str">
        <f ca="1">IFERROR(__xludf.DUMMYFUNCTION("""COMPUTED_VALUE"""),"H5_B6_BG-33.png")</f>
        <v>H5_B6_BG-33.png</v>
      </c>
      <c r="L1558" s="13" t="str">
        <f ca="1">IFERROR(__xludf.DUMMYFUNCTION("""COMPUTED_VALUE"""),"B6-33.mp3")</f>
        <v>B6-33.mp3</v>
      </c>
      <c r="M1558" s="13" t="str">
        <f ca="1">IFERROR(__xludf.DUMMYFUNCTION("""COMPUTED_VALUE"""),"B6_VD_33.mp3")</f>
        <v>B6_VD_33.mp3</v>
      </c>
    </row>
    <row r="1559" spans="1:13">
      <c r="A1559" s="13">
        <f ca="1">IFERROR(__xludf.DUMMYFUNCTION("""COMPUTED_VALUE"""),34)</f>
        <v>34</v>
      </c>
      <c r="B1559" s="13"/>
      <c r="C1559" s="13" t="str">
        <f ca="1">IFERROR(__xludf.DUMMYFUNCTION("""COMPUTED_VALUE"""),"说不定")</f>
        <v>说不定</v>
      </c>
      <c r="D1559" s="13" t="str">
        <f ca="1">IFERROR(__xludf.DUMMYFUNCTION("""COMPUTED_VALUE"""),"&lt;ruby&gt;说不定&lt;rt&gt;shuōbuding&lt;/rt&gt;&lt;/ruby&gt;")</f>
        <v>&lt;ruby&gt;说不定&lt;rt&gt;shuōbuding&lt;/rt&gt;&lt;/ruby&gt;</v>
      </c>
      <c r="E1559" s="13" t="str">
        <f ca="1">IFERROR(__xludf.DUMMYFUNCTION("""COMPUTED_VALUE"""),"shuōbuding")</f>
        <v>shuōbuding</v>
      </c>
      <c r="F1559" s="13" t="str">
        <f ca="1">IFERROR(__xludf.DUMMYFUNCTION("""COMPUTED_VALUE"""),"Phó từ")</f>
        <v>Phó từ</v>
      </c>
      <c r="G1559" s="13" t="str">
        <f ca="1">IFERROR(__xludf.DUMMYFUNCTION("""COMPUTED_VALUE"""),"có lẽ, có thể")</f>
        <v>có lẽ, có thể</v>
      </c>
      <c r="H1559" s="13" t="str">
        <f ca="1">IFERROR(__xludf.DUMMYFUNCTION("""COMPUTED_VALUE"""),"说不定明天会下雨，最好带把伞。")</f>
        <v>说不定明天会下雨，最好带把伞。</v>
      </c>
      <c r="I1559" s="13"/>
      <c r="J1559" s="13" t="str">
        <f ca="1">IFERROR(__xludf.DUMMYFUNCTION("""COMPUTED_VALUE"""),"Có lẽ ngày mai sẽ mưa, tốt nhất là mang theo ô.")</f>
        <v>Có lẽ ngày mai sẽ mưa, tốt nhất là mang theo ô.</v>
      </c>
      <c r="K1559" s="13" t="str">
        <f ca="1">IFERROR(__xludf.DUMMYFUNCTION("""COMPUTED_VALUE"""),"H5_B6_BG-34.png")</f>
        <v>H5_B6_BG-34.png</v>
      </c>
      <c r="L1559" s="13" t="str">
        <f ca="1">IFERROR(__xludf.DUMMYFUNCTION("""COMPUTED_VALUE"""),"B6-34.mp3")</f>
        <v>B6-34.mp3</v>
      </c>
      <c r="M1559" s="13" t="str">
        <f ca="1">IFERROR(__xludf.DUMMYFUNCTION("""COMPUTED_VALUE"""),"B6_VD_34.mp3")</f>
        <v>B6_VD_34.mp3</v>
      </c>
    </row>
    <row r="1560" spans="1:13">
      <c r="A1560" s="13">
        <f ca="1">IFERROR(__xludf.DUMMYFUNCTION("""COMPUTED_VALUE"""),35)</f>
        <v>35</v>
      </c>
      <c r="B1560" s="13"/>
      <c r="C1560" s="13" t="str">
        <f ca="1">IFERROR(__xludf.DUMMYFUNCTION("""COMPUTED_VALUE"""),"天真")</f>
        <v>天真</v>
      </c>
      <c r="D1560" s="13" t="str">
        <f ca="1">IFERROR(__xludf.DUMMYFUNCTION("""COMPUTED_VALUE"""),"&lt;ruby&gt;天真&lt;rt&gt;tiānzhēn&lt;/rt&gt;&lt;/ruby&gt;")</f>
        <v>&lt;ruby&gt;天真&lt;rt&gt;tiānzhēn&lt;/rt&gt;&lt;/ruby&gt;</v>
      </c>
      <c r="E1560" s="13" t="str">
        <f ca="1">IFERROR(__xludf.DUMMYFUNCTION("""COMPUTED_VALUE"""),"tiānzhēn")</f>
        <v>tiānzhēn</v>
      </c>
      <c r="F1560" s="13" t="str">
        <f ca="1">IFERROR(__xludf.DUMMYFUNCTION("""COMPUTED_VALUE"""),"Tính từ ")</f>
        <v xml:space="preserve">Tính từ </v>
      </c>
      <c r="G1560" s="13" t="str">
        <f ca="1">IFERROR(__xludf.DUMMYFUNCTION("""COMPUTED_VALUE"""),"ngây thơ, hồn nhiên")</f>
        <v>ngây thơ, hồn nhiên</v>
      </c>
      <c r="H1560" s="13" t="str">
        <f ca="1">IFERROR(__xludf.DUMMYFUNCTION("""COMPUTED_VALUE"""),"她天真无邪，眼里充满了对世界的好奇。")</f>
        <v>她天真无邪，眼里充满了对世界的好奇。</v>
      </c>
      <c r="I1560" s="13"/>
      <c r="J1560" s="13" t="str">
        <f ca="1">IFERROR(__xludf.DUMMYFUNCTION("""COMPUTED_VALUE"""),"Cô ấy ngây thơ và trong sáng, đôi mắt đầy sự tò mò với thế giới.")</f>
        <v>Cô ấy ngây thơ và trong sáng, đôi mắt đầy sự tò mò với thế giới.</v>
      </c>
      <c r="K1560" s="13" t="str">
        <f ca="1">IFERROR(__xludf.DUMMYFUNCTION("""COMPUTED_VALUE"""),"H5_B6_BG-35.png")</f>
        <v>H5_B6_BG-35.png</v>
      </c>
      <c r="L1560" s="13" t="str">
        <f ca="1">IFERROR(__xludf.DUMMYFUNCTION("""COMPUTED_VALUE"""),"B6-35.mp3")</f>
        <v>B6-35.mp3</v>
      </c>
      <c r="M1560" s="13" t="str">
        <f ca="1">IFERROR(__xludf.DUMMYFUNCTION("""COMPUTED_VALUE"""),"B6_VD_35.mp3")</f>
        <v>B6_VD_35.mp3</v>
      </c>
    </row>
    <row r="1561" spans="1:13">
      <c r="A1561" s="13">
        <f ca="1">IFERROR(__xludf.DUMMYFUNCTION("""COMPUTED_VALUE"""),36)</f>
        <v>36</v>
      </c>
      <c r="B1561" s="13"/>
      <c r="C1561" s="13" t="str">
        <f ca="1">IFERROR(__xludf.DUMMYFUNCTION("""COMPUTED_VALUE"""),"无奈")</f>
        <v>无奈</v>
      </c>
      <c r="D1561" s="13" t="str">
        <f ca="1">IFERROR(__xludf.DUMMYFUNCTION("""COMPUTED_VALUE"""),"&lt;ruby&gt;无奈&lt;rt&gt;wúnài&lt;/rt&gt;&lt;/ruby&gt;")</f>
        <v>&lt;ruby&gt;无奈&lt;rt&gt;wúnài&lt;/rt&gt;&lt;/ruby&gt;</v>
      </c>
      <c r="E1561" s="13" t="str">
        <f ca="1">IFERROR(__xludf.DUMMYFUNCTION("""COMPUTED_VALUE"""),"wúnài")</f>
        <v>wúnài</v>
      </c>
      <c r="F1561" s="13" t="str">
        <f ca="1">IFERROR(__xludf.DUMMYFUNCTION("""COMPUTED_VALUE"""),"Động từ")</f>
        <v>Động từ</v>
      </c>
      <c r="G1561" s="13" t="str">
        <f ca="1">IFERROR(__xludf.DUMMYFUNCTION("""COMPUTED_VALUE"""),"không biết làm sao, không có cách nào")</f>
        <v>không biết làm sao, không có cách nào</v>
      </c>
      <c r="H1561" s="13" t="str">
        <f ca="1">IFERROR(__xludf.DUMMYFUNCTION("""COMPUTED_VALUE"""),"他因为无法像以前一样走路而感到无奈。")</f>
        <v>他因为无法像以前一样走路而感到无奈。</v>
      </c>
      <c r="I1561" s="13"/>
      <c r="J1561" s="13" t="str">
        <f ca="1">IFERROR(__xludf.DUMMYFUNCTION("""COMPUTED_VALUE"""),"Anh ấy bất lực vì mình không thể đi lại như trước.")</f>
        <v>Anh ấy bất lực vì mình không thể đi lại như trước.</v>
      </c>
      <c r="K1561" s="13" t="str">
        <f ca="1">IFERROR(__xludf.DUMMYFUNCTION("""COMPUTED_VALUE"""),"H5_B6_BG-36.png")</f>
        <v>H5_B6_BG-36.png</v>
      </c>
      <c r="L1561" s="13" t="str">
        <f ca="1">IFERROR(__xludf.DUMMYFUNCTION("""COMPUTED_VALUE"""),"B6-36.mp3")</f>
        <v>B6-36.mp3</v>
      </c>
      <c r="M1561" s="13" t="str">
        <f ca="1">IFERROR(__xludf.DUMMYFUNCTION("""COMPUTED_VALUE"""),"B6_VD_36.mp3")</f>
        <v>B6_VD_36.mp3</v>
      </c>
    </row>
    <row r="1562" spans="1:13">
      <c r="A1562" s="13">
        <f ca="1">IFERROR(__xludf.DUMMYFUNCTION("""COMPUTED_VALUE"""),37)</f>
        <v>37</v>
      </c>
      <c r="B1562" s="13"/>
      <c r="C1562" s="13" t="str">
        <f ca="1">IFERROR(__xludf.DUMMYFUNCTION("""COMPUTED_VALUE"""),"吓")</f>
        <v>吓</v>
      </c>
      <c r="D1562" s="13" t="str">
        <f ca="1">IFERROR(__xludf.DUMMYFUNCTION("""COMPUTED_VALUE"""),"&lt;ruby&gt;吓&lt;rt&gt;xià&lt;/rt&gt;&lt;/ruby&gt;")</f>
        <v>&lt;ruby&gt;吓&lt;rt&gt;xià&lt;/rt&gt;&lt;/ruby&gt;</v>
      </c>
      <c r="E1562" s="13" t="str">
        <f ca="1">IFERROR(__xludf.DUMMYFUNCTION("""COMPUTED_VALUE"""),"xià")</f>
        <v>xià</v>
      </c>
      <c r="F1562" s="13" t="str">
        <f ca="1">IFERROR(__xludf.DUMMYFUNCTION("""COMPUTED_VALUE"""),"Động từ")</f>
        <v>Động từ</v>
      </c>
      <c r="G1562" s="13" t="str">
        <f ca="1">IFERROR(__xludf.DUMMYFUNCTION("""COMPUTED_VALUE"""),"làm cho khiếp sợ")</f>
        <v>làm cho khiếp sợ</v>
      </c>
      <c r="H1562" s="13" t="str">
        <f ca="1">IFERROR(__xludf.DUMMYFUNCTION("""COMPUTED_VALUE"""),"他突然从背后冒出来，吓了我一跳。")</f>
        <v>他突然从背后冒出来，吓了我一跳。</v>
      </c>
      <c r="I1562" s="13"/>
      <c r="J1562" s="13" t="str">
        <f ca="1">IFERROR(__xludf.DUMMYFUNCTION("""COMPUTED_VALUE"""),"Anh ấy đột nhiên xuất hiện từ phía sau, làm tôi khiếp sợ.")</f>
        <v>Anh ấy đột nhiên xuất hiện từ phía sau, làm tôi khiếp sợ.</v>
      </c>
      <c r="K1562" s="13" t="str">
        <f ca="1">IFERROR(__xludf.DUMMYFUNCTION("""COMPUTED_VALUE"""),"H5_B6_BG-37.png")</f>
        <v>H5_B6_BG-37.png</v>
      </c>
      <c r="L1562" s="13" t="str">
        <f ca="1">IFERROR(__xludf.DUMMYFUNCTION("""COMPUTED_VALUE"""),"B6-37.mp3")</f>
        <v>B6-37.mp3</v>
      </c>
      <c r="M1562" s="13" t="str">
        <f ca="1">IFERROR(__xludf.DUMMYFUNCTION("""COMPUTED_VALUE"""),"B6_VD_37.mp3")</f>
        <v>B6_VD_37.mp3</v>
      </c>
    </row>
    <row r="1563" spans="1:13">
      <c r="A1563" s="13">
        <f ca="1">IFERROR(__xludf.DUMMYFUNCTION("""COMPUTED_VALUE"""),38)</f>
        <v>38</v>
      </c>
      <c r="B1563" s="13"/>
      <c r="C1563" s="13" t="str">
        <f ca="1">IFERROR(__xludf.DUMMYFUNCTION("""COMPUTED_VALUE"""),"询问")</f>
        <v>询问</v>
      </c>
      <c r="D1563" s="13" t="str">
        <f ca="1">IFERROR(__xludf.DUMMYFUNCTION("""COMPUTED_VALUE"""),"&lt;ruby&gt;询问&lt;rt&gt;xúnwèn&lt;/rt&gt;&lt;/ruby&gt;")</f>
        <v>&lt;ruby&gt;询问&lt;rt&gt;xúnwèn&lt;/rt&gt;&lt;/ruby&gt;</v>
      </c>
      <c r="E1563" s="13" t="str">
        <f ca="1">IFERROR(__xludf.DUMMYFUNCTION("""COMPUTED_VALUE"""),"xúnwèn")</f>
        <v>xúnwèn</v>
      </c>
      <c r="F1563" s="13" t="str">
        <f ca="1">IFERROR(__xludf.DUMMYFUNCTION("""COMPUTED_VALUE"""),"Động từ")</f>
        <v>Động từ</v>
      </c>
      <c r="G1563" s="13" t="str">
        <f ca="1">IFERROR(__xludf.DUMMYFUNCTION("""COMPUTED_VALUE"""),"hỏi thăm")</f>
        <v>hỏi thăm</v>
      </c>
      <c r="H1563" s="13" t="str">
        <f ca="1">IFERROR(__xludf.DUMMYFUNCTION("""COMPUTED_VALUE"""),"我想询问一下，最近有没有新的工作机会？")</f>
        <v>我想询问一下，最近有没有新的工作机会？</v>
      </c>
      <c r="I1563" s="13"/>
      <c r="J1563" s="13" t="str">
        <f ca="1">IFERROR(__xludf.DUMMYFUNCTION("""COMPUTED_VALUE"""),"Tôi muốn hỏi thăm một chút, gần đây có cơ hội việc làm mới nào không?")</f>
        <v>Tôi muốn hỏi thăm một chút, gần đây có cơ hội việc làm mới nào không?</v>
      </c>
      <c r="K1563" s="13" t="str">
        <f ca="1">IFERROR(__xludf.DUMMYFUNCTION("""COMPUTED_VALUE"""),"H5_B6_BG-38.png")</f>
        <v>H5_B6_BG-38.png</v>
      </c>
      <c r="L1563" s="13" t="str">
        <f ca="1">IFERROR(__xludf.DUMMYFUNCTION("""COMPUTED_VALUE"""),"B6-38.mp3")</f>
        <v>B6-38.mp3</v>
      </c>
      <c r="M1563" s="13" t="str">
        <f ca="1">IFERROR(__xludf.DUMMYFUNCTION("""COMPUTED_VALUE"""),"B6_VD_38.mp3")</f>
        <v>B6_VD_38.mp3</v>
      </c>
    </row>
    <row r="1564" spans="1:13">
      <c r="A1564" s="13">
        <f ca="1">IFERROR(__xludf.DUMMYFUNCTION("""COMPUTED_VALUE"""),39)</f>
        <v>39</v>
      </c>
      <c r="B1564" s="13"/>
      <c r="C1564" s="13" t="str">
        <f ca="1">IFERROR(__xludf.DUMMYFUNCTION("""COMPUTED_VALUE"""),"咬")</f>
        <v>咬</v>
      </c>
      <c r="D1564" s="13" t="str">
        <f ca="1">IFERROR(__xludf.DUMMYFUNCTION("""COMPUTED_VALUE"""),"&lt;ruby&gt;咬&lt;rt&gt;yǎo&lt;/rt&gt;&lt;/ruby&gt;")</f>
        <v>&lt;ruby&gt;咬&lt;rt&gt;yǎo&lt;/rt&gt;&lt;/ruby&gt;</v>
      </c>
      <c r="E1564" s="13" t="str">
        <f ca="1">IFERROR(__xludf.DUMMYFUNCTION("""COMPUTED_VALUE"""),"yǎo")</f>
        <v>yǎo</v>
      </c>
      <c r="F1564" s="13" t="str">
        <f ca="1">IFERROR(__xludf.DUMMYFUNCTION("""COMPUTED_VALUE"""),"Động từ")</f>
        <v>Động từ</v>
      </c>
      <c r="G1564" s="13" t="str">
        <f ca="1">IFERROR(__xludf.DUMMYFUNCTION("""COMPUTED_VALUE"""),"cắn")</f>
        <v>cắn</v>
      </c>
      <c r="H1564" s="13" t="str">
        <f ca="1">IFERROR(__xludf.DUMMYFUNCTION("""COMPUTED_VALUE"""),"那只狗突然咬了他一口，幸好没有受伤。")</f>
        <v>那只狗突然咬了他一口，幸好没有受伤。</v>
      </c>
      <c r="I1564" s="13"/>
      <c r="J1564" s="13" t="str">
        <f ca="1">IFERROR(__xludf.DUMMYFUNCTION("""COMPUTED_VALUE"""),"Con chó đó đột nhiên cắn anh ấy một cái, may mà không bị thương.")</f>
        <v>Con chó đó đột nhiên cắn anh ấy một cái, may mà không bị thương.</v>
      </c>
      <c r="K1564" s="13" t="str">
        <f ca="1">IFERROR(__xludf.DUMMYFUNCTION("""COMPUTED_VALUE"""),"H5_B6_BG-39.png")</f>
        <v>H5_B6_BG-39.png</v>
      </c>
      <c r="L1564" s="13" t="str">
        <f ca="1">IFERROR(__xludf.DUMMYFUNCTION("""COMPUTED_VALUE"""),"B6-39.mp3")</f>
        <v>B6-39.mp3</v>
      </c>
      <c r="M1564" s="13" t="str">
        <f ca="1">IFERROR(__xludf.DUMMYFUNCTION("""COMPUTED_VALUE"""),"B6_VD_39.mp3")</f>
        <v>B6_VD_39.mp3</v>
      </c>
    </row>
    <row r="1565" spans="1:13">
      <c r="A1565" s="13">
        <f ca="1">IFERROR(__xludf.DUMMYFUNCTION("""COMPUTED_VALUE"""),40)</f>
        <v>40</v>
      </c>
      <c r="B1565" s="13"/>
      <c r="C1565" s="13" t="str">
        <f ca="1">IFERROR(__xludf.DUMMYFUNCTION("""COMPUTED_VALUE"""),"意义")</f>
        <v>意义</v>
      </c>
      <c r="D1565" s="13" t="str">
        <f ca="1">IFERROR(__xludf.DUMMYFUNCTION("""COMPUTED_VALUE"""),"&lt;ruby&gt;意义&lt;rt&gt;yiyi&lt;/rt&gt;&lt;/ruby&gt;")</f>
        <v>&lt;ruby&gt;意义&lt;rt&gt;yiyi&lt;/rt&gt;&lt;/ruby&gt;</v>
      </c>
      <c r="E1565" s="13" t="str">
        <f ca="1">IFERROR(__xludf.DUMMYFUNCTION("""COMPUTED_VALUE"""),"yiyi")</f>
        <v>yiyi</v>
      </c>
      <c r="F1565" s="13" t="str">
        <f ca="1">IFERROR(__xludf.DUMMYFUNCTION("""COMPUTED_VALUE"""),"Danh từ")</f>
        <v>Danh từ</v>
      </c>
      <c r="G1565" s="13" t="str">
        <f ca="1">IFERROR(__xludf.DUMMYFUNCTION("""COMPUTED_VALUE"""),"ý nghĩa, tầm quan trọng")</f>
        <v>ý nghĩa, tầm quan trọng</v>
      </c>
      <c r="H1565" s="13" t="str">
        <f ca="1">IFERROR(__xludf.DUMMYFUNCTION("""COMPUTED_VALUE"""),"这次旅行对我来说有着特别的意义。")</f>
        <v>这次旅行对我来说有着特别的意义。</v>
      </c>
      <c r="I1565" s="13"/>
      <c r="J1565" s="13" t="str">
        <f ca="1">IFERROR(__xludf.DUMMYFUNCTION("""COMPUTED_VALUE"""),"Chuyến đi này đối với tôi có một ý nghĩa đặc biệt.")</f>
        <v>Chuyến đi này đối với tôi có một ý nghĩa đặc biệt.</v>
      </c>
      <c r="K1565" s="13" t="str">
        <f ca="1">IFERROR(__xludf.DUMMYFUNCTION("""COMPUTED_VALUE"""),"H5_B6_BG-40.png")</f>
        <v>H5_B6_BG-40.png</v>
      </c>
      <c r="L1565" s="13" t="str">
        <f ca="1">IFERROR(__xludf.DUMMYFUNCTION("""COMPUTED_VALUE"""),"B6-40.mp3")</f>
        <v>B6-40.mp3</v>
      </c>
      <c r="M1565" s="13" t="str">
        <f ca="1">IFERROR(__xludf.DUMMYFUNCTION("""COMPUTED_VALUE"""),"B6_VD_40.mp3")</f>
        <v>B6_VD_40.mp3</v>
      </c>
    </row>
    <row r="1566" spans="1:13">
      <c r="A1566" s="13">
        <f ca="1">IFERROR(__xludf.DUMMYFUNCTION("""COMPUTED_VALUE"""),41)</f>
        <v>41</v>
      </c>
      <c r="B1566" s="13"/>
      <c r="C1566" s="13" t="str">
        <f ca="1">IFERROR(__xludf.DUMMYFUNCTION("""COMPUTED_VALUE"""),"英俊")</f>
        <v>英俊</v>
      </c>
      <c r="D1566" s="13" t="str">
        <f ca="1">IFERROR(__xludf.DUMMYFUNCTION("""COMPUTED_VALUE"""),"&lt;ruby&gt;英俊&lt;rt&gt;yīngjùn&lt;/rt&gt;&lt;/ruby&gt;")</f>
        <v>&lt;ruby&gt;英俊&lt;rt&gt;yīngjùn&lt;/rt&gt;&lt;/ruby&gt;</v>
      </c>
      <c r="E1566" s="13" t="str">
        <f ca="1">IFERROR(__xludf.DUMMYFUNCTION("""COMPUTED_VALUE"""),"yīngjùn")</f>
        <v>yīngjùn</v>
      </c>
      <c r="F1566" s="13" t="str">
        <f ca="1">IFERROR(__xludf.DUMMYFUNCTION("""COMPUTED_VALUE"""),"Tính từ ")</f>
        <v xml:space="preserve">Tính từ </v>
      </c>
      <c r="G1566" s="13" t="str">
        <f ca="1">IFERROR(__xludf.DUMMYFUNCTION("""COMPUTED_VALUE"""),"anh tuấn, khôi ngô")</f>
        <v>anh tuấn, khôi ngô</v>
      </c>
      <c r="H1566" s="13" t="str">
        <f ca="1">IFERROR(__xludf.DUMMYFUNCTION("""COMPUTED_VALUE"""),"他是个英俊的小伙子，经常吸引大家的目光。")</f>
        <v>他是个英俊的小伙子，经常吸引大家的目光。</v>
      </c>
      <c r="I1566" s="13"/>
      <c r="J1566" s="13" t="str">
        <f ca="1">IFERROR(__xludf.DUMMYFUNCTION("""COMPUTED_VALUE"""),"Anh ấy là một chàng trai khôi ngô, thường xuyên thu hút ánh nhìn của mọi người.")</f>
        <v>Anh ấy là một chàng trai khôi ngô, thường xuyên thu hút ánh nhìn của mọi người.</v>
      </c>
      <c r="K1566" s="13" t="str">
        <f ca="1">IFERROR(__xludf.DUMMYFUNCTION("""COMPUTED_VALUE"""),"H5_B6_BG-41.png")</f>
        <v>H5_B6_BG-41.png</v>
      </c>
      <c r="L1566" s="13" t="str">
        <f ca="1">IFERROR(__xludf.DUMMYFUNCTION("""COMPUTED_VALUE"""),"B6-41.mp3")</f>
        <v>B6-41.mp3</v>
      </c>
      <c r="M1566" s="13" t="str">
        <f ca="1">IFERROR(__xludf.DUMMYFUNCTION("""COMPUTED_VALUE"""),"B6_VD_41.mp3")</f>
        <v>B6_VD_41.mp3</v>
      </c>
    </row>
    <row r="1567" spans="1:13">
      <c r="A1567" s="13">
        <f ca="1">IFERROR(__xludf.DUMMYFUNCTION("""COMPUTED_VALUE"""),1)</f>
        <v>1</v>
      </c>
      <c r="B1567" s="13"/>
      <c r="C1567" s="13" t="str">
        <f ca="1">IFERROR(__xludf.DUMMYFUNCTION("""COMPUTED_VALUE"""),"不要紧")</f>
        <v>不要紧</v>
      </c>
      <c r="D1567" s="13" t="str">
        <f ca="1">IFERROR(__xludf.DUMMYFUNCTION("""COMPUTED_VALUE"""),"&lt;ruby&gt;不要紧&lt;rt&gt;bú yàojǐn&lt;/rt&gt;&lt;/ruby&gt;")</f>
        <v>&lt;ruby&gt;不要紧&lt;rt&gt;bú yàojǐn&lt;/rt&gt;&lt;/ruby&gt;</v>
      </c>
      <c r="E1567" s="13" t="str">
        <f ca="1">IFERROR(__xludf.DUMMYFUNCTION("""COMPUTED_VALUE"""),"bú yàojǐn")</f>
        <v>bú yàojǐn</v>
      </c>
      <c r="F1567" s="13"/>
      <c r="G1567" s="13" t="str">
        <f ca="1">IFERROR(__xludf.DUMMYFUNCTION("""COMPUTED_VALUE"""),"không hề gì, không sao cả")</f>
        <v>không hề gì, không sao cả</v>
      </c>
      <c r="H1567" s="13" t="str">
        <f ca="1">IFERROR(__xludf.DUMMYFUNCTION("""COMPUTED_VALUE"""),"我滑了一跤，还好不要紧。")</f>
        <v>我滑了一跤，还好不要紧。</v>
      </c>
      <c r="I1567" s="13"/>
      <c r="J1567" s="13" t="str">
        <f ca="1">IFERROR(__xludf.DUMMYFUNCTION("""COMPUTED_VALUE"""),"Tôi bị trượt chân ngã, thật may là không sao cả.")</f>
        <v>Tôi bị trượt chân ngã, thật may là không sao cả.</v>
      </c>
      <c r="K1567" s="13" t="str">
        <f ca="1">IFERROR(__xludf.DUMMYFUNCTION("""COMPUTED_VALUE"""),"H5_B7_BG-01.png")</f>
        <v>H5_B7_BG-01.png</v>
      </c>
      <c r="L1567" s="13" t="str">
        <f ca="1">IFERROR(__xludf.DUMMYFUNCTION("""COMPUTED_VALUE"""),"B7_1.mp3")</f>
        <v>B7_1.mp3</v>
      </c>
      <c r="M1567" s="13" t="str">
        <f ca="1">IFERROR(__xludf.DUMMYFUNCTION("""COMPUTED_VALUE"""),"B7_VD_1.mp3")</f>
        <v>B7_VD_1.mp3</v>
      </c>
    </row>
    <row r="1568" spans="1:13">
      <c r="A1568" s="13">
        <f ca="1">IFERROR(__xludf.DUMMYFUNCTION("""COMPUTED_VALUE"""),2)</f>
        <v>2</v>
      </c>
      <c r="B1568" s="13"/>
      <c r="C1568" s="13" t="str">
        <f ca="1">IFERROR(__xludf.DUMMYFUNCTION("""COMPUTED_VALUE"""),"根")</f>
        <v>根</v>
      </c>
      <c r="D1568" s="13" t="str">
        <f ca="1">IFERROR(__xludf.DUMMYFUNCTION("""COMPUTED_VALUE"""),"&lt;ruby&gt;根&lt;rt&gt;gēn&lt;/rt&gt;&lt;/ruby&gt;")</f>
        <v>&lt;ruby&gt;根&lt;rt&gt;gēn&lt;/rt&gt;&lt;/ruby&gt;</v>
      </c>
      <c r="E1568" s="13" t="str">
        <f ca="1">IFERROR(__xludf.DUMMYFUNCTION("""COMPUTED_VALUE"""),"gēn")</f>
        <v>gēn</v>
      </c>
      <c r="F1568" s="13" t="str">
        <f ca="1">IFERROR(__xludf.DUMMYFUNCTION("""COMPUTED_VALUE"""),"Danh từ/Lượng từ ")</f>
        <v xml:space="preserve">Danh từ/Lượng từ </v>
      </c>
      <c r="G1568" s="13" t="str">
        <f ca="1">IFERROR(__xludf.DUMMYFUNCTION("""COMPUTED_VALUE"""),"rễ cây, chân; (lượng từ được dùng cho vật dài và mảnh) chiếc, cái")</f>
        <v>rễ cây, chân; (lượng từ được dùng cho vật dài và mảnh) chiếc, cái</v>
      </c>
      <c r="H1568" s="13" t="str">
        <f ca="1">IFERROR(__xludf.DUMMYFUNCTION("""COMPUTED_VALUE"""),"这棵树的根很深。")</f>
        <v>这棵树的根很深。</v>
      </c>
      <c r="I1568" s="13"/>
      <c r="J1568" s="13" t="str">
        <f ca="1">IFERROR(__xludf.DUMMYFUNCTION("""COMPUTED_VALUE"""),"Rễ cây của cái cây này rất sâu.")</f>
        <v>Rễ cây của cái cây này rất sâu.</v>
      </c>
      <c r="K1568" s="13" t="str">
        <f ca="1">IFERROR(__xludf.DUMMYFUNCTION("""COMPUTED_VALUE"""),"H5_B7_BG-02.png")</f>
        <v>H5_B7_BG-02.png</v>
      </c>
      <c r="L1568" s="13" t="str">
        <f ca="1">IFERROR(__xludf.DUMMYFUNCTION("""COMPUTED_VALUE"""),"B7_2.mp3")</f>
        <v>B7_2.mp3</v>
      </c>
      <c r="M1568" s="13" t="str">
        <f ca="1">IFERROR(__xludf.DUMMYFUNCTION("""COMPUTED_VALUE"""),"B7_VD_2.mp3")</f>
        <v>B7_VD_2.mp3</v>
      </c>
    </row>
    <row r="1569" spans="1:13">
      <c r="A1569" s="13">
        <f ca="1">IFERROR(__xludf.DUMMYFUNCTION("""COMPUTED_VALUE"""),3)</f>
        <v>3</v>
      </c>
      <c r="B1569" s="13"/>
      <c r="C1569" s="13" t="str">
        <f ca="1">IFERROR(__xludf.DUMMYFUNCTION("""COMPUTED_VALUE"""),"忽然")</f>
        <v>忽然</v>
      </c>
      <c r="D1569" s="13" t="str">
        <f ca="1">IFERROR(__xludf.DUMMYFUNCTION("""COMPUTED_VALUE"""),"&lt;ruby&gt;忽然&lt;rt&gt;hūrán&lt;/rt&gt;&lt;/ruby&gt;")</f>
        <v>&lt;ruby&gt;忽然&lt;rt&gt;hūrán&lt;/rt&gt;&lt;/ruby&gt;</v>
      </c>
      <c r="E1569" s="13" t="str">
        <f ca="1">IFERROR(__xludf.DUMMYFUNCTION("""COMPUTED_VALUE"""),"hūrán")</f>
        <v>hūrán</v>
      </c>
      <c r="F1569" s="13" t="str">
        <f ca="1">IFERROR(__xludf.DUMMYFUNCTION("""COMPUTED_VALUE"""),"Phó từ")</f>
        <v>Phó từ</v>
      </c>
      <c r="G1569" s="13" t="str">
        <f ca="1">IFERROR(__xludf.DUMMYFUNCTION("""COMPUTED_VALUE"""),"thình lình, bỗng nhiên")</f>
        <v>thình lình, bỗng nhiên</v>
      </c>
      <c r="H1569" s="13" t="str">
        <f ca="1">IFERROR(__xludf.DUMMYFUNCTION("""COMPUTED_VALUE"""),"我正在做饭，忽然电话响了。")</f>
        <v>我正在做饭，忽然电话响了。</v>
      </c>
      <c r="I1569" s="13"/>
      <c r="J1569" s="13" t="str">
        <f ca="1">IFERROR(__xludf.DUMMYFUNCTION("""COMPUTED_VALUE"""),"Tôi đang nấu ăn thì bỗng nhiên điện thoại reo.")</f>
        <v>Tôi đang nấu ăn thì bỗng nhiên điện thoại reo.</v>
      </c>
      <c r="K1569" s="13" t="str">
        <f ca="1">IFERROR(__xludf.DUMMYFUNCTION("""COMPUTED_VALUE"""),"H5_B7_BG-03.png")</f>
        <v>H5_B7_BG-03.png</v>
      </c>
      <c r="L1569" s="13" t="str">
        <f ca="1">IFERROR(__xludf.DUMMYFUNCTION("""COMPUTED_VALUE"""),"B7_3.mp3")</f>
        <v>B7_3.mp3</v>
      </c>
      <c r="M1569" s="13" t="str">
        <f ca="1">IFERROR(__xludf.DUMMYFUNCTION("""COMPUTED_VALUE"""),"B7_VD_3.mp3")</f>
        <v>B7_VD_3.mp3</v>
      </c>
    </row>
    <row r="1570" spans="1:13">
      <c r="A1570" s="13">
        <f ca="1">IFERROR(__xludf.DUMMYFUNCTION("""COMPUTED_VALUE"""),4)</f>
        <v>4</v>
      </c>
      <c r="B1570" s="13"/>
      <c r="C1570" s="13" t="str">
        <f ca="1">IFERROR(__xludf.DUMMYFUNCTION("""COMPUTED_VALUE"""),"胡说")</f>
        <v>胡说</v>
      </c>
      <c r="D1570" s="13" t="str">
        <f ca="1">IFERROR(__xludf.DUMMYFUNCTION("""COMPUTED_VALUE"""),"&lt;ruby&gt;胡说&lt;rt&gt;húshuō&lt;/rt&gt;&lt;/ruby&gt;")</f>
        <v>&lt;ruby&gt;胡说&lt;rt&gt;húshuō&lt;/rt&gt;&lt;/ruby&gt;</v>
      </c>
      <c r="E1570" s="13" t="str">
        <f ca="1">IFERROR(__xludf.DUMMYFUNCTION("""COMPUTED_VALUE"""),"húshuō")</f>
        <v>húshuō</v>
      </c>
      <c r="F1570" s="13" t="str">
        <f ca="1">IFERROR(__xludf.DUMMYFUNCTION("""COMPUTED_VALUE"""),"Động từ")</f>
        <v>Động từ</v>
      </c>
      <c r="G1570" s="13" t="str">
        <f ca="1">IFERROR(__xludf.DUMMYFUNCTION("""COMPUTED_VALUE"""),"nói bậy, nói bừa, nói linh tinh")</f>
        <v>nói bậy, nói bừa, nói linh tinh</v>
      </c>
      <c r="H1570" s="13" t="str">
        <f ca="1">IFERROR(__xludf.DUMMYFUNCTION("""COMPUTED_VALUE"""),"别胡说了，快去学习！")</f>
        <v>别胡说了，快去学习！</v>
      </c>
      <c r="I1570" s="13"/>
      <c r="J1570" s="13" t="str">
        <f ca="1">IFERROR(__xludf.DUMMYFUNCTION("""COMPUTED_VALUE"""),"Đừng nói linh tinh nữa, mau đi học đi!")</f>
        <v>Đừng nói linh tinh nữa, mau đi học đi!</v>
      </c>
      <c r="K1570" s="13" t="str">
        <f ca="1">IFERROR(__xludf.DUMMYFUNCTION("""COMPUTED_VALUE"""),"H5_B7_BG-04.png")</f>
        <v>H5_B7_BG-04.png</v>
      </c>
      <c r="L1570" s="13" t="str">
        <f ca="1">IFERROR(__xludf.DUMMYFUNCTION("""COMPUTED_VALUE"""),"B7_4.mp3")</f>
        <v>B7_4.mp3</v>
      </c>
      <c r="M1570" s="13" t="str">
        <f ca="1">IFERROR(__xludf.DUMMYFUNCTION("""COMPUTED_VALUE"""),"B7_VD_4.mp3")</f>
        <v>B7_VD_4.mp3</v>
      </c>
    </row>
    <row r="1571" spans="1:13">
      <c r="A1571" s="13">
        <f ca="1">IFERROR(__xludf.DUMMYFUNCTION("""COMPUTED_VALUE"""),5)</f>
        <v>5</v>
      </c>
      <c r="B1571" s="13"/>
      <c r="C1571" s="13" t="str">
        <f ca="1">IFERROR(__xludf.DUMMYFUNCTION("""COMPUTED_VALUE"""),"片面")</f>
        <v>片面</v>
      </c>
      <c r="D1571" s="13" t="str">
        <f ca="1">IFERROR(__xludf.DUMMYFUNCTION("""COMPUTED_VALUE"""),"&lt;ruby&gt;片面&lt;rt&gt;piànmiàn&lt;/rt&gt;&lt;/ruby&gt;")</f>
        <v>&lt;ruby&gt;片面&lt;rt&gt;piànmiàn&lt;/rt&gt;&lt;/ruby&gt;</v>
      </c>
      <c r="E1571" s="13" t="str">
        <f ca="1">IFERROR(__xludf.DUMMYFUNCTION("""COMPUTED_VALUE"""),"piànmiàn")</f>
        <v>piànmiàn</v>
      </c>
      <c r="F1571" s="13" t="str">
        <f ca="1">IFERROR(__xludf.DUMMYFUNCTION("""COMPUTED_VALUE"""),"Tính từ ")</f>
        <v xml:space="preserve">Tính từ </v>
      </c>
      <c r="G1571" s="13" t="str">
        <f ca="1">IFERROR(__xludf.DUMMYFUNCTION("""COMPUTED_VALUE"""),"phiến diện")</f>
        <v>phiến diện</v>
      </c>
      <c r="H1571" s="13" t="str">
        <f ca="1">IFERROR(__xludf.DUMMYFUNCTION("""COMPUTED_VALUE"""),"这篇文章很片面，缺少很多细节。")</f>
        <v>这篇文章很片面，缺少很多细节。</v>
      </c>
      <c r="I1571" s="13"/>
      <c r="J1571" s="13" t="str">
        <f ca="1">IFERROR(__xludf.DUMMYFUNCTION("""COMPUTED_VALUE"""),"Bài báo này rất phiến diện, thiếu nhiều chi tiết.")</f>
        <v>Bài báo này rất phiến diện, thiếu nhiều chi tiết.</v>
      </c>
      <c r="K1571" s="13" t="str">
        <f ca="1">IFERROR(__xludf.DUMMYFUNCTION("""COMPUTED_VALUE"""),"H5_B7_BG-05.png")</f>
        <v>H5_B7_BG-05.png</v>
      </c>
      <c r="L1571" s="13" t="str">
        <f ca="1">IFERROR(__xludf.DUMMYFUNCTION("""COMPUTED_VALUE"""),"B7_5.mp3")</f>
        <v>B7_5.mp3</v>
      </c>
      <c r="M1571" s="13" t="str">
        <f ca="1">IFERROR(__xludf.DUMMYFUNCTION("""COMPUTED_VALUE"""),"B7_VD_5.mp3")</f>
        <v>B7_VD_5.mp3</v>
      </c>
    </row>
    <row r="1572" spans="1:13">
      <c r="A1572" s="13">
        <f ca="1">IFERROR(__xludf.DUMMYFUNCTION("""COMPUTED_VALUE"""),6)</f>
        <v>6</v>
      </c>
      <c r="B1572" s="13"/>
      <c r="C1572" s="13" t="str">
        <f ca="1">IFERROR(__xludf.DUMMYFUNCTION("""COMPUTED_VALUE"""),"平")</f>
        <v>平</v>
      </c>
      <c r="D1572" s="13" t="str">
        <f ca="1">IFERROR(__xludf.DUMMYFUNCTION("""COMPUTED_VALUE"""),"&lt;ruby&gt;平&lt;rt&gt;píng&lt;/rt&gt;&lt;/ruby&gt;")</f>
        <v>&lt;ruby&gt;平&lt;rt&gt;píng&lt;/rt&gt;&lt;/ruby&gt;</v>
      </c>
      <c r="E1572" s="13" t="str">
        <f ca="1">IFERROR(__xludf.DUMMYFUNCTION("""COMPUTED_VALUE"""),"píng")</f>
        <v>píng</v>
      </c>
      <c r="F1572" s="13" t="str">
        <f ca="1">IFERROR(__xludf.DUMMYFUNCTION("""COMPUTED_VALUE"""),"Tính từ ")</f>
        <v xml:space="preserve">Tính từ </v>
      </c>
      <c r="G1572" s="13" t="str">
        <f ca="1">IFERROR(__xludf.DUMMYFUNCTION("""COMPUTED_VALUE"""),"bằng phẳng")</f>
        <v>bằng phẳng</v>
      </c>
      <c r="H1572" s="13" t="str">
        <f ca="1">IFERROR(__xludf.DUMMYFUNCTION("""COMPUTED_VALUE"""),"这条路很平。")</f>
        <v>这条路很平。</v>
      </c>
      <c r="I1572" s="13"/>
      <c r="J1572" s="13" t="str">
        <f ca="1">IFERROR(__xludf.DUMMYFUNCTION("""COMPUTED_VALUE"""),"Con đường này rất bằng phẳng.")</f>
        <v>Con đường này rất bằng phẳng.</v>
      </c>
      <c r="K1572" s="13" t="str">
        <f ca="1">IFERROR(__xludf.DUMMYFUNCTION("""COMPUTED_VALUE"""),"H5_B7_BG-06.png")</f>
        <v>H5_B7_BG-06.png</v>
      </c>
      <c r="L1572" s="13" t="str">
        <f ca="1">IFERROR(__xludf.DUMMYFUNCTION("""COMPUTED_VALUE"""),"B7_6.mp3")</f>
        <v>B7_6.mp3</v>
      </c>
      <c r="M1572" s="13" t="str">
        <f ca="1">IFERROR(__xludf.DUMMYFUNCTION("""COMPUTED_VALUE"""),"B7_VD_6.mp3")</f>
        <v>B7_VD_6.mp3</v>
      </c>
    </row>
    <row r="1573" spans="1:13">
      <c r="A1573" s="13">
        <f ca="1">IFERROR(__xludf.DUMMYFUNCTION("""COMPUTED_VALUE"""),7)</f>
        <v>7</v>
      </c>
      <c r="B1573" s="13"/>
      <c r="C1573" s="13" t="str">
        <f ca="1">IFERROR(__xludf.DUMMYFUNCTION("""COMPUTED_VALUE"""),"善于")</f>
        <v>善于</v>
      </c>
      <c r="D1573" s="13" t="str">
        <f ca="1">IFERROR(__xludf.DUMMYFUNCTION("""COMPUTED_VALUE"""),"&lt;ruby&gt;善于&lt;rt&gt;shànyú&lt;/rt&gt;&lt;/ruby&gt;")</f>
        <v>&lt;ruby&gt;善于&lt;rt&gt;shànyú&lt;/rt&gt;&lt;/ruby&gt;</v>
      </c>
      <c r="E1573" s="13" t="str">
        <f ca="1">IFERROR(__xludf.DUMMYFUNCTION("""COMPUTED_VALUE"""),"shànyú")</f>
        <v>shànyú</v>
      </c>
      <c r="F1573" s="13" t="str">
        <f ca="1">IFERROR(__xludf.DUMMYFUNCTION("""COMPUTED_VALUE"""),"Động từ")</f>
        <v>Động từ</v>
      </c>
      <c r="G1573" s="13" t="str">
        <f ca="1">IFERROR(__xludf.DUMMYFUNCTION("""COMPUTED_VALUE"""),"giỏi về, có sở trường")</f>
        <v>giỏi về, có sở trường</v>
      </c>
      <c r="H1573" s="13" t="str">
        <f ca="1">IFERROR(__xludf.DUMMYFUNCTION("""COMPUTED_VALUE"""),"她很善于沟通。")</f>
        <v>她很善于沟通。</v>
      </c>
      <c r="I1573" s="13"/>
      <c r="J1573" s="13" t="str">
        <f ca="1">IFERROR(__xludf.DUMMYFUNCTION("""COMPUTED_VALUE"""),"Cô ấy giỏi về giao tiếp.")</f>
        <v>Cô ấy giỏi về giao tiếp.</v>
      </c>
      <c r="K1573" s="13" t="str">
        <f ca="1">IFERROR(__xludf.DUMMYFUNCTION("""COMPUTED_VALUE"""),"H5_B7_BG-07.png")</f>
        <v>H5_B7_BG-07.png</v>
      </c>
      <c r="L1573" s="13" t="str">
        <f ca="1">IFERROR(__xludf.DUMMYFUNCTION("""COMPUTED_VALUE"""),"B7_7.mp3")</f>
        <v>B7_7.mp3</v>
      </c>
      <c r="M1573" s="13" t="str">
        <f ca="1">IFERROR(__xludf.DUMMYFUNCTION("""COMPUTED_VALUE"""),"B7_VD_7.mp3")</f>
        <v>B7_VD_7.mp3</v>
      </c>
    </row>
    <row r="1574" spans="1:13">
      <c r="A1574" s="13">
        <f ca="1">IFERROR(__xludf.DUMMYFUNCTION("""COMPUTED_VALUE"""),8)</f>
        <v>8</v>
      </c>
      <c r="B1574" s="13"/>
      <c r="C1574" s="13" t="str">
        <f ca="1">IFERROR(__xludf.DUMMYFUNCTION("""COMPUTED_VALUE"""),"瞎")</f>
        <v>瞎</v>
      </c>
      <c r="D1574" s="13" t="str">
        <f ca="1">IFERROR(__xludf.DUMMYFUNCTION("""COMPUTED_VALUE"""),"&lt;ruby&gt;瞎&lt;rt&gt;xiā&lt;/rt&gt;&lt;/ruby&gt;")</f>
        <v>&lt;ruby&gt;瞎&lt;rt&gt;xiā&lt;/rt&gt;&lt;/ruby&gt;</v>
      </c>
      <c r="E1574" s="13" t="str">
        <f ca="1">IFERROR(__xludf.DUMMYFUNCTION("""COMPUTED_VALUE"""),"xiā")</f>
        <v>xiā</v>
      </c>
      <c r="F1574" s="13" t="str">
        <f ca="1">IFERROR(__xludf.DUMMYFUNCTION("""COMPUTED_VALUE"""),"Động từ/Phó từ")</f>
        <v>Động từ/Phó từ</v>
      </c>
      <c r="G1574" s="13" t="str">
        <f ca="1">IFERROR(__xludf.DUMMYFUNCTION("""COMPUTED_VALUE"""),"bị mù; mù quáng, vớ vẩn")</f>
        <v>bị mù; mù quáng, vớ vẩn</v>
      </c>
      <c r="H1574" s="13" t="str">
        <f ca="1">IFERROR(__xludf.DUMMYFUNCTION("""COMPUTED_VALUE"""),"他眼睛瞎了，但依然过得很乐观。")</f>
        <v>他眼睛瞎了，但依然过得很乐观。</v>
      </c>
      <c r="I1574" s="13"/>
      <c r="J1574" s="13" t="str">
        <f ca="1">IFERROR(__xludf.DUMMYFUNCTION("""COMPUTED_VALUE"""),"Anh ấy bị mù, nhưng vẫn sống rất lạc quan.")</f>
        <v>Anh ấy bị mù, nhưng vẫn sống rất lạc quan.</v>
      </c>
      <c r="K1574" s="13" t="str">
        <f ca="1">IFERROR(__xludf.DUMMYFUNCTION("""COMPUTED_VALUE"""),"H5_B7_BG-08.png")</f>
        <v>H5_B7_BG-08.png</v>
      </c>
      <c r="L1574" s="13" t="str">
        <f ca="1">IFERROR(__xludf.DUMMYFUNCTION("""COMPUTED_VALUE"""),"B7_8.mp3")</f>
        <v>B7_8.mp3</v>
      </c>
      <c r="M1574" s="13" t="str">
        <f ca="1">IFERROR(__xludf.DUMMYFUNCTION("""COMPUTED_VALUE"""),"B7_VD_8.mp3")</f>
        <v>B7_VD_8.mp3</v>
      </c>
    </row>
    <row r="1575" spans="1:13">
      <c r="A1575" s="13">
        <f ca="1">IFERROR(__xludf.DUMMYFUNCTION("""COMPUTED_VALUE"""),9)</f>
        <v>9</v>
      </c>
      <c r="B1575" s="13"/>
      <c r="C1575" s="13" t="str">
        <f ca="1">IFERROR(__xludf.DUMMYFUNCTION("""COMPUTED_VALUE"""),"硬")</f>
        <v>硬</v>
      </c>
      <c r="D1575" s="13" t="str">
        <f ca="1">IFERROR(__xludf.DUMMYFUNCTION("""COMPUTED_VALUE"""),"&lt;ruby&gt;硬&lt;rt&gt;yìng&lt;/rt&gt;&lt;/ruby&gt;")</f>
        <v>&lt;ruby&gt;硬&lt;rt&gt;yìng&lt;/rt&gt;&lt;/ruby&gt;</v>
      </c>
      <c r="E1575" s="13" t="str">
        <f ca="1">IFERROR(__xludf.DUMMYFUNCTION("""COMPUTED_VALUE"""),"yìng")</f>
        <v>yìng</v>
      </c>
      <c r="F1575" s="13" t="str">
        <f ca="1">IFERROR(__xludf.DUMMYFUNCTION("""COMPUTED_VALUE"""),"Tính từ ")</f>
        <v xml:space="preserve">Tính từ </v>
      </c>
      <c r="G1575" s="13" t="str">
        <f ca="1">IFERROR(__xludf.DUMMYFUNCTION("""COMPUTED_VALUE"""),"cứng, rắn")</f>
        <v>cứng, rắn</v>
      </c>
      <c r="H1575" s="13" t="str">
        <f ca="1">IFERROR(__xludf.DUMMYFUNCTION("""COMPUTED_VALUE"""),"这块石头很硬。")</f>
        <v>这块石头很硬。</v>
      </c>
      <c r="I1575" s="13"/>
      <c r="J1575" s="13" t="str">
        <f ca="1">IFERROR(__xludf.DUMMYFUNCTION("""COMPUTED_VALUE"""),"Viên đá này rất cứng.")</f>
        <v>Viên đá này rất cứng.</v>
      </c>
      <c r="K1575" s="13" t="str">
        <f ca="1">IFERROR(__xludf.DUMMYFUNCTION("""COMPUTED_VALUE"""),"H5_B7_BG-09.png")</f>
        <v>H5_B7_BG-09.png</v>
      </c>
      <c r="L1575" s="13" t="str">
        <f ca="1">IFERROR(__xludf.DUMMYFUNCTION("""COMPUTED_VALUE"""),"B7_9.mp3")</f>
        <v>B7_9.mp3</v>
      </c>
      <c r="M1575" s="13" t="str">
        <f ca="1">IFERROR(__xludf.DUMMYFUNCTION("""COMPUTED_VALUE"""),"B7_VD_9.mp3")</f>
        <v>B7_VD_9.mp3</v>
      </c>
    </row>
    <row r="1576" spans="1:13">
      <c r="A1576" s="13">
        <f ca="1">IFERROR(__xludf.DUMMYFUNCTION("""COMPUTED_VALUE"""),10)</f>
        <v>10</v>
      </c>
      <c r="B1576" s="13"/>
      <c r="C1576" s="13" t="str">
        <f ca="1">IFERROR(__xludf.DUMMYFUNCTION("""COMPUTED_VALUE"""),"则")</f>
        <v>则</v>
      </c>
      <c r="D1576" s="13" t="str">
        <f ca="1">IFERROR(__xludf.DUMMYFUNCTION("""COMPUTED_VALUE"""),"&lt;ruby&gt;则&lt;rt&gt;zé&lt;/rt&gt;&lt;/ruby&gt;")</f>
        <v>&lt;ruby&gt;则&lt;rt&gt;zé&lt;/rt&gt;&lt;/ruby&gt;</v>
      </c>
      <c r="E1576" s="13" t="str">
        <f ca="1">IFERROR(__xludf.DUMMYFUNCTION("""COMPUTED_VALUE"""),"zé")</f>
        <v>zé</v>
      </c>
      <c r="F1576" s="13" t="str">
        <f ca="1">IFERROR(__xludf.DUMMYFUNCTION("""COMPUTED_VALUE"""),"Lượng từ ")</f>
        <v xml:space="preserve">Lượng từ </v>
      </c>
      <c r="G1576" s="13" t="str">
        <f ca="1">IFERROR(__xludf.DUMMYFUNCTION("""COMPUTED_VALUE"""),"(được dùng cho bài văn chia mục hoặc tự thành đoạn) mẩu, bản")</f>
        <v>(được dùng cho bài văn chia mục hoặc tự thành đoạn) mẩu, bản</v>
      </c>
      <c r="H1576" s="13" t="str">
        <f ca="1">IFERROR(__xludf.DUMMYFUNCTION("""COMPUTED_VALUE"""),"这本书分成十则小故事。")</f>
        <v>这本书分成十则小故事。</v>
      </c>
      <c r="I1576" s="13"/>
      <c r="J1576" s="13" t="str">
        <f ca="1">IFERROR(__xludf.DUMMYFUNCTION("""COMPUTED_VALUE"""),"Cuốn sách này được chia thành mười câu chuyện nhỏ.")</f>
        <v>Cuốn sách này được chia thành mười câu chuyện nhỏ.</v>
      </c>
      <c r="K1576" s="13" t="str">
        <f ca="1">IFERROR(__xludf.DUMMYFUNCTION("""COMPUTED_VALUE"""),"H5_B7_BG-10.png")</f>
        <v>H5_B7_BG-10.png</v>
      </c>
      <c r="L1576" s="13" t="str">
        <f ca="1">IFERROR(__xludf.DUMMYFUNCTION("""COMPUTED_VALUE"""),"B7_10.mp3")</f>
        <v>B7_10.mp3</v>
      </c>
      <c r="M1576" s="13" t="str">
        <f ca="1">IFERROR(__xludf.DUMMYFUNCTION("""COMPUTED_VALUE"""),"B7_VD_10.mp3")</f>
        <v>B7_VD_10.mp3</v>
      </c>
    </row>
    <row r="1577" spans="1:13">
      <c r="A1577" s="13">
        <f ca="1">IFERROR(__xludf.DUMMYFUNCTION("""COMPUTED_VALUE"""),11)</f>
        <v>11</v>
      </c>
      <c r="B1577" s="13"/>
      <c r="C1577" s="13" t="str">
        <f ca="1">IFERROR(__xludf.DUMMYFUNCTION("""COMPUTED_VALUE"""),"智慧")</f>
        <v>智慧</v>
      </c>
      <c r="D1577" s="13" t="str">
        <f ca="1">IFERROR(__xludf.DUMMYFUNCTION("""COMPUTED_VALUE"""),"&lt;ruby&gt;智慧&lt;rt&gt;zhìhuì&lt;/rt&gt;&lt;/ruby&gt;")</f>
        <v>&lt;ruby&gt;智慧&lt;rt&gt;zhìhuì&lt;/rt&gt;&lt;/ruby&gt;</v>
      </c>
      <c r="E1577" s="13" t="str">
        <f ca="1">IFERROR(__xludf.DUMMYFUNCTION("""COMPUTED_VALUE"""),"zhìhuì")</f>
        <v>zhìhuì</v>
      </c>
      <c r="F1577" s="13" t="str">
        <f ca="1">IFERROR(__xludf.DUMMYFUNCTION("""COMPUTED_VALUE"""),"Danh từ")</f>
        <v>Danh từ</v>
      </c>
      <c r="G1577" s="13" t="str">
        <f ca="1">IFERROR(__xludf.DUMMYFUNCTION("""COMPUTED_VALUE"""),"trí tuệ, sự sáng suốt")</f>
        <v>trí tuệ, sự sáng suốt</v>
      </c>
      <c r="H1577" s="13" t="str">
        <f ca="1">IFERROR(__xludf.DUMMYFUNCTION("""COMPUTED_VALUE"""),"他的智慧帮我们解决了很多难题。")</f>
        <v>他的智慧帮我们解决了很多难题。</v>
      </c>
      <c r="I1577" s="13"/>
      <c r="J1577" s="13" t="str">
        <f ca="1">IFERROR(__xludf.DUMMYFUNCTION("""COMPUTED_VALUE"""),"Trí tuệ của anh ấy đã giúp chúng tôi giải quyết nhiều vấn đề khó khăn.")</f>
        <v>Trí tuệ của anh ấy đã giúp chúng tôi giải quyết nhiều vấn đề khó khăn.</v>
      </c>
      <c r="K1577" s="13" t="str">
        <f ca="1">IFERROR(__xludf.DUMMYFUNCTION("""COMPUTED_VALUE"""),"H5_B7_BG-11.png")</f>
        <v>H5_B7_BG-11.png</v>
      </c>
      <c r="L1577" s="13" t="str">
        <f ca="1">IFERROR(__xludf.DUMMYFUNCTION("""COMPUTED_VALUE"""),"B7_11.mp3")</f>
        <v>B7_11.mp3</v>
      </c>
      <c r="M1577" s="13" t="str">
        <f ca="1">IFERROR(__xludf.DUMMYFUNCTION("""COMPUTED_VALUE"""),"B7_VD_11.mp3")</f>
        <v>B7_VD_11.mp3</v>
      </c>
    </row>
    <row r="1578" spans="1:13">
      <c r="A1578" s="13">
        <f ca="1">IFERROR(__xludf.DUMMYFUNCTION("""COMPUTED_VALUE"""),12)</f>
        <v>12</v>
      </c>
      <c r="B1578" s="13"/>
      <c r="C1578" s="13" t="str">
        <f ca="1">IFERROR(__xludf.DUMMYFUNCTION("""COMPUTED_VALUE"""),"姿势")</f>
        <v>姿势</v>
      </c>
      <c r="D1578" s="13" t="str">
        <f ca="1">IFERROR(__xludf.DUMMYFUNCTION("""COMPUTED_VALUE"""),"&lt;ruby&gt;姿势&lt;rt&gt;zīshì&lt;/rt&gt;&lt;/ruby&gt;")</f>
        <v>&lt;ruby&gt;姿势&lt;rt&gt;zīshì&lt;/rt&gt;&lt;/ruby&gt;</v>
      </c>
      <c r="E1578" s="13" t="str">
        <f ca="1">IFERROR(__xludf.DUMMYFUNCTION("""COMPUTED_VALUE"""),"zīshì")</f>
        <v>zīshì</v>
      </c>
      <c r="F1578" s="13" t="str">
        <f ca="1">IFERROR(__xludf.DUMMYFUNCTION("""COMPUTED_VALUE"""),"Danh từ")</f>
        <v>Danh từ</v>
      </c>
      <c r="G1578" s="13" t="str">
        <f ca="1">IFERROR(__xludf.DUMMYFUNCTION("""COMPUTED_VALUE"""),"tư thế")</f>
        <v>tư thế</v>
      </c>
      <c r="H1578" s="13" t="str">
        <f ca="1">IFERROR(__xludf.DUMMYFUNCTION("""COMPUTED_VALUE"""),"他的姿势很放松，看起来很舒服。")</f>
        <v>他的姿势很放松，看起来很舒服。</v>
      </c>
      <c r="I1578" s="13"/>
      <c r="J1578" s="13" t="str">
        <f ca="1">IFERROR(__xludf.DUMMYFUNCTION("""COMPUTED_VALUE"""),"Tư thế của anh ấy rất thư giãn, trông rất thoải mái.")</f>
        <v>Tư thế của anh ấy rất thư giãn, trông rất thoải mái.</v>
      </c>
      <c r="K1578" s="13" t="str">
        <f ca="1">IFERROR(__xludf.DUMMYFUNCTION("""COMPUTED_VALUE"""),"H5_B7_BG-12.png")</f>
        <v>H5_B7_BG-12.png</v>
      </c>
      <c r="L1578" s="13" t="str">
        <f ca="1">IFERROR(__xludf.DUMMYFUNCTION("""COMPUTED_VALUE"""),"B7_12.mp3")</f>
        <v>B7_12.mp3</v>
      </c>
      <c r="M1578" s="13" t="str">
        <f ca="1">IFERROR(__xludf.DUMMYFUNCTION("""COMPUTED_VALUE"""),"B7_VD_12.mp3")</f>
        <v>B7_VD_12.mp3</v>
      </c>
    </row>
    <row r="1579" spans="1:13">
      <c r="A1579" s="13">
        <f ca="1">IFERROR(__xludf.DUMMYFUNCTION("""COMPUTED_VALUE"""),13)</f>
        <v>13</v>
      </c>
      <c r="B1579" s="13"/>
      <c r="C1579" s="13" t="str">
        <f ca="1">IFERROR(__xludf.DUMMYFUNCTION("""COMPUTED_VALUE"""),"盲人")</f>
        <v>盲人</v>
      </c>
      <c r="D1579" s="13" t="str">
        <f ca="1">IFERROR(__xludf.DUMMYFUNCTION("""COMPUTED_VALUE"""),"&lt;ruby&gt;盲人&lt;rt&gt;mángrén&lt;/rt&gt;&lt;/ruby&gt;")</f>
        <v>&lt;ruby&gt;盲人&lt;rt&gt;mángrén&lt;/rt&gt;&lt;/ruby&gt;</v>
      </c>
      <c r="E1579" s="13" t="str">
        <f ca="1">IFERROR(__xludf.DUMMYFUNCTION("""COMPUTED_VALUE"""),"mángrén")</f>
        <v>mángrén</v>
      </c>
      <c r="F1579" s="13" t="str">
        <f ca="1">IFERROR(__xludf.DUMMYFUNCTION("""COMPUTED_VALUE"""),"Danh từ")</f>
        <v>Danh từ</v>
      </c>
      <c r="G1579" s="13" t="str">
        <f ca="1">IFERROR(__xludf.DUMMYFUNCTION("""COMPUTED_VALUE"""),"người mù")</f>
        <v>người mù</v>
      </c>
      <c r="H1579" s="13" t="str">
        <f ca="1">IFERROR(__xludf.DUMMYFUNCTION("""COMPUTED_VALUE"""),"在公共场所，我们应该帮助盲人过马路。")</f>
        <v>在公共场所，我们应该帮助盲人过马路。</v>
      </c>
      <c r="I1579" s="13"/>
      <c r="J1579" s="13" t="str">
        <f ca="1">IFERROR(__xludf.DUMMYFUNCTION("""COMPUTED_VALUE"""),"Ở nơi công cộng, chúng ta nên giúp đỡ người mù qua đường.")</f>
        <v>Ở nơi công cộng, chúng ta nên giúp đỡ người mù qua đường.</v>
      </c>
      <c r="K1579" s="13" t="str">
        <f ca="1">IFERROR(__xludf.DUMMYFUNCTION("""COMPUTED_VALUE"""),"H5_B7_BG-13.png")</f>
        <v>H5_B7_BG-13.png</v>
      </c>
      <c r="L1579" s="13" t="str">
        <f ca="1">IFERROR(__xludf.DUMMYFUNCTION("""COMPUTED_VALUE"""),"B7_13.mp3")</f>
        <v>B7_13.mp3</v>
      </c>
      <c r="M1579" s="13" t="str">
        <f ca="1">IFERROR(__xludf.DUMMYFUNCTION("""COMPUTED_VALUE"""),"B7_VD_13.mp3")</f>
        <v>B7_VD_13.mp3</v>
      </c>
    </row>
    <row r="1580" spans="1:13">
      <c r="A1580" s="13">
        <f ca="1">IFERROR(__xludf.DUMMYFUNCTION("""COMPUTED_VALUE"""),14)</f>
        <v>14</v>
      </c>
      <c r="B1580" s="13"/>
      <c r="C1580" s="13" t="str">
        <f ca="1">IFERROR(__xludf.DUMMYFUNCTION("""COMPUTED_VALUE"""),"精诚所至，金石为开")</f>
        <v>精诚所至，金石为开</v>
      </c>
      <c r="D1580" s="13" t="str">
        <f ca="1">IFERROR(__xludf.DUMMYFUNCTION("""COMPUTED_VALUE"""),"&lt;ruby&gt;精诚所至，金石为开&lt;rt&gt;jīngchéng suǒzhì, jīnshí wéi kāi&lt;/rt&gt;&lt;/ruby&gt;")</f>
        <v>&lt;ruby&gt;精诚所至，金石为开&lt;rt&gt;jīngchéng suǒzhì, jīnshí wéi kāi&lt;/rt&gt;&lt;/ruby&gt;</v>
      </c>
      <c r="E1580" s="13" t="str">
        <f ca="1">IFERROR(__xludf.DUMMYFUNCTION("""COMPUTED_VALUE"""),"jīngchéng suǒzhì, jīnshí wéi kāi")</f>
        <v>jīngchéng suǒzhì, jīnshí wéi kāi</v>
      </c>
      <c r="F1580" s="13"/>
      <c r="G1580" s="13" t="str">
        <f ca="1">IFERROR(__xludf.DUMMYFUNCTION("""COMPUTED_VALUE"""),"lòng thành cảm động đất trời, đá vàng cũng phải vỡ (chỉ cần thành tâm làm hết sức mình thì có thể giải quyết được mọi vấn đề nan giải)")</f>
        <v>lòng thành cảm động đất trời, đá vàng cũng phải vỡ (chỉ cần thành tâm làm hết sức mình thì có thể giải quyết được mọi vấn đề nan giải)</v>
      </c>
      <c r="H1580" s="13" t="str">
        <f ca="1">IFERROR(__xludf.DUMMYFUNCTION("""COMPUTED_VALUE"""),"只要你精诚所至，金石为开，任何困难都能克服。")</f>
        <v>只要你精诚所至，金石为开，任何困难都能克服。</v>
      </c>
      <c r="I1580" s="13"/>
      <c r="J1580" s="13" t="str">
        <f ca="1">IFERROR(__xludf.DUMMYFUNCTION("""COMPUTED_VALUE"""),"Chỉ cần bạn làm hết lòng, mọi khó khăn đều có thể vượt qua.")</f>
        <v>Chỉ cần bạn làm hết lòng, mọi khó khăn đều có thể vượt qua.</v>
      </c>
      <c r="K1580" s="13" t="str">
        <f ca="1">IFERROR(__xludf.DUMMYFUNCTION("""COMPUTED_VALUE"""),"H5_B7_BG-14.png")</f>
        <v>H5_B7_BG-14.png</v>
      </c>
      <c r="L1580" s="13" t="str">
        <f ca="1">IFERROR(__xludf.DUMMYFUNCTION("""COMPUTED_VALUE"""),"B7_14.mp3")</f>
        <v>B7_14.mp3</v>
      </c>
      <c r="M1580" s="13" t="str">
        <f ca="1">IFERROR(__xludf.DUMMYFUNCTION("""COMPUTED_VALUE"""),"B7_VD_14.mp3")</f>
        <v>B7_VD_14.mp3</v>
      </c>
    </row>
    <row r="1581" spans="1:13">
      <c r="A1581" s="13">
        <f ca="1">IFERROR(__xludf.DUMMYFUNCTION("""COMPUTED_VALUE"""),15)</f>
        <v>15</v>
      </c>
      <c r="B1581" s="13"/>
      <c r="C1581" s="13" t="str">
        <f ca="1">IFERROR(__xludf.DUMMYFUNCTION("""COMPUTED_VALUE"""),"哎")</f>
        <v>哎</v>
      </c>
      <c r="D1581" s="13" t="str">
        <f ca="1">IFERROR(__xludf.DUMMYFUNCTION("""COMPUTED_VALUE"""),"&lt;ruby&gt;哎&lt;rt&gt;āi&lt;/rt&gt;&lt;/ruby&gt;")</f>
        <v>&lt;ruby&gt;哎&lt;rt&gt;āi&lt;/rt&gt;&lt;/ruby&gt;</v>
      </c>
      <c r="E1581" s="13" t="str">
        <f ca="1">IFERROR(__xludf.DUMMYFUNCTION("""COMPUTED_VALUE"""),"āi")</f>
        <v>āi</v>
      </c>
      <c r="F1581" s="13" t="str">
        <f ca="1">IFERROR(__xludf.DUMMYFUNCTION("""COMPUTED_VALUE"""),"Từ cảm thán")</f>
        <v>Từ cảm thán</v>
      </c>
      <c r="G1581" s="13" t="str">
        <f ca="1">IFERROR(__xludf.DUMMYFUNCTION("""COMPUTED_VALUE"""),"(được dùng để diễn tả sự ngạc nhiên hoặc sự không hài lòng) ái chà, trời ơi")</f>
        <v>(được dùng để diễn tả sự ngạc nhiên hoặc sự không hài lòng) ái chà, trời ơi</v>
      </c>
      <c r="H1581" s="13" t="str">
        <f ca="1">IFERROR(__xludf.DUMMYFUNCTION("""COMPUTED_VALUE"""),"哎！我的衣服被风吹走了！")</f>
        <v>哎！我的衣服被风吹走了！</v>
      </c>
      <c r="I1581" s="13"/>
      <c r="J1581" s="13" t="str">
        <f ca="1">IFERROR(__xludf.DUMMYFUNCTION("""COMPUTED_VALUE"""),"Trời ơi! Quần áo của tôi bị gió thổi bay rồi!")</f>
        <v>Trời ơi! Quần áo của tôi bị gió thổi bay rồi!</v>
      </c>
      <c r="K1581" s="13" t="str">
        <f ca="1">IFERROR(__xludf.DUMMYFUNCTION("""COMPUTED_VALUE"""),"H5_B7_BG-15.png")</f>
        <v>H5_B7_BG-15.png</v>
      </c>
      <c r="L1581" s="13" t="str">
        <f ca="1">IFERROR(__xludf.DUMMYFUNCTION("""COMPUTED_VALUE"""),"B7_15.mp3")</f>
        <v>B7_15.mp3</v>
      </c>
      <c r="M1581" s="13" t="str">
        <f ca="1">IFERROR(__xludf.DUMMYFUNCTION("""COMPUTED_VALUE"""),"B7_VD_15.mp3")</f>
        <v>B7_VD_15.mp3</v>
      </c>
    </row>
    <row r="1582" spans="1:13">
      <c r="A1582" s="13">
        <f ca="1">IFERROR(__xludf.DUMMYFUNCTION("""COMPUTED_VALUE"""),16)</f>
        <v>16</v>
      </c>
      <c r="B1582" s="13"/>
      <c r="C1582" s="13" t="str">
        <f ca="1">IFERROR(__xludf.DUMMYFUNCTION("""COMPUTED_VALUE"""),"唉")</f>
        <v>唉</v>
      </c>
      <c r="D1582" s="13" t="str">
        <f ca="1">IFERROR(__xludf.DUMMYFUNCTION("""COMPUTED_VALUE"""),"&lt;ruby&gt;唉&lt;rt&gt;ài&lt;/rt&gt;&lt;/ruby&gt;")</f>
        <v>&lt;ruby&gt;唉&lt;rt&gt;ài&lt;/rt&gt;&lt;/ruby&gt;</v>
      </c>
      <c r="E1582" s="13" t="str">
        <f ca="1">IFERROR(__xludf.DUMMYFUNCTION("""COMPUTED_VALUE"""),"ài")</f>
        <v>ài</v>
      </c>
      <c r="F1582" s="13" t="str">
        <f ca="1">IFERROR(__xludf.DUMMYFUNCTION("""COMPUTED_VALUE"""),"Từ cảm thán ")</f>
        <v xml:space="preserve">Từ cảm thán </v>
      </c>
      <c r="G1582" s="13" t="str">
        <f ca="1">IFERROR(__xludf.DUMMYFUNCTION("""COMPUTED_VALUE"""),"(được dùng để diễn tả sự thương cảm hoặc hối tiếc) ôi, than ôi, chao ơi")</f>
        <v>(được dùng để diễn tả sự thương cảm hoặc hối tiếc) ôi, than ôi, chao ơi</v>
      </c>
      <c r="H1582" s="13" t="str">
        <f ca="1">IFERROR(__xludf.DUMMYFUNCTION("""COMPUTED_VALUE"""),"唉，我忘了带手机。")</f>
        <v>唉，我忘了带手机。</v>
      </c>
      <c r="I1582" s="13"/>
      <c r="J1582" s="13" t="str">
        <f ca="1">IFERROR(__xludf.DUMMYFUNCTION("""COMPUTED_VALUE"""),"Ôi, tôi quên mang điện thoại rồi.")</f>
        <v>Ôi, tôi quên mang điện thoại rồi.</v>
      </c>
      <c r="K1582" s="13" t="str">
        <f ca="1">IFERROR(__xludf.DUMMYFUNCTION("""COMPUTED_VALUE"""),"H5_B7_BG-16.png")</f>
        <v>H5_B7_BG-16.png</v>
      </c>
      <c r="L1582" s="13" t="str">
        <f ca="1">IFERROR(__xludf.DUMMYFUNCTION("""COMPUTED_VALUE"""),"B7_16.mp3")</f>
        <v>B7_16.mp3</v>
      </c>
      <c r="M1582" s="13" t="str">
        <f ca="1">IFERROR(__xludf.DUMMYFUNCTION("""COMPUTED_VALUE"""),"B7_VD_16.mp3")</f>
        <v>B7_VD_16.mp3</v>
      </c>
    </row>
    <row r="1583" spans="1:13">
      <c r="A1583" s="13">
        <f ca="1">IFERROR(__xludf.DUMMYFUNCTION("""COMPUTED_VALUE"""),17)</f>
        <v>17</v>
      </c>
      <c r="B1583" s="13"/>
      <c r="C1583" s="13" t="str">
        <f ca="1">IFERROR(__xludf.DUMMYFUNCTION("""COMPUTED_VALUE"""),"摆")</f>
        <v>摆</v>
      </c>
      <c r="D1583" s="13" t="str">
        <f ca="1">IFERROR(__xludf.DUMMYFUNCTION("""COMPUTED_VALUE"""),"&lt;ruby&gt;摆&lt;rt&gt;bǎi&lt;/rt&gt;&lt;/ruby&gt;")</f>
        <v>&lt;ruby&gt;摆&lt;rt&gt;bǎi&lt;/rt&gt;&lt;/ruby&gt;</v>
      </c>
      <c r="E1583" s="13" t="str">
        <f ca="1">IFERROR(__xludf.DUMMYFUNCTION("""COMPUTED_VALUE"""),"bǎi")</f>
        <v>bǎi</v>
      </c>
      <c r="F1583" s="13" t="str">
        <f ca="1">IFERROR(__xludf.DUMMYFUNCTION("""COMPUTED_VALUE"""),"Động từ")</f>
        <v>Động từ</v>
      </c>
      <c r="G1583" s="13" t="str">
        <f ca="1">IFERROR(__xludf.DUMMYFUNCTION("""COMPUTED_VALUE"""),"bày biện, sắp đặt (tư thế)")</f>
        <v>bày biện, sắp đặt (tư thế)</v>
      </c>
      <c r="H1583" s="13" t="str">
        <f ca="1">IFERROR(__xludf.DUMMYFUNCTION("""COMPUTED_VALUE"""),"她把花瓶摆在桌子上。")</f>
        <v>她把花瓶摆在桌子上。</v>
      </c>
      <c r="I1583" s="13"/>
      <c r="J1583" s="13" t="str">
        <f ca="1">IFERROR(__xludf.DUMMYFUNCTION("""COMPUTED_VALUE"""),"Cô ấy bày biện bình hoa trên bàn.")</f>
        <v>Cô ấy bày biện bình hoa trên bàn.</v>
      </c>
      <c r="K1583" s="13" t="str">
        <f ca="1">IFERROR(__xludf.DUMMYFUNCTION("""COMPUTED_VALUE"""),"H5_B7_BG-17.png")</f>
        <v>H5_B7_BG-17.png</v>
      </c>
      <c r="L1583" s="13" t="str">
        <f ca="1">IFERROR(__xludf.DUMMYFUNCTION("""COMPUTED_VALUE"""),"B7_17.mp3")</f>
        <v>B7_17.mp3</v>
      </c>
      <c r="M1583" s="13" t="str">
        <f ca="1">IFERROR(__xludf.DUMMYFUNCTION("""COMPUTED_VALUE"""),"B7_VD_17.mp3")</f>
        <v>B7_VD_17.mp3</v>
      </c>
    </row>
    <row r="1584" spans="1:13">
      <c r="A1584" s="13">
        <f ca="1">IFERROR(__xludf.DUMMYFUNCTION("""COMPUTED_VALUE"""),18)</f>
        <v>18</v>
      </c>
      <c r="B1584" s="13"/>
      <c r="C1584" s="13" t="str">
        <f ca="1">IFERROR(__xludf.DUMMYFUNCTION("""COMPUTED_VALUE"""),"便")</f>
        <v>便</v>
      </c>
      <c r="D1584" s="13" t="str">
        <f ca="1">IFERROR(__xludf.DUMMYFUNCTION("""COMPUTED_VALUE"""),"&lt;ruby&gt;便&lt;rt&gt;biàn&lt;/rt&gt;&lt;/ruby&gt;")</f>
        <v>&lt;ruby&gt;便&lt;rt&gt;biàn&lt;/rt&gt;&lt;/ruby&gt;</v>
      </c>
      <c r="E1584" s="13" t="str">
        <f ca="1">IFERROR(__xludf.DUMMYFUNCTION("""COMPUTED_VALUE"""),"biàn")</f>
        <v>biàn</v>
      </c>
      <c r="F1584" s="13" t="str">
        <f ca="1">IFERROR(__xludf.DUMMYFUNCTION("""COMPUTED_VALUE"""),"Phó từ")</f>
        <v>Phó từ</v>
      </c>
      <c r="G1584" s="13" t="str">
        <f ca="1">IFERROR(__xludf.DUMMYFUNCTION("""COMPUTED_VALUE"""),"(được dùng để chỉ việc gì xảy ra một cách tự nhiên trong điều kiện hoặc tình huống nào đó) thì, liền, bèn, là")</f>
        <v>(được dùng để chỉ việc gì xảy ra một cách tự nhiên trong điều kiện hoặc tình huống nào đó) thì, liền, bèn, là</v>
      </c>
      <c r="H1584" s="13" t="str">
        <f ca="1">IFERROR(__xludf.DUMMYFUNCTION("""COMPUTED_VALUE"""),"学完后，我便帮妈妈做家务。")</f>
        <v>学完后，我便帮妈妈做家务。</v>
      </c>
      <c r="I1584" s="13"/>
      <c r="J1584" s="13" t="str">
        <f ca="1">IFERROR(__xludf.DUMMYFUNCTION("""COMPUTED_VALUE"""),"Sau khi học xong, tôi liền giúp mẹ làm việc nhà.")</f>
        <v>Sau khi học xong, tôi liền giúp mẹ làm việc nhà.</v>
      </c>
      <c r="K1584" s="13" t="str">
        <f ca="1">IFERROR(__xludf.DUMMYFUNCTION("""COMPUTED_VALUE"""),"H5_B7_BG-18.png")</f>
        <v>H5_B7_BG-18.png</v>
      </c>
      <c r="L1584" s="13" t="str">
        <f ca="1">IFERROR(__xludf.DUMMYFUNCTION("""COMPUTED_VALUE"""),"B7_18.mp3")</f>
        <v>B7_18.mp3</v>
      </c>
      <c r="M1584" s="13" t="str">
        <f ca="1">IFERROR(__xludf.DUMMYFUNCTION("""COMPUTED_VALUE"""),"B7_VD_18.mp3")</f>
        <v>B7_VD_18.mp3</v>
      </c>
    </row>
    <row r="1585" spans="1:13">
      <c r="A1585" s="13">
        <f ca="1">IFERROR(__xludf.DUMMYFUNCTION("""COMPUTED_VALUE"""),19)</f>
        <v>19</v>
      </c>
      <c r="B1585" s="13"/>
      <c r="C1585" s="13" t="str">
        <f ca="1">IFERROR(__xludf.DUMMYFUNCTION("""COMPUTED_VALUE"""),"称")</f>
        <v>称</v>
      </c>
      <c r="D1585" s="13" t="str">
        <f ca="1">IFERROR(__xludf.DUMMYFUNCTION("""COMPUTED_VALUE"""),"&lt;ruby&gt;称&lt;rt&gt;chēng&lt;/rt&gt;&lt;/ruby&gt;")</f>
        <v>&lt;ruby&gt;称&lt;rt&gt;chēng&lt;/rt&gt;&lt;/ruby&gt;</v>
      </c>
      <c r="E1585" s="13" t="str">
        <f ca="1">IFERROR(__xludf.DUMMYFUNCTION("""COMPUTED_VALUE"""),"chēng")</f>
        <v>chēng</v>
      </c>
      <c r="F1585" s="13" t="str">
        <f ca="1">IFERROR(__xludf.DUMMYFUNCTION("""COMPUTED_VALUE"""),"Động từ")</f>
        <v>Động từ</v>
      </c>
      <c r="G1585" s="13" t="str">
        <f ca="1">IFERROR(__xludf.DUMMYFUNCTION("""COMPUTED_VALUE"""),"gọi là, tán dương")</f>
        <v>gọi là, tán dương</v>
      </c>
      <c r="H1585" s="13" t="str">
        <f ca="1">IFERROR(__xludf.DUMMYFUNCTION("""COMPUTED_VALUE"""),"他称赞了她的努力。")</f>
        <v>他称赞了她的努力。</v>
      </c>
      <c r="I1585" s="13"/>
      <c r="J1585" s="13" t="str">
        <f ca="1">IFERROR(__xludf.DUMMYFUNCTION("""COMPUTED_VALUE"""),"Anh ấy tán dương sự nỗ lực của cô ấy.")</f>
        <v>Anh ấy tán dương sự nỗ lực của cô ấy.</v>
      </c>
      <c r="K1585" s="13" t="str">
        <f ca="1">IFERROR(__xludf.DUMMYFUNCTION("""COMPUTED_VALUE"""),"H5_B7_BG-19.png")</f>
        <v>H5_B7_BG-19.png</v>
      </c>
      <c r="L1585" s="13" t="str">
        <f ca="1">IFERROR(__xludf.DUMMYFUNCTION("""COMPUTED_VALUE"""),"B7_19.mp3")</f>
        <v>B7_19.mp3</v>
      </c>
      <c r="M1585" s="13" t="str">
        <f ca="1">IFERROR(__xludf.DUMMYFUNCTION("""COMPUTED_VALUE"""),"B7_VD_19.mp3")</f>
        <v>B7_VD_19.mp3</v>
      </c>
    </row>
    <row r="1586" spans="1:13">
      <c r="A1586" s="13">
        <f ca="1">IFERROR(__xludf.DUMMYFUNCTION("""COMPUTED_VALUE"""),20)</f>
        <v>20</v>
      </c>
      <c r="B1586" s="13"/>
      <c r="C1586" s="13" t="str">
        <f ca="1">IFERROR(__xludf.DUMMYFUNCTION("""COMPUTED_VALUE"""),"蹲")</f>
        <v>蹲</v>
      </c>
      <c r="D1586" s="13" t="str">
        <f ca="1">IFERROR(__xludf.DUMMYFUNCTION("""COMPUTED_VALUE"""),"&lt;ruby&gt;蹲&lt;rt&gt;dūn&lt;/rt&gt;&lt;/ruby&gt;")</f>
        <v>&lt;ruby&gt;蹲&lt;rt&gt;dūn&lt;/rt&gt;&lt;/ruby&gt;</v>
      </c>
      <c r="E1586" s="13" t="str">
        <f ca="1">IFERROR(__xludf.DUMMYFUNCTION("""COMPUTED_VALUE"""),"dūn")</f>
        <v>dūn</v>
      </c>
      <c r="F1586" s="13" t="str">
        <f ca="1">IFERROR(__xludf.DUMMYFUNCTION("""COMPUTED_VALUE"""),"Động từ")</f>
        <v>Động từ</v>
      </c>
      <c r="G1586" s="13" t="str">
        <f ca="1">IFERROR(__xludf.DUMMYFUNCTION("""COMPUTED_VALUE"""),"ngồi xổm")</f>
        <v>ngồi xổm</v>
      </c>
      <c r="H1586" s="13" t="str">
        <f ca="1">IFERROR(__xludf.DUMMYFUNCTION("""COMPUTED_VALUE"""),"他蹲在地上看那只猫。")</f>
        <v>他蹲在地上看那只猫。</v>
      </c>
      <c r="I1586" s="13"/>
      <c r="J1586" s="13" t="str">
        <f ca="1">IFERROR(__xludf.DUMMYFUNCTION("""COMPUTED_VALUE"""),"Anh ấy ngồi xổm trên đất ngắm con mèo.")</f>
        <v>Anh ấy ngồi xổm trên đất ngắm con mèo.</v>
      </c>
      <c r="K1586" s="13" t="str">
        <f ca="1">IFERROR(__xludf.DUMMYFUNCTION("""COMPUTED_VALUE"""),"H5_B7_BG-20.png")</f>
        <v>H5_B7_BG-20.png</v>
      </c>
      <c r="L1586" s="13" t="str">
        <f ca="1">IFERROR(__xludf.DUMMYFUNCTION("""COMPUTED_VALUE"""),"B7_20.mp3")</f>
        <v>B7_20.mp3</v>
      </c>
      <c r="M1586" s="13" t="str">
        <f ca="1">IFERROR(__xludf.DUMMYFUNCTION("""COMPUTED_VALUE"""),"B7_VD_20.mp3")</f>
        <v>B7_VD_20.mp3</v>
      </c>
    </row>
    <row r="1587" spans="1:13">
      <c r="A1587" s="13">
        <f ca="1">IFERROR(__xludf.DUMMYFUNCTION("""COMPUTED_VALUE"""),21)</f>
        <v>21</v>
      </c>
      <c r="B1587" s="13"/>
      <c r="C1587" s="13" t="str">
        <f ca="1">IFERROR(__xludf.DUMMYFUNCTION("""COMPUTED_VALUE"""),"反应")</f>
        <v>反应</v>
      </c>
      <c r="D1587" s="13" t="str">
        <f ca="1">IFERROR(__xludf.DUMMYFUNCTION("""COMPUTED_VALUE"""),"&lt;ruby&gt;反应&lt;rt&gt;fǎnyìng&lt;/rt&gt;&lt;/ruby&gt;")</f>
        <v>&lt;ruby&gt;反应&lt;rt&gt;fǎnyìng&lt;/rt&gt;&lt;/ruby&gt;</v>
      </c>
      <c r="E1587" s="13" t="str">
        <f ca="1">IFERROR(__xludf.DUMMYFUNCTION("""COMPUTED_VALUE"""),"fǎnyìng")</f>
        <v>fǎnyìng</v>
      </c>
      <c r="F1587" s="13" t="str">
        <f ca="1">IFERROR(__xludf.DUMMYFUNCTION("""COMPUTED_VALUE"""),"Động từ/Danh từ")</f>
        <v>Động từ/Danh từ</v>
      </c>
      <c r="G1587" s="13" t="str">
        <f ca="1">IFERROR(__xludf.DUMMYFUNCTION("""COMPUTED_VALUE"""),"phản ứng; sự phản ứng")</f>
        <v>phản ứng; sự phản ứng</v>
      </c>
      <c r="H1587" s="13" t="str">
        <f ca="1">IFERROR(__xludf.DUMMYFUNCTION("""COMPUTED_VALUE"""),"看到这张照片时，他的反应很惊讶。")</f>
        <v>看到这张照片时，他的反应很惊讶。</v>
      </c>
      <c r="I1587" s="13"/>
      <c r="J1587" s="13" t="str">
        <f ca="1">IFERROR(__xludf.DUMMYFUNCTION("""COMPUTED_VALUE"""),"Khi nhìn thấy bức ảnh này, phản ứng của anh ấy rất ngạc nhiên.")</f>
        <v>Khi nhìn thấy bức ảnh này, phản ứng của anh ấy rất ngạc nhiên.</v>
      </c>
      <c r="K1587" s="13" t="str">
        <f ca="1">IFERROR(__xludf.DUMMYFUNCTION("""COMPUTED_VALUE"""),"H5_B7_BG-21.png")</f>
        <v>H5_B7_BG-21.png</v>
      </c>
      <c r="L1587" s="13" t="str">
        <f ca="1">IFERROR(__xludf.DUMMYFUNCTION("""COMPUTED_VALUE"""),"B7_21.mp3")</f>
        <v>B7_21.mp3</v>
      </c>
      <c r="M1587" s="13" t="str">
        <f ca="1">IFERROR(__xludf.DUMMYFUNCTION("""COMPUTED_VALUE"""),"B7_VD_21.mp3")</f>
        <v>B7_VD_21.mp3</v>
      </c>
    </row>
    <row r="1588" spans="1:13">
      <c r="A1588" s="13">
        <f ca="1">IFERROR(__xludf.DUMMYFUNCTION("""COMPUTED_VALUE"""),22)</f>
        <v>22</v>
      </c>
      <c r="B1588" s="13"/>
      <c r="C1588" s="13" t="str">
        <f ca="1">IFERROR(__xludf.DUMMYFUNCTION("""COMPUTED_VALUE"""),"尽（力）")</f>
        <v>尽（力）</v>
      </c>
      <c r="D1588" s="13" t="str">
        <f ca="1">IFERROR(__xludf.DUMMYFUNCTION("""COMPUTED_VALUE"""),"&lt;ruby&gt;尽（力）&lt;rt&gt;jìn (lì)&lt;/rt&gt;&lt;/ruby&gt;")</f>
        <v>&lt;ruby&gt;尽（力）&lt;rt&gt;jìn (lì)&lt;/rt&gt;&lt;/ruby&gt;</v>
      </c>
      <c r="E1588" s="13" t="str">
        <f ca="1">IFERROR(__xludf.DUMMYFUNCTION("""COMPUTED_VALUE"""),"jìn (lì)")</f>
        <v>jìn (lì)</v>
      </c>
      <c r="F1588" s="13" t="str">
        <f ca="1">IFERROR(__xludf.DUMMYFUNCTION("""COMPUTED_VALUE"""),"Động từ")</f>
        <v>Động từ</v>
      </c>
      <c r="G1588" s="13" t="str">
        <f ca="1">IFERROR(__xludf.DUMMYFUNCTION("""COMPUTED_VALUE"""),"gắng hết sức")</f>
        <v>gắng hết sức</v>
      </c>
      <c r="H1588" s="13" t="str">
        <f ca="1">IFERROR(__xludf.DUMMYFUNCTION("""COMPUTED_VALUE"""),"他尽力搬动了这个箱子。")</f>
        <v>他尽力搬动了这个箱子。</v>
      </c>
      <c r="I1588" s="13"/>
      <c r="J1588" s="13" t="str">
        <f ca="1">IFERROR(__xludf.DUMMYFUNCTION("""COMPUTED_VALUE"""),"Anh ấy đã gắng hết sức để di chuyển thùng đồ này.")</f>
        <v>Anh ấy đã gắng hết sức để di chuyển thùng đồ này.</v>
      </c>
      <c r="K1588" s="13" t="str">
        <f ca="1">IFERROR(__xludf.DUMMYFUNCTION("""COMPUTED_VALUE"""),"H5_B7_BG-22.png")</f>
        <v>H5_B7_BG-22.png</v>
      </c>
      <c r="L1588" s="13" t="str">
        <f ca="1">IFERROR(__xludf.DUMMYFUNCTION("""COMPUTED_VALUE"""),"B7_22.mp3")</f>
        <v>B7_22.mp3</v>
      </c>
      <c r="M1588" s="13" t="str">
        <f ca="1">IFERROR(__xludf.DUMMYFUNCTION("""COMPUTED_VALUE"""),"B7_VD_22.mp3")</f>
        <v>B7_VD_22.mp3</v>
      </c>
    </row>
    <row r="1589" spans="1:13">
      <c r="A1589" s="13">
        <f ca="1">IFERROR(__xludf.DUMMYFUNCTION("""COMPUTED_VALUE"""),23)</f>
        <v>23</v>
      </c>
      <c r="B1589" s="13"/>
      <c r="C1589" s="13" t="str">
        <f ca="1">IFERROR(__xludf.DUMMYFUNCTION("""COMPUTED_VALUE"""),"连续")</f>
        <v>连续</v>
      </c>
      <c r="D1589" s="13" t="str">
        <f ca="1">IFERROR(__xludf.DUMMYFUNCTION("""COMPUTED_VALUE"""),"&lt;ruby&gt;连续&lt;rt&gt;liánxù&lt;/rt&gt;&lt;/ruby&gt;")</f>
        <v>&lt;ruby&gt;连续&lt;rt&gt;liánxù&lt;/rt&gt;&lt;/ruby&gt;</v>
      </c>
      <c r="E1589" s="13" t="str">
        <f ca="1">IFERROR(__xludf.DUMMYFUNCTION("""COMPUTED_VALUE"""),"liánxù")</f>
        <v>liánxù</v>
      </c>
      <c r="F1589" s="13" t="str">
        <f ca="1">IFERROR(__xludf.DUMMYFUNCTION("""COMPUTED_VALUE"""),"Động từ")</f>
        <v>Động từ</v>
      </c>
      <c r="G1589" s="13" t="str">
        <f ca="1">IFERROR(__xludf.DUMMYFUNCTION("""COMPUTED_VALUE"""),"liên tục, liên tiếp")</f>
        <v>liên tục, liên tiếp</v>
      </c>
      <c r="H1589" s="13" t="str">
        <f ca="1">IFERROR(__xludf.DUMMYFUNCTION("""COMPUTED_VALUE"""),"他连续工作了12小时，感觉很累。")</f>
        <v>他连续工作了12小时，感觉很累。</v>
      </c>
      <c r="I1589" s="13"/>
      <c r="J1589" s="13" t="str">
        <f ca="1">IFERROR(__xludf.DUMMYFUNCTION("""COMPUTED_VALUE"""),"Anh ấy đã làm việc liên tục 12 tiếng và cảm thấy rất mệt.")</f>
        <v>Anh ấy đã làm việc liên tục 12 tiếng và cảm thấy rất mệt.</v>
      </c>
      <c r="K1589" s="13" t="str">
        <f ca="1">IFERROR(__xludf.DUMMYFUNCTION("""COMPUTED_VALUE"""),"H5_B7_BG-23.png")</f>
        <v>H5_B7_BG-23.png</v>
      </c>
      <c r="L1589" s="13" t="str">
        <f ca="1">IFERROR(__xludf.DUMMYFUNCTION("""COMPUTED_VALUE"""),"B7_23.mp3")</f>
        <v>B7_23.mp3</v>
      </c>
      <c r="M1589" s="13" t="str">
        <f ca="1">IFERROR(__xludf.DUMMYFUNCTION("""COMPUTED_VALUE"""),"B7_VD_23.mp3")</f>
        <v>B7_VD_23.mp3</v>
      </c>
    </row>
    <row r="1590" spans="1:13">
      <c r="A1590" s="13">
        <f ca="1">IFERROR(__xludf.DUMMYFUNCTION("""COMPUTED_VALUE"""),24)</f>
        <v>24</v>
      </c>
      <c r="B1590" s="13"/>
      <c r="C1590" s="13" t="str">
        <f ca="1">IFERROR(__xludf.DUMMYFUNCTION("""COMPUTED_VALUE"""),"摸")</f>
        <v>摸</v>
      </c>
      <c r="D1590" s="13" t="str">
        <f ca="1">IFERROR(__xludf.DUMMYFUNCTION("""COMPUTED_VALUE"""),"&lt;ruby&gt;摸&lt;rt&gt;mō&lt;/rt&gt;&lt;/ruby&gt;")</f>
        <v>&lt;ruby&gt;摸&lt;rt&gt;mō&lt;/rt&gt;&lt;/ruby&gt;</v>
      </c>
      <c r="E1590" s="13" t="str">
        <f ca="1">IFERROR(__xludf.DUMMYFUNCTION("""COMPUTED_VALUE"""),"mō")</f>
        <v>mō</v>
      </c>
      <c r="F1590" s="13" t="str">
        <f ca="1">IFERROR(__xludf.DUMMYFUNCTION("""COMPUTED_VALUE"""),"Động từ")</f>
        <v>Động từ</v>
      </c>
      <c r="G1590" s="13" t="str">
        <f ca="1">IFERROR(__xludf.DUMMYFUNCTION("""COMPUTED_VALUE"""),"mò, sờ")</f>
        <v>mò, sờ</v>
      </c>
      <c r="H1590" s="13" t="str">
        <f ca="1">IFERROR(__xludf.DUMMYFUNCTION("""COMPUTED_VALUE"""),"她闭着眼摸到了正确的路。")</f>
        <v>她闭着眼摸到了正确的路。</v>
      </c>
      <c r="I1590" s="13"/>
      <c r="J1590" s="13" t="str">
        <f ca="1">IFERROR(__xludf.DUMMYFUNCTION("""COMPUTED_VALUE"""),"Cô ấy nhắm mắt nhưng vẫn mò được đúng đường.")</f>
        <v>Cô ấy nhắm mắt nhưng vẫn mò được đúng đường.</v>
      </c>
      <c r="K1590" s="13" t="str">
        <f ca="1">IFERROR(__xludf.DUMMYFUNCTION("""COMPUTED_VALUE"""),"H5_B7_BG-24.png")</f>
        <v>H5_B7_BG-24.png</v>
      </c>
      <c r="L1590" s="13" t="str">
        <f ca="1">IFERROR(__xludf.DUMMYFUNCTION("""COMPUTED_VALUE"""),"B7_24.mp3")</f>
        <v>B7_24.mp3</v>
      </c>
      <c r="M1590" s="13" t="str">
        <f ca="1">IFERROR(__xludf.DUMMYFUNCTION("""COMPUTED_VALUE"""),"B7_VD_24.mp3")</f>
        <v>B7_VD_24.mp3</v>
      </c>
    </row>
    <row r="1591" spans="1:13">
      <c r="A1591" s="13">
        <f ca="1">IFERROR(__xludf.DUMMYFUNCTION("""COMPUTED_VALUE"""),25)</f>
        <v>25</v>
      </c>
      <c r="B1591" s="13"/>
      <c r="C1591" s="13" t="str">
        <f ca="1">IFERROR(__xludf.DUMMYFUNCTION("""COMPUTED_VALUE"""),"确定")</f>
        <v>确定</v>
      </c>
      <c r="D1591" s="13" t="str">
        <f ca="1">IFERROR(__xludf.DUMMYFUNCTION("""COMPUTED_VALUE"""),"&lt;ruby&gt;确定&lt;rt&gt;quèding&lt;/rt&gt;&lt;/ruby&gt;")</f>
        <v>&lt;ruby&gt;确定&lt;rt&gt;quèding&lt;/rt&gt;&lt;/ruby&gt;</v>
      </c>
      <c r="E1591" s="13" t="str">
        <f ca="1">IFERROR(__xludf.DUMMYFUNCTION("""COMPUTED_VALUE"""),"quèding")</f>
        <v>quèding</v>
      </c>
      <c r="F1591" s="13" t="str">
        <f ca="1">IFERROR(__xludf.DUMMYFUNCTION("""COMPUTED_VALUE"""),"Động từ")</f>
        <v>Động từ</v>
      </c>
      <c r="G1591" s="13" t="str">
        <f ca="1">IFERROR(__xludf.DUMMYFUNCTION("""COMPUTED_VALUE"""),"xác định, khẳng định")</f>
        <v>xác định, khẳng định</v>
      </c>
      <c r="H1591" s="13" t="str">
        <f ca="1">IFERROR(__xludf.DUMMYFUNCTION("""COMPUTED_VALUE"""),"他确定以后想做飞行员。")</f>
        <v>他确定以后想做飞行员。</v>
      </c>
      <c r="I1591" s="13"/>
      <c r="J1591" s="13" t="str">
        <f ca="1">IFERROR(__xludf.DUMMYFUNCTION("""COMPUTED_VALUE"""),"Cậu ấy xác định sau này sẽ làm phi công giống ba mình.")</f>
        <v>Cậu ấy xác định sau này sẽ làm phi công giống ba mình.</v>
      </c>
      <c r="K1591" s="13" t="str">
        <f ca="1">IFERROR(__xludf.DUMMYFUNCTION("""COMPUTED_VALUE"""),"H5_B7_BG-25.png")</f>
        <v>H5_B7_BG-25.png</v>
      </c>
      <c r="L1591" s="13" t="str">
        <f ca="1">IFERROR(__xludf.DUMMYFUNCTION("""COMPUTED_VALUE"""),"B7_25.mp3")</f>
        <v>B7_25.mp3</v>
      </c>
      <c r="M1591" s="13" t="str">
        <f ca="1">IFERROR(__xludf.DUMMYFUNCTION("""COMPUTED_VALUE"""),"B7_VD_25.mp3")</f>
        <v>B7_VD_25.mp3</v>
      </c>
    </row>
    <row r="1592" spans="1:13">
      <c r="A1592" s="13">
        <f ca="1">IFERROR(__xludf.DUMMYFUNCTION("""COMPUTED_VALUE"""),26)</f>
        <v>26</v>
      </c>
      <c r="B1592" s="13"/>
      <c r="C1592" s="13" t="str">
        <f ca="1">IFERROR(__xludf.DUMMYFUNCTION("""COMPUTED_VALUE"""),"碎")</f>
        <v>碎</v>
      </c>
      <c r="D1592" s="13" t="str">
        <f ca="1">IFERROR(__xludf.DUMMYFUNCTION("""COMPUTED_VALUE"""),"&lt;ruby&gt;碎&lt;rt&gt;suì&lt;/rt&gt;&lt;/ruby&gt;")</f>
        <v>&lt;ruby&gt;碎&lt;rt&gt;suì&lt;/rt&gt;&lt;/ruby&gt;</v>
      </c>
      <c r="E1592" s="13" t="str">
        <f ca="1">IFERROR(__xludf.DUMMYFUNCTION("""COMPUTED_VALUE"""),"suì")</f>
        <v>suì</v>
      </c>
      <c r="F1592" s="13" t="str">
        <f ca="1">IFERROR(__xludf.DUMMYFUNCTION("""COMPUTED_VALUE"""),"Động từ/Tính từ ")</f>
        <v xml:space="preserve">Động từ/Tính từ </v>
      </c>
      <c r="G1592" s="13" t="str">
        <f ca="1">IFERROR(__xludf.DUMMYFUNCTION("""COMPUTED_VALUE"""),"vỡ; vụn vặt")</f>
        <v>vỡ; vụn vặt</v>
      </c>
      <c r="H1592" s="13" t="str">
        <f ca="1">IFERROR(__xludf.DUMMYFUNCTION("""COMPUTED_VALUE"""),"杯子掉到地上摔碎了。")</f>
        <v>杯子掉到地上摔碎了。</v>
      </c>
      <c r="I1592" s="13"/>
      <c r="J1592" s="13" t="str">
        <f ca="1">IFERROR(__xludf.DUMMYFUNCTION("""COMPUTED_VALUE"""),"Chiếc cốc rơi xuống đất và vỡ tan.")</f>
        <v>Chiếc cốc rơi xuống đất và vỡ tan.</v>
      </c>
      <c r="K1592" s="13" t="str">
        <f ca="1">IFERROR(__xludf.DUMMYFUNCTION("""COMPUTED_VALUE"""),"H5_B7_BG-26.png")</f>
        <v>H5_B7_BG-26.png</v>
      </c>
      <c r="L1592" s="13" t="str">
        <f ca="1">IFERROR(__xludf.DUMMYFUNCTION("""COMPUTED_VALUE"""),"B7_26.mp3")</f>
        <v>B7_26.mp3</v>
      </c>
      <c r="M1592" s="13" t="str">
        <f ca="1">IFERROR(__xludf.DUMMYFUNCTION("""COMPUTED_VALUE"""),"B7_VD_26.mp3")</f>
        <v>B7_VD_26.mp3</v>
      </c>
    </row>
    <row r="1593" spans="1:13">
      <c r="A1593" s="13">
        <f ca="1">IFERROR(__xludf.DUMMYFUNCTION("""COMPUTED_VALUE"""),27)</f>
        <v>27</v>
      </c>
      <c r="B1593" s="13"/>
      <c r="C1593" s="13" t="str">
        <f ca="1">IFERROR(__xludf.DUMMYFUNCTION("""COMPUTED_VALUE"""),"寻找")</f>
        <v>寻找</v>
      </c>
      <c r="D1593" s="13" t="str">
        <f ca="1">IFERROR(__xludf.DUMMYFUNCTION("""COMPUTED_VALUE"""),"&lt;ruby&gt;寻找&lt;rt&gt;xúnzhǎo&lt;/rt&gt;&lt;/ruby&gt;")</f>
        <v>&lt;ruby&gt;寻找&lt;rt&gt;xúnzhǎo&lt;/rt&gt;&lt;/ruby&gt;</v>
      </c>
      <c r="E1593" s="13" t="str">
        <f ca="1">IFERROR(__xludf.DUMMYFUNCTION("""COMPUTED_VALUE"""),"xúnzhǎo")</f>
        <v>xúnzhǎo</v>
      </c>
      <c r="F1593" s="13" t="str">
        <f ca="1">IFERROR(__xludf.DUMMYFUNCTION("""COMPUTED_VALUE"""),"Động từ")</f>
        <v>Động từ</v>
      </c>
      <c r="G1593" s="13" t="str">
        <f ca="1">IFERROR(__xludf.DUMMYFUNCTION("""COMPUTED_VALUE"""),"tìm")</f>
        <v>tìm</v>
      </c>
      <c r="H1593" s="13" t="str">
        <f ca="1">IFERROR(__xludf.DUMMYFUNCTION("""COMPUTED_VALUE"""),"她正在网上寻找工作。")</f>
        <v>她正在网上寻找工作。</v>
      </c>
      <c r="I1593" s="13"/>
      <c r="J1593" s="13" t="str">
        <f ca="1">IFERROR(__xludf.DUMMYFUNCTION("""COMPUTED_VALUE"""),"Cô ấy đang tìm việc qua mạng")</f>
        <v>Cô ấy đang tìm việc qua mạng</v>
      </c>
      <c r="K1593" s="13" t="str">
        <f ca="1">IFERROR(__xludf.DUMMYFUNCTION("""COMPUTED_VALUE"""),"H5_B7_BG-27.png")</f>
        <v>H5_B7_BG-27.png</v>
      </c>
      <c r="L1593" s="13" t="str">
        <f ca="1">IFERROR(__xludf.DUMMYFUNCTION("""COMPUTED_VALUE"""),"B7_27.mp3")</f>
        <v>B7_27.mp3</v>
      </c>
      <c r="M1593" s="13" t="str">
        <f ca="1">IFERROR(__xludf.DUMMYFUNCTION("""COMPUTED_VALUE"""),"B7_VD_27.mp3")</f>
        <v>B7_VD_27.mp3</v>
      </c>
    </row>
    <row r="1594" spans="1:13">
      <c r="A1594" s="13">
        <f ca="1">IFERROR(__xludf.DUMMYFUNCTION("""COMPUTED_VALUE"""),28)</f>
        <v>28</v>
      </c>
      <c r="B1594" s="13"/>
      <c r="C1594" s="13" t="str">
        <f ca="1">IFERROR(__xludf.DUMMYFUNCTION("""COMPUTED_VALUE"""),"摇")</f>
        <v>摇</v>
      </c>
      <c r="D1594" s="13" t="str">
        <f ca="1">IFERROR(__xludf.DUMMYFUNCTION("""COMPUTED_VALUE"""),"&lt;ruby&gt;摇&lt;rt&gt;yáo&lt;/rt&gt;&lt;/ruby&gt;")</f>
        <v>&lt;ruby&gt;摇&lt;rt&gt;yáo&lt;/rt&gt;&lt;/ruby&gt;</v>
      </c>
      <c r="E1594" s="13" t="str">
        <f ca="1">IFERROR(__xludf.DUMMYFUNCTION("""COMPUTED_VALUE"""),"yáo")</f>
        <v>yáo</v>
      </c>
      <c r="F1594" s="13" t="str">
        <f ca="1">IFERROR(__xludf.DUMMYFUNCTION("""COMPUTED_VALUE"""),"Động từ")</f>
        <v>Động từ</v>
      </c>
      <c r="G1594" s="13" t="str">
        <f ca="1">IFERROR(__xludf.DUMMYFUNCTION("""COMPUTED_VALUE"""),"lắc, vẫy")</f>
        <v>lắc, vẫy</v>
      </c>
      <c r="H1594" s="13" t="str">
        <f ca="1">IFERROR(__xludf.DUMMYFUNCTION("""COMPUTED_VALUE"""),"小孩子在院子里摇着木马，开心极了。")</f>
        <v>小孩子在院子里摇着木马，开心极了。</v>
      </c>
      <c r="I1594" s="13"/>
      <c r="J1594" s="13" t="str">
        <f ca="1">IFERROR(__xludf.DUMMYFUNCTION("""COMPUTED_VALUE"""),"Đứa trẻ đang lắc con ngựa gỗ trong sân, vui vẻ vô cùng.")</f>
        <v>Đứa trẻ đang lắc con ngựa gỗ trong sân, vui vẻ vô cùng.</v>
      </c>
      <c r="K1594" s="13" t="str">
        <f ca="1">IFERROR(__xludf.DUMMYFUNCTION("""COMPUTED_VALUE"""),"H5_B7_BG-28.png")</f>
        <v>H5_B7_BG-28.png</v>
      </c>
      <c r="L1594" s="13" t="str">
        <f ca="1">IFERROR(__xludf.DUMMYFUNCTION("""COMPUTED_VALUE"""),"B7_28.mp3")</f>
        <v>B7_28.mp3</v>
      </c>
      <c r="M1594" s="13" t="str">
        <f ca="1">IFERROR(__xludf.DUMMYFUNCTION("""COMPUTED_VALUE"""),"B7_VD_28.mp3")</f>
        <v>B7_VD_28.mp3</v>
      </c>
    </row>
    <row r="1595" spans="1:13">
      <c r="A1595" s="13">
        <f ca="1">IFERROR(__xludf.DUMMYFUNCTION("""COMPUTED_VALUE"""),29)</f>
        <v>29</v>
      </c>
      <c r="B1595" s="13"/>
      <c r="C1595" s="13" t="str">
        <f ca="1">IFERROR(__xludf.DUMMYFUNCTION("""COMPUTED_VALUE"""),"打猎")</f>
        <v>打猎</v>
      </c>
      <c r="D1595" s="13" t="str">
        <f ca="1">IFERROR(__xludf.DUMMYFUNCTION("""COMPUTED_VALUE"""),"&lt;ruby&gt;打猎&lt;rt&gt;dǎ liè &lt;/rt&gt;&lt;/ruby&gt;")</f>
        <v>&lt;ruby&gt;打猎&lt;rt&gt;dǎ liè &lt;/rt&gt;&lt;/ruby&gt;</v>
      </c>
      <c r="E1595" s="13" t="str">
        <f ca="1">IFERROR(__xludf.DUMMYFUNCTION("""COMPUTED_VALUE"""),"dǎ liè ")</f>
        <v xml:space="preserve">dǎ liè </v>
      </c>
      <c r="F1595" s="13" t="str">
        <f ca="1">IFERROR(__xludf.DUMMYFUNCTION("""COMPUTED_VALUE"""),"Động từ")</f>
        <v>Động từ</v>
      </c>
      <c r="G1595" s="13" t="str">
        <f ca="1">IFERROR(__xludf.DUMMYFUNCTION("""COMPUTED_VALUE"""),"đi săn")</f>
        <v>đi săn</v>
      </c>
      <c r="H1595" s="13" t="str">
        <f ca="1">IFERROR(__xludf.DUMMYFUNCTION("""COMPUTED_VALUE"""),"他很有打猎的经验。")</f>
        <v>他很有打猎的经验。</v>
      </c>
      <c r="I1595" s="13"/>
      <c r="J1595" s="13" t="str">
        <f ca="1">IFERROR(__xludf.DUMMYFUNCTION("""COMPUTED_VALUE"""),"Anh ấy rất có kinh nghiệm đi săn.")</f>
        <v>Anh ấy rất có kinh nghiệm đi săn.</v>
      </c>
      <c r="K1595" s="13" t="str">
        <f ca="1">IFERROR(__xludf.DUMMYFUNCTION("""COMPUTED_VALUE"""),"H5_B7_BG-29.png")</f>
        <v>H5_B7_BG-29.png</v>
      </c>
      <c r="L1595" s="13" t="str">
        <f ca="1">IFERROR(__xludf.DUMMYFUNCTION("""COMPUTED_VALUE"""),"B7_29.mp3")</f>
        <v>B7_29.mp3</v>
      </c>
      <c r="M1595" s="13" t="str">
        <f ca="1">IFERROR(__xludf.DUMMYFUNCTION("""COMPUTED_VALUE"""),"B7_VD_29.mp3")</f>
        <v>B7_VD_29.mp3</v>
      </c>
    </row>
    <row r="1596" spans="1:13">
      <c r="A1596" s="13">
        <f ca="1">IFERROR(__xludf.DUMMYFUNCTION("""COMPUTED_VALUE"""),30)</f>
        <v>30</v>
      </c>
      <c r="B1596" s="13"/>
      <c r="C1596" s="13" t="str">
        <f ca="1">IFERROR(__xludf.DUMMYFUNCTION("""COMPUTED_VALUE"""),"全神贯注")</f>
        <v>全神贯注</v>
      </c>
      <c r="D1596" s="13" t="str">
        <f ca="1">IFERROR(__xludf.DUMMYFUNCTION("""COMPUTED_VALUE"""),"&lt;ruby&gt;全神贯注&lt;rt&gt;quánshén guànzhù &lt;/rt&gt;&lt;/ruby&gt;")</f>
        <v>&lt;ruby&gt;全神贯注&lt;rt&gt;quánshén guànzhù &lt;/rt&gt;&lt;/ruby&gt;</v>
      </c>
      <c r="E1596" s="13" t="str">
        <f ca="1">IFERROR(__xludf.DUMMYFUNCTION("""COMPUTED_VALUE"""),"quánshén guànzhù ")</f>
        <v xml:space="preserve">quánshén guànzhù </v>
      </c>
      <c r="F1596" s="13"/>
      <c r="G1596" s="13" t="str">
        <f ca="1">IFERROR(__xludf.DUMMYFUNCTION("""COMPUTED_VALUE"""),"tập trung tinh thần")</f>
        <v>tập trung tinh thần</v>
      </c>
      <c r="H1596" s="13" t="str">
        <f ca="1">IFERROR(__xludf.DUMMYFUNCTION("""COMPUTED_VALUE"""),"他全神贯注地看着书，连有人叫他都没听见。")</f>
        <v>他全神贯注地看着书，连有人叫他都没听见。</v>
      </c>
      <c r="I1596" s="13"/>
      <c r="J1596" s="13" t="str">
        <f ca="1">IFERROR(__xludf.DUMMYFUNCTION("""COMPUTED_VALUE"""),"Anh ấy tập trung cao độ vào việc đọc sách, đến mức có người gọi cũng không nghe thấy.")</f>
        <v>Anh ấy tập trung cao độ vào việc đọc sách, đến mức có người gọi cũng không nghe thấy.</v>
      </c>
      <c r="K1596" s="13" t="str">
        <f ca="1">IFERROR(__xludf.DUMMYFUNCTION("""COMPUTED_VALUE"""),"H5_B7_BG-30.png")</f>
        <v>H5_B7_BG-30.png</v>
      </c>
      <c r="L1596" s="13" t="str">
        <f ca="1">IFERROR(__xludf.DUMMYFUNCTION("""COMPUTED_VALUE"""),"B7_30.mp3")</f>
        <v>B7_30.mp3</v>
      </c>
      <c r="M1596" s="13" t="str">
        <f ca="1">IFERROR(__xludf.DUMMYFUNCTION("""COMPUTED_VALUE"""),"B7_VD_30.mp3")</f>
        <v>B7_VD_30.mp3</v>
      </c>
    </row>
    <row r="1597" spans="1:13">
      <c r="A1597" s="13">
        <f ca="1">IFERROR(__xludf.DUMMYFUNCTION("""COMPUTED_VALUE"""),31)</f>
        <v>31</v>
      </c>
      <c r="B1597" s="13"/>
      <c r="C1597" s="13" t="str">
        <f ca="1">IFERROR(__xludf.DUMMYFUNCTION("""COMPUTED_VALUE"""),"成语")</f>
        <v>成语</v>
      </c>
      <c r="D1597" s="13" t="str">
        <f ca="1">IFERROR(__xludf.DUMMYFUNCTION("""COMPUTED_VALUE"""),"&lt;ruby&gt;成语&lt;rt&gt;chéngyǔ&lt;/rt&gt;&lt;/ruby&gt;")</f>
        <v>&lt;ruby&gt;成语&lt;rt&gt;chéngyǔ&lt;/rt&gt;&lt;/ruby&gt;</v>
      </c>
      <c r="E1597" s="13" t="str">
        <f ca="1">IFERROR(__xludf.DUMMYFUNCTION("""COMPUTED_VALUE"""),"chéngyǔ")</f>
        <v>chéngyǔ</v>
      </c>
      <c r="F1597" s="13" t="str">
        <f ca="1">IFERROR(__xludf.DUMMYFUNCTION("""COMPUTED_VALUE"""),"Danh từ")</f>
        <v>Danh từ</v>
      </c>
      <c r="G1597" s="13" t="str">
        <f ca="1">IFERROR(__xludf.DUMMYFUNCTION("""COMPUTED_VALUE"""),"thành ngữ")</f>
        <v>thành ngữ</v>
      </c>
      <c r="H1597" s="13" t="str">
        <f ca="1">IFERROR(__xludf.DUMMYFUNCTION("""COMPUTED_VALUE"""),"她很喜欢学习成语。")</f>
        <v>她很喜欢学习成语。</v>
      </c>
      <c r="I1597" s="13"/>
      <c r="J1597" s="13" t="str">
        <f ca="1">IFERROR(__xludf.DUMMYFUNCTION("""COMPUTED_VALUE"""),"Cô ấy rất thích học thành ngữ.")</f>
        <v>Cô ấy rất thích học thành ngữ.</v>
      </c>
      <c r="K1597" s="13" t="str">
        <f ca="1">IFERROR(__xludf.DUMMYFUNCTION("""COMPUTED_VALUE"""),"H5_B7_BG-31.png")</f>
        <v>H5_B7_BG-31.png</v>
      </c>
      <c r="L1597" s="13" t="str">
        <f ca="1">IFERROR(__xludf.DUMMYFUNCTION("""COMPUTED_VALUE"""),"B7_31.mp3")</f>
        <v>B7_31.mp3</v>
      </c>
      <c r="M1597" s="13" t="str">
        <f ca="1">IFERROR(__xludf.DUMMYFUNCTION("""COMPUTED_VALUE"""),"B7_VD_31.mp3")</f>
        <v>B7_VD_31.mp3</v>
      </c>
    </row>
    <row r="1598" spans="1:13">
      <c r="A1598" s="13">
        <f ca="1">IFERROR(__xludf.DUMMYFUNCTION("""COMPUTED_VALUE"""),32)</f>
        <v>32</v>
      </c>
      <c r="B1598" s="13"/>
      <c r="C1598" s="13" t="str">
        <f ca="1">IFERROR(__xludf.DUMMYFUNCTION("""COMPUTED_VALUE"""),"分别")</f>
        <v>分别</v>
      </c>
      <c r="D1598" s="13" t="str">
        <f ca="1">IFERROR(__xludf.DUMMYFUNCTION("""COMPUTED_VALUE"""),"&lt;ruby&gt;分别&lt;rt&gt;fēnbié&lt;/rt&gt;&lt;/ruby&gt;")</f>
        <v>&lt;ruby&gt;分别&lt;rt&gt;fēnbié&lt;/rt&gt;&lt;/ruby&gt;</v>
      </c>
      <c r="E1598" s="13" t="str">
        <f ca="1">IFERROR(__xludf.DUMMYFUNCTION("""COMPUTED_VALUE"""),"fēnbié")</f>
        <v>fēnbié</v>
      </c>
      <c r="F1598" s="13" t="str">
        <f ca="1">IFERROR(__xludf.DUMMYFUNCTION("""COMPUTED_VALUE"""),"Phó từ")</f>
        <v>Phó từ</v>
      </c>
      <c r="G1598" s="13" t="str">
        <f ca="1">IFERROR(__xludf.DUMMYFUNCTION("""COMPUTED_VALUE"""),"riêng rẽ, từng người")</f>
        <v>riêng rẽ, từng người</v>
      </c>
      <c r="H1598" s="13" t="str">
        <f ca="1">IFERROR(__xludf.DUMMYFUNCTION("""COMPUTED_VALUE"""),"我们分别朝不同的方向走。")</f>
        <v>我们分别朝不同的方向走。</v>
      </c>
      <c r="I1598" s="13"/>
      <c r="J1598" s="13" t="str">
        <f ca="1">IFERROR(__xludf.DUMMYFUNCTION("""COMPUTED_VALUE"""),"Chúng tôi đi riêng rẽ về các hướng khác nhau.")</f>
        <v>Chúng tôi đi riêng rẽ về các hướng khác nhau.</v>
      </c>
      <c r="K1598" s="13" t="str">
        <f ca="1">IFERROR(__xludf.DUMMYFUNCTION("""COMPUTED_VALUE"""),"H5_B7_BG-32.png")</f>
        <v>H5_B7_BG-32.png</v>
      </c>
      <c r="L1598" s="13" t="str">
        <f ca="1">IFERROR(__xludf.DUMMYFUNCTION("""COMPUTED_VALUE"""),"B7_32.mp3")</f>
        <v>B7_32.mp3</v>
      </c>
      <c r="M1598" s="13" t="str">
        <f ca="1">IFERROR(__xludf.DUMMYFUNCTION("""COMPUTED_VALUE"""),"B7_VD_32.mp3")</f>
        <v>B7_VD_32.mp3</v>
      </c>
    </row>
    <row r="1599" spans="1:13">
      <c r="A1599" s="13">
        <f ca="1">IFERROR(__xludf.DUMMYFUNCTION("""COMPUTED_VALUE"""),33)</f>
        <v>33</v>
      </c>
      <c r="B1599" s="13"/>
      <c r="C1599" s="13" t="str">
        <f ca="1">IFERROR(__xludf.DUMMYFUNCTION("""COMPUTED_VALUE"""),"结论")</f>
        <v>结论</v>
      </c>
      <c r="D1599" s="13" t="str">
        <f ca="1">IFERROR(__xludf.DUMMYFUNCTION("""COMPUTED_VALUE"""),"&lt;ruby&gt;结论&lt;rt&gt;jiélùn&lt;/rt&gt;&lt;/ruby&gt;")</f>
        <v>&lt;ruby&gt;结论&lt;rt&gt;jiélùn&lt;/rt&gt;&lt;/ruby&gt;</v>
      </c>
      <c r="E1599" s="13" t="str">
        <f ca="1">IFERROR(__xludf.DUMMYFUNCTION("""COMPUTED_VALUE"""),"jiélùn")</f>
        <v>jiélùn</v>
      </c>
      <c r="F1599" s="13" t="str">
        <f ca="1">IFERROR(__xludf.DUMMYFUNCTION("""COMPUTED_VALUE"""),"Danh từ")</f>
        <v>Danh từ</v>
      </c>
      <c r="G1599" s="13" t="str">
        <f ca="1">IFERROR(__xludf.DUMMYFUNCTION("""COMPUTED_VALUE"""),"kết luận")</f>
        <v>kết luận</v>
      </c>
      <c r="H1599" s="13" t="str">
        <f ca="1">IFERROR(__xludf.DUMMYFUNCTION("""COMPUTED_VALUE"""),"老师为今天的课程得出了清楚的结论。")</f>
        <v>老师为今天的课程得出了清楚的结论。</v>
      </c>
      <c r="I1599" s="13"/>
      <c r="J1599" s="13" t="str">
        <f ca="1">IFERROR(__xludf.DUMMYFUNCTION("""COMPUTED_VALUE"""),"Giáo viên đưa ra một kết luận rõ ràng cho bài học hôm nay.")</f>
        <v>Giáo viên đưa ra một kết luận rõ ràng cho bài học hôm nay.</v>
      </c>
      <c r="K1599" s="13" t="str">
        <f ca="1">IFERROR(__xludf.DUMMYFUNCTION("""COMPUTED_VALUE"""),"H5_B7_BG-33.png")</f>
        <v>H5_B7_BG-33.png</v>
      </c>
      <c r="L1599" s="13" t="str">
        <f ca="1">IFERROR(__xludf.DUMMYFUNCTION("""COMPUTED_VALUE"""),"B7_33.mp3")</f>
        <v>B7_33.mp3</v>
      </c>
      <c r="M1599" s="13" t="str">
        <f ca="1">IFERROR(__xludf.DUMMYFUNCTION("""COMPUTED_VALUE"""),"B7_VD_33.mp3")</f>
        <v>B7_VD_33.mp3</v>
      </c>
    </row>
    <row r="1600" spans="1:13">
      <c r="A1600" s="13">
        <f ca="1">IFERROR(__xludf.DUMMYFUNCTION("""COMPUTED_VALUE"""),34)</f>
        <v>34</v>
      </c>
      <c r="B1600" s="13"/>
      <c r="C1600" s="13" t="str">
        <f ca="1">IFERROR(__xludf.DUMMYFUNCTION("""COMPUTED_VALUE"""),"金属")</f>
        <v>金属</v>
      </c>
      <c r="D1600" s="13" t="str">
        <f ca="1">IFERROR(__xludf.DUMMYFUNCTION("""COMPUTED_VALUE"""),"&lt;ruby&gt;金属&lt;rt&gt;jīnshŭ&lt;/rt&gt;&lt;/ruby&gt;")</f>
        <v>&lt;ruby&gt;金属&lt;rt&gt;jīnshŭ&lt;/rt&gt;&lt;/ruby&gt;</v>
      </c>
      <c r="E1600" s="13" t="str">
        <f ca="1">IFERROR(__xludf.DUMMYFUNCTION("""COMPUTED_VALUE"""),"jīnshŭ")</f>
        <v>jīnshŭ</v>
      </c>
      <c r="F1600" s="13" t="str">
        <f ca="1">IFERROR(__xludf.DUMMYFUNCTION("""COMPUTED_VALUE"""),"Danh từ")</f>
        <v>Danh từ</v>
      </c>
      <c r="G1600" s="13" t="str">
        <f ca="1">IFERROR(__xludf.DUMMYFUNCTION("""COMPUTED_VALUE"""),"kim loại")</f>
        <v>kim loại</v>
      </c>
      <c r="H1600" s="13" t="str">
        <f ca="1">IFERROR(__xludf.DUMMYFUNCTION("""COMPUTED_VALUE"""),"这把钥匙是金属制成的。")</f>
        <v>这把钥匙是金属制成的。</v>
      </c>
      <c r="I1600" s="13"/>
      <c r="J1600" s="13" t="str">
        <f ca="1">IFERROR(__xludf.DUMMYFUNCTION("""COMPUTED_VALUE"""),"Chiếc chìa khóa này làm bằng kim loại.")</f>
        <v>Chiếc chìa khóa này làm bằng kim loại.</v>
      </c>
      <c r="K1600" s="13" t="str">
        <f ca="1">IFERROR(__xludf.DUMMYFUNCTION("""COMPUTED_VALUE"""),"H5_B7_BG-34.png")</f>
        <v>H5_B7_BG-34.png</v>
      </c>
      <c r="L1600" s="13" t="str">
        <f ca="1">IFERROR(__xludf.DUMMYFUNCTION("""COMPUTED_VALUE"""),"B7_34.mp3")</f>
        <v>B7_34.mp3</v>
      </c>
      <c r="M1600" s="13" t="str">
        <f ca="1">IFERROR(__xludf.DUMMYFUNCTION("""COMPUTED_VALUE"""),"B7_VD_34.mp3")</f>
        <v>B7_VD_34.mp3</v>
      </c>
    </row>
    <row r="1601" spans="1:13">
      <c r="A1601" s="13">
        <f ca="1">IFERROR(__xludf.DUMMYFUNCTION("""COMPUTED_VALUE"""),35)</f>
        <v>35</v>
      </c>
      <c r="B1601" s="13"/>
      <c r="C1601" s="13" t="str">
        <f ca="1">IFERROR(__xludf.DUMMYFUNCTION("""COMPUTED_VALUE"""),"墙")</f>
        <v>墙</v>
      </c>
      <c r="D1601" s="13" t="str">
        <f ca="1">IFERROR(__xludf.DUMMYFUNCTION("""COMPUTED_VALUE"""),"&lt;ruby&gt;墙&lt;rt&gt;qiáng&lt;/rt&gt;&lt;/ruby&gt;")</f>
        <v>&lt;ruby&gt;墙&lt;rt&gt;qiáng&lt;/rt&gt;&lt;/ruby&gt;</v>
      </c>
      <c r="E1601" s="13" t="str">
        <f ca="1">IFERROR(__xludf.DUMMYFUNCTION("""COMPUTED_VALUE"""),"qiáng")</f>
        <v>qiáng</v>
      </c>
      <c r="F1601" s="13" t="str">
        <f ca="1">IFERROR(__xludf.DUMMYFUNCTION("""COMPUTED_VALUE"""),"Danh từ")</f>
        <v>Danh từ</v>
      </c>
      <c r="G1601" s="13" t="str">
        <f ca="1">IFERROR(__xludf.DUMMYFUNCTION("""COMPUTED_VALUE"""),"(bức) tường")</f>
        <v>(bức) tường</v>
      </c>
      <c r="H1601" s="13" t="str">
        <f ca="1">IFERROR(__xludf.DUMMYFUNCTION("""COMPUTED_VALUE"""),"这座房子的墙很厚，冬天不冷。")</f>
        <v>这座房子的墙很厚，冬天不冷。</v>
      </c>
      <c r="I1601" s="13"/>
      <c r="J1601" s="13" t="str">
        <f ca="1">IFERROR(__xludf.DUMMYFUNCTION("""COMPUTED_VALUE"""),"Tường của ngôi nhà này rất dày, mùa đông không lạnh.")</f>
        <v>Tường của ngôi nhà này rất dày, mùa đông không lạnh.</v>
      </c>
      <c r="K1601" s="13" t="str">
        <f ca="1">IFERROR(__xludf.DUMMYFUNCTION("""COMPUTED_VALUE"""),"H5_B7_BG-35.png")</f>
        <v>H5_B7_BG-35.png</v>
      </c>
      <c r="L1601" s="13" t="str">
        <f ca="1">IFERROR(__xludf.DUMMYFUNCTION("""COMPUTED_VALUE"""),"B7_35.mp3")</f>
        <v>B7_35.mp3</v>
      </c>
      <c r="M1601" s="13" t="str">
        <f ca="1">IFERROR(__xludf.DUMMYFUNCTION("""COMPUTED_VALUE"""),"B7_VD_35.mp3")</f>
        <v>B7_VD_35.mp3</v>
      </c>
    </row>
    <row r="1602" spans="1:13">
      <c r="A1602" s="13">
        <f ca="1">IFERROR(__xludf.DUMMYFUNCTION("""COMPUTED_VALUE"""),36)</f>
        <v>36</v>
      </c>
      <c r="B1602" s="13"/>
      <c r="C1602" s="13" t="str">
        <f ca="1">IFERROR(__xludf.DUMMYFUNCTION("""COMPUTED_VALUE"""),"扇子")</f>
        <v>扇子</v>
      </c>
      <c r="D1602" s="13" t="str">
        <f ca="1">IFERROR(__xludf.DUMMYFUNCTION("""COMPUTED_VALUE"""),"&lt;ruby&gt;扇子&lt;rt&gt;shànzi&lt;/rt&gt;&lt;/ruby&gt;")</f>
        <v>&lt;ruby&gt;扇子&lt;rt&gt;shànzi&lt;/rt&gt;&lt;/ruby&gt;</v>
      </c>
      <c r="E1602" s="13" t="str">
        <f ca="1">IFERROR(__xludf.DUMMYFUNCTION("""COMPUTED_VALUE"""),"shànzi")</f>
        <v>shànzi</v>
      </c>
      <c r="F1602" s="13" t="str">
        <f ca="1">IFERROR(__xludf.DUMMYFUNCTION("""COMPUTED_VALUE"""),"Danh từ")</f>
        <v>Danh từ</v>
      </c>
      <c r="G1602" s="13" t="str">
        <f ca="1">IFERROR(__xludf.DUMMYFUNCTION("""COMPUTED_VALUE"""),"(cái) quạt")</f>
        <v>(cái) quạt</v>
      </c>
      <c r="H1602" s="13" t="str">
        <f ca="1">IFERROR(__xludf.DUMMYFUNCTION("""COMPUTED_VALUE"""),"夏天，我经常用扇子。")</f>
        <v>夏天，我经常用扇子。</v>
      </c>
      <c r="I1602" s="13"/>
      <c r="J1602" s="13" t="str">
        <f ca="1">IFERROR(__xludf.DUMMYFUNCTION("""COMPUTED_VALUE"""),"Vào mùa hè, tôi thường dùng quạt.")</f>
        <v>Vào mùa hè, tôi thường dùng quạt.</v>
      </c>
      <c r="K1602" s="13" t="str">
        <f ca="1">IFERROR(__xludf.DUMMYFUNCTION("""COMPUTED_VALUE"""),"H5_B7_BG-36.png")</f>
        <v>H5_B7_BG-36.png</v>
      </c>
      <c r="L1602" s="13" t="str">
        <f ca="1">IFERROR(__xludf.DUMMYFUNCTION("""COMPUTED_VALUE"""),"B7_36.mp3")</f>
        <v>B7_36.mp3</v>
      </c>
      <c r="M1602" s="13" t="str">
        <f ca="1">IFERROR(__xludf.DUMMYFUNCTION("""COMPUTED_VALUE"""),"B7_VD_36.mp3")</f>
        <v>B7_VD_36.mp3</v>
      </c>
    </row>
    <row r="1603" spans="1:13">
      <c r="A1603" s="13">
        <f ca="1">IFERROR(__xludf.DUMMYFUNCTION("""COMPUTED_VALUE"""),37)</f>
        <v>37</v>
      </c>
      <c r="B1603" s="13"/>
      <c r="C1603" s="13" t="str">
        <f ca="1">IFERROR(__xludf.DUMMYFUNCTION("""COMPUTED_VALUE"""),"绳子")</f>
        <v>绳子</v>
      </c>
      <c r="D1603" s="13" t="str">
        <f ca="1">IFERROR(__xludf.DUMMYFUNCTION("""COMPUTED_VALUE"""),"&lt;ruby&gt;绳子&lt;rt&gt;shéngzi&lt;/rt&gt;&lt;/ruby&gt;")</f>
        <v>&lt;ruby&gt;绳子&lt;rt&gt;shéngzi&lt;/rt&gt;&lt;/ruby&gt;</v>
      </c>
      <c r="E1603" s="13" t="str">
        <f ca="1">IFERROR(__xludf.DUMMYFUNCTION("""COMPUTED_VALUE"""),"shéngzi")</f>
        <v>shéngzi</v>
      </c>
      <c r="F1603" s="13" t="str">
        <f ca="1">IFERROR(__xludf.DUMMYFUNCTION("""COMPUTED_VALUE"""),"Danh từ")</f>
        <v>Danh từ</v>
      </c>
      <c r="G1603" s="13" t="str">
        <f ca="1">IFERROR(__xludf.DUMMYFUNCTION("""COMPUTED_VALUE"""),"dây thừng")</f>
        <v>dây thừng</v>
      </c>
      <c r="H1603" s="13" t="str">
        <f ca="1">IFERROR(__xludf.DUMMYFUNCTION("""COMPUTED_VALUE"""),"这根绳子很长。")</f>
        <v>这根绳子很长。</v>
      </c>
      <c r="I1603" s="13"/>
      <c r="J1603" s="13" t="str">
        <f ca="1">IFERROR(__xludf.DUMMYFUNCTION("""COMPUTED_VALUE"""),"Sợi dây thừng này rất dài.")</f>
        <v>Sợi dây thừng này rất dài.</v>
      </c>
      <c r="K1603" s="13" t="str">
        <f ca="1">IFERROR(__xludf.DUMMYFUNCTION("""COMPUTED_VALUE"""),"H5_B7_BG-37.png")</f>
        <v>H5_B7_BG-37.png</v>
      </c>
      <c r="L1603" s="13" t="str">
        <f ca="1">IFERROR(__xludf.DUMMYFUNCTION("""COMPUTED_VALUE"""),"B7_37.mp3")</f>
        <v>B7_37.mp3</v>
      </c>
      <c r="M1603" s="13" t="str">
        <f ca="1">IFERROR(__xludf.DUMMYFUNCTION("""COMPUTED_VALUE"""),"B7_VD_37.mp3")</f>
        <v>B7_VD_37.mp3</v>
      </c>
    </row>
    <row r="1604" spans="1:13">
      <c r="A1604" s="13">
        <f ca="1">IFERROR(__xludf.DUMMYFUNCTION("""COMPUTED_VALUE"""),38)</f>
        <v>38</v>
      </c>
      <c r="B1604" s="13"/>
      <c r="C1604" s="13" t="str">
        <f ca="1">IFERROR(__xludf.DUMMYFUNCTION("""COMPUTED_VALUE"""),"石头")</f>
        <v>石头</v>
      </c>
      <c r="D1604" s="13" t="str">
        <f ca="1">IFERROR(__xludf.DUMMYFUNCTION("""COMPUTED_VALUE"""),"&lt;ruby&gt;石头&lt;rt&gt;shítou&lt;/rt&gt;&lt;/ruby&gt;")</f>
        <v>&lt;ruby&gt;石头&lt;rt&gt;shítou&lt;/rt&gt;&lt;/ruby&gt;</v>
      </c>
      <c r="E1604" s="13" t="str">
        <f ca="1">IFERROR(__xludf.DUMMYFUNCTION("""COMPUTED_VALUE"""),"shítou")</f>
        <v>shítou</v>
      </c>
      <c r="F1604" s="13" t="str">
        <f ca="1">IFERROR(__xludf.DUMMYFUNCTION("""COMPUTED_VALUE"""),"Danh từ")</f>
        <v>Danh từ</v>
      </c>
      <c r="G1604" s="13" t="str">
        <f ca="1">IFERROR(__xludf.DUMMYFUNCTION("""COMPUTED_VALUE"""),"đá")</f>
        <v>đá</v>
      </c>
      <c r="H1604" s="13" t="str">
        <f ca="1">IFERROR(__xludf.DUMMYFUNCTION("""COMPUTED_VALUE"""),"地上有一块大石头。")</f>
        <v>地上有一块大石头。</v>
      </c>
      <c r="I1604" s="13"/>
      <c r="J1604" s="13" t="str">
        <f ca="1">IFERROR(__xludf.DUMMYFUNCTION("""COMPUTED_VALUE"""),"Trên mặt đất có một hòn đá lớn.")</f>
        <v>Trên mặt đất có một hòn đá lớn.</v>
      </c>
      <c r="K1604" s="13" t="str">
        <f ca="1">IFERROR(__xludf.DUMMYFUNCTION("""COMPUTED_VALUE"""),"H5_B7_BG-38.png")</f>
        <v>H5_B7_BG-38.png</v>
      </c>
      <c r="L1604" s="13" t="str">
        <f ca="1">IFERROR(__xludf.DUMMYFUNCTION("""COMPUTED_VALUE"""),"B7_38.mp3")</f>
        <v>B7_38.mp3</v>
      </c>
      <c r="M1604" s="13" t="str">
        <f ca="1">IFERROR(__xludf.DUMMYFUNCTION("""COMPUTED_VALUE"""),"B7_VD_38.mp3")</f>
        <v>B7_VD_38.mp3</v>
      </c>
    </row>
    <row r="1605" spans="1:13">
      <c r="A1605" s="13">
        <f ca="1">IFERROR(__xludf.DUMMYFUNCTION("""COMPUTED_VALUE"""),39)</f>
        <v>39</v>
      </c>
      <c r="B1605" s="13"/>
      <c r="C1605" s="13" t="str">
        <f ca="1">IFERROR(__xludf.DUMMYFUNCTION("""COMPUTED_VALUE"""),"士兵")</f>
        <v>士兵</v>
      </c>
      <c r="D1605" s="13" t="str">
        <f ca="1">IFERROR(__xludf.DUMMYFUNCTION("""COMPUTED_VALUE"""),"&lt;ruby&gt;士兵&lt;rt&gt;shìbīng&lt;/rt&gt;&lt;/ruby&gt;")</f>
        <v>&lt;ruby&gt;士兵&lt;rt&gt;shìbīng&lt;/rt&gt;&lt;/ruby&gt;</v>
      </c>
      <c r="E1605" s="13" t="str">
        <f ca="1">IFERROR(__xludf.DUMMYFUNCTION("""COMPUTED_VALUE"""),"shìbīng")</f>
        <v>shìbīng</v>
      </c>
      <c r="F1605" s="13" t="str">
        <f ca="1">IFERROR(__xludf.DUMMYFUNCTION("""COMPUTED_VALUE"""),"Danh từ")</f>
        <v>Danh từ</v>
      </c>
      <c r="G1605" s="13" t="str">
        <f ca="1">IFERROR(__xludf.DUMMYFUNCTION("""COMPUTED_VALUE"""),"binh lính")</f>
        <v>binh lính</v>
      </c>
      <c r="H1605" s="13" t="str">
        <f ca="1">IFERROR(__xludf.DUMMYFUNCTION("""COMPUTED_VALUE"""),"士兵在保卫国家。")</f>
        <v>士兵在保卫国家。</v>
      </c>
      <c r="I1605" s="13"/>
      <c r="J1605" s="13" t="str">
        <f ca="1">IFERROR(__xludf.DUMMYFUNCTION("""COMPUTED_VALUE"""),"Binh lính đang chiến đấu bảo vệ đất nước.")</f>
        <v>Binh lính đang chiến đấu bảo vệ đất nước.</v>
      </c>
      <c r="K1605" s="13" t="str">
        <f ca="1">IFERROR(__xludf.DUMMYFUNCTION("""COMPUTED_VALUE"""),"H5_B7_BG-39.png")</f>
        <v>H5_B7_BG-39.png</v>
      </c>
      <c r="L1605" s="13" t="str">
        <f ca="1">IFERROR(__xludf.DUMMYFUNCTION("""COMPUTED_VALUE"""),"B7_39.mp3")</f>
        <v>B7_39.mp3</v>
      </c>
      <c r="M1605" s="13" t="str">
        <f ca="1">IFERROR(__xludf.DUMMYFUNCTION("""COMPUTED_VALUE"""),"B7_VD_39.mp3")</f>
        <v>B7_VD_39.mp3</v>
      </c>
    </row>
    <row r="1606" spans="1:13">
      <c r="A1606" s="13">
        <f ca="1">IFERROR(__xludf.DUMMYFUNCTION("""COMPUTED_VALUE"""),40)</f>
        <v>40</v>
      </c>
      <c r="B1606" s="13"/>
      <c r="C1606" s="13" t="str">
        <f ca="1">IFERROR(__xludf.DUMMYFUNCTION("""COMPUTED_VALUE"""),"尾巴")</f>
        <v>尾巴</v>
      </c>
      <c r="D1606" s="13" t="str">
        <f ca="1">IFERROR(__xludf.DUMMYFUNCTION("""COMPUTED_VALUE"""),"&lt;ruby&gt;尾巴&lt;rt&gt;wěiba&lt;/rt&gt;&lt;/ruby&gt;")</f>
        <v>&lt;ruby&gt;尾巴&lt;rt&gt;wěiba&lt;/rt&gt;&lt;/ruby&gt;</v>
      </c>
      <c r="E1606" s="13" t="str">
        <f ca="1">IFERROR(__xludf.DUMMYFUNCTION("""COMPUTED_VALUE"""),"wěiba")</f>
        <v>wěiba</v>
      </c>
      <c r="F1606" s="13" t="str">
        <f ca="1">IFERROR(__xludf.DUMMYFUNCTION("""COMPUTED_VALUE"""),"Danh từ")</f>
        <v>Danh từ</v>
      </c>
      <c r="G1606" s="13" t="str">
        <f ca="1">IFERROR(__xludf.DUMMYFUNCTION("""COMPUTED_VALUE"""),"cái đuôi")</f>
        <v>cái đuôi</v>
      </c>
      <c r="H1606" s="13" t="str">
        <f ca="1">IFERROR(__xludf.DUMMYFUNCTION("""COMPUTED_VALUE"""),"猫的尾巴很长。")</f>
        <v>猫的尾巴很长。</v>
      </c>
      <c r="I1606" s="13"/>
      <c r="J1606" s="13" t="str">
        <f ca="1">IFERROR(__xludf.DUMMYFUNCTION("""COMPUTED_VALUE"""),"Cái đuôi của con mèo rất dài.")</f>
        <v>Cái đuôi của con mèo rất dài.</v>
      </c>
      <c r="K1606" s="13" t="str">
        <f ca="1">IFERROR(__xludf.DUMMYFUNCTION("""COMPUTED_VALUE"""),"H5_B7_BG-40.png")</f>
        <v>H5_B7_BG-40.png</v>
      </c>
      <c r="L1606" s="13" t="str">
        <f ca="1">IFERROR(__xludf.DUMMYFUNCTION("""COMPUTED_VALUE"""),"B7_40.mp3")</f>
        <v>B7_40.mp3</v>
      </c>
      <c r="M1606" s="13" t="str">
        <f ca="1">IFERROR(__xludf.DUMMYFUNCTION("""COMPUTED_VALUE"""),"B7_VD_40.mp3")</f>
        <v>B7_VD_40.mp3</v>
      </c>
    </row>
    <row r="1607" spans="1:13">
      <c r="A1607" s="13">
        <f ca="1">IFERROR(__xludf.DUMMYFUNCTION("""COMPUTED_VALUE"""),41)</f>
        <v>41</v>
      </c>
      <c r="B1607" s="13"/>
      <c r="C1607" s="13" t="str">
        <f ca="1">IFERROR(__xludf.DUMMYFUNCTION("""COMPUTED_VALUE"""),"（大）象")</f>
        <v>（大）象</v>
      </c>
      <c r="D1607" s="13" t="str">
        <f ca="1">IFERROR(__xludf.DUMMYFUNCTION("""COMPUTED_VALUE"""),"&lt;ruby&gt;（大）象&lt;rt&gt;(dà) xiàng&lt;/rt&gt;&lt;/ruby&gt;")</f>
        <v>&lt;ruby&gt;（大）象&lt;rt&gt;(dà) xiàng&lt;/rt&gt;&lt;/ruby&gt;</v>
      </c>
      <c r="E1607" s="13" t="str">
        <f ca="1">IFERROR(__xludf.DUMMYFUNCTION("""COMPUTED_VALUE"""),"(dà) xiàng")</f>
        <v>(dà) xiàng</v>
      </c>
      <c r="F1607" s="13" t="str">
        <f ca="1">IFERROR(__xludf.DUMMYFUNCTION("""COMPUTED_VALUE"""),"Danh từ")</f>
        <v>Danh từ</v>
      </c>
      <c r="G1607" s="13" t="str">
        <f ca="1">IFERROR(__xludf.DUMMYFUNCTION("""COMPUTED_VALUE"""),"con voi")</f>
        <v>con voi</v>
      </c>
      <c r="H1607" s="13" t="str">
        <f ca="1">IFERROR(__xludf.DUMMYFUNCTION("""COMPUTED_VALUE"""),"大象的耳朵很大。")</f>
        <v>大象的耳朵很大。</v>
      </c>
      <c r="I1607" s="13"/>
      <c r="J1607" s="13" t="str">
        <f ca="1">IFERROR(__xludf.DUMMYFUNCTION("""COMPUTED_VALUE"""),"Tai của con voi rất lớn.")</f>
        <v>Tai của con voi rất lớn.</v>
      </c>
      <c r="K1607" s="13" t="str">
        <f ca="1">IFERROR(__xludf.DUMMYFUNCTION("""COMPUTED_VALUE"""),"H5_B7_BG-41.png")</f>
        <v>H5_B7_BG-41.png</v>
      </c>
      <c r="L1607" s="13" t="str">
        <f ca="1">IFERROR(__xludf.DUMMYFUNCTION("""COMPUTED_VALUE"""),"B7_41.mp3")</f>
        <v>B7_41.mp3</v>
      </c>
      <c r="M1607" s="13" t="str">
        <f ca="1">IFERROR(__xludf.DUMMYFUNCTION("""COMPUTED_VALUE"""),"B7_VD_41.mp3")</f>
        <v>B7_VD_41.mp3</v>
      </c>
    </row>
    <row r="1608" spans="1:13">
      <c r="A1608" s="13">
        <f ca="1">IFERROR(__xludf.DUMMYFUNCTION("""COMPUTED_VALUE"""),42)</f>
        <v>42</v>
      </c>
      <c r="B1608" s="13"/>
      <c r="C1608" s="13" t="str">
        <f ca="1">IFERROR(__xludf.DUMMYFUNCTION("""COMPUTED_VALUE"""),"牙齿")</f>
        <v>牙齿</v>
      </c>
      <c r="D1608" s="13" t="str">
        <f ca="1">IFERROR(__xludf.DUMMYFUNCTION("""COMPUTED_VALUE"""),"&lt;ruby&gt;牙齿&lt;rt&gt;yáchǐ&lt;/rt&gt;&lt;/ruby&gt;")</f>
        <v>&lt;ruby&gt;牙齿&lt;rt&gt;yáchǐ&lt;/rt&gt;&lt;/ruby&gt;</v>
      </c>
      <c r="E1608" s="13" t="str">
        <f ca="1">IFERROR(__xludf.DUMMYFUNCTION("""COMPUTED_VALUE"""),"yáchǐ")</f>
        <v>yáchǐ</v>
      </c>
      <c r="F1608" s="13" t="str">
        <f ca="1">IFERROR(__xludf.DUMMYFUNCTION("""COMPUTED_VALUE"""),"Danh từ")</f>
        <v>Danh từ</v>
      </c>
      <c r="G1608" s="13" t="str">
        <f ca="1">IFERROR(__xludf.DUMMYFUNCTION("""COMPUTED_VALUE"""),"răng")</f>
        <v>răng</v>
      </c>
      <c r="H1608" s="13" t="str">
        <f ca="1">IFERROR(__xludf.DUMMYFUNCTION("""COMPUTED_VALUE"""),"老虎的牙齿很锋利。")</f>
        <v>老虎的牙齿很锋利。</v>
      </c>
      <c r="I1608" s="13"/>
      <c r="J1608" s="13" t="str">
        <f ca="1">IFERROR(__xludf.DUMMYFUNCTION("""COMPUTED_VALUE"""),"Răng của con hổ rất sắc bén.")</f>
        <v>Răng của con hổ rất sắc bén.</v>
      </c>
      <c r="K1608" s="13" t="str">
        <f ca="1">IFERROR(__xludf.DUMMYFUNCTION("""COMPUTED_VALUE"""),"H5_B7_BG-42.png")</f>
        <v>H5_B7_BG-42.png</v>
      </c>
      <c r="L1608" s="13" t="str">
        <f ca="1">IFERROR(__xludf.DUMMYFUNCTION("""COMPUTED_VALUE"""),"B7_42.mp3")</f>
        <v>B7_42.mp3</v>
      </c>
      <c r="M1608" s="13" t="str">
        <f ca="1">IFERROR(__xludf.DUMMYFUNCTION("""COMPUTED_VALUE"""),"B7_VD_42.mp3")</f>
        <v>B7_VD_42.mp3</v>
      </c>
    </row>
    <row r="1609" spans="1:13">
      <c r="A1609" s="13">
        <f ca="1">IFERROR(__xludf.DUMMYFUNCTION("""COMPUTED_VALUE"""),43)</f>
        <v>43</v>
      </c>
      <c r="B1609" s="13"/>
      <c r="C1609" s="13" t="str">
        <f ca="1">IFERROR(__xludf.DUMMYFUNCTION("""COMPUTED_VALUE"""),"支")</f>
        <v>支</v>
      </c>
      <c r="D1609" s="13" t="str">
        <f ca="1">IFERROR(__xludf.DUMMYFUNCTION("""COMPUTED_VALUE"""),"&lt;ruby&gt;支&lt;rt&gt;zhī&lt;/rt&gt;&lt;/ruby&gt;")</f>
        <v>&lt;ruby&gt;支&lt;rt&gt;zhī&lt;/rt&gt;&lt;/ruby&gt;</v>
      </c>
      <c r="E1609" s="13" t="str">
        <f ca="1">IFERROR(__xludf.DUMMYFUNCTION("""COMPUTED_VALUE"""),"zhī")</f>
        <v>zhī</v>
      </c>
      <c r="F1609" s="13" t="str">
        <f ca="1">IFERROR(__xludf.DUMMYFUNCTION("""COMPUTED_VALUE"""),"Lượng từ ")</f>
        <v xml:space="preserve">Lượng từ </v>
      </c>
      <c r="G1609" s="13" t="str">
        <f ca="1">IFERROR(__xludf.DUMMYFUNCTION("""COMPUTED_VALUE"""),"(dùng cho vật dài, mảnh, không uốn được) cây")</f>
        <v>(dùng cho vật dài, mảnh, không uốn được) cây</v>
      </c>
      <c r="H1609" s="13" t="str">
        <f ca="1">IFERROR(__xludf.DUMMYFUNCTION("""COMPUTED_VALUE"""),"桌子上放着五支笔。")</f>
        <v>桌子上放着五支笔。</v>
      </c>
      <c r="I1609" s="13"/>
      <c r="J1609" s="13" t="str">
        <f ca="1">IFERROR(__xludf.DUMMYFUNCTION("""COMPUTED_VALUE"""),"Trên bàn có năm cây bút.")</f>
        <v>Trên bàn có năm cây bút.</v>
      </c>
      <c r="K1609" s="13" t="str">
        <f ca="1">IFERROR(__xludf.DUMMYFUNCTION("""COMPUTED_VALUE"""),"H5_B7_BG-43.png")</f>
        <v>H5_B7_BG-43.png</v>
      </c>
      <c r="L1609" s="13" t="str">
        <f ca="1">IFERROR(__xludf.DUMMYFUNCTION("""COMPUTED_VALUE"""),"B7_43.mp3")</f>
        <v>B7_43.mp3</v>
      </c>
      <c r="M1609" s="13" t="str">
        <f ca="1">IFERROR(__xludf.DUMMYFUNCTION("""COMPUTED_VALUE"""),"B7_VD_43.mp3")</f>
        <v>B7_VD_43.mp3</v>
      </c>
    </row>
    <row r="1610" spans="1:13">
      <c r="A1610" s="13">
        <f ca="1">IFERROR(__xludf.DUMMYFUNCTION("""COMPUTED_VALUE"""),44)</f>
        <v>44</v>
      </c>
      <c r="B1610" s="13"/>
      <c r="C1610" s="13" t="str">
        <f ca="1">IFERROR(__xludf.DUMMYFUNCTION("""COMPUTED_VALUE"""),"将军")</f>
        <v>将军</v>
      </c>
      <c r="D1610" s="13" t="str">
        <f ca="1">IFERROR(__xludf.DUMMYFUNCTION("""COMPUTED_VALUE"""),"&lt;ruby&gt;将军&lt;rt&gt;jiāngjūn&lt;/rt&gt;&lt;/ruby&gt;")</f>
        <v>&lt;ruby&gt;将军&lt;rt&gt;jiāngjūn&lt;/rt&gt;&lt;/ruby&gt;</v>
      </c>
      <c r="E1610" s="13" t="str">
        <f ca="1">IFERROR(__xludf.DUMMYFUNCTION("""COMPUTED_VALUE"""),"jiāngjūn")</f>
        <v>jiāngjūn</v>
      </c>
      <c r="F1610" s="13" t="str">
        <f ca="1">IFERROR(__xludf.DUMMYFUNCTION("""COMPUTED_VALUE"""),"Danh từ")</f>
        <v>Danh từ</v>
      </c>
      <c r="G1610" s="13" t="str">
        <f ca="1">IFERROR(__xludf.DUMMYFUNCTION("""COMPUTED_VALUE"""),"tướng quân")</f>
        <v>tướng quân</v>
      </c>
      <c r="H1610" s="13" t="str">
        <f ca="1">IFERROR(__xludf.DUMMYFUNCTION("""COMPUTED_VALUE"""),"将军是战斗的指挥者。")</f>
        <v>将军是战斗的指挥者。</v>
      </c>
      <c r="I1610" s="13"/>
      <c r="J1610" s="13" t="str">
        <f ca="1">IFERROR(__xludf.DUMMYFUNCTION("""COMPUTED_VALUE"""),"Tướng quân là người chỉ huy trận chiến.")</f>
        <v>Tướng quân là người chỉ huy trận chiến.</v>
      </c>
      <c r="K1610" s="13" t="str">
        <f ca="1">IFERROR(__xludf.DUMMYFUNCTION("""COMPUTED_VALUE"""),"H5_B7_BG-44.png")</f>
        <v>H5_B7_BG-44.png</v>
      </c>
      <c r="L1610" s="13" t="str">
        <f ca="1">IFERROR(__xludf.DUMMYFUNCTION("""COMPUTED_VALUE"""),"B7_44.mp3")</f>
        <v>B7_44.mp3</v>
      </c>
      <c r="M1610" s="13" t="str">
        <f ca="1">IFERROR(__xludf.DUMMYFUNCTION("""COMPUTED_VALUE"""),"B7_VD_44.mp3")</f>
        <v>B7_VD_44.mp3</v>
      </c>
    </row>
    <row r="1611" spans="1:13">
      <c r="A1611" s="13">
        <f ca="1">IFERROR(__xludf.DUMMYFUNCTION("""COMPUTED_VALUE"""),45)</f>
        <v>45</v>
      </c>
      <c r="B1611" s="13"/>
      <c r="C1611" s="13" t="str">
        <f ca="1">IFERROR(__xludf.DUMMYFUNCTION("""COMPUTED_VALUE"""),"杆")</f>
        <v>杆</v>
      </c>
      <c r="D1611" s="13" t="str">
        <f ca="1">IFERROR(__xludf.DUMMYFUNCTION("""COMPUTED_VALUE"""),"&lt;ruby&gt;杆&lt;rt&gt;gǎn&lt;/rt&gt;&lt;/ruby&gt;")</f>
        <v>&lt;ruby&gt;杆&lt;rt&gt;gǎn&lt;/rt&gt;&lt;/ruby&gt;</v>
      </c>
      <c r="E1611" s="13" t="str">
        <f ca="1">IFERROR(__xludf.DUMMYFUNCTION("""COMPUTED_VALUE"""),"gǎn")</f>
        <v>gǎn</v>
      </c>
      <c r="F1611" s="13" t="str">
        <f ca="1">IFERROR(__xludf.DUMMYFUNCTION("""COMPUTED_VALUE"""),"Danh từ")</f>
        <v>Danh từ</v>
      </c>
      <c r="G1611" s="13" t="str">
        <f ca="1">IFERROR(__xludf.DUMMYFUNCTION("""COMPUTED_VALUE"""),"cán, báng")</f>
        <v>cán, báng</v>
      </c>
      <c r="H1611" s="13" t="str">
        <f ca="1">IFERROR(__xludf.DUMMYFUNCTION("""COMPUTED_VALUE"""),"这把伞的杆很长。")</f>
        <v>这把伞的杆很长。</v>
      </c>
      <c r="I1611" s="13"/>
      <c r="J1611" s="13" t="str">
        <f ca="1">IFERROR(__xludf.DUMMYFUNCTION("""COMPUTED_VALUE"""),"Cán của chiếc ô này rất dài.")</f>
        <v>Cán của chiếc ô này rất dài.</v>
      </c>
      <c r="K1611" s="13" t="str">
        <f ca="1">IFERROR(__xludf.DUMMYFUNCTION("""COMPUTED_VALUE"""),"H5_B7_BG-45.png")</f>
        <v>H5_B7_BG-45.png</v>
      </c>
      <c r="L1611" s="13" t="str">
        <f ca="1">IFERROR(__xludf.DUMMYFUNCTION("""COMPUTED_VALUE"""),"B7_45.mp3")</f>
        <v>B7_45.mp3</v>
      </c>
      <c r="M1611" s="13" t="str">
        <f ca="1">IFERROR(__xludf.DUMMYFUNCTION("""COMPUTED_VALUE"""),"B7_VD_45.mp3")</f>
        <v>B7_VD_45.mp3</v>
      </c>
    </row>
    <row r="1612" spans="1:13">
      <c r="A1612" s="13">
        <f ca="1">IFERROR(__xludf.DUMMYFUNCTION("""COMPUTED_VALUE"""),1)</f>
        <v>1</v>
      </c>
      <c r="B1612" s="13"/>
      <c r="C1612" s="13" t="str">
        <f ca="1">IFERROR(__xludf.DUMMYFUNCTION("""COMPUTED_VALUE"""),"财产")</f>
        <v>财产</v>
      </c>
      <c r="D1612" s="13" t="str">
        <f ca="1">IFERROR(__xludf.DUMMYFUNCTION("""COMPUTED_VALUE"""),"&lt;ruby&gt;财产&lt;rt&gt;cáichǎn&lt;/rt&gt;&lt;/ruby&gt;")</f>
        <v>&lt;ruby&gt;财产&lt;rt&gt;cáichǎn&lt;/rt&gt;&lt;/ruby&gt;</v>
      </c>
      <c r="E1612" s="13" t="str">
        <f ca="1">IFERROR(__xludf.DUMMYFUNCTION("""COMPUTED_VALUE"""),"cáichǎn")</f>
        <v>cáichǎn</v>
      </c>
      <c r="F1612" s="13" t="str">
        <f ca="1">IFERROR(__xludf.DUMMYFUNCTION("""COMPUTED_VALUE"""),"Danh từ")</f>
        <v>Danh từ</v>
      </c>
      <c r="G1612" s="13" t="str">
        <f ca="1">IFERROR(__xludf.DUMMYFUNCTION("""COMPUTED_VALUE"""),"tài sản, của cải")</f>
        <v>tài sản, của cải</v>
      </c>
      <c r="H1612" s="13" t="str">
        <f ca="1">IFERROR(__xludf.DUMMYFUNCTION("""COMPUTED_VALUE"""),"这辆车是我的财产。")</f>
        <v>这辆车是我的财产。</v>
      </c>
      <c r="I1612" s="13"/>
      <c r="J1612" s="13" t="str">
        <f ca="1">IFERROR(__xludf.DUMMYFUNCTION("""COMPUTED_VALUE"""),"Chiếc xe này là tài sản của tôi.")</f>
        <v>Chiếc xe này là tài sản của tôi.</v>
      </c>
      <c r="K1612" s="13" t="str">
        <f ca="1">IFERROR(__xludf.DUMMYFUNCTION("""COMPUTED_VALUE"""),"H5_B8_BG-01.png")</f>
        <v>H5_B8_BG-01.png</v>
      </c>
      <c r="L1612" s="13" t="str">
        <f ca="1">IFERROR(__xludf.DUMMYFUNCTION("""COMPUTED_VALUE"""),"B8_1.mp3")</f>
        <v>B8_1.mp3</v>
      </c>
      <c r="M1612" s="13" t="str">
        <f ca="1">IFERROR(__xludf.DUMMYFUNCTION("""COMPUTED_VALUE"""),"B8_VD_1.mp3")</f>
        <v>B8_VD_1.mp3</v>
      </c>
    </row>
    <row r="1613" spans="1:13">
      <c r="A1613" s="13">
        <f ca="1">IFERROR(__xludf.DUMMYFUNCTION("""COMPUTED_VALUE"""),2)</f>
        <v>2</v>
      </c>
      <c r="B1613" s="13"/>
      <c r="C1613" s="13" t="str">
        <f ca="1">IFERROR(__xludf.DUMMYFUNCTION("""COMPUTED_VALUE"""),"吃亏")</f>
        <v>吃亏</v>
      </c>
      <c r="D1613" s="13" t="str">
        <f ca="1">IFERROR(__xludf.DUMMYFUNCTION("""COMPUTED_VALUE"""),"&lt;ruby&gt;吃亏&lt;rt&gt;chī kuī&lt;/rt&gt;&lt;/ruby&gt;")</f>
        <v>&lt;ruby&gt;吃亏&lt;rt&gt;chī kuī&lt;/rt&gt;&lt;/ruby&gt;</v>
      </c>
      <c r="E1613" s="13" t="str">
        <f ca="1">IFERROR(__xludf.DUMMYFUNCTION("""COMPUTED_VALUE"""),"chī kuī")</f>
        <v>chī kuī</v>
      </c>
      <c r="F1613" s="13" t="str">
        <f ca="1">IFERROR(__xludf.DUMMYFUNCTION("""COMPUTED_VALUE"""),"Động từ")</f>
        <v>Động từ</v>
      </c>
      <c r="G1613" s="13" t="str">
        <f ca="1">IFERROR(__xludf.DUMMYFUNCTION("""COMPUTED_VALUE"""),"chịu thiệt, thiệt thòi")</f>
        <v>chịu thiệt, thiệt thòi</v>
      </c>
      <c r="H1613" s="13" t="str">
        <f ca="1">IFERROR(__xludf.DUMMYFUNCTION("""COMPUTED_VALUE"""),"我因为没有条件上学，所以吃亏了。")</f>
        <v>我因为没有条件上学，所以吃亏了。</v>
      </c>
      <c r="I1613" s="13"/>
      <c r="J1613" s="13" t="str">
        <f ca="1">IFERROR(__xludf.DUMMYFUNCTION("""COMPUTED_VALUE"""),"Tôi thiệt thòi hơn các bạn vì không có điều kiện đến trường.")</f>
        <v>Tôi thiệt thòi hơn các bạn vì không có điều kiện đến trường.</v>
      </c>
      <c r="K1613" s="13" t="str">
        <f ca="1">IFERROR(__xludf.DUMMYFUNCTION("""COMPUTED_VALUE"""),"H5_B8_BG-02.png")</f>
        <v>H5_B8_BG-02.png</v>
      </c>
      <c r="L1613" s="13" t="str">
        <f ca="1">IFERROR(__xludf.DUMMYFUNCTION("""COMPUTED_VALUE"""),"B8_2.mp3")</f>
        <v>B8_2.mp3</v>
      </c>
      <c r="M1613" s="13" t="str">
        <f ca="1">IFERROR(__xludf.DUMMYFUNCTION("""COMPUTED_VALUE"""),"B8_VD_2.mp3")</f>
        <v>B8_VD_2.mp3</v>
      </c>
    </row>
    <row r="1614" spans="1:13">
      <c r="A1614" s="13">
        <f ca="1">IFERROR(__xludf.DUMMYFUNCTION("""COMPUTED_VALUE"""),3)</f>
        <v>3</v>
      </c>
      <c r="B1614" s="13"/>
      <c r="C1614" s="13" t="str">
        <f ca="1">IFERROR(__xludf.DUMMYFUNCTION("""COMPUTED_VALUE"""),"倒")</f>
        <v>倒</v>
      </c>
      <c r="D1614" s="13" t="str">
        <f ca="1">IFERROR(__xludf.DUMMYFUNCTION("""COMPUTED_VALUE"""),"&lt;ruby&gt;倒&lt;rt&gt;dào&lt;/rt&gt;&lt;/ruby&gt;")</f>
        <v>&lt;ruby&gt;倒&lt;rt&gt;dào&lt;/rt&gt;&lt;/ruby&gt;</v>
      </c>
      <c r="E1614" s="13" t="str">
        <f ca="1">IFERROR(__xludf.DUMMYFUNCTION("""COMPUTED_VALUE"""),"dào")</f>
        <v>dào</v>
      </c>
      <c r="F1614" s="13" t="str">
        <f ca="1">IFERROR(__xludf.DUMMYFUNCTION("""COMPUTED_VALUE"""),"Phó từ")</f>
        <v>Phó từ</v>
      </c>
      <c r="G1614" s="13" t="str">
        <f ca="1">IFERROR(__xludf.DUMMYFUNCTION("""COMPUTED_VALUE"""),"(chỉ sự trái ngược với điều được mong đợi hoặc suy nghĩ) lại")</f>
        <v>(chỉ sự trái ngược với điều được mong đợi hoặc suy nghĩ) lại</v>
      </c>
      <c r="H1614" s="13" t="str">
        <f ca="1">IFERROR(__xludf.DUMMYFUNCTION("""COMPUTED_VALUE"""),"我以为今天会下雨，倒是个晴天。")</f>
        <v>我以为今天会下雨，倒是个晴天。</v>
      </c>
      <c r="I1614" s="13"/>
      <c r="J1614" s="13" t="str">
        <f ca="1">IFERROR(__xludf.DUMMYFUNCTION("""COMPUTED_VALUE"""),"Tôi nghĩ hôm nay sẽ mưa, lại là một ngày nắng.")</f>
        <v>Tôi nghĩ hôm nay sẽ mưa, lại là một ngày nắng.</v>
      </c>
      <c r="K1614" s="13" t="str">
        <f ca="1">IFERROR(__xludf.DUMMYFUNCTION("""COMPUTED_VALUE"""),"H5_B8_BG-03.png")</f>
        <v>H5_B8_BG-03.png</v>
      </c>
      <c r="L1614" s="13" t="str">
        <f ca="1">IFERROR(__xludf.DUMMYFUNCTION("""COMPUTED_VALUE"""),"B8_3.mp3")</f>
        <v>B8_3.mp3</v>
      </c>
      <c r="M1614" s="13" t="str">
        <f ca="1">IFERROR(__xludf.DUMMYFUNCTION("""COMPUTED_VALUE"""),"B8_VD_3.mp3")</f>
        <v>B8_VD_3.mp3</v>
      </c>
    </row>
    <row r="1615" spans="1:13">
      <c r="A1615" s="13">
        <f ca="1">IFERROR(__xludf.DUMMYFUNCTION("""COMPUTED_VALUE"""),4)</f>
        <v>4</v>
      </c>
      <c r="B1615" s="13"/>
      <c r="C1615" s="13" t="str">
        <f ca="1">IFERROR(__xludf.DUMMYFUNCTION("""COMPUTED_VALUE"""),"固定")</f>
        <v>固定</v>
      </c>
      <c r="D1615" s="13" t="str">
        <f ca="1">IFERROR(__xludf.DUMMYFUNCTION("""COMPUTED_VALUE"""),"&lt;ruby&gt;固定&lt;rt&gt;gùdìng&lt;/rt&gt;&lt;/ruby&gt;")</f>
        <v>&lt;ruby&gt;固定&lt;rt&gt;gùdìng&lt;/rt&gt;&lt;/ruby&gt;</v>
      </c>
      <c r="E1615" s="13" t="str">
        <f ca="1">IFERROR(__xludf.DUMMYFUNCTION("""COMPUTED_VALUE"""),"gùdìng")</f>
        <v>gùdìng</v>
      </c>
      <c r="F1615" s="13" t="str">
        <f ca="1">IFERROR(__xludf.DUMMYFUNCTION("""COMPUTED_VALUE"""),"Tính từ /Động từ")</f>
        <v>Tính từ /Động từ</v>
      </c>
      <c r="G1615" s="13" t="str">
        <f ca="1">IFERROR(__xludf.DUMMYFUNCTION("""COMPUTED_VALUE"""),"cố định; ổn định")</f>
        <v>cố định; ổn định</v>
      </c>
      <c r="H1615" s="13" t="str">
        <f ca="1">IFERROR(__xludf.DUMMYFUNCTION("""COMPUTED_VALUE"""),"这份工作帮助我每个月有固定的收入。")</f>
        <v>这份工作帮助我每个月有固定的收入。</v>
      </c>
      <c r="I1615" s="13"/>
      <c r="J1615" s="13" t="str">
        <f ca="1">IFERROR(__xludf.DUMMYFUNCTION("""COMPUTED_VALUE"""),"Công việc này giúp tôi có thu nhập cố định mỗi tháng.")</f>
        <v>Công việc này giúp tôi có thu nhập cố định mỗi tháng.</v>
      </c>
      <c r="K1615" s="13" t="str">
        <f ca="1">IFERROR(__xludf.DUMMYFUNCTION("""COMPUTED_VALUE"""),"H5_B8_BG-04.png")</f>
        <v>H5_B8_BG-04.png</v>
      </c>
      <c r="L1615" s="13" t="str">
        <f ca="1">IFERROR(__xludf.DUMMYFUNCTION("""COMPUTED_VALUE"""),"B8_4.mp3")</f>
        <v>B8_4.mp3</v>
      </c>
      <c r="M1615" s="13" t="str">
        <f ca="1">IFERROR(__xludf.DUMMYFUNCTION("""COMPUTED_VALUE"""),"B8_VD_4.mp3")</f>
        <v>B8_VD_4.mp3</v>
      </c>
    </row>
    <row r="1616" spans="1:13">
      <c r="A1616" s="13">
        <f ca="1">IFERROR(__xludf.DUMMYFUNCTION("""COMPUTED_VALUE"""),5)</f>
        <v>5</v>
      </c>
      <c r="B1616" s="13"/>
      <c r="C1616" s="13" t="str">
        <f ca="1">IFERROR(__xludf.DUMMYFUNCTION("""COMPUTED_VALUE"""),"果实")</f>
        <v>果实</v>
      </c>
      <c r="D1616" s="13" t="str">
        <f ca="1">IFERROR(__xludf.DUMMYFUNCTION("""COMPUTED_VALUE"""),"&lt;ruby&gt;果实&lt;rt&gt;guǒshí&lt;/rt&gt;&lt;/ruby&gt;")</f>
        <v>&lt;ruby&gt;果实&lt;rt&gt;guǒshí&lt;/rt&gt;&lt;/ruby&gt;</v>
      </c>
      <c r="E1616" s="13" t="str">
        <f ca="1">IFERROR(__xludf.DUMMYFUNCTION("""COMPUTED_VALUE"""),"guǒshí")</f>
        <v>guǒshí</v>
      </c>
      <c r="F1616" s="13" t="str">
        <f ca="1">IFERROR(__xludf.DUMMYFUNCTION("""COMPUTED_VALUE"""),"Danh từ")</f>
        <v>Danh từ</v>
      </c>
      <c r="G1616" s="13" t="str">
        <f ca="1">IFERROR(__xludf.DUMMYFUNCTION("""COMPUTED_VALUE"""),"quả, trái cây")</f>
        <v>quả, trái cây</v>
      </c>
      <c r="H1616" s="13" t="str">
        <f ca="1">IFERROR(__xludf.DUMMYFUNCTION("""COMPUTED_VALUE""")," 我们终于在院子里收获了果实。")</f>
        <v xml:space="preserve"> 我们终于在院子里收获了果实。</v>
      </c>
      <c r="I1616" s="13"/>
      <c r="J1616" s="13" t="str">
        <f ca="1">IFERROR(__xludf.DUMMYFUNCTION("""COMPUTED_VALUE"""),"Cuối cùng chúng tôi cũng được thu hoạch được trái cây trong vườn.")</f>
        <v>Cuối cùng chúng tôi cũng được thu hoạch được trái cây trong vườn.</v>
      </c>
      <c r="K1616" s="13" t="str">
        <f ca="1">IFERROR(__xludf.DUMMYFUNCTION("""COMPUTED_VALUE"""),"H5_B8_BG-05.png")</f>
        <v>H5_B8_BG-05.png</v>
      </c>
      <c r="L1616" s="13" t="str">
        <f ca="1">IFERROR(__xludf.DUMMYFUNCTION("""COMPUTED_VALUE"""),"B8_5.mp3")</f>
        <v>B8_5.mp3</v>
      </c>
      <c r="M1616" s="13" t="str">
        <f ca="1">IFERROR(__xludf.DUMMYFUNCTION("""COMPUTED_VALUE"""),"B8_VD_5.mp3")</f>
        <v>B8_VD_5.mp3</v>
      </c>
    </row>
    <row r="1617" spans="1:13">
      <c r="A1617" s="13">
        <f ca="1">IFERROR(__xludf.DUMMYFUNCTION("""COMPUTED_VALUE"""),6)</f>
        <v>6</v>
      </c>
      <c r="B1617" s="13"/>
      <c r="C1617" s="13" t="str">
        <f ca="1">IFERROR(__xludf.DUMMYFUNCTION("""COMPUTED_VALUE"""),"节省")</f>
        <v>节省</v>
      </c>
      <c r="D1617" s="13" t="str">
        <f ca="1">IFERROR(__xludf.DUMMYFUNCTION("""COMPUTED_VALUE"""),"&lt;ruby&gt;节省&lt;rt&gt;jiéshěng&lt;/rt&gt;&lt;/ruby&gt;")</f>
        <v>&lt;ruby&gt;节省&lt;rt&gt;jiéshěng&lt;/rt&gt;&lt;/ruby&gt;</v>
      </c>
      <c r="E1617" s="13" t="str">
        <f ca="1">IFERROR(__xludf.DUMMYFUNCTION("""COMPUTED_VALUE"""),"jiéshěng")</f>
        <v>jiéshěng</v>
      </c>
      <c r="F1617" s="13" t="str">
        <f ca="1">IFERROR(__xludf.DUMMYFUNCTION("""COMPUTED_VALUE"""),"Động từ")</f>
        <v>Động từ</v>
      </c>
      <c r="G1617" s="13" t="str">
        <f ca="1">IFERROR(__xludf.DUMMYFUNCTION("""COMPUTED_VALUE"""),"tiết kiệm, dành dụm")</f>
        <v>tiết kiệm, dành dụm</v>
      </c>
      <c r="H1617" s="13" t="str">
        <f ca="1">IFERROR(__xludf.DUMMYFUNCTION("""COMPUTED_VALUE"""),"我把零花钱节省下来，买了礼物送给妈妈。")</f>
        <v>我把零花钱节省下来，买了礼物送给妈妈。</v>
      </c>
      <c r="I1617" s="13"/>
      <c r="J1617" s="13" t="str">
        <f ca="1">IFERROR(__xludf.DUMMYFUNCTION("""COMPUTED_VALUE"""),"Tôi đã tiết kiệm tiền tiêu vặt để mua quà tặng mẹ.")</f>
        <v>Tôi đã tiết kiệm tiền tiêu vặt để mua quà tặng mẹ.</v>
      </c>
      <c r="K1617" s="13" t="str">
        <f ca="1">IFERROR(__xludf.DUMMYFUNCTION("""COMPUTED_VALUE"""),"H5_B8_BG-06.png")</f>
        <v>H5_B8_BG-06.png</v>
      </c>
      <c r="L1617" s="13" t="str">
        <f ca="1">IFERROR(__xludf.DUMMYFUNCTION("""COMPUTED_VALUE"""),"B8_6.mp3")</f>
        <v>B8_6.mp3</v>
      </c>
      <c r="M1617" s="13" t="str">
        <f ca="1">IFERROR(__xludf.DUMMYFUNCTION("""COMPUTED_VALUE"""),"B8_VD_6.mp3")</f>
        <v>B8_VD_6.mp3</v>
      </c>
    </row>
    <row r="1618" spans="1:13">
      <c r="A1618" s="13">
        <f ca="1">IFERROR(__xludf.DUMMYFUNCTION("""COMPUTED_VALUE"""),7)</f>
        <v>7</v>
      </c>
      <c r="B1618" s="13"/>
      <c r="C1618" s="13" t="str">
        <f ca="1">IFERROR(__xludf.DUMMYFUNCTION("""COMPUTED_VALUE"""),"结构")</f>
        <v>结构</v>
      </c>
      <c r="D1618" s="13" t="str">
        <f ca="1">IFERROR(__xludf.DUMMYFUNCTION("""COMPUTED_VALUE"""),"&lt;ruby&gt;结构&lt;rt&gt;jiégòu&lt;/rt&gt;&lt;/ruby&gt;")</f>
        <v>&lt;ruby&gt;结构&lt;rt&gt;jiégòu&lt;/rt&gt;&lt;/ruby&gt;</v>
      </c>
      <c r="E1618" s="13" t="str">
        <f ca="1">IFERROR(__xludf.DUMMYFUNCTION("""COMPUTED_VALUE"""),"jiégòu")</f>
        <v>jiégòu</v>
      </c>
      <c r="F1618" s="13" t="str">
        <f ca="1">IFERROR(__xludf.DUMMYFUNCTION("""COMPUTED_VALUE"""),"Danh từ")</f>
        <v>Danh từ</v>
      </c>
      <c r="G1618" s="13" t="str">
        <f ca="1">IFERROR(__xludf.DUMMYFUNCTION("""COMPUTED_VALUE"""),"kết cấu, cấu trúc")</f>
        <v>kết cấu, cấu trúc</v>
      </c>
      <c r="H1618" s="13" t="str">
        <f ca="1">IFERROR(__xludf.DUMMYFUNCTION("""COMPUTED_VALUE"""),"这座建筑的结构非常复杂。")</f>
        <v>这座建筑的结构非常复杂。</v>
      </c>
      <c r="I1618" s="13"/>
      <c r="J1618" s="13" t="str">
        <f ca="1">IFERROR(__xludf.DUMMYFUNCTION("""COMPUTED_VALUE"""),"Kết cấu của tòa nhà này rất phức tạp.")</f>
        <v>Kết cấu của tòa nhà này rất phức tạp.</v>
      </c>
      <c r="K1618" s="13" t="str">
        <f ca="1">IFERROR(__xludf.DUMMYFUNCTION("""COMPUTED_VALUE"""),"H5_B8_BG-07.png")</f>
        <v>H5_B8_BG-07.png</v>
      </c>
      <c r="L1618" s="13" t="str">
        <f ca="1">IFERROR(__xludf.DUMMYFUNCTION("""COMPUTED_VALUE"""),"B8_7.mp3")</f>
        <v>B8_7.mp3</v>
      </c>
      <c r="M1618" s="13" t="str">
        <f ca="1">IFERROR(__xludf.DUMMYFUNCTION("""COMPUTED_VALUE"""),"B8_VD_7.mp3")</f>
        <v>B8_VD_7.mp3</v>
      </c>
    </row>
    <row r="1619" spans="1:13">
      <c r="A1619" s="13">
        <f ca="1">IFERROR(__xludf.DUMMYFUNCTION("""COMPUTED_VALUE"""),8)</f>
        <v>8</v>
      </c>
      <c r="B1619" s="13"/>
      <c r="C1619" s="13" t="str">
        <f ca="1">IFERROR(__xludf.DUMMYFUNCTION("""COMPUTED_VALUE"""),"粮食")</f>
        <v>粮食</v>
      </c>
      <c r="D1619" s="13" t="str">
        <f ca="1">IFERROR(__xludf.DUMMYFUNCTION("""COMPUTED_VALUE"""),"&lt;ruby&gt;粮食&lt;rt&gt;liángshi&lt;/rt&gt;&lt;/ruby&gt;")</f>
        <v>&lt;ruby&gt;粮食&lt;rt&gt;liángshi&lt;/rt&gt;&lt;/ruby&gt;</v>
      </c>
      <c r="E1619" s="13" t="str">
        <f ca="1">IFERROR(__xludf.DUMMYFUNCTION("""COMPUTED_VALUE"""),"liángshi")</f>
        <v>liángshi</v>
      </c>
      <c r="F1619" s="13" t="str">
        <f ca="1">IFERROR(__xludf.DUMMYFUNCTION("""COMPUTED_VALUE"""),"Danh từ")</f>
        <v>Danh từ</v>
      </c>
      <c r="G1619" s="13" t="str">
        <f ca="1">IFERROR(__xludf.DUMMYFUNCTION("""COMPUTED_VALUE"""),"lương thực")</f>
        <v>lương thực</v>
      </c>
      <c r="H1619" s="13" t="str">
        <f ca="1">IFERROR(__xludf.DUMMYFUNCTION("""COMPUTED_VALUE"""),"他种了很多种类的粮食。")</f>
        <v>他种了很多种类的粮食。</v>
      </c>
      <c r="I1619" s="13"/>
      <c r="J1619" s="13" t="str">
        <f ca="1">IFERROR(__xludf.DUMMYFUNCTION("""COMPUTED_VALUE"""),"Anh ấy trồng được rất nhiều loại lương thực.")</f>
        <v>Anh ấy trồng được rất nhiều loại lương thực.</v>
      </c>
      <c r="K1619" s="13" t="str">
        <f ca="1">IFERROR(__xludf.DUMMYFUNCTION("""COMPUTED_VALUE"""),"H5_B8_BG-08.png")</f>
        <v>H5_B8_BG-08.png</v>
      </c>
      <c r="L1619" s="13" t="str">
        <f ca="1">IFERROR(__xludf.DUMMYFUNCTION("""COMPUTED_VALUE"""),"B8_8.mp3")</f>
        <v>B8_8.mp3</v>
      </c>
      <c r="M1619" s="13" t="str">
        <f ca="1">IFERROR(__xludf.DUMMYFUNCTION("""COMPUTED_VALUE"""),"B8_VD_8.mp3")</f>
        <v>B8_VD_8.mp3</v>
      </c>
    </row>
    <row r="1620" spans="1:13">
      <c r="A1620" s="13">
        <f ca="1">IFERROR(__xludf.DUMMYFUNCTION("""COMPUTED_VALUE"""),9)</f>
        <v>9</v>
      </c>
      <c r="B1620" s="13"/>
      <c r="C1620" s="13" t="str">
        <f ca="1">IFERROR(__xludf.DUMMYFUNCTION("""COMPUTED_VALUE"""),"馒头")</f>
        <v>馒头</v>
      </c>
      <c r="D1620" s="13" t="str">
        <f ca="1">IFERROR(__xludf.DUMMYFUNCTION("""COMPUTED_VALUE"""),"&lt;ruby&gt;馒头&lt;rt&gt;mántou&lt;/rt&gt;&lt;/ruby&gt;")</f>
        <v>&lt;ruby&gt;馒头&lt;rt&gt;mántou&lt;/rt&gt;&lt;/ruby&gt;</v>
      </c>
      <c r="E1620" s="13" t="str">
        <f ca="1">IFERROR(__xludf.DUMMYFUNCTION("""COMPUTED_VALUE"""),"mántou")</f>
        <v>mántou</v>
      </c>
      <c r="F1620" s="13" t="str">
        <f ca="1">IFERROR(__xludf.DUMMYFUNCTION("""COMPUTED_VALUE"""),"Danh từ")</f>
        <v>Danh từ</v>
      </c>
      <c r="G1620" s="13" t="str">
        <f ca="1">IFERROR(__xludf.DUMMYFUNCTION("""COMPUTED_VALUE"""),"màn thầu, bánh bao không nhân")</f>
        <v>màn thầu, bánh bao không nhân</v>
      </c>
      <c r="H1620" s="13" t="str">
        <f ca="1">IFERROR(__xludf.DUMMYFUNCTION("""COMPUTED_VALUE""")," 我每天早上都吃馒头。")</f>
        <v xml:space="preserve"> 我每天早上都吃馒头。</v>
      </c>
      <c r="I1620" s="13"/>
      <c r="J1620" s="13" t="str">
        <f ca="1">IFERROR(__xludf.DUMMYFUNCTION("""COMPUTED_VALUE"""),"Mỗi sáng tôi đều ăn màn thầu.")</f>
        <v>Mỗi sáng tôi đều ăn màn thầu.</v>
      </c>
      <c r="K1620" s="13" t="str">
        <f ca="1">IFERROR(__xludf.DUMMYFUNCTION("""COMPUTED_VALUE"""),"H5_B8_BG-09.png")</f>
        <v>H5_B8_BG-09.png</v>
      </c>
      <c r="L1620" s="13" t="str">
        <f ca="1">IFERROR(__xludf.DUMMYFUNCTION("""COMPUTED_VALUE"""),"B8_9.mp3")</f>
        <v>B8_9.mp3</v>
      </c>
      <c r="M1620" s="13" t="str">
        <f ca="1">IFERROR(__xludf.DUMMYFUNCTION("""COMPUTED_VALUE"""),"B8_VD_9.mp3")</f>
        <v>B8_VD_9.mp3</v>
      </c>
    </row>
    <row r="1621" spans="1:13">
      <c r="A1621" s="13">
        <f ca="1">IFERROR(__xludf.DUMMYFUNCTION("""COMPUTED_VALUE"""),10)</f>
        <v>10</v>
      </c>
      <c r="B1621" s="13"/>
      <c r="C1621" s="13" t="str">
        <f ca="1">IFERROR(__xludf.DUMMYFUNCTION("""COMPUTED_VALUE"""),"蔬菜")</f>
        <v>蔬菜</v>
      </c>
      <c r="D1621" s="13" t="str">
        <f ca="1">IFERROR(__xludf.DUMMYFUNCTION("""COMPUTED_VALUE"""),"&lt;ruby&gt;蔬菜&lt;rt&gt;shūcài&lt;/rt&gt;&lt;/ruby&gt;")</f>
        <v>&lt;ruby&gt;蔬菜&lt;rt&gt;shūcài&lt;/rt&gt;&lt;/ruby&gt;</v>
      </c>
      <c r="E1621" s="13" t="str">
        <f ca="1">IFERROR(__xludf.DUMMYFUNCTION("""COMPUTED_VALUE"""),"shūcài")</f>
        <v>shūcài</v>
      </c>
      <c r="F1621" s="13" t="str">
        <f ca="1">IFERROR(__xludf.DUMMYFUNCTION("""COMPUTED_VALUE"""),"Danh từ")</f>
        <v>Danh từ</v>
      </c>
      <c r="G1621" s="13" t="str">
        <f ca="1">IFERROR(__xludf.DUMMYFUNCTION("""COMPUTED_VALUE"""),"rau cải")</f>
        <v>rau cải</v>
      </c>
      <c r="H1621" s="13" t="str">
        <f ca="1">IFERROR(__xludf.DUMMYFUNCTION("""COMPUTED_VALUE""")," 我的女儿很喜欢吃蔬菜，特别是蔬菜白菜，非常好吃。")</f>
        <v xml:space="preserve"> 我的女儿很喜欢吃蔬菜，特别是蔬菜白菜，非常好吃。</v>
      </c>
      <c r="I1621" s="13"/>
      <c r="J1621" s="13" t="str">
        <f ca="1">IFERROR(__xludf.DUMMYFUNCTION("""COMPUTED_VALUE"""),"con gái tôi rất thích ăn rau xanh đặc biệt là rau cải, nó rất ngon.")</f>
        <v>con gái tôi rất thích ăn rau xanh đặc biệt là rau cải, nó rất ngon.</v>
      </c>
      <c r="K1621" s="13" t="str">
        <f ca="1">IFERROR(__xludf.DUMMYFUNCTION("""COMPUTED_VALUE"""),"H5_B8_BG-10.png")</f>
        <v>H5_B8_BG-10.png</v>
      </c>
      <c r="L1621" s="13" t="str">
        <f ca="1">IFERROR(__xludf.DUMMYFUNCTION("""COMPUTED_VALUE"""),"B8_10.mp3")</f>
        <v>B8_10.mp3</v>
      </c>
      <c r="M1621" s="13" t="str">
        <f ca="1">IFERROR(__xludf.DUMMYFUNCTION("""COMPUTED_VALUE"""),"B8_VD_10.mp3")</f>
        <v>B8_VD_10.mp3</v>
      </c>
    </row>
    <row r="1622" spans="1:13">
      <c r="A1622" s="13">
        <f ca="1">IFERROR(__xludf.DUMMYFUNCTION("""COMPUTED_VALUE"""),11)</f>
        <v>11</v>
      </c>
      <c r="B1622" s="13"/>
      <c r="C1622" s="13" t="str">
        <f ca="1">IFERROR(__xludf.DUMMYFUNCTION("""COMPUTED_VALUE"""),"限制")</f>
        <v>限制</v>
      </c>
      <c r="D1622" s="13" t="str">
        <f ca="1">IFERROR(__xludf.DUMMYFUNCTION("""COMPUTED_VALUE"""),"&lt;ruby&gt;限制&lt;rt&gt;xiànzhì&lt;/rt&gt;&lt;/ruby&gt;")</f>
        <v>&lt;ruby&gt;限制&lt;rt&gt;xiànzhì&lt;/rt&gt;&lt;/ruby&gt;</v>
      </c>
      <c r="E1622" s="13" t="str">
        <f ca="1">IFERROR(__xludf.DUMMYFUNCTION("""COMPUTED_VALUE"""),"xiànzhì")</f>
        <v>xiànzhì</v>
      </c>
      <c r="F1622" s="13" t="str">
        <f ca="1">IFERROR(__xludf.DUMMYFUNCTION("""COMPUTED_VALUE"""),"Động từ")</f>
        <v>Động từ</v>
      </c>
      <c r="G1622" s="13" t="str">
        <f ca="1">IFERROR(__xludf.DUMMYFUNCTION("""COMPUTED_VALUE"""),"hạn chế")</f>
        <v>hạn chế</v>
      </c>
      <c r="H1622" s="13" t="str">
        <f ca="1">IFERROR(__xludf.DUMMYFUNCTION("""COMPUTED_VALUE"""),"为了健康，我已经限制了吃甜食。")</f>
        <v>为了健康，我已经限制了吃甜食。</v>
      </c>
      <c r="I1622" s="13"/>
      <c r="J1622" s="13" t="str">
        <f ca="1">IFERROR(__xludf.DUMMYFUNCTION("""COMPUTED_VALUE"""),"để tốt cho sức khỏe, tôi đã hạn chế việc ăn đồ ngọt.")</f>
        <v>để tốt cho sức khỏe, tôi đã hạn chế việc ăn đồ ngọt.</v>
      </c>
      <c r="K1622" s="13" t="str">
        <f ca="1">IFERROR(__xludf.DUMMYFUNCTION("""COMPUTED_VALUE"""),"H5_B8_BG-11.png")</f>
        <v>H5_B8_BG-11.png</v>
      </c>
      <c r="L1622" s="13" t="str">
        <f ca="1">IFERROR(__xludf.DUMMYFUNCTION("""COMPUTED_VALUE"""),"B8_11.mp3")</f>
        <v>B8_11.mp3</v>
      </c>
      <c r="M1622" s="13" t="str">
        <f ca="1">IFERROR(__xludf.DUMMYFUNCTION("""COMPUTED_VALUE"""),"B8_VD_11.mp3")</f>
        <v>B8_VD_11.mp3</v>
      </c>
    </row>
    <row r="1623" spans="1:13">
      <c r="A1623" s="13">
        <f ca="1">IFERROR(__xludf.DUMMYFUNCTION("""COMPUTED_VALUE"""),12)</f>
        <v>12</v>
      </c>
      <c r="B1623" s="13"/>
      <c r="C1623" s="13" t="str">
        <f ca="1">IFERROR(__xludf.DUMMYFUNCTION("""COMPUTED_VALUE"""),"消费")</f>
        <v>消费</v>
      </c>
      <c r="D1623" s="13" t="str">
        <f ca="1">IFERROR(__xludf.DUMMYFUNCTION("""COMPUTED_VALUE"""),"&lt;ruby&gt;消费&lt;rt&gt;xiāofèi&lt;/rt&gt;&lt;/ruby&gt;")</f>
        <v>&lt;ruby&gt;消费&lt;rt&gt;xiāofèi&lt;/rt&gt;&lt;/ruby&gt;</v>
      </c>
      <c r="E1623" s="13" t="str">
        <f ca="1">IFERROR(__xludf.DUMMYFUNCTION("""COMPUTED_VALUE"""),"xiāofèi")</f>
        <v>xiāofèi</v>
      </c>
      <c r="F1623" s="13" t="str">
        <f ca="1">IFERROR(__xludf.DUMMYFUNCTION("""COMPUTED_VALUE"""),"Động từ")</f>
        <v>Động từ</v>
      </c>
      <c r="G1623" s="13" t="str">
        <f ca="1">IFERROR(__xludf.DUMMYFUNCTION("""COMPUTED_VALUE"""),"tiêu thụ, tiêu dùng")</f>
        <v>tiêu thụ, tiêu dùng</v>
      </c>
      <c r="H1623" s="13" t="str">
        <f ca="1">IFERROR(__xludf.DUMMYFUNCTION("""COMPUTED_VALUE"""),"小女孩买了很多零食，她的消费习惯很特别。")</f>
        <v>小女孩买了很多零食，她的消费习惯很特别。</v>
      </c>
      <c r="I1623" s="13"/>
      <c r="J1623" s="13" t="str">
        <f ca="1">IFERROR(__xludf.DUMMYFUNCTION("""COMPUTED_VALUE"""),"Cô bé đã mua rất nhiều đồ ăn vặt, thói quen tiêu dùng của cô ấy rất đặc biệt.")</f>
        <v>Cô bé đã mua rất nhiều đồ ăn vặt, thói quen tiêu dùng của cô ấy rất đặc biệt.</v>
      </c>
      <c r="K1623" s="13" t="str">
        <f ca="1">IFERROR(__xludf.DUMMYFUNCTION("""COMPUTED_VALUE"""),"H5_B8_BG-12.png")</f>
        <v>H5_B8_BG-12.png</v>
      </c>
      <c r="L1623" s="13" t="str">
        <f ca="1">IFERROR(__xludf.DUMMYFUNCTION("""COMPUTED_VALUE"""),"B8_12.mp3")</f>
        <v>B8_12.mp3</v>
      </c>
      <c r="M1623" s="13" t="str">
        <f ca="1">IFERROR(__xludf.DUMMYFUNCTION("""COMPUTED_VALUE"""),"B8_VD_12.mp3")</f>
        <v>B8_VD_12.mp3</v>
      </c>
    </row>
    <row r="1624" spans="1:13">
      <c r="A1624" s="13">
        <f ca="1">IFERROR(__xludf.DUMMYFUNCTION("""COMPUTED_VALUE"""),13)</f>
        <v>13</v>
      </c>
      <c r="B1624" s="13"/>
      <c r="C1624" s="13" t="str">
        <f ca="1">IFERROR(__xludf.DUMMYFUNCTION("""COMPUTED_VALUE"""),"行为")</f>
        <v>行为</v>
      </c>
      <c r="D1624" s="13" t="str">
        <f ca="1">IFERROR(__xludf.DUMMYFUNCTION("""COMPUTED_VALUE"""),"&lt;ruby&gt;行为&lt;rt&gt;xíngwéi&lt;/rt&gt;&lt;/ruby&gt;")</f>
        <v>&lt;ruby&gt;行为&lt;rt&gt;xíngwéi&lt;/rt&gt;&lt;/ruby&gt;</v>
      </c>
      <c r="E1624" s="13" t="str">
        <f ca="1">IFERROR(__xludf.DUMMYFUNCTION("""COMPUTED_VALUE"""),"xíngwéi")</f>
        <v>xíngwéi</v>
      </c>
      <c r="F1624" s="13" t="str">
        <f ca="1">IFERROR(__xludf.DUMMYFUNCTION("""COMPUTED_VALUE"""),"Danh từ")</f>
        <v>Danh từ</v>
      </c>
      <c r="G1624" s="13" t="str">
        <f ca="1">IFERROR(__xludf.DUMMYFUNCTION("""COMPUTED_VALUE"""),"hành vi, hành động")</f>
        <v>hành vi, hành động</v>
      </c>
      <c r="H1624" s="13" t="str">
        <f ca="1">IFERROR(__xludf.DUMMYFUNCTION("""COMPUTED_VALUE"""),"老师表扬了她的行为。")</f>
        <v>老师表扬了她的行为。</v>
      </c>
      <c r="I1624" s="13"/>
      <c r="J1624" s="13" t="str">
        <f ca="1">IFERROR(__xludf.DUMMYFUNCTION("""COMPUTED_VALUE"""),"Giáo viên khen ngợi hành vi của cô bé.")</f>
        <v>Giáo viên khen ngợi hành vi của cô bé.</v>
      </c>
      <c r="K1624" s="13" t="str">
        <f ca="1">IFERROR(__xludf.DUMMYFUNCTION("""COMPUTED_VALUE"""),"H5_B8_BG-13.png")</f>
        <v>H5_B8_BG-13.png</v>
      </c>
      <c r="L1624" s="13" t="str">
        <f ca="1">IFERROR(__xludf.DUMMYFUNCTION("""COMPUTED_VALUE"""),"B8_13.mp3")</f>
        <v>B8_13.mp3</v>
      </c>
      <c r="M1624" s="13" t="str">
        <f ca="1">IFERROR(__xludf.DUMMYFUNCTION("""COMPUTED_VALUE"""),"B8_VD_13.mp3")</f>
        <v>B8_VD_13.mp3</v>
      </c>
    </row>
    <row r="1625" spans="1:13">
      <c r="A1625" s="13">
        <f ca="1">IFERROR(__xludf.DUMMYFUNCTION("""COMPUTED_VALUE"""),14)</f>
        <v>14</v>
      </c>
      <c r="B1625" s="13"/>
      <c r="C1625" s="13" t="str">
        <f ca="1">IFERROR(__xludf.DUMMYFUNCTION("""COMPUTED_VALUE"""),"喂养")</f>
        <v>喂养</v>
      </c>
      <c r="D1625" s="13" t="str">
        <f ca="1">IFERROR(__xludf.DUMMYFUNCTION("""COMPUTED_VALUE"""),"&lt;ruby&gt;喂养&lt;rt&gt;wèiyǎng&lt;/rt&gt;&lt;/ruby&gt;")</f>
        <v>&lt;ruby&gt;喂养&lt;rt&gt;wèiyǎng&lt;/rt&gt;&lt;/ruby&gt;</v>
      </c>
      <c r="E1625" s="13" t="str">
        <f ca="1">IFERROR(__xludf.DUMMYFUNCTION("""COMPUTED_VALUE"""),"wèiyǎng")</f>
        <v>wèiyǎng</v>
      </c>
      <c r="F1625" s="13" t="str">
        <f ca="1">IFERROR(__xludf.DUMMYFUNCTION("""COMPUTED_VALUE"""),"Động từ")</f>
        <v>Động từ</v>
      </c>
      <c r="G1625" s="13" t="str">
        <f ca="1">IFERROR(__xludf.DUMMYFUNCTION("""COMPUTED_VALUE"""),"nuôi")</f>
        <v>nuôi</v>
      </c>
      <c r="H1625" s="13" t="str">
        <f ca="1">IFERROR(__xludf.DUMMYFUNCTION("""COMPUTED_VALUE"""),"在家里，他喂养了一只狗。")</f>
        <v>在家里，他喂养了一只狗。</v>
      </c>
      <c r="I1625" s="13"/>
      <c r="J1625" s="13" t="str">
        <f ca="1">IFERROR(__xludf.DUMMYFUNCTION("""COMPUTED_VALUE"""),"ở nhà, anh ấy có nuôi một chú chó cưng.")</f>
        <v>ở nhà, anh ấy có nuôi một chú chó cưng.</v>
      </c>
      <c r="K1625" s="13" t="str">
        <f ca="1">IFERROR(__xludf.DUMMYFUNCTION("""COMPUTED_VALUE"""),"H5_B8_BG-14.png")</f>
        <v>H5_B8_BG-14.png</v>
      </c>
      <c r="L1625" s="13" t="str">
        <f ca="1">IFERROR(__xludf.DUMMYFUNCTION("""COMPUTED_VALUE"""),"B8_14.mp3")</f>
        <v>B8_14.mp3</v>
      </c>
      <c r="M1625" s="13" t="str">
        <f ca="1">IFERROR(__xludf.DUMMYFUNCTION("""COMPUTED_VALUE"""),"B8_VD_14.mp3")</f>
        <v>B8_VD_14.mp3</v>
      </c>
    </row>
    <row r="1626" spans="1:13">
      <c r="A1626" s="13">
        <f ca="1">IFERROR(__xludf.DUMMYFUNCTION("""COMPUTED_VALUE"""),15)</f>
        <v>15</v>
      </c>
      <c r="B1626" s="13"/>
      <c r="C1626" s="13" t="str">
        <f ca="1">IFERROR(__xludf.DUMMYFUNCTION("""COMPUTED_VALUE"""),"橡子")</f>
        <v>橡子</v>
      </c>
      <c r="D1626" s="13" t="str">
        <f ca="1">IFERROR(__xludf.DUMMYFUNCTION("""COMPUTED_VALUE"""),"&lt;ruby&gt;橡子&lt;rt&gt;xiàngzi&lt;/rt&gt;&lt;/ruby&gt;")</f>
        <v>&lt;ruby&gt;橡子&lt;rt&gt;xiàngzi&lt;/rt&gt;&lt;/ruby&gt;</v>
      </c>
      <c r="E1626" s="13" t="str">
        <f ca="1">IFERROR(__xludf.DUMMYFUNCTION("""COMPUTED_VALUE"""),"xiàngzi")</f>
        <v>xiàngzi</v>
      </c>
      <c r="F1626" s="13" t="str">
        <f ca="1">IFERROR(__xludf.DUMMYFUNCTION("""COMPUTED_VALUE"""),"Danh từ")</f>
        <v>Danh từ</v>
      </c>
      <c r="G1626" s="13" t="str">
        <f ca="1">IFERROR(__xludf.DUMMYFUNCTION("""COMPUTED_VALUE"""),"quả đấu, hạt dẻ rừng")</f>
        <v>quả đấu, hạt dẻ rừng</v>
      </c>
      <c r="H1626" s="13" t="str">
        <f ca="1">IFERROR(__xludf.DUMMYFUNCTION("""COMPUTED_VALUE"""),"松鼠非常喜欢吃橡子。")</f>
        <v>松鼠非常喜欢吃橡子。</v>
      </c>
      <c r="I1626" s="13"/>
      <c r="J1626" s="13" t="str">
        <f ca="1">IFERROR(__xludf.DUMMYFUNCTION("""COMPUTED_VALUE"""),"Loài sóc rất thích ăn quả đấu.")</f>
        <v>Loài sóc rất thích ăn quả đấu.</v>
      </c>
      <c r="K1626" s="13" t="str">
        <f ca="1">IFERROR(__xludf.DUMMYFUNCTION("""COMPUTED_VALUE"""),"H5_B8_BG-15.png")</f>
        <v>H5_B8_BG-15.png</v>
      </c>
      <c r="L1626" s="13" t="str">
        <f ca="1">IFERROR(__xludf.DUMMYFUNCTION("""COMPUTED_VALUE"""),"B8_15.mp3")</f>
        <v>B8_15.mp3</v>
      </c>
      <c r="M1626" s="13" t="str">
        <f ca="1">IFERROR(__xludf.DUMMYFUNCTION("""COMPUTED_VALUE"""),"B8_VD_15.mp3")</f>
        <v>B8_VD_15.mp3</v>
      </c>
    </row>
    <row r="1627" spans="1:13">
      <c r="A1627" s="13">
        <f ca="1">IFERROR(__xludf.DUMMYFUNCTION("""COMPUTED_VALUE"""),16)</f>
        <v>16</v>
      </c>
      <c r="B1627" s="13"/>
      <c r="C1627" s="13" t="str">
        <f ca="1">IFERROR(__xludf.DUMMYFUNCTION("""COMPUTED_VALUE"""),"颗")</f>
        <v>颗</v>
      </c>
      <c r="D1627" s="13" t="str">
        <f ca="1">IFERROR(__xludf.DUMMYFUNCTION("""COMPUTED_VALUE"""),"&lt;ruby&gt;颗&lt;rt&gt;kē&lt;/rt&gt;&lt;/ruby&gt;")</f>
        <v>&lt;ruby&gt;颗&lt;rt&gt;kē&lt;/rt&gt;&lt;/ruby&gt;</v>
      </c>
      <c r="E1627" s="13" t="str">
        <f ca="1">IFERROR(__xludf.DUMMYFUNCTION("""COMPUTED_VALUE"""),"kē")</f>
        <v>kē</v>
      </c>
      <c r="F1627" s="13" t="str">
        <f ca="1">IFERROR(__xludf.DUMMYFUNCTION("""COMPUTED_VALUE"""),"Lượng từ ")</f>
        <v xml:space="preserve">Lượng từ </v>
      </c>
      <c r="G1627" s="13" t="str">
        <f ca="1">IFERROR(__xludf.DUMMYFUNCTION("""COMPUTED_VALUE"""),"(được dùng cho vật có dạng hạt tròn nhỏ) hạt, viên")</f>
        <v>(được dùng cho vật có dạng hạt tròn nhỏ) hạt, viên</v>
      </c>
      <c r="H1627" s="13" t="str">
        <f ca="1">IFERROR(__xludf.DUMMYFUNCTION("""COMPUTED_VALUE"""),"我吃了几颗糖。")</f>
        <v>我吃了几颗糖。</v>
      </c>
      <c r="I1627" s="13"/>
      <c r="J1627" s="13" t="str">
        <f ca="1">IFERROR(__xludf.DUMMYFUNCTION("""COMPUTED_VALUE"""),"Tôi ăn mấy viên kẹo.")</f>
        <v>Tôi ăn mấy viên kẹo.</v>
      </c>
      <c r="K1627" s="13" t="str">
        <f ca="1">IFERROR(__xludf.DUMMYFUNCTION("""COMPUTED_VALUE"""),"H5_B8_BG-16.png")</f>
        <v>H5_B8_BG-16.png</v>
      </c>
      <c r="L1627" s="13" t="str">
        <f ca="1">IFERROR(__xludf.DUMMYFUNCTION("""COMPUTED_VALUE"""),"B8_16.mp3")</f>
        <v>B8_16.mp3</v>
      </c>
      <c r="M1627" s="13" t="str">
        <f ca="1">IFERROR(__xludf.DUMMYFUNCTION("""COMPUTED_VALUE"""),"B8_VD_16.mp3")</f>
        <v>B8_VD_16.mp3</v>
      </c>
    </row>
    <row r="1628" spans="1:13">
      <c r="A1628" s="13">
        <f ca="1">IFERROR(__xludf.DUMMYFUNCTION("""COMPUTED_VALUE"""),17)</f>
        <v>17</v>
      </c>
      <c r="B1628" s="13"/>
      <c r="C1628" s="13" t="str">
        <f ca="1">IFERROR(__xludf.DUMMYFUNCTION("""COMPUTED_VALUE"""),"安慰")</f>
        <v>安慰</v>
      </c>
      <c r="D1628" s="13" t="str">
        <f ca="1">IFERROR(__xludf.DUMMYFUNCTION("""COMPUTED_VALUE"""),"&lt;ruby&gt;安慰&lt;rt&gt;ānwèi&lt;/rt&gt;&lt;/ruby&gt;")</f>
        <v>&lt;ruby&gt;安慰&lt;rt&gt;ānwèi&lt;/rt&gt;&lt;/ruby&gt;</v>
      </c>
      <c r="E1628" s="13" t="str">
        <f ca="1">IFERROR(__xludf.DUMMYFUNCTION("""COMPUTED_VALUE"""),"ānwèi")</f>
        <v>ānwèi</v>
      </c>
      <c r="F1628" s="13" t="str">
        <f ca="1">IFERROR(__xludf.DUMMYFUNCTION("""COMPUTED_VALUE"""),"Động từ")</f>
        <v>Động từ</v>
      </c>
      <c r="G1628" s="13" t="str">
        <f ca="1">IFERROR(__xludf.DUMMYFUNCTION("""COMPUTED_VALUE"""),"an ủi, dỗ dành")</f>
        <v>an ủi, dỗ dành</v>
      </c>
      <c r="H1628" s="13" t="str">
        <f ca="1">IFERROR(__xludf.DUMMYFUNCTION("""COMPUTED_VALUE"""),"他每次妻子难过时，总是能安慰她。")</f>
        <v>他每次妻子难过时，总是能安慰她。</v>
      </c>
      <c r="I1628" s="13"/>
      <c r="J1628" s="13" t="str">
        <f ca="1">IFERROR(__xludf.DUMMYFUNCTION("""COMPUTED_VALUE"""),"Anh ấy luôn biết cách ăn ủi vợ mình, mỗi khi cô ấy buồn.")</f>
        <v>Anh ấy luôn biết cách ăn ủi vợ mình, mỗi khi cô ấy buồn.</v>
      </c>
      <c r="K1628" s="13" t="str">
        <f ca="1">IFERROR(__xludf.DUMMYFUNCTION("""COMPUTED_VALUE"""),"H5_B8_BG-17.png")</f>
        <v>H5_B8_BG-17.png</v>
      </c>
      <c r="L1628" s="13" t="str">
        <f ca="1">IFERROR(__xludf.DUMMYFUNCTION("""COMPUTED_VALUE"""),"B8_17.mp3")</f>
        <v>B8_17.mp3</v>
      </c>
      <c r="M1628" s="13" t="str">
        <f ca="1">IFERROR(__xludf.DUMMYFUNCTION("""COMPUTED_VALUE"""),"B8_VD_17.mp3")</f>
        <v>B8_VD_17.mp3</v>
      </c>
    </row>
    <row r="1629" spans="1:13">
      <c r="A1629" s="13">
        <f ca="1">IFERROR(__xludf.DUMMYFUNCTION("""COMPUTED_VALUE"""),18)</f>
        <v>18</v>
      </c>
      <c r="B1629" s="13"/>
      <c r="C1629" s="13" t="str">
        <f ca="1">IFERROR(__xludf.DUMMYFUNCTION("""COMPUTED_VALUE"""),"彼此")</f>
        <v>彼此</v>
      </c>
      <c r="D1629" s="13" t="str">
        <f ca="1">IFERROR(__xludf.DUMMYFUNCTION("""COMPUTED_VALUE"""),"&lt;ruby&gt;彼此&lt;rt&gt;bǐcǐ&lt;/rt&gt;&lt;/ruby&gt;")</f>
        <v>&lt;ruby&gt;彼此&lt;rt&gt;bǐcǐ&lt;/rt&gt;&lt;/ruby&gt;</v>
      </c>
      <c r="E1629" s="13" t="str">
        <f ca="1">IFERROR(__xludf.DUMMYFUNCTION("""COMPUTED_VALUE"""),"bǐcǐ")</f>
        <v>bǐcǐ</v>
      </c>
      <c r="F1629" s="13" t="str">
        <f ca="1">IFERROR(__xludf.DUMMYFUNCTION("""COMPUTED_VALUE"""),"Danh từ")</f>
        <v>Danh từ</v>
      </c>
      <c r="G1629" s="13" t="str">
        <f ca="1">IFERROR(__xludf.DUMMYFUNCTION("""COMPUTED_VALUE"""),"hai bên")</f>
        <v>hai bên</v>
      </c>
      <c r="H1629" s="13" t="str">
        <f ca="1">IFERROR(__xludf.DUMMYFUNCTION("""COMPUTED_VALUE"""),"我们应该彼此帮助。")</f>
        <v>我们应该彼此帮助。</v>
      </c>
      <c r="I1629" s="13"/>
      <c r="J1629" s="13" t="str">
        <f ca="1">IFERROR(__xludf.DUMMYFUNCTION("""COMPUTED_VALUE"""),"Chúng ta giúp đỡ nhau.")</f>
        <v>Chúng ta giúp đỡ nhau.</v>
      </c>
      <c r="K1629" s="13" t="str">
        <f ca="1">IFERROR(__xludf.DUMMYFUNCTION("""COMPUTED_VALUE"""),"H5_B8_BG-18.png")</f>
        <v>H5_B8_BG-18.png</v>
      </c>
      <c r="L1629" s="13" t="str">
        <f ca="1">IFERROR(__xludf.DUMMYFUNCTION("""COMPUTED_VALUE"""),"B8_18.mp3")</f>
        <v>B8_18.mp3</v>
      </c>
      <c r="M1629" s="13" t="str">
        <f ca="1">IFERROR(__xludf.DUMMYFUNCTION("""COMPUTED_VALUE"""),"B8_VD_18.mp3")</f>
        <v>B8_VD_18.mp3</v>
      </c>
    </row>
    <row r="1630" spans="1:13">
      <c r="A1630" s="13">
        <f ca="1">IFERROR(__xludf.DUMMYFUNCTION("""COMPUTED_VALUE"""),19)</f>
        <v>19</v>
      </c>
      <c r="B1630" s="13"/>
      <c r="C1630" s="13" t="str">
        <f ca="1">IFERROR(__xludf.DUMMYFUNCTION("""COMPUTED_VALUE"""),"表情")</f>
        <v>表情</v>
      </c>
      <c r="D1630" s="13" t="str">
        <f ca="1">IFERROR(__xludf.DUMMYFUNCTION("""COMPUTED_VALUE"""),"&lt;ruby&gt;表情&lt;rt&gt;biǎoqíng&lt;/rt&gt;&lt;/ruby&gt;")</f>
        <v>&lt;ruby&gt;表情&lt;rt&gt;biǎoqíng&lt;/rt&gt;&lt;/ruby&gt;</v>
      </c>
      <c r="E1630" s="13" t="str">
        <f ca="1">IFERROR(__xludf.DUMMYFUNCTION("""COMPUTED_VALUE"""),"biǎoqíng")</f>
        <v>biǎoqíng</v>
      </c>
      <c r="F1630" s="13" t="str">
        <f ca="1">IFERROR(__xludf.DUMMYFUNCTION("""COMPUTED_VALUE"""),"Danh từ")</f>
        <v>Danh từ</v>
      </c>
      <c r="G1630" s="13" t="str">
        <f ca="1">IFERROR(__xludf.DUMMYFUNCTION("""COMPUTED_VALUE"""),"nét mặt, vẻ mặt")</f>
        <v>nét mặt, vẻ mặt</v>
      </c>
      <c r="H1630" s="13" t="str">
        <f ca="1">IFERROR(__xludf.DUMMYFUNCTION("""COMPUTED_VALUE"""),"她想着即将到来的家庭旅行，表情很高兴。")</f>
        <v>她想着即将到来的家庭旅行，表情很高兴。</v>
      </c>
      <c r="I1630" s="13"/>
      <c r="J1630" s="13" t="str">
        <f ca="1">IFERROR(__xludf.DUMMYFUNCTION("""COMPUTED_VALUE"""),"Vẻ mặt của cô ấy rất vui khi nghĩ về chuyến du lịch cùng gia đình sắp tới.")</f>
        <v>Vẻ mặt của cô ấy rất vui khi nghĩ về chuyến du lịch cùng gia đình sắp tới.</v>
      </c>
      <c r="K1630" s="13" t="str">
        <f ca="1">IFERROR(__xludf.DUMMYFUNCTION("""COMPUTED_VALUE"""),"H5_B8_BG-19.png")</f>
        <v>H5_B8_BG-19.png</v>
      </c>
      <c r="L1630" s="13" t="str">
        <f ca="1">IFERROR(__xludf.DUMMYFUNCTION("""COMPUTED_VALUE"""),"B8_19.mp3")</f>
        <v>B8_19.mp3</v>
      </c>
      <c r="M1630" s="13" t="str">
        <f ca="1">IFERROR(__xludf.DUMMYFUNCTION("""COMPUTED_VALUE"""),"B8_VD_19.mp3")</f>
        <v>B8_VD_19.mp3</v>
      </c>
    </row>
    <row r="1631" spans="1:13">
      <c r="A1631" s="13">
        <f ca="1">IFERROR(__xludf.DUMMYFUNCTION("""COMPUTED_VALUE"""),20)</f>
        <v>20</v>
      </c>
      <c r="B1631" s="13"/>
      <c r="C1631" s="13" t="str">
        <f ca="1">IFERROR(__xludf.DUMMYFUNCTION("""COMPUTED_VALUE"""),"对方")</f>
        <v>对方</v>
      </c>
      <c r="D1631" s="13" t="str">
        <f ca="1">IFERROR(__xludf.DUMMYFUNCTION("""COMPUTED_VALUE"""),"&lt;ruby&gt;对方&lt;rt&gt;duìfāng&lt;/rt&gt;&lt;/ruby&gt;")</f>
        <v>&lt;ruby&gt;对方&lt;rt&gt;duìfāng&lt;/rt&gt;&lt;/ruby&gt;</v>
      </c>
      <c r="E1631" s="13" t="str">
        <f ca="1">IFERROR(__xludf.DUMMYFUNCTION("""COMPUTED_VALUE"""),"duìfāng")</f>
        <v>duìfāng</v>
      </c>
      <c r="F1631" s="13" t="str">
        <f ca="1">IFERROR(__xludf.DUMMYFUNCTION("""COMPUTED_VALUE"""),"Danh từ")</f>
        <v>Danh từ</v>
      </c>
      <c r="G1631" s="13" t="str">
        <f ca="1">IFERROR(__xludf.DUMMYFUNCTION("""COMPUTED_VALUE"""),"đối phương, phía bên kia")</f>
        <v>đối phương, phía bên kia</v>
      </c>
      <c r="H1631" s="13" t="str">
        <f ca="1">IFERROR(__xludf.DUMMYFUNCTION("""COMPUTED_VALUE"""),"我们与对方进行了长时间的谈判。")</f>
        <v>我们与对方进行了长时间的谈判。</v>
      </c>
      <c r="I1631" s="13"/>
      <c r="J1631" s="13" t="str">
        <f ca="1">IFERROR(__xludf.DUMMYFUNCTION("""COMPUTED_VALUE"""),"Chúng tôi đã có cuộc đàm phán dài với đối phương.")</f>
        <v>Chúng tôi đã có cuộc đàm phán dài với đối phương.</v>
      </c>
      <c r="K1631" s="13" t="str">
        <f ca="1">IFERROR(__xludf.DUMMYFUNCTION("""COMPUTED_VALUE"""),"H5_B8_BG-20.png")</f>
        <v>H5_B8_BG-20.png</v>
      </c>
      <c r="L1631" s="13" t="str">
        <f ca="1">IFERROR(__xludf.DUMMYFUNCTION("""COMPUTED_VALUE"""),"B8_20.mp3")</f>
        <v>B8_20.mp3</v>
      </c>
      <c r="M1631" s="13" t="str">
        <f ca="1">IFERROR(__xludf.DUMMYFUNCTION("""COMPUTED_VALUE"""),"B8_VD_20.mp3")</f>
        <v>B8_VD_20.mp3</v>
      </c>
    </row>
    <row r="1632" spans="1:13">
      <c r="A1632" s="13">
        <f ca="1">IFERROR(__xludf.DUMMYFUNCTION("""COMPUTED_VALUE"""),21)</f>
        <v>21</v>
      </c>
      <c r="B1632" s="13"/>
      <c r="C1632" s="13" t="str">
        <f ca="1">IFERROR(__xludf.DUMMYFUNCTION("""COMPUTED_VALUE"""),"方式")</f>
        <v>方式</v>
      </c>
      <c r="D1632" s="13" t="str">
        <f ca="1">IFERROR(__xludf.DUMMYFUNCTION("""COMPUTED_VALUE"""),"&lt;ruby&gt;方式&lt;rt&gt;fāngshì&lt;/rt&gt;&lt;/ruby&gt;")</f>
        <v>&lt;ruby&gt;方式&lt;rt&gt;fāngshì&lt;/rt&gt;&lt;/ruby&gt;</v>
      </c>
      <c r="E1632" s="13" t="str">
        <f ca="1">IFERROR(__xludf.DUMMYFUNCTION("""COMPUTED_VALUE"""),"fāngshì")</f>
        <v>fāngshì</v>
      </c>
      <c r="F1632" s="13" t="str">
        <f ca="1">IFERROR(__xludf.DUMMYFUNCTION("""COMPUTED_VALUE"""),"Danh từ")</f>
        <v>Danh từ</v>
      </c>
      <c r="G1632" s="13" t="str">
        <f ca="1">IFERROR(__xludf.DUMMYFUNCTION("""COMPUTED_VALUE"""),"phương thức, cách thức")</f>
        <v>phương thức, cách thức</v>
      </c>
      <c r="H1632" s="13" t="str">
        <f ca="1">IFERROR(__xludf.DUMMYFUNCTION("""COMPUTED_VALUE"""),"每个人都有不同的学习方式。")</f>
        <v>每个人都有不同的学习方式。</v>
      </c>
      <c r="I1632" s="13"/>
      <c r="J1632" s="13" t="str">
        <f ca="1">IFERROR(__xludf.DUMMYFUNCTION("""COMPUTED_VALUE"""),"Mỗi người có một phương thức học tập khác nhau.")</f>
        <v>Mỗi người có một phương thức học tập khác nhau.</v>
      </c>
      <c r="K1632" s="13" t="str">
        <f ca="1">IFERROR(__xludf.DUMMYFUNCTION("""COMPUTED_VALUE"""),"H5_B8_BG-21.png")</f>
        <v>H5_B8_BG-21.png</v>
      </c>
      <c r="L1632" s="13" t="str">
        <f ca="1">IFERROR(__xludf.DUMMYFUNCTION("""COMPUTED_VALUE"""),"B8_21.mp3")</f>
        <v>B8_21.mp3</v>
      </c>
      <c r="M1632" s="13" t="str">
        <f ca="1">IFERROR(__xludf.DUMMYFUNCTION("""COMPUTED_VALUE"""),"B8_VD_21.mp3")</f>
        <v>B8_VD_21.mp3</v>
      </c>
    </row>
    <row r="1633" spans="1:13">
      <c r="A1633" s="13">
        <f ca="1">IFERROR(__xludf.DUMMYFUNCTION("""COMPUTED_VALUE"""),22)</f>
        <v>22</v>
      </c>
      <c r="B1633" s="13"/>
      <c r="C1633" s="13" t="str">
        <f ca="1">IFERROR(__xludf.DUMMYFUNCTION("""COMPUTED_VALUE"""),"格外")</f>
        <v>格外</v>
      </c>
      <c r="D1633" s="13" t="str">
        <f ca="1">IFERROR(__xludf.DUMMYFUNCTION("""COMPUTED_VALUE"""),"&lt;ruby&gt;格外&lt;rt&gt;géwài&lt;/rt&gt;&lt;/ruby&gt;")</f>
        <v>&lt;ruby&gt;格外&lt;rt&gt;géwài&lt;/rt&gt;&lt;/ruby&gt;</v>
      </c>
      <c r="E1633" s="13" t="str">
        <f ca="1">IFERROR(__xludf.DUMMYFUNCTION("""COMPUTED_VALUE"""),"géwài")</f>
        <v>géwài</v>
      </c>
      <c r="F1633" s="13" t="str">
        <f ca="1">IFERROR(__xludf.DUMMYFUNCTION("""COMPUTED_VALUE"""),"Phó từ")</f>
        <v>Phó từ</v>
      </c>
      <c r="G1633" s="13" t="str">
        <f ca="1">IFERROR(__xludf.DUMMYFUNCTION("""COMPUTED_VALUE"""),"vô cùng, hết sức")</f>
        <v>vô cùng, hết sức</v>
      </c>
      <c r="H1633" s="13" t="str">
        <f ca="1">IFERROR(__xludf.DUMMYFUNCTION("""COMPUTED_VALUE"""),"今天的天气格外寒冷。")</f>
        <v>今天的天气格外寒冷。</v>
      </c>
      <c r="I1633" s="13"/>
      <c r="J1633" s="13" t="str">
        <f ca="1">IFERROR(__xludf.DUMMYFUNCTION("""COMPUTED_VALUE"""),"Thời tiết hôm nay vô cùng lạnh.")</f>
        <v>Thời tiết hôm nay vô cùng lạnh.</v>
      </c>
      <c r="K1633" s="13" t="str">
        <f ca="1">IFERROR(__xludf.DUMMYFUNCTION("""COMPUTED_VALUE"""),"H5_B8_BG-22.png")</f>
        <v>H5_B8_BG-22.png</v>
      </c>
      <c r="L1633" s="13" t="str">
        <f ca="1">IFERROR(__xludf.DUMMYFUNCTION("""COMPUTED_VALUE"""),"B8_22.mp3")</f>
        <v>B8_22.mp3</v>
      </c>
      <c r="M1633" s="13" t="str">
        <f ca="1">IFERROR(__xludf.DUMMYFUNCTION("""COMPUTED_VALUE"""),"B8_VD_22.mp3")</f>
        <v>B8_VD_22.mp3</v>
      </c>
    </row>
    <row r="1634" spans="1:13">
      <c r="A1634" s="13">
        <f ca="1">IFERROR(__xludf.DUMMYFUNCTION("""COMPUTED_VALUE"""),23)</f>
        <v>23</v>
      </c>
      <c r="B1634" s="13"/>
      <c r="C1634" s="13" t="str">
        <f ca="1">IFERROR(__xludf.DUMMYFUNCTION("""COMPUTED_VALUE"""),"哈")</f>
        <v>哈</v>
      </c>
      <c r="D1634" s="13" t="str">
        <f ca="1">IFERROR(__xludf.DUMMYFUNCTION("""COMPUTED_VALUE"""),"&lt;ruby&gt;哈&lt;rt&gt;hā&lt;/rt&gt;&lt;/ruby&gt;")</f>
        <v>&lt;ruby&gt;哈&lt;rt&gt;hā&lt;/rt&gt;&lt;/ruby&gt;</v>
      </c>
      <c r="E1634" s="13" t="str">
        <f ca="1">IFERROR(__xludf.DUMMYFUNCTION("""COMPUTED_VALUE"""),"hā")</f>
        <v>hā</v>
      </c>
      <c r="F1634" s="13" t="str">
        <f ca="1">IFERROR(__xludf.DUMMYFUNCTION("""COMPUTED_VALUE"""),"Từ tượng thanh/ từ cảm thán ")</f>
        <v xml:space="preserve">Từ tượng thanh/ từ cảm thán </v>
      </c>
      <c r="G1634" s="13" t="str">
        <f ca="1">IFERROR(__xludf.DUMMYFUNCTION("""COMPUTED_VALUE"""),"(từ tượng thanh chỉ tiếng cười) ha ha, ha hả; (từ cảm thán chỉ sự đắc chí hoặc hài lòng) a ha, ha")</f>
        <v>(từ tượng thanh chỉ tiếng cười) ha ha, ha hả; (từ cảm thán chỉ sự đắc chí hoặc hài lòng) a ha, ha</v>
      </c>
      <c r="H1634" s="13" t="str">
        <f ca="1">IFERROR(__xludf.DUMMYFUNCTION("""COMPUTED_VALUE"""),"他讲了一个笑话，大家都哈哈大笑起来。")</f>
        <v>他讲了一个笑话，大家都哈哈大笑起来。</v>
      </c>
      <c r="I1634" s="13"/>
      <c r="J1634" s="13" t="str">
        <f ca="1">IFERROR(__xludf.DUMMYFUNCTION("""COMPUTED_VALUE"""),"Anh ấy kể một câu chuyện cười, mọi người đều cười ha ha.
")</f>
        <v xml:space="preserve">Anh ấy kể một câu chuyện cười, mọi người đều cười ha ha.
</v>
      </c>
      <c r="K1634" s="13" t="str">
        <f ca="1">IFERROR(__xludf.DUMMYFUNCTION("""COMPUTED_VALUE"""),"H5_B8_BG-23.png")</f>
        <v>H5_B8_BG-23.png</v>
      </c>
      <c r="L1634" s="13" t="str">
        <f ca="1">IFERROR(__xludf.DUMMYFUNCTION("""COMPUTED_VALUE"""),"B8_23.mp3")</f>
        <v>B8_23.mp3</v>
      </c>
      <c r="M1634" s="13" t="str">
        <f ca="1">IFERROR(__xludf.DUMMYFUNCTION("""COMPUTED_VALUE"""),"B8_VD_23.mp3")</f>
        <v>B8_VD_23.mp3</v>
      </c>
    </row>
    <row r="1635" spans="1:13">
      <c r="A1635" s="13">
        <f ca="1">IFERROR(__xludf.DUMMYFUNCTION("""COMPUTED_VALUE"""),24)</f>
        <v>24</v>
      </c>
      <c r="B1635" s="13"/>
      <c r="C1635" s="13" t="str">
        <f ca="1">IFERROR(__xludf.DUMMYFUNCTION("""COMPUTED_VALUE"""),"情景")</f>
        <v>情景</v>
      </c>
      <c r="D1635" s="13" t="str">
        <f ca="1">IFERROR(__xludf.DUMMYFUNCTION("""COMPUTED_VALUE"""),"&lt;ruby&gt;情景&lt;rt&gt;qíngjīng&lt;/rt&gt;&lt;/ruby&gt;")</f>
        <v>&lt;ruby&gt;情景&lt;rt&gt;qíngjīng&lt;/rt&gt;&lt;/ruby&gt;</v>
      </c>
      <c r="E1635" s="13" t="str">
        <f ca="1">IFERROR(__xludf.DUMMYFUNCTION("""COMPUTED_VALUE"""),"qíngjīng")</f>
        <v>qíngjīng</v>
      </c>
      <c r="F1635" s="13" t="str">
        <f ca="1">IFERROR(__xludf.DUMMYFUNCTION("""COMPUTED_VALUE"""),"Danh từ")</f>
        <v>Danh từ</v>
      </c>
      <c r="G1635" s="13" t="str">
        <f ca="1">IFERROR(__xludf.DUMMYFUNCTION("""COMPUTED_VALUE"""),"tình cảnh, cảnh tượng")</f>
        <v>tình cảnh, cảnh tượng</v>
      </c>
      <c r="H1635" s="13" t="str">
        <f ca="1">IFERROR(__xludf.DUMMYFUNCTION("""COMPUTED_VALUE"""),"我永远不会忘记那个举杯庆祝的情景。")</f>
        <v>我永远不会忘记那个举杯庆祝的情景。</v>
      </c>
      <c r="I1635" s="13"/>
      <c r="J1635" s="13" t="str">
        <f ca="1">IFERROR(__xludf.DUMMYFUNCTION("""COMPUTED_VALUE"""),"Cảnh tượng nâng cup vô định, tôi mãi không quên.")</f>
        <v>Cảnh tượng nâng cup vô định, tôi mãi không quên.</v>
      </c>
      <c r="K1635" s="13" t="str">
        <f ca="1">IFERROR(__xludf.DUMMYFUNCTION("""COMPUTED_VALUE"""),"H5_B8_BG-24.png")</f>
        <v>H5_B8_BG-24.png</v>
      </c>
      <c r="L1635" s="13" t="str">
        <f ca="1">IFERROR(__xludf.DUMMYFUNCTION("""COMPUTED_VALUE"""),"B8_24.mp3")</f>
        <v>B8_24.mp3</v>
      </c>
      <c r="M1635" s="13" t="str">
        <f ca="1">IFERROR(__xludf.DUMMYFUNCTION("""COMPUTED_VALUE"""),"B8_VD_24.mp3")</f>
        <v>B8_VD_24.mp3</v>
      </c>
    </row>
    <row r="1636" spans="1:13">
      <c r="A1636" s="13">
        <f ca="1">IFERROR(__xludf.DUMMYFUNCTION("""COMPUTED_VALUE"""),25)</f>
        <v>25</v>
      </c>
      <c r="B1636" s="13"/>
      <c r="C1636" s="13" t="str">
        <f ca="1">IFERROR(__xludf.DUMMYFUNCTION("""COMPUTED_VALUE"""),"似乎")</f>
        <v>似乎</v>
      </c>
      <c r="D1636" s="13" t="str">
        <f ca="1">IFERROR(__xludf.DUMMYFUNCTION("""COMPUTED_VALUE"""),"&lt;ruby&gt;似乎&lt;rt&gt;sìhū&lt;/rt&gt;&lt;/ruby&gt;")</f>
        <v>&lt;ruby&gt;似乎&lt;rt&gt;sìhū&lt;/rt&gt;&lt;/ruby&gt;</v>
      </c>
      <c r="E1636" s="13" t="str">
        <f ca="1">IFERROR(__xludf.DUMMYFUNCTION("""COMPUTED_VALUE"""),"sìhū")</f>
        <v>sìhū</v>
      </c>
      <c r="F1636" s="13" t="str">
        <f ca="1">IFERROR(__xludf.DUMMYFUNCTION("""COMPUTED_VALUE"""),"Phó từ")</f>
        <v>Phó từ</v>
      </c>
      <c r="G1636" s="13" t="str">
        <f ca="1">IFERROR(__xludf.DUMMYFUNCTION("""COMPUTED_VALUE"""),"dường như")</f>
        <v>dường như</v>
      </c>
      <c r="H1636" s="13" t="str">
        <f ca="1">IFERROR(__xludf.DUMMYFUNCTION("""COMPUTED_VALUE"""),"似乎他很忙，没有时间和我聊天。")</f>
        <v>似乎他很忙，没有时间和我聊天。</v>
      </c>
      <c r="I1636" s="13"/>
      <c r="J1636" s="13" t="str">
        <f ca="1">IFERROR(__xludf.DUMMYFUNCTION("""COMPUTED_VALUE"""),"Dường như anh ấy rất bận, không có thời gian trò chuyện với tôi.")</f>
        <v>Dường như anh ấy rất bận, không có thời gian trò chuyện với tôi.</v>
      </c>
      <c r="K1636" s="13" t="str">
        <f ca="1">IFERROR(__xludf.DUMMYFUNCTION("""COMPUTED_VALUE"""),"H5_B8_BG-25.png")</f>
        <v>H5_B8_BG-25.png</v>
      </c>
      <c r="L1636" s="13" t="str">
        <f ca="1">IFERROR(__xludf.DUMMYFUNCTION("""COMPUTED_VALUE"""),"B8_25.mp3")</f>
        <v>B8_25.mp3</v>
      </c>
      <c r="M1636" s="13" t="str">
        <f ca="1">IFERROR(__xludf.DUMMYFUNCTION("""COMPUTED_VALUE"""),"B8_VD_25.mp3")</f>
        <v>B8_VD_25.mp3</v>
      </c>
    </row>
    <row r="1637" spans="1:13">
      <c r="A1637" s="13">
        <f ca="1">IFERROR(__xludf.DUMMYFUNCTION("""COMPUTED_VALUE"""),26)</f>
        <v>26</v>
      </c>
      <c r="B1637" s="13"/>
      <c r="C1637" s="13" t="str">
        <f ca="1">IFERROR(__xludf.DUMMYFUNCTION("""COMPUTED_VALUE"""),"显得")</f>
        <v>显得</v>
      </c>
      <c r="D1637" s="13" t="str">
        <f ca="1">IFERROR(__xludf.DUMMYFUNCTION("""COMPUTED_VALUE"""),"&lt;ruby&gt;显得&lt;rt&gt;xiǎnde&lt;/rt&gt;&lt;/ruby&gt;")</f>
        <v>&lt;ruby&gt;显得&lt;rt&gt;xiǎnde&lt;/rt&gt;&lt;/ruby&gt;</v>
      </c>
      <c r="E1637" s="13" t="str">
        <f ca="1">IFERROR(__xludf.DUMMYFUNCTION("""COMPUTED_VALUE"""),"xiǎnde")</f>
        <v>xiǎnde</v>
      </c>
      <c r="F1637" s="13" t="str">
        <f ca="1">IFERROR(__xludf.DUMMYFUNCTION("""COMPUTED_VALUE"""),"Động từ")</f>
        <v>Động từ</v>
      </c>
      <c r="G1637" s="13" t="str">
        <f ca="1">IFERROR(__xludf.DUMMYFUNCTION("""COMPUTED_VALUE"""),"tỏ ra, có vẻ")</f>
        <v>tỏ ra, có vẻ</v>
      </c>
      <c r="H1637" s="13" t="str">
        <f ca="1">IFERROR(__xludf.DUMMYFUNCTION("""COMPUTED_VALUE"""),"今天他显得很疲倦。")</f>
        <v>今天他显得很疲倦。</v>
      </c>
      <c r="I1637" s="13"/>
      <c r="J1637" s="13" t="str">
        <f ca="1">IFERROR(__xludf.DUMMYFUNCTION("""COMPUTED_VALUE"""),"Hôm nay anh ấy tỏ ra rất mệt mỏi.")</f>
        <v>Hôm nay anh ấy tỏ ra rất mệt mỏi.</v>
      </c>
      <c r="K1637" s="13" t="str">
        <f ca="1">IFERROR(__xludf.DUMMYFUNCTION("""COMPUTED_VALUE"""),"H5_B8_BG-26.png")</f>
        <v>H5_B8_BG-26.png</v>
      </c>
      <c r="L1637" s="13" t="str">
        <f ca="1">IFERROR(__xludf.DUMMYFUNCTION("""COMPUTED_VALUE"""),"B8_26.mp3")</f>
        <v>B8_26.mp3</v>
      </c>
      <c r="M1637" s="13" t="str">
        <f ca="1">IFERROR(__xludf.DUMMYFUNCTION("""COMPUTED_VALUE"""),"B8_VD_26.mp3")</f>
        <v>B8_VD_26.mp3</v>
      </c>
    </row>
    <row r="1638" spans="1:13">
      <c r="A1638" s="13">
        <f ca="1">IFERROR(__xludf.DUMMYFUNCTION("""COMPUTED_VALUE"""),27)</f>
        <v>27</v>
      </c>
      <c r="B1638" s="13"/>
      <c r="C1638" s="13" t="str">
        <f ca="1">IFERROR(__xludf.DUMMYFUNCTION("""COMPUTED_VALUE"""),"相处")</f>
        <v>相处</v>
      </c>
      <c r="D1638" s="13" t="str">
        <f ca="1">IFERROR(__xludf.DUMMYFUNCTION("""COMPUTED_VALUE"""),"&lt;ruby&gt;相处&lt;rt&gt;xiāngchǔ&lt;/rt&gt;&lt;/ruby&gt;")</f>
        <v>&lt;ruby&gt;相处&lt;rt&gt;xiāngchǔ&lt;/rt&gt;&lt;/ruby&gt;</v>
      </c>
      <c r="E1638" s="13" t="str">
        <f ca="1">IFERROR(__xludf.DUMMYFUNCTION("""COMPUTED_VALUE"""),"xiāngchǔ")</f>
        <v>xiāngchǔ</v>
      </c>
      <c r="F1638" s="13" t="str">
        <f ca="1">IFERROR(__xludf.DUMMYFUNCTION("""COMPUTED_VALUE"""),"Động từ")</f>
        <v>Động từ</v>
      </c>
      <c r="G1638" s="13" t="str">
        <f ca="1">IFERROR(__xludf.DUMMYFUNCTION("""COMPUTED_VALUE"""),"chung sống")</f>
        <v>chung sống</v>
      </c>
      <c r="H1638" s="13" t="str">
        <f ca="1">IFERROR(__xludf.DUMMYFUNCTION("""COMPUTED_VALUE"""),"我们全家相处得非常和谐。")</f>
        <v>我们全家相处得非常和谐。</v>
      </c>
      <c r="I1638" s="13"/>
      <c r="J1638" s="13" t="str">
        <f ca="1">IFERROR(__xludf.DUMMYFUNCTION("""COMPUTED_VALUE"""),"gia đình tôi chung sống rất hòa hợp.")</f>
        <v>gia đình tôi chung sống rất hòa hợp.</v>
      </c>
      <c r="K1638" s="13" t="str">
        <f ca="1">IFERROR(__xludf.DUMMYFUNCTION("""COMPUTED_VALUE"""),"H5_B8_BG-27.png")</f>
        <v>H5_B8_BG-27.png</v>
      </c>
      <c r="L1638" s="13" t="str">
        <f ca="1">IFERROR(__xludf.DUMMYFUNCTION("""COMPUTED_VALUE"""),"B8_27.mp3")</f>
        <v>B8_27.mp3</v>
      </c>
      <c r="M1638" s="13" t="str">
        <f ca="1">IFERROR(__xludf.DUMMYFUNCTION("""COMPUTED_VALUE"""),"B8_VD_27.mp3")</f>
        <v>B8_VD_27.mp3</v>
      </c>
    </row>
    <row r="1639" spans="1:13">
      <c r="A1639" s="13">
        <f ca="1">IFERROR(__xludf.DUMMYFUNCTION("""COMPUTED_VALUE"""),28)</f>
        <v>28</v>
      </c>
      <c r="B1639" s="13"/>
      <c r="C1639" s="13" t="str">
        <f ca="1">IFERROR(__xludf.DUMMYFUNCTION("""COMPUTED_VALUE"""),"要不")</f>
        <v>要不</v>
      </c>
      <c r="D1639" s="13" t="str">
        <f ca="1">IFERROR(__xludf.DUMMYFUNCTION("""COMPUTED_VALUE"""),"&lt;ruby&gt;要不&lt;rt&gt;yàobu&lt;/rt&gt;&lt;/ruby&gt;")</f>
        <v>&lt;ruby&gt;要不&lt;rt&gt;yàobu&lt;/rt&gt;&lt;/ruby&gt;</v>
      </c>
      <c r="E1639" s="13" t="str">
        <f ca="1">IFERROR(__xludf.DUMMYFUNCTION("""COMPUTED_VALUE"""),"yàobu")</f>
        <v>yàobu</v>
      </c>
      <c r="F1639" s="13" t="str">
        <f ca="1">IFERROR(__xludf.DUMMYFUNCTION("""COMPUTED_VALUE"""),"Liên từ ")</f>
        <v xml:space="preserve">Liên từ </v>
      </c>
      <c r="G1639" s="13" t="str">
        <f ca="1">IFERROR(__xludf.DUMMYFUNCTION("""COMPUTED_VALUE"""),"nếu không thì")</f>
        <v>nếu không thì</v>
      </c>
      <c r="H1639" s="13" t="str">
        <f ca="1">IFERROR(__xludf.DUMMYFUNCTION("""COMPUTED_VALUE"""),"你可以吃点儿蛋糕，要不就喝点儿牛奶。")</f>
        <v>你可以吃点儿蛋糕，要不就喝点儿牛奶。</v>
      </c>
      <c r="I1639" s="13"/>
      <c r="J1639" s="13" t="str">
        <f ca="1">IFERROR(__xludf.DUMMYFUNCTION("""COMPUTED_VALUE"""),"Con có thể ăn một ít bánh, nếu không thì uống sữa.")</f>
        <v>Con có thể ăn một ít bánh, nếu không thì uống sữa.</v>
      </c>
      <c r="K1639" s="13" t="str">
        <f ca="1">IFERROR(__xludf.DUMMYFUNCTION("""COMPUTED_VALUE"""),"H5_B8_BG-28.png")</f>
        <v>H5_B8_BG-28.png</v>
      </c>
      <c r="L1639" s="13" t="str">
        <f ca="1">IFERROR(__xludf.DUMMYFUNCTION("""COMPUTED_VALUE"""),"B8_28.mp3")</f>
        <v>B8_28.mp3</v>
      </c>
      <c r="M1639" s="13" t="str">
        <f ca="1">IFERROR(__xludf.DUMMYFUNCTION("""COMPUTED_VALUE"""),"B8_VD_28.mp3")</f>
        <v>B8_VD_28.mp3</v>
      </c>
    </row>
    <row r="1640" spans="1:13">
      <c r="A1640" s="13">
        <f ca="1">IFERROR(__xludf.DUMMYFUNCTION("""COMPUTED_VALUE"""),29)</f>
        <v>29</v>
      </c>
      <c r="B1640" s="13"/>
      <c r="C1640" s="13" t="str">
        <f ca="1">IFERROR(__xludf.DUMMYFUNCTION("""COMPUTED_VALUE"""),"不足")</f>
        <v>不足</v>
      </c>
      <c r="D1640" s="13" t="str">
        <f ca="1">IFERROR(__xludf.DUMMYFUNCTION("""COMPUTED_VALUE"""),"&lt;ruby&gt;不足&lt;rt&gt;bùzú&lt;/rt&gt;&lt;/ruby&gt;")</f>
        <v>&lt;ruby&gt;不足&lt;rt&gt;bùzú&lt;/rt&gt;&lt;/ruby&gt;</v>
      </c>
      <c r="E1640" s="13" t="str">
        <f ca="1">IFERROR(__xludf.DUMMYFUNCTION("""COMPUTED_VALUE"""),"bùzú")</f>
        <v>bùzú</v>
      </c>
      <c r="F1640" s="13" t="str">
        <f ca="1">IFERROR(__xludf.DUMMYFUNCTION("""COMPUTED_VALUE"""),"Tính từ /Động từ ")</f>
        <v xml:space="preserve">Tính từ /Động từ </v>
      </c>
      <c r="G1640" s="13" t="str">
        <f ca="1">IFERROR(__xludf.DUMMYFUNCTION("""COMPUTED_VALUE"""),"thiếu; không đủ")</f>
        <v>thiếu; không đủ</v>
      </c>
      <c r="H1640" s="13" t="str">
        <f ca="1">IFERROR(__xludf.DUMMYFUNCTION("""COMPUTED_VALUE"""),"我的钱不足以买这座房子。")</f>
        <v>我的钱不足以买这座房子。</v>
      </c>
      <c r="I1640" s="13"/>
      <c r="J1640" s="13" t="str">
        <f ca="1">IFERROR(__xludf.DUMMYFUNCTION("""COMPUTED_VALUE"""),"số tiền  tôi có không đủ để mua ngôi nhà này.")</f>
        <v>số tiền  tôi có không đủ để mua ngôi nhà này.</v>
      </c>
      <c r="K1640" s="13" t="str">
        <f ca="1">IFERROR(__xludf.DUMMYFUNCTION("""COMPUTED_VALUE"""),"H5_B8_BG-29.png")</f>
        <v>H5_B8_BG-29.png</v>
      </c>
      <c r="L1640" s="13" t="str">
        <f ca="1">IFERROR(__xludf.DUMMYFUNCTION("""COMPUTED_VALUE"""),"B8_29.mp3")</f>
        <v>B8_29.mp3</v>
      </c>
      <c r="M1640" s="13" t="str">
        <f ca="1">IFERROR(__xludf.DUMMYFUNCTION("""COMPUTED_VALUE"""),"B8_VD_29.mp3")</f>
        <v>B8_VD_29.mp3</v>
      </c>
    </row>
    <row r="1641" spans="1:13">
      <c r="A1641" s="13">
        <f ca="1">IFERROR(__xludf.DUMMYFUNCTION("""COMPUTED_VALUE"""),30)</f>
        <v>30</v>
      </c>
      <c r="B1641" s="13"/>
      <c r="C1641" s="13" t="str">
        <f ca="1">IFERROR(__xludf.DUMMYFUNCTION("""COMPUTED_VALUE"""),"宠物")</f>
        <v>宠物</v>
      </c>
      <c r="D1641" s="13" t="str">
        <f ca="1">IFERROR(__xludf.DUMMYFUNCTION("""COMPUTED_VALUE"""),"&lt;ruby&gt;宠物&lt;rt&gt;chǒngwù&lt;/rt&gt;&lt;/ruby&gt;")</f>
        <v>&lt;ruby&gt;宠物&lt;rt&gt;chǒngwù&lt;/rt&gt;&lt;/ruby&gt;</v>
      </c>
      <c r="E1641" s="13" t="str">
        <f ca="1">IFERROR(__xludf.DUMMYFUNCTION("""COMPUTED_VALUE"""),"chǒngwù")</f>
        <v>chǒngwù</v>
      </c>
      <c r="F1641" s="13" t="str">
        <f ca="1">IFERROR(__xludf.DUMMYFUNCTION("""COMPUTED_VALUE"""),"Danh từ")</f>
        <v>Danh từ</v>
      </c>
      <c r="G1641" s="13" t="str">
        <f ca="1">IFERROR(__xludf.DUMMYFUNCTION("""COMPUTED_VALUE"""),"vật cưng, thú cưng")</f>
        <v>vật cưng, thú cưng</v>
      </c>
      <c r="H1641" s="13" t="str">
        <f ca="1">IFERROR(__xludf.DUMMYFUNCTION("""COMPUTED_VALUE"""),"这只猫是她的宠物。")</f>
        <v>这只猫是她的宠物。</v>
      </c>
      <c r="I1641" s="13"/>
      <c r="J1641" s="13" t="str">
        <f ca="1">IFERROR(__xludf.DUMMYFUNCTION("""COMPUTED_VALUE"""),"Chú mèo này chính là thú cưng của cô ấy")</f>
        <v>Chú mèo này chính là thú cưng của cô ấy</v>
      </c>
      <c r="K1641" s="13" t="str">
        <f ca="1">IFERROR(__xludf.DUMMYFUNCTION("""COMPUTED_VALUE"""),"H5_B8_BG-30.png")</f>
        <v>H5_B8_BG-30.png</v>
      </c>
      <c r="L1641" s="13" t="str">
        <f ca="1">IFERROR(__xludf.DUMMYFUNCTION("""COMPUTED_VALUE"""),"B8_30.mp3")</f>
        <v>B8_30.mp3</v>
      </c>
      <c r="M1641" s="13" t="str">
        <f ca="1">IFERROR(__xludf.DUMMYFUNCTION("""COMPUTED_VALUE"""),"B8_VD_30.mp3")</f>
        <v>B8_VD_30.mp3</v>
      </c>
    </row>
    <row r="1642" spans="1:13">
      <c r="A1642" s="13">
        <f ca="1">IFERROR(__xludf.DUMMYFUNCTION("""COMPUTED_VALUE"""),31)</f>
        <v>31</v>
      </c>
      <c r="B1642" s="13"/>
      <c r="C1642" s="13" t="str">
        <f ca="1">IFERROR(__xludf.DUMMYFUNCTION("""COMPUTED_VALUE"""),"词汇")</f>
        <v>词汇</v>
      </c>
      <c r="D1642" s="13" t="str">
        <f ca="1">IFERROR(__xludf.DUMMYFUNCTION("""COMPUTED_VALUE"""),"&lt;ruby&gt;词汇&lt;rt&gt;cíhuì&lt;/rt&gt;&lt;/ruby&gt;")</f>
        <v>&lt;ruby&gt;词汇&lt;rt&gt;cíhuì&lt;/rt&gt;&lt;/ruby&gt;</v>
      </c>
      <c r="E1642" s="13" t="str">
        <f ca="1">IFERROR(__xludf.DUMMYFUNCTION("""COMPUTED_VALUE"""),"cíhuì")</f>
        <v>cíhuì</v>
      </c>
      <c r="F1642" s="13" t="str">
        <f ca="1">IFERROR(__xludf.DUMMYFUNCTION("""COMPUTED_VALUE"""),"Danh từ")</f>
        <v>Danh từ</v>
      </c>
      <c r="G1642" s="13" t="str">
        <f ca="1">IFERROR(__xludf.DUMMYFUNCTION("""COMPUTED_VALUE"""),"từ vựng")</f>
        <v>từ vựng</v>
      </c>
      <c r="H1642" s="13" t="str">
        <f ca="1">IFERROR(__xludf.DUMMYFUNCTION("""COMPUTED_VALUE"""),"他正在学习新的词汇，以提高他的英语水平。")</f>
        <v>他正在学习新的词汇，以提高他的英语水平。</v>
      </c>
      <c r="I1642" s="13"/>
      <c r="J1642" s="13" t="str">
        <f ca="1">IFERROR(__xludf.DUMMYFUNCTION("""COMPUTED_VALUE"""),"Anh ấy đang học từ vựng mới để nâng cao trình độ tiếng Anh.")</f>
        <v>Anh ấy đang học từ vựng mới để nâng cao trình độ tiếng Anh.</v>
      </c>
      <c r="K1642" s="13" t="str">
        <f ca="1">IFERROR(__xludf.DUMMYFUNCTION("""COMPUTED_VALUE"""),"H5_B8_BG-31.png")</f>
        <v>H5_B8_BG-31.png</v>
      </c>
      <c r="L1642" s="13" t="str">
        <f ca="1">IFERROR(__xludf.DUMMYFUNCTION("""COMPUTED_VALUE"""),"B8_31.mp3")</f>
        <v>B8_31.mp3</v>
      </c>
      <c r="M1642" s="13" t="str">
        <f ca="1">IFERROR(__xludf.DUMMYFUNCTION("""COMPUTED_VALUE"""),"B8_VD_31.mp3")</f>
        <v>B8_VD_31.mp3</v>
      </c>
    </row>
    <row r="1643" spans="1:13">
      <c r="A1643" s="13">
        <f ca="1">IFERROR(__xludf.DUMMYFUNCTION("""COMPUTED_VALUE"""),32)</f>
        <v>32</v>
      </c>
      <c r="B1643" s="13"/>
      <c r="C1643" s="13" t="str">
        <f ca="1">IFERROR(__xludf.DUMMYFUNCTION("""COMPUTED_VALUE"""),"猴子")</f>
        <v>猴子</v>
      </c>
      <c r="D1643" s="13" t="str">
        <f ca="1">IFERROR(__xludf.DUMMYFUNCTION("""COMPUTED_VALUE"""),"&lt;ruby&gt;猴子&lt;rt&gt;hóuzi&lt;/rt&gt;&lt;/ruby&gt;")</f>
        <v>&lt;ruby&gt;猴子&lt;rt&gt;hóuzi&lt;/rt&gt;&lt;/ruby&gt;</v>
      </c>
      <c r="E1643" s="13" t="str">
        <f ca="1">IFERROR(__xludf.DUMMYFUNCTION("""COMPUTED_VALUE"""),"hóuzi")</f>
        <v>hóuzi</v>
      </c>
      <c r="F1643" s="13" t="str">
        <f ca="1">IFERROR(__xludf.DUMMYFUNCTION("""COMPUTED_VALUE"""),"Danh từ")</f>
        <v>Danh từ</v>
      </c>
      <c r="G1643" s="13" t="str">
        <f ca="1">IFERROR(__xludf.DUMMYFUNCTION("""COMPUTED_VALUE"""),"con khỉ")</f>
        <v>con khỉ</v>
      </c>
      <c r="H1643" s="13" t="str">
        <f ca="1">IFERROR(__xludf.DUMMYFUNCTION("""COMPUTED_VALUE"""),"这只猴子很聪明。")</f>
        <v>这只猴子很聪明。</v>
      </c>
      <c r="I1643" s="13"/>
      <c r="J1643" s="13" t="str">
        <f ca="1">IFERROR(__xludf.DUMMYFUNCTION("""COMPUTED_VALUE"""),"Con khỉ này rất thông minh.")</f>
        <v>Con khỉ này rất thông minh.</v>
      </c>
      <c r="K1643" s="13" t="str">
        <f ca="1">IFERROR(__xludf.DUMMYFUNCTION("""COMPUTED_VALUE"""),"H5_B8_BG-32.png")</f>
        <v>H5_B8_BG-32.png</v>
      </c>
      <c r="L1643" s="13" t="str">
        <f ca="1">IFERROR(__xludf.DUMMYFUNCTION("""COMPUTED_VALUE"""),"B8_32.mp3")</f>
        <v>B8_32.mp3</v>
      </c>
      <c r="M1643" s="13" t="str">
        <f ca="1">IFERROR(__xludf.DUMMYFUNCTION("""COMPUTED_VALUE"""),"B8_VD_32.mp3")</f>
        <v>B8_VD_32.mp3</v>
      </c>
    </row>
    <row r="1644" spans="1:13">
      <c r="A1644" s="13">
        <f ca="1">IFERROR(__xludf.DUMMYFUNCTION("""COMPUTED_VALUE"""),33)</f>
        <v>33</v>
      </c>
      <c r="B1644" s="13"/>
      <c r="C1644" s="13" t="str">
        <f ca="1">IFERROR(__xludf.DUMMYFUNCTION("""COMPUTED_VALUE"""),"家庭")</f>
        <v>家庭</v>
      </c>
      <c r="D1644" s="13" t="str">
        <f ca="1">IFERROR(__xludf.DUMMYFUNCTION("""COMPUTED_VALUE"""),"&lt;ruby&gt;家庭&lt;rt&gt;jiātíng&lt;/rt&gt;&lt;/ruby&gt;")</f>
        <v>&lt;ruby&gt;家庭&lt;rt&gt;jiātíng&lt;/rt&gt;&lt;/ruby&gt;</v>
      </c>
      <c r="E1644" s="13" t="str">
        <f ca="1">IFERROR(__xludf.DUMMYFUNCTION("""COMPUTED_VALUE"""),"jiātíng")</f>
        <v>jiātíng</v>
      </c>
      <c r="F1644" s="13" t="str">
        <f ca="1">IFERROR(__xludf.DUMMYFUNCTION("""COMPUTED_VALUE"""),"Danh từ ")</f>
        <v xml:space="preserve">Danh từ </v>
      </c>
      <c r="G1644" s="13" t="str">
        <f ca="1">IFERROR(__xludf.DUMMYFUNCTION("""COMPUTED_VALUE"""),"gia đình")</f>
        <v>gia đình</v>
      </c>
      <c r="H1644" s="13" t="str">
        <f ca="1">IFERROR(__xludf.DUMMYFUNCTION("""COMPUTED_VALUE"""),"我的家庭有四口人。")</f>
        <v>我的家庭有四口人。</v>
      </c>
      <c r="I1644" s="13"/>
      <c r="J1644" s="13" t="str">
        <f ca="1">IFERROR(__xludf.DUMMYFUNCTION("""COMPUTED_VALUE"""),"Gia đình tôi có bốn người.")</f>
        <v>Gia đình tôi có bốn người.</v>
      </c>
      <c r="K1644" s="13" t="str">
        <f ca="1">IFERROR(__xludf.DUMMYFUNCTION("""COMPUTED_VALUE"""),"H5_B8_BG-33.png")</f>
        <v>H5_B8_BG-33.png</v>
      </c>
      <c r="L1644" s="13" t="str">
        <f ca="1">IFERROR(__xludf.DUMMYFUNCTION("""COMPUTED_VALUE"""),"B8_33.mp3")</f>
        <v>B8_33.mp3</v>
      </c>
      <c r="M1644" s="13" t="str">
        <f ca="1">IFERROR(__xludf.DUMMYFUNCTION("""COMPUTED_VALUE"""),"B8_VD_33.mp3")</f>
        <v>B8_VD_33.mp3</v>
      </c>
    </row>
    <row r="1645" spans="1:13">
      <c r="A1645" s="13">
        <f ca="1">IFERROR(__xludf.DUMMYFUNCTION("""COMPUTED_VALUE"""),34)</f>
        <v>34</v>
      </c>
      <c r="B1645" s="13"/>
      <c r="C1645" s="13" t="str">
        <f ca="1">IFERROR(__xludf.DUMMYFUNCTION("""COMPUTED_VALUE"""),"群")</f>
        <v>群</v>
      </c>
      <c r="D1645" s="13" t="str">
        <f ca="1">IFERROR(__xludf.DUMMYFUNCTION("""COMPUTED_VALUE"""),"&lt;ruby&gt;群&lt;rt&gt;qún&lt;/rt&gt;&lt;/ruby&gt;")</f>
        <v>&lt;ruby&gt;群&lt;rt&gt;qún&lt;/rt&gt;&lt;/ruby&gt;</v>
      </c>
      <c r="E1645" s="13" t="str">
        <f ca="1">IFERROR(__xludf.DUMMYFUNCTION("""COMPUTED_VALUE"""),"qún")</f>
        <v>qún</v>
      </c>
      <c r="F1645" s="13" t="str">
        <f ca="1">IFERROR(__xludf.DUMMYFUNCTION("""COMPUTED_VALUE"""),"Lượng từ ")</f>
        <v xml:space="preserve">Lượng từ </v>
      </c>
      <c r="G1645" s="13" t="str">
        <f ca="1">IFERROR(__xludf.DUMMYFUNCTION("""COMPUTED_VALUE"""),"bầy, đàn")</f>
        <v>bầy, đàn</v>
      </c>
      <c r="H1645" s="13" t="str">
        <f ca="1">IFERROR(__xludf.DUMMYFUNCTION("""COMPUTED_VALUE"""),"一群蝌蚪在湖边游来游去")</f>
        <v>一群蝌蚪在湖边游来游去</v>
      </c>
      <c r="I1645" s="13"/>
      <c r="J1645" s="13" t="str">
        <f ca="1">IFERROR(__xludf.DUMMYFUNCTION("""COMPUTED_VALUE"""),"Một bầy nòng nọc đang bơi quanh hồ.")</f>
        <v>Một bầy nòng nọc đang bơi quanh hồ.</v>
      </c>
      <c r="K1645" s="13" t="str">
        <f ca="1">IFERROR(__xludf.DUMMYFUNCTION("""COMPUTED_VALUE"""),"H5_B8_BG-34.png")</f>
        <v>H5_B8_BG-34.png</v>
      </c>
      <c r="L1645" s="13" t="str">
        <f ca="1">IFERROR(__xludf.DUMMYFUNCTION("""COMPUTED_VALUE"""),"B8_34.mp3")</f>
        <v>B8_34.mp3</v>
      </c>
      <c r="M1645" s="13" t="str">
        <f ca="1">IFERROR(__xludf.DUMMYFUNCTION("""COMPUTED_VALUE"""),"B8_VD_34.mp3")</f>
        <v>B8_VD_34.mp3</v>
      </c>
    </row>
    <row r="1646" spans="1:13">
      <c r="A1646" s="13">
        <f ca="1">IFERROR(__xludf.DUMMYFUNCTION("""COMPUTED_VALUE"""),35)</f>
        <v>35</v>
      </c>
      <c r="B1646" s="13"/>
      <c r="C1646" s="13" t="str">
        <f ca="1">IFERROR(__xludf.DUMMYFUNCTION("""COMPUTED_VALUE"""),"淘气")</f>
        <v>淘气</v>
      </c>
      <c r="D1646" s="13" t="str">
        <f ca="1">IFERROR(__xludf.DUMMYFUNCTION("""COMPUTED_VALUE"""),"&lt;ruby&gt;淘气&lt;rt&gt;táoqì&lt;/rt&gt;&lt;/ruby&gt;")</f>
        <v>&lt;ruby&gt;淘气&lt;rt&gt;táoqì&lt;/rt&gt;&lt;/ruby&gt;</v>
      </c>
      <c r="E1646" s="13" t="str">
        <f ca="1">IFERROR(__xludf.DUMMYFUNCTION("""COMPUTED_VALUE"""),"táoqì")</f>
        <v>táoqì</v>
      </c>
      <c r="F1646" s="13" t="str">
        <f ca="1">IFERROR(__xludf.DUMMYFUNCTION("""COMPUTED_VALUE"""),"Tính từ ")</f>
        <v xml:space="preserve">Tính từ </v>
      </c>
      <c r="G1646" s="13" t="str">
        <f ca="1">IFERROR(__xludf.DUMMYFUNCTION("""COMPUTED_VALUE"""),"nghịch ngợm")</f>
        <v>nghịch ngợm</v>
      </c>
      <c r="H1646" s="13" t="str">
        <f ca="1">IFERROR(__xludf.DUMMYFUNCTION("""COMPUTED_VALUE"""),"这些小猫非常淘气，喜欢咬鞋子和玩绳子。")</f>
        <v>这些小猫非常淘气，喜欢咬鞋子和玩绳子。</v>
      </c>
      <c r="I1646" s="13"/>
      <c r="J1646" s="13" t="str">
        <f ca="1">IFERROR(__xludf.DUMMYFUNCTION("""COMPUTED_VALUE"""),"Những chú mèo này  rất nghịch ngợm, thích cắn giày và chơi với sợi dây.")</f>
        <v>Những chú mèo này  rất nghịch ngợm, thích cắn giày và chơi với sợi dây.</v>
      </c>
      <c r="K1646" s="13" t="str">
        <f ca="1">IFERROR(__xludf.DUMMYFUNCTION("""COMPUTED_VALUE"""),"H5_B8_BG-35.png")</f>
        <v>H5_B8_BG-35.png</v>
      </c>
      <c r="L1646" s="13" t="str">
        <f ca="1">IFERROR(__xludf.DUMMYFUNCTION("""COMPUTED_VALUE"""),"B8_35.mp3")</f>
        <v>B8_35.mp3</v>
      </c>
      <c r="M1646" s="13" t="str">
        <f ca="1">IFERROR(__xludf.DUMMYFUNCTION("""COMPUTED_VALUE"""),"B8_VD_35.mp3")</f>
        <v>B8_VD_35.mp3</v>
      </c>
    </row>
    <row r="1647" spans="1:13">
      <c r="A1647" s="13">
        <f ca="1">IFERROR(__xludf.DUMMYFUNCTION("""COMPUTED_VALUE"""),36)</f>
        <v>36</v>
      </c>
      <c r="B1647" s="13"/>
      <c r="C1647" s="13" t="str">
        <f ca="1">IFERROR(__xludf.DUMMYFUNCTION("""COMPUTED_VALUE"""),"调皮")</f>
        <v>调皮</v>
      </c>
      <c r="D1647" s="13" t="str">
        <f ca="1">IFERROR(__xludf.DUMMYFUNCTION("""COMPUTED_VALUE"""),"&lt;ruby&gt;调皮&lt;rt&gt;tiáopí&lt;/rt&gt;&lt;/ruby&gt;")</f>
        <v>&lt;ruby&gt;调皮&lt;rt&gt;tiáopí&lt;/rt&gt;&lt;/ruby&gt;</v>
      </c>
      <c r="E1647" s="13" t="str">
        <f ca="1">IFERROR(__xludf.DUMMYFUNCTION("""COMPUTED_VALUE"""),"tiáopí")</f>
        <v>tiáopí</v>
      </c>
      <c r="F1647" s="13" t="str">
        <f ca="1">IFERROR(__xludf.DUMMYFUNCTION("""COMPUTED_VALUE"""),"Tính từ ")</f>
        <v xml:space="preserve">Tính từ </v>
      </c>
      <c r="G1647" s="13" t="str">
        <f ca="1">IFERROR(__xludf.DUMMYFUNCTION("""COMPUTED_VALUE"""),"nghịch ngợm, tinh nghịch")</f>
        <v>nghịch ngợm, tinh nghịch</v>
      </c>
      <c r="H1647" s="13" t="str">
        <f ca="1">IFERROR(__xludf.DUMMYFUNCTION("""COMPUTED_VALUE"""),"这些孩子们非常调皮。")</f>
        <v>这些孩子们非常调皮。</v>
      </c>
      <c r="I1647" s="13"/>
      <c r="J1647" s="13" t="str">
        <f ca="1">IFERROR(__xludf.DUMMYFUNCTION("""COMPUTED_VALUE"""),"Những đứa trẻ này rất tinh nghịch.")</f>
        <v>Những đứa trẻ này rất tinh nghịch.</v>
      </c>
      <c r="K1647" s="13" t="str">
        <f ca="1">IFERROR(__xludf.DUMMYFUNCTION("""COMPUTED_VALUE"""),"H5_B8_BG-36.png")</f>
        <v>H5_B8_BG-36.png</v>
      </c>
      <c r="L1647" s="13" t="str">
        <f ca="1">IFERROR(__xludf.DUMMYFUNCTION("""COMPUTED_VALUE"""),"B8_36.mp3")</f>
        <v>B8_36.mp3</v>
      </c>
      <c r="M1647" s="13" t="str">
        <f ca="1">IFERROR(__xludf.DUMMYFUNCTION("""COMPUTED_VALUE"""),"B8_VD_36.mp3")</f>
        <v>B8_VD_36.mp3</v>
      </c>
    </row>
    <row r="1648" spans="1:13">
      <c r="A1648" s="13">
        <f ca="1">IFERROR(__xludf.DUMMYFUNCTION("""COMPUTED_VALUE"""),37)</f>
        <v>37</v>
      </c>
      <c r="B1648" s="13"/>
      <c r="C1648" s="13" t="str">
        <f ca="1">IFERROR(__xludf.DUMMYFUNCTION("""COMPUTED_VALUE"""),"完整")</f>
        <v>完整</v>
      </c>
      <c r="D1648" s="13" t="str">
        <f ca="1">IFERROR(__xludf.DUMMYFUNCTION("""COMPUTED_VALUE"""),"&lt;ruby&gt;完整&lt;rt&gt;wánzhěng&lt;/rt&gt;&lt;/ruby&gt;")</f>
        <v>&lt;ruby&gt;完整&lt;rt&gt;wánzhěng&lt;/rt&gt;&lt;/ruby&gt;</v>
      </c>
      <c r="E1648" s="13" t="str">
        <f ca="1">IFERROR(__xludf.DUMMYFUNCTION("""COMPUTED_VALUE"""),"wánzhěng")</f>
        <v>wánzhěng</v>
      </c>
      <c r="F1648" s="13" t="str">
        <f ca="1">IFERROR(__xludf.DUMMYFUNCTION("""COMPUTED_VALUE"""),"Tính từ ")</f>
        <v xml:space="preserve">Tính từ </v>
      </c>
      <c r="G1648" s="13" t="str">
        <f ca="1">IFERROR(__xludf.DUMMYFUNCTION("""COMPUTED_VALUE"""),"hoàn chỉnh, trọn vẹn")</f>
        <v>hoàn chỉnh, trọn vẹn</v>
      </c>
      <c r="H1648" s="13" t="str">
        <f ca="1">IFERROR(__xludf.DUMMYFUNCTION("""COMPUTED_VALUE"""),"只差一块拼图，我们就能拼出完整的图形了。")</f>
        <v>只差一块拼图，我们就能拼出完整的图形了。</v>
      </c>
      <c r="I1648" s="13"/>
      <c r="J1648" s="13" t="str">
        <f ca="1">IFERROR(__xludf.DUMMYFUNCTION("""COMPUTED_VALUE"""),"Một mảnh ghép nữa, ta sẽ có một hình vuông hoàn chỉnh.")</f>
        <v>Một mảnh ghép nữa, ta sẽ có một hình vuông hoàn chỉnh.</v>
      </c>
      <c r="K1648" s="13" t="str">
        <f ca="1">IFERROR(__xludf.DUMMYFUNCTION("""COMPUTED_VALUE"""),"H5_B8_BG-37.png")</f>
        <v>H5_B8_BG-37.png</v>
      </c>
      <c r="L1648" s="13" t="str">
        <f ca="1">IFERROR(__xludf.DUMMYFUNCTION("""COMPUTED_VALUE"""),"B8_37.mp3")</f>
        <v>B8_37.mp3</v>
      </c>
      <c r="M1648" s="13" t="str">
        <f ca="1">IFERROR(__xludf.DUMMYFUNCTION("""COMPUTED_VALUE"""),"B8_VD_37.mp3")</f>
        <v>B8_VD_37.mp3</v>
      </c>
    </row>
    <row r="1649" spans="1:13">
      <c r="A1649" s="13">
        <f ca="1">IFERROR(__xludf.DUMMYFUNCTION("""COMPUTED_VALUE"""),38)</f>
        <v>38</v>
      </c>
      <c r="B1649" s="13"/>
      <c r="C1649" s="13" t="str">
        <f ca="1">IFERROR(__xludf.DUMMYFUNCTION("""COMPUTED_VALUE"""),"整体")</f>
        <v>整体</v>
      </c>
      <c r="D1649" s="13" t="str">
        <f ca="1">IFERROR(__xludf.DUMMYFUNCTION("""COMPUTED_VALUE"""),"&lt;ruby&gt;整体&lt;rt&gt;zhěngtǐ&lt;/rt&gt;&lt;/ruby&gt;")</f>
        <v>&lt;ruby&gt;整体&lt;rt&gt;zhěngtǐ&lt;/rt&gt;&lt;/ruby&gt;</v>
      </c>
      <c r="E1649" s="13" t="str">
        <f ca="1">IFERROR(__xludf.DUMMYFUNCTION("""COMPUTED_VALUE"""),"zhěngtǐ")</f>
        <v>zhěngtǐ</v>
      </c>
      <c r="F1649" s="13" t="str">
        <f ca="1">IFERROR(__xludf.DUMMYFUNCTION("""COMPUTED_VALUE"""),"Danh từ")</f>
        <v>Danh từ</v>
      </c>
      <c r="G1649" s="13" t="str">
        <f ca="1">IFERROR(__xludf.DUMMYFUNCTION("""COMPUTED_VALUE"""),"chỉnh thể, toàn thể")</f>
        <v>chỉnh thể, toàn thể</v>
      </c>
      <c r="H1649" s="13" t="str">
        <f ca="1">IFERROR(__xludf.DUMMYFUNCTION("""COMPUTED_VALUE"""),"这座城市的整体交通系统需要改善。")</f>
        <v>这座城市的整体交通系统需要改善。</v>
      </c>
      <c r="I1649" s="13"/>
      <c r="J1649" s="13" t="str">
        <f ca="1">IFERROR(__xludf.DUMMYFUNCTION("""COMPUTED_VALUE"""),"Hệ thống giao thông của toàn thể thành phố này cần được cải thiện.")</f>
        <v>Hệ thống giao thông của toàn thể thành phố này cần được cải thiện.</v>
      </c>
      <c r="K1649" s="13" t="str">
        <f ca="1">IFERROR(__xludf.DUMMYFUNCTION("""COMPUTED_VALUE"""),"H5_B8_BG-38.png")</f>
        <v>H5_B8_BG-38.png</v>
      </c>
      <c r="L1649" s="13" t="str">
        <f ca="1">IFERROR(__xludf.DUMMYFUNCTION("""COMPUTED_VALUE"""),"B8_38.mp3")</f>
        <v>B8_38.mp3</v>
      </c>
      <c r="M1649" s="13" t="str">
        <f ca="1">IFERROR(__xludf.DUMMYFUNCTION("""COMPUTED_VALUE"""),"B8_VD_38.mp3")</f>
        <v>B8_VD_38.mp3</v>
      </c>
    </row>
    <row r="1650" spans="1:13">
      <c r="A1650" s="13">
        <f ca="1">IFERROR(__xludf.DUMMYFUNCTION("""COMPUTED_VALUE"""),39)</f>
        <v>39</v>
      </c>
      <c r="B1650" s="13"/>
      <c r="C1650" s="13" t="str">
        <f ca="1">IFERROR(__xludf.DUMMYFUNCTION("""COMPUTED_VALUE"""),"猪")</f>
        <v>猪</v>
      </c>
      <c r="D1650" s="13" t="str">
        <f ca="1">IFERROR(__xludf.DUMMYFUNCTION("""COMPUTED_VALUE"""),"&lt;ruby&gt;猪&lt;rt&gt;zhū&lt;/rt&gt;&lt;/ruby&gt;")</f>
        <v>&lt;ruby&gt;猪&lt;rt&gt;zhū&lt;/rt&gt;&lt;/ruby&gt;</v>
      </c>
      <c r="E1650" s="13" t="str">
        <f ca="1">IFERROR(__xludf.DUMMYFUNCTION("""COMPUTED_VALUE"""),"zhū")</f>
        <v>zhū</v>
      </c>
      <c r="F1650" s="13" t="str">
        <f ca="1">IFERROR(__xludf.DUMMYFUNCTION("""COMPUTED_VALUE"""),"Danh từ ")</f>
        <v xml:space="preserve">Danh từ </v>
      </c>
      <c r="G1650" s="13" t="str">
        <f ca="1">IFERROR(__xludf.DUMMYFUNCTION("""COMPUTED_VALUE"""),"heo")</f>
        <v>heo</v>
      </c>
      <c r="H1650" s="13" t="str">
        <f ca="1">IFERROR(__xludf.DUMMYFUNCTION("""COMPUTED_VALUE"""),"这只猪非常肥。")</f>
        <v>这只猪非常肥。</v>
      </c>
      <c r="I1650" s="13"/>
      <c r="J1650" s="13" t="str">
        <f ca="1">IFERROR(__xludf.DUMMYFUNCTION("""COMPUTED_VALUE"""),"Con lợn này rất béo.")</f>
        <v>Con lợn này rất béo.</v>
      </c>
      <c r="K1650" s="13" t="str">
        <f ca="1">IFERROR(__xludf.DUMMYFUNCTION("""COMPUTED_VALUE"""),"H5_B8_BG-39.png")</f>
        <v>H5_B8_BG-39.png</v>
      </c>
      <c r="L1650" s="13" t="str">
        <f ca="1">IFERROR(__xludf.DUMMYFUNCTION("""COMPUTED_VALUE"""),"B8_39.mp3")</f>
        <v>B8_39.mp3</v>
      </c>
      <c r="M1650" s="13" t="str">
        <f ca="1">IFERROR(__xludf.DUMMYFUNCTION("""COMPUTED_VALUE"""),"B8_VD_39.mp3")</f>
        <v>B8_VD_39.mp3</v>
      </c>
    </row>
    <row r="1651" spans="1:13">
      <c r="A1651" s="13">
        <f ca="1">IFERROR(__xludf.DUMMYFUNCTION("""COMPUTED_VALUE"""),40)</f>
        <v>40</v>
      </c>
      <c r="B1651" s="13"/>
      <c r="C1651" s="13" t="str">
        <f ca="1">IFERROR(__xludf.DUMMYFUNCTION("""COMPUTED_VALUE"""),"综合")</f>
        <v>综合</v>
      </c>
      <c r="D1651" s="13" t="str">
        <f ca="1">IFERROR(__xludf.DUMMYFUNCTION("""COMPUTED_VALUE"""),"&lt;ruby&gt;综合&lt;rt&gt;zōnghé&lt;/rt&gt;&lt;/ruby&gt;")</f>
        <v>&lt;ruby&gt;综合&lt;rt&gt;zōnghé&lt;/rt&gt;&lt;/ruby&gt;</v>
      </c>
      <c r="E1651" s="13" t="str">
        <f ca="1">IFERROR(__xludf.DUMMYFUNCTION("""COMPUTED_VALUE"""),"zōnghé")</f>
        <v>zōnghé</v>
      </c>
      <c r="F1651" s="13" t="str">
        <f ca="1">IFERROR(__xludf.DUMMYFUNCTION("""COMPUTED_VALUE"""),"Động từ/Tính từ ")</f>
        <v xml:space="preserve">Động từ/Tính từ </v>
      </c>
      <c r="G1651" s="13" t="str">
        <f ca="1">IFERROR(__xludf.DUMMYFUNCTION("""COMPUTED_VALUE"""),"tổng hợp lại; tổng hợp")</f>
        <v>tổng hợp lại; tổng hợp</v>
      </c>
      <c r="H1651" s="13" t="str">
        <f ca="1">IFERROR(__xludf.DUMMYFUNCTION("""COMPUTED_VALUE"""),"这次考试综合了我学过的所有内容。")</f>
        <v>这次考试综合了我学过的所有内容。</v>
      </c>
      <c r="I1651" s="13"/>
      <c r="J1651" s="13" t="str">
        <f ca="1">IFERROR(__xludf.DUMMYFUNCTION("""COMPUTED_VALUE"""),"Đề thi lần này tổng hợp tất cả các nội dung  tôi  đã học.")</f>
        <v>Đề thi lần này tổng hợp tất cả các nội dung  tôi  đã học.</v>
      </c>
      <c r="K1651" s="13" t="str">
        <f ca="1">IFERROR(__xludf.DUMMYFUNCTION("""COMPUTED_VALUE"""),"H5_B8_BG-40.png")</f>
        <v>H5_B8_BG-40.png</v>
      </c>
      <c r="L1651" s="13" t="str">
        <f ca="1">IFERROR(__xludf.DUMMYFUNCTION("""COMPUTED_VALUE"""),"B8_40.mp3")</f>
        <v>B8_40.mp3</v>
      </c>
      <c r="M1651" s="13" t="str">
        <f ca="1">IFERROR(__xludf.DUMMYFUNCTION("""COMPUTED_VALUE"""),"B8_VD_40.mp3")</f>
        <v>B8_VD_40.mp3</v>
      </c>
    </row>
    <row r="1652" spans="1:13">
      <c r="A1652" s="13">
        <f ca="1">IFERROR(__xludf.DUMMYFUNCTION("""COMPUTED_VALUE"""),41)</f>
        <v>41</v>
      </c>
      <c r="B1652" s="13"/>
      <c r="C1652" s="13" t="str">
        <f ca="1">IFERROR(__xludf.DUMMYFUNCTION("""COMPUTED_VALUE"""),"朝三暮四")</f>
        <v>朝三暮四</v>
      </c>
      <c r="D1652" s="13" t="str">
        <f ca="1">IFERROR(__xludf.DUMMYFUNCTION("""COMPUTED_VALUE"""),"&lt;ruby&gt;朝三暮四&lt;rt&gt;zhāosān mùsì &lt;/rt&gt;&lt;/ruby&gt;")</f>
        <v>&lt;ruby&gt;朝三暮四&lt;rt&gt;zhāosān mùsì &lt;/rt&gt;&lt;/ruby&gt;</v>
      </c>
      <c r="E1652" s="13" t="str">
        <f ca="1">IFERROR(__xludf.DUMMYFUNCTION("""COMPUTED_VALUE"""),"zhāosān mùsì ")</f>
        <v xml:space="preserve">zhāosān mùsì </v>
      </c>
      <c r="F1652" s="13"/>
      <c r="G1652" s="13" t="str">
        <f ca="1">IFERROR(__xludf.DUMMYFUNCTION("""COMPUTED_VALUE"""),"sáng ba chiều bốn (thay đổi thất thường)")</f>
        <v>sáng ba chiều bốn (thay đổi thất thường)</v>
      </c>
      <c r="H1652" s="13" t="str">
        <f ca="1">IFERROR(__xludf.DUMMYFUNCTION("""COMPUTED_VALUE"""),"他总是朝三暮四，今天喜欢这个，明天又不喜欢了。")</f>
        <v>他总是朝三暮四，今天喜欢这个，明天又不喜欢了。</v>
      </c>
      <c r="I1652" s="13"/>
      <c r="J1652" s="13" t="str">
        <f ca="1">IFERROR(__xludf.DUMMYFUNCTION("""COMPUTED_VALUE"""),"Anh ấy rất thay đổi thất thường, hôm nay thích cái này, ngày mai lại không thích nữa.")</f>
        <v>Anh ấy rất thay đổi thất thường, hôm nay thích cái này, ngày mai lại không thích nữa.</v>
      </c>
      <c r="K1652" s="13" t="str">
        <f ca="1">IFERROR(__xludf.DUMMYFUNCTION("""COMPUTED_VALUE"""),"H5_B8_BG-41.png")</f>
        <v>H5_B8_BG-41.png</v>
      </c>
      <c r="L1652" s="13" t="str">
        <f ca="1">IFERROR(__xludf.DUMMYFUNCTION("""COMPUTED_VALUE"""),"B8_41.mp3")</f>
        <v>B8_41.mp3</v>
      </c>
      <c r="M1652" s="13" t="str">
        <f ca="1">IFERROR(__xludf.DUMMYFUNCTION("""COMPUTED_VALUE"""),"B8_VD_41.mp3")</f>
        <v>B8_VD_41.mp3</v>
      </c>
    </row>
    <row r="1653" spans="1:13">
      <c r="A1653" s="13">
        <f ca="1">IFERROR(__xludf.DUMMYFUNCTION("""COMPUTED_VALUE"""),42)</f>
        <v>42</v>
      </c>
      <c r="B1653" s="13"/>
      <c r="C1653" s="13" t="str">
        <f ca="1">IFERROR(__xludf.DUMMYFUNCTION("""COMPUTED_VALUE"""),"哲学家")</f>
        <v>哲学家</v>
      </c>
      <c r="D1653" s="13" t="str">
        <f ca="1">IFERROR(__xludf.DUMMYFUNCTION("""COMPUTED_VALUE"""),"&lt;ruby&gt;哲学家&lt;rt&gt;zhéxuéjiā&lt;/rt&gt;&lt;/ruby&gt;")</f>
        <v>&lt;ruby&gt;哲学家&lt;rt&gt;zhéxuéjiā&lt;/rt&gt;&lt;/ruby&gt;</v>
      </c>
      <c r="E1653" s="13" t="str">
        <f ca="1">IFERROR(__xludf.DUMMYFUNCTION("""COMPUTED_VALUE"""),"zhéxuéjiā")</f>
        <v>zhéxuéjiā</v>
      </c>
      <c r="F1653" s="13" t="str">
        <f ca="1">IFERROR(__xludf.DUMMYFUNCTION("""COMPUTED_VALUE"""),"Danh từ")</f>
        <v>Danh từ</v>
      </c>
      <c r="G1653" s="13" t="str">
        <f ca="1">IFERROR(__xludf.DUMMYFUNCTION("""COMPUTED_VALUE"""),"nhà triết học")</f>
        <v>nhà triết học</v>
      </c>
      <c r="H1653" s="13" t="str">
        <f ca="1">IFERROR(__xludf.DUMMYFUNCTION("""COMPUTED_VALUE"""),"他虽然年轻，但已经是一个著名的哲学家。")</f>
        <v>他虽然年轻，但已经是一个著名的哲学家。</v>
      </c>
      <c r="I1653" s="13"/>
      <c r="J1653" s="13" t="str">
        <f ca="1">IFERROR(__xludf.DUMMYFUNCTION("""COMPUTED_VALUE"""),"Dù còn rất trẻ, nhưng anh ấy đã là một trà triết học nổi tiếng.")</f>
        <v>Dù còn rất trẻ, nhưng anh ấy đã là một trà triết học nổi tiếng.</v>
      </c>
      <c r="K1653" s="13" t="str">
        <f ca="1">IFERROR(__xludf.DUMMYFUNCTION("""COMPUTED_VALUE"""),"H5_B8_BG-42.png")</f>
        <v>H5_B8_BG-42.png</v>
      </c>
      <c r="L1653" s="13" t="str">
        <f ca="1">IFERROR(__xludf.DUMMYFUNCTION("""COMPUTED_VALUE"""),"B8_42.mp3")</f>
        <v>B8_42.mp3</v>
      </c>
      <c r="M1653" s="13" t="str">
        <f ca="1">IFERROR(__xludf.DUMMYFUNCTION("""COMPUTED_VALUE"""),"B8_VD_42.mp3")</f>
        <v>B8_VD_42.mp3</v>
      </c>
    </row>
    <row r="1654" spans="1:13">
      <c r="A1654" s="13">
        <f ca="1">IFERROR(__xludf.DUMMYFUNCTION("""COMPUTED_VALUE"""),43)</f>
        <v>43</v>
      </c>
      <c r="B1654" s="13"/>
      <c r="C1654" s="13" t="str">
        <f ca="1">IFERROR(__xludf.DUMMYFUNCTION("""COMPUTED_VALUE"""),"寓言")</f>
        <v>寓言</v>
      </c>
      <c r="D1654" s="13" t="str">
        <f ca="1">IFERROR(__xludf.DUMMYFUNCTION("""COMPUTED_VALUE"""),"&lt;ruby&gt;寓言&lt;rt&gt;yùyán&lt;/rt&gt;&lt;/ruby&gt;")</f>
        <v>&lt;ruby&gt;寓言&lt;rt&gt;yùyán&lt;/rt&gt;&lt;/ruby&gt;</v>
      </c>
      <c r="E1654" s="13" t="str">
        <f ca="1">IFERROR(__xludf.DUMMYFUNCTION("""COMPUTED_VALUE"""),"yùyán")</f>
        <v>yùyán</v>
      </c>
      <c r="F1654" s="13" t="str">
        <f ca="1">IFERROR(__xludf.DUMMYFUNCTION("""COMPUTED_VALUE"""),"Danh từ")</f>
        <v>Danh từ</v>
      </c>
      <c r="G1654" s="13" t="str">
        <f ca="1">IFERROR(__xludf.DUMMYFUNCTION("""COMPUTED_VALUE"""),"truyện ngụ ngôn")</f>
        <v>truyện ngụ ngôn</v>
      </c>
      <c r="H1654" s="13" t="str">
        <f ca="1">IFERROR(__xludf.DUMMYFUNCTION("""COMPUTED_VALUE"""),"他很喜欢读寓言故事，因为这些故事总是包含深刻的道理。")</f>
        <v>他很喜欢读寓言故事，因为这些故事总是包含深刻的道理。</v>
      </c>
      <c r="I1654" s="13"/>
      <c r="J1654" s="13" t="str">
        <f ca="1">IFERROR(__xludf.DUMMYFUNCTION("""COMPUTED_VALUE"""),"Anh ấy rất thích đọc truyện ngụ ngôn vì chúng luôn chứa đựng những bài học sâu sắc.")</f>
        <v>Anh ấy rất thích đọc truyện ngụ ngôn vì chúng luôn chứa đựng những bài học sâu sắc.</v>
      </c>
      <c r="K1654" s="13" t="str">
        <f ca="1">IFERROR(__xludf.DUMMYFUNCTION("""COMPUTED_VALUE"""),"H5_B8_BG-43.png")</f>
        <v>H5_B8_BG-43.png</v>
      </c>
      <c r="L1654" s="13" t="str">
        <f ca="1">IFERROR(__xludf.DUMMYFUNCTION("""COMPUTED_VALUE"""),"B8_43.mp3")</f>
        <v>B8_43.mp3</v>
      </c>
      <c r="M1654" s="13" t="str">
        <f ca="1">IFERROR(__xludf.DUMMYFUNCTION("""COMPUTED_VALUE"""),"B8_VD_43.mp3")</f>
        <v>B8_VD_43.mp3</v>
      </c>
    </row>
    <row r="1655" spans="1:13">
      <c r="A1655" s="13">
        <f ca="1">IFERROR(__xludf.DUMMYFUNCTION("""COMPUTED_VALUE"""),1)</f>
        <v>1</v>
      </c>
      <c r="B1655" s="13"/>
      <c r="C1655" s="13" t="str">
        <f ca="1">IFERROR(__xludf.DUMMYFUNCTION("""COMPUTED_VALUE"""),"保存")</f>
        <v>保存</v>
      </c>
      <c r="D1655" s="13" t="str">
        <f ca="1">IFERROR(__xludf.DUMMYFUNCTION("""COMPUTED_VALUE"""),"&lt;ruby&gt;保存&lt;rt&gt;bǎocún&lt;/rt&gt;&lt;/ruby&gt;")</f>
        <v>&lt;ruby&gt;保存&lt;rt&gt;bǎocún&lt;/rt&gt;&lt;/ruby&gt;</v>
      </c>
      <c r="E1655" s="13" t="str">
        <f ca="1">IFERROR(__xludf.DUMMYFUNCTION("""COMPUTED_VALUE"""),"bǎocún")</f>
        <v>bǎocún</v>
      </c>
      <c r="F1655" s="13" t="str">
        <f ca="1">IFERROR(__xludf.DUMMYFUNCTION("""COMPUTED_VALUE"""),"Động từ")</f>
        <v>Động từ</v>
      </c>
      <c r="G1655" s="13" t="str">
        <f ca="1">IFERROR(__xludf.DUMMYFUNCTION("""COMPUTED_VALUE"""),"giữ gìn, bảo tồn")</f>
        <v>giữ gìn, bảo tồn</v>
      </c>
      <c r="H1655" s="13" t="str">
        <f ca="1">IFERROR(__xludf.DUMMYFUNCTION("""COMPUTED_VALUE"""),"这个古建筑保存得非常完好。")</f>
        <v>这个古建筑保存得非常完好。</v>
      </c>
      <c r="I1655" s="13"/>
      <c r="J1655" s="13" t="str">
        <f ca="1">IFERROR(__xludf.DUMMYFUNCTION("""COMPUTED_VALUE"""),"Công trình cổ này được bảo tồn rất tốt.")</f>
        <v>Công trình cổ này được bảo tồn rất tốt.</v>
      </c>
      <c r="K1655" s="13" t="str">
        <f ca="1">IFERROR(__xludf.DUMMYFUNCTION("""COMPUTED_VALUE"""),"H5_B9_BG-01.png")</f>
        <v>H5_B9_BG-01.png</v>
      </c>
      <c r="L1655" s="13" t="str">
        <f ca="1">IFERROR(__xludf.DUMMYFUNCTION("""COMPUTED_VALUE"""),"B9_1.mp3")</f>
        <v>B9_1.mp3</v>
      </c>
      <c r="M1655" s="13" t="str">
        <f ca="1">IFERROR(__xludf.DUMMYFUNCTION("""COMPUTED_VALUE"""),"B9_VD_1.mp3")</f>
        <v>B9_VD_1.mp3</v>
      </c>
    </row>
    <row r="1656" spans="1:13">
      <c r="A1656" s="13">
        <f ca="1">IFERROR(__xludf.DUMMYFUNCTION("""COMPUTED_VALUE"""),2)</f>
        <v>2</v>
      </c>
      <c r="B1656" s="13"/>
      <c r="C1656" s="13" t="str">
        <f ca="1">IFERROR(__xludf.DUMMYFUNCTION("""COMPUTED_VALUE"""),"表现")</f>
        <v>表现</v>
      </c>
      <c r="D1656" s="13" t="str">
        <f ca="1">IFERROR(__xludf.DUMMYFUNCTION("""COMPUTED_VALUE"""),"&lt;ruby&gt;表现&lt;rt&gt;biǎoxiàn&lt;/rt&gt;&lt;/ruby&gt;")</f>
        <v>&lt;ruby&gt;表现&lt;rt&gt;biǎoxiàn&lt;/rt&gt;&lt;/ruby&gt;</v>
      </c>
      <c r="E1656" s="13" t="str">
        <f ca="1">IFERROR(__xludf.DUMMYFUNCTION("""COMPUTED_VALUE"""),"biǎoxiàn")</f>
        <v>biǎoxiàn</v>
      </c>
      <c r="F1656" s="13" t="str">
        <f ca="1">IFERROR(__xludf.DUMMYFUNCTION("""COMPUTED_VALUE"""),"Động từ/Danh từ")</f>
        <v>Động từ/Danh từ</v>
      </c>
      <c r="G1656" s="13" t="str">
        <f ca="1">IFERROR(__xludf.DUMMYFUNCTION("""COMPUTED_VALUE"""),"thể hiện; biểu hiện")</f>
        <v>thể hiện; biểu hiện</v>
      </c>
      <c r="H1656" s="13" t="str">
        <f ca="1">IFERROR(__xludf.DUMMYFUNCTION("""COMPUTED_VALUE"""),"他在音乐比赛中表现得非常出色。")</f>
        <v>他在音乐比赛中表现得非常出色。</v>
      </c>
      <c r="I1656" s="13"/>
      <c r="J1656" s="13" t="str">
        <f ca="1">IFERROR(__xludf.DUMMYFUNCTION("""COMPUTED_VALUE"""),"Cậu ấy thể hiện rất xuất sắc trong cuộc thi âm nhạc.")</f>
        <v>Cậu ấy thể hiện rất xuất sắc trong cuộc thi âm nhạc.</v>
      </c>
      <c r="K1656" s="13" t="str">
        <f ca="1">IFERROR(__xludf.DUMMYFUNCTION("""COMPUTED_VALUE"""),"H5_B9_BG-02.png")</f>
        <v>H5_B9_BG-02.png</v>
      </c>
      <c r="L1656" s="13" t="str">
        <f ca="1">IFERROR(__xludf.DUMMYFUNCTION("""COMPUTED_VALUE"""),"B9_2.mp3")</f>
        <v>B9_2.mp3</v>
      </c>
      <c r="M1656" s="13" t="str">
        <f ca="1">IFERROR(__xludf.DUMMYFUNCTION("""COMPUTED_VALUE"""),"B9_VD_2.mp3")</f>
        <v>B9_VD_2.mp3</v>
      </c>
    </row>
    <row r="1657" spans="1:13">
      <c r="A1657" s="13">
        <f ca="1">IFERROR(__xludf.DUMMYFUNCTION("""COMPUTED_VALUE"""),3)</f>
        <v>3</v>
      </c>
      <c r="B1657" s="13"/>
      <c r="C1657" s="13" t="str">
        <f ca="1">IFERROR(__xludf.DUMMYFUNCTION("""COMPUTED_VALUE"""),"地道")</f>
        <v>地道</v>
      </c>
      <c r="D1657" s="13" t="str">
        <f ca="1">IFERROR(__xludf.DUMMYFUNCTION("""COMPUTED_VALUE"""),"&lt;ruby&gt;地道&lt;rt&gt;dìdao&lt;/rt&gt;&lt;/ruby&gt;")</f>
        <v>&lt;ruby&gt;地道&lt;rt&gt;dìdao&lt;/rt&gt;&lt;/ruby&gt;</v>
      </c>
      <c r="E1657" s="13" t="str">
        <f ca="1">IFERROR(__xludf.DUMMYFUNCTION("""COMPUTED_VALUE"""),"dìdao")</f>
        <v>dìdao</v>
      </c>
      <c r="F1657" s="13" t="str">
        <f ca="1">IFERROR(__xludf.DUMMYFUNCTION("""COMPUTED_VALUE"""),"Tính từ ")</f>
        <v xml:space="preserve">Tính từ </v>
      </c>
      <c r="G1657" s="13" t="str">
        <f ca="1">IFERROR(__xludf.DUMMYFUNCTION("""COMPUTED_VALUE"""),"đích thực, chân chính, chính cống")</f>
        <v>đích thực, chân chính, chính cống</v>
      </c>
      <c r="H1657" s="13" t="str">
        <f ca="1">IFERROR(__xludf.DUMMYFUNCTION("""COMPUTED_VALUE"""),"这家咖啡厅的越南咖啡很地道。")</f>
        <v>这家咖啡厅的越南咖啡很地道。</v>
      </c>
      <c r="I1657" s="13"/>
      <c r="J1657" s="13" t="str">
        <f ca="1">IFERROR(__xludf.DUMMYFUNCTION("""COMPUTED_VALUE"""),"Cà phê Việt Nam ở quán cà phê này rất chuẩn vị.")</f>
        <v>Cà phê Việt Nam ở quán cà phê này rất chuẩn vị.</v>
      </c>
      <c r="K1657" s="13" t="str">
        <f ca="1">IFERROR(__xludf.DUMMYFUNCTION("""COMPUTED_VALUE"""),"H5_B9_BG-03.png")</f>
        <v>H5_B9_BG-03.png</v>
      </c>
      <c r="L1657" s="13" t="str">
        <f ca="1">IFERROR(__xludf.DUMMYFUNCTION("""COMPUTED_VALUE"""),"B9_3.mp3")</f>
        <v>B9_3.mp3</v>
      </c>
      <c r="M1657" s="13" t="str">
        <f ca="1">IFERROR(__xludf.DUMMYFUNCTION("""COMPUTED_VALUE"""),"B9_VD_3.mp3")</f>
        <v>B9_VD_3.mp3</v>
      </c>
    </row>
    <row r="1658" spans="1:13">
      <c r="A1658" s="13">
        <f ca="1">IFERROR(__xludf.DUMMYFUNCTION("""COMPUTED_VALUE"""),4)</f>
        <v>4</v>
      </c>
      <c r="B1658" s="13"/>
      <c r="C1658" s="13" t="str">
        <f ca="1">IFERROR(__xludf.DUMMYFUNCTION("""COMPUTED_VALUE"""),"点心")</f>
        <v>点心</v>
      </c>
      <c r="D1658" s="13" t="str">
        <f ca="1">IFERROR(__xludf.DUMMYFUNCTION("""COMPUTED_VALUE"""),"&lt;ruby&gt;点心&lt;rt&gt;diănxin&lt;/rt&gt;&lt;/ruby&gt;")</f>
        <v>&lt;ruby&gt;点心&lt;rt&gt;diănxin&lt;/rt&gt;&lt;/ruby&gt;</v>
      </c>
      <c r="E1658" s="13" t="str">
        <f ca="1">IFERROR(__xludf.DUMMYFUNCTION("""COMPUTED_VALUE"""),"diănxin")</f>
        <v>diănxin</v>
      </c>
      <c r="F1658" s="13" t="str">
        <f ca="1">IFERROR(__xludf.DUMMYFUNCTION("""COMPUTED_VALUE"""),"Danh từ")</f>
        <v>Danh từ</v>
      </c>
      <c r="G1658" s="13" t="str">
        <f ca="1">IFERROR(__xludf.DUMMYFUNCTION("""COMPUTED_VALUE"""),"bánh ngọt, điểm tâm")</f>
        <v>bánh ngọt, điểm tâm</v>
      </c>
      <c r="H1658" s="13" t="str">
        <f ca="1">IFERROR(__xludf.DUMMYFUNCTION("""COMPUTED_VALUE""")," 今天早上妈妈为我准备了一桌非常好吃的点心。")</f>
        <v xml:space="preserve"> 今天早上妈妈为我准备了一桌非常好吃的点心。</v>
      </c>
      <c r="I1658" s="13"/>
      <c r="J1658" s="13" t="str">
        <f ca="1">IFERROR(__xludf.DUMMYFUNCTION("""COMPUTED_VALUE"""),"Sáng nay mẹ đã chuẩn bị cho tôi một bàn điểm tâm rất ngon.")</f>
        <v>Sáng nay mẹ đã chuẩn bị cho tôi một bàn điểm tâm rất ngon.</v>
      </c>
      <c r="K1658" s="13" t="str">
        <f ca="1">IFERROR(__xludf.DUMMYFUNCTION("""COMPUTED_VALUE"""),"H5_B9_BG-04.png")</f>
        <v>H5_B9_BG-04.png</v>
      </c>
      <c r="L1658" s="13" t="str">
        <f ca="1">IFERROR(__xludf.DUMMYFUNCTION("""COMPUTED_VALUE"""),"B9_4.mp3")</f>
        <v>B9_4.mp3</v>
      </c>
      <c r="M1658" s="13" t="str">
        <f ca="1">IFERROR(__xludf.DUMMYFUNCTION("""COMPUTED_VALUE"""),"B9_VD_4.mp3")</f>
        <v>B9_VD_4.mp3</v>
      </c>
    </row>
    <row r="1659" spans="1:13">
      <c r="A1659" s="13">
        <f ca="1">IFERROR(__xludf.DUMMYFUNCTION("""COMPUTED_VALUE"""),5)</f>
        <v>5</v>
      </c>
      <c r="B1659" s="13"/>
      <c r="C1659" s="13" t="str">
        <f ca="1">IFERROR(__xludf.DUMMYFUNCTION("""COMPUTED_VALUE"""),"讲究")</f>
        <v>讲究</v>
      </c>
      <c r="D1659" s="13" t="str">
        <f ca="1">IFERROR(__xludf.DUMMYFUNCTION("""COMPUTED_VALUE"""),"&lt;ruby&gt;讲究&lt;rt&gt;jiăngjiu&lt;/rt&gt;&lt;/ruby&gt;")</f>
        <v>&lt;ruby&gt;讲究&lt;rt&gt;jiăngjiu&lt;/rt&gt;&lt;/ruby&gt;</v>
      </c>
      <c r="E1659" s="13" t="str">
        <f ca="1">IFERROR(__xludf.DUMMYFUNCTION("""COMPUTED_VALUE"""),"jiăngjiu")</f>
        <v>jiăngjiu</v>
      </c>
      <c r="F1659" s="13" t="str">
        <f ca="1">IFERROR(__xludf.DUMMYFUNCTION("""COMPUTED_VALUE"""),"Động từ/Tính từ ")</f>
        <v xml:space="preserve">Động từ/Tính từ </v>
      </c>
      <c r="G1659" s="13" t="str">
        <f ca="1">IFERROR(__xludf.DUMMYFUNCTION("""COMPUTED_VALUE"""),"chú ý, chú trọng; đẹp đẽ")</f>
        <v>chú ý, chú trọng; đẹp đẽ</v>
      </c>
      <c r="H1659" s="13" t="str">
        <f ca="1">IFERROR(__xludf.DUMMYFUNCTION("""COMPUTED_VALUE"""),"他很讲究健康，所以他总是早起锻炼身体。")</f>
        <v>他很讲究健康，所以他总是早起锻炼身体。</v>
      </c>
      <c r="I1659" s="13"/>
      <c r="J1659" s="13" t="str">
        <f ca="1">IFERROR(__xludf.DUMMYFUNCTION("""COMPUTED_VALUE"""),"Anh ấy rất chú trọng đến sức khỏe, vì thế anh ấy luôn dậy sớm và tập thể dục.")</f>
        <v>Anh ấy rất chú trọng đến sức khỏe, vì thế anh ấy luôn dậy sớm và tập thể dục.</v>
      </c>
      <c r="K1659" s="13" t="str">
        <f ca="1">IFERROR(__xludf.DUMMYFUNCTION("""COMPUTED_VALUE"""),"H5_B9_BG-05.png")</f>
        <v>H5_B9_BG-05.png</v>
      </c>
      <c r="L1659" s="13" t="str">
        <f ca="1">IFERROR(__xludf.DUMMYFUNCTION("""COMPUTED_VALUE"""),"B9_5.mp3")</f>
        <v>B9_5.mp3</v>
      </c>
      <c r="M1659" s="13" t="str">
        <f ca="1">IFERROR(__xludf.DUMMYFUNCTION("""COMPUTED_VALUE"""),"B9_VD_5.mp3")</f>
        <v>B9_VD_5.mp3</v>
      </c>
    </row>
    <row r="1660" spans="1:13">
      <c r="A1660" s="13">
        <f ca="1">IFERROR(__xludf.DUMMYFUNCTION("""COMPUTED_VALUE"""),6)</f>
        <v>6</v>
      </c>
      <c r="B1660" s="13"/>
      <c r="C1660" s="13" t="str">
        <f ca="1">IFERROR(__xludf.DUMMYFUNCTION("""COMPUTED_VALUE"""),"戒")</f>
        <v>戒</v>
      </c>
      <c r="D1660" s="13" t="str">
        <f ca="1">IFERROR(__xludf.DUMMYFUNCTION("""COMPUTED_VALUE"""),"&lt;ruby&gt;戒&lt;rt&gt;jiè&lt;/rt&gt;&lt;/ruby&gt;")</f>
        <v>&lt;ruby&gt;戒&lt;rt&gt;jiè&lt;/rt&gt;&lt;/ruby&gt;</v>
      </c>
      <c r="E1660" s="13" t="str">
        <f ca="1">IFERROR(__xludf.DUMMYFUNCTION("""COMPUTED_VALUE"""),"jiè")</f>
        <v>jiè</v>
      </c>
      <c r="F1660" s="13" t="str">
        <f ca="1">IFERROR(__xludf.DUMMYFUNCTION("""COMPUTED_VALUE"""),"Động từ")</f>
        <v>Động từ</v>
      </c>
      <c r="G1660" s="13" t="str">
        <f ca="1">IFERROR(__xludf.DUMMYFUNCTION("""COMPUTED_VALUE"""),"cai, bỏ")</f>
        <v>cai, bỏ</v>
      </c>
      <c r="H1660" s="13" t="str">
        <f ca="1">IFERROR(__xludf.DUMMYFUNCTION("""COMPUTED_VALUE"""),"他决定戒烟，开始过上更健康的生活。")</f>
        <v>他决定戒烟，开始过上更健康的生活。</v>
      </c>
      <c r="I1660" s="13"/>
      <c r="J1660" s="13" t="str">
        <f ca="1">IFERROR(__xludf.DUMMYFUNCTION("""COMPUTED_VALUE"""),"Anh ấy quyết định bỏ thuốc lá, bắt đầu sống một cuộc sống lành mạnh hơn.")</f>
        <v>Anh ấy quyết định bỏ thuốc lá, bắt đầu sống một cuộc sống lành mạnh hơn.</v>
      </c>
      <c r="K1660" s="13" t="str">
        <f ca="1">IFERROR(__xludf.DUMMYFUNCTION("""COMPUTED_VALUE"""),"H5_B9_BG-06.png")</f>
        <v>H5_B9_BG-06.png</v>
      </c>
      <c r="L1660" s="13" t="str">
        <f ca="1">IFERROR(__xludf.DUMMYFUNCTION("""COMPUTED_VALUE"""),"B9_6.mp3")</f>
        <v>B9_6.mp3</v>
      </c>
      <c r="M1660" s="13" t="str">
        <f ca="1">IFERROR(__xludf.DUMMYFUNCTION("""COMPUTED_VALUE"""),"B9_VD_6.mp3")</f>
        <v>B9_VD_6.mp3</v>
      </c>
    </row>
    <row r="1661" spans="1:13">
      <c r="A1661" s="13">
        <f ca="1">IFERROR(__xludf.DUMMYFUNCTION("""COMPUTED_VALUE"""),7)</f>
        <v>7</v>
      </c>
      <c r="B1661" s="13"/>
      <c r="C1661" s="13" t="str">
        <f ca="1">IFERROR(__xludf.DUMMYFUNCTION("""COMPUTED_VALUE"""),"亲自")</f>
        <v>亲自</v>
      </c>
      <c r="D1661" s="13" t="str">
        <f ca="1">IFERROR(__xludf.DUMMYFUNCTION("""COMPUTED_VALUE"""),"&lt;ruby&gt;亲自&lt;rt&gt;qīnzì&lt;/rt&gt;&lt;/ruby&gt;")</f>
        <v>&lt;ruby&gt;亲自&lt;rt&gt;qīnzì&lt;/rt&gt;&lt;/ruby&gt;</v>
      </c>
      <c r="E1661" s="13" t="str">
        <f ca="1">IFERROR(__xludf.DUMMYFUNCTION("""COMPUTED_VALUE"""),"qīnzì")</f>
        <v>qīnzì</v>
      </c>
      <c r="F1661" s="13" t="str">
        <f ca="1">IFERROR(__xludf.DUMMYFUNCTION("""COMPUTED_VALUE"""),"Phó từ")</f>
        <v>Phó từ</v>
      </c>
      <c r="G1661" s="13" t="str">
        <f ca="1">IFERROR(__xludf.DUMMYFUNCTION("""COMPUTED_VALUE"""),"tự, đích thân")</f>
        <v>tự, đích thân</v>
      </c>
      <c r="H1661" s="13" t="str">
        <f ca="1">IFERROR(__xludf.DUMMYFUNCTION("""COMPUTED_VALUE"""),"我亲自把妈妈刚洗的衣服都晒好了。")</f>
        <v>我亲自把妈妈刚洗的衣服都晒好了。</v>
      </c>
      <c r="I1661" s="13"/>
      <c r="J1661" s="13" t="str">
        <f ca="1">IFERROR(__xludf.DUMMYFUNCTION("""COMPUTED_VALUE"""),"Tôi tự mình phơi hết chỗ đồ mẹ mới giặt.")</f>
        <v>Tôi tự mình phơi hết chỗ đồ mẹ mới giặt.</v>
      </c>
      <c r="K1661" s="13" t="str">
        <f ca="1">IFERROR(__xludf.DUMMYFUNCTION("""COMPUTED_VALUE"""),"H5_B9_BG-07.png")</f>
        <v>H5_B9_BG-07.png</v>
      </c>
      <c r="L1661" s="13" t="str">
        <f ca="1">IFERROR(__xludf.DUMMYFUNCTION("""COMPUTED_VALUE"""),"B9_7.mp3")</f>
        <v>B9_7.mp3</v>
      </c>
      <c r="M1661" s="13" t="str">
        <f ca="1">IFERROR(__xludf.DUMMYFUNCTION("""COMPUTED_VALUE"""),"B9_VD_7.mp3")</f>
        <v>B9_VD_7.mp3</v>
      </c>
    </row>
    <row r="1662" spans="1:13">
      <c r="A1662" s="13">
        <f ca="1">IFERROR(__xludf.DUMMYFUNCTION("""COMPUTED_VALUE"""),8)</f>
        <v>8</v>
      </c>
      <c r="B1662" s="13"/>
      <c r="C1662" s="13" t="str">
        <f ca="1">IFERROR(__xludf.DUMMYFUNCTION("""COMPUTED_VALUE"""),"胃")</f>
        <v>胃</v>
      </c>
      <c r="D1662" s="13" t="str">
        <f ca="1">IFERROR(__xludf.DUMMYFUNCTION("""COMPUTED_VALUE"""),"&lt;ruby&gt;胃&lt;rt&gt;wèi&lt;/rt&gt;&lt;/ruby&gt;")</f>
        <v>&lt;ruby&gt;胃&lt;rt&gt;wèi&lt;/rt&gt;&lt;/ruby&gt;</v>
      </c>
      <c r="E1662" s="13" t="str">
        <f ca="1">IFERROR(__xludf.DUMMYFUNCTION("""COMPUTED_VALUE"""),"wèi")</f>
        <v>wèi</v>
      </c>
      <c r="F1662" s="13" t="str">
        <f ca="1">IFERROR(__xludf.DUMMYFUNCTION("""COMPUTED_VALUE"""),"Danh từ ")</f>
        <v xml:space="preserve">Danh từ </v>
      </c>
      <c r="G1662" s="13" t="str">
        <f ca="1">IFERROR(__xludf.DUMMYFUNCTION("""COMPUTED_VALUE"""),"dạ dày, bao tử")</f>
        <v>dạ dày, bao tử</v>
      </c>
      <c r="H1662" s="13" t="str">
        <f ca="1">IFERROR(__xludf.DUMMYFUNCTION("""COMPUTED_VALUE"""),"我肚子疼，可能是胃不舒服。")</f>
        <v>我肚子疼，可能是胃不舒服。</v>
      </c>
      <c r="I1662" s="13"/>
      <c r="J1662" s="13" t="str">
        <f ca="1">IFERROR(__xludf.DUMMYFUNCTION("""COMPUTED_VALUE"""),"Tôi đau bụng, có thể là do dạ dày không thoải mái.")</f>
        <v>Tôi đau bụng, có thể là do dạ dày không thoải mái.</v>
      </c>
      <c r="K1662" s="13" t="str">
        <f ca="1">IFERROR(__xludf.DUMMYFUNCTION("""COMPUTED_VALUE"""),"H5_B9_BG-08.png")</f>
        <v>H5_B9_BG-08.png</v>
      </c>
      <c r="L1662" s="13" t="str">
        <f ca="1">IFERROR(__xludf.DUMMYFUNCTION("""COMPUTED_VALUE"""),"B9_8.mp3")</f>
        <v>B9_8.mp3</v>
      </c>
      <c r="M1662" s="13" t="str">
        <f ca="1">IFERROR(__xludf.DUMMYFUNCTION("""COMPUTED_VALUE"""),"B9_VD_8.mp3")</f>
        <v>B9_VD_8.mp3</v>
      </c>
    </row>
    <row r="1663" spans="1:13">
      <c r="A1663" s="13">
        <f ca="1">IFERROR(__xludf.DUMMYFUNCTION("""COMPUTED_VALUE"""),9)</f>
        <v>9</v>
      </c>
      <c r="B1663" s="13"/>
      <c r="C1663" s="13" t="str">
        <f ca="1">IFERROR(__xludf.DUMMYFUNCTION("""COMPUTED_VALUE"""),"胃口")</f>
        <v>胃口</v>
      </c>
      <c r="D1663" s="13" t="str">
        <f ca="1">IFERROR(__xludf.DUMMYFUNCTION("""COMPUTED_VALUE"""),"&lt;ruby&gt;胃口&lt;rt&gt;wèikǒu&lt;/rt&gt;&lt;/ruby&gt;")</f>
        <v>&lt;ruby&gt;胃口&lt;rt&gt;wèikǒu&lt;/rt&gt;&lt;/ruby&gt;</v>
      </c>
      <c r="E1663" s="13" t="str">
        <f ca="1">IFERROR(__xludf.DUMMYFUNCTION("""COMPUTED_VALUE"""),"wèikǒu")</f>
        <v>wèikǒu</v>
      </c>
      <c r="F1663" s="13" t="str">
        <f ca="1">IFERROR(__xludf.DUMMYFUNCTION("""COMPUTED_VALUE"""),"Danh từ")</f>
        <v>Danh từ</v>
      </c>
      <c r="G1663" s="13" t="str">
        <f ca="1">IFERROR(__xludf.DUMMYFUNCTION("""COMPUTED_VALUE"""),"khẩu vị, sự thèm ăn")</f>
        <v>khẩu vị, sự thèm ăn</v>
      </c>
      <c r="H1663" s="13" t="str">
        <f ca="1">IFERROR(__xludf.DUMMYFUNCTION("""COMPUTED_VALUE"""),"这道菜很好吃，大家都说很合胃口。")</f>
        <v>这道菜很好吃，大家都说很合胃口。</v>
      </c>
      <c r="I1663" s="13"/>
      <c r="J1663" s="13" t="str">
        <f ca="1">IFERROR(__xludf.DUMMYFUNCTION("""COMPUTED_VALUE"""),"Món ăn này rất ngon, mọi người đều nói có khẩu vị.")</f>
        <v>Món ăn này rất ngon, mọi người đều nói có khẩu vị.</v>
      </c>
      <c r="K1663" s="13" t="str">
        <f ca="1">IFERROR(__xludf.DUMMYFUNCTION("""COMPUTED_VALUE"""),"H5_B9_BG-09.png")</f>
        <v>H5_B9_BG-09.png</v>
      </c>
      <c r="L1663" s="13" t="str">
        <f ca="1">IFERROR(__xludf.DUMMYFUNCTION("""COMPUTED_VALUE"""),"B9_9.mp3")</f>
        <v>B9_9.mp3</v>
      </c>
      <c r="M1663" s="13" t="str">
        <f ca="1">IFERROR(__xludf.DUMMYFUNCTION("""COMPUTED_VALUE"""),"B9_VD_9.mp3")</f>
        <v>B9_VD_9.mp3</v>
      </c>
    </row>
    <row r="1664" spans="1:13">
      <c r="A1664" s="13">
        <f ca="1">IFERROR(__xludf.DUMMYFUNCTION("""COMPUTED_VALUE"""),10)</f>
        <v>10</v>
      </c>
      <c r="B1664" s="13"/>
      <c r="C1664" s="13" t="str">
        <f ca="1">IFERROR(__xludf.DUMMYFUNCTION("""COMPUTED_VALUE"""),"招待")</f>
        <v>招待</v>
      </c>
      <c r="D1664" s="13" t="str">
        <f ca="1">IFERROR(__xludf.DUMMYFUNCTION("""COMPUTED_VALUE"""),"&lt;ruby&gt;招待&lt;rt&gt;zhāodài&lt;/rt&gt;&lt;/ruby&gt;")</f>
        <v>&lt;ruby&gt;招待&lt;rt&gt;zhāodài&lt;/rt&gt;&lt;/ruby&gt;</v>
      </c>
      <c r="E1664" s="13" t="str">
        <f ca="1">IFERROR(__xludf.DUMMYFUNCTION("""COMPUTED_VALUE"""),"zhāodài")</f>
        <v>zhāodài</v>
      </c>
      <c r="F1664" s="13" t="str">
        <f ca="1">IFERROR(__xludf.DUMMYFUNCTION("""COMPUTED_VALUE"""),"Động từ")</f>
        <v>Động từ</v>
      </c>
      <c r="G1664" s="13" t="str">
        <f ca="1">IFERROR(__xludf.DUMMYFUNCTION("""COMPUTED_VALUE"""),"chiêu đãi, thết đãi")</f>
        <v>chiêu đãi, thết đãi</v>
      </c>
      <c r="H1664" s="13" t="str">
        <f ca="1">IFERROR(__xludf.DUMMYFUNCTION("""COMPUTED_VALUE"""),"为了庆祝找到新工作，他招待我喝咖啡。")</f>
        <v>为了庆祝找到新工作，他招待我喝咖啡。</v>
      </c>
      <c r="I1664" s="13"/>
      <c r="J1664" s="13" t="str">
        <f ca="1">IFERROR(__xludf.DUMMYFUNCTION("""COMPUTED_VALUE"""),"Nhân dịp tìm đượ công việc mới, anh ấy chiêu đãi tôi uống caffe.")</f>
        <v>Nhân dịp tìm đượ công việc mới, anh ấy chiêu đãi tôi uống caffe.</v>
      </c>
      <c r="K1664" s="13" t="str">
        <f ca="1">IFERROR(__xludf.DUMMYFUNCTION("""COMPUTED_VALUE"""),"H5_B9_BG-10.png")</f>
        <v>H5_B9_BG-10.png</v>
      </c>
      <c r="L1664" s="13" t="str">
        <f ca="1">IFERROR(__xludf.DUMMYFUNCTION("""COMPUTED_VALUE"""),"B9_10.mp3")</f>
        <v>B9_10.mp3</v>
      </c>
      <c r="M1664" s="13" t="str">
        <f ca="1">IFERROR(__xludf.DUMMYFUNCTION("""COMPUTED_VALUE"""),"B9_VD_10.mp3")</f>
        <v>B9_VD_10.mp3</v>
      </c>
    </row>
    <row r="1665" spans="1:13">
      <c r="A1665" s="13">
        <f ca="1">IFERROR(__xludf.DUMMYFUNCTION("""COMPUTED_VALUE"""),11)</f>
        <v>11</v>
      </c>
      <c r="B1665" s="13"/>
      <c r="C1665" s="13" t="str">
        <f ca="1">IFERROR(__xludf.DUMMYFUNCTION("""COMPUTED_VALUE"""),"行家")</f>
        <v>行家</v>
      </c>
      <c r="D1665" s="13" t="str">
        <f ca="1">IFERROR(__xludf.DUMMYFUNCTION("""COMPUTED_VALUE"""),"&lt;ruby&gt;行家&lt;rt&gt;hángjia&lt;/rt&gt;&lt;/ruby&gt;")</f>
        <v>&lt;ruby&gt;行家&lt;rt&gt;hángjia&lt;/rt&gt;&lt;/ruby&gt;</v>
      </c>
      <c r="E1665" s="13" t="str">
        <f ca="1">IFERROR(__xludf.DUMMYFUNCTION("""COMPUTED_VALUE"""),"hángjia")</f>
        <v>hángjia</v>
      </c>
      <c r="F1665" s="13" t="str">
        <f ca="1">IFERROR(__xludf.DUMMYFUNCTION("""COMPUTED_VALUE"""),"Danh từ ")</f>
        <v xml:space="preserve">Danh từ </v>
      </c>
      <c r="G1665" s="13" t="str">
        <f ca="1">IFERROR(__xludf.DUMMYFUNCTION("""COMPUTED_VALUE"""),"người trong nghề, người thạo nghề")</f>
        <v>người trong nghề, người thạo nghề</v>
      </c>
      <c r="H1665" s="13" t="str">
        <f ca="1">IFERROR(__xludf.DUMMYFUNCTION("""COMPUTED_VALUE"""),"她是一个烹饪行家，她做的菜非常好吃。")</f>
        <v>她是一个烹饪行家，她做的菜非常好吃。</v>
      </c>
      <c r="I1665" s="13"/>
      <c r="J1665" s="13" t="str">
        <f ca="1">IFERROR(__xludf.DUMMYFUNCTION("""COMPUTED_VALUE"""),"Cố ấy là một người thạo nghề nấu ăn, món ăn cô ấy làm rất ngon.")</f>
        <v>Cố ấy là một người thạo nghề nấu ăn, món ăn cô ấy làm rất ngon.</v>
      </c>
      <c r="K1665" s="13" t="str">
        <f ca="1">IFERROR(__xludf.DUMMYFUNCTION("""COMPUTED_VALUE"""),"H5_B9_BG-11.png")</f>
        <v>H5_B9_BG-11.png</v>
      </c>
      <c r="L1665" s="13" t="str">
        <f ca="1">IFERROR(__xludf.DUMMYFUNCTION("""COMPUTED_VALUE"""),"B9_11.mp3")</f>
        <v>B9_11.mp3</v>
      </c>
      <c r="M1665" s="13" t="str">
        <f ca="1">IFERROR(__xludf.DUMMYFUNCTION("""COMPUTED_VALUE"""),"B9_VD_11.mp3")</f>
        <v>B9_VD_11.mp3</v>
      </c>
    </row>
    <row r="1666" spans="1:13">
      <c r="A1666" s="13">
        <f ca="1">IFERROR(__xludf.DUMMYFUNCTION("""COMPUTED_VALUE"""),12)</f>
        <v>12</v>
      </c>
      <c r="B1666" s="13"/>
      <c r="C1666" s="13" t="str">
        <f ca="1">IFERROR(__xludf.DUMMYFUNCTION("""COMPUTED_VALUE"""),"见解")</f>
        <v>见解</v>
      </c>
      <c r="D1666" s="13" t="str">
        <f ca="1">IFERROR(__xludf.DUMMYFUNCTION("""COMPUTED_VALUE"""),"&lt;ruby&gt;见解&lt;rt&gt;jiànjiě&lt;/rt&gt;&lt;/ruby&gt;")</f>
        <v>&lt;ruby&gt;见解&lt;rt&gt;jiànjiě&lt;/rt&gt;&lt;/ruby&gt;</v>
      </c>
      <c r="E1666" s="13" t="str">
        <f ca="1">IFERROR(__xludf.DUMMYFUNCTION("""COMPUTED_VALUE"""),"jiànjiě")</f>
        <v>jiànjiě</v>
      </c>
      <c r="F1666" s="13" t="str">
        <f ca="1">IFERROR(__xludf.DUMMYFUNCTION("""COMPUTED_VALUE"""),"Danh từ ")</f>
        <v xml:space="preserve">Danh từ </v>
      </c>
      <c r="G1666" s="13" t="str">
        <f ca="1">IFERROR(__xludf.DUMMYFUNCTION("""COMPUTED_VALUE"""),"cách nhìn, quan niệm")</f>
        <v>cách nhìn, quan niệm</v>
      </c>
      <c r="H1666" s="13" t="str">
        <f ca="1">IFERROR(__xludf.DUMMYFUNCTION("""COMPUTED_VALUE"""),"我们的见解不同，所以我们经常发生矛盾。")</f>
        <v>我们的见解不同，所以我们经常发生矛盾。</v>
      </c>
      <c r="I1666" s="13"/>
      <c r="J1666" s="13" t="str">
        <f ca="1">IFERROR(__xludf.DUMMYFUNCTION("""COMPUTED_VALUE"""),"Quan điểm của chúng tôi khác nhau, vì thế chúng tôi thường xuyên bất hòa.")</f>
        <v>Quan điểm của chúng tôi khác nhau, vì thế chúng tôi thường xuyên bất hòa.</v>
      </c>
      <c r="K1666" s="13" t="str">
        <f ca="1">IFERROR(__xludf.DUMMYFUNCTION("""COMPUTED_VALUE"""),"H5_B9_BG-12.png")</f>
        <v>H5_B9_BG-12.png</v>
      </c>
      <c r="L1666" s="13" t="str">
        <f ca="1">IFERROR(__xludf.DUMMYFUNCTION("""COMPUTED_VALUE"""),"B9_12.mp3")</f>
        <v>B9_12.mp3</v>
      </c>
      <c r="M1666" s="13" t="str">
        <f ca="1">IFERROR(__xludf.DUMMYFUNCTION("""COMPUTED_VALUE"""),"B9_VD_12.mp3")</f>
        <v>B9_VD_12.mp3</v>
      </c>
    </row>
    <row r="1667" spans="1:13">
      <c r="A1667" s="13">
        <f ca="1">IFERROR(__xludf.DUMMYFUNCTION("""COMPUTED_VALUE"""),13)</f>
        <v>13</v>
      </c>
      <c r="B1667" s="13"/>
      <c r="C1667" s="13" t="str">
        <f ca="1">IFERROR(__xludf.DUMMYFUNCTION("""COMPUTED_VALUE"""),"光临")</f>
        <v>光临</v>
      </c>
      <c r="D1667" s="13" t="str">
        <f ca="1">IFERROR(__xludf.DUMMYFUNCTION("""COMPUTED_VALUE"""),"&lt;ruby&gt;光临&lt;rt&gt;guānglín&lt;/rt&gt;&lt;/ruby&gt;")</f>
        <v>&lt;ruby&gt;光临&lt;rt&gt;guānglín&lt;/rt&gt;&lt;/ruby&gt;</v>
      </c>
      <c r="E1667" s="13" t="str">
        <f ca="1">IFERROR(__xludf.DUMMYFUNCTION("""COMPUTED_VALUE"""),"guānglín")</f>
        <v>guānglín</v>
      </c>
      <c r="F1667" s="13" t="str">
        <f ca="1">IFERROR(__xludf.DUMMYFUNCTION("""COMPUTED_VALUE"""),"Động từ")</f>
        <v>Động từ</v>
      </c>
      <c r="G1667" s="13" t="str">
        <f ca="1">IFERROR(__xludf.DUMMYFUNCTION("""COMPUTED_VALUE"""),"đến dự, hay lui tới")</f>
        <v>đến dự, hay lui tới</v>
      </c>
      <c r="H1667" s="13" t="str">
        <f ca="1">IFERROR(__xludf.DUMMYFUNCTION("""COMPUTED_VALUE"""),"欢迎光临！")</f>
        <v>欢迎光临！</v>
      </c>
      <c r="I1667" s="13"/>
      <c r="J1667" s="13" t="str">
        <f ca="1">IFERROR(__xludf.DUMMYFUNCTION("""COMPUTED_VALUE"""),"Chào mừng quý khách!")</f>
        <v>Chào mừng quý khách!</v>
      </c>
      <c r="K1667" s="13" t="str">
        <f ca="1">IFERROR(__xludf.DUMMYFUNCTION("""COMPUTED_VALUE"""),"H5_B9_BG-13.png")</f>
        <v>H5_B9_BG-13.png</v>
      </c>
      <c r="L1667" s="13" t="str">
        <f ca="1">IFERROR(__xludf.DUMMYFUNCTION("""COMPUTED_VALUE"""),"B9_13.mp3")</f>
        <v>B9_13.mp3</v>
      </c>
      <c r="M1667" s="13" t="str">
        <f ca="1">IFERROR(__xludf.DUMMYFUNCTION("""COMPUTED_VALUE"""),"B9_VD_13.mp3")</f>
        <v>B9_VD_13.mp3</v>
      </c>
    </row>
    <row r="1668" spans="1:13">
      <c r="A1668" s="13">
        <f ca="1">IFERROR(__xludf.DUMMYFUNCTION("""COMPUTED_VALUE"""),14)</f>
        <v>14</v>
      </c>
      <c r="B1668" s="13"/>
      <c r="C1668" s="13" t="str">
        <f ca="1">IFERROR(__xludf.DUMMYFUNCTION("""COMPUTED_VALUE"""),"胡同")</f>
        <v>胡同</v>
      </c>
      <c r="D1668" s="13" t="str">
        <f ca="1">IFERROR(__xludf.DUMMYFUNCTION("""COMPUTED_VALUE"""),"&lt;ruby&gt;胡同&lt;rt&gt;hútòng&lt;/rt&gt;&lt;/ruby&gt;")</f>
        <v>&lt;ruby&gt;胡同&lt;rt&gt;hútòng&lt;/rt&gt;&lt;/ruby&gt;</v>
      </c>
      <c r="E1668" s="13" t="str">
        <f ca="1">IFERROR(__xludf.DUMMYFUNCTION("""COMPUTED_VALUE"""),"hútòng")</f>
        <v>hútòng</v>
      </c>
      <c r="F1668" s="13" t="str">
        <f ca="1">IFERROR(__xludf.DUMMYFUNCTION("""COMPUTED_VALUE"""),"Danh từ")</f>
        <v>Danh từ</v>
      </c>
      <c r="G1668" s="13" t="str">
        <f ca="1">IFERROR(__xludf.DUMMYFUNCTION("""COMPUTED_VALUE"""),"ngõ hẻm")</f>
        <v>ngõ hẻm</v>
      </c>
      <c r="H1668" s="13" t="str">
        <f ca="1">IFERROR(__xludf.DUMMYFUNCTION("""COMPUTED_VALUE"""),"我的家住在靠近海边的一个胡同里。")</f>
        <v>我的家住在靠近海边的一个胡同里。</v>
      </c>
      <c r="I1668" s="13"/>
      <c r="J1668" s="13" t="str">
        <f ca="1">IFERROR(__xludf.DUMMYFUNCTION("""COMPUTED_VALUE"""),"Gia đình tôi sống trong một ngõ hẻm gần biển.")</f>
        <v>Gia đình tôi sống trong một ngõ hẻm gần biển.</v>
      </c>
      <c r="K1668" s="13" t="str">
        <f ca="1">IFERROR(__xludf.DUMMYFUNCTION("""COMPUTED_VALUE"""),"H5_B9_BG-14.png")</f>
        <v>H5_B9_BG-14.png</v>
      </c>
      <c r="L1668" s="13" t="str">
        <f ca="1">IFERROR(__xludf.DUMMYFUNCTION("""COMPUTED_VALUE"""),"B9_14.mp3")</f>
        <v>B9_14.mp3</v>
      </c>
      <c r="M1668" s="13" t="str">
        <f ca="1">IFERROR(__xludf.DUMMYFUNCTION("""COMPUTED_VALUE"""),"B9_VD_14.mp3")</f>
        <v>B9_VD_14.mp3</v>
      </c>
    </row>
    <row r="1669" spans="1:13">
      <c r="A1669" s="13">
        <f ca="1">IFERROR(__xludf.DUMMYFUNCTION("""COMPUTED_VALUE"""),15)</f>
        <v>15</v>
      </c>
      <c r="B1669" s="13"/>
      <c r="C1669" s="13" t="str">
        <f ca="1">IFERROR(__xludf.DUMMYFUNCTION("""COMPUTED_VALUE"""),"时尚")</f>
        <v>时尚</v>
      </c>
      <c r="D1669" s="13" t="str">
        <f ca="1">IFERROR(__xludf.DUMMYFUNCTION("""COMPUTED_VALUE"""),"&lt;ruby&gt;时尚&lt;rt&gt;shíshàng&lt;/rt&gt;&lt;/ruby&gt;")</f>
        <v>&lt;ruby&gt;时尚&lt;rt&gt;shíshàng&lt;/rt&gt;&lt;/ruby&gt;</v>
      </c>
      <c r="E1669" s="13" t="str">
        <f ca="1">IFERROR(__xludf.DUMMYFUNCTION("""COMPUTED_VALUE"""),"shíshàng")</f>
        <v>shíshàng</v>
      </c>
      <c r="F1669" s="13" t="str">
        <f ca="1">IFERROR(__xludf.DUMMYFUNCTION("""COMPUTED_VALUE"""),"Danh từ")</f>
        <v>Danh từ</v>
      </c>
      <c r="G1669" s="13" t="str">
        <f ca="1">IFERROR(__xludf.DUMMYFUNCTION("""COMPUTED_VALUE"""),"mốt, thời trang")</f>
        <v>mốt, thời trang</v>
      </c>
      <c r="H1669" s="13" t="str">
        <f ca="1">IFERROR(__xludf.DUMMYFUNCTION("""COMPUTED_VALUE"""),"她穿的那套衣服非常时尚。")</f>
        <v>她穿的那套衣服非常时尚。</v>
      </c>
      <c r="I1669" s="13"/>
      <c r="J1669" s="13" t="str">
        <f ca="1">IFERROR(__xludf.DUMMYFUNCTION("""COMPUTED_VALUE"""),"Bộ đồ cô ấy mặc rất thời trang.")</f>
        <v>Bộ đồ cô ấy mặc rất thời trang.</v>
      </c>
      <c r="K1669" s="13" t="str">
        <f ca="1">IFERROR(__xludf.DUMMYFUNCTION("""COMPUTED_VALUE"""),"H5_B9_BG-15.png")</f>
        <v>H5_B9_BG-15.png</v>
      </c>
      <c r="L1669" s="13" t="str">
        <f ca="1">IFERROR(__xludf.DUMMYFUNCTION("""COMPUTED_VALUE"""),"B9_15.mp3")</f>
        <v>B9_15.mp3</v>
      </c>
      <c r="M1669" s="13" t="str">
        <f ca="1">IFERROR(__xludf.DUMMYFUNCTION("""COMPUTED_VALUE"""),"B9_VD_15.mp3")</f>
        <v>B9_VD_15.mp3</v>
      </c>
    </row>
    <row r="1670" spans="1:13">
      <c r="A1670" s="13">
        <f ca="1">IFERROR(__xludf.DUMMYFUNCTION("""COMPUTED_VALUE"""),16)</f>
        <v>16</v>
      </c>
      <c r="B1670" s="13"/>
      <c r="C1670" s="13" t="str">
        <f ca="1">IFERROR(__xludf.DUMMYFUNCTION("""COMPUTED_VALUE"""),"首")</f>
        <v>首</v>
      </c>
      <c r="D1670" s="13" t="str">
        <f ca="1">IFERROR(__xludf.DUMMYFUNCTION("""COMPUTED_VALUE"""),"&lt;ruby&gt;首&lt;rt&gt;shǒu&lt;/rt&gt;&lt;/ruby&gt;")</f>
        <v>&lt;ruby&gt;首&lt;rt&gt;shǒu&lt;/rt&gt;&lt;/ruby&gt;</v>
      </c>
      <c r="E1670" s="13" t="str">
        <f ca="1">IFERROR(__xludf.DUMMYFUNCTION("""COMPUTED_VALUE"""),"shǒu")</f>
        <v>shǒu</v>
      </c>
      <c r="F1670" s="13" t="str">
        <f ca="1">IFERROR(__xludf.DUMMYFUNCTION("""COMPUTED_VALUE"""),"Danh từ/Lượng từ ")</f>
        <v xml:space="preserve">Danh từ/Lượng từ </v>
      </c>
      <c r="G1670" s="13" t="str">
        <f ca="1">IFERROR(__xludf.DUMMYFUNCTION("""COMPUTED_VALUE"""),"người (vật) đứng đầu; bài (hát)")</f>
        <v>người (vật) đứng đầu; bài (hát)</v>
      </c>
      <c r="H1670" s="13" t="str">
        <f ca="1">IFERROR(__xludf.DUMMYFUNCTION("""COMPUTED_VALUE"""),"他是我们部落的首领。")</f>
        <v>他是我们部落的首领。</v>
      </c>
      <c r="I1670" s="13"/>
      <c r="J1670" s="13" t="str">
        <f ca="1">IFERROR(__xludf.DUMMYFUNCTION("""COMPUTED_VALUE"""),"Ông ấy là thủ lĩnh của bộ tộc chúng tôi.")</f>
        <v>Ông ấy là thủ lĩnh của bộ tộc chúng tôi.</v>
      </c>
      <c r="K1670" s="13" t="str">
        <f ca="1">IFERROR(__xludf.DUMMYFUNCTION("""COMPUTED_VALUE"""),"H5_B9_BG-16.png")</f>
        <v>H5_B9_BG-16.png</v>
      </c>
      <c r="L1670" s="13" t="str">
        <f ca="1">IFERROR(__xludf.DUMMYFUNCTION("""COMPUTED_VALUE"""),"B9_16.mp3")</f>
        <v>B9_16.mp3</v>
      </c>
      <c r="M1670" s="13" t="str">
        <f ca="1">IFERROR(__xludf.DUMMYFUNCTION("""COMPUTED_VALUE"""),"B9_VD_16.mp3")</f>
        <v>B9_VD_16.mp3</v>
      </c>
    </row>
    <row r="1671" spans="1:13">
      <c r="A1671" s="13">
        <f ca="1">IFERROR(__xludf.DUMMYFUNCTION("""COMPUTED_VALUE"""),17)</f>
        <v>17</v>
      </c>
      <c r="B1671" s="13"/>
      <c r="C1671" s="13" t="str">
        <f ca="1">IFERROR(__xludf.DUMMYFUNCTION("""COMPUTED_VALUE"""),"位于")</f>
        <v>位于</v>
      </c>
      <c r="D1671" s="13" t="str">
        <f ca="1">IFERROR(__xludf.DUMMYFUNCTION("""COMPUTED_VALUE"""),"&lt;ruby&gt;位于&lt;rt&gt;wèiyú&lt;/rt&gt;&lt;/ruby&gt;")</f>
        <v>&lt;ruby&gt;位于&lt;rt&gt;wèiyú&lt;/rt&gt;&lt;/ruby&gt;</v>
      </c>
      <c r="E1671" s="13" t="str">
        <f ca="1">IFERROR(__xludf.DUMMYFUNCTION("""COMPUTED_VALUE"""),"wèiyú")</f>
        <v>wèiyú</v>
      </c>
      <c r="F1671" s="13" t="str">
        <f ca="1">IFERROR(__xludf.DUMMYFUNCTION("""COMPUTED_VALUE"""),"Động từ")</f>
        <v>Động từ</v>
      </c>
      <c r="G1671" s="13" t="str">
        <f ca="1">IFERROR(__xludf.DUMMYFUNCTION("""COMPUTED_VALUE"""),"nằm ở")</f>
        <v>nằm ở</v>
      </c>
      <c r="H1671" s="13" t="str">
        <f ca="1">IFERROR(__xludf.DUMMYFUNCTION("""COMPUTED_VALUE"""),"万里长城位于中国的北方。")</f>
        <v>万里长城位于中国的北方。</v>
      </c>
      <c r="I1671" s="13"/>
      <c r="J1671" s="13" t="str">
        <f ca="1">IFERROR(__xludf.DUMMYFUNCTION("""COMPUTED_VALUE"""),"Vạn Lý Trường Thành nằm ở phía Bắc của Trung Quốc.")</f>
        <v>Vạn Lý Trường Thành nằm ở phía Bắc của Trung Quốc.</v>
      </c>
      <c r="K1671" s="13" t="str">
        <f ca="1">IFERROR(__xludf.DUMMYFUNCTION("""COMPUTED_VALUE"""),"H5_B9_BG-17.png")</f>
        <v>H5_B9_BG-17.png</v>
      </c>
      <c r="L1671" s="13" t="str">
        <f ca="1">IFERROR(__xludf.DUMMYFUNCTION("""COMPUTED_VALUE"""),"B9_17.mp3")</f>
        <v>B9_17.mp3</v>
      </c>
      <c r="M1671" s="13" t="str">
        <f ca="1">IFERROR(__xludf.DUMMYFUNCTION("""COMPUTED_VALUE"""),"B9_VD_17.mp3")</f>
        <v>B9_VD_17.mp3</v>
      </c>
    </row>
    <row r="1672" spans="1:13">
      <c r="A1672" s="13">
        <f ca="1">IFERROR(__xludf.DUMMYFUNCTION("""COMPUTED_VALUE"""),18)</f>
        <v>18</v>
      </c>
      <c r="B1672" s="13"/>
      <c r="C1672" s="13" t="str">
        <f ca="1">IFERROR(__xludf.DUMMYFUNCTION("""COMPUTED_VALUE"""),"文学家")</f>
        <v>文学家</v>
      </c>
      <c r="D1672" s="13" t="str">
        <f ca="1">IFERROR(__xludf.DUMMYFUNCTION("""COMPUTED_VALUE"""),"&lt;ruby&gt;文学家&lt;rt&gt;wénxuéjiā&lt;/rt&gt;&lt;/ruby&gt;")</f>
        <v>&lt;ruby&gt;文学家&lt;rt&gt;wénxuéjiā&lt;/rt&gt;&lt;/ruby&gt;</v>
      </c>
      <c r="E1672" s="13" t="str">
        <f ca="1">IFERROR(__xludf.DUMMYFUNCTION("""COMPUTED_VALUE"""),"wénxuéjiā")</f>
        <v>wénxuéjiā</v>
      </c>
      <c r="F1672" s="13" t="str">
        <f ca="1">IFERROR(__xludf.DUMMYFUNCTION("""COMPUTED_VALUE"""),"Danh từ")</f>
        <v>Danh từ</v>
      </c>
      <c r="G1672" s="13" t="str">
        <f ca="1">IFERROR(__xludf.DUMMYFUNCTION("""COMPUTED_VALUE"""),"nhà văn")</f>
        <v>nhà văn</v>
      </c>
      <c r="H1672" s="13" t="str">
        <f ca="1">IFERROR(__xludf.DUMMYFUNCTION("""COMPUTED_VALUE"""),"我一直希望将来能成为一名著名的文学家。")</f>
        <v>我一直希望将来能成为一名著名的文学家。</v>
      </c>
      <c r="I1672" s="13"/>
      <c r="J1672" s="13" t="str">
        <f ca="1">IFERROR(__xludf.DUMMYFUNCTION("""COMPUTED_VALUE"""),"Tôi luôn mong rằng sau này tôi sẽ là một nhà văn nổi tiếng.")</f>
        <v>Tôi luôn mong rằng sau này tôi sẽ là một nhà văn nổi tiếng.</v>
      </c>
      <c r="K1672" s="13" t="str">
        <f ca="1">IFERROR(__xludf.DUMMYFUNCTION("""COMPUTED_VALUE"""),"H5_B9_BG-18.png")</f>
        <v>H5_B9_BG-18.png</v>
      </c>
      <c r="L1672" s="13" t="str">
        <f ca="1">IFERROR(__xludf.DUMMYFUNCTION("""COMPUTED_VALUE"""),"B9_18.mp3")</f>
        <v>B9_18.mp3</v>
      </c>
      <c r="M1672" s="13" t="str">
        <f ca="1">IFERROR(__xludf.DUMMYFUNCTION("""COMPUTED_VALUE"""),"B9_VD_18.mp3")</f>
        <v>B9_VD_18.mp3</v>
      </c>
    </row>
    <row r="1673" spans="1:13">
      <c r="A1673" s="13">
        <f ca="1">IFERROR(__xludf.DUMMYFUNCTION("""COMPUTED_VALUE"""),19)</f>
        <v>19</v>
      </c>
      <c r="B1673" s="13"/>
      <c r="C1673" s="13" t="str">
        <f ca="1">IFERROR(__xludf.DUMMYFUNCTION("""COMPUTED_VALUE"""),"写作")</f>
        <v>写作</v>
      </c>
      <c r="D1673" s="13" t="str">
        <f ca="1">IFERROR(__xludf.DUMMYFUNCTION("""COMPUTED_VALUE"""),"&lt;ruby&gt;写作&lt;rt&gt;xiězuò&lt;/rt&gt;&lt;/ruby&gt;")</f>
        <v>&lt;ruby&gt;写作&lt;rt&gt;xiězuò&lt;/rt&gt;&lt;/ruby&gt;</v>
      </c>
      <c r="E1673" s="13" t="str">
        <f ca="1">IFERROR(__xludf.DUMMYFUNCTION("""COMPUTED_VALUE"""),"xiězuò")</f>
        <v>xiězuò</v>
      </c>
      <c r="F1673" s="13" t="str">
        <f ca="1">IFERROR(__xludf.DUMMYFUNCTION("""COMPUTED_VALUE"""),"Động từ")</f>
        <v>Động từ</v>
      </c>
      <c r="G1673" s="13" t="str">
        <f ca="1">IFERROR(__xludf.DUMMYFUNCTION("""COMPUTED_VALUE"""),"sáng tác")</f>
        <v>sáng tác</v>
      </c>
      <c r="H1673" s="13" t="str">
        <f ca="1">IFERROR(__xludf.DUMMYFUNCTION("""COMPUTED_VALUE"""),"虽然年纪小，这个男孩已经能自己写作出动听的歌曲了。")</f>
        <v>虽然年纪小，这个男孩已经能自己写作出动听的歌曲了。</v>
      </c>
      <c r="I1673" s="13"/>
      <c r="J1673" s="13" t="str">
        <f ca="1">IFERROR(__xludf.DUMMYFUNCTION("""COMPUTED_VALUE"""),"Tuy nhỏ tuổi nhưng thằng bé đã có thể tự sáng tác các ca khúc hay.")</f>
        <v>Tuy nhỏ tuổi nhưng thằng bé đã có thể tự sáng tác các ca khúc hay.</v>
      </c>
      <c r="K1673" s="13" t="str">
        <f ca="1">IFERROR(__xludf.DUMMYFUNCTION("""COMPUTED_VALUE"""),"H5_B9_BG-19.png")</f>
        <v>H5_B9_BG-19.png</v>
      </c>
      <c r="L1673" s="13" t="str">
        <f ca="1">IFERROR(__xludf.DUMMYFUNCTION("""COMPUTED_VALUE"""),"B9_19.mp3")</f>
        <v>B9_19.mp3</v>
      </c>
      <c r="M1673" s="13" t="str">
        <f ca="1">IFERROR(__xludf.DUMMYFUNCTION("""COMPUTED_VALUE"""),"B9_VD_19.mp3")</f>
        <v>B9_VD_19.mp3</v>
      </c>
    </row>
    <row r="1674" spans="1:13">
      <c r="A1674" s="13">
        <f ca="1">IFERROR(__xludf.DUMMYFUNCTION("""COMPUTED_VALUE"""),20)</f>
        <v>20</v>
      </c>
      <c r="B1674" s="13"/>
      <c r="C1674" s="13" t="str">
        <f ca="1">IFERROR(__xludf.DUMMYFUNCTION("""COMPUTED_VALUE"""),"形容")</f>
        <v>形容</v>
      </c>
      <c r="D1674" s="13" t="str">
        <f ca="1">IFERROR(__xludf.DUMMYFUNCTION("""COMPUTED_VALUE"""),"&lt;ruby&gt;形容&lt;rt&gt;xíngróng&lt;/rt&gt;&lt;/ruby&gt;")</f>
        <v>&lt;ruby&gt;形容&lt;rt&gt;xíngróng&lt;/rt&gt;&lt;/ruby&gt;</v>
      </c>
      <c r="E1674" s="13" t="str">
        <f ca="1">IFERROR(__xludf.DUMMYFUNCTION("""COMPUTED_VALUE"""),"xíngróng")</f>
        <v>xíngróng</v>
      </c>
      <c r="F1674" s="13" t="str">
        <f ca="1">IFERROR(__xludf.DUMMYFUNCTION("""COMPUTED_VALUE"""),"Động từ")</f>
        <v>Động từ</v>
      </c>
      <c r="G1674" s="13" t="str">
        <f ca="1">IFERROR(__xludf.DUMMYFUNCTION("""COMPUTED_VALUE"""),"hình dung, miêu tả")</f>
        <v>hình dung, miêu tả</v>
      </c>
      <c r="H1674" s="13" t="str">
        <f ca="1">IFERROR(__xludf.DUMMYFUNCTION("""COMPUTED_VALUE"""),"这座山的美丽无法用语言形容。")</f>
        <v>这座山的美丽无法用语言形容。</v>
      </c>
      <c r="I1674" s="13"/>
      <c r="J1674" s="13" t="str">
        <f ca="1">IFERROR(__xludf.DUMMYFUNCTION("""COMPUTED_VALUE"""),"Vẻ đẹp của ngọn núi này không thể dùng lời để miêu tả.")</f>
        <v>Vẻ đẹp của ngọn núi này không thể dùng lời để miêu tả.</v>
      </c>
      <c r="K1674" s="13" t="str">
        <f ca="1">IFERROR(__xludf.DUMMYFUNCTION("""COMPUTED_VALUE"""),"H5_B9_BG-20.png")</f>
        <v>H5_B9_BG-20.png</v>
      </c>
      <c r="L1674" s="13" t="str">
        <f ca="1">IFERROR(__xludf.DUMMYFUNCTION("""COMPUTED_VALUE"""),"B9_20.mp3")</f>
        <v>B9_20.mp3</v>
      </c>
      <c r="M1674" s="13" t="str">
        <f ca="1">IFERROR(__xludf.DUMMYFUNCTION("""COMPUTED_VALUE"""),"B9_VD_20.mp3")</f>
        <v>B9_VD_20.mp3</v>
      </c>
    </row>
    <row r="1675" spans="1:13">
      <c r="A1675" s="13">
        <f ca="1">IFERROR(__xludf.DUMMYFUNCTION("""COMPUTED_VALUE"""),21)</f>
        <v>21</v>
      </c>
      <c r="B1675" s="13"/>
      <c r="C1675" s="13" t="str">
        <f ca="1">IFERROR(__xludf.DUMMYFUNCTION("""COMPUTED_VALUE"""),"形象")</f>
        <v>形象</v>
      </c>
      <c r="D1675" s="13" t="str">
        <f ca="1">IFERROR(__xludf.DUMMYFUNCTION("""COMPUTED_VALUE"""),"&lt;ruby&gt;形象&lt;rt&gt;xíngxiàng&lt;/rt&gt;&lt;/ruby&gt;")</f>
        <v>&lt;ruby&gt;形象&lt;rt&gt;xíngxiàng&lt;/rt&gt;&lt;/ruby&gt;</v>
      </c>
      <c r="E1675" s="13" t="str">
        <f ca="1">IFERROR(__xludf.DUMMYFUNCTION("""COMPUTED_VALUE"""),"xíngxiàng")</f>
        <v>xíngxiàng</v>
      </c>
      <c r="F1675" s="13" t="str">
        <f ca="1">IFERROR(__xludf.DUMMYFUNCTION("""COMPUTED_VALUE"""),"Tính từ ")</f>
        <v xml:space="preserve">Tính từ </v>
      </c>
      <c r="G1675" s="13" t="str">
        <f ca="1">IFERROR(__xludf.DUMMYFUNCTION("""COMPUTED_VALUE"""),"sinh động")</f>
        <v>sinh động</v>
      </c>
      <c r="H1675" s="13" t="str">
        <f ca="1">IFERROR(__xludf.DUMMYFUNCTION("""COMPUTED_VALUE"""),"这幅画的形象非常生动。")</f>
        <v>这幅画的形象非常生动。</v>
      </c>
      <c r="I1675" s="13"/>
      <c r="J1675" s="13" t="str">
        <f ca="1">IFERROR(__xludf.DUMMYFUNCTION("""COMPUTED_VALUE"""),"Hình ảnh trong bức tranh này rất sinh động.")</f>
        <v>Hình ảnh trong bức tranh này rất sinh động.</v>
      </c>
      <c r="K1675" s="13" t="str">
        <f ca="1">IFERROR(__xludf.DUMMYFUNCTION("""COMPUTED_VALUE"""),"H5_B9_BG-21.png")</f>
        <v>H5_B9_BG-21.png</v>
      </c>
      <c r="L1675" s="13" t="str">
        <f ca="1">IFERROR(__xludf.DUMMYFUNCTION("""COMPUTED_VALUE"""),"B9_21.mp3")</f>
        <v>B9_21.mp3</v>
      </c>
      <c r="M1675" s="13" t="str">
        <f ca="1">IFERROR(__xludf.DUMMYFUNCTION("""COMPUTED_VALUE"""),"B9_VD_21.mp3")</f>
        <v>B9_VD_21.mp3</v>
      </c>
    </row>
    <row r="1676" spans="1:13">
      <c r="A1676" s="13">
        <f ca="1">IFERROR(__xludf.DUMMYFUNCTION("""COMPUTED_VALUE"""),22)</f>
        <v>22</v>
      </c>
      <c r="B1676" s="13"/>
      <c r="C1676" s="13" t="str">
        <f ca="1">IFERROR(__xludf.DUMMYFUNCTION("""COMPUTED_VALUE"""),"学问")</f>
        <v>学问</v>
      </c>
      <c r="D1676" s="13" t="str">
        <f ca="1">IFERROR(__xludf.DUMMYFUNCTION("""COMPUTED_VALUE"""),"&lt;ruby&gt;学问&lt;rt&gt;xuéwen&lt;/rt&gt;&lt;/ruby&gt;")</f>
        <v>&lt;ruby&gt;学问&lt;rt&gt;xuéwen&lt;/rt&gt;&lt;/ruby&gt;</v>
      </c>
      <c r="E1676" s="13" t="str">
        <f ca="1">IFERROR(__xludf.DUMMYFUNCTION("""COMPUTED_VALUE"""),"xuéwen")</f>
        <v>xuéwen</v>
      </c>
      <c r="F1676" s="13" t="str">
        <f ca="1">IFERROR(__xludf.DUMMYFUNCTION("""COMPUTED_VALUE"""),"Danh từ")</f>
        <v>Danh từ</v>
      </c>
      <c r="G1676" s="13" t="str">
        <f ca="1">IFERROR(__xludf.DUMMYFUNCTION("""COMPUTED_VALUE"""),"tri thức, học thức")</f>
        <v>tri thức, học thức</v>
      </c>
      <c r="H1676" s="13" t="str">
        <f ca="1">IFERROR(__xludf.DUMMYFUNCTION("""COMPUTED_VALUE"""),"他有着非常渊博的学问。")</f>
        <v>他有着非常渊博的学问。</v>
      </c>
      <c r="I1676" s="13"/>
      <c r="J1676" s="13" t="str">
        <f ca="1">IFERROR(__xludf.DUMMYFUNCTION("""COMPUTED_VALUE"""),"Anh ấy có một học thức rất sâu rộng.")</f>
        <v>Anh ấy có một học thức rất sâu rộng.</v>
      </c>
      <c r="K1676" s="13" t="str">
        <f ca="1">IFERROR(__xludf.DUMMYFUNCTION("""COMPUTED_VALUE"""),"H5_B9_BG-22.png")</f>
        <v>H5_B9_BG-22.png</v>
      </c>
      <c r="L1676" s="13" t="str">
        <f ca="1">IFERROR(__xludf.DUMMYFUNCTION("""COMPUTED_VALUE"""),"B9_22.mp3")</f>
        <v>B9_22.mp3</v>
      </c>
      <c r="M1676" s="13" t="str">
        <f ca="1">IFERROR(__xludf.DUMMYFUNCTION("""COMPUTED_VALUE"""),"B9_VD_22.mp3")</f>
        <v>B9_VD_22.mp3</v>
      </c>
    </row>
    <row r="1677" spans="1:13">
      <c r="A1677" s="13">
        <f ca="1">IFERROR(__xludf.DUMMYFUNCTION("""COMPUTED_VALUE"""),23)</f>
        <v>23</v>
      </c>
      <c r="B1677" s="13"/>
      <c r="C1677" s="13" t="str">
        <f ca="1">IFERROR(__xludf.DUMMYFUNCTION("""COMPUTED_VALUE"""),"资料")</f>
        <v>资料</v>
      </c>
      <c r="D1677" s="13" t="str">
        <f ca="1">IFERROR(__xludf.DUMMYFUNCTION("""COMPUTED_VALUE"""),"&lt;ruby&gt;资料&lt;rt&gt;zīliào&lt;/rt&gt;&lt;/ruby&gt;")</f>
        <v>&lt;ruby&gt;资料&lt;rt&gt;zīliào&lt;/rt&gt;&lt;/ruby&gt;</v>
      </c>
      <c r="E1677" s="13" t="str">
        <f ca="1">IFERROR(__xludf.DUMMYFUNCTION("""COMPUTED_VALUE"""),"zīliào")</f>
        <v>zīliào</v>
      </c>
      <c r="F1677" s="13" t="str">
        <f ca="1">IFERROR(__xludf.DUMMYFUNCTION("""COMPUTED_VALUE"""),"Danh từ ")</f>
        <v xml:space="preserve">Danh từ </v>
      </c>
      <c r="G1677" s="13" t="str">
        <f ca="1">IFERROR(__xludf.DUMMYFUNCTION("""COMPUTED_VALUE"""),"tài liệu, tư liệu")</f>
        <v>tài liệu, tư liệu</v>
      </c>
      <c r="H1677" s="13" t="str">
        <f ca="1">IFERROR(__xludf.DUMMYFUNCTION("""COMPUTED_VALUE"""),"我必须加班准备明天会议的资料。")</f>
        <v>我必须加班准备明天会议的资料。</v>
      </c>
      <c r="I1677" s="13"/>
      <c r="J1677" s="13" t="str">
        <f ca="1">IFERROR(__xludf.DUMMYFUNCTION("""COMPUTED_VALUE"""),"Tôi phải tăng ca để chuẩn bị tài liệu cho cuộc họp ngày mai.")</f>
        <v>Tôi phải tăng ca để chuẩn bị tài liệu cho cuộc họp ngày mai.</v>
      </c>
      <c r="K1677" s="13" t="str">
        <f ca="1">IFERROR(__xludf.DUMMYFUNCTION("""COMPUTED_VALUE"""),"H5_B9_BG-23.png")</f>
        <v>H5_B9_BG-23.png</v>
      </c>
      <c r="L1677" s="13" t="str">
        <f ca="1">IFERROR(__xludf.DUMMYFUNCTION("""COMPUTED_VALUE"""),"B9_23.mp3")</f>
        <v>B9_23.mp3</v>
      </c>
      <c r="M1677" s="13" t="str">
        <f ca="1">IFERROR(__xludf.DUMMYFUNCTION("""COMPUTED_VALUE"""),"B9_VD_23.mp3")</f>
        <v>B9_VD_23.mp3</v>
      </c>
    </row>
    <row r="1678" spans="1:13">
      <c r="A1678" s="13">
        <f ca="1">IFERROR(__xludf.DUMMYFUNCTION("""COMPUTED_VALUE"""),24)</f>
        <v>24</v>
      </c>
      <c r="B1678" s="13"/>
      <c r="C1678" s="13" t="str">
        <f ca="1">IFERROR(__xludf.DUMMYFUNCTION("""COMPUTED_VALUE"""),"近代")</f>
        <v>近代</v>
      </c>
      <c r="D1678" s="13" t="str">
        <f ca="1">IFERROR(__xludf.DUMMYFUNCTION("""COMPUTED_VALUE"""),"&lt;ruby&gt;近代&lt;rt&gt;jìndài&lt;/rt&gt;&lt;/ruby&gt;")</f>
        <v>&lt;ruby&gt;近代&lt;rt&gt;jìndài&lt;/rt&gt;&lt;/ruby&gt;</v>
      </c>
      <c r="E1678" s="13" t="str">
        <f ca="1">IFERROR(__xludf.DUMMYFUNCTION("""COMPUTED_VALUE"""),"jìndài")</f>
        <v>jìndài</v>
      </c>
      <c r="F1678" s="13" t="str">
        <f ca="1">IFERROR(__xludf.DUMMYFUNCTION("""COMPUTED_VALUE"""),"Danh từ ")</f>
        <v xml:space="preserve">Danh từ </v>
      </c>
      <c r="G1678" s="13" t="str">
        <f ca="1">IFERROR(__xludf.DUMMYFUNCTION("""COMPUTED_VALUE"""),"thời cận đại (chỉ khoảng thời gian từ giữa thế kỷ 19 đến năm 1919 trong lịch sử Trung Quốc)")</f>
        <v>thời cận đại (chỉ khoảng thời gian từ giữa thế kỷ 19 đến năm 1919 trong lịch sử Trung Quốc)</v>
      </c>
      <c r="H1678" s="13" t="str">
        <f ca="1">IFERROR(__xludf.DUMMYFUNCTION("""COMPUTED_VALUE"""),"近代的蒸汽火车改变了人们的出行方式。")</f>
        <v>近代的蒸汽火车改变了人们的出行方式。</v>
      </c>
      <c r="I1678" s="13"/>
      <c r="J1678" s="13" t="str">
        <f ca="1">IFERROR(__xludf.DUMMYFUNCTION("""COMPUTED_VALUE"""),"Tàu hỏa hơi nước thời cận đại đã thay đổi cách con người di chuyển.")</f>
        <v>Tàu hỏa hơi nước thời cận đại đã thay đổi cách con người di chuyển.</v>
      </c>
      <c r="K1678" s="13" t="str">
        <f ca="1">IFERROR(__xludf.DUMMYFUNCTION("""COMPUTED_VALUE"""),"H5_B9_BG-24.png")</f>
        <v>H5_B9_BG-24.png</v>
      </c>
      <c r="L1678" s="13" t="str">
        <f ca="1">IFERROR(__xludf.DUMMYFUNCTION("""COMPUTED_VALUE"""),"B9_24.mp3")</f>
        <v>B9_24.mp3</v>
      </c>
      <c r="M1678" s="13" t="str">
        <f ca="1">IFERROR(__xludf.DUMMYFUNCTION("""COMPUTED_VALUE"""),"B9_VD_24.mp3")</f>
        <v>B9_VD_24.mp3</v>
      </c>
    </row>
    <row r="1679" spans="1:13">
      <c r="A1679" s="13">
        <f ca="1">IFERROR(__xludf.DUMMYFUNCTION("""COMPUTED_VALUE"""),25)</f>
        <v>25</v>
      </c>
      <c r="B1679" s="13"/>
      <c r="C1679" s="13" t="str">
        <f ca="1">IFERROR(__xludf.DUMMYFUNCTION("""COMPUTED_VALUE"""),"蒙眬")</f>
        <v>蒙眬</v>
      </c>
      <c r="D1679" s="13" t="str">
        <f ca="1">IFERROR(__xludf.DUMMYFUNCTION("""COMPUTED_VALUE"""),"&lt;ruby&gt;蒙眬&lt;rt&gt;ménglóng&lt;/rt&gt;&lt;/ruby&gt;")</f>
        <v>&lt;ruby&gt;蒙眬&lt;rt&gt;ménglóng&lt;/rt&gt;&lt;/ruby&gt;</v>
      </c>
      <c r="E1679" s="13" t="str">
        <f ca="1">IFERROR(__xludf.DUMMYFUNCTION("""COMPUTED_VALUE"""),"ménglóng")</f>
        <v>ménglóng</v>
      </c>
      <c r="F1679" s="13" t="str">
        <f ca="1">IFERROR(__xludf.DUMMYFUNCTION("""COMPUTED_VALUE"""),"Tính từ ")</f>
        <v xml:space="preserve">Tính từ </v>
      </c>
      <c r="G1679" s="13" t="str">
        <f ca="1">IFERROR(__xludf.DUMMYFUNCTION("""COMPUTED_VALUE"""),"lờ mờ, mơ màng, mờ ảo")</f>
        <v>lờ mờ, mơ màng, mờ ảo</v>
      </c>
      <c r="H1679" s="13" t="str">
        <f ca="1">IFERROR(__xludf.DUMMYFUNCTION("""COMPUTED_VALUE"""),"他的眼睛蒙眬，看不清楚东西。")</f>
        <v>他的眼睛蒙眬，看不清楚东西。</v>
      </c>
      <c r="I1679" s="13"/>
      <c r="J1679" s="13" t="str">
        <f ca="1">IFERROR(__xludf.DUMMYFUNCTION("""COMPUTED_VALUE"""),"Đôi mắt của anh ấy lờ mờ, không thể nhìn rõ.")</f>
        <v>Đôi mắt của anh ấy lờ mờ, không thể nhìn rõ.</v>
      </c>
      <c r="K1679" s="13" t="str">
        <f ca="1">IFERROR(__xludf.DUMMYFUNCTION("""COMPUTED_VALUE"""),"H5_B9_BG-25.png")</f>
        <v>H5_B9_BG-25.png</v>
      </c>
      <c r="L1679" s="13" t="str">
        <f ca="1">IFERROR(__xludf.DUMMYFUNCTION("""COMPUTED_VALUE"""),"B9_25.mp3")</f>
        <v>B9_25.mp3</v>
      </c>
      <c r="M1679" s="13" t="str">
        <f ca="1">IFERROR(__xludf.DUMMYFUNCTION("""COMPUTED_VALUE"""),"B9_VD_25.mp3")</f>
        <v>B9_VD_25.mp3</v>
      </c>
    </row>
    <row r="1680" spans="1:13">
      <c r="A1680" s="13">
        <f ca="1">IFERROR(__xludf.DUMMYFUNCTION("""COMPUTED_VALUE"""),26)</f>
        <v>26</v>
      </c>
      <c r="B1680" s="13"/>
      <c r="C1680" s="13" t="str">
        <f ca="1">IFERROR(__xludf.DUMMYFUNCTION("""COMPUTED_VALUE"""),"悠悠")</f>
        <v>悠悠</v>
      </c>
      <c r="D1680" s="13" t="str">
        <f ca="1">IFERROR(__xludf.DUMMYFUNCTION("""COMPUTED_VALUE"""),"&lt;ruby&gt;悠悠&lt;rt&gt;yōuyōu&lt;/rt&gt;&lt;/ruby&gt;")</f>
        <v>&lt;ruby&gt;悠悠&lt;rt&gt;yōuyōu&lt;/rt&gt;&lt;/ruby&gt;</v>
      </c>
      <c r="E1680" s="13" t="str">
        <f ca="1">IFERROR(__xludf.DUMMYFUNCTION("""COMPUTED_VALUE"""),"yōuyōu")</f>
        <v>yōuyōu</v>
      </c>
      <c r="F1680" s="13" t="str">
        <f ca="1">IFERROR(__xludf.DUMMYFUNCTION("""COMPUTED_VALUE"""),"Tính từ ")</f>
        <v xml:space="preserve">Tính từ </v>
      </c>
      <c r="G1680" s="13" t="str">
        <f ca="1">IFERROR(__xludf.DUMMYFUNCTION("""COMPUTED_VALUE"""),"thong thả, ung dung")</f>
        <v>thong thả, ung dung</v>
      </c>
      <c r="H1680" s="13" t="str">
        <f ca="1">IFERROR(__xludf.DUMMYFUNCTION("""COMPUTED_VALUE"""),"她悠悠地带着宠物狗在公园散步。")</f>
        <v>她悠悠地带着宠物狗在公园散步。</v>
      </c>
      <c r="I1680" s="13"/>
      <c r="J1680" s="13" t="str">
        <f ca="1">IFERROR(__xludf.DUMMYFUNCTION("""COMPUTED_VALUE"""),"Cô ấy thong thả dắt cún cưng đi dạo trong công viên.")</f>
        <v>Cô ấy thong thả dắt cún cưng đi dạo trong công viên.</v>
      </c>
      <c r="K1680" s="13" t="str">
        <f ca="1">IFERROR(__xludf.DUMMYFUNCTION("""COMPUTED_VALUE"""),"H5_B9_BG-26.png")</f>
        <v>H5_B9_BG-26.png</v>
      </c>
      <c r="L1680" s="13" t="str">
        <f ca="1">IFERROR(__xludf.DUMMYFUNCTION("""COMPUTED_VALUE"""),"B9_26.mp3")</f>
        <v>B9_26.mp3</v>
      </c>
      <c r="M1680" s="13" t="str">
        <f ca="1">IFERROR(__xludf.DUMMYFUNCTION("""COMPUTED_VALUE"""),"B9_VD_26.mp3")</f>
        <v>B9_VD_26.mp3</v>
      </c>
    </row>
    <row r="1681" spans="1:13">
      <c r="A1681" s="13">
        <f ca="1">IFERROR(__xludf.DUMMYFUNCTION("""COMPUTED_VALUE"""),27)</f>
        <v>27</v>
      </c>
      <c r="B1681" s="13"/>
      <c r="C1681" s="13" t="str">
        <f ca="1">IFERROR(__xludf.DUMMYFUNCTION("""COMPUTED_VALUE"""),"曾经")</f>
        <v>曾经</v>
      </c>
      <c r="D1681" s="13" t="str">
        <f ca="1">IFERROR(__xludf.DUMMYFUNCTION("""COMPUTED_VALUE"""),"&lt;ruby&gt;曾经&lt;rt&gt;céngjīng&lt;/rt&gt;&lt;/ruby&gt;")</f>
        <v>&lt;ruby&gt;曾经&lt;rt&gt;céngjīng&lt;/rt&gt;&lt;/ruby&gt;</v>
      </c>
      <c r="E1681" s="13" t="str">
        <f ca="1">IFERROR(__xludf.DUMMYFUNCTION("""COMPUTED_VALUE"""),"céngjīng")</f>
        <v>céngjīng</v>
      </c>
      <c r="F1681" s="13" t="str">
        <f ca="1">IFERROR(__xludf.DUMMYFUNCTION("""COMPUTED_VALUE"""),"Phó từ")</f>
        <v>Phó từ</v>
      </c>
      <c r="G1681" s="13" t="str">
        <f ca="1">IFERROR(__xludf.DUMMYFUNCTION("""COMPUTED_VALUE"""),"đã từng")</f>
        <v>đã từng</v>
      </c>
      <c r="H1681" s="13" t="str">
        <f ca="1">IFERROR(__xludf.DUMMYFUNCTION("""COMPUTED_VALUE"""),"我们一家人曾经一起去过很多地方旅游。")</f>
        <v>我们一家人曾经一起去过很多地方旅游。</v>
      </c>
      <c r="I1681" s="13"/>
      <c r="J1681" s="13" t="str">
        <f ca="1">IFERROR(__xludf.DUMMYFUNCTION("""COMPUTED_VALUE"""),"gia đình tôi đã từng cùng nhau du lịch nhiều nơi.")</f>
        <v>gia đình tôi đã từng cùng nhau du lịch nhiều nơi.</v>
      </c>
      <c r="K1681" s="13" t="str">
        <f ca="1">IFERROR(__xludf.DUMMYFUNCTION("""COMPUTED_VALUE"""),"H5_B9_BG-27.png")</f>
        <v>H5_B9_BG-27.png</v>
      </c>
      <c r="L1681" s="13" t="str">
        <f ca="1">IFERROR(__xludf.DUMMYFUNCTION("""COMPUTED_VALUE"""),"B9_27.mp3")</f>
        <v>B9_27.mp3</v>
      </c>
      <c r="M1681" s="13" t="str">
        <f ca="1">IFERROR(__xludf.DUMMYFUNCTION("""COMPUTED_VALUE"""),"B9_VD_27.mp3")</f>
        <v>B9_VD_27.mp3</v>
      </c>
    </row>
    <row r="1682" spans="1:13">
      <c r="A1682" s="13">
        <f ca="1">IFERROR(__xludf.DUMMYFUNCTION("""COMPUTED_VALUE"""),28)</f>
        <v>28</v>
      </c>
      <c r="B1682" s="13"/>
      <c r="C1682" s="13" t="str">
        <f ca="1">IFERROR(__xludf.DUMMYFUNCTION("""COMPUTED_VALUE"""),"大方")</f>
        <v>大方</v>
      </c>
      <c r="D1682" s="13" t="str">
        <f ca="1">IFERROR(__xludf.DUMMYFUNCTION("""COMPUTED_VALUE"""),"&lt;ruby&gt;大方&lt;rt&gt;dàfang&lt;/rt&gt;&lt;/ruby&gt;")</f>
        <v>&lt;ruby&gt;大方&lt;rt&gt;dàfang&lt;/rt&gt;&lt;/ruby&gt;</v>
      </c>
      <c r="E1682" s="13" t="str">
        <f ca="1">IFERROR(__xludf.DUMMYFUNCTION("""COMPUTED_VALUE"""),"dàfang")</f>
        <v>dàfang</v>
      </c>
      <c r="F1682" s="13" t="str">
        <f ca="1">IFERROR(__xludf.DUMMYFUNCTION("""COMPUTED_VALUE"""),"Tính từ ")</f>
        <v xml:space="preserve">Tính từ </v>
      </c>
      <c r="G1682" s="13" t="str">
        <f ca="1">IFERROR(__xludf.DUMMYFUNCTION("""COMPUTED_VALUE"""),"rộng rãi, hào phóng")</f>
        <v>rộng rãi, hào phóng</v>
      </c>
      <c r="H1682" s="13" t="str">
        <f ca="1">IFERROR(__xludf.DUMMYFUNCTION("""COMPUTED_VALUE"""),"她是一个非常大方的人，总是把好吃的分享给朋友们。")</f>
        <v>她是一个非常大方的人，总是把好吃的分享给朋友们。</v>
      </c>
      <c r="I1682" s="13"/>
      <c r="J1682" s="13" t="str">
        <f ca="1">IFERROR(__xludf.DUMMYFUNCTION("""COMPUTED_VALUE"""),"Cô ấy là một người rất hào phóng, luôn chia đồ ăn ngon cho bạn bè.")</f>
        <v>Cô ấy là một người rất hào phóng, luôn chia đồ ăn ngon cho bạn bè.</v>
      </c>
      <c r="K1682" s="13" t="str">
        <f ca="1">IFERROR(__xludf.DUMMYFUNCTION("""COMPUTED_VALUE"""),"H5_B9_BG-28.png")</f>
        <v>H5_B9_BG-28.png</v>
      </c>
      <c r="L1682" s="13" t="str">
        <f ca="1">IFERROR(__xludf.DUMMYFUNCTION("""COMPUTED_VALUE"""),"B9_28.mp3")</f>
        <v>B9_28.mp3</v>
      </c>
      <c r="M1682" s="13" t="str">
        <f ca="1">IFERROR(__xludf.DUMMYFUNCTION("""COMPUTED_VALUE"""),"B9_VD_28.mp3")</f>
        <v>B9_VD_28.mp3</v>
      </c>
    </row>
    <row r="1683" spans="1:13">
      <c r="A1683" s="13">
        <f ca="1">IFERROR(__xludf.DUMMYFUNCTION("""COMPUTED_VALUE"""),29)</f>
        <v>29</v>
      </c>
      <c r="B1683" s="13"/>
      <c r="C1683" s="13" t="str">
        <f ca="1">IFERROR(__xludf.DUMMYFUNCTION("""COMPUTED_VALUE"""),"高档")</f>
        <v>高档</v>
      </c>
      <c r="D1683" s="13" t="str">
        <f ca="1">IFERROR(__xludf.DUMMYFUNCTION("""COMPUTED_VALUE"""),"&lt;ruby&gt;高档&lt;rt&gt;gāodàng&lt;/rt&gt;&lt;/ruby&gt;")</f>
        <v>&lt;ruby&gt;高档&lt;rt&gt;gāodàng&lt;/rt&gt;&lt;/ruby&gt;</v>
      </c>
      <c r="E1683" s="13" t="str">
        <f ca="1">IFERROR(__xludf.DUMMYFUNCTION("""COMPUTED_VALUE"""),"gāodàng")</f>
        <v>gāodàng</v>
      </c>
      <c r="F1683" s="13" t="str">
        <f ca="1">IFERROR(__xludf.DUMMYFUNCTION("""COMPUTED_VALUE"""),"Tính từ ")</f>
        <v xml:space="preserve">Tính từ </v>
      </c>
      <c r="G1683" s="13" t="str">
        <f ca="1">IFERROR(__xludf.DUMMYFUNCTION("""COMPUTED_VALUE"""),"hảo hạng, cao cấp")</f>
        <v>hảo hạng, cao cấp</v>
      </c>
      <c r="H1683" s="13" t="str">
        <f ca="1">IFERROR(__xludf.DUMMYFUNCTION("""COMPUTED_VALUE"""),"这块手表是一个高档品牌的产品。")</f>
        <v>这块手表是一个高档品牌的产品。</v>
      </c>
      <c r="I1683" s="13"/>
      <c r="J1683" s="13" t="str">
        <f ca="1">IFERROR(__xludf.DUMMYFUNCTION("""COMPUTED_VALUE"""),"Chiếc đồng hồ này là của một thương hiệu cao cấp.")</f>
        <v>Chiếc đồng hồ này là của một thương hiệu cao cấp.</v>
      </c>
      <c r="K1683" s="13" t="str">
        <f ca="1">IFERROR(__xludf.DUMMYFUNCTION("""COMPUTED_VALUE"""),"H5_B9_BG-29.png")</f>
        <v>H5_B9_BG-29.png</v>
      </c>
      <c r="L1683" s="13" t="str">
        <f ca="1">IFERROR(__xludf.DUMMYFUNCTION("""COMPUTED_VALUE"""),"B9_29.mp3")</f>
        <v>B9_29.mp3</v>
      </c>
      <c r="M1683" s="13" t="str">
        <f ca="1">IFERROR(__xludf.DUMMYFUNCTION("""COMPUTED_VALUE"""),"B9_VD_29.mp3")</f>
        <v>B9_VD_29.mp3</v>
      </c>
    </row>
    <row r="1684" spans="1:13">
      <c r="A1684" s="13">
        <f ca="1">IFERROR(__xludf.DUMMYFUNCTION("""COMPUTED_VALUE"""),30)</f>
        <v>30</v>
      </c>
      <c r="B1684" s="13"/>
      <c r="C1684" s="13" t="str">
        <f ca="1">IFERROR(__xludf.DUMMYFUNCTION("""COMPUTED_VALUE"""),"豪华")</f>
        <v>豪华</v>
      </c>
      <c r="D1684" s="13" t="str">
        <f ca="1">IFERROR(__xludf.DUMMYFUNCTION("""COMPUTED_VALUE"""),"&lt;ruby&gt;豪华&lt;rt&gt;háohuá&lt;/rt&gt;&lt;/ruby&gt;")</f>
        <v>&lt;ruby&gt;豪华&lt;rt&gt;háohuá&lt;/rt&gt;&lt;/ruby&gt;</v>
      </c>
      <c r="E1684" s="13" t="str">
        <f ca="1">IFERROR(__xludf.DUMMYFUNCTION("""COMPUTED_VALUE"""),"háohuá")</f>
        <v>háohuá</v>
      </c>
      <c r="F1684" s="13" t="str">
        <f ca="1">IFERROR(__xludf.DUMMYFUNCTION("""COMPUTED_VALUE"""),"Tính từ ")</f>
        <v xml:space="preserve">Tính từ </v>
      </c>
      <c r="G1684" s="13" t="str">
        <f ca="1">IFERROR(__xludf.DUMMYFUNCTION("""COMPUTED_VALUE"""),"sang trọng, lộng lẫy")</f>
        <v>sang trọng, lộng lẫy</v>
      </c>
      <c r="H1684" s="13" t="str">
        <f ca="1">IFERROR(__xludf.DUMMYFUNCTION("""COMPUTED_VALUE"""),"这家酒店的大堂非常豪华。")</f>
        <v>这家酒店的大堂非常豪华。</v>
      </c>
      <c r="I1684" s="13"/>
      <c r="J1684" s="13" t="str">
        <f ca="1">IFERROR(__xludf.DUMMYFUNCTION("""COMPUTED_VALUE"""),"Sảnh của khách sạn này rất sang trọng.")</f>
        <v>Sảnh của khách sạn này rất sang trọng.</v>
      </c>
      <c r="K1684" s="13" t="str">
        <f ca="1">IFERROR(__xludf.DUMMYFUNCTION("""COMPUTED_VALUE"""),"H5_B9_BG-30.png")</f>
        <v>H5_B9_BG-30.png</v>
      </c>
      <c r="L1684" s="13" t="str">
        <f ca="1">IFERROR(__xludf.DUMMYFUNCTION("""COMPUTED_VALUE"""),"B9_30.mp3")</f>
        <v>B9_30.mp3</v>
      </c>
      <c r="M1684" s="13" t="str">
        <f ca="1">IFERROR(__xludf.DUMMYFUNCTION("""COMPUTED_VALUE"""),"B9_VD_30.mp3")</f>
        <v>B9_VD_30.mp3</v>
      </c>
    </row>
    <row r="1685" spans="1:13">
      <c r="A1685" s="13">
        <f ca="1">IFERROR(__xludf.DUMMYFUNCTION("""COMPUTED_VALUE"""),31)</f>
        <v>31</v>
      </c>
      <c r="B1685" s="13"/>
      <c r="C1685" s="13" t="str">
        <f ca="1">IFERROR(__xludf.DUMMYFUNCTION("""COMPUTED_VALUE"""),"好客")</f>
        <v>好客</v>
      </c>
      <c r="D1685" s="13" t="str">
        <f ca="1">IFERROR(__xludf.DUMMYFUNCTION("""COMPUTED_VALUE"""),"&lt;ruby&gt;好客&lt;rt&gt;hàokè&lt;/rt&gt;&lt;/ruby&gt;")</f>
        <v>&lt;ruby&gt;好客&lt;rt&gt;hàokè&lt;/rt&gt;&lt;/ruby&gt;</v>
      </c>
      <c r="E1685" s="13" t="str">
        <f ca="1">IFERROR(__xludf.DUMMYFUNCTION("""COMPUTED_VALUE"""),"hàokè")</f>
        <v>hàokè</v>
      </c>
      <c r="F1685" s="13" t="str">
        <f ca="1">IFERROR(__xludf.DUMMYFUNCTION("""COMPUTED_VALUE"""),"Động từ")</f>
        <v>Động từ</v>
      </c>
      <c r="G1685" s="13" t="str">
        <f ca="1">IFERROR(__xludf.DUMMYFUNCTION("""COMPUTED_VALUE"""),"hiếu khách, mến khách")</f>
        <v>hiếu khách, mến khách</v>
      </c>
      <c r="H1685" s="13" t="str">
        <f ca="1">IFERROR(__xludf.DUMMYFUNCTION("""COMPUTED_VALUE"""),"他是一个很热情好客的人，经常邀请朋友来家里。")</f>
        <v>他是一个很热情好客的人，经常邀请朋友来家里。</v>
      </c>
      <c r="I1685" s="13"/>
      <c r="J1685" s="13" t="str">
        <f ca="1">IFERROR(__xludf.DUMMYFUNCTION("""COMPUTED_VALUE"""),"Anh ấy là một người rất hiếu khách, thường xuyên mời bạn bè đến nhà.")</f>
        <v>Anh ấy là một người rất hiếu khách, thường xuyên mời bạn bè đến nhà.</v>
      </c>
      <c r="K1685" s="13" t="str">
        <f ca="1">IFERROR(__xludf.DUMMYFUNCTION("""COMPUTED_VALUE"""),"H5_B9_BG-31.png")</f>
        <v>H5_B9_BG-31.png</v>
      </c>
      <c r="L1685" s="13" t="str">
        <f ca="1">IFERROR(__xludf.DUMMYFUNCTION("""COMPUTED_VALUE"""),"B9_31.mp3")</f>
        <v>B9_31.mp3</v>
      </c>
      <c r="M1685" s="13" t="str">
        <f ca="1">IFERROR(__xludf.DUMMYFUNCTION("""COMPUTED_VALUE"""),"B9_VD_31.mp3")</f>
        <v>B9_VD_31.mp3</v>
      </c>
    </row>
    <row r="1686" spans="1:13">
      <c r="A1686" s="13">
        <f ca="1">IFERROR(__xludf.DUMMYFUNCTION("""COMPUTED_VALUE"""),32)</f>
        <v>32</v>
      </c>
      <c r="B1686" s="13"/>
      <c r="C1686" s="13" t="str">
        <f ca="1">IFERROR(__xludf.DUMMYFUNCTION("""COMPUTED_VALUE"""),"呼朋唤友")</f>
        <v>呼朋唤友</v>
      </c>
      <c r="D1686" s="13" t="str">
        <f ca="1">IFERROR(__xludf.DUMMYFUNCTION("""COMPUTED_VALUE"""),"&lt;ruby&gt;呼朋唤友&lt;rt&gt;hūpéng huànyǒu&lt;/rt&gt;&lt;/ruby&gt;")</f>
        <v>&lt;ruby&gt;呼朋唤友&lt;rt&gt;hūpéng huànyǒu&lt;/rt&gt;&lt;/ruby&gt;</v>
      </c>
      <c r="E1686" s="13" t="str">
        <f ca="1">IFERROR(__xludf.DUMMYFUNCTION("""COMPUTED_VALUE"""),"hūpéng huànyǒu")</f>
        <v>hūpéng huànyǒu</v>
      </c>
      <c r="F1686" s="13"/>
      <c r="G1686" s="13" t="str">
        <f ca="1">IFERROR(__xludf.DUMMYFUNCTION("""COMPUTED_VALUE"""),"mời mọc bạn bè, tập hợp bạn bè")</f>
        <v>mời mọc bạn bè, tập hợp bạn bè</v>
      </c>
      <c r="H1686" s="13" t="str">
        <f ca="1">IFERROR(__xludf.DUMMYFUNCTION("""COMPUTED_VALUE"""),"我常常呼朋唤友来家里一起学习。")</f>
        <v>我常常呼朋唤友来家里一起学习。</v>
      </c>
      <c r="I1686" s="13"/>
      <c r="J1686" s="13" t="str">
        <f ca="1">IFERROR(__xludf.DUMMYFUNCTION("""COMPUTED_VALUE"""),"Tôi thường mời bạn bè đén nhà mình học nhóm.")</f>
        <v>Tôi thường mời bạn bè đén nhà mình học nhóm.</v>
      </c>
      <c r="K1686" s="13" t="str">
        <f ca="1">IFERROR(__xludf.DUMMYFUNCTION("""COMPUTED_VALUE"""),"H5_B9_BG-32.png")</f>
        <v>H5_B9_BG-32.png</v>
      </c>
      <c r="L1686" s="13" t="str">
        <f ca="1">IFERROR(__xludf.DUMMYFUNCTION("""COMPUTED_VALUE"""),"B9_32.mp3")</f>
        <v>B9_32.mp3</v>
      </c>
      <c r="M1686" s="13" t="str">
        <f ca="1">IFERROR(__xludf.DUMMYFUNCTION("""COMPUTED_VALUE"""),"B9_VD_32.mp3")</f>
        <v>B9_VD_32.mp3</v>
      </c>
    </row>
    <row r="1687" spans="1:13">
      <c r="A1687" s="13">
        <f ca="1">IFERROR(__xludf.DUMMYFUNCTION("""COMPUTED_VALUE"""),33)</f>
        <v>33</v>
      </c>
      <c r="B1687" s="13"/>
      <c r="C1687" s="13" t="str">
        <f ca="1">IFERROR(__xludf.DUMMYFUNCTION("""COMPUTED_VALUE"""),"交际")</f>
        <v>交际</v>
      </c>
      <c r="D1687" s="13" t="str">
        <f ca="1">IFERROR(__xludf.DUMMYFUNCTION("""COMPUTED_VALUE"""),"&lt;ruby&gt;交际&lt;rt&gt;jiāojì&lt;/rt&gt;&lt;/ruby&gt;")</f>
        <v>&lt;ruby&gt;交际&lt;rt&gt;jiāojì&lt;/rt&gt;&lt;/ruby&gt;</v>
      </c>
      <c r="E1687" s="13" t="str">
        <f ca="1">IFERROR(__xludf.DUMMYFUNCTION("""COMPUTED_VALUE"""),"jiāojì")</f>
        <v>jiāojì</v>
      </c>
      <c r="F1687" s="13" t="str">
        <f ca="1">IFERROR(__xludf.DUMMYFUNCTION("""COMPUTED_VALUE"""),"Danh từ")</f>
        <v>Danh từ</v>
      </c>
      <c r="G1687" s="13" t="str">
        <f ca="1">IFERROR(__xludf.DUMMYFUNCTION("""COMPUTED_VALUE"""),"xã giao, sự giao thiệp")</f>
        <v>xã giao, sự giao thiệp</v>
      </c>
      <c r="H1687" s="13" t="str">
        <f ca="1">IFERROR(__xludf.DUMMYFUNCTION("""COMPUTED_VALUE"""),"她很擅长交际，认识了很多人。")</f>
        <v>她很擅长交际，认识了很多人。</v>
      </c>
      <c r="I1687" s="13"/>
      <c r="J1687" s="13" t="str">
        <f ca="1">IFERROR(__xludf.DUMMYFUNCTION("""COMPUTED_VALUE"""),"Cô ấy rất giỏi trong việc giao thiệp, quen biết rất nhiều người.")</f>
        <v>Cô ấy rất giỏi trong việc giao thiệp, quen biết rất nhiều người.</v>
      </c>
      <c r="K1687" s="13" t="str">
        <f ca="1">IFERROR(__xludf.DUMMYFUNCTION("""COMPUTED_VALUE"""),"H5_B9_BG-33.png")</f>
        <v>H5_B9_BG-33.png</v>
      </c>
      <c r="L1687" s="13" t="str">
        <f ca="1">IFERROR(__xludf.DUMMYFUNCTION("""COMPUTED_VALUE"""),"B9_33.mp3")</f>
        <v>B9_33.mp3</v>
      </c>
      <c r="M1687" s="13" t="str">
        <f ca="1">IFERROR(__xludf.DUMMYFUNCTION("""COMPUTED_VALUE"""),"B9_VD_33.mp3")</f>
        <v>B9_VD_33.mp3</v>
      </c>
    </row>
    <row r="1688" spans="1:13">
      <c r="A1688" s="13">
        <f ca="1">IFERROR(__xludf.DUMMYFUNCTION("""COMPUTED_VALUE"""),34)</f>
        <v>34</v>
      </c>
      <c r="B1688" s="13"/>
      <c r="C1688" s="13" t="str">
        <f ca="1">IFERROR(__xludf.DUMMYFUNCTION("""COMPUTED_VALUE"""),"明明")</f>
        <v>明明</v>
      </c>
      <c r="D1688" s="13" t="str">
        <f ca="1">IFERROR(__xludf.DUMMYFUNCTION("""COMPUTED_VALUE"""),"&lt;ruby&gt;明明&lt;rt&gt;míngmíng&lt;/rt&gt;&lt;/ruby&gt;")</f>
        <v>&lt;ruby&gt;明明&lt;rt&gt;míngmíng&lt;/rt&gt;&lt;/ruby&gt;</v>
      </c>
      <c r="E1688" s="13" t="str">
        <f ca="1">IFERROR(__xludf.DUMMYFUNCTION("""COMPUTED_VALUE"""),"míngmíng")</f>
        <v>míngmíng</v>
      </c>
      <c r="F1688" s="13" t="str">
        <f ca="1">IFERROR(__xludf.DUMMYFUNCTION("""COMPUTED_VALUE"""),"Phó từ")</f>
        <v>Phó từ</v>
      </c>
      <c r="G1688" s="13" t="str">
        <f ca="1">IFERROR(__xludf.DUMMYFUNCTION("""COMPUTED_VALUE"""),"rõ ràng, chắc chắn")</f>
        <v>rõ ràng, chắc chắn</v>
      </c>
      <c r="H1688" s="13" t="str">
        <f ca="1">IFERROR(__xludf.DUMMYFUNCTION("""COMPUTED_VALUE"""),"这明明是一本非常好的书。")</f>
        <v>这明明是一本非常好的书。</v>
      </c>
      <c r="I1688" s="13"/>
      <c r="J1688" s="13" t="str">
        <f ca="1">IFERROR(__xludf.DUMMYFUNCTION("""COMPUTED_VALUE"""),"Đây rõ ràng là một cuốn sách hay.")</f>
        <v>Đây rõ ràng là một cuốn sách hay.</v>
      </c>
      <c r="K1688" s="13" t="str">
        <f ca="1">IFERROR(__xludf.DUMMYFUNCTION("""COMPUTED_VALUE"""),"H5_B9_BG-34.png")</f>
        <v>H5_B9_BG-34.png</v>
      </c>
      <c r="L1688" s="13" t="str">
        <f ca="1">IFERROR(__xludf.DUMMYFUNCTION("""COMPUTED_VALUE"""),"B9_34.mp3")</f>
        <v>B9_34.mp3</v>
      </c>
      <c r="M1688" s="13" t="str">
        <f ca="1">IFERROR(__xludf.DUMMYFUNCTION("""COMPUTED_VALUE"""),"B9_VD_34.mp3")</f>
        <v>B9_VD_34.mp3</v>
      </c>
    </row>
    <row r="1689" spans="1:13">
      <c r="A1689" s="13">
        <f ca="1">IFERROR(__xludf.DUMMYFUNCTION("""COMPUTED_VALUE"""),35)</f>
        <v>35</v>
      </c>
      <c r="B1689" s="13"/>
      <c r="C1689" s="13" t="str">
        <f ca="1">IFERROR(__xludf.DUMMYFUNCTION("""COMPUTED_VALUE"""),"平均")</f>
        <v>平均</v>
      </c>
      <c r="D1689" s="13" t="str">
        <f ca="1">IFERROR(__xludf.DUMMYFUNCTION("""COMPUTED_VALUE"""),"&lt;ruby&gt;平均&lt;rt&gt;píngjūn&lt;/rt&gt;&lt;/ruby&gt;")</f>
        <v>&lt;ruby&gt;平均&lt;rt&gt;píngjūn&lt;/rt&gt;&lt;/ruby&gt;</v>
      </c>
      <c r="E1689" s="13" t="str">
        <f ca="1">IFERROR(__xludf.DUMMYFUNCTION("""COMPUTED_VALUE"""),"píngjūn")</f>
        <v>píngjūn</v>
      </c>
      <c r="F1689" s="13" t="str">
        <f ca="1">IFERROR(__xludf.DUMMYFUNCTION("""COMPUTED_VALUE"""),"Động từ")</f>
        <v>Động từ</v>
      </c>
      <c r="G1689" s="13" t="str">
        <f ca="1">IFERROR(__xludf.DUMMYFUNCTION("""COMPUTED_VALUE"""),"tính trung bình")</f>
        <v>tính trung bình</v>
      </c>
      <c r="H1689" s="13" t="str">
        <f ca="1">IFERROR(__xludf.DUMMYFUNCTION("""COMPUTED_VALUE"""),"今天的平均气温是20度。")</f>
        <v>今天的平均气温是20度。</v>
      </c>
      <c r="I1689" s="13"/>
      <c r="J1689" s="13" t="str">
        <f ca="1">IFERROR(__xludf.DUMMYFUNCTION("""COMPUTED_VALUE"""),"Nhiệt độ trung bình của hôm này là 20 độ.")</f>
        <v>Nhiệt độ trung bình của hôm này là 20 độ.</v>
      </c>
      <c r="K1689" s="13" t="str">
        <f ca="1">IFERROR(__xludf.DUMMYFUNCTION("""COMPUTED_VALUE"""),"H5_B9_BG-35.png")</f>
        <v>H5_B9_BG-35.png</v>
      </c>
      <c r="L1689" s="13" t="str">
        <f ca="1">IFERROR(__xludf.DUMMYFUNCTION("""COMPUTED_VALUE"""),"B9_35.mp3")</f>
        <v>B9_35.mp3</v>
      </c>
      <c r="M1689" s="13" t="str">
        <f ca="1">IFERROR(__xludf.DUMMYFUNCTION("""COMPUTED_VALUE"""),"B9_VD_35.mp3")</f>
        <v>B9_VD_35.mp3</v>
      </c>
    </row>
    <row r="1690" spans="1:13">
      <c r="A1690" s="13">
        <f ca="1">IFERROR(__xludf.DUMMYFUNCTION("""COMPUTED_VALUE"""),36)</f>
        <v>36</v>
      </c>
      <c r="B1690" s="13"/>
      <c r="C1690" s="13" t="str">
        <f ca="1">IFERROR(__xludf.DUMMYFUNCTION("""COMPUTED_VALUE"""),"算")</f>
        <v>算</v>
      </c>
      <c r="D1690" s="13" t="str">
        <f ca="1">IFERROR(__xludf.DUMMYFUNCTION("""COMPUTED_VALUE"""),"&lt;ruby&gt;算&lt;rt&gt;suàn&lt;/rt&gt;&lt;/ruby&gt;")</f>
        <v>&lt;ruby&gt;算&lt;rt&gt;suàn&lt;/rt&gt;&lt;/ruby&gt;</v>
      </c>
      <c r="E1690" s="13" t="str">
        <f ca="1">IFERROR(__xludf.DUMMYFUNCTION("""COMPUTED_VALUE"""),"suàn")</f>
        <v>suàn</v>
      </c>
      <c r="F1690" s="13" t="str">
        <f ca="1">IFERROR(__xludf.DUMMYFUNCTION("""COMPUTED_VALUE"""),"Động từ")</f>
        <v>Động từ</v>
      </c>
      <c r="G1690" s="13" t="str">
        <f ca="1">IFERROR(__xludf.DUMMYFUNCTION("""COMPUTED_VALUE"""),"coi là, xem là")</f>
        <v>coi là, xem là</v>
      </c>
      <c r="H1690" s="13" t="str">
        <f ca="1">IFERROR(__xludf.DUMMYFUNCTION("""COMPUTED_VALUE"""),"她算是我最好的朋友。")</f>
        <v>她算是我最好的朋友。</v>
      </c>
      <c r="I1690" s="13"/>
      <c r="J1690" s="13" t="str">
        <f ca="1">IFERROR(__xludf.DUMMYFUNCTION("""COMPUTED_VALUE"""),"Cô ấy coi như là bạn tốt của tôi.")</f>
        <v>Cô ấy coi như là bạn tốt của tôi.</v>
      </c>
      <c r="K1690" s="13" t="str">
        <f ca="1">IFERROR(__xludf.DUMMYFUNCTION("""COMPUTED_VALUE"""),"H5_B9_BG-36.png")</f>
        <v>H5_B9_BG-36.png</v>
      </c>
      <c r="L1690" s="13" t="str">
        <f ca="1">IFERROR(__xludf.DUMMYFUNCTION("""COMPUTED_VALUE"""),"B9_36.mp3")</f>
        <v>B9_36.mp3</v>
      </c>
      <c r="M1690" s="13" t="str">
        <f ca="1">IFERROR(__xludf.DUMMYFUNCTION("""COMPUTED_VALUE"""),"B9_VD_36.mp3")</f>
        <v>B9_VD_36.mp3</v>
      </c>
    </row>
    <row r="1691" spans="1:13">
      <c r="A1691" s="13">
        <f ca="1">IFERROR(__xludf.DUMMYFUNCTION("""COMPUTED_VALUE"""),37)</f>
        <v>37</v>
      </c>
      <c r="B1691" s="13"/>
      <c r="C1691" s="13" t="str">
        <f ca="1">IFERROR(__xludf.DUMMYFUNCTION("""COMPUTED_VALUE"""),"突出")</f>
        <v>突出</v>
      </c>
      <c r="D1691" s="13" t="str">
        <f ca="1">IFERROR(__xludf.DUMMYFUNCTION("""COMPUTED_VALUE"""),"&lt;ruby&gt;突出&lt;rt&gt;tūchū&lt;/rt&gt;&lt;/ruby&gt;")</f>
        <v>&lt;ruby&gt;突出&lt;rt&gt;tūchū&lt;/rt&gt;&lt;/ruby&gt;</v>
      </c>
      <c r="E1691" s="13" t="str">
        <f ca="1">IFERROR(__xludf.DUMMYFUNCTION("""COMPUTED_VALUE"""),"tūchū")</f>
        <v>tūchū</v>
      </c>
      <c r="F1691" s="13" t="str">
        <f ca="1">IFERROR(__xludf.DUMMYFUNCTION("""COMPUTED_VALUE"""),"Tính từ ")</f>
        <v xml:space="preserve">Tính từ </v>
      </c>
      <c r="G1691" s="13" t="str">
        <f ca="1">IFERROR(__xludf.DUMMYFUNCTION("""COMPUTED_VALUE"""),"nổi bật, nổi trội")</f>
        <v>nổi bật, nổi trội</v>
      </c>
      <c r="H1691" s="13" t="str">
        <f ca="1">IFERROR(__xludf.DUMMYFUNCTION("""COMPUTED_VALUE"""),"他的学习成绩非常突出。")</f>
        <v>他的学习成绩非常突出。</v>
      </c>
      <c r="I1691" s="13"/>
      <c r="J1691" s="13" t="str">
        <f ca="1">IFERROR(__xludf.DUMMYFUNCTION("""COMPUTED_VALUE"""),"Kết quả học tập của anh ấy rất nổi bật.")</f>
        <v>Kết quả học tập của anh ấy rất nổi bật.</v>
      </c>
      <c r="K1691" s="13" t="str">
        <f ca="1">IFERROR(__xludf.DUMMYFUNCTION("""COMPUTED_VALUE"""),"H5_B9_BG-37.png")</f>
        <v>H5_B9_BG-37.png</v>
      </c>
      <c r="L1691" s="13" t="str">
        <f ca="1">IFERROR(__xludf.DUMMYFUNCTION("""COMPUTED_VALUE"""),"B9_37.mp3")</f>
        <v>B9_37.mp3</v>
      </c>
      <c r="M1691" s="13" t="str">
        <f ca="1">IFERROR(__xludf.DUMMYFUNCTION("""COMPUTED_VALUE"""),"B9_VD_37.mp3")</f>
        <v>B9_VD_37.mp3</v>
      </c>
    </row>
    <row r="1692" spans="1:13">
      <c r="A1692" s="13">
        <f ca="1">IFERROR(__xludf.DUMMYFUNCTION("""COMPUTED_VALUE"""),38)</f>
        <v>38</v>
      </c>
      <c r="B1692" s="13"/>
      <c r="C1692" s="13" t="str">
        <f ca="1">IFERROR(__xludf.DUMMYFUNCTION("""COMPUTED_VALUE"""),"作为")</f>
        <v>作为</v>
      </c>
      <c r="D1692" s="13" t="str">
        <f ca="1">IFERROR(__xludf.DUMMYFUNCTION("""COMPUTED_VALUE"""),"&lt;ruby&gt;作为&lt;rt&gt;zuòwéi&lt;/rt&gt;&lt;/ruby&gt;")</f>
        <v>&lt;ruby&gt;作为&lt;rt&gt;zuòwéi&lt;/rt&gt;&lt;/ruby&gt;</v>
      </c>
      <c r="E1692" s="13" t="str">
        <f ca="1">IFERROR(__xludf.DUMMYFUNCTION("""COMPUTED_VALUE"""),"zuòwéi")</f>
        <v>zuòwéi</v>
      </c>
      <c r="F1692" s="13" t="str">
        <f ca="1">IFERROR(__xludf.DUMMYFUNCTION("""COMPUTED_VALUE"""),"Động từ/Giới từ ")</f>
        <v xml:space="preserve">Động từ/Giới từ </v>
      </c>
      <c r="G1692" s="13" t="str">
        <f ca="1">IFERROR(__xludf.DUMMYFUNCTION("""COMPUTED_VALUE"""),"coi như; với tư cách")</f>
        <v>coi như; với tư cách</v>
      </c>
      <c r="H1692" s="13" t="str">
        <f ca="1">IFERROR(__xludf.DUMMYFUNCTION("""COMPUTED_VALUE"""),"作为医生，她救了很多人。")</f>
        <v>作为医生，她救了很多人。</v>
      </c>
      <c r="I1692" s="13"/>
      <c r="J1692" s="13" t="str">
        <f ca="1">IFERROR(__xludf.DUMMYFUNCTION("""COMPUTED_VALUE"""),"Với tư cách là bác sĩ, cô ấy đã cứu được nhiều người.")</f>
        <v>Với tư cách là bác sĩ, cô ấy đã cứu được nhiều người.</v>
      </c>
      <c r="K1692" s="13" t="str">
        <f ca="1">IFERROR(__xludf.DUMMYFUNCTION("""COMPUTED_VALUE"""),"H5_B9_BG-38.png")</f>
        <v>H5_B9_BG-38.png</v>
      </c>
      <c r="L1692" s="13" t="str">
        <f ca="1">IFERROR(__xludf.DUMMYFUNCTION("""COMPUTED_VALUE"""),"B9_38.mp3")</f>
        <v>B9_38.mp3</v>
      </c>
      <c r="M1692" s="13" t="str">
        <f ca="1">IFERROR(__xludf.DUMMYFUNCTION("""COMPUTED_VALUE"""),"B9_VD_38.mp3")</f>
        <v>B9_VD_38.mp3</v>
      </c>
    </row>
    <row r="1693" spans="1:13">
      <c r="A1693" s="13">
        <f ca="1">IFERROR(__xludf.DUMMYFUNCTION("""COMPUTED_VALUE"""),1)</f>
        <v>1</v>
      </c>
      <c r="B1693" s="13"/>
      <c r="C1693" s="13" t="str">
        <f ca="1">IFERROR(__xludf.DUMMYFUNCTION("""COMPUTED_VALUE"""),"操场")</f>
        <v>操场</v>
      </c>
      <c r="D1693" s="13" t="str">
        <f ca="1">IFERROR(__xludf.DUMMYFUNCTION("""COMPUTED_VALUE"""),"&lt;ruby&gt;操场&lt;rt&gt;cāochǎng&lt;/rt&gt;&lt;/ruby&gt;")</f>
        <v>&lt;ruby&gt;操场&lt;rt&gt;cāochǎng&lt;/rt&gt;&lt;/ruby&gt;</v>
      </c>
      <c r="E1693" s="13" t="str">
        <f ca="1">IFERROR(__xludf.DUMMYFUNCTION("""COMPUTED_VALUE"""),"cāochǎng")</f>
        <v>cāochǎng</v>
      </c>
      <c r="F1693" s="13" t="str">
        <f ca="1">IFERROR(__xludf.DUMMYFUNCTION("""COMPUTED_VALUE"""),"Danh từ")</f>
        <v>Danh từ</v>
      </c>
      <c r="G1693" s="13" t="str">
        <f ca="1">IFERROR(__xludf.DUMMYFUNCTION("""COMPUTED_VALUE"""),"sân thể thao, bãi tập")</f>
        <v>sân thể thao, bãi tập</v>
      </c>
      <c r="H1693" s="13" t="str">
        <f ca="1">IFERROR(__xludf.DUMMYFUNCTION("""COMPUTED_VALUE"""),"放学后，我经常在操场上打篮球。")</f>
        <v>放学后，我经常在操场上打篮球。</v>
      </c>
      <c r="I1693" s="13"/>
      <c r="J1693" s="13" t="str">
        <f ca="1">IFERROR(__xludf.DUMMYFUNCTION("""COMPUTED_VALUE"""),"Sau giờ học, tôi thường chơi bóng rổ trên sân thể thao.")</f>
        <v>Sau giờ học, tôi thường chơi bóng rổ trên sân thể thao.</v>
      </c>
      <c r="K1693" s="13" t="str">
        <f ca="1">IFERROR(__xludf.DUMMYFUNCTION("""COMPUTED_VALUE"""),"H5_B10_BG-01.png")</f>
        <v>H5_B10_BG-01.png</v>
      </c>
      <c r="L1693" s="13" t="str">
        <f ca="1">IFERROR(__xludf.DUMMYFUNCTION("""COMPUTED_VALUE"""),"B10_1.mp3")</f>
        <v>B10_1.mp3</v>
      </c>
      <c r="M1693" s="13" t="str">
        <f ca="1">IFERROR(__xludf.DUMMYFUNCTION("""COMPUTED_VALUE"""),"B10_VD_1.mp3")</f>
        <v>B10_VD_1.mp3</v>
      </c>
    </row>
    <row r="1694" spans="1:13">
      <c r="A1694" s="13">
        <f ca="1">IFERROR(__xludf.DUMMYFUNCTION("""COMPUTED_VALUE"""),2)</f>
        <v>2</v>
      </c>
      <c r="B1694" s="13"/>
      <c r="C1694" s="13" t="str">
        <f ca="1">IFERROR(__xludf.DUMMYFUNCTION("""COMPUTED_VALUE"""),"差距")</f>
        <v>差距</v>
      </c>
      <c r="D1694" s="13" t="str">
        <f ca="1">IFERROR(__xludf.DUMMYFUNCTION("""COMPUTED_VALUE"""),"&lt;ruby&gt;差距&lt;rt&gt;chājù&lt;/rt&gt;&lt;/ruby&gt;")</f>
        <v>&lt;ruby&gt;差距&lt;rt&gt;chājù&lt;/rt&gt;&lt;/ruby&gt;</v>
      </c>
      <c r="E1694" s="13" t="str">
        <f ca="1">IFERROR(__xludf.DUMMYFUNCTION("""COMPUTED_VALUE"""),"chājù")</f>
        <v>chājù</v>
      </c>
      <c r="F1694" s="13" t="str">
        <f ca="1">IFERROR(__xludf.DUMMYFUNCTION("""COMPUTED_VALUE"""),"Danh từ")</f>
        <v>Danh từ</v>
      </c>
      <c r="G1694" s="13" t="str">
        <f ca="1">IFERROR(__xludf.DUMMYFUNCTION("""COMPUTED_VALUE"""),"sự chênh lệch, sự khác nhau")</f>
        <v>sự chênh lệch, sự khác nhau</v>
      </c>
      <c r="H1694" s="13" t="str">
        <f ca="1">IFERROR(__xludf.DUMMYFUNCTION("""COMPUTED_VALUE"""),"他和我的分数差距很小。")</f>
        <v>他和我的分数差距很小。</v>
      </c>
      <c r="I1694" s="13"/>
      <c r="J1694" s="13" t="str">
        <f ca="1">IFERROR(__xludf.DUMMYFUNCTION("""COMPUTED_VALUE"""),"Điểm của anh ấy và của tôi chênh lệch rất nhỏ.")</f>
        <v>Điểm của anh ấy và của tôi chênh lệch rất nhỏ.</v>
      </c>
      <c r="K1694" s="13" t="str">
        <f ca="1">IFERROR(__xludf.DUMMYFUNCTION("""COMPUTED_VALUE"""),"H5_B10_BG-02.png")</f>
        <v>H5_B10_BG-02.png</v>
      </c>
      <c r="L1694" s="13" t="str">
        <f ca="1">IFERROR(__xludf.DUMMYFUNCTION("""COMPUTED_VALUE"""),"B10_2.mp3")</f>
        <v>B10_2.mp3</v>
      </c>
      <c r="M1694" s="13" t="str">
        <f ca="1">IFERROR(__xludf.DUMMYFUNCTION("""COMPUTED_VALUE"""),"B10_VD_2.mp3")</f>
        <v>B10_VD_2.mp3</v>
      </c>
    </row>
    <row r="1695" spans="1:13">
      <c r="A1695" s="13">
        <f ca="1">IFERROR(__xludf.DUMMYFUNCTION("""COMPUTED_VALUE"""),3)</f>
        <v>3</v>
      </c>
      <c r="B1695" s="13"/>
      <c r="C1695" s="13" t="str">
        <f ca="1">IFERROR(__xludf.DUMMYFUNCTION("""COMPUTED_VALUE"""),"插")</f>
        <v>插</v>
      </c>
      <c r="D1695" s="13" t="str">
        <f ca="1">IFERROR(__xludf.DUMMYFUNCTION("""COMPUTED_VALUE"""),"&lt;ruby&gt;插&lt;rt&gt;chā&lt;/rt&gt;&lt;/ruby&gt;")</f>
        <v>&lt;ruby&gt;插&lt;rt&gt;chā&lt;/rt&gt;&lt;/ruby&gt;</v>
      </c>
      <c r="E1695" s="13" t="str">
        <f ca="1">IFERROR(__xludf.DUMMYFUNCTION("""COMPUTED_VALUE"""),"chā")</f>
        <v>chā</v>
      </c>
      <c r="F1695" s="13" t="str">
        <f ca="1">IFERROR(__xludf.DUMMYFUNCTION("""COMPUTED_VALUE"""),"Động từ")</f>
        <v>Động từ</v>
      </c>
      <c r="G1695" s="13" t="str">
        <f ca="1">IFERROR(__xludf.DUMMYFUNCTION("""COMPUTED_VALUE"""),"cắm (vào)")</f>
        <v>cắm (vào)</v>
      </c>
      <c r="H1695" s="13" t="str">
        <f ca="1">IFERROR(__xludf.DUMMYFUNCTION("""COMPUTED_VALUE"""),"她正在欣赏自己刚插好的花瓶。")</f>
        <v>她正在欣赏自己刚插好的花瓶。</v>
      </c>
      <c r="I1695" s="13"/>
      <c r="J1695" s="13" t="str">
        <f ca="1">IFERROR(__xludf.DUMMYFUNCTION("""COMPUTED_VALUE"""),"Cô ấy đang ngồi ngắm lọ hoa mình vừa cắm xong.")</f>
        <v>Cô ấy đang ngồi ngắm lọ hoa mình vừa cắm xong.</v>
      </c>
      <c r="K1695" s="13" t="str">
        <f ca="1">IFERROR(__xludf.DUMMYFUNCTION("""COMPUTED_VALUE"""),"H5_B10_BG-03.png")</f>
        <v>H5_B10_BG-03.png</v>
      </c>
      <c r="L1695" s="13" t="str">
        <f ca="1">IFERROR(__xludf.DUMMYFUNCTION("""COMPUTED_VALUE"""),"B10_3.mp3")</f>
        <v>B10_3.mp3</v>
      </c>
      <c r="M1695" s="13" t="str">
        <f ca="1">IFERROR(__xludf.DUMMYFUNCTION("""COMPUTED_VALUE"""),"B10_VD_3.mp3")</f>
        <v>B10_VD_3.mp3</v>
      </c>
    </row>
    <row r="1696" spans="1:13">
      <c r="A1696" s="13">
        <f ca="1">IFERROR(__xludf.DUMMYFUNCTION("""COMPUTED_VALUE"""),4)</f>
        <v>4</v>
      </c>
      <c r="B1696" s="13"/>
      <c r="C1696" s="13" t="str">
        <f ca="1">IFERROR(__xludf.DUMMYFUNCTION("""COMPUTED_VALUE"""),"艰苦")</f>
        <v>艰苦</v>
      </c>
      <c r="D1696" s="13" t="str">
        <f ca="1">IFERROR(__xludf.DUMMYFUNCTION("""COMPUTED_VALUE"""),"&lt;ruby&gt;艰苦&lt;rt&gt;jiānkǔ&lt;/rt&gt;&lt;/ruby&gt;")</f>
        <v>&lt;ruby&gt;艰苦&lt;rt&gt;jiānkǔ&lt;/rt&gt;&lt;/ruby&gt;</v>
      </c>
      <c r="E1696" s="13" t="str">
        <f ca="1">IFERROR(__xludf.DUMMYFUNCTION("""COMPUTED_VALUE"""),"jiānkǔ")</f>
        <v>jiānkǔ</v>
      </c>
      <c r="F1696" s="13" t="str">
        <f ca="1">IFERROR(__xludf.DUMMYFUNCTION("""COMPUTED_VALUE"""),"Tính từ ")</f>
        <v xml:space="preserve">Tính từ </v>
      </c>
      <c r="G1696" s="13" t="str">
        <f ca="1">IFERROR(__xludf.DUMMYFUNCTION("""COMPUTED_VALUE"""),"gian khổ")</f>
        <v>gian khổ</v>
      </c>
      <c r="H1696" s="13" t="str">
        <f ca="1">IFERROR(__xludf.DUMMYFUNCTION("""COMPUTED_VALUE"""),"这个男孩过着艰苦的生活。")</f>
        <v>这个男孩过着艰苦的生活。</v>
      </c>
      <c r="I1696" s="13"/>
      <c r="J1696" s="13" t="str">
        <f ca="1">IFERROR(__xludf.DUMMYFUNCTION("""COMPUTED_VALUE"""),"Cậu bé này sống một cuộc sống gian khổ.")</f>
        <v>Cậu bé này sống một cuộc sống gian khổ.</v>
      </c>
      <c r="K1696" s="13" t="str">
        <f ca="1">IFERROR(__xludf.DUMMYFUNCTION("""COMPUTED_VALUE"""),"H5_B10_BG-04.png")</f>
        <v>H5_B10_BG-04.png</v>
      </c>
      <c r="L1696" s="13" t="str">
        <f ca="1">IFERROR(__xludf.DUMMYFUNCTION("""COMPUTED_VALUE"""),"B10_4.mp3")</f>
        <v>B10_4.mp3</v>
      </c>
      <c r="M1696" s="13" t="str">
        <f ca="1">IFERROR(__xludf.DUMMYFUNCTION("""COMPUTED_VALUE"""),"B10_VD_4.mp3")</f>
        <v>B10_VD_4.mp3</v>
      </c>
    </row>
    <row r="1697" spans="1:13">
      <c r="A1697" s="13">
        <f ca="1">IFERROR(__xludf.DUMMYFUNCTION("""COMPUTED_VALUE"""),5)</f>
        <v>5</v>
      </c>
      <c r="B1697" s="13"/>
      <c r="C1697" s="13" t="str">
        <f ca="1">IFERROR(__xludf.DUMMYFUNCTION("""COMPUTED_VALUE"""),"始终")</f>
        <v>始终</v>
      </c>
      <c r="D1697" s="13" t="str">
        <f ca="1">IFERROR(__xludf.DUMMYFUNCTION("""COMPUTED_VALUE"""),"&lt;ruby&gt;始终&lt;rt&gt;shǐzhōng&lt;/rt&gt;&lt;/ruby&gt;")</f>
        <v>&lt;ruby&gt;始终&lt;rt&gt;shǐzhōng&lt;/rt&gt;&lt;/ruby&gt;</v>
      </c>
      <c r="E1697" s="13" t="str">
        <f ca="1">IFERROR(__xludf.DUMMYFUNCTION("""COMPUTED_VALUE"""),"shǐzhōng")</f>
        <v>shǐzhōng</v>
      </c>
      <c r="F1697" s="13" t="str">
        <f ca="1">IFERROR(__xludf.DUMMYFUNCTION("""COMPUTED_VALUE"""),"Phó từ")</f>
        <v>Phó từ</v>
      </c>
      <c r="G1697" s="13" t="str">
        <f ca="1">IFERROR(__xludf.DUMMYFUNCTION("""COMPUTED_VALUE"""),"từ đầu đến cuối")</f>
        <v>từ đầu đến cuối</v>
      </c>
      <c r="H1697" s="13" t="str">
        <f ca="1">IFERROR(__xludf.DUMMYFUNCTION("""COMPUTED_VALUE""")," 她始终对我很友好。")</f>
        <v xml:space="preserve"> 她始终对我很友好。</v>
      </c>
      <c r="I1697" s="13"/>
      <c r="J1697" s="13" t="str">
        <f ca="1">IFERROR(__xludf.DUMMYFUNCTION("""COMPUTED_VALUE"""),"Cô ấy từ đầu đến cuối luôn rất thân thiện với tôi.")</f>
        <v>Cô ấy từ đầu đến cuối luôn rất thân thiện với tôi.</v>
      </c>
      <c r="K1697" s="13" t="str">
        <f ca="1">IFERROR(__xludf.DUMMYFUNCTION("""COMPUTED_VALUE"""),"H5_B10_BG-05.png")</f>
        <v>H5_B10_BG-05.png</v>
      </c>
      <c r="L1697" s="13" t="str">
        <f ca="1">IFERROR(__xludf.DUMMYFUNCTION("""COMPUTED_VALUE"""),"B10_5.mp3")</f>
        <v>B10_5.mp3</v>
      </c>
      <c r="M1697" s="13" t="str">
        <f ca="1">IFERROR(__xludf.DUMMYFUNCTION("""COMPUTED_VALUE"""),"B10_VD_5.mp3")</f>
        <v>B10_VD_5.mp3</v>
      </c>
    </row>
    <row r="1698" spans="1:13">
      <c r="A1698" s="13">
        <f ca="1">IFERROR(__xludf.DUMMYFUNCTION("""COMPUTED_VALUE"""),6)</f>
        <v>6</v>
      </c>
      <c r="B1698" s="13"/>
      <c r="C1698" s="13" t="str">
        <f ca="1">IFERROR(__xludf.DUMMYFUNCTION("""COMPUTED_VALUE"""),"说服")</f>
        <v>说服</v>
      </c>
      <c r="D1698" s="13" t="str">
        <f ca="1">IFERROR(__xludf.DUMMYFUNCTION("""COMPUTED_VALUE"""),"&lt;ruby&gt;说服&lt;rt&gt;shuōfú&lt;/rt&gt;&lt;/ruby&gt;")</f>
        <v>&lt;ruby&gt;说服&lt;rt&gt;shuōfú&lt;/rt&gt;&lt;/ruby&gt;</v>
      </c>
      <c r="E1698" s="13" t="str">
        <f ca="1">IFERROR(__xludf.DUMMYFUNCTION("""COMPUTED_VALUE"""),"shuōfú")</f>
        <v>shuōfú</v>
      </c>
      <c r="F1698" s="13" t="str">
        <f ca="1">IFERROR(__xludf.DUMMYFUNCTION("""COMPUTED_VALUE"""),"Động từ ")</f>
        <v xml:space="preserve">Động từ </v>
      </c>
      <c r="G1698" s="13" t="str">
        <f ca="1">IFERROR(__xludf.DUMMYFUNCTION("""COMPUTED_VALUE"""),"thuyết phục")</f>
        <v>thuyết phục</v>
      </c>
      <c r="H1698" s="13" t="str">
        <f ca="1">IFERROR(__xludf.DUMMYFUNCTION("""COMPUTED_VALUE"""),"我说服了妈妈给我买一辆自行车。")</f>
        <v>我说服了妈妈给我买一辆自行车。</v>
      </c>
      <c r="I1698" s="13"/>
      <c r="J1698" s="13" t="str">
        <f ca="1">IFERROR(__xludf.DUMMYFUNCTION("""COMPUTED_VALUE"""),"Tôi đã thuyết phục mẹ mua cho mình một chiếc xe đạp")</f>
        <v>Tôi đã thuyết phục mẹ mua cho mình một chiếc xe đạp</v>
      </c>
      <c r="K1698" s="13" t="str">
        <f ca="1">IFERROR(__xludf.DUMMYFUNCTION("""COMPUTED_VALUE"""),"H5_B10_BG-06.png")</f>
        <v>H5_B10_BG-06.png</v>
      </c>
      <c r="L1698" s="13" t="str">
        <f ca="1">IFERROR(__xludf.DUMMYFUNCTION("""COMPUTED_VALUE"""),"B10_6.mp3")</f>
        <v>B10_6.mp3</v>
      </c>
      <c r="M1698" s="13" t="str">
        <f ca="1">IFERROR(__xludf.DUMMYFUNCTION("""COMPUTED_VALUE"""),"B10_VD_6.mp3")</f>
        <v>B10_VD_6.mp3</v>
      </c>
    </row>
    <row r="1699" spans="1:13">
      <c r="A1699" s="13">
        <f ca="1">IFERROR(__xludf.DUMMYFUNCTION("""COMPUTED_VALUE"""),7)</f>
        <v>7</v>
      </c>
      <c r="B1699" s="13"/>
      <c r="C1699" s="13" t="str">
        <f ca="1">IFERROR(__xludf.DUMMYFUNCTION("""COMPUTED_VALUE"""),"兄弟")</f>
        <v>兄弟</v>
      </c>
      <c r="D1699" s="13" t="str">
        <f ca="1">IFERROR(__xludf.DUMMYFUNCTION("""COMPUTED_VALUE"""),"&lt;ruby&gt;兄弟&lt;rt&gt;xiōngdi&lt;/rt&gt;&lt;/ruby&gt;")</f>
        <v>&lt;ruby&gt;兄弟&lt;rt&gt;xiōngdi&lt;/rt&gt;&lt;/ruby&gt;</v>
      </c>
      <c r="E1699" s="13" t="str">
        <f ca="1">IFERROR(__xludf.DUMMYFUNCTION("""COMPUTED_VALUE"""),"xiōngdi")</f>
        <v>xiōngdi</v>
      </c>
      <c r="F1699" s="13" t="str">
        <f ca="1">IFERROR(__xludf.DUMMYFUNCTION("""COMPUTED_VALUE"""),"Danh từ")</f>
        <v>Danh từ</v>
      </c>
      <c r="G1699" s="13" t="str">
        <f ca="1">IFERROR(__xludf.DUMMYFUNCTION("""COMPUTED_VALUE"""),"anh em trai")</f>
        <v>anh em trai</v>
      </c>
      <c r="H1699" s="13" t="str">
        <f ca="1">IFERROR(__xludf.DUMMYFUNCTION("""COMPUTED_VALUE"""),"我和我的兄弟一起长大。")</f>
        <v>我和我的兄弟一起长大。</v>
      </c>
      <c r="I1699" s="13"/>
      <c r="J1699" s="13" t="str">
        <f ca="1">IFERROR(__xludf.DUMMYFUNCTION("""COMPUTED_VALUE"""),"Hai anh em tôi đã lớn lên cùng nhau.")</f>
        <v>Hai anh em tôi đã lớn lên cùng nhau.</v>
      </c>
      <c r="K1699" s="13" t="str">
        <f ca="1">IFERROR(__xludf.DUMMYFUNCTION("""COMPUTED_VALUE"""),"H5_B10_BG-07.png")</f>
        <v>H5_B10_BG-07.png</v>
      </c>
      <c r="L1699" s="13" t="str">
        <f ca="1">IFERROR(__xludf.DUMMYFUNCTION("""COMPUTED_VALUE"""),"B10_7.mp3")</f>
        <v>B10_7.mp3</v>
      </c>
      <c r="M1699" s="13" t="str">
        <f ca="1">IFERROR(__xludf.DUMMYFUNCTION("""COMPUTED_VALUE"""),"B10_VD_7.mp3")</f>
        <v>B10_VD_7.mp3</v>
      </c>
    </row>
    <row r="1700" spans="1:13">
      <c r="A1700" s="13">
        <f ca="1">IFERROR(__xludf.DUMMYFUNCTION("""COMPUTED_VALUE"""),8)</f>
        <v>8</v>
      </c>
      <c r="B1700" s="13"/>
      <c r="C1700" s="13" t="str">
        <f ca="1">IFERROR(__xludf.DUMMYFUNCTION("""COMPUTED_VALUE"""),"争论")</f>
        <v>争论</v>
      </c>
      <c r="D1700" s="13" t="str">
        <f ca="1">IFERROR(__xludf.DUMMYFUNCTION("""COMPUTED_VALUE"""),"&lt;ruby&gt;争论&lt;rt&gt;zhēnglùn&lt;/rt&gt;&lt;/ruby&gt;")</f>
        <v>&lt;ruby&gt;争论&lt;rt&gt;zhēnglùn&lt;/rt&gt;&lt;/ruby&gt;</v>
      </c>
      <c r="E1700" s="13" t="str">
        <f ca="1">IFERROR(__xludf.DUMMYFUNCTION("""COMPUTED_VALUE"""),"zhēnglùn")</f>
        <v>zhēnglùn</v>
      </c>
      <c r="F1700" s="13" t="str">
        <f ca="1">IFERROR(__xludf.DUMMYFUNCTION("""COMPUTED_VALUE"""),"Động từ")</f>
        <v>Động từ</v>
      </c>
      <c r="G1700" s="13" t="str">
        <f ca="1">IFERROR(__xludf.DUMMYFUNCTION("""COMPUTED_VALUE"""),"tranh luận")</f>
        <v>tranh luận</v>
      </c>
      <c r="H1700" s="13" t="str">
        <f ca="1">IFERROR(__xludf.DUMMYFUNCTION("""COMPUTED_VALUE"""),"我们在小组讨论中争论了很久。")</f>
        <v>我们在小组讨论中争论了很久。</v>
      </c>
      <c r="I1700" s="13"/>
      <c r="J1700" s="13" t="str">
        <f ca="1">IFERROR(__xludf.DUMMYFUNCTION("""COMPUTED_VALUE"""),"Chúng tôi đã tranh luận rất lâu trong giờ học nhóm.")</f>
        <v>Chúng tôi đã tranh luận rất lâu trong giờ học nhóm.</v>
      </c>
      <c r="K1700" s="13" t="str">
        <f ca="1">IFERROR(__xludf.DUMMYFUNCTION("""COMPUTED_VALUE"""),"H5_B10_BG-08.png")</f>
        <v>H5_B10_BG-08.png</v>
      </c>
      <c r="L1700" s="13" t="str">
        <f ca="1">IFERROR(__xludf.DUMMYFUNCTION("""COMPUTED_VALUE"""),"B10_8.mp3")</f>
        <v>B10_8.mp3</v>
      </c>
      <c r="M1700" s="13" t="str">
        <f ca="1">IFERROR(__xludf.DUMMYFUNCTION("""COMPUTED_VALUE"""),"B10_VD_8.mp3")</f>
        <v>B10_VD_8.mp3</v>
      </c>
    </row>
    <row r="1701" spans="1:13">
      <c r="A1701" s="13">
        <f ca="1">IFERROR(__xludf.DUMMYFUNCTION("""COMPUTED_VALUE"""),9)</f>
        <v>9</v>
      </c>
      <c r="B1701" s="13"/>
      <c r="C1701" s="13" t="str">
        <f ca="1">IFERROR(__xludf.DUMMYFUNCTION("""COMPUTED_VALUE"""),"逐渐")</f>
        <v>逐渐</v>
      </c>
      <c r="D1701" s="13" t="str">
        <f ca="1">IFERROR(__xludf.DUMMYFUNCTION("""COMPUTED_VALUE"""),"&lt;ruby&gt;逐渐&lt;rt&gt;zhújiàn&lt;/rt&gt;&lt;/ruby&gt;")</f>
        <v>&lt;ruby&gt;逐渐&lt;rt&gt;zhújiàn&lt;/rt&gt;&lt;/ruby&gt;</v>
      </c>
      <c r="E1701" s="13" t="str">
        <f ca="1">IFERROR(__xludf.DUMMYFUNCTION("""COMPUTED_VALUE"""),"zhújiàn")</f>
        <v>zhújiàn</v>
      </c>
      <c r="F1701" s="13" t="str">
        <f ca="1">IFERROR(__xludf.DUMMYFUNCTION("""COMPUTED_VALUE"""),"Phó từ")</f>
        <v>Phó từ</v>
      </c>
      <c r="G1701" s="13" t="str">
        <f ca="1">IFERROR(__xludf.DUMMYFUNCTION("""COMPUTED_VALUE"""),"dần dần")</f>
        <v>dần dần</v>
      </c>
      <c r="H1701" s="13" t="str">
        <f ca="1">IFERROR(__xludf.DUMMYFUNCTION("""COMPUTED_VALUE"""),"天色逐渐暗了下来。")</f>
        <v>天色逐渐暗了下来。</v>
      </c>
      <c r="I1701" s="13"/>
      <c r="J1701" s="13" t="str">
        <f ca="1">IFERROR(__xludf.DUMMYFUNCTION("""COMPUTED_VALUE"""),"Trời dần dần tối lại.")</f>
        <v>Trời dần dần tối lại.</v>
      </c>
      <c r="K1701" s="13" t="str">
        <f ca="1">IFERROR(__xludf.DUMMYFUNCTION("""COMPUTED_VALUE"""),"H5_B10_BG-09.png")</f>
        <v>H5_B10_BG-09.png</v>
      </c>
      <c r="L1701" s="13" t="str">
        <f ca="1">IFERROR(__xludf.DUMMYFUNCTION("""COMPUTED_VALUE"""),"B10_9.mp3")</f>
        <v>B10_9.mp3</v>
      </c>
      <c r="M1701" s="13" t="str">
        <f ca="1">IFERROR(__xludf.DUMMYFUNCTION("""COMPUTED_VALUE"""),"B10_VD_9.mp3")</f>
        <v>B10_VD_9.mp3</v>
      </c>
    </row>
    <row r="1702" spans="1:13">
      <c r="A1702" s="13">
        <f ca="1">IFERROR(__xludf.DUMMYFUNCTION("""COMPUTED_VALUE"""),10)</f>
        <v>10</v>
      </c>
      <c r="B1702" s="13"/>
      <c r="C1702" s="13" t="str">
        <f ca="1">IFERROR(__xludf.DUMMYFUNCTION("""COMPUTED_VALUE"""),"奔跑")</f>
        <v>奔跑</v>
      </c>
      <c r="D1702" s="13" t="str">
        <f ca="1">IFERROR(__xludf.DUMMYFUNCTION("""COMPUTED_VALUE"""),"&lt;ruby&gt;奔跑&lt;rt&gt;bēnpǎo&lt;/rt&gt;&lt;/ruby&gt;")</f>
        <v>&lt;ruby&gt;奔跑&lt;rt&gt;bēnpǎo&lt;/rt&gt;&lt;/ruby&gt;</v>
      </c>
      <c r="E1702" s="13" t="str">
        <f ca="1">IFERROR(__xludf.DUMMYFUNCTION("""COMPUTED_VALUE"""),"bēnpǎo")</f>
        <v>bēnpǎo</v>
      </c>
      <c r="F1702" s="13" t="str">
        <f ca="1">IFERROR(__xludf.DUMMYFUNCTION("""COMPUTED_VALUE"""),"Động từ")</f>
        <v>Động từ</v>
      </c>
      <c r="G1702" s="13" t="str">
        <f ca="1">IFERROR(__xludf.DUMMYFUNCTION("""COMPUTED_VALUE"""),"chạy nhanh")</f>
        <v>chạy nhanh</v>
      </c>
      <c r="H1702" s="13" t="str">
        <f ca="1">IFERROR(__xludf.DUMMYFUNCTION("""COMPUTED_VALUE"""),"他奔跑得像一阵风一样。")</f>
        <v>他奔跑得像一阵风一样。</v>
      </c>
      <c r="I1702" s="13"/>
      <c r="J1702" s="13" t="str">
        <f ca="1">IFERROR(__xludf.DUMMYFUNCTION("""COMPUTED_VALUE"""),"Anh ấy chạy nhanh như một cơn gió")</f>
        <v>Anh ấy chạy nhanh như một cơn gió</v>
      </c>
      <c r="K1702" s="13" t="str">
        <f ca="1">IFERROR(__xludf.DUMMYFUNCTION("""COMPUTED_VALUE"""),"H5_B10_BG-10.png")</f>
        <v>H5_B10_BG-10.png</v>
      </c>
      <c r="L1702" s="13" t="str">
        <f ca="1">IFERROR(__xludf.DUMMYFUNCTION("""COMPUTED_VALUE"""),"B10_10.mp3")</f>
        <v>B10_10.mp3</v>
      </c>
      <c r="M1702" s="13" t="str">
        <f ca="1">IFERROR(__xludf.DUMMYFUNCTION("""COMPUTED_VALUE"""),"B10_VD_10.mp3")</f>
        <v>B10_VD_10.mp3</v>
      </c>
    </row>
    <row r="1703" spans="1:13">
      <c r="A1703" s="13">
        <f ca="1">IFERROR(__xludf.DUMMYFUNCTION("""COMPUTED_VALUE"""),11)</f>
        <v>11</v>
      </c>
      <c r="B1703" s="13"/>
      <c r="C1703" s="13" t="str">
        <f ca="1">IFERROR(__xludf.DUMMYFUNCTION("""COMPUTED_VALUE"""),"啦")</f>
        <v>啦</v>
      </c>
      <c r="D1703" s="13" t="str">
        <f ca="1">IFERROR(__xludf.DUMMYFUNCTION("""COMPUTED_VALUE"""),"&lt;ruby&gt;啦&lt;rt&gt;la&lt;/rt&gt;&lt;/ruby&gt;")</f>
        <v>&lt;ruby&gt;啦&lt;rt&gt;la&lt;/rt&gt;&lt;/ruby&gt;</v>
      </c>
      <c r="E1703" s="13" t="str">
        <f ca="1">IFERROR(__xludf.DUMMYFUNCTION("""COMPUTED_VALUE"""),"la")</f>
        <v>la</v>
      </c>
      <c r="F1703" s="13" t="str">
        <f ca="1">IFERROR(__xludf.DUMMYFUNCTION("""COMPUTED_VALUE"""),"Trợ từ ")</f>
        <v xml:space="preserve">Trợ từ </v>
      </c>
      <c r="G1703" s="13" t="str">
        <f ca="1">IFERROR(__xludf.DUMMYFUNCTION("""COMPUTED_VALUE"""),"(là hợp âm của ""了 (le)"" và ""啊 (a)"", biểu thị sự cảm thán, sự chất vấn...) đấy, à, nhé")</f>
        <v>(là hợp âm của "了 (le)" và "啊 (a)", biểu thị sự cảm thán, sự chất vấn...) đấy, à, nhé</v>
      </c>
      <c r="H1703" s="13" t="str">
        <f ca="1">IFERROR(__xludf.DUMMYFUNCTION("""COMPUTED_VALUE"""),"我们都准备好了，快出发啦！")</f>
        <v>我们都准备好了，快出发啦！</v>
      </c>
      <c r="I1703" s="13"/>
      <c r="J1703" s="13" t="str">
        <f ca="1">IFERROR(__xludf.DUMMYFUNCTION("""COMPUTED_VALUE"""),"Tất cả chúng ta chuẩn bị xong rồi, đi thôi nào.")</f>
        <v>Tất cả chúng ta chuẩn bị xong rồi, đi thôi nào.</v>
      </c>
      <c r="K1703" s="13" t="str">
        <f ca="1">IFERROR(__xludf.DUMMYFUNCTION("""COMPUTED_VALUE"""),"H5_B10_BG-11.png")</f>
        <v>H5_B10_BG-11.png</v>
      </c>
      <c r="L1703" s="13" t="str">
        <f ca="1">IFERROR(__xludf.DUMMYFUNCTION("""COMPUTED_VALUE"""),"B10_11.mp3")</f>
        <v>B10_11.mp3</v>
      </c>
      <c r="M1703" s="13" t="str">
        <f ca="1">IFERROR(__xludf.DUMMYFUNCTION("""COMPUTED_VALUE"""),"B10_VD_11.mp3")</f>
        <v>B10_VD_11.mp3</v>
      </c>
    </row>
    <row r="1704" spans="1:13">
      <c r="A1704" s="13">
        <f ca="1">IFERROR(__xludf.DUMMYFUNCTION("""COMPUTED_VALUE"""),12)</f>
        <v>12</v>
      </c>
      <c r="B1704" s="13"/>
      <c r="C1704" s="13" t="str">
        <f ca="1">IFERROR(__xludf.DUMMYFUNCTION("""COMPUTED_VALUE"""),"棍")</f>
        <v>棍</v>
      </c>
      <c r="D1704" s="13" t="str">
        <f ca="1">IFERROR(__xludf.DUMMYFUNCTION("""COMPUTED_VALUE"""),"&lt;ruby&gt;棍&lt;rt&gt;gùn&lt;/rt&gt;&lt;/ruby&gt;")</f>
        <v>&lt;ruby&gt;棍&lt;rt&gt;gùn&lt;/rt&gt;&lt;/ruby&gt;</v>
      </c>
      <c r="E1704" s="13" t="str">
        <f ca="1">IFERROR(__xludf.DUMMYFUNCTION("""COMPUTED_VALUE"""),"gùn")</f>
        <v>gùn</v>
      </c>
      <c r="F1704" s="13" t="str">
        <f ca="1">IFERROR(__xludf.DUMMYFUNCTION("""COMPUTED_VALUE"""),"Danh từ")</f>
        <v>Danh từ</v>
      </c>
      <c r="G1704" s="13" t="str">
        <f ca="1">IFERROR(__xludf.DUMMYFUNCTION("""COMPUTED_VALUE"""),"gậy")</f>
        <v>gậy</v>
      </c>
      <c r="H1704" s="13" t="str">
        <f ca="1">IFERROR(__xludf.DUMMYFUNCTION("""COMPUTED_VALUE"""),"这根棍又长又直。")</f>
        <v>这根棍又长又直。</v>
      </c>
      <c r="I1704" s="13"/>
      <c r="J1704" s="13" t="str">
        <f ca="1">IFERROR(__xludf.DUMMYFUNCTION("""COMPUTED_VALUE"""),"Chiếc gậy này vừa dài vừa thẳng.")</f>
        <v>Chiếc gậy này vừa dài vừa thẳng.</v>
      </c>
      <c r="K1704" s="13" t="str">
        <f ca="1">IFERROR(__xludf.DUMMYFUNCTION("""COMPUTED_VALUE"""),"H5_B10_BG-12.png")</f>
        <v>H5_B10_BG-12.png</v>
      </c>
      <c r="L1704" s="13" t="str">
        <f ca="1">IFERROR(__xludf.DUMMYFUNCTION("""COMPUTED_VALUE"""),"B10_12.mp3")</f>
        <v>B10_12.mp3</v>
      </c>
      <c r="M1704" s="13" t="str">
        <f ca="1">IFERROR(__xludf.DUMMYFUNCTION("""COMPUTED_VALUE"""),"B10_VD_12.mp3")</f>
        <v>B10_VD_12.mp3</v>
      </c>
    </row>
    <row r="1705" spans="1:13">
      <c r="A1705" s="13">
        <f ca="1">IFERROR(__xludf.DUMMYFUNCTION("""COMPUTED_VALUE"""),13)</f>
        <v>13</v>
      </c>
      <c r="B1705" s="13"/>
      <c r="C1705" s="13" t="str">
        <f ca="1">IFERROR(__xludf.DUMMYFUNCTION("""COMPUTED_VALUE"""),"拦")</f>
        <v>拦</v>
      </c>
      <c r="D1705" s="13" t="str">
        <f ca="1">IFERROR(__xludf.DUMMYFUNCTION("""COMPUTED_VALUE"""),"&lt;ruby&gt;拦&lt;rt&gt;lán&lt;/rt&gt;&lt;/ruby&gt;")</f>
        <v>&lt;ruby&gt;拦&lt;rt&gt;lán&lt;/rt&gt;&lt;/ruby&gt;</v>
      </c>
      <c r="E1705" s="13" t="str">
        <f ca="1">IFERROR(__xludf.DUMMYFUNCTION("""COMPUTED_VALUE"""),"lán")</f>
        <v>lán</v>
      </c>
      <c r="F1705" s="13" t="str">
        <f ca="1">IFERROR(__xludf.DUMMYFUNCTION("""COMPUTED_VALUE"""),"Động từ")</f>
        <v>Động từ</v>
      </c>
      <c r="G1705" s="13" t="str">
        <f ca="1">IFERROR(__xludf.DUMMYFUNCTION("""COMPUTED_VALUE"""),"chặn, cản")</f>
        <v>chặn, cản</v>
      </c>
      <c r="H1705" s="13" t="str">
        <f ca="1">IFERROR(__xludf.DUMMYFUNCTION("""COMPUTED_VALUE"""),"我把他给拦住了。")</f>
        <v>我把他给拦住了。</v>
      </c>
      <c r="I1705" s="13"/>
      <c r="J1705" s="13" t="str">
        <f ca="1">IFERROR(__xludf.DUMMYFUNCTION("""COMPUTED_VALUE"""),"Tôi đã ngăn anh ấy lại rồi.")</f>
        <v>Tôi đã ngăn anh ấy lại rồi.</v>
      </c>
      <c r="K1705" s="13" t="str">
        <f ca="1">IFERROR(__xludf.DUMMYFUNCTION("""COMPUTED_VALUE"""),"H5_B10_BG-13.png")</f>
        <v>H5_B10_BG-13.png</v>
      </c>
      <c r="L1705" s="13" t="str">
        <f ca="1">IFERROR(__xludf.DUMMYFUNCTION("""COMPUTED_VALUE"""),"B10_13.mp3")</f>
        <v>B10_13.mp3</v>
      </c>
      <c r="M1705" s="13" t="str">
        <f ca="1">IFERROR(__xludf.DUMMYFUNCTION("""COMPUTED_VALUE"""),"B10_VD_13.mp3")</f>
        <v>B10_VD_13.mp3</v>
      </c>
    </row>
    <row r="1706" spans="1:13">
      <c r="A1706" s="13">
        <f ca="1">IFERROR(__xludf.DUMMYFUNCTION("""COMPUTED_VALUE"""),14)</f>
        <v>14</v>
      </c>
      <c r="B1706" s="13"/>
      <c r="C1706" s="13" t="str">
        <f ca="1">IFERROR(__xludf.DUMMYFUNCTION("""COMPUTED_VALUE"""),"洞")</f>
        <v>洞</v>
      </c>
      <c r="D1706" s="13" t="str">
        <f ca="1">IFERROR(__xludf.DUMMYFUNCTION("""COMPUTED_VALUE"""),"&lt;ruby&gt;洞&lt;rt&gt;dòng&lt;/rt&gt;&lt;/ruby&gt;")</f>
        <v>&lt;ruby&gt;洞&lt;rt&gt;dòng&lt;/rt&gt;&lt;/ruby&gt;</v>
      </c>
      <c r="E1706" s="13" t="str">
        <f ca="1">IFERROR(__xludf.DUMMYFUNCTION("""COMPUTED_VALUE"""),"dòng")</f>
        <v>dòng</v>
      </c>
      <c r="F1706" s="13" t="str">
        <f ca="1">IFERROR(__xludf.DUMMYFUNCTION("""COMPUTED_VALUE"""),"Danh từ ")</f>
        <v xml:space="preserve">Danh từ </v>
      </c>
      <c r="G1706" s="13" t="str">
        <f ca="1">IFERROR(__xludf.DUMMYFUNCTION("""COMPUTED_VALUE"""),"hốc, lỗ")</f>
        <v>hốc, lỗ</v>
      </c>
      <c r="H1706" s="13" t="str">
        <f ca="1">IFERROR(__xludf.DUMMYFUNCTION("""COMPUTED_VALUE"""),"这个地方有一个洞。")</f>
        <v>这个地方有一个洞。</v>
      </c>
      <c r="I1706" s="13"/>
      <c r="J1706" s="13" t="str">
        <f ca="1">IFERROR(__xludf.DUMMYFUNCTION("""COMPUTED_VALUE"""),"Ở đây có một cái hang.")</f>
        <v>Ở đây có một cái hang.</v>
      </c>
      <c r="K1706" s="13" t="str">
        <f ca="1">IFERROR(__xludf.DUMMYFUNCTION("""COMPUTED_VALUE"""),"H5_B10_BG-14.png")</f>
        <v>H5_B10_BG-14.png</v>
      </c>
      <c r="L1706" s="13" t="str">
        <f ca="1">IFERROR(__xludf.DUMMYFUNCTION("""COMPUTED_VALUE"""),"B10_14.mp3")</f>
        <v>B10_14.mp3</v>
      </c>
      <c r="M1706" s="13" t="str">
        <f ca="1">IFERROR(__xludf.DUMMYFUNCTION("""COMPUTED_VALUE"""),"B10_VD_14.mp3")</f>
        <v>B10_VD_14.mp3</v>
      </c>
    </row>
    <row r="1707" spans="1:13">
      <c r="A1707" s="13">
        <f ca="1">IFERROR(__xludf.DUMMYFUNCTION("""COMPUTED_VALUE"""),15)</f>
        <v>15</v>
      </c>
      <c r="B1707" s="13"/>
      <c r="C1707" s="13" t="str">
        <f ca="1">IFERROR(__xludf.DUMMYFUNCTION("""COMPUTED_VALUE"""),"改进")</f>
        <v>改进</v>
      </c>
      <c r="D1707" s="13" t="str">
        <f ca="1">IFERROR(__xludf.DUMMYFUNCTION("""COMPUTED_VALUE"""),"&lt;ruby&gt;改进&lt;rt&gt;gǎijìn&lt;/rt&gt;&lt;/ruby&gt;")</f>
        <v>&lt;ruby&gt;改进&lt;rt&gt;gǎijìn&lt;/rt&gt;&lt;/ruby&gt;</v>
      </c>
      <c r="E1707" s="13" t="str">
        <f ca="1">IFERROR(__xludf.DUMMYFUNCTION("""COMPUTED_VALUE"""),"gǎijìn")</f>
        <v>gǎijìn</v>
      </c>
      <c r="F1707" s="13" t="str">
        <f ca="1">IFERROR(__xludf.DUMMYFUNCTION("""COMPUTED_VALUE"""),"Động từ")</f>
        <v>Động từ</v>
      </c>
      <c r="G1707" s="13" t="str">
        <f ca="1">IFERROR(__xludf.DUMMYFUNCTION("""COMPUTED_VALUE"""),"cải thiện, cải tiến")</f>
        <v>cải thiện, cải tiến</v>
      </c>
      <c r="H1707" s="13" t="str">
        <f ca="1">IFERROR(__xludf.DUMMYFUNCTION("""COMPUTED_VALUE"""),"我每天都练习来改进我的写作能力。")</f>
        <v>我每天都练习来改进我的写作能力。</v>
      </c>
      <c r="I1707" s="13"/>
      <c r="J1707" s="13" t="str">
        <f ca="1">IFERROR(__xludf.DUMMYFUNCTION("""COMPUTED_VALUE"""),"Mỗi ngày tôi đều rèn luyện để cải thiện kỹ năng viết của mình.")</f>
        <v>Mỗi ngày tôi đều rèn luyện để cải thiện kỹ năng viết của mình.</v>
      </c>
      <c r="K1707" s="13" t="str">
        <f ca="1">IFERROR(__xludf.DUMMYFUNCTION("""COMPUTED_VALUE"""),"H5_B10_BG-15.png")</f>
        <v>H5_B10_BG-15.png</v>
      </c>
      <c r="L1707" s="13" t="str">
        <f ca="1">IFERROR(__xludf.DUMMYFUNCTION("""COMPUTED_VALUE"""),"B10_15.mp3")</f>
        <v>B10_15.mp3</v>
      </c>
      <c r="M1707" s="13" t="str">
        <f ca="1">IFERROR(__xludf.DUMMYFUNCTION("""COMPUTED_VALUE"""),"B10_VD_15.mp3")</f>
        <v>B10_VD_15.mp3</v>
      </c>
    </row>
    <row r="1708" spans="1:13">
      <c r="A1708" s="13">
        <f ca="1">IFERROR(__xludf.DUMMYFUNCTION("""COMPUTED_VALUE"""),16)</f>
        <v>16</v>
      </c>
      <c r="B1708" s="13"/>
      <c r="C1708" s="13" t="str">
        <f ca="1">IFERROR(__xludf.DUMMYFUNCTION("""COMPUTED_VALUE"""),"系")</f>
        <v>系</v>
      </c>
      <c r="D1708" s="13" t="str">
        <f ca="1">IFERROR(__xludf.DUMMYFUNCTION("""COMPUTED_VALUE"""),"&lt;ruby&gt;系&lt;rt&gt;jì&lt;/rt&gt;&lt;/ruby&gt;")</f>
        <v>&lt;ruby&gt;系&lt;rt&gt;jì&lt;/rt&gt;&lt;/ruby&gt;</v>
      </c>
      <c r="E1708" s="13" t="str">
        <f ca="1">IFERROR(__xludf.DUMMYFUNCTION("""COMPUTED_VALUE"""),"jì")</f>
        <v>jì</v>
      </c>
      <c r="F1708" s="13" t="str">
        <f ca="1">IFERROR(__xludf.DUMMYFUNCTION("""COMPUTED_VALUE"""),"Động từ")</f>
        <v>Động từ</v>
      </c>
      <c r="G1708" s="13" t="str">
        <f ca="1">IFERROR(__xludf.DUMMYFUNCTION("""COMPUTED_VALUE"""),"cột, buộc")</f>
        <v>cột, buộc</v>
      </c>
      <c r="H1708" s="13" t="str">
        <f ca="1">IFERROR(__xludf.DUMMYFUNCTION("""COMPUTED_VALUE"""),"我把鞋带系得很漂亮。")</f>
        <v>我把鞋带系得很漂亮。</v>
      </c>
      <c r="I1708" s="13"/>
      <c r="J1708" s="13" t="str">
        <f ca="1">IFERROR(__xludf.DUMMYFUNCTION("""COMPUTED_VALUE"""),"Tôi buộc dây giày rất đẹp")</f>
        <v>Tôi buộc dây giày rất đẹp</v>
      </c>
      <c r="K1708" s="13" t="str">
        <f ca="1">IFERROR(__xludf.DUMMYFUNCTION("""COMPUTED_VALUE"""),"H5_B10_BG-16.png")</f>
        <v>H5_B10_BG-16.png</v>
      </c>
      <c r="L1708" s="13" t="str">
        <f ca="1">IFERROR(__xludf.DUMMYFUNCTION("""COMPUTED_VALUE"""),"B10_16.mp3")</f>
        <v>B10_16.mp3</v>
      </c>
      <c r="M1708" s="13" t="str">
        <f ca="1">IFERROR(__xludf.DUMMYFUNCTION("""COMPUTED_VALUE"""),"B10_VD_16.mp3")</f>
        <v>B10_VD_16.mp3</v>
      </c>
    </row>
    <row r="1709" spans="1:13">
      <c r="A1709" s="13">
        <f ca="1">IFERROR(__xludf.DUMMYFUNCTION("""COMPUTED_VALUE"""),17)</f>
        <v>17</v>
      </c>
      <c r="B1709" s="13"/>
      <c r="C1709" s="13" t="str">
        <f ca="1">IFERROR(__xludf.DUMMYFUNCTION("""COMPUTED_VALUE"""),"奇迹")</f>
        <v>奇迹</v>
      </c>
      <c r="D1709" s="13" t="str">
        <f ca="1">IFERROR(__xludf.DUMMYFUNCTION("""COMPUTED_VALUE"""),"&lt;ruby&gt;奇迹&lt;rt&gt;qíjì&lt;/rt&gt;&lt;/ruby&gt;")</f>
        <v>&lt;ruby&gt;奇迹&lt;rt&gt;qíjì&lt;/rt&gt;&lt;/ruby&gt;</v>
      </c>
      <c r="E1709" s="13" t="str">
        <f ca="1">IFERROR(__xludf.DUMMYFUNCTION("""COMPUTED_VALUE"""),"qíjì")</f>
        <v>qíjì</v>
      </c>
      <c r="F1709" s="13" t="str">
        <f ca="1">IFERROR(__xludf.DUMMYFUNCTION("""COMPUTED_VALUE"""),"Danh từ")</f>
        <v>Danh từ</v>
      </c>
      <c r="G1709" s="13" t="str">
        <f ca="1">IFERROR(__xludf.DUMMYFUNCTION("""COMPUTED_VALUE"""),"kỳ tích")</f>
        <v>kỳ tích</v>
      </c>
      <c r="H1709" s="13" t="str">
        <f ca="1">IFERROR(__xludf.DUMMYFUNCTION("""COMPUTED_VALUE""")," 经过多次尝试，她终于成功了，这真是一个奇迹。")</f>
        <v xml:space="preserve"> 经过多次尝试，她终于成功了，这真是一个奇迹。</v>
      </c>
      <c r="I1709" s="13"/>
      <c r="J1709" s="13" t="str">
        <f ca="1">IFERROR(__xludf.DUMMYFUNCTION("""COMPUTED_VALUE"""),"Sau nhiều lần thử sức, cuối cùng cô ấy đã thành công, đó là một kỳ tích.")</f>
        <v>Sau nhiều lần thử sức, cuối cùng cô ấy đã thành công, đó là một kỳ tích.</v>
      </c>
      <c r="K1709" s="13" t="str">
        <f ca="1">IFERROR(__xludf.DUMMYFUNCTION("""COMPUTED_VALUE"""),"H5_B10_BG-17.png")</f>
        <v>H5_B10_BG-17.png</v>
      </c>
      <c r="L1709" s="13" t="str">
        <f ca="1">IFERROR(__xludf.DUMMYFUNCTION("""COMPUTED_VALUE"""),"B10_17.mp3")</f>
        <v>B10_17.mp3</v>
      </c>
      <c r="M1709" s="13" t="str">
        <f ca="1">IFERROR(__xludf.DUMMYFUNCTION("""COMPUTED_VALUE"""),"B10_VD_17.mp3")</f>
        <v>B10_VD_17.mp3</v>
      </c>
    </row>
    <row r="1710" spans="1:13">
      <c r="A1710" s="13">
        <f ca="1">IFERROR(__xludf.DUMMYFUNCTION("""COMPUTED_VALUE"""),18)</f>
        <v>18</v>
      </c>
      <c r="B1710" s="13"/>
      <c r="C1710" s="13" t="str">
        <f ca="1">IFERROR(__xludf.DUMMYFUNCTION("""COMPUTED_VALUE"""),"显示")</f>
        <v>显示</v>
      </c>
      <c r="D1710" s="13" t="str">
        <f ca="1">IFERROR(__xludf.DUMMYFUNCTION("""COMPUTED_VALUE"""),"&lt;ruby&gt;显示&lt;rt&gt;xiǎnshì&lt;/rt&gt;&lt;/ruby&gt;")</f>
        <v>&lt;ruby&gt;显示&lt;rt&gt;xiǎnshì&lt;/rt&gt;&lt;/ruby&gt;</v>
      </c>
      <c r="E1710" s="13" t="str">
        <f ca="1">IFERROR(__xludf.DUMMYFUNCTION("""COMPUTED_VALUE"""),"xiǎnshì")</f>
        <v>xiǎnshì</v>
      </c>
      <c r="F1710" s="13" t="str">
        <f ca="1">IFERROR(__xludf.DUMMYFUNCTION("""COMPUTED_VALUE"""),"Động từ")</f>
        <v>Động từ</v>
      </c>
      <c r="G1710" s="13" t="str">
        <f ca="1">IFERROR(__xludf.DUMMYFUNCTION("""COMPUTED_VALUE"""),"thể hiện, cho thấy")</f>
        <v>thể hiện, cho thấy</v>
      </c>
      <c r="H1710" s="13" t="str">
        <f ca="1">IFERROR(__xludf.DUMMYFUNCTION("""COMPUTED_VALUE"""),"研究显示，练习瑜伽对健康有很大的好处。")</f>
        <v>研究显示，练习瑜伽对健康有很大的好处。</v>
      </c>
      <c r="I1710" s="13"/>
      <c r="J1710" s="13" t="str">
        <f ca="1">IFERROR(__xludf.DUMMYFUNCTION("""COMPUTED_VALUE"""),"Nghiên cứu cho thấy, tập yoga có lợi rất lớn cho sức khỏe.
")</f>
        <v xml:space="preserve">Nghiên cứu cho thấy, tập yoga có lợi rất lớn cho sức khỏe.
</v>
      </c>
      <c r="K1710" s="13" t="str">
        <f ca="1">IFERROR(__xludf.DUMMYFUNCTION("""COMPUTED_VALUE"""),"H5_B10_BG-18.png")</f>
        <v>H5_B10_BG-18.png</v>
      </c>
      <c r="L1710" s="13" t="str">
        <f ca="1">IFERROR(__xludf.DUMMYFUNCTION("""COMPUTED_VALUE"""),"B10_18.mp3")</f>
        <v>B10_18.mp3</v>
      </c>
      <c r="M1710" s="13" t="str">
        <f ca="1">IFERROR(__xludf.DUMMYFUNCTION("""COMPUTED_VALUE"""),"B10_VD_18.mp3")</f>
        <v>B10_VD_18.mp3</v>
      </c>
    </row>
    <row r="1711" spans="1:13">
      <c r="A1711" s="13">
        <f ca="1">IFERROR(__xludf.DUMMYFUNCTION("""COMPUTED_VALUE"""),19)</f>
        <v>19</v>
      </c>
      <c r="B1711" s="13"/>
      <c r="C1711" s="13" t="str">
        <f ca="1">IFERROR(__xludf.DUMMYFUNCTION("""COMPUTED_VALUE"""),"蹄（子）")</f>
        <v>蹄（子）</v>
      </c>
      <c r="D1711" s="13" t="str">
        <f ca="1">IFERROR(__xludf.DUMMYFUNCTION("""COMPUTED_VALUE"""),"&lt;ruby&gt;蹄（子）&lt;rt&gt;tí (zi)&lt;/rt&gt;&lt;/ruby&gt;")</f>
        <v>&lt;ruby&gt;蹄（子）&lt;rt&gt;tí (zi)&lt;/rt&gt;&lt;/ruby&gt;</v>
      </c>
      <c r="E1711" s="13" t="str">
        <f ca="1">IFERROR(__xludf.DUMMYFUNCTION("""COMPUTED_VALUE"""),"tí (zi)")</f>
        <v>tí (zi)</v>
      </c>
      <c r="F1711" s="13" t="str">
        <f ca="1">IFERROR(__xludf.DUMMYFUNCTION("""COMPUTED_VALUE"""),"Danh từ")</f>
        <v>Danh từ</v>
      </c>
      <c r="G1711" s="13" t="str">
        <f ca="1">IFERROR(__xludf.DUMMYFUNCTION("""COMPUTED_VALUE"""),"móng guốc")</f>
        <v>móng guốc</v>
      </c>
      <c r="H1711" s="13" t="str">
        <f ca="1">IFERROR(__xludf.DUMMYFUNCTION("""COMPUTED_VALUE"""),"长颈鹿的蹄子非常坚硬。")</f>
        <v>长颈鹿的蹄子非常坚硬。</v>
      </c>
      <c r="I1711" s="13"/>
      <c r="J1711" s="13" t="str">
        <f ca="1">IFERROR(__xludf.DUMMYFUNCTION("""COMPUTED_VALUE"""),"Móng guốc của hươu cao cổ rất cứng.")</f>
        <v>Móng guốc của hươu cao cổ rất cứng.</v>
      </c>
      <c r="K1711" s="13" t="str">
        <f ca="1">IFERROR(__xludf.DUMMYFUNCTION("""COMPUTED_VALUE"""),"H5_B10_BG-19.png")</f>
        <v>H5_B10_BG-19.png</v>
      </c>
      <c r="L1711" s="13" t="str">
        <f ca="1">IFERROR(__xludf.DUMMYFUNCTION("""COMPUTED_VALUE"""),"B10_19.mp3")</f>
        <v>B10_19.mp3</v>
      </c>
      <c r="M1711" s="13" t="str">
        <f ca="1">IFERROR(__xludf.DUMMYFUNCTION("""COMPUTED_VALUE"""),"B10_VD_19.mp3")</f>
        <v>B10_VD_19.mp3</v>
      </c>
    </row>
    <row r="1712" spans="1:13">
      <c r="A1712" s="13">
        <f ca="1">IFERROR(__xludf.DUMMYFUNCTION("""COMPUTED_VALUE"""),20)</f>
        <v>20</v>
      </c>
      <c r="B1712" s="13"/>
      <c r="C1712" s="13" t="str">
        <f ca="1">IFERROR(__xludf.DUMMYFUNCTION("""COMPUTED_VALUE"""),"青蛙")</f>
        <v>青蛙</v>
      </c>
      <c r="D1712" s="13" t="str">
        <f ca="1">IFERROR(__xludf.DUMMYFUNCTION("""COMPUTED_VALUE"""),"&lt;ruby&gt;青蛙&lt;rt&gt;qīngwā&lt;/rt&gt;&lt;/ruby&gt;")</f>
        <v>&lt;ruby&gt;青蛙&lt;rt&gt;qīngwā&lt;/rt&gt;&lt;/ruby&gt;</v>
      </c>
      <c r="E1712" s="13" t="str">
        <f ca="1">IFERROR(__xludf.DUMMYFUNCTION("""COMPUTED_VALUE"""),"qīngwā")</f>
        <v>qīngwā</v>
      </c>
      <c r="F1712" s="13" t="str">
        <f ca="1">IFERROR(__xludf.DUMMYFUNCTION("""COMPUTED_VALUE"""),"Danh từ")</f>
        <v>Danh từ</v>
      </c>
      <c r="G1712" s="13" t="str">
        <f ca="1">IFERROR(__xludf.DUMMYFUNCTION("""COMPUTED_VALUE"""),"ếch, nhái")</f>
        <v>ếch, nhái</v>
      </c>
      <c r="H1712" s="13" t="str">
        <f ca="1">IFERROR(__xludf.DUMMYFUNCTION("""COMPUTED_VALUE"""),"池塘里有很多青蛙。")</f>
        <v>池塘里有很多青蛙。</v>
      </c>
      <c r="I1712" s="13"/>
      <c r="J1712" s="13" t="str">
        <f ca="1">IFERROR(__xludf.DUMMYFUNCTION("""COMPUTED_VALUE"""),"Trong ao có rất nhiều ếch.")</f>
        <v>Trong ao có rất nhiều ếch.</v>
      </c>
      <c r="K1712" s="13" t="str">
        <f ca="1">IFERROR(__xludf.DUMMYFUNCTION("""COMPUTED_VALUE"""),"H5_B10_BG-20.png")</f>
        <v>H5_B10_BG-20.png</v>
      </c>
      <c r="L1712" s="13" t="str">
        <f ca="1">IFERROR(__xludf.DUMMYFUNCTION("""COMPUTED_VALUE"""),"B10_20.mp3")</f>
        <v>B10_20.mp3</v>
      </c>
      <c r="M1712" s="13" t="str">
        <f ca="1">IFERROR(__xludf.DUMMYFUNCTION("""COMPUTED_VALUE"""),"B10_VD_20.mp3")</f>
        <v>B10_VD_20.mp3</v>
      </c>
    </row>
    <row r="1713" spans="1:13">
      <c r="A1713" s="13">
        <f ca="1">IFERROR(__xludf.DUMMYFUNCTION("""COMPUTED_VALUE"""),21)</f>
        <v>21</v>
      </c>
      <c r="B1713" s="13"/>
      <c r="C1713" s="13" t="str">
        <f ca="1">IFERROR(__xludf.DUMMYFUNCTION("""COMPUTED_VALUE"""),"意识")</f>
        <v>意识</v>
      </c>
      <c r="D1713" s="13" t="str">
        <f ca="1">IFERROR(__xludf.DUMMYFUNCTION("""COMPUTED_VALUE"""),"&lt;ruby&gt;意识&lt;rt&gt;yìshí&lt;/rt&gt;&lt;/ruby&gt;")</f>
        <v>&lt;ruby&gt;意识&lt;rt&gt;yìshí&lt;/rt&gt;&lt;/ruby&gt;</v>
      </c>
      <c r="E1713" s="13" t="str">
        <f ca="1">IFERROR(__xludf.DUMMYFUNCTION("""COMPUTED_VALUE"""),"yìshí")</f>
        <v>yìshí</v>
      </c>
      <c r="F1713" s="13" t="str">
        <f ca="1">IFERROR(__xludf.DUMMYFUNCTION("""COMPUTED_VALUE"""),"Danh từ/Động từ")</f>
        <v>Danh từ/Động từ</v>
      </c>
      <c r="G1713" s="13" t="str">
        <f ca="1">IFERROR(__xludf.DUMMYFUNCTION("""COMPUTED_VALUE"""),"ý thức; nhận thức rõ")</f>
        <v>ý thức; nhận thức rõ</v>
      </c>
      <c r="H1713" s="13" t="str">
        <f ca="1">IFERROR(__xludf.DUMMYFUNCTION("""COMPUTED_VALUE"""),"他有很强的环保意识。")</f>
        <v>他有很强的环保意识。</v>
      </c>
      <c r="I1713" s="13"/>
      <c r="J1713" s="13" t="str">
        <f ca="1">IFERROR(__xludf.DUMMYFUNCTION("""COMPUTED_VALUE"""),"Anh ấy có ý thức bảo vệ môi trường rất mạnh mẽ.")</f>
        <v>Anh ấy có ý thức bảo vệ môi trường rất mạnh mẽ.</v>
      </c>
      <c r="K1713" s="13" t="str">
        <f ca="1">IFERROR(__xludf.DUMMYFUNCTION("""COMPUTED_VALUE"""),"H5_B10_BG-21.png")</f>
        <v>H5_B10_BG-21.png</v>
      </c>
      <c r="L1713" s="13" t="str">
        <f ca="1">IFERROR(__xludf.DUMMYFUNCTION("""COMPUTED_VALUE"""),"B10_21.mp3")</f>
        <v>B10_21.mp3</v>
      </c>
      <c r="M1713" s="13" t="str">
        <f ca="1">IFERROR(__xludf.DUMMYFUNCTION("""COMPUTED_VALUE"""),"B10_VD_21.mp3")</f>
        <v>B10_VD_21.mp3</v>
      </c>
    </row>
    <row r="1714" spans="1:13">
      <c r="A1714" s="13">
        <f ca="1">IFERROR(__xludf.DUMMYFUNCTION("""COMPUTED_VALUE"""),22)</f>
        <v>22</v>
      </c>
      <c r="B1714" s="13"/>
      <c r="C1714" s="13" t="str">
        <f ca="1">IFERROR(__xludf.DUMMYFUNCTION("""COMPUTED_VALUE"""),"瞬间")</f>
        <v>瞬间</v>
      </c>
      <c r="D1714" s="13" t="str">
        <f ca="1">IFERROR(__xludf.DUMMYFUNCTION("""COMPUTED_VALUE"""),"&lt;ruby&gt;瞬间&lt;rt&gt;shùnjiān&lt;/rt&gt;&lt;/ruby&gt;")</f>
        <v>&lt;ruby&gt;瞬间&lt;rt&gt;shùnjiān&lt;/rt&gt;&lt;/ruby&gt;</v>
      </c>
      <c r="E1714" s="13" t="str">
        <f ca="1">IFERROR(__xludf.DUMMYFUNCTION("""COMPUTED_VALUE"""),"shùnjiān")</f>
        <v>shùnjiān</v>
      </c>
      <c r="F1714" s="13" t="str">
        <f ca="1">IFERROR(__xludf.DUMMYFUNCTION("""COMPUTED_VALUE"""),"Danh từ")</f>
        <v>Danh từ</v>
      </c>
      <c r="G1714" s="13" t="str">
        <f ca="1">IFERROR(__xludf.DUMMYFUNCTION("""COMPUTED_VALUE"""),"chốc lát, khoảnh khắc")</f>
        <v>chốc lát, khoảnh khắc</v>
      </c>
      <c r="H1714" s="13" t="str">
        <f ca="1">IFERROR(__xludf.DUMMYFUNCTION("""COMPUTED_VALUE"""),"在拿到冠军奖杯的瞬间，我所有的疲惫都消失了。")</f>
        <v>在拿到冠军奖杯的瞬间，我所有的疲惫都消失了。</v>
      </c>
      <c r="I1714" s="13"/>
      <c r="J1714" s="13" t="str">
        <f ca="1">IFERROR(__xludf.DUMMYFUNCTION("""COMPUTED_VALUE"""),"Trong khoảnh khắc nhận cup vô địch, tất cả sự mệt mỏi của tôi đều biến mất.")</f>
        <v>Trong khoảnh khắc nhận cup vô địch, tất cả sự mệt mỏi của tôi đều biến mất.</v>
      </c>
      <c r="K1714" s="13" t="str">
        <f ca="1">IFERROR(__xludf.DUMMYFUNCTION("""COMPUTED_VALUE"""),"H5_B10_BG-22.png")</f>
        <v>H5_B10_BG-22.png</v>
      </c>
      <c r="L1714" s="13" t="str">
        <f ca="1">IFERROR(__xludf.DUMMYFUNCTION("""COMPUTED_VALUE"""),"B10_22.mp3")</f>
        <v>B10_22.mp3</v>
      </c>
      <c r="M1714" s="13" t="str">
        <f ca="1">IFERROR(__xludf.DUMMYFUNCTION("""COMPUTED_VALUE"""),"B10_VD_22.mp3")</f>
        <v>B10_VD_22.mp3</v>
      </c>
    </row>
    <row r="1715" spans="1:13">
      <c r="A1715" s="13">
        <f ca="1">IFERROR(__xludf.DUMMYFUNCTION("""COMPUTED_VALUE"""),23)</f>
        <v>23</v>
      </c>
      <c r="B1715" s="13"/>
      <c r="C1715" s="13" t="str">
        <f ca="1">IFERROR(__xludf.DUMMYFUNCTION("""COMPUTED_VALUE"""),"试验")</f>
        <v>试验</v>
      </c>
      <c r="D1715" s="13" t="str">
        <f ca="1">IFERROR(__xludf.DUMMYFUNCTION("""COMPUTED_VALUE"""),"&lt;ruby&gt;试验&lt;rt&gt;shìyàn&lt;/rt&gt;&lt;/ruby&gt;")</f>
        <v>&lt;ruby&gt;试验&lt;rt&gt;shìyàn&lt;/rt&gt;&lt;/ruby&gt;</v>
      </c>
      <c r="E1715" s="13" t="str">
        <f ca="1">IFERROR(__xludf.DUMMYFUNCTION("""COMPUTED_VALUE"""),"shìyàn")</f>
        <v>shìyàn</v>
      </c>
      <c r="F1715" s="13" t="str">
        <f ca="1">IFERROR(__xludf.DUMMYFUNCTION("""COMPUTED_VALUE"""),"Danh từ/Động từ")</f>
        <v>Danh từ/Động từ</v>
      </c>
      <c r="G1715" s="13" t="str">
        <f ca="1">IFERROR(__xludf.DUMMYFUNCTION("""COMPUTED_VALUE"""),"sự thử nghiệm; thử nghiệm")</f>
        <v>sự thử nghiệm; thử nghiệm</v>
      </c>
      <c r="H1715" s="13" t="str">
        <f ca="1">IFERROR(__xludf.DUMMYFUNCTION("""COMPUTED_VALUE"""),"这种药还需要经过很多次试验。")</f>
        <v>这种药还需要经过很多次试验。</v>
      </c>
      <c r="I1715" s="13"/>
      <c r="J1715" s="13" t="str">
        <f ca="1">IFERROR(__xludf.DUMMYFUNCTION("""COMPUTED_VALUE"""),"Thuốc này vẫn cần phải trải qua nhiều lần thử nghiệm.
")</f>
        <v xml:space="preserve">Thuốc này vẫn cần phải trải qua nhiều lần thử nghiệm.
</v>
      </c>
      <c r="K1715" s="13" t="str">
        <f ca="1">IFERROR(__xludf.DUMMYFUNCTION("""COMPUTED_VALUE"""),"H5_B10_BG-23.png")</f>
        <v>H5_B10_BG-23.png</v>
      </c>
      <c r="L1715" s="13" t="str">
        <f ca="1">IFERROR(__xludf.DUMMYFUNCTION("""COMPUTED_VALUE"""),"B10_23.mp3")</f>
        <v>B10_23.mp3</v>
      </c>
      <c r="M1715" s="13" t="str">
        <f ca="1">IFERROR(__xludf.DUMMYFUNCTION("""COMPUTED_VALUE"""),"B10_VD_23.mp3")</f>
        <v>B10_VD_23.mp3</v>
      </c>
    </row>
    <row r="1716" spans="1:13">
      <c r="A1716" s="13">
        <f ca="1">IFERROR(__xludf.DUMMYFUNCTION("""COMPUTED_VALUE"""),24)</f>
        <v>24</v>
      </c>
      <c r="B1716" s="13"/>
      <c r="C1716" s="13" t="str">
        <f ca="1">IFERROR(__xludf.DUMMYFUNCTION("""COMPUTED_VALUE"""),"脖子")</f>
        <v>脖子</v>
      </c>
      <c r="D1716" s="13" t="str">
        <f ca="1">IFERROR(__xludf.DUMMYFUNCTION("""COMPUTED_VALUE"""),"&lt;ruby&gt;脖子&lt;rt&gt;bózi&lt;/rt&gt;&lt;/ruby&gt;")</f>
        <v>&lt;ruby&gt;脖子&lt;rt&gt;bózi&lt;/rt&gt;&lt;/ruby&gt;</v>
      </c>
      <c r="E1716" s="13" t="str">
        <f ca="1">IFERROR(__xludf.DUMMYFUNCTION("""COMPUTED_VALUE"""),"bózi")</f>
        <v>bózi</v>
      </c>
      <c r="F1716" s="13" t="str">
        <f ca="1">IFERROR(__xludf.DUMMYFUNCTION("""COMPUTED_VALUE"""),"Danh từ")</f>
        <v>Danh từ</v>
      </c>
      <c r="G1716" s="13" t="str">
        <f ca="1">IFERROR(__xludf.DUMMYFUNCTION("""COMPUTED_VALUE"""),"(cái) cổ")</f>
        <v>(cái) cổ</v>
      </c>
      <c r="H1716" s="13" t="str">
        <f ca="1">IFERROR(__xludf.DUMMYFUNCTION("""COMPUTED_VALUE"""),"她的脖子上戴着一条很漂亮的项链。")</f>
        <v>她的脖子上戴着一条很漂亮的项链。</v>
      </c>
      <c r="I1716" s="13"/>
      <c r="J1716" s="13" t="str">
        <f ca="1">IFERROR(__xludf.DUMMYFUNCTION("""COMPUTED_VALUE"""),"Cổ cô ấy đeo một chiếc vòng rất đẹp")</f>
        <v>Cổ cô ấy đeo một chiếc vòng rất đẹp</v>
      </c>
      <c r="K1716" s="13" t="str">
        <f ca="1">IFERROR(__xludf.DUMMYFUNCTION("""COMPUTED_VALUE"""),"H5_B10_BG-24.png")</f>
        <v>H5_B10_BG-24.png</v>
      </c>
      <c r="L1716" s="13" t="str">
        <f ca="1">IFERROR(__xludf.DUMMYFUNCTION("""COMPUTED_VALUE"""),"B10_24.mp3")</f>
        <v>B10_24.mp3</v>
      </c>
      <c r="M1716" s="13" t="str">
        <f ca="1">IFERROR(__xludf.DUMMYFUNCTION("""COMPUTED_VALUE"""),"B10_VD_24.mp3")</f>
        <v>B10_VD_24.mp3</v>
      </c>
    </row>
    <row r="1717" spans="1:13">
      <c r="A1717" s="13">
        <f ca="1">IFERROR(__xludf.DUMMYFUNCTION("""COMPUTED_VALUE"""),25)</f>
        <v>25</v>
      </c>
      <c r="B1717" s="13"/>
      <c r="C1717" s="13" t="str">
        <f ca="1">IFERROR(__xludf.DUMMYFUNCTION("""COMPUTED_VALUE"""),"匹")</f>
        <v>匹</v>
      </c>
      <c r="D1717" s="13" t="str">
        <f ca="1">IFERROR(__xludf.DUMMYFUNCTION("""COMPUTED_VALUE"""),"&lt;ruby&gt;匹&lt;rt&gt;pǐ&lt;/rt&gt;&lt;/ruby&gt;")</f>
        <v>&lt;ruby&gt;匹&lt;rt&gt;pǐ&lt;/rt&gt;&lt;/ruby&gt;</v>
      </c>
      <c r="E1717" s="13" t="str">
        <f ca="1">IFERROR(__xludf.DUMMYFUNCTION("""COMPUTED_VALUE"""),"pǐ")</f>
        <v>pǐ</v>
      </c>
      <c r="F1717" s="13" t="str">
        <f ca="1">IFERROR(__xludf.DUMMYFUNCTION("""COMPUTED_VALUE"""),"Lượng từ ")</f>
        <v xml:space="preserve">Lượng từ </v>
      </c>
      <c r="G1717" s="13" t="str">
        <f ca="1">IFERROR(__xludf.DUMMYFUNCTION("""COMPUTED_VALUE"""),"(được dùng cho ngựa) con")</f>
        <v>(được dùng cho ngựa) con</v>
      </c>
      <c r="H1717" s="13" t="str">
        <f ca="1">IFERROR(__xludf.DUMMYFUNCTION("""COMPUTED_VALUE"""),"这匹马跑得非常快。")</f>
        <v>这匹马跑得非常快。</v>
      </c>
      <c r="I1717" s="13"/>
      <c r="J1717" s="13" t="str">
        <f ca="1">IFERROR(__xludf.DUMMYFUNCTION("""COMPUTED_VALUE"""),"Con ngựa này chạy rất nhanh.")</f>
        <v>Con ngựa này chạy rất nhanh.</v>
      </c>
      <c r="K1717" s="13" t="str">
        <f ca="1">IFERROR(__xludf.DUMMYFUNCTION("""COMPUTED_VALUE"""),"H5_B10_BG-25.png")</f>
        <v>H5_B10_BG-25.png</v>
      </c>
      <c r="L1717" s="13" t="str">
        <f ca="1">IFERROR(__xludf.DUMMYFUNCTION("""COMPUTED_VALUE"""),"B10_25.mp3")</f>
        <v>B10_25.mp3</v>
      </c>
      <c r="M1717" s="13" t="str">
        <f ca="1">IFERROR(__xludf.DUMMYFUNCTION("""COMPUTED_VALUE"""),"B10_VD_25.mp3")</f>
        <v>B10_VD_25.mp3</v>
      </c>
    </row>
    <row r="1718" spans="1:13">
      <c r="A1718" s="13">
        <f ca="1">IFERROR(__xludf.DUMMYFUNCTION("""COMPUTED_VALUE"""),26)</f>
        <v>26</v>
      </c>
      <c r="B1718" s="13"/>
      <c r="C1718" s="13" t="str">
        <f ca="1">IFERROR(__xludf.DUMMYFUNCTION("""COMPUTED_VALUE"""),"毕竟")</f>
        <v>毕竟</v>
      </c>
      <c r="D1718" s="13" t="str">
        <f ca="1">IFERROR(__xludf.DUMMYFUNCTION("""COMPUTED_VALUE"""),"&lt;ruby&gt;毕竟&lt;rt&gt;bìjìng&lt;/rt&gt;&lt;/ruby&gt;")</f>
        <v>&lt;ruby&gt;毕竟&lt;rt&gt;bìjìng&lt;/rt&gt;&lt;/ruby&gt;</v>
      </c>
      <c r="E1718" s="13" t="str">
        <f ca="1">IFERROR(__xludf.DUMMYFUNCTION("""COMPUTED_VALUE"""),"bìjìng")</f>
        <v>bìjìng</v>
      </c>
      <c r="F1718" s="13" t="str">
        <f ca="1">IFERROR(__xludf.DUMMYFUNCTION("""COMPUTED_VALUE"""),"Phó từ")</f>
        <v>Phó từ</v>
      </c>
      <c r="G1718" s="13" t="str">
        <f ca="1">IFERROR(__xludf.DUMMYFUNCTION("""COMPUTED_VALUE"""),"rốt cuộc, cuối cùng, suy cho cùng")</f>
        <v>rốt cuộc, cuối cùng, suy cho cùng</v>
      </c>
      <c r="H1718" s="13" t="str">
        <f ca="1">IFERROR(__xludf.DUMMYFUNCTION("""COMPUTED_VALUE"""),"毕竟他只是个孩子，你不能要求太高。")</f>
        <v>毕竟他只是个孩子，你不能要求太高。</v>
      </c>
      <c r="I1718" s="13"/>
      <c r="J1718" s="13" t="str">
        <f ca="1">IFERROR(__xludf.DUMMYFUNCTION("""COMPUTED_VALUE"""),"Suy cho cùng, cậu ấy chỉ là một đứa trẻ, bạn không thể yêu cầu quá cao.")</f>
        <v>Suy cho cùng, cậu ấy chỉ là một đứa trẻ, bạn không thể yêu cầu quá cao.</v>
      </c>
      <c r="K1718" s="13" t="str">
        <f ca="1">IFERROR(__xludf.DUMMYFUNCTION("""COMPUTED_VALUE"""),"H5_B10_BG-26.png")</f>
        <v>H5_B10_BG-26.png</v>
      </c>
      <c r="L1718" s="13" t="str">
        <f ca="1">IFERROR(__xludf.DUMMYFUNCTION("""COMPUTED_VALUE"""),"B10_26.mp3")</f>
        <v>B10_26.mp3</v>
      </c>
      <c r="M1718" s="13" t="str">
        <f ca="1">IFERROR(__xludf.DUMMYFUNCTION("""COMPUTED_VALUE"""),"B10_VD_26.mp3")</f>
        <v>B10_VD_26.mp3</v>
      </c>
    </row>
    <row r="1719" spans="1:13">
      <c r="A1719" s="13">
        <f ca="1">IFERROR(__xludf.DUMMYFUNCTION("""COMPUTED_VALUE"""),27)</f>
        <v>27</v>
      </c>
      <c r="B1719" s="13"/>
      <c r="C1719" s="13" t="str">
        <f ca="1">IFERROR(__xludf.DUMMYFUNCTION("""COMPUTED_VALUE"""),"辩论")</f>
        <v>辩论</v>
      </c>
      <c r="D1719" s="13" t="str">
        <f ca="1">IFERROR(__xludf.DUMMYFUNCTION("""COMPUTED_VALUE"""),"&lt;ruby&gt;辩论&lt;rt&gt;biànlùn&lt;/rt&gt;&lt;/ruby&gt;")</f>
        <v>&lt;ruby&gt;辩论&lt;rt&gt;biànlùn&lt;/rt&gt;&lt;/ruby&gt;</v>
      </c>
      <c r="E1719" s="13" t="str">
        <f ca="1">IFERROR(__xludf.DUMMYFUNCTION("""COMPUTED_VALUE"""),"biànlùn")</f>
        <v>biànlùn</v>
      </c>
      <c r="F1719" s="13" t="str">
        <f ca="1">IFERROR(__xludf.DUMMYFUNCTION("""COMPUTED_VALUE"""),"Động từ")</f>
        <v>Động từ</v>
      </c>
      <c r="G1719" s="13" t="str">
        <f ca="1">IFERROR(__xludf.DUMMYFUNCTION("""COMPUTED_VALUE"""),"biện luận, tranh luận")</f>
        <v>biện luận, tranh luận</v>
      </c>
      <c r="H1719" s="13" t="str">
        <f ca="1">IFERROR(__xludf.DUMMYFUNCTION("""COMPUTED_VALUE"""),"会议结束后，他们仍在为刚刚讨论的问题辩论。")</f>
        <v>会议结束后，他们仍在为刚刚讨论的问题辩论。</v>
      </c>
      <c r="I1719" s="13"/>
      <c r="J1719" s="13" t="str">
        <f ca="1">IFERROR(__xludf.DUMMYFUNCTION("""COMPUTED_VALUE"""),"Sau cuộc họp họ vẫn tranh luận về vấn đề vừa diễn ra")</f>
        <v>Sau cuộc họp họ vẫn tranh luận về vấn đề vừa diễn ra</v>
      </c>
      <c r="K1719" s="13" t="str">
        <f ca="1">IFERROR(__xludf.DUMMYFUNCTION("""COMPUTED_VALUE"""),"H5_B10_BG-27.png")</f>
        <v>H5_B10_BG-27.png</v>
      </c>
      <c r="L1719" s="13" t="str">
        <f ca="1">IFERROR(__xludf.DUMMYFUNCTION("""COMPUTED_VALUE"""),"B10_27.mp3")</f>
        <v>B10_27.mp3</v>
      </c>
      <c r="M1719" s="13" t="str">
        <f ca="1">IFERROR(__xludf.DUMMYFUNCTION("""COMPUTED_VALUE"""),"B10_VD_27.mp3")</f>
        <v>B10_VD_27.mp3</v>
      </c>
    </row>
    <row r="1720" spans="1:13">
      <c r="A1720" s="13">
        <f ca="1">IFERROR(__xludf.DUMMYFUNCTION("""COMPUTED_VALUE"""),28)</f>
        <v>28</v>
      </c>
      <c r="B1720" s="13"/>
      <c r="C1720" s="13" t="str">
        <f ca="1">IFERROR(__xludf.DUMMYFUNCTION("""COMPUTED_VALUE"""),"成熟")</f>
        <v>成熟</v>
      </c>
      <c r="D1720" s="13" t="str">
        <f ca="1">IFERROR(__xludf.DUMMYFUNCTION("""COMPUTED_VALUE"""),"&lt;ruby&gt;成熟&lt;rt&gt;chéngshú&lt;/rt&gt;&lt;/ruby&gt;")</f>
        <v>&lt;ruby&gt;成熟&lt;rt&gt;chéngshú&lt;/rt&gt;&lt;/ruby&gt;</v>
      </c>
      <c r="E1720" s="13" t="str">
        <f ca="1">IFERROR(__xludf.DUMMYFUNCTION("""COMPUTED_VALUE"""),"chéngshú")</f>
        <v>chéngshú</v>
      </c>
      <c r="F1720" s="13" t="str">
        <f ca="1">IFERROR(__xludf.DUMMYFUNCTION("""COMPUTED_VALUE"""),"Động từ/Tính từ ")</f>
        <v xml:space="preserve">Động từ/Tính từ </v>
      </c>
      <c r="G1720" s="13" t="str">
        <f ca="1">IFERROR(__xludf.DUMMYFUNCTION("""COMPUTED_VALUE"""),"chín muồi; hoàn thiện; thành thục")</f>
        <v>chín muồi; hoàn thiện; thành thục</v>
      </c>
      <c r="H1720" s="13" t="str">
        <f ca="1">IFERROR(__xludf.DUMMYFUNCTION("""COMPUTED_VALUE"""),"她的演讲技巧已经非常成熟了。")</f>
        <v>她的演讲技巧已经非常成熟了。</v>
      </c>
      <c r="I1720" s="13"/>
      <c r="J1720" s="13" t="str">
        <f ca="1">IFERROR(__xludf.DUMMYFUNCTION("""COMPUTED_VALUE"""),"Kỹ năng thuyết trình của cô ấy đã rất thành thục.")</f>
        <v>Kỹ năng thuyết trình của cô ấy đã rất thành thục.</v>
      </c>
      <c r="K1720" s="13" t="str">
        <f ca="1">IFERROR(__xludf.DUMMYFUNCTION("""COMPUTED_VALUE"""),"H5_B10_BG-28.png")</f>
        <v>H5_B10_BG-28.png</v>
      </c>
      <c r="L1720" s="13" t="str">
        <f ca="1">IFERROR(__xludf.DUMMYFUNCTION("""COMPUTED_VALUE"""),"B10_28.mp3")</f>
        <v>B10_28.mp3</v>
      </c>
      <c r="M1720" s="13" t="str">
        <f ca="1">IFERROR(__xludf.DUMMYFUNCTION("""COMPUTED_VALUE"""),"B10_VD_28.mp3")</f>
        <v>B10_VD_28.mp3</v>
      </c>
    </row>
    <row r="1721" spans="1:13">
      <c r="A1721" s="13">
        <f ca="1">IFERROR(__xludf.DUMMYFUNCTION("""COMPUTED_VALUE"""),29)</f>
        <v>29</v>
      </c>
      <c r="B1721" s="13"/>
      <c r="C1721" s="13" t="str">
        <f ca="1">IFERROR(__xludf.DUMMYFUNCTION("""COMPUTED_VALUE"""),"导演")</f>
        <v>导演</v>
      </c>
      <c r="D1721" s="13" t="str">
        <f ca="1">IFERROR(__xludf.DUMMYFUNCTION("""COMPUTED_VALUE"""),"&lt;ruby&gt;导演&lt;rt&gt;dǎoyǎn&lt;/rt&gt;&lt;/ruby&gt;")</f>
        <v>&lt;ruby&gt;导演&lt;rt&gt;dǎoyǎn&lt;/rt&gt;&lt;/ruby&gt;</v>
      </c>
      <c r="E1721" s="13" t="str">
        <f ca="1">IFERROR(__xludf.DUMMYFUNCTION("""COMPUTED_VALUE"""),"dǎoyǎn")</f>
        <v>dǎoyǎn</v>
      </c>
      <c r="F1721" s="13" t="str">
        <f ca="1">IFERROR(__xludf.DUMMYFUNCTION("""COMPUTED_VALUE"""),"Danh từ/Động từ")</f>
        <v>Danh từ/Động từ</v>
      </c>
      <c r="G1721" s="13" t="str">
        <f ca="1">IFERROR(__xludf.DUMMYFUNCTION("""COMPUTED_VALUE"""),"nhà đạo diễn; đạo diễn")</f>
        <v>nhà đạo diễn; đạo diễn</v>
      </c>
      <c r="H1721" s="13" t="str">
        <f ca="1">IFERROR(__xludf.DUMMYFUNCTION("""COMPUTED_VALUE"""),"他虽然年轻，但已经是许多著名电影的导演。")</f>
        <v>他虽然年轻，但已经是许多著名电影的导演。</v>
      </c>
      <c r="I1721" s="13"/>
      <c r="J1721" s="13" t="str">
        <f ca="1">IFERROR(__xludf.DUMMYFUNCTION("""COMPUTED_VALUE"""),"Dù còn trẻ nhưng anh ấy đã là một nhà đạo diễn của nhiều bộ phim nổi tiếng.")</f>
        <v>Dù còn trẻ nhưng anh ấy đã là một nhà đạo diễn của nhiều bộ phim nổi tiếng.</v>
      </c>
      <c r="K1721" s="13" t="str">
        <f ca="1">IFERROR(__xludf.DUMMYFUNCTION("""COMPUTED_VALUE"""),"H5_B10_BG-29.png")</f>
        <v>H5_B10_BG-29.png</v>
      </c>
      <c r="L1721" s="13" t="str">
        <f ca="1">IFERROR(__xludf.DUMMYFUNCTION("""COMPUTED_VALUE"""),"B10_29.mp3")</f>
        <v>B10_29.mp3</v>
      </c>
      <c r="M1721" s="13" t="str">
        <f ca="1">IFERROR(__xludf.DUMMYFUNCTION("""COMPUTED_VALUE"""),"B10_VD_29.mp3")</f>
        <v>B10_VD_29.mp3</v>
      </c>
    </row>
    <row r="1722" spans="1:13">
      <c r="A1722" s="13">
        <f ca="1">IFERROR(__xludf.DUMMYFUNCTION("""COMPUTED_VALUE"""),30)</f>
        <v>30</v>
      </c>
      <c r="B1722" s="13"/>
      <c r="C1722" s="13" t="str">
        <f ca="1">IFERROR(__xludf.DUMMYFUNCTION("""COMPUTED_VALUE"""),"或许")</f>
        <v>或许</v>
      </c>
      <c r="D1722" s="13" t="str">
        <f ca="1">IFERROR(__xludf.DUMMYFUNCTION("""COMPUTED_VALUE"""),"&lt;ruby&gt;或许&lt;rt&gt;huòxŭ&lt;/rt&gt;&lt;/ruby&gt;")</f>
        <v>&lt;ruby&gt;或许&lt;rt&gt;huòxŭ&lt;/rt&gt;&lt;/ruby&gt;</v>
      </c>
      <c r="E1722" s="13" t="str">
        <f ca="1">IFERROR(__xludf.DUMMYFUNCTION("""COMPUTED_VALUE"""),"huòxŭ")</f>
        <v>huòxŭ</v>
      </c>
      <c r="F1722" s="13" t="str">
        <f ca="1">IFERROR(__xludf.DUMMYFUNCTION("""COMPUTED_VALUE"""),"Phó từ")</f>
        <v>Phó từ</v>
      </c>
      <c r="G1722" s="13" t="str">
        <f ca="1">IFERROR(__xludf.DUMMYFUNCTION("""COMPUTED_VALUE"""),"có lẽ, có thể")</f>
        <v>có lẽ, có thể</v>
      </c>
      <c r="H1722" s="13" t="str">
        <f ca="1">IFERROR(__xludf.DUMMYFUNCTION("""COMPUTED_VALUE"""),"或许明天会下很大的雨。")</f>
        <v>或许明天会下很大的雨。</v>
      </c>
      <c r="I1722" s="13"/>
      <c r="J1722" s="13" t="str">
        <f ca="1">IFERROR(__xludf.DUMMYFUNCTION("""COMPUTED_VALUE"""),"Có lẽ ngày mai sẽ mưa rất to.")</f>
        <v>Có lẽ ngày mai sẽ mưa rất to.</v>
      </c>
      <c r="K1722" s="13" t="str">
        <f ca="1">IFERROR(__xludf.DUMMYFUNCTION("""COMPUTED_VALUE"""),"H5_B10_BG-30.png")</f>
        <v>H5_B10_BG-30.png</v>
      </c>
      <c r="L1722" s="13" t="str">
        <f ca="1">IFERROR(__xludf.DUMMYFUNCTION("""COMPUTED_VALUE"""),"B10_30.mp3")</f>
        <v>B10_30.mp3</v>
      </c>
      <c r="M1722" s="13" t="str">
        <f ca="1">IFERROR(__xludf.DUMMYFUNCTION("""COMPUTED_VALUE"""),"B10_VD_30.mp3")</f>
        <v>B10_VD_30.mp3</v>
      </c>
    </row>
    <row r="1723" spans="1:13">
      <c r="A1723" s="13">
        <f ca="1">IFERROR(__xludf.DUMMYFUNCTION("""COMPUTED_VALUE"""),31)</f>
        <v>31</v>
      </c>
      <c r="B1723" s="13"/>
      <c r="C1723" s="13" t="str">
        <f ca="1">IFERROR(__xludf.DUMMYFUNCTION("""COMPUTED_VALUE"""),"纪念")</f>
        <v>纪念</v>
      </c>
      <c r="D1723" s="13" t="str">
        <f ca="1">IFERROR(__xludf.DUMMYFUNCTION("""COMPUTED_VALUE"""),"&lt;ruby&gt;纪念&lt;rt&gt;jiniàn&lt;/rt&gt;&lt;/ruby&gt;")</f>
        <v>&lt;ruby&gt;纪念&lt;rt&gt;jiniàn&lt;/rt&gt;&lt;/ruby&gt;</v>
      </c>
      <c r="E1723" s="13" t="str">
        <f ca="1">IFERROR(__xludf.DUMMYFUNCTION("""COMPUTED_VALUE"""),"jiniàn")</f>
        <v>jiniàn</v>
      </c>
      <c r="F1723" s="13" t="str">
        <f ca="1">IFERROR(__xludf.DUMMYFUNCTION("""COMPUTED_VALUE"""),"Động từ")</f>
        <v>Động từ</v>
      </c>
      <c r="G1723" s="13" t="str">
        <f ca="1">IFERROR(__xludf.DUMMYFUNCTION("""COMPUTED_VALUE"""),"kỷ niệm, tưởng niệm")</f>
        <v>kỷ niệm, tưởng niệm</v>
      </c>
      <c r="H1723" s="13" t="str">
        <f ca="1">IFERROR(__xludf.DUMMYFUNCTION("""COMPUTED_VALUE"""),"这是我父母结婚纪念日的礼物。")</f>
        <v>这是我父母结婚纪念日的礼物。</v>
      </c>
      <c r="I1723" s="13"/>
      <c r="J1723" s="13" t="str">
        <f ca="1">IFERROR(__xludf.DUMMYFUNCTION("""COMPUTED_VALUE"""),"Đây là vật kỷ niệm ngày cưới của ba mẹ tôi.")</f>
        <v>Đây là vật kỷ niệm ngày cưới của ba mẹ tôi.</v>
      </c>
      <c r="K1723" s="13" t="str">
        <f ca="1">IFERROR(__xludf.DUMMYFUNCTION("""COMPUTED_VALUE"""),"H5_B10_BG-31.png")</f>
        <v>H5_B10_BG-31.png</v>
      </c>
      <c r="L1723" s="13" t="str">
        <f ca="1">IFERROR(__xludf.DUMMYFUNCTION("""COMPUTED_VALUE"""),"B10_31.mp3")</f>
        <v>B10_31.mp3</v>
      </c>
      <c r="M1723" s="13" t="str">
        <f ca="1">IFERROR(__xludf.DUMMYFUNCTION("""COMPUTED_VALUE"""),"B10_VD_31.mp3")</f>
        <v>B10_VD_31.mp3</v>
      </c>
    </row>
    <row r="1724" spans="1:13">
      <c r="A1724" s="13">
        <f ca="1">IFERROR(__xludf.DUMMYFUNCTION("""COMPUTED_VALUE"""),32)</f>
        <v>32</v>
      </c>
      <c r="B1724" s="13"/>
      <c r="C1724" s="13" t="str">
        <f ca="1">IFERROR(__xludf.DUMMYFUNCTION("""COMPUTED_VALUE"""),"请求")</f>
        <v>请求</v>
      </c>
      <c r="D1724" s="13" t="str">
        <f ca="1">IFERROR(__xludf.DUMMYFUNCTION("""COMPUTED_VALUE"""),"&lt;ruby&gt;请求&lt;rt&gt;qǐngqiú&lt;/rt&gt;&lt;/ruby&gt;")</f>
        <v>&lt;ruby&gt;请求&lt;rt&gt;qǐngqiú&lt;/rt&gt;&lt;/ruby&gt;</v>
      </c>
      <c r="E1724" s="13" t="str">
        <f ca="1">IFERROR(__xludf.DUMMYFUNCTION("""COMPUTED_VALUE"""),"qǐngqiú")</f>
        <v>qǐngqiú</v>
      </c>
      <c r="F1724" s="13" t="str">
        <f ca="1">IFERROR(__xludf.DUMMYFUNCTION("""COMPUTED_VALUE"""),"Động từ/Danh từ")</f>
        <v>Động từ/Danh từ</v>
      </c>
      <c r="G1724" s="13" t="str">
        <f ca="1">IFERROR(__xludf.DUMMYFUNCTION("""COMPUTED_VALUE"""),"yêu cầu, đề nghị; lời thỉnh cầu")</f>
        <v>yêu cầu, đề nghị; lời thỉnh cầu</v>
      </c>
      <c r="H1724" s="13" t="str">
        <f ca="1">IFERROR(__xludf.DUMMYFUNCTION("""COMPUTED_VALUE"""),"老板请求我留下来加班以赶上进度。")</f>
        <v>老板请求我留下来加班以赶上进度。</v>
      </c>
      <c r="I1724" s="13"/>
      <c r="J1724" s="13" t="str">
        <f ca="1">IFERROR(__xludf.DUMMYFUNCTION("""COMPUTED_VALUE"""),"Sếp yêu cầu tôi ở lại tăng ca cho kịp tiến độ.
")</f>
        <v xml:space="preserve">Sếp yêu cầu tôi ở lại tăng ca cho kịp tiến độ.
</v>
      </c>
      <c r="K1724" s="13" t="str">
        <f ca="1">IFERROR(__xludf.DUMMYFUNCTION("""COMPUTED_VALUE"""),"H5_B10_BG-32.png")</f>
        <v>H5_B10_BG-32.png</v>
      </c>
      <c r="L1724" s="13" t="str">
        <f ca="1">IFERROR(__xludf.DUMMYFUNCTION("""COMPUTED_VALUE"""),"B10_32.mp3")</f>
        <v>B10_32.mp3</v>
      </c>
      <c r="M1724" s="13" t="str">
        <f ca="1">IFERROR(__xludf.DUMMYFUNCTION("""COMPUTED_VALUE"""),"B10_VD_32.mp3")</f>
        <v>B10_VD_32.mp3</v>
      </c>
    </row>
    <row r="1725" spans="1:13">
      <c r="A1725" s="13">
        <f ca="1">IFERROR(__xludf.DUMMYFUNCTION("""COMPUTED_VALUE"""),33)</f>
        <v>33</v>
      </c>
      <c r="B1725" s="13"/>
      <c r="C1725" s="13" t="str">
        <f ca="1">IFERROR(__xludf.DUMMYFUNCTION("""COMPUTED_VALUE"""),"摄影师")</f>
        <v>摄影师</v>
      </c>
      <c r="D1725" s="13" t="str">
        <f ca="1">IFERROR(__xludf.DUMMYFUNCTION("""COMPUTED_VALUE"""),"&lt;ruby&gt;摄影师&lt;rt&gt;shèyǐngshī&lt;/rt&gt;&lt;/ruby&gt;")</f>
        <v>&lt;ruby&gt;摄影师&lt;rt&gt;shèyǐngshī&lt;/rt&gt;&lt;/ruby&gt;</v>
      </c>
      <c r="E1725" s="13" t="str">
        <f ca="1">IFERROR(__xludf.DUMMYFUNCTION("""COMPUTED_VALUE"""),"shèyǐngshī")</f>
        <v>shèyǐngshī</v>
      </c>
      <c r="F1725" s="13" t="str">
        <f ca="1">IFERROR(__xludf.DUMMYFUNCTION("""COMPUTED_VALUE"""),"Danh từ")</f>
        <v>Danh từ</v>
      </c>
      <c r="G1725" s="13" t="str">
        <f ca="1">IFERROR(__xludf.DUMMYFUNCTION("""COMPUTED_VALUE"""),"nhà nhiếp ảnh")</f>
        <v>nhà nhiếp ảnh</v>
      </c>
      <c r="H1725" s="13" t="str">
        <f ca="1">IFERROR(__xludf.DUMMYFUNCTION("""COMPUTED_VALUE"""),"作为一名摄影师，我经常去各地拍摄美丽的照片。")</f>
        <v>作为一名摄影师，我经常去各地拍摄美丽的照片。</v>
      </c>
      <c r="I1725" s="13"/>
      <c r="J1725" s="13" t="str">
        <f ca="1">IFERROR(__xludf.DUMMYFUNCTION("""COMPUTED_VALUE"""),"Là một nhà nhiếp ảnh tôi luôn đi khắp nơi để chụp lại những bức ảnh đẹp.")</f>
        <v>Là một nhà nhiếp ảnh tôi luôn đi khắp nơi để chụp lại những bức ảnh đẹp.</v>
      </c>
      <c r="K1725" s="13" t="str">
        <f ca="1">IFERROR(__xludf.DUMMYFUNCTION("""COMPUTED_VALUE"""),"H5_B10_BG-33.png")</f>
        <v>H5_B10_BG-33.png</v>
      </c>
      <c r="L1725" s="13" t="str">
        <f ca="1">IFERROR(__xludf.DUMMYFUNCTION("""COMPUTED_VALUE"""),"B10_33.mp3")</f>
        <v>B10_33.mp3</v>
      </c>
      <c r="M1725" s="13" t="str">
        <f ca="1">IFERROR(__xludf.DUMMYFUNCTION("""COMPUTED_VALUE"""),"B10_VD_33.mp3")</f>
        <v>B10_VD_33.mp3</v>
      </c>
    </row>
    <row r="1726" spans="1:13">
      <c r="A1726" s="13">
        <f ca="1">IFERROR(__xludf.DUMMYFUNCTION("""COMPUTED_VALUE"""),34)</f>
        <v>34</v>
      </c>
      <c r="B1726" s="13"/>
      <c r="C1726" s="13" t="str">
        <f ca="1">IFERROR(__xludf.DUMMYFUNCTION("""COMPUTED_VALUE"""),"围绕")</f>
        <v>围绕</v>
      </c>
      <c r="D1726" s="13" t="str">
        <f ca="1">IFERROR(__xludf.DUMMYFUNCTION("""COMPUTED_VALUE"""),"&lt;ruby&gt;围绕&lt;rt&gt;wéirào&lt;/rt&gt;&lt;/ruby&gt;")</f>
        <v>&lt;ruby&gt;围绕&lt;rt&gt;wéirào&lt;/rt&gt;&lt;/ruby&gt;</v>
      </c>
      <c r="E1726" s="13" t="str">
        <f ca="1">IFERROR(__xludf.DUMMYFUNCTION("""COMPUTED_VALUE"""),"wéirào")</f>
        <v>wéirào</v>
      </c>
      <c r="F1726" s="13" t="str">
        <f ca="1">IFERROR(__xludf.DUMMYFUNCTION("""COMPUTED_VALUE"""),"Động từ")</f>
        <v>Động từ</v>
      </c>
      <c r="G1726" s="13" t="str">
        <f ca="1">IFERROR(__xludf.DUMMYFUNCTION("""COMPUTED_VALUE"""),"xoay quanh")</f>
        <v>xoay quanh</v>
      </c>
      <c r="H1726" s="13" t="str">
        <f ca="1">IFERROR(__xludf.DUMMYFUNCTION("""COMPUTED_VALUE"""),"这次会议围绕公司的发展进行讨论。")</f>
        <v>这次会议围绕公司的发展进行讨论。</v>
      </c>
      <c r="I1726" s="13"/>
      <c r="J1726" s="13" t="str">
        <f ca="1">IFERROR(__xludf.DUMMYFUNCTION("""COMPUTED_VALUE"""),"Cuộc họp này xoay quanh sự phát triển của công ty.")</f>
        <v>Cuộc họp này xoay quanh sự phát triển của công ty.</v>
      </c>
      <c r="K1726" s="13" t="str">
        <f ca="1">IFERROR(__xludf.DUMMYFUNCTION("""COMPUTED_VALUE"""),"H5_B10_BG-34.png")</f>
        <v>H5_B10_BG-34.png</v>
      </c>
      <c r="L1726" s="13" t="str">
        <f ca="1">IFERROR(__xludf.DUMMYFUNCTION("""COMPUTED_VALUE"""),"B10_34.mp3")</f>
        <v>B10_34.mp3</v>
      </c>
      <c r="M1726" s="13" t="str">
        <f ca="1">IFERROR(__xludf.DUMMYFUNCTION("""COMPUTED_VALUE"""),"B10_VD_34.mp3")</f>
        <v>B10_VD_34.mp3</v>
      </c>
    </row>
    <row r="1727" spans="1:13">
      <c r="A1727" s="13">
        <f ca="1">IFERROR(__xludf.DUMMYFUNCTION("""COMPUTED_VALUE"""),35)</f>
        <v>35</v>
      </c>
      <c r="B1727" s="13"/>
      <c r="C1727" s="13" t="str">
        <f ca="1">IFERROR(__xludf.DUMMYFUNCTION("""COMPUTED_VALUE"""),"重大")</f>
        <v>重大</v>
      </c>
      <c r="D1727" s="13" t="str">
        <f ca="1">IFERROR(__xludf.DUMMYFUNCTION("""COMPUTED_VALUE"""),"&lt;ruby&gt;重大&lt;rt&gt;zhòngdà&lt;/rt&gt;&lt;/ruby&gt;")</f>
        <v>&lt;ruby&gt;重大&lt;rt&gt;zhòngdà&lt;/rt&gt;&lt;/ruby&gt;</v>
      </c>
      <c r="E1727" s="13" t="str">
        <f ca="1">IFERROR(__xludf.DUMMYFUNCTION("""COMPUTED_VALUE"""),"zhòngdà")</f>
        <v>zhòngdà</v>
      </c>
      <c r="F1727" s="13" t="str">
        <f ca="1">IFERROR(__xludf.DUMMYFUNCTION("""COMPUTED_VALUE"""),"Tính từ ")</f>
        <v xml:space="preserve">Tính từ </v>
      </c>
      <c r="G1727" s="13" t="str">
        <f ca="1">IFERROR(__xludf.DUMMYFUNCTION("""COMPUTED_VALUE"""),"trọng đại, to lớn")</f>
        <v>trọng đại, to lớn</v>
      </c>
      <c r="H1727" s="13" t="str">
        <f ca="1">IFERROR(__xludf.DUMMYFUNCTION("""COMPUTED_VALUE"""),"他为公司做出了重大的贡献。")</f>
        <v>他为公司做出了重大的贡献。</v>
      </c>
      <c r="I1727" s="13"/>
      <c r="J1727" s="13" t="str">
        <f ca="1">IFERROR(__xludf.DUMMYFUNCTION("""COMPUTED_VALUE"""),"Anh ấy đã có những đóng góp to lớn cho công ty.")</f>
        <v>Anh ấy đã có những đóng góp to lớn cho công ty.</v>
      </c>
      <c r="K1727" s="13" t="str">
        <f ca="1">IFERROR(__xludf.DUMMYFUNCTION("""COMPUTED_VALUE"""),"H5_B10_BG-35.png")</f>
        <v>H5_B10_BG-35.png</v>
      </c>
      <c r="L1727" s="13" t="str">
        <f ca="1">IFERROR(__xludf.DUMMYFUNCTION("""COMPUTED_VALUE"""),"B10_35.mp3")</f>
        <v>B10_35.mp3</v>
      </c>
      <c r="M1727" s="13" t="str">
        <f ca="1">IFERROR(__xludf.DUMMYFUNCTION("""COMPUTED_VALUE"""),"B10_VD_35.mp3")</f>
        <v>B10_VD_35.mp3</v>
      </c>
    </row>
    <row r="1728" spans="1:13">
      <c r="A1728" s="13">
        <f ca="1">IFERROR(__xludf.DUMMYFUNCTION("""COMPUTED_VALUE"""),36)</f>
        <v>36</v>
      </c>
      <c r="B1728" s="13"/>
      <c r="C1728" s="13" t="str">
        <f ca="1">IFERROR(__xludf.DUMMYFUNCTION("""COMPUTED_VALUE"""),"播放")</f>
        <v>播放</v>
      </c>
      <c r="D1728" s="13" t="str">
        <f ca="1">IFERROR(__xludf.DUMMYFUNCTION("""COMPUTED_VALUE"""),"&lt;ruby&gt;播放&lt;rt&gt;bōfàng&lt;/rt&gt;&lt;/ruby&gt;")</f>
        <v>&lt;ruby&gt;播放&lt;rt&gt;bōfàng&lt;/rt&gt;&lt;/ruby&gt;</v>
      </c>
      <c r="E1728" s="13" t="str">
        <f ca="1">IFERROR(__xludf.DUMMYFUNCTION("""COMPUTED_VALUE"""),"bōfàng")</f>
        <v>bōfàng</v>
      </c>
      <c r="F1728" s="13" t="str">
        <f ca="1">IFERROR(__xludf.DUMMYFUNCTION("""COMPUTED_VALUE"""),"Động từ")</f>
        <v>Động từ</v>
      </c>
      <c r="G1728" s="13" t="str">
        <f ca="1">IFERROR(__xludf.DUMMYFUNCTION("""COMPUTED_VALUE"""),"phát sóng, chiếu")</f>
        <v>phát sóng, chiếu</v>
      </c>
      <c r="H1728" s="13" t="str">
        <f ca="1">IFERROR(__xludf.DUMMYFUNCTION("""COMPUTED_VALUE""")," 电视节目将在晚上八点播放。")</f>
        <v xml:space="preserve"> 电视节目将在晚上八点播放。</v>
      </c>
      <c r="I1728" s="13"/>
      <c r="J1728" s="13" t="str">
        <f ca="1">IFERROR(__xludf.DUMMYFUNCTION("""COMPUTED_VALUE"""),"Chương trình truyền hình sẽ phát sóng lúc 8 giờ tối.
")</f>
        <v xml:space="preserve">Chương trình truyền hình sẽ phát sóng lúc 8 giờ tối.
</v>
      </c>
      <c r="K1728" s="13" t="str">
        <f ca="1">IFERROR(__xludf.DUMMYFUNCTION("""COMPUTED_VALUE"""),"H5_B10_BG-36.png")</f>
        <v>H5_B10_BG-36.png</v>
      </c>
      <c r="L1728" s="13" t="str">
        <f ca="1">IFERROR(__xludf.DUMMYFUNCTION("""COMPUTED_VALUE"""),"B10_36.mp3")</f>
        <v>B10_36.mp3</v>
      </c>
      <c r="M1728" s="13" t="str">
        <f ca="1">IFERROR(__xludf.DUMMYFUNCTION("""COMPUTED_VALUE"""),"B10_VD_36.mp3")</f>
        <v>B10_VD_36.mp3</v>
      </c>
    </row>
    <row r="1729" spans="1:13">
      <c r="A1729" s="13">
        <f ca="1">IFERROR(__xludf.DUMMYFUNCTION("""COMPUTED_VALUE"""),37)</f>
        <v>37</v>
      </c>
      <c r="B1729" s="13"/>
      <c r="C1729" s="13" t="str">
        <f ca="1">IFERROR(__xludf.DUMMYFUNCTION("""COMPUTED_VALUE"""),"拍")</f>
        <v>拍</v>
      </c>
      <c r="D1729" s="13" t="str">
        <f ca="1">IFERROR(__xludf.DUMMYFUNCTION("""COMPUTED_VALUE"""),"&lt;ruby&gt;拍&lt;rt&gt;pāi&lt;/rt&gt;&lt;/ruby&gt;")</f>
        <v>&lt;ruby&gt;拍&lt;rt&gt;pāi&lt;/rt&gt;&lt;/ruby&gt;</v>
      </c>
      <c r="E1729" s="13" t="str">
        <f ca="1">IFERROR(__xludf.DUMMYFUNCTION("""COMPUTED_VALUE"""),"pāi")</f>
        <v>pāi</v>
      </c>
      <c r="F1729" s="13" t="str">
        <f ca="1">IFERROR(__xludf.DUMMYFUNCTION("""COMPUTED_VALUE"""),"Động từ")</f>
        <v>Động từ</v>
      </c>
      <c r="G1729" s="13" t="str">
        <f ca="1">IFERROR(__xludf.DUMMYFUNCTION("""COMPUTED_VALUE"""),"quay (phim), chụp (ảnh)")</f>
        <v>quay (phim), chụp (ảnh)</v>
      </c>
      <c r="H1729" s="13" t="str">
        <f ca="1">IFERROR(__xludf.DUMMYFUNCTION("""COMPUTED_VALUE"""),"我很喜欢拍照，记录青春的美好瞬间。")</f>
        <v>我很喜欢拍照，记录青春的美好瞬间。</v>
      </c>
      <c r="I1729" s="13"/>
      <c r="J1729" s="13" t="str">
        <f ca="1">IFERROR(__xludf.DUMMYFUNCTION("""COMPUTED_VALUE"""),"Tôi rất thích chụp ảnh, để lưu lại những khoảnh khắc đẹp của thanh xuân")</f>
        <v>Tôi rất thích chụp ảnh, để lưu lại những khoảnh khắc đẹp của thanh xuân</v>
      </c>
      <c r="K1729" s="13" t="str">
        <f ca="1">IFERROR(__xludf.DUMMYFUNCTION("""COMPUTED_VALUE"""),"H5_B10_BG-37.png")</f>
        <v>H5_B10_BG-37.png</v>
      </c>
      <c r="L1729" s="13" t="str">
        <f ca="1">IFERROR(__xludf.DUMMYFUNCTION("""COMPUTED_VALUE"""),"B10_37.mp3")</f>
        <v>B10_37.mp3</v>
      </c>
      <c r="M1729" s="13" t="str">
        <f ca="1">IFERROR(__xludf.DUMMYFUNCTION("""COMPUTED_VALUE"""),"B10_VD_37.mp3")</f>
        <v>B10_VD_37.mp3</v>
      </c>
    </row>
    <row r="1730" spans="1:13">
      <c r="A1730" s="13">
        <f ca="1">IFERROR(__xludf.DUMMYFUNCTION("""COMPUTED_VALUE"""),1)</f>
        <v>1</v>
      </c>
      <c r="B1730" s="13"/>
      <c r="C1730" s="13" t="str">
        <f ca="1">IFERROR(__xludf.DUMMYFUNCTION("""COMPUTED_VALUE"""),"必要")</f>
        <v>必要</v>
      </c>
      <c r="D1730" s="13" t="str">
        <f ca="1">IFERROR(__xludf.DUMMYFUNCTION("""COMPUTED_VALUE"""),"&lt;ruby&gt;必要&lt;rt&gt;bìyào&lt;/rt&gt;&lt;/ruby&gt;")</f>
        <v>&lt;ruby&gt;必要&lt;rt&gt;bìyào&lt;/rt&gt;&lt;/ruby&gt;</v>
      </c>
      <c r="E1730" s="13" t="str">
        <f ca="1">IFERROR(__xludf.DUMMYFUNCTION("""COMPUTED_VALUE"""),"bìyào")</f>
        <v>bìyào</v>
      </c>
      <c r="F1730" s="13" t="str">
        <f ca="1">IFERROR(__xludf.DUMMYFUNCTION("""COMPUTED_VALUE"""),"Tính từ")</f>
        <v>Tính từ</v>
      </c>
      <c r="G1730" s="13" t="str">
        <f ca="1">IFERROR(__xludf.DUMMYFUNCTION("""COMPUTED_VALUE"""),"cần thiết, thiết yếu")</f>
        <v>cần thiết, thiết yếu</v>
      </c>
      <c r="H1730" s="13" t="str">
        <f ca="1">IFERROR(__xludf.DUMMYFUNCTION("""COMPUTED_VALUE"""),"为了身体健康，经常锻炼是必要的。")</f>
        <v>为了身体健康，经常锻炼是必要的。</v>
      </c>
      <c r="I1730" s="13"/>
      <c r="J1730" s="13" t="str">
        <f ca="1">IFERROR(__xludf.DUMMYFUNCTION("""COMPUTED_VALUE"""),"Để có sức khỏe tốt, tập thể dục thường xuyên là điều cần thiết.")</f>
        <v>Để có sức khỏe tốt, tập thể dục thường xuyên là điều cần thiết.</v>
      </c>
      <c r="K1730" s="13" t="str">
        <f ca="1">IFERROR(__xludf.DUMMYFUNCTION("""COMPUTED_VALUE"""),"H5_B11_BG-01.png")</f>
        <v>H5_B11_BG-01.png</v>
      </c>
      <c r="L1730" s="13" t="str">
        <f ca="1">IFERROR(__xludf.DUMMYFUNCTION("""COMPUTED_VALUE"""),"B11_1.mp3")</f>
        <v>B11_1.mp3</v>
      </c>
      <c r="M1730" s="13" t="str">
        <f ca="1">IFERROR(__xludf.DUMMYFUNCTION("""COMPUTED_VALUE"""),"B11_VD_1.mp3")</f>
        <v>B11_VD_1.mp3</v>
      </c>
    </row>
    <row r="1731" spans="1:13">
      <c r="A1731" s="13">
        <f ca="1">IFERROR(__xludf.DUMMYFUNCTION("""COMPUTED_VALUE"""),2)</f>
        <v>2</v>
      </c>
      <c r="B1731" s="13"/>
      <c r="C1731" s="13" t="str">
        <f ca="1">IFERROR(__xludf.DUMMYFUNCTION("""COMPUTED_VALUE"""),"避免")</f>
        <v>避免</v>
      </c>
      <c r="D1731" s="13" t="str">
        <f ca="1">IFERROR(__xludf.DUMMYFUNCTION("""COMPUTED_VALUE"""),"&lt;ruby&gt;避免&lt;rt&gt;bìmiǎn&lt;/rt&gt;&lt;/ruby&gt;")</f>
        <v>&lt;ruby&gt;避免&lt;rt&gt;bìmiǎn&lt;/rt&gt;&lt;/ruby&gt;</v>
      </c>
      <c r="E1731" s="13" t="str">
        <f ca="1">IFERROR(__xludf.DUMMYFUNCTION("""COMPUTED_VALUE"""),"bìmiǎn")</f>
        <v>bìmiǎn</v>
      </c>
      <c r="F1731" s="13" t="str">
        <f ca="1">IFERROR(__xludf.DUMMYFUNCTION("""COMPUTED_VALUE"""),"Động từ ")</f>
        <v xml:space="preserve">Động từ </v>
      </c>
      <c r="G1731" s="13" t="str">
        <f ca="1">IFERROR(__xludf.DUMMYFUNCTION("""COMPUTED_VALUE"""),"tránh, ngăn ngừa")</f>
        <v>tránh, ngăn ngừa</v>
      </c>
      <c r="H1731" s="13" t="str">
        <f ca="1">IFERROR(__xludf.DUMMYFUNCTION("""COMPUTED_VALUE"""),"戴口罩可以避免病毒传播。")</f>
        <v>戴口罩可以避免病毒传播。</v>
      </c>
      <c r="I1731" s="13"/>
      <c r="J1731" s="13" t="str">
        <f ca="1">IFERROR(__xludf.DUMMYFUNCTION("""COMPUTED_VALUE"""),"Đeo khẩu trang có thể tránh lây nhiễm virus.")</f>
        <v>Đeo khẩu trang có thể tránh lây nhiễm virus.</v>
      </c>
      <c r="K1731" s="13" t="str">
        <f ca="1">IFERROR(__xludf.DUMMYFUNCTION("""COMPUTED_VALUE"""),"H5_B11_BG-02.png")</f>
        <v>H5_B11_BG-02.png</v>
      </c>
      <c r="L1731" s="13" t="str">
        <f ca="1">IFERROR(__xludf.DUMMYFUNCTION("""COMPUTED_VALUE"""),"B11_2.mp3")</f>
        <v>B11_2.mp3</v>
      </c>
      <c r="M1731" s="13" t="str">
        <f ca="1">IFERROR(__xludf.DUMMYFUNCTION("""COMPUTED_VALUE"""),"B11_VD_2.mp3")</f>
        <v>B11_VD_2.mp3</v>
      </c>
    </row>
    <row r="1732" spans="1:13">
      <c r="A1732" s="13">
        <f ca="1">IFERROR(__xludf.DUMMYFUNCTION("""COMPUTED_VALUE"""),3)</f>
        <v>3</v>
      </c>
      <c r="B1732" s="13"/>
      <c r="C1732" s="13" t="str">
        <f ca="1">IFERROR(__xludf.DUMMYFUNCTION("""COMPUTED_VALUE"""),"低落")</f>
        <v>低落</v>
      </c>
      <c r="D1732" s="13" t="str">
        <f ca="1">IFERROR(__xludf.DUMMYFUNCTION("""COMPUTED_VALUE"""),"&lt;ruby&gt;低落&lt;rt&gt;dīluò&lt;/rt&gt;&lt;/ruby&gt;")</f>
        <v>&lt;ruby&gt;低落&lt;rt&gt;dīluò&lt;/rt&gt;&lt;/ruby&gt;</v>
      </c>
      <c r="E1732" s="13" t="str">
        <f ca="1">IFERROR(__xludf.DUMMYFUNCTION("""COMPUTED_VALUE"""),"dīluò")</f>
        <v>dīluò</v>
      </c>
      <c r="F1732" s="13" t="str">
        <f ca="1">IFERROR(__xludf.DUMMYFUNCTION("""COMPUTED_VALUE"""),"Tính từ")</f>
        <v>Tính từ</v>
      </c>
      <c r="G1732" s="13" t="str">
        <f ca="1">IFERROR(__xludf.DUMMYFUNCTION("""COMPUTED_VALUE"""),"suy nhược, ủ rũ")</f>
        <v>suy nhược, ủ rũ</v>
      </c>
      <c r="H1732" s="13" t="str">
        <f ca="1">IFERROR(__xludf.DUMMYFUNCTION("""COMPUTED_VALUE"""),"最近他工作压力大，看起来有点低落。")</f>
        <v>最近他工作压力大，看起来有点低落。</v>
      </c>
      <c r="I1732" s="13"/>
      <c r="J1732" s="13" t="str">
        <f ca="1">IFERROR(__xludf.DUMMYFUNCTION("""COMPUTED_VALUE"""),"Gần đây anh ấy có nhiều áp lực công việc, nhìn có vẻ ủ rũ.")</f>
        <v>Gần đây anh ấy có nhiều áp lực công việc, nhìn có vẻ ủ rũ.</v>
      </c>
      <c r="K1732" s="13" t="str">
        <f ca="1">IFERROR(__xludf.DUMMYFUNCTION("""COMPUTED_VALUE"""),"H5_B11_BG-03.png")</f>
        <v>H5_B11_BG-03.png</v>
      </c>
      <c r="L1732" s="13" t="str">
        <f ca="1">IFERROR(__xludf.DUMMYFUNCTION("""COMPUTED_VALUE"""),"B11_3.mp3")</f>
        <v>B11_3.mp3</v>
      </c>
      <c r="M1732" s="13" t="str">
        <f ca="1">IFERROR(__xludf.DUMMYFUNCTION("""COMPUTED_VALUE"""),"B11_VD_3.mp3")</f>
        <v>B11_VD_3.mp3</v>
      </c>
    </row>
    <row r="1733" spans="1:13">
      <c r="A1733" s="13">
        <f ca="1">IFERROR(__xludf.DUMMYFUNCTION("""COMPUTED_VALUE"""),4)</f>
        <v>4</v>
      </c>
      <c r="B1733" s="13"/>
      <c r="C1733" s="13" t="str">
        <f ca="1">IFERROR(__xludf.DUMMYFUNCTION("""COMPUTED_VALUE"""),"规律")</f>
        <v>规律</v>
      </c>
      <c r="D1733" s="13" t="str">
        <f ca="1">IFERROR(__xludf.DUMMYFUNCTION("""COMPUTED_VALUE"""),"&lt;ruby&gt;规律&lt;rt&gt;guīlǜ&lt;/rt&gt;&lt;/ruby&gt;")</f>
        <v>&lt;ruby&gt;规律&lt;rt&gt;guīlǜ&lt;/rt&gt;&lt;/ruby&gt;</v>
      </c>
      <c r="E1733" s="13" t="str">
        <f ca="1">IFERROR(__xludf.DUMMYFUNCTION("""COMPUTED_VALUE"""),"guīlǜ")</f>
        <v>guīlǜ</v>
      </c>
      <c r="F1733" s="13" t="str">
        <f ca="1">IFERROR(__xludf.DUMMYFUNCTION("""COMPUTED_VALUE"""),"Danh từ/Tính từ")</f>
        <v>Danh từ/Tính từ</v>
      </c>
      <c r="G1733" s="13" t="str">
        <f ca="1">IFERROR(__xludf.DUMMYFUNCTION("""COMPUTED_VALUE"""),"quy luât; đều đều, có nhịp điệu")</f>
        <v>quy luât; đều đều, có nhịp điệu</v>
      </c>
      <c r="H1733" s="13" t="str">
        <f ca="1">IFERROR(__xludf.DUMMYFUNCTION("""COMPUTED_VALUE"""),"他的作息时间很有规律，每天早上六点起床。")</f>
        <v>他的作息时间很有规律，每天早上六点起床。</v>
      </c>
      <c r="I1733" s="13"/>
      <c r="J1733" s="13" t="str">
        <f ca="1">IFERROR(__xludf.DUMMYFUNCTION("""COMPUTED_VALUE"""),"Thời gian sinh hoạt của anh ấy rất đều đặn, mỗi ngày đều thức dậy vào lúc 6 giờ.")</f>
        <v>Thời gian sinh hoạt của anh ấy rất đều đặn, mỗi ngày đều thức dậy vào lúc 6 giờ.</v>
      </c>
      <c r="K1733" s="13" t="str">
        <f ca="1">IFERROR(__xludf.DUMMYFUNCTION("""COMPUTED_VALUE"""),"H5_B11_BG-04.png")</f>
        <v>H5_B11_BG-04.png</v>
      </c>
      <c r="L1733" s="13" t="str">
        <f ca="1">IFERROR(__xludf.DUMMYFUNCTION("""COMPUTED_VALUE"""),"B11_4.mp3")</f>
        <v>B11_4.mp3</v>
      </c>
      <c r="M1733" s="13" t="str">
        <f ca="1">IFERROR(__xludf.DUMMYFUNCTION("""COMPUTED_VALUE"""),"B11_VD_4.mp3")</f>
        <v>B11_VD_4.mp3</v>
      </c>
    </row>
    <row r="1734" spans="1:13">
      <c r="A1734" s="13">
        <f ca="1">IFERROR(__xludf.DUMMYFUNCTION("""COMPUTED_VALUE"""),5)</f>
        <v>5</v>
      </c>
      <c r="B1734" s="13"/>
      <c r="C1734" s="13" t="str">
        <f ca="1">IFERROR(__xludf.DUMMYFUNCTION("""COMPUTED_VALUE"""),"呼吸")</f>
        <v>呼吸</v>
      </c>
      <c r="D1734" s="13" t="str">
        <f ca="1">IFERROR(__xludf.DUMMYFUNCTION("""COMPUTED_VALUE"""),"&lt;ruby&gt;呼吸&lt;rt&gt;hūxī&lt;/rt&gt;&lt;/ruby&gt;")</f>
        <v>&lt;ruby&gt;呼吸&lt;rt&gt;hūxī&lt;/rt&gt;&lt;/ruby&gt;</v>
      </c>
      <c r="E1734" s="13" t="str">
        <f ca="1">IFERROR(__xludf.DUMMYFUNCTION("""COMPUTED_VALUE"""),"hūxī")</f>
        <v>hūxī</v>
      </c>
      <c r="F1734" s="13" t="str">
        <f ca="1">IFERROR(__xludf.DUMMYFUNCTION("""COMPUTED_VALUE"""),"Động từ ")</f>
        <v xml:space="preserve">Động từ </v>
      </c>
      <c r="G1734" s="13" t="str">
        <f ca="1">IFERROR(__xludf.DUMMYFUNCTION("""COMPUTED_VALUE"""),"hít thở ")</f>
        <v xml:space="preserve">hít thở </v>
      </c>
      <c r="H1734" s="13" t="str">
        <f ca="1">IFERROR(__xludf.DUMMYFUNCTION("""COMPUTED_VALUE"""),"深呼吸可以帮助放松身体。")</f>
        <v>深呼吸可以帮助放松身体。</v>
      </c>
      <c r="I1734" s="13"/>
      <c r="J1734" s="13" t="str">
        <f ca="1">IFERROR(__xludf.DUMMYFUNCTION("""COMPUTED_VALUE"""),"Hít thở sâu giúp thư giãn cơ thể.")</f>
        <v>Hít thở sâu giúp thư giãn cơ thể.</v>
      </c>
      <c r="K1734" s="13" t="str">
        <f ca="1">IFERROR(__xludf.DUMMYFUNCTION("""COMPUTED_VALUE"""),"H5_B11_BG-05.png")</f>
        <v>H5_B11_BG-05.png</v>
      </c>
      <c r="L1734" s="13" t="str">
        <f ca="1">IFERROR(__xludf.DUMMYFUNCTION("""COMPUTED_VALUE"""),"B11_5.mp3")</f>
        <v>B11_5.mp3</v>
      </c>
      <c r="M1734" s="13" t="str">
        <f ca="1">IFERROR(__xludf.DUMMYFUNCTION("""COMPUTED_VALUE"""),"B11_VD_5.mp3")</f>
        <v>B11_VD_5.mp3</v>
      </c>
    </row>
    <row r="1735" spans="1:13">
      <c r="A1735" s="13">
        <f ca="1">IFERROR(__xludf.DUMMYFUNCTION("""COMPUTED_VALUE"""),6)</f>
        <v>6</v>
      </c>
      <c r="B1735" s="13"/>
      <c r="C1735" s="13" t="str">
        <f ca="1">IFERROR(__xludf.DUMMYFUNCTION("""COMPUTED_VALUE"""),"浅")</f>
        <v>浅</v>
      </c>
      <c r="D1735" s="13" t="str">
        <f ca="1">IFERROR(__xludf.DUMMYFUNCTION("""COMPUTED_VALUE"""),"&lt;ruby&gt;浅&lt;rt&gt;qiǎn&lt;/rt&gt;&lt;/ruby&gt;")</f>
        <v>&lt;ruby&gt;浅&lt;rt&gt;qiǎn&lt;/rt&gt;&lt;/ruby&gt;</v>
      </c>
      <c r="E1735" s="13" t="str">
        <f ca="1">IFERROR(__xludf.DUMMYFUNCTION("""COMPUTED_VALUE"""),"qiǎn")</f>
        <v>qiǎn</v>
      </c>
      <c r="F1735" s="13" t="str">
        <f ca="1">IFERROR(__xludf.DUMMYFUNCTION("""COMPUTED_VALUE"""),"Tính từ")</f>
        <v>Tính từ</v>
      </c>
      <c r="G1735" s="13" t="str">
        <f ca="1">IFERROR(__xludf.DUMMYFUNCTION("""COMPUTED_VALUE"""),"nông, cạn")</f>
        <v>nông, cạn</v>
      </c>
      <c r="H1735" s="13" t="str">
        <f ca="1">IFERROR(__xludf.DUMMYFUNCTION("""COMPUTED_VALUE"""),"这个湖很浅，可以下去捉鱼。")</f>
        <v>这个湖很浅，可以下去捉鱼。</v>
      </c>
      <c r="I1735" s="13"/>
      <c r="J1735" s="13" t="str">
        <f ca="1">IFERROR(__xludf.DUMMYFUNCTION("""COMPUTED_VALUE"""),"Hồ nước này khá nông, có thể xuống bắt cá được.")</f>
        <v>Hồ nước này khá nông, có thể xuống bắt cá được.</v>
      </c>
      <c r="K1735" s="13" t="str">
        <f ca="1">IFERROR(__xludf.DUMMYFUNCTION("""COMPUTED_VALUE"""),"H5_B11_BG-06.png")</f>
        <v>H5_B11_BG-06.png</v>
      </c>
      <c r="L1735" s="13" t="str">
        <f ca="1">IFERROR(__xludf.DUMMYFUNCTION("""COMPUTED_VALUE"""),"B11_6.mp3")</f>
        <v>B11_6.mp3</v>
      </c>
      <c r="M1735" s="13" t="str">
        <f ca="1">IFERROR(__xludf.DUMMYFUNCTION("""COMPUTED_VALUE"""),"B11_VD_6.mp3")</f>
        <v>B11_VD_6.mp3</v>
      </c>
    </row>
    <row r="1736" spans="1:13">
      <c r="A1736" s="13">
        <f ca="1">IFERROR(__xludf.DUMMYFUNCTION("""COMPUTED_VALUE"""),7)</f>
        <v>7</v>
      </c>
      <c r="B1736" s="13"/>
      <c r="C1736" s="13" t="str">
        <f ca="1">IFERROR(__xludf.DUMMYFUNCTION("""COMPUTED_VALUE"""),"失眠")</f>
        <v>失眠</v>
      </c>
      <c r="D1736" s="13" t="str">
        <f ca="1">IFERROR(__xludf.DUMMYFUNCTION("""COMPUTED_VALUE"""),"&lt;ruby&gt;失眠&lt;rt&gt;shīmián&lt;/rt&gt;&lt;/ruby&gt;")</f>
        <v>&lt;ruby&gt;失眠&lt;rt&gt;shīmián&lt;/rt&gt;&lt;/ruby&gt;</v>
      </c>
      <c r="E1736" s="13" t="str">
        <f ca="1">IFERROR(__xludf.DUMMYFUNCTION("""COMPUTED_VALUE"""),"shīmián")</f>
        <v>shīmián</v>
      </c>
      <c r="F1736" s="13" t="str">
        <f ca="1">IFERROR(__xludf.DUMMYFUNCTION("""COMPUTED_VALUE"""),"Động từ ")</f>
        <v xml:space="preserve">Động từ </v>
      </c>
      <c r="G1736" s="13" t="str">
        <f ca="1">IFERROR(__xludf.DUMMYFUNCTION("""COMPUTED_VALUE"""),"mất ngủ")</f>
        <v>mất ngủ</v>
      </c>
      <c r="H1736" s="13" t="str">
        <f ca="1">IFERROR(__xludf.DUMMYFUNCTION("""COMPUTED_VALUE"""),"最近因为工作压力太大，我经常失眠。")</f>
        <v>最近因为工作压力太大，我经常失眠。</v>
      </c>
      <c r="I1736" s="13"/>
      <c r="J1736" s="13" t="str">
        <f ca="1">IFERROR(__xludf.DUMMYFUNCTION("""COMPUTED_VALUE"""),"Gần đây tôi thường mất ngủ vì áp lực công việc quá lớn.")</f>
        <v>Gần đây tôi thường mất ngủ vì áp lực công việc quá lớn.</v>
      </c>
      <c r="K1736" s="13" t="str">
        <f ca="1">IFERROR(__xludf.DUMMYFUNCTION("""COMPUTED_VALUE"""),"H5_B11_BG-07.png")</f>
        <v>H5_B11_BG-07.png</v>
      </c>
      <c r="L1736" s="13" t="str">
        <f ca="1">IFERROR(__xludf.DUMMYFUNCTION("""COMPUTED_VALUE"""),"B11_7.mp3")</f>
        <v>B11_7.mp3</v>
      </c>
      <c r="M1736" s="13" t="str">
        <f ca="1">IFERROR(__xludf.DUMMYFUNCTION("""COMPUTED_VALUE"""),"B11_VD_7.mp3")</f>
        <v>B11_VD_7.mp3</v>
      </c>
    </row>
    <row r="1737" spans="1:13">
      <c r="A1737" s="13">
        <f ca="1">IFERROR(__xludf.DUMMYFUNCTION("""COMPUTED_VALUE"""),8)</f>
        <v>8</v>
      </c>
      <c r="B1737" s="13"/>
      <c r="C1737" s="13" t="str">
        <f ca="1">IFERROR(__xludf.DUMMYFUNCTION("""COMPUTED_VALUE"""),"状态")</f>
        <v>状态</v>
      </c>
      <c r="D1737" s="13" t="str">
        <f ca="1">IFERROR(__xludf.DUMMYFUNCTION("""COMPUTED_VALUE"""),"&lt;ruby&gt;状态&lt;rt&gt;zhuàngtài&lt;/rt&gt;&lt;/ruby&gt;")</f>
        <v>&lt;ruby&gt;状态&lt;rt&gt;zhuàngtài&lt;/rt&gt;&lt;/ruby&gt;</v>
      </c>
      <c r="E1737" s="13" t="str">
        <f ca="1">IFERROR(__xludf.DUMMYFUNCTION("""COMPUTED_VALUE"""),"zhuàngtài")</f>
        <v>zhuàngtài</v>
      </c>
      <c r="F1737" s="13" t="str">
        <f ca="1">IFERROR(__xludf.DUMMYFUNCTION("""COMPUTED_VALUE"""),"Danh từ")</f>
        <v>Danh từ</v>
      </c>
      <c r="G1737" s="13" t="str">
        <f ca="1">IFERROR(__xludf.DUMMYFUNCTION("""COMPUTED_VALUE"""),"trạng thái, tình trạng")</f>
        <v>trạng thái, tình trạng</v>
      </c>
      <c r="H1737" s="13" t="str">
        <f ca="1">IFERROR(__xludf.DUMMYFUNCTION("""COMPUTED_VALUE"""),"我最近状态不好，总是感到很疲劳。")</f>
        <v>我最近状态不好，总是感到很疲劳。</v>
      </c>
      <c r="I1737" s="13"/>
      <c r="J1737" s="13" t="str">
        <f ca="1">IFERROR(__xludf.DUMMYFUNCTION("""COMPUTED_VALUE"""),"Trạng thái của tôi gần đây không tốt, thường xuyên cảm thấy mệt mỏi.")</f>
        <v>Trạng thái của tôi gần đây không tốt, thường xuyên cảm thấy mệt mỏi.</v>
      </c>
      <c r="K1737" s="13" t="str">
        <f ca="1">IFERROR(__xludf.DUMMYFUNCTION("""COMPUTED_VALUE"""),"H5_B11_BG-08.png")</f>
        <v>H5_B11_BG-08.png</v>
      </c>
      <c r="L1737" s="13" t="str">
        <f ca="1">IFERROR(__xludf.DUMMYFUNCTION("""COMPUTED_VALUE"""),"B11_8.mp3")</f>
        <v>B11_8.mp3</v>
      </c>
      <c r="M1737" s="13" t="str">
        <f ca="1">IFERROR(__xludf.DUMMYFUNCTION("""COMPUTED_VALUE"""),"B11_VD_8.mp3")</f>
        <v>B11_VD_8.mp3</v>
      </c>
    </row>
    <row r="1738" spans="1:13">
      <c r="A1738" s="13">
        <f ca="1">IFERROR(__xludf.DUMMYFUNCTION("""COMPUTED_VALUE"""),9)</f>
        <v>9</v>
      </c>
      <c r="B1738" s="13"/>
      <c r="C1738" s="13" t="str">
        <f ca="1">IFERROR(__xludf.DUMMYFUNCTION("""COMPUTED_VALUE"""),"机制")</f>
        <v>机制</v>
      </c>
      <c r="D1738" s="13" t="str">
        <f ca="1">IFERROR(__xludf.DUMMYFUNCTION("""COMPUTED_VALUE"""),"&lt;ruby&gt;机制&lt;rt&gt;jīzhì&lt;/rt&gt;&lt;/ruby&gt;")</f>
        <v>&lt;ruby&gt;机制&lt;rt&gt;jīzhì&lt;/rt&gt;&lt;/ruby&gt;</v>
      </c>
      <c r="E1738" s="13" t="str">
        <f ca="1">IFERROR(__xludf.DUMMYFUNCTION("""COMPUTED_VALUE"""),"jīzhì")</f>
        <v>jīzhì</v>
      </c>
      <c r="F1738" s="13" t="str">
        <f ca="1">IFERROR(__xludf.DUMMYFUNCTION("""COMPUTED_VALUE"""),"Danh từ")</f>
        <v>Danh từ</v>
      </c>
      <c r="G1738" s="13" t="str">
        <f ca="1">IFERROR(__xludf.DUMMYFUNCTION("""COMPUTED_VALUE"""),"cơ chế")</f>
        <v>cơ chế</v>
      </c>
      <c r="H1738" s="13" t="str">
        <f ca="1">IFERROR(__xludf.DUMMYFUNCTION("""COMPUTED_VALUE"""),"大脑的记忆机制非常复杂。")</f>
        <v>大脑的记忆机制非常复杂。</v>
      </c>
      <c r="I1738" s="13"/>
      <c r="J1738" s="13" t="str">
        <f ca="1">IFERROR(__xludf.DUMMYFUNCTION("""COMPUTED_VALUE"""),"Cơ chế ghi nhớ của não bộ rất phức tạp.")</f>
        <v>Cơ chế ghi nhớ của não bộ rất phức tạp.</v>
      </c>
      <c r="K1738" s="13" t="str">
        <f ca="1">IFERROR(__xludf.DUMMYFUNCTION("""COMPUTED_VALUE"""),"H5_B11_BG-09.png")</f>
        <v>H5_B11_BG-09.png</v>
      </c>
      <c r="L1738" s="13" t="str">
        <f ca="1">IFERROR(__xludf.DUMMYFUNCTION("""COMPUTED_VALUE"""),"B11_9.mp3")</f>
        <v>B11_9.mp3</v>
      </c>
      <c r="M1738" s="13" t="str">
        <f ca="1">IFERROR(__xludf.DUMMYFUNCTION("""COMPUTED_VALUE"""),"B11_VD_9.mp3")</f>
        <v>B11_VD_9.mp3</v>
      </c>
    </row>
    <row r="1739" spans="1:13">
      <c r="A1739" s="13">
        <f ca="1">IFERROR(__xludf.DUMMYFUNCTION("""COMPUTED_VALUE"""),10)</f>
        <v>10</v>
      </c>
      <c r="B1739" s="13"/>
      <c r="C1739" s="13" t="str">
        <f ca="1">IFERROR(__xludf.DUMMYFUNCTION("""COMPUTED_VALUE"""),"生物")</f>
        <v>生物</v>
      </c>
      <c r="D1739" s="13" t="str">
        <f ca="1">IFERROR(__xludf.DUMMYFUNCTION("""COMPUTED_VALUE"""),"&lt;ruby&gt;生物&lt;rt&gt;shēngwù&lt;/rt&gt;&lt;/ruby&gt;")</f>
        <v>&lt;ruby&gt;生物&lt;rt&gt;shēngwù&lt;/rt&gt;&lt;/ruby&gt;</v>
      </c>
      <c r="E1739" s="13" t="str">
        <f ca="1">IFERROR(__xludf.DUMMYFUNCTION("""COMPUTED_VALUE"""),"shēngwù")</f>
        <v>shēngwù</v>
      </c>
      <c r="F1739" s="13" t="str">
        <f ca="1">IFERROR(__xludf.DUMMYFUNCTION("""COMPUTED_VALUE"""),"Danh từ")</f>
        <v>Danh từ</v>
      </c>
      <c r="G1739" s="13" t="str">
        <f ca="1">IFERROR(__xludf.DUMMYFUNCTION("""COMPUTED_VALUE"""),"sinh vật")</f>
        <v>sinh vật</v>
      </c>
      <c r="H1739" s="13" t="str">
        <f ca="1">IFERROR(__xludf.DUMMYFUNCTION("""COMPUTED_VALUE"""),"海洋是地球上生物最丰富的环境之一。")</f>
        <v>海洋是地球上生物最丰富的环境之一。</v>
      </c>
      <c r="I1739" s="13"/>
      <c r="J1739" s="13" t="str">
        <f ca="1">IFERROR(__xludf.DUMMYFUNCTION("""COMPUTED_VALUE"""),"Đại dương là một trong những môi trường sống có sinh vật phong phú nhất trên trái đất.")</f>
        <v>Đại dương là một trong những môi trường sống có sinh vật phong phú nhất trên trái đất.</v>
      </c>
      <c r="K1739" s="13" t="str">
        <f ca="1">IFERROR(__xludf.DUMMYFUNCTION("""COMPUTED_VALUE"""),"H5_B11_BG-10.png")</f>
        <v>H5_B11_BG-10.png</v>
      </c>
      <c r="L1739" s="13" t="str">
        <f ca="1">IFERROR(__xludf.DUMMYFUNCTION("""COMPUTED_VALUE"""),"B11_10.mp3")</f>
        <v>B11_10.mp3</v>
      </c>
      <c r="M1739" s="13" t="str">
        <f ca="1">IFERROR(__xludf.DUMMYFUNCTION("""COMPUTED_VALUE"""),"B11_VD_10.mp3")</f>
        <v>B11_VD_10.mp3</v>
      </c>
    </row>
    <row r="1740" spans="1:13">
      <c r="A1740" s="13">
        <f ca="1">IFERROR(__xludf.DUMMYFUNCTION("""COMPUTED_VALUE"""),11)</f>
        <v>11</v>
      </c>
      <c r="B1740" s="13"/>
      <c r="C1740" s="13" t="str">
        <f ca="1">IFERROR(__xludf.DUMMYFUNCTION("""COMPUTED_VALUE"""),"慌（张）")</f>
        <v>慌（张）</v>
      </c>
      <c r="D1740" s="13" t="str">
        <f ca="1">IFERROR(__xludf.DUMMYFUNCTION("""COMPUTED_VALUE"""),"&lt;ruby&gt;慌（张）&lt;rt&gt;huāng (zhāng)&lt;/rt&gt;&lt;/ruby&gt;")</f>
        <v>&lt;ruby&gt;慌（张）&lt;rt&gt;huāng (zhāng)&lt;/rt&gt;&lt;/ruby&gt;</v>
      </c>
      <c r="E1740" s="13" t="str">
        <f ca="1">IFERROR(__xludf.DUMMYFUNCTION("""COMPUTED_VALUE"""),"huāng (zhāng)")</f>
        <v>huāng (zhāng)</v>
      </c>
      <c r="F1740" s="13" t="str">
        <f ca="1">IFERROR(__xludf.DUMMYFUNCTION("""COMPUTED_VALUE"""),"Tính từ")</f>
        <v>Tính từ</v>
      </c>
      <c r="G1740" s="13" t="str">
        <f ca="1">IFERROR(__xludf.DUMMYFUNCTION("""COMPUTED_VALUE"""),"luống cuống, bối rối")</f>
        <v>luống cuống, bối rối</v>
      </c>
      <c r="H1740" s="13" t="str">
        <f ca="1">IFERROR(__xludf.DUMMYFUNCTION("""COMPUTED_VALUE"""),"每次靠近她，我都慌张得不知道说什么。")</f>
        <v>每次靠近她，我都慌张得不知道说什么。</v>
      </c>
      <c r="I1740" s="13"/>
      <c r="J1740" s="13" t="str">
        <f ca="1">IFERROR(__xludf.DUMMYFUNCTION("""COMPUTED_VALUE"""),"Mỗi khi gần cô ấy, tôi lại bối rối không biết nói gì.")</f>
        <v>Mỗi khi gần cô ấy, tôi lại bối rối không biết nói gì.</v>
      </c>
      <c r="K1740" s="13" t="str">
        <f ca="1">IFERROR(__xludf.DUMMYFUNCTION("""COMPUTED_VALUE"""),"H5_B11_BG-11.png")</f>
        <v>H5_B11_BG-11.png</v>
      </c>
      <c r="L1740" s="13" t="str">
        <f ca="1">IFERROR(__xludf.DUMMYFUNCTION("""COMPUTED_VALUE"""),"B11_11.mp3")</f>
        <v>B11_11.mp3</v>
      </c>
      <c r="M1740" s="13" t="str">
        <f ca="1">IFERROR(__xludf.DUMMYFUNCTION("""COMPUTED_VALUE"""),"B11_VD_11.mp3")</f>
        <v>B11_VD_11.mp3</v>
      </c>
    </row>
    <row r="1741" spans="1:13">
      <c r="A1741" s="13">
        <f ca="1">IFERROR(__xludf.DUMMYFUNCTION("""COMPUTED_VALUE"""),12)</f>
        <v>12</v>
      </c>
      <c r="B1741" s="13"/>
      <c r="C1741" s="13" t="str">
        <f ca="1">IFERROR(__xludf.DUMMYFUNCTION("""COMPUTED_VALUE"""),"采用")</f>
        <v>采用</v>
      </c>
      <c r="D1741" s="13" t="str">
        <f ca="1">IFERROR(__xludf.DUMMYFUNCTION("""COMPUTED_VALUE"""),"&lt;ruby&gt;采用&lt;rt&gt;căiyòng&lt;/rt&gt;&lt;/ruby&gt;")</f>
        <v>&lt;ruby&gt;采用&lt;rt&gt;căiyòng&lt;/rt&gt;&lt;/ruby&gt;</v>
      </c>
      <c r="E1741" s="13" t="str">
        <f ca="1">IFERROR(__xludf.DUMMYFUNCTION("""COMPUTED_VALUE"""),"căiyòng")</f>
        <v>căiyòng</v>
      </c>
      <c r="F1741" s="13" t="str">
        <f ca="1">IFERROR(__xludf.DUMMYFUNCTION("""COMPUTED_VALUE"""),"Động từ ")</f>
        <v xml:space="preserve">Động từ </v>
      </c>
      <c r="G1741" s="13" t="str">
        <f ca="1">IFERROR(__xludf.DUMMYFUNCTION("""COMPUTED_VALUE"""),"chọn dùng, áp dụng")</f>
        <v>chọn dùng, áp dụng</v>
      </c>
      <c r="H1741" s="13" t="str">
        <f ca="1">IFERROR(__xludf.DUMMYFUNCTION("""COMPUTED_VALUE"""),"学校决定采用在线教学的方法。")</f>
        <v>学校决定采用在线教学的方法。</v>
      </c>
      <c r="I1741" s="13"/>
      <c r="J1741" s="13" t="str">
        <f ca="1">IFERROR(__xludf.DUMMYFUNCTION("""COMPUTED_VALUE"""),"Trường học quyết định áp dụng phương pháp học trực tuyến.")</f>
        <v>Trường học quyết định áp dụng phương pháp học trực tuyến.</v>
      </c>
      <c r="K1741" s="13" t="str">
        <f ca="1">IFERROR(__xludf.DUMMYFUNCTION("""COMPUTED_VALUE"""),"H5_B11_BG-12.png")</f>
        <v>H5_B11_BG-12.png</v>
      </c>
      <c r="L1741" s="13" t="str">
        <f ca="1">IFERROR(__xludf.DUMMYFUNCTION("""COMPUTED_VALUE"""),"B11_12.mp3")</f>
        <v>B11_12.mp3</v>
      </c>
      <c r="M1741" s="13" t="str">
        <f ca="1">IFERROR(__xludf.DUMMYFUNCTION("""COMPUTED_VALUE"""),"B11_VD_12.mp3")</f>
        <v>B11_VD_12.mp3</v>
      </c>
    </row>
    <row r="1742" spans="1:13">
      <c r="A1742" s="13">
        <f ca="1">IFERROR(__xludf.DUMMYFUNCTION("""COMPUTED_VALUE"""),13)</f>
        <v>13</v>
      </c>
      <c r="B1742" s="13"/>
      <c r="C1742" s="13" t="str">
        <f ca="1">IFERROR(__xludf.DUMMYFUNCTION("""COMPUTED_VALUE"""),"产品")</f>
        <v>产品</v>
      </c>
      <c r="D1742" s="13" t="str">
        <f ca="1">IFERROR(__xludf.DUMMYFUNCTION("""COMPUTED_VALUE"""),"&lt;ruby&gt;产品&lt;rt&gt;chǎnpǐn&lt;/rt&gt;&lt;/ruby&gt;")</f>
        <v>&lt;ruby&gt;产品&lt;rt&gt;chǎnpǐn&lt;/rt&gt;&lt;/ruby&gt;</v>
      </c>
      <c r="E1742" s="13" t="str">
        <f ca="1">IFERROR(__xludf.DUMMYFUNCTION("""COMPUTED_VALUE"""),"chǎnpǐn")</f>
        <v>chǎnpǐn</v>
      </c>
      <c r="F1742" s="13" t="str">
        <f ca="1">IFERROR(__xludf.DUMMYFUNCTION("""COMPUTED_VALUE"""),"Danh từ")</f>
        <v>Danh từ</v>
      </c>
      <c r="G1742" s="13" t="str">
        <f ca="1">IFERROR(__xludf.DUMMYFUNCTION("""COMPUTED_VALUE"""),"sản phẩm")</f>
        <v>sản phẩm</v>
      </c>
      <c r="H1742" s="13" t="str">
        <f ca="1">IFERROR(__xludf.DUMMYFUNCTION("""COMPUTED_VALUE"""),"我们公司推出了新款手机产品。")</f>
        <v>我们公司推出了新款手机产品。</v>
      </c>
      <c r="I1742" s="13"/>
      <c r="J1742" s="13" t="str">
        <f ca="1">IFERROR(__xludf.DUMMYFUNCTION("""COMPUTED_VALUE"""),"Công ty của chúng tôi đã ra mắt sản phẩm điện thoại mới.")</f>
        <v>Công ty của chúng tôi đã ra mắt sản phẩm điện thoại mới.</v>
      </c>
      <c r="K1742" s="13" t="str">
        <f ca="1">IFERROR(__xludf.DUMMYFUNCTION("""COMPUTED_VALUE"""),"H5_B11_BG-13.png")</f>
        <v>H5_B11_BG-13.png</v>
      </c>
      <c r="L1742" s="13" t="str">
        <f ca="1">IFERROR(__xludf.DUMMYFUNCTION("""COMPUTED_VALUE"""),"B11_13.mp3")</f>
        <v>B11_13.mp3</v>
      </c>
      <c r="M1742" s="13" t="str">
        <f ca="1">IFERROR(__xludf.DUMMYFUNCTION("""COMPUTED_VALUE"""),"B11_VD_13.mp3")</f>
        <v>B11_VD_13.mp3</v>
      </c>
    </row>
    <row r="1743" spans="1:13">
      <c r="A1743" s="13">
        <f ca="1">IFERROR(__xludf.DUMMYFUNCTION("""COMPUTED_VALUE"""),14)</f>
        <v>14</v>
      </c>
      <c r="B1743" s="13"/>
      <c r="C1743" s="13" t="str">
        <f ca="1">IFERROR(__xludf.DUMMYFUNCTION("""COMPUTED_VALUE"""),"计算")</f>
        <v>计算</v>
      </c>
      <c r="D1743" s="13" t="str">
        <f ca="1">IFERROR(__xludf.DUMMYFUNCTION("""COMPUTED_VALUE"""),"&lt;ruby&gt;计算&lt;rt&gt;jìsuàn&lt;/rt&gt;&lt;/ruby&gt;")</f>
        <v>&lt;ruby&gt;计算&lt;rt&gt;jìsuàn&lt;/rt&gt;&lt;/ruby&gt;</v>
      </c>
      <c r="E1743" s="13" t="str">
        <f ca="1">IFERROR(__xludf.DUMMYFUNCTION("""COMPUTED_VALUE"""),"jìsuàn")</f>
        <v>jìsuàn</v>
      </c>
      <c r="F1743" s="13" t="str">
        <f ca="1">IFERROR(__xludf.DUMMYFUNCTION("""COMPUTED_VALUE"""),"Động từ ")</f>
        <v xml:space="preserve">Động từ </v>
      </c>
      <c r="G1743" s="13" t="str">
        <f ca="1">IFERROR(__xludf.DUMMYFUNCTION("""COMPUTED_VALUE"""),"tính toán")</f>
        <v>tính toán</v>
      </c>
      <c r="H1743" s="13" t="str">
        <f ca="1">IFERROR(__xludf.DUMMYFUNCTION("""COMPUTED_VALUE"""),"这个问题需要仔细计算才能得出正确答案。")</f>
        <v>这个问题需要仔细计算才能得出正确答案。</v>
      </c>
      <c r="I1743" s="13"/>
      <c r="J1743" s="13" t="str">
        <f ca="1">IFERROR(__xludf.DUMMYFUNCTION("""COMPUTED_VALUE"""),"Câu hỏi này cần phải tính toán kỹ lưỡng mới có thể đưa ra câu trả lời chính xác.")</f>
        <v>Câu hỏi này cần phải tính toán kỹ lưỡng mới có thể đưa ra câu trả lời chính xác.</v>
      </c>
      <c r="K1743" s="13" t="str">
        <f ca="1">IFERROR(__xludf.DUMMYFUNCTION("""COMPUTED_VALUE"""),"H5_B11_BG-14.png")</f>
        <v>H5_B11_BG-14.png</v>
      </c>
      <c r="L1743" s="13" t="str">
        <f ca="1">IFERROR(__xludf.DUMMYFUNCTION("""COMPUTED_VALUE"""),"B11_14.mp3")</f>
        <v>B11_14.mp3</v>
      </c>
      <c r="M1743" s="13" t="str">
        <f ca="1">IFERROR(__xludf.DUMMYFUNCTION("""COMPUTED_VALUE"""),"B11_VD_14.mp3")</f>
        <v>B11_VD_14.mp3</v>
      </c>
    </row>
    <row r="1744" spans="1:13">
      <c r="A1744" s="13">
        <f ca="1">IFERROR(__xludf.DUMMYFUNCTION("""COMPUTED_VALUE"""),15)</f>
        <v>15</v>
      </c>
      <c r="B1744" s="13"/>
      <c r="C1744" s="13" t="str">
        <f ca="1">IFERROR(__xludf.DUMMYFUNCTION("""COMPUTED_VALUE"""),"记忆")</f>
        <v>记忆</v>
      </c>
      <c r="D1744" s="13" t="str">
        <f ca="1">IFERROR(__xludf.DUMMYFUNCTION("""COMPUTED_VALUE"""),"&lt;ruby&gt;记忆&lt;rt&gt;jìyì&lt;/rt&gt;&lt;/ruby&gt;")</f>
        <v>&lt;ruby&gt;记忆&lt;rt&gt;jìyì&lt;/rt&gt;&lt;/ruby&gt;</v>
      </c>
      <c r="E1744" s="13" t="str">
        <f ca="1">IFERROR(__xludf.DUMMYFUNCTION("""COMPUTED_VALUE"""),"jìyì")</f>
        <v>jìyì</v>
      </c>
      <c r="F1744" s="13" t="str">
        <f ca="1">IFERROR(__xludf.DUMMYFUNCTION("""COMPUTED_VALUE"""),"Động từ /Danh từ")</f>
        <v>Động từ /Danh từ</v>
      </c>
      <c r="G1744" s="13" t="str">
        <f ca="1">IFERROR(__xludf.DUMMYFUNCTION("""COMPUTED_VALUE"""),"nhớ; ký ức")</f>
        <v>nhớ; ký ức</v>
      </c>
      <c r="H1744" s="13" t="str">
        <f ca="1">IFERROR(__xludf.DUMMYFUNCTION("""COMPUTED_VALUE"""),"每天我都会回忆一些美好的记忆。")</f>
        <v>每天我都会回忆一些美好的记忆。</v>
      </c>
      <c r="I1744" s="13"/>
      <c r="J1744" s="13" t="str">
        <f ca="1">IFERROR(__xludf.DUMMYFUNCTION("""COMPUTED_VALUE"""),"Mỗi ngày tôi đều hồi tưởng lại một số ký ức đẹp.")</f>
        <v>Mỗi ngày tôi đều hồi tưởng lại một số ký ức đẹp.</v>
      </c>
      <c r="K1744" s="13" t="str">
        <f ca="1">IFERROR(__xludf.DUMMYFUNCTION("""COMPUTED_VALUE"""),"H5_B11_BG-15.png")</f>
        <v>H5_B11_BG-15.png</v>
      </c>
      <c r="L1744" s="13" t="str">
        <f ca="1">IFERROR(__xludf.DUMMYFUNCTION("""COMPUTED_VALUE"""),"B11_15.mp3")</f>
        <v>B11_15.mp3</v>
      </c>
      <c r="M1744" s="13" t="str">
        <f ca="1">IFERROR(__xludf.DUMMYFUNCTION("""COMPUTED_VALUE"""),"B11_VD_15.mp3")</f>
        <v>B11_VD_15.mp3</v>
      </c>
    </row>
    <row r="1745" spans="1:13">
      <c r="A1745" s="13">
        <f ca="1">IFERROR(__xludf.DUMMYFUNCTION("""COMPUTED_VALUE"""),16)</f>
        <v>16</v>
      </c>
      <c r="B1745" s="13"/>
      <c r="C1745" s="13" t="str">
        <f ca="1">IFERROR(__xludf.DUMMYFUNCTION("""COMPUTED_VALUE"""),"铃")</f>
        <v>铃</v>
      </c>
      <c r="D1745" s="13" t="str">
        <f ca="1">IFERROR(__xludf.DUMMYFUNCTION("""COMPUTED_VALUE"""),"&lt;ruby&gt;铃&lt;rt&gt;líng&lt;/rt&gt;&lt;/ruby&gt;")</f>
        <v>&lt;ruby&gt;铃&lt;rt&gt;líng&lt;/rt&gt;&lt;/ruby&gt;</v>
      </c>
      <c r="E1745" s="13" t="str">
        <f ca="1">IFERROR(__xludf.DUMMYFUNCTION("""COMPUTED_VALUE"""),"líng")</f>
        <v>líng</v>
      </c>
      <c r="F1745" s="13" t="str">
        <f ca="1">IFERROR(__xludf.DUMMYFUNCTION("""COMPUTED_VALUE"""),"Danh từ")</f>
        <v>Danh từ</v>
      </c>
      <c r="G1745" s="13" t="str">
        <f ca="1">IFERROR(__xludf.DUMMYFUNCTION("""COMPUTED_VALUE"""),"(cái) chuông")</f>
        <v>(cái) chuông</v>
      </c>
      <c r="H1745" s="13" t="str">
        <f ca="1">IFERROR(__xludf.DUMMYFUNCTION("""COMPUTED_VALUE"""),"这口铃有着非常悠久的历史。")</f>
        <v>这口铃有着非常悠久的历史。</v>
      </c>
      <c r="I1745" s="13"/>
      <c r="J1745" s="13" t="str">
        <f ca="1">IFERROR(__xludf.DUMMYFUNCTION("""COMPUTED_VALUE"""),"Chiếc chuông này có lịch sử rất lâu đời.")</f>
        <v>Chiếc chuông này có lịch sử rất lâu đời.</v>
      </c>
      <c r="K1745" s="13" t="str">
        <f ca="1">IFERROR(__xludf.DUMMYFUNCTION("""COMPUTED_VALUE"""),"H5_B11_BG-16.png")</f>
        <v>H5_B11_BG-16.png</v>
      </c>
      <c r="L1745" s="13" t="str">
        <f ca="1">IFERROR(__xludf.DUMMYFUNCTION("""COMPUTED_VALUE"""),"B11_16.mp3")</f>
        <v>B11_16.mp3</v>
      </c>
      <c r="M1745" s="13" t="str">
        <f ca="1">IFERROR(__xludf.DUMMYFUNCTION("""COMPUTED_VALUE"""),"B11_VD_16.mp3")</f>
        <v>B11_VD_16.mp3</v>
      </c>
    </row>
    <row r="1746" spans="1:13">
      <c r="A1746" s="13">
        <f ca="1">IFERROR(__xludf.DUMMYFUNCTION("""COMPUTED_VALUE"""),17)</f>
        <v>17</v>
      </c>
      <c r="B1746" s="13"/>
      <c r="C1746" s="13" t="str">
        <f ca="1">IFERROR(__xludf.DUMMYFUNCTION("""COMPUTED_VALUE"""),"模仿")</f>
        <v>模仿</v>
      </c>
      <c r="D1746" s="13" t="str">
        <f ca="1">IFERROR(__xludf.DUMMYFUNCTION("""COMPUTED_VALUE"""),"&lt;ruby&gt;模仿&lt;rt&gt;mófăng&lt;/rt&gt;&lt;/ruby&gt;")</f>
        <v>&lt;ruby&gt;模仿&lt;rt&gt;mófăng&lt;/rt&gt;&lt;/ruby&gt;</v>
      </c>
      <c r="E1746" s="13" t="str">
        <f ca="1">IFERROR(__xludf.DUMMYFUNCTION("""COMPUTED_VALUE"""),"mófăng")</f>
        <v>mófăng</v>
      </c>
      <c r="F1746" s="13" t="str">
        <f ca="1">IFERROR(__xludf.DUMMYFUNCTION("""COMPUTED_VALUE"""),"Động từ ")</f>
        <v xml:space="preserve">Động từ </v>
      </c>
      <c r="G1746" s="13" t="str">
        <f ca="1">IFERROR(__xludf.DUMMYFUNCTION("""COMPUTED_VALUE"""),"mô phỏng, bắt chước")</f>
        <v>mô phỏng, bắt chước</v>
      </c>
      <c r="H1746" s="13" t="str">
        <f ca="1">IFERROR(__xludf.DUMMYFUNCTION("""COMPUTED_VALUE"""),"小狗正在模仿主人的动作。")</f>
        <v>小狗正在模仿主人的动作。</v>
      </c>
      <c r="I1746" s="13"/>
      <c r="J1746" s="13" t="str">
        <f ca="1">IFERROR(__xludf.DUMMYFUNCTION("""COMPUTED_VALUE"""),"Chó con đang bắt chước hành động của chủ nhân.")</f>
        <v>Chó con đang bắt chước hành động của chủ nhân.</v>
      </c>
      <c r="K1746" s="13" t="str">
        <f ca="1">IFERROR(__xludf.DUMMYFUNCTION("""COMPUTED_VALUE"""),"H5_B11_BG-17.png")</f>
        <v>H5_B11_BG-17.png</v>
      </c>
      <c r="L1746" s="13" t="str">
        <f ca="1">IFERROR(__xludf.DUMMYFUNCTION("""COMPUTED_VALUE"""),"B11_17.mp3")</f>
        <v>B11_17.mp3</v>
      </c>
      <c r="M1746" s="13" t="str">
        <f ca="1">IFERROR(__xludf.DUMMYFUNCTION("""COMPUTED_VALUE"""),"B11_VD_17.mp3")</f>
        <v>B11_VD_17.mp3</v>
      </c>
    </row>
    <row r="1747" spans="1:13">
      <c r="A1747" s="13">
        <f ca="1">IFERROR(__xludf.DUMMYFUNCTION("""COMPUTED_VALUE"""),18)</f>
        <v>18</v>
      </c>
      <c r="B1747" s="13"/>
      <c r="C1747" s="13" t="str">
        <f ca="1">IFERROR(__xludf.DUMMYFUNCTION("""COMPUTED_VALUE"""),"闹钟")</f>
        <v>闹钟</v>
      </c>
      <c r="D1747" s="13" t="str">
        <f ca="1">IFERROR(__xludf.DUMMYFUNCTION("""COMPUTED_VALUE"""),"&lt;ruby&gt;闹钟&lt;rt&gt;nàozhōng&lt;/rt&gt;&lt;/ruby&gt;")</f>
        <v>&lt;ruby&gt;闹钟&lt;rt&gt;nàozhōng&lt;/rt&gt;&lt;/ruby&gt;</v>
      </c>
      <c r="E1747" s="13" t="str">
        <f ca="1">IFERROR(__xludf.DUMMYFUNCTION("""COMPUTED_VALUE"""),"nàozhōng")</f>
        <v>nàozhōng</v>
      </c>
      <c r="F1747" s="13" t="str">
        <f ca="1">IFERROR(__xludf.DUMMYFUNCTION("""COMPUTED_VALUE"""),"Danh từ")</f>
        <v>Danh từ</v>
      </c>
      <c r="G1747" s="13" t="str">
        <f ca="1">IFERROR(__xludf.DUMMYFUNCTION("""COMPUTED_VALUE"""),"đồng hồ báo thức")</f>
        <v>đồng hồ báo thức</v>
      </c>
      <c r="H1747" s="13" t="str">
        <f ca="1">IFERROR(__xludf.DUMMYFUNCTION("""COMPUTED_VALUE"""),"每天早上我都靠闹钟起床。")</f>
        <v>每天早上我都靠闹钟起床。</v>
      </c>
      <c r="I1747" s="13"/>
      <c r="J1747" s="13" t="str">
        <f ca="1">IFERROR(__xludf.DUMMYFUNCTION("""COMPUTED_VALUE"""),"Mỗi sáng, tôi đều thức dậy nhờ vào đồng hồ báo thức.")</f>
        <v>Mỗi sáng, tôi đều thức dậy nhờ vào đồng hồ báo thức.</v>
      </c>
      <c r="K1747" s="13" t="str">
        <f ca="1">IFERROR(__xludf.DUMMYFUNCTION("""COMPUTED_VALUE"""),"H5_B11_BG-18.png")</f>
        <v>H5_B11_BG-18.png</v>
      </c>
      <c r="L1747" s="13" t="str">
        <f ca="1">IFERROR(__xludf.DUMMYFUNCTION("""COMPUTED_VALUE"""),"B11_18.mp3")</f>
        <v>B11_18.mp3</v>
      </c>
      <c r="M1747" s="13" t="str">
        <f ca="1">IFERROR(__xludf.DUMMYFUNCTION("""COMPUTED_VALUE"""),"B11_VD_18.mp3")</f>
        <v>B11_VD_18.mp3</v>
      </c>
    </row>
    <row r="1748" spans="1:13">
      <c r="A1748" s="13">
        <f ca="1">IFERROR(__xludf.DUMMYFUNCTION("""COMPUTED_VALUE"""),19)</f>
        <v>19</v>
      </c>
      <c r="B1748" s="13"/>
      <c r="C1748" s="13" t="str">
        <f ca="1">IFERROR(__xludf.DUMMYFUNCTION("""COMPUTED_VALUE"""),"市场")</f>
        <v>市场</v>
      </c>
      <c r="D1748" s="13" t="str">
        <f ca="1">IFERROR(__xludf.DUMMYFUNCTION("""COMPUTED_VALUE"""),"&lt;ruby&gt;市场&lt;rt&gt;shìchǎng&lt;/rt&gt;&lt;/ruby&gt;")</f>
        <v>&lt;ruby&gt;市场&lt;rt&gt;shìchǎng&lt;/rt&gt;&lt;/ruby&gt;</v>
      </c>
      <c r="E1748" s="13" t="str">
        <f ca="1">IFERROR(__xludf.DUMMYFUNCTION("""COMPUTED_VALUE"""),"shìchǎng")</f>
        <v>shìchǎng</v>
      </c>
      <c r="F1748" s="13" t="str">
        <f ca="1">IFERROR(__xludf.DUMMYFUNCTION("""COMPUTED_VALUE"""),"Danh từ")</f>
        <v>Danh từ</v>
      </c>
      <c r="G1748" s="13" t="str">
        <f ca="1">IFERROR(__xludf.DUMMYFUNCTION("""COMPUTED_VALUE"""),"thị trường, chợ")</f>
        <v>thị trường, chợ</v>
      </c>
      <c r="H1748" s="13" t="str">
        <f ca="1">IFERROR(__xludf.DUMMYFUNCTION("""COMPUTED_VALUE"""),"这个市场的蔬菜水果非常便宜。")</f>
        <v>这个市场的蔬菜水果非常便宜。</v>
      </c>
      <c r="I1748" s="13"/>
      <c r="J1748" s="13" t="str">
        <f ca="1">IFERROR(__xludf.DUMMYFUNCTION("""COMPUTED_VALUE"""),"Rau củ quả ở chợ này rất rẻ.")</f>
        <v>Rau củ quả ở chợ này rất rẻ.</v>
      </c>
      <c r="K1748" s="13" t="str">
        <f ca="1">IFERROR(__xludf.DUMMYFUNCTION("""COMPUTED_VALUE"""),"H5_B11_BG-19.png")</f>
        <v>H5_B11_BG-19.png</v>
      </c>
      <c r="L1748" s="13" t="str">
        <f ca="1">IFERROR(__xludf.DUMMYFUNCTION("""COMPUTED_VALUE"""),"B11_19.mp3")</f>
        <v>B11_19.mp3</v>
      </c>
      <c r="M1748" s="13" t="str">
        <f ca="1">IFERROR(__xludf.DUMMYFUNCTION("""COMPUTED_VALUE"""),"B11_VD_19.mp3")</f>
        <v>B11_VD_19.mp3</v>
      </c>
    </row>
    <row r="1749" spans="1:13">
      <c r="A1749" s="13">
        <f ca="1">IFERROR(__xludf.DUMMYFUNCTION("""COMPUTED_VALUE"""),20)</f>
        <v>20</v>
      </c>
      <c r="B1749" s="13"/>
      <c r="C1749" s="13" t="str">
        <f ca="1">IFERROR(__xludf.DUMMYFUNCTION("""COMPUTED_VALUE"""),"数")</f>
        <v>数</v>
      </c>
      <c r="D1749" s="13" t="str">
        <f ca="1">IFERROR(__xludf.DUMMYFUNCTION("""COMPUTED_VALUE"""),"&lt;ruby&gt;数&lt;rt&gt;shù&lt;/rt&gt;&lt;/ruby&gt;")</f>
        <v>&lt;ruby&gt;数&lt;rt&gt;shù&lt;/rt&gt;&lt;/ruby&gt;</v>
      </c>
      <c r="E1749" s="13" t="str">
        <f ca="1">IFERROR(__xludf.DUMMYFUNCTION("""COMPUTED_VALUE"""),"shù")</f>
        <v>shù</v>
      </c>
      <c r="F1749" s="13" t="str">
        <f ca="1">IFERROR(__xludf.DUMMYFUNCTION("""COMPUTED_VALUE"""),"Số từ")</f>
        <v>Số từ</v>
      </c>
      <c r="G1749" s="13" t="str">
        <f ca="1">IFERROR(__xludf.DUMMYFUNCTION("""COMPUTED_VALUE"""),"vài, mấy")</f>
        <v>vài, mấy</v>
      </c>
      <c r="H1749" s="13" t="str">
        <f ca="1">IFERROR(__xludf.DUMMYFUNCTION("""COMPUTED_VALUE"""),"桌子上有数颗糖果。")</f>
        <v>桌子上有数颗糖果。</v>
      </c>
      <c r="I1749" s="13"/>
      <c r="J1749" s="13" t="str">
        <f ca="1">IFERROR(__xludf.DUMMYFUNCTION("""COMPUTED_VALUE"""),"Trên bàn có vài viên kẹo.")</f>
        <v>Trên bàn có vài viên kẹo.</v>
      </c>
      <c r="K1749" s="13" t="str">
        <f ca="1">IFERROR(__xludf.DUMMYFUNCTION("""COMPUTED_VALUE"""),"H5_B11_BG-20.png")</f>
        <v>H5_B11_BG-20.png</v>
      </c>
      <c r="L1749" s="13" t="str">
        <f ca="1">IFERROR(__xludf.DUMMYFUNCTION("""COMPUTED_VALUE"""),"B11_20.mp3")</f>
        <v>B11_20.mp3</v>
      </c>
      <c r="M1749" s="13" t="str">
        <f ca="1">IFERROR(__xludf.DUMMYFUNCTION("""COMPUTED_VALUE"""),"B11_VD_20.mp3")</f>
        <v>B11_VD_20.mp3</v>
      </c>
    </row>
    <row r="1750" spans="1:13">
      <c r="A1750" s="13">
        <f ca="1">IFERROR(__xludf.DUMMYFUNCTION("""COMPUTED_VALUE"""),21)</f>
        <v>21</v>
      </c>
      <c r="B1750" s="13"/>
      <c r="C1750" s="13" t="str">
        <f ca="1">IFERROR(__xludf.DUMMYFUNCTION("""COMPUTED_VALUE"""),"所")</f>
        <v>所</v>
      </c>
      <c r="D1750" s="13" t="str">
        <f ca="1">IFERROR(__xludf.DUMMYFUNCTION("""COMPUTED_VALUE"""),"&lt;ruby&gt;所&lt;rt&gt;suǒ&lt;/rt&gt;&lt;/ruby&gt;")</f>
        <v>&lt;ruby&gt;所&lt;rt&gt;suǒ&lt;/rt&gt;&lt;/ruby&gt;</v>
      </c>
      <c r="E1750" s="13" t="str">
        <f ca="1">IFERROR(__xludf.DUMMYFUNCTION("""COMPUTED_VALUE"""),"suǒ")</f>
        <v>suǒ</v>
      </c>
      <c r="F1750" s="13" t="str">
        <f ca="1">IFERROR(__xludf.DUMMYFUNCTION("""COMPUTED_VALUE"""),"Trợ từ ")</f>
        <v xml:space="preserve">Trợ từ </v>
      </c>
      <c r="G1750" s="13" t="str">
        <f ca="1">IFERROR(__xludf.DUMMYFUNCTION("""COMPUTED_VALUE"""),"(được dùng trước động từ của kết cấu chủ vị làm định ngữ, từ trung tâm là đối tượng chịu sự chi phối của hành động) mà")</f>
        <v>(được dùng trước động từ của kết cấu chủ vị làm định ngữ, từ trung tâm là đối tượng chịu sự chi phối của hành động) mà</v>
      </c>
      <c r="H1750" s="13" t="str">
        <f ca="1">IFERROR(__xludf.DUMMYFUNCTION("""COMPUTED_VALUE"""),"我们所看到的风景很美。")</f>
        <v>我们所看到的风景很美。</v>
      </c>
      <c r="I1750" s="13"/>
      <c r="J1750" s="13" t="str">
        <f ca="1">IFERROR(__xludf.DUMMYFUNCTION("""COMPUTED_VALUE"""),"Phong cảnh mà chúng tôi nhìn thấy rất đẹp.")</f>
        <v>Phong cảnh mà chúng tôi nhìn thấy rất đẹp.</v>
      </c>
      <c r="K1750" s="13" t="str">
        <f ca="1">IFERROR(__xludf.DUMMYFUNCTION("""COMPUTED_VALUE"""),"H5_B11_BG-21.png")</f>
        <v>H5_B11_BG-21.png</v>
      </c>
      <c r="L1750" s="13" t="str">
        <f ca="1">IFERROR(__xludf.DUMMYFUNCTION("""COMPUTED_VALUE"""),"B11_21.mp3")</f>
        <v>B11_21.mp3</v>
      </c>
      <c r="M1750" s="13" t="str">
        <f ca="1">IFERROR(__xludf.DUMMYFUNCTION("""COMPUTED_VALUE"""),"B11_VD_21.mp3")</f>
        <v>B11_VD_21.mp3</v>
      </c>
    </row>
    <row r="1751" spans="1:13">
      <c r="A1751" s="13">
        <f ca="1">IFERROR(__xludf.DUMMYFUNCTION("""COMPUTED_VALUE"""),22)</f>
        <v>22</v>
      </c>
      <c r="B1751" s="13"/>
      <c r="C1751" s="13" t="str">
        <f ca="1">IFERROR(__xludf.DUMMYFUNCTION("""COMPUTED_VALUE"""),"现代")</f>
        <v>现代</v>
      </c>
      <c r="D1751" s="13" t="str">
        <f ca="1">IFERROR(__xludf.DUMMYFUNCTION("""COMPUTED_VALUE"""),"&lt;ruby&gt;现代&lt;rt&gt;xiàndài&lt;/rt&gt;&lt;/ruby&gt;")</f>
        <v>&lt;ruby&gt;现代&lt;rt&gt;xiàndài&lt;/rt&gt;&lt;/ruby&gt;</v>
      </c>
      <c r="E1751" s="13" t="str">
        <f ca="1">IFERROR(__xludf.DUMMYFUNCTION("""COMPUTED_VALUE"""),"xiàndài")</f>
        <v>xiàndài</v>
      </c>
      <c r="F1751" s="13" t="str">
        <f ca="1">IFERROR(__xludf.DUMMYFUNCTION("""COMPUTED_VALUE"""),"Danh từ/Tính từ")</f>
        <v>Danh từ/Tính từ</v>
      </c>
      <c r="G1751" s="13" t="str">
        <f ca="1">IFERROR(__xludf.DUMMYFUNCTION("""COMPUTED_VALUE"""),"thời đại ngày nay; hiện đại")</f>
        <v>thời đại ngày nay; hiện đại</v>
      </c>
      <c r="H1751" s="13" t="str">
        <f ca="1">IFERROR(__xludf.DUMMYFUNCTION("""COMPUTED_VALUE"""),"现代科技使我们的生活变得更加方便。")</f>
        <v>现代科技使我们的生活变得更加方便。</v>
      </c>
      <c r="I1751" s="13"/>
      <c r="J1751" s="13" t="str">
        <f ca="1">IFERROR(__xludf.DUMMYFUNCTION("""COMPUTED_VALUE"""),"Công nghệ hiện đại làm cho cuộc sống của chúng ta trở nên thuận tiện hơn.")</f>
        <v>Công nghệ hiện đại làm cho cuộc sống của chúng ta trở nên thuận tiện hơn.</v>
      </c>
      <c r="K1751" s="13" t="str">
        <f ca="1">IFERROR(__xludf.DUMMYFUNCTION("""COMPUTED_VALUE"""),"H5_B11_BG-22.png")</f>
        <v>H5_B11_BG-22.png</v>
      </c>
      <c r="L1751" s="13" t="str">
        <f ca="1">IFERROR(__xludf.DUMMYFUNCTION("""COMPUTED_VALUE"""),"B11_22.mp3")</f>
        <v>B11_22.mp3</v>
      </c>
      <c r="M1751" s="13" t="str">
        <f ca="1">IFERROR(__xludf.DUMMYFUNCTION("""COMPUTED_VALUE"""),"B11_VD_22.mp3")</f>
        <v>B11_VD_22.mp3</v>
      </c>
    </row>
    <row r="1752" spans="1:13">
      <c r="A1752" s="13">
        <f ca="1">IFERROR(__xludf.DUMMYFUNCTION("""COMPUTED_VALUE"""),23)</f>
        <v>23</v>
      </c>
      <c r="B1752" s="13"/>
      <c r="C1752" s="13" t="str">
        <f ca="1">IFERROR(__xludf.DUMMYFUNCTION("""COMPUTED_VALUE"""),"亨受")</f>
        <v>亨受</v>
      </c>
      <c r="D1752" s="13" t="str">
        <f ca="1">IFERROR(__xludf.DUMMYFUNCTION("""COMPUTED_VALUE"""),"&lt;ruby&gt;亨受&lt;rt&gt;xiǎngshòu&lt;/rt&gt;&lt;/ruby&gt;")</f>
        <v>&lt;ruby&gt;亨受&lt;rt&gt;xiǎngshòu&lt;/rt&gt;&lt;/ruby&gt;</v>
      </c>
      <c r="E1752" s="13" t="str">
        <f ca="1">IFERROR(__xludf.DUMMYFUNCTION("""COMPUTED_VALUE"""),"xiǎngshòu")</f>
        <v>xiǎngshòu</v>
      </c>
      <c r="F1752" s="13" t="str">
        <f ca="1">IFERROR(__xludf.DUMMYFUNCTION("""COMPUTED_VALUE"""),"Động từ ")</f>
        <v xml:space="preserve">Động từ </v>
      </c>
      <c r="G1752" s="13" t="str">
        <f ca="1">IFERROR(__xludf.DUMMYFUNCTION("""COMPUTED_VALUE"""),"hưởng thụ")</f>
        <v>hưởng thụ</v>
      </c>
      <c r="H1752" s="13" t="str">
        <f ca="1">IFERROR(__xludf.DUMMYFUNCTION("""COMPUTED_VALUE"""),"我们会享受这次旅行中的美好时光。")</f>
        <v>我们会享受这次旅行中的美好时光。</v>
      </c>
      <c r="I1752" s="13"/>
      <c r="J1752" s="13" t="str">
        <f ca="1">IFERROR(__xludf.DUMMYFUNCTION("""COMPUTED_VALUE"""),"chúng tôi sẽ tận hưởng nhưng giây phút tuyệt vời ở chuyến đi này.")</f>
        <v>chúng tôi sẽ tận hưởng nhưng giây phút tuyệt vời ở chuyến đi này.</v>
      </c>
      <c r="K1752" s="13" t="str">
        <f ca="1">IFERROR(__xludf.DUMMYFUNCTION("""COMPUTED_VALUE"""),"H5_B11_BG-23.png")</f>
        <v>H5_B11_BG-23.png</v>
      </c>
      <c r="L1752" s="13" t="str">
        <f ca="1">IFERROR(__xludf.DUMMYFUNCTION("""COMPUTED_VALUE"""),"B11_23.mp3")</f>
        <v>B11_23.mp3</v>
      </c>
      <c r="M1752" s="13" t="str">
        <f ca="1">IFERROR(__xludf.DUMMYFUNCTION("""COMPUTED_VALUE"""),"B11_VD_23.mp3")</f>
        <v>B11_VD_23.mp3</v>
      </c>
    </row>
    <row r="1753" spans="1:13">
      <c r="A1753" s="13">
        <f ca="1">IFERROR(__xludf.DUMMYFUNCTION("""COMPUTED_VALUE"""),24)</f>
        <v>24</v>
      </c>
      <c r="B1753" s="13"/>
      <c r="C1753" s="13" t="str">
        <f ca="1">IFERROR(__xludf.DUMMYFUNCTION("""COMPUTED_VALUE"""),"用途")</f>
        <v>用途</v>
      </c>
      <c r="D1753" s="13" t="str">
        <f ca="1">IFERROR(__xludf.DUMMYFUNCTION("""COMPUTED_VALUE"""),"&lt;ruby&gt;用途&lt;rt&gt;yòngtú&lt;/rt&gt;&lt;/ruby&gt;")</f>
        <v>&lt;ruby&gt;用途&lt;rt&gt;yòngtú&lt;/rt&gt;&lt;/ruby&gt;</v>
      </c>
      <c r="E1753" s="13" t="str">
        <f ca="1">IFERROR(__xludf.DUMMYFUNCTION("""COMPUTED_VALUE"""),"yòngtú")</f>
        <v>yòngtú</v>
      </c>
      <c r="F1753" s="13" t="str">
        <f ca="1">IFERROR(__xludf.DUMMYFUNCTION("""COMPUTED_VALUE"""),"Danh từ")</f>
        <v>Danh từ</v>
      </c>
      <c r="G1753" s="13" t="str">
        <f ca="1">IFERROR(__xludf.DUMMYFUNCTION("""COMPUTED_VALUE"""),"công dụng")</f>
        <v>công dụng</v>
      </c>
      <c r="H1753" s="13" t="str">
        <f ca="1">IFERROR(__xludf.DUMMYFUNCTION("""COMPUTED_VALUE"""),"这种药的用途很好，每次头痛我都会用它。")</f>
        <v>这种药的用途很好，每次头痛我都会用它。</v>
      </c>
      <c r="I1753" s="13"/>
      <c r="J1753" s="13" t="str">
        <f ca="1">IFERROR(__xludf.DUMMYFUNCTION("""COMPUTED_VALUE"""),"Công dụng của thuốc này rất tốt, mỗi khi đau đầu tôi đều sử dụng chúng.")</f>
        <v>Công dụng của thuốc này rất tốt, mỗi khi đau đầu tôi đều sử dụng chúng.</v>
      </c>
      <c r="K1753" s="13" t="str">
        <f ca="1">IFERROR(__xludf.DUMMYFUNCTION("""COMPUTED_VALUE"""),"H5_B11_BG-24.png")</f>
        <v>H5_B11_BG-24.png</v>
      </c>
      <c r="L1753" s="13" t="str">
        <f ca="1">IFERROR(__xludf.DUMMYFUNCTION("""COMPUTED_VALUE"""),"B11_24.mp3")</f>
        <v>B11_24.mp3</v>
      </c>
      <c r="M1753" s="13" t="str">
        <f ca="1">IFERROR(__xludf.DUMMYFUNCTION("""COMPUTED_VALUE"""),"B11_VD_24.mp3")</f>
        <v>B11_VD_24.mp3</v>
      </c>
    </row>
    <row r="1754" spans="1:13">
      <c r="A1754" s="13">
        <f ca="1">IFERROR(__xludf.DUMMYFUNCTION("""COMPUTED_VALUE"""),25)</f>
        <v>25</v>
      </c>
      <c r="B1754" s="13"/>
      <c r="C1754" s="13" t="str">
        <f ca="1">IFERROR(__xludf.DUMMYFUNCTION("""COMPUTED_VALUE"""),"专家")</f>
        <v>专家</v>
      </c>
      <c r="D1754" s="13" t="str">
        <f ca="1">IFERROR(__xludf.DUMMYFUNCTION("""COMPUTED_VALUE"""),"&lt;ruby&gt;专家&lt;rt&gt;zhuānjiā&lt;/rt&gt;&lt;/ruby&gt;")</f>
        <v>&lt;ruby&gt;专家&lt;rt&gt;zhuānjiā&lt;/rt&gt;&lt;/ruby&gt;</v>
      </c>
      <c r="E1754" s="13" t="str">
        <f ca="1">IFERROR(__xludf.DUMMYFUNCTION("""COMPUTED_VALUE"""),"zhuānjiā")</f>
        <v>zhuānjiā</v>
      </c>
      <c r="F1754" s="13" t="str">
        <f ca="1">IFERROR(__xludf.DUMMYFUNCTION("""COMPUTED_VALUE"""),"Danh từ")</f>
        <v>Danh từ</v>
      </c>
      <c r="G1754" s="13" t="str">
        <f ca="1">IFERROR(__xludf.DUMMYFUNCTION("""COMPUTED_VALUE"""),"chuyên gia")</f>
        <v>chuyên gia</v>
      </c>
      <c r="H1754" s="13" t="str">
        <f ca="1">IFERROR(__xludf.DUMMYFUNCTION("""COMPUTED_VALUE"""),"他是一名计算机技术专家。")</f>
        <v>他是一名计算机技术专家。</v>
      </c>
      <c r="I1754" s="13"/>
      <c r="J1754" s="13" t="str">
        <f ca="1">IFERROR(__xludf.DUMMYFUNCTION("""COMPUTED_VALUE"""),"Anh ấy là một chuyên gia công nghệ máy tính.")</f>
        <v>Anh ấy là một chuyên gia công nghệ máy tính.</v>
      </c>
      <c r="K1754" s="13" t="str">
        <f ca="1">IFERROR(__xludf.DUMMYFUNCTION("""COMPUTED_VALUE"""),"H5_B11_BG-25.png")</f>
        <v>H5_B11_BG-25.png</v>
      </c>
      <c r="L1754" s="13" t="str">
        <f ca="1">IFERROR(__xludf.DUMMYFUNCTION("""COMPUTED_VALUE"""),"B11_25.mp3")</f>
        <v>B11_25.mp3</v>
      </c>
      <c r="M1754" s="13" t="str">
        <f ca="1">IFERROR(__xludf.DUMMYFUNCTION("""COMPUTED_VALUE"""),"B11_VD_25.mp3")</f>
        <v>B11_VD_25.mp3</v>
      </c>
    </row>
    <row r="1755" spans="1:13">
      <c r="A1755" s="13">
        <f ca="1">IFERROR(__xludf.DUMMYFUNCTION("""COMPUTED_VALUE"""),26)</f>
        <v>26</v>
      </c>
      <c r="B1755" s="13"/>
      <c r="C1755" s="13" t="str">
        <f ca="1">IFERROR(__xludf.DUMMYFUNCTION("""COMPUTED_VALUE"""),"持续")</f>
        <v>持续</v>
      </c>
      <c r="D1755" s="13" t="str">
        <f ca="1">IFERROR(__xludf.DUMMYFUNCTION("""COMPUTED_VALUE"""),"&lt;ruby&gt;持续&lt;rt&gt;chíxù&lt;/rt&gt;&lt;/ruby&gt;")</f>
        <v>&lt;ruby&gt;持续&lt;rt&gt;chíxù&lt;/rt&gt;&lt;/ruby&gt;</v>
      </c>
      <c r="E1755" s="13" t="str">
        <f ca="1">IFERROR(__xludf.DUMMYFUNCTION("""COMPUTED_VALUE"""),"chíxù")</f>
        <v>chíxù</v>
      </c>
      <c r="F1755" s="13" t="str">
        <f ca="1">IFERROR(__xludf.DUMMYFUNCTION("""COMPUTED_VALUE"""),"Động từ ")</f>
        <v xml:space="preserve">Động từ </v>
      </c>
      <c r="G1755" s="13" t="str">
        <f ca="1">IFERROR(__xludf.DUMMYFUNCTION("""COMPUTED_VALUE"""),"kéo dài, duy trì lâu dài")</f>
        <v>kéo dài, duy trì lâu dài</v>
      </c>
      <c r="H1755" s="13" t="str">
        <f ca="1">IFERROR(__xludf.DUMMYFUNCTION("""COMPUTED_VALUE"""),"他们的爱情已经持续了十年。")</f>
        <v>他们的爱情已经持续了十年。</v>
      </c>
      <c r="I1755" s="13"/>
      <c r="J1755" s="13" t="str">
        <f ca="1">IFERROR(__xludf.DUMMYFUNCTION("""COMPUTED_VALUE"""),"Tình yêu của họ đã kéo dài được mười năm.")</f>
        <v>Tình yêu của họ đã kéo dài được mười năm.</v>
      </c>
      <c r="K1755" s="13" t="str">
        <f ca="1">IFERROR(__xludf.DUMMYFUNCTION("""COMPUTED_VALUE"""),"H5_B11_BG-26.png")</f>
        <v>H5_B11_BG-26.png</v>
      </c>
      <c r="L1755" s="13" t="str">
        <f ca="1">IFERROR(__xludf.DUMMYFUNCTION("""COMPUTED_VALUE"""),"B11_26.mp3")</f>
        <v>B11_26.mp3</v>
      </c>
      <c r="M1755" s="13" t="str">
        <f ca="1">IFERROR(__xludf.DUMMYFUNCTION("""COMPUTED_VALUE"""),"B11_VD_26.mp3")</f>
        <v>B11_VD_26.mp3</v>
      </c>
    </row>
    <row r="1756" spans="1:13">
      <c r="A1756" s="13">
        <f ca="1">IFERROR(__xludf.DUMMYFUNCTION("""COMPUTED_VALUE"""),27)</f>
        <v>27</v>
      </c>
      <c r="B1756" s="13"/>
      <c r="C1756" s="13" t="str">
        <f ca="1">IFERROR(__xludf.DUMMYFUNCTION("""COMPUTED_VALUE"""),"传统")</f>
        <v>传统</v>
      </c>
      <c r="D1756" s="13" t="str">
        <f ca="1">IFERROR(__xludf.DUMMYFUNCTION("""COMPUTED_VALUE"""),"&lt;ruby&gt;传统&lt;rt&gt;chuántǒng&lt;/rt&gt;&lt;/ruby&gt;")</f>
        <v>&lt;ruby&gt;传统&lt;rt&gt;chuántǒng&lt;/rt&gt;&lt;/ruby&gt;</v>
      </c>
      <c r="E1756" s="13" t="str">
        <f ca="1">IFERROR(__xludf.DUMMYFUNCTION("""COMPUTED_VALUE"""),"chuántǒng")</f>
        <v>chuántǒng</v>
      </c>
      <c r="F1756" s="13" t="str">
        <f ca="1">IFERROR(__xludf.DUMMYFUNCTION("""COMPUTED_VALUE"""),"Danh từ/Tính từ")</f>
        <v>Danh từ/Tính từ</v>
      </c>
      <c r="G1756" s="13" t="str">
        <f ca="1">IFERROR(__xludf.DUMMYFUNCTION("""COMPUTED_VALUE"""),"truyền thống; (thuộc) truyền thống")</f>
        <v>truyền thống; (thuộc) truyền thống</v>
      </c>
      <c r="H1756" s="13" t="str">
        <f ca="1">IFERROR(__xludf.DUMMYFUNCTION("""COMPUTED_VALUE"""),"中秋节是中国的传统节日。")</f>
        <v>中秋节是中国的传统节日。</v>
      </c>
      <c r="I1756" s="13"/>
      <c r="J1756" s="13" t="str">
        <f ca="1">IFERROR(__xludf.DUMMYFUNCTION("""COMPUTED_VALUE"""),"Tết Trung Thu là ngày lễ truyền thống của Trung Quốc.")</f>
        <v>Tết Trung Thu là ngày lễ truyền thống của Trung Quốc.</v>
      </c>
      <c r="K1756" s="13" t="str">
        <f ca="1">IFERROR(__xludf.DUMMYFUNCTION("""COMPUTED_VALUE"""),"H5_B11_BG-27.png")</f>
        <v>H5_B11_BG-27.png</v>
      </c>
      <c r="L1756" s="13" t="str">
        <f ca="1">IFERROR(__xludf.DUMMYFUNCTION("""COMPUTED_VALUE"""),"B11_27.mp3")</f>
        <v>B11_27.mp3</v>
      </c>
      <c r="M1756" s="13" t="str">
        <f ca="1">IFERROR(__xludf.DUMMYFUNCTION("""COMPUTED_VALUE"""),"B11_VD_27.mp3")</f>
        <v>B11_VD_27.mp3</v>
      </c>
    </row>
    <row r="1757" spans="1:13">
      <c r="A1757" s="13">
        <f ca="1">IFERROR(__xludf.DUMMYFUNCTION("""COMPUTED_VALUE"""),28)</f>
        <v>28</v>
      </c>
      <c r="B1757" s="13"/>
      <c r="C1757" s="13" t="str">
        <f ca="1">IFERROR(__xludf.DUMMYFUNCTION("""COMPUTED_VALUE"""),"窗帘")</f>
        <v>窗帘</v>
      </c>
      <c r="D1757" s="13" t="str">
        <f ca="1">IFERROR(__xludf.DUMMYFUNCTION("""COMPUTED_VALUE"""),"&lt;ruby&gt;窗帘&lt;rt&gt;chuānglián&lt;/rt&gt;&lt;/ruby&gt;")</f>
        <v>&lt;ruby&gt;窗帘&lt;rt&gt;chuānglián&lt;/rt&gt;&lt;/ruby&gt;</v>
      </c>
      <c r="E1757" s="13" t="str">
        <f ca="1">IFERROR(__xludf.DUMMYFUNCTION("""COMPUTED_VALUE"""),"chuānglián")</f>
        <v>chuānglián</v>
      </c>
      <c r="F1757" s="13" t="str">
        <f ca="1">IFERROR(__xludf.DUMMYFUNCTION("""COMPUTED_VALUE"""),"Danh từ")</f>
        <v>Danh từ</v>
      </c>
      <c r="G1757" s="13" t="str">
        <f ca="1">IFERROR(__xludf.DUMMYFUNCTION("""COMPUTED_VALUE"""),"rèm cửa sổ")</f>
        <v>rèm cửa sổ</v>
      </c>
      <c r="H1757" s="13" t="str">
        <f ca="1">IFERROR(__xludf.DUMMYFUNCTION("""COMPUTED_VALUE"""),"我喜欢在卧室挂漂亮的窗帘。")</f>
        <v>我喜欢在卧室挂漂亮的窗帘。</v>
      </c>
      <c r="I1757" s="13"/>
      <c r="J1757" s="13" t="str">
        <f ca="1">IFERROR(__xludf.DUMMYFUNCTION("""COMPUTED_VALUE"""),"Tôi thích treo những chiếc rèm cửa sổ đẹp trong phòng ngủ.")</f>
        <v>Tôi thích treo những chiếc rèm cửa sổ đẹp trong phòng ngủ.</v>
      </c>
      <c r="K1757" s="13" t="str">
        <f ca="1">IFERROR(__xludf.DUMMYFUNCTION("""COMPUTED_VALUE"""),"H5_B11_BG-28.png")</f>
        <v>H5_B11_BG-28.png</v>
      </c>
      <c r="L1757" s="13" t="str">
        <f ca="1">IFERROR(__xludf.DUMMYFUNCTION("""COMPUTED_VALUE"""),"B11_28.mp3")</f>
        <v>B11_28.mp3</v>
      </c>
      <c r="M1757" s="13" t="str">
        <f ca="1">IFERROR(__xludf.DUMMYFUNCTION("""COMPUTED_VALUE"""),"B11_VD_28.mp3")</f>
        <v>B11_VD_28.mp3</v>
      </c>
    </row>
    <row r="1758" spans="1:13">
      <c r="A1758" s="13">
        <f ca="1">IFERROR(__xludf.DUMMYFUNCTION("""COMPUTED_VALUE"""),29)</f>
        <v>29</v>
      </c>
      <c r="B1758" s="13"/>
      <c r="C1758" s="13" t="str">
        <f ca="1">IFERROR(__xludf.DUMMYFUNCTION("""COMPUTED_VALUE"""),"导致")</f>
        <v>导致</v>
      </c>
      <c r="D1758" s="13" t="str">
        <f ca="1">IFERROR(__xludf.DUMMYFUNCTION("""COMPUTED_VALUE"""),"&lt;ruby&gt;导致&lt;rt&gt;dǎozhì&lt;/rt&gt;&lt;/ruby&gt;")</f>
        <v>&lt;ruby&gt;导致&lt;rt&gt;dǎozhì&lt;/rt&gt;&lt;/ruby&gt;</v>
      </c>
      <c r="E1758" s="13" t="str">
        <f ca="1">IFERROR(__xludf.DUMMYFUNCTION("""COMPUTED_VALUE"""),"dǎozhì")</f>
        <v>dǎozhì</v>
      </c>
      <c r="F1758" s="13" t="str">
        <f ca="1">IFERROR(__xludf.DUMMYFUNCTION("""COMPUTED_VALUE"""),"Động từ ")</f>
        <v xml:space="preserve">Động từ </v>
      </c>
      <c r="G1758" s="13" t="str">
        <f ca="1">IFERROR(__xludf.DUMMYFUNCTION("""COMPUTED_VALUE"""),"dẫn đến, gây ra")</f>
        <v>dẫn đến, gây ra</v>
      </c>
      <c r="H1758" s="13" t="str">
        <f ca="1">IFERROR(__xludf.DUMMYFUNCTION("""COMPUTED_VALUE"""),"交通事故导致了我很多损失。")</f>
        <v>交通事故导致了我很多损失。</v>
      </c>
      <c r="I1758" s="13"/>
      <c r="J1758" s="13" t="str">
        <f ca="1">IFERROR(__xludf.DUMMYFUNCTION("""COMPUTED_VALUE"""),"Tai nạn giao thông đã gây ra nhiều thiệt hại cho tôi.")</f>
        <v>Tai nạn giao thông đã gây ra nhiều thiệt hại cho tôi.</v>
      </c>
      <c r="K1758" s="13" t="str">
        <f ca="1">IFERROR(__xludf.DUMMYFUNCTION("""COMPUTED_VALUE"""),"H5_B11_BG-29.png")</f>
        <v>H5_B11_BG-29.png</v>
      </c>
      <c r="L1758" s="13" t="str">
        <f ca="1">IFERROR(__xludf.DUMMYFUNCTION("""COMPUTED_VALUE"""),"B11_29.mp3")</f>
        <v>B11_29.mp3</v>
      </c>
      <c r="M1758" s="13" t="str">
        <f ca="1">IFERROR(__xludf.DUMMYFUNCTION("""COMPUTED_VALUE"""),"B11_VD_29.mp3")</f>
        <v>B11_VD_29.mp3</v>
      </c>
    </row>
    <row r="1759" spans="1:13">
      <c r="A1759" s="13">
        <f ca="1">IFERROR(__xludf.DUMMYFUNCTION("""COMPUTED_VALUE"""),30)</f>
        <v>30</v>
      </c>
      <c r="B1759" s="13"/>
      <c r="C1759" s="13" t="str">
        <f ca="1">IFERROR(__xludf.DUMMYFUNCTION("""COMPUTED_VALUE"""),"光线")</f>
        <v>光线</v>
      </c>
      <c r="D1759" s="13" t="str">
        <f ca="1">IFERROR(__xludf.DUMMYFUNCTION("""COMPUTED_VALUE"""),"&lt;ruby&gt;光线&lt;rt&gt;guāngxiàn&lt;/rt&gt;&lt;/ruby&gt;")</f>
        <v>&lt;ruby&gt;光线&lt;rt&gt;guāngxiàn&lt;/rt&gt;&lt;/ruby&gt;</v>
      </c>
      <c r="E1759" s="13" t="str">
        <f ca="1">IFERROR(__xludf.DUMMYFUNCTION("""COMPUTED_VALUE"""),"guāngxiàn")</f>
        <v>guāngxiàn</v>
      </c>
      <c r="F1759" s="13" t="str">
        <f ca="1">IFERROR(__xludf.DUMMYFUNCTION("""COMPUTED_VALUE"""),"Danh từ")</f>
        <v>Danh từ</v>
      </c>
      <c r="G1759" s="13" t="str">
        <f ca="1">IFERROR(__xludf.DUMMYFUNCTION("""COMPUTED_VALUE"""),"ánh sáng, tia sáng")</f>
        <v>ánh sáng, tia sáng</v>
      </c>
      <c r="H1759" s="13" t="str">
        <f ca="1">IFERROR(__xludf.DUMMYFUNCTION("""COMPUTED_VALUE"""),"这家咖啡馆的光线很好，适合拍照。")</f>
        <v>这家咖啡馆的光线很好，适合拍照。</v>
      </c>
      <c r="I1759" s="13"/>
      <c r="J1759" s="13" t="str">
        <f ca="1">IFERROR(__xludf.DUMMYFUNCTION("""COMPUTED_VALUE"""),"Ánh sáng trong quán cà phê này rất tốt, thích hợp để chụp ảnh.")</f>
        <v>Ánh sáng trong quán cà phê này rất tốt, thích hợp để chụp ảnh.</v>
      </c>
      <c r="K1759" s="13" t="str">
        <f ca="1">IFERROR(__xludf.DUMMYFUNCTION("""COMPUTED_VALUE"""),"H5_B11_BG-30.png")</f>
        <v>H5_B11_BG-30.png</v>
      </c>
      <c r="L1759" s="13" t="str">
        <f ca="1">IFERROR(__xludf.DUMMYFUNCTION("""COMPUTED_VALUE"""),"B11_30.mp3")</f>
        <v>B11_30.mp3</v>
      </c>
      <c r="M1759" s="13" t="str">
        <f ca="1">IFERROR(__xludf.DUMMYFUNCTION("""COMPUTED_VALUE"""),"B11_VD_30.mp3")</f>
        <v>B11_VD_30.mp3</v>
      </c>
    </row>
    <row r="1760" spans="1:13">
      <c r="A1760" s="13">
        <f ca="1">IFERROR(__xludf.DUMMYFUNCTION("""COMPUTED_VALUE"""),31)</f>
        <v>31</v>
      </c>
      <c r="B1760" s="13"/>
      <c r="C1760" s="13" t="str">
        <f ca="1">IFERROR(__xludf.DUMMYFUNCTION("""COMPUTED_VALUE"""),"情绪")</f>
        <v>情绪</v>
      </c>
      <c r="D1760" s="13" t="str">
        <f ca="1">IFERROR(__xludf.DUMMYFUNCTION("""COMPUTED_VALUE"""),"&lt;ruby&gt;情绪&lt;rt&gt;qíngxù&lt;/rt&gt;&lt;/ruby&gt;")</f>
        <v>&lt;ruby&gt;情绪&lt;rt&gt;qíngxù&lt;/rt&gt;&lt;/ruby&gt;</v>
      </c>
      <c r="E1760" s="13" t="str">
        <f ca="1">IFERROR(__xludf.DUMMYFUNCTION("""COMPUTED_VALUE"""),"qíngxù")</f>
        <v>qíngxù</v>
      </c>
      <c r="F1760" s="13" t="str">
        <f ca="1">IFERROR(__xludf.DUMMYFUNCTION("""COMPUTED_VALUE"""),"Danh từ")</f>
        <v>Danh từ</v>
      </c>
      <c r="G1760" s="13" t="str">
        <f ca="1">IFERROR(__xludf.DUMMYFUNCTION("""COMPUTED_VALUE"""),"tâm trạng, tinh thần")</f>
        <v>tâm trạng, tinh thần</v>
      </c>
      <c r="H1760" s="13" t="str">
        <f ca="1">IFERROR(__xludf.DUMMYFUNCTION("""COMPUTED_VALUE"""),"她的情绪不好，因为考试成绩很低。")</f>
        <v>她的情绪不好，因为考试成绩很低。</v>
      </c>
      <c r="I1760" s="13"/>
      <c r="J1760" s="13" t="str">
        <f ca="1">IFERROR(__xludf.DUMMYFUNCTION("""COMPUTED_VALUE"""),"Tâm trạng của cô ấy không tốt lắm vì điểm thi thấp.")</f>
        <v>Tâm trạng của cô ấy không tốt lắm vì điểm thi thấp.</v>
      </c>
      <c r="K1760" s="13" t="str">
        <f ca="1">IFERROR(__xludf.DUMMYFUNCTION("""COMPUTED_VALUE"""),"H5_B11_BG-31.png")</f>
        <v>H5_B11_BG-31.png</v>
      </c>
      <c r="L1760" s="13" t="str">
        <f ca="1">IFERROR(__xludf.DUMMYFUNCTION("""COMPUTED_VALUE"""),"B11_31.mp3")</f>
        <v>B11_31.mp3</v>
      </c>
      <c r="M1760" s="13" t="str">
        <f ca="1">IFERROR(__xludf.DUMMYFUNCTION("""COMPUTED_VALUE"""),"B11_VD_31.mp3")</f>
        <v>B11_VD_31.mp3</v>
      </c>
    </row>
    <row r="1761" spans="1:13">
      <c r="A1761" s="13">
        <f ca="1">IFERROR(__xludf.DUMMYFUNCTION("""COMPUTED_VALUE"""),32)</f>
        <v>32</v>
      </c>
      <c r="B1761" s="13"/>
      <c r="C1761" s="13" t="str">
        <f ca="1">IFERROR(__xludf.DUMMYFUNCTION("""COMPUTED_VALUE"""),"人类")</f>
        <v>人类</v>
      </c>
      <c r="D1761" s="13" t="str">
        <f ca="1">IFERROR(__xludf.DUMMYFUNCTION("""COMPUTED_VALUE"""),"&lt;ruby&gt;人类&lt;rt&gt;rénlèi&lt;/rt&gt;&lt;/ruby&gt;")</f>
        <v>&lt;ruby&gt;人类&lt;rt&gt;rénlèi&lt;/rt&gt;&lt;/ruby&gt;</v>
      </c>
      <c r="E1761" s="13" t="str">
        <f ca="1">IFERROR(__xludf.DUMMYFUNCTION("""COMPUTED_VALUE"""),"rénlèi")</f>
        <v>rénlèi</v>
      </c>
      <c r="F1761" s="13" t="str">
        <f ca="1">IFERROR(__xludf.DUMMYFUNCTION("""COMPUTED_VALUE"""),"Danh từ")</f>
        <v>Danh từ</v>
      </c>
      <c r="G1761" s="13" t="str">
        <f ca="1">IFERROR(__xludf.DUMMYFUNCTION("""COMPUTED_VALUE"""),"loài người")</f>
        <v>loài người</v>
      </c>
      <c r="H1761" s="13" t="str">
        <f ca="1">IFERROR(__xludf.DUMMYFUNCTION("""COMPUTED_VALUE"""),"人类应该一起保护环境。")</f>
        <v>人类应该一起保护环境。</v>
      </c>
      <c r="I1761" s="13"/>
      <c r="J1761" s="13" t="str">
        <f ca="1">IFERROR(__xludf.DUMMYFUNCTION("""COMPUTED_VALUE"""),"Loài người nên chung tay bảo vệ môi trường.")</f>
        <v>Loài người nên chung tay bảo vệ môi trường.</v>
      </c>
      <c r="K1761" s="13" t="str">
        <f ca="1">IFERROR(__xludf.DUMMYFUNCTION("""COMPUTED_VALUE"""),"H5_B11_BG-32.png")</f>
        <v>H5_B11_BG-32.png</v>
      </c>
      <c r="L1761" s="13" t="str">
        <f ca="1">IFERROR(__xludf.DUMMYFUNCTION("""COMPUTED_VALUE"""),"B11_32.mp3")</f>
        <v>B11_32.mp3</v>
      </c>
      <c r="M1761" s="13" t="str">
        <f ca="1">IFERROR(__xludf.DUMMYFUNCTION("""COMPUTED_VALUE"""),"B11_VD_32.mp3")</f>
        <v>B11_VD_32.mp3</v>
      </c>
    </row>
    <row r="1762" spans="1:13">
      <c r="A1762" s="13">
        <f ca="1">IFERROR(__xludf.DUMMYFUNCTION("""COMPUTED_VALUE"""),33)</f>
        <v>33</v>
      </c>
      <c r="B1762" s="13"/>
      <c r="C1762" s="13" t="str">
        <f ca="1">IFERROR(__xludf.DUMMYFUNCTION("""COMPUTED_VALUE"""),"实验")</f>
        <v>实验</v>
      </c>
      <c r="D1762" s="13" t="str">
        <f ca="1">IFERROR(__xludf.DUMMYFUNCTION("""COMPUTED_VALUE"""),"&lt;ruby&gt;实验&lt;rt&gt;shíyàn&lt;/rt&gt;&lt;/ruby&gt;")</f>
        <v>&lt;ruby&gt;实验&lt;rt&gt;shíyàn&lt;/rt&gt;&lt;/ruby&gt;</v>
      </c>
      <c r="E1762" s="13" t="str">
        <f ca="1">IFERROR(__xludf.DUMMYFUNCTION("""COMPUTED_VALUE"""),"shíyàn")</f>
        <v>shíyàn</v>
      </c>
      <c r="F1762" s="13" t="str">
        <f ca="1">IFERROR(__xludf.DUMMYFUNCTION("""COMPUTED_VALUE"""),"Động từ /Danh từ")</f>
        <v>Động từ /Danh từ</v>
      </c>
      <c r="G1762" s="13" t="str">
        <f ca="1">IFERROR(__xludf.DUMMYFUNCTION("""COMPUTED_VALUE"""),"thực nghiệm; công việc thực nghiệm")</f>
        <v>thực nghiệm; công việc thực nghiệm</v>
      </c>
      <c r="H1762" s="13" t="str">
        <f ca="1">IFERROR(__xludf.DUMMYFUNCTION("""COMPUTED_VALUE"""),"我正在做一个简单的实验。")</f>
        <v>我正在做一个简单的实验。</v>
      </c>
      <c r="I1762" s="13"/>
      <c r="J1762" s="13" t="str">
        <f ca="1">IFERROR(__xludf.DUMMYFUNCTION("""COMPUTED_VALUE"""),"Tôi đang làm một thí nghiệm đơn giản.")</f>
        <v>Tôi đang làm một thí nghiệm đơn giản.</v>
      </c>
      <c r="K1762" s="13" t="str">
        <f ca="1">IFERROR(__xludf.DUMMYFUNCTION("""COMPUTED_VALUE"""),"H5_B11_BG-33.png")</f>
        <v>H5_B11_BG-33.png</v>
      </c>
      <c r="L1762" s="13" t="str">
        <f ca="1">IFERROR(__xludf.DUMMYFUNCTION("""COMPUTED_VALUE"""),"B11_33.mp3")</f>
        <v>B11_33.mp3</v>
      </c>
      <c r="M1762" s="13" t="str">
        <f ca="1">IFERROR(__xludf.DUMMYFUNCTION("""COMPUTED_VALUE"""),"B11_VD_33.mp3")</f>
        <v>B11_VD_33.mp3</v>
      </c>
    </row>
    <row r="1763" spans="1:13">
      <c r="A1763" s="13">
        <f ca="1">IFERROR(__xludf.DUMMYFUNCTION("""COMPUTED_VALUE"""),34)</f>
        <v>34</v>
      </c>
      <c r="B1763" s="13"/>
      <c r="C1763" s="13" t="str">
        <f ca="1">IFERROR(__xludf.DUMMYFUNCTION("""COMPUTED_VALUE"""),"危害")</f>
        <v>危害</v>
      </c>
      <c r="D1763" s="13" t="str">
        <f ca="1">IFERROR(__xludf.DUMMYFUNCTION("""COMPUTED_VALUE"""),"&lt;ruby&gt;危害&lt;rt&gt;wēihài&lt;/rt&gt;&lt;/ruby&gt;")</f>
        <v>&lt;ruby&gt;危害&lt;rt&gt;wēihài&lt;/rt&gt;&lt;/ruby&gt;</v>
      </c>
      <c r="E1763" s="13" t="str">
        <f ca="1">IFERROR(__xludf.DUMMYFUNCTION("""COMPUTED_VALUE"""),"wēihài")</f>
        <v>wēihài</v>
      </c>
      <c r="F1763" s="13" t="str">
        <f ca="1">IFERROR(__xludf.DUMMYFUNCTION("""COMPUTED_VALUE"""),"Động từ ")</f>
        <v xml:space="preserve">Động từ </v>
      </c>
      <c r="G1763" s="13" t="str">
        <f ca="1">IFERROR(__xludf.DUMMYFUNCTION("""COMPUTED_VALUE"""),"gây nguy hại, làm hại")</f>
        <v>gây nguy hại, làm hại</v>
      </c>
      <c r="H1763" s="13" t="str">
        <f ca="1">IFERROR(__xludf.DUMMYFUNCTION("""COMPUTED_VALUE"""),"吸烟会危害健康。")</f>
        <v>吸烟会危害健康。</v>
      </c>
      <c r="I1763" s="13"/>
      <c r="J1763" s="13" t="str">
        <f ca="1">IFERROR(__xludf.DUMMYFUNCTION("""COMPUTED_VALUE"""),"Hút thuốc sẽ gây hại cho sức khỏe.")</f>
        <v>Hút thuốc sẽ gây hại cho sức khỏe.</v>
      </c>
      <c r="K1763" s="13" t="str">
        <f ca="1">IFERROR(__xludf.DUMMYFUNCTION("""COMPUTED_VALUE"""),"H5_B11_BG-34.png")</f>
        <v>H5_B11_BG-34.png</v>
      </c>
      <c r="L1763" s="13" t="str">
        <f ca="1">IFERROR(__xludf.DUMMYFUNCTION("""COMPUTED_VALUE"""),"B11_34.mp3")</f>
        <v>B11_34.mp3</v>
      </c>
      <c r="M1763" s="13" t="str">
        <f ca="1">IFERROR(__xludf.DUMMYFUNCTION("""COMPUTED_VALUE"""),"B11_VD_34.mp3")</f>
        <v>B11_VD_34.mp3</v>
      </c>
    </row>
    <row r="1764" spans="1:13">
      <c r="A1764" s="13">
        <f ca="1">IFERROR(__xludf.DUMMYFUNCTION("""COMPUTED_VALUE"""),35)</f>
        <v>35</v>
      </c>
      <c r="B1764" s="13"/>
      <c r="C1764" s="13" t="str">
        <f ca="1">IFERROR(__xludf.DUMMYFUNCTION("""COMPUTED_VALUE"""),"相当")</f>
        <v>相当</v>
      </c>
      <c r="D1764" s="13" t="str">
        <f ca="1">IFERROR(__xludf.DUMMYFUNCTION("""COMPUTED_VALUE"""),"&lt;ruby&gt;相当&lt;rt&gt;xiāngdāng&lt;/rt&gt;&lt;/ruby&gt;")</f>
        <v>&lt;ruby&gt;相当&lt;rt&gt;xiāngdāng&lt;/rt&gt;&lt;/ruby&gt;</v>
      </c>
      <c r="E1764" s="13" t="str">
        <f ca="1">IFERROR(__xludf.DUMMYFUNCTION("""COMPUTED_VALUE"""),"xiāngdāng")</f>
        <v>xiāngdāng</v>
      </c>
      <c r="F1764" s="13" t="str">
        <f ca="1">IFERROR(__xludf.DUMMYFUNCTION("""COMPUTED_VALUE"""),"Động từ")</f>
        <v>Động từ</v>
      </c>
      <c r="G1764" s="13" t="str">
        <f ca="1">IFERROR(__xludf.DUMMYFUNCTION("""COMPUTED_VALUE"""),"tương đương với, ngang nhau")</f>
        <v>tương đương với, ngang nhau</v>
      </c>
      <c r="H1764" s="13" t="str">
        <f ca="1">IFERROR(__xludf.DUMMYFUNCTION("""COMPUTED_VALUE"""),"这两个价格相当，你可以选择其中一种水果。")</f>
        <v>这两个价格相当，你可以选择其中一种水果。</v>
      </c>
      <c r="I1764" s="13"/>
      <c r="J1764" s="13" t="str">
        <f ca="1">IFERROR(__xludf.DUMMYFUNCTION("""COMPUTED_VALUE"""),"Hai mức giá này tương đương, bạn có thể chọn một trong hai loại trái cây này.")</f>
        <v>Hai mức giá này tương đương, bạn có thể chọn một trong hai loại trái cây này.</v>
      </c>
      <c r="K1764" s="13" t="str">
        <f ca="1">IFERROR(__xludf.DUMMYFUNCTION("""COMPUTED_VALUE"""),"H5_B11_BG-35.png")</f>
        <v>H5_B11_BG-35.png</v>
      </c>
      <c r="L1764" s="13" t="str">
        <f ca="1">IFERROR(__xludf.DUMMYFUNCTION("""COMPUTED_VALUE"""),"B11_35.mp3")</f>
        <v>B11_35.mp3</v>
      </c>
      <c r="M1764" s="13" t="str">
        <f ca="1">IFERROR(__xludf.DUMMYFUNCTION("""COMPUTED_VALUE"""),"B11_VD_35.mp3")</f>
        <v>B11_VD_35.mp3</v>
      </c>
    </row>
    <row r="1765" spans="1:13">
      <c r="A1765" s="13">
        <f ca="1">IFERROR(__xludf.DUMMYFUNCTION("""COMPUTED_VALUE"""),36)</f>
        <v>36</v>
      </c>
      <c r="B1765" s="13"/>
      <c r="C1765" s="13" t="str">
        <f ca="1">IFERROR(__xludf.DUMMYFUNCTION("""COMPUTED_VALUE"""),"心理")</f>
        <v>心理</v>
      </c>
      <c r="D1765" s="13" t="str">
        <f ca="1">IFERROR(__xludf.DUMMYFUNCTION("""COMPUTED_VALUE"""),"&lt;ruby&gt;心理&lt;rt&gt;xīnlĭ&lt;/rt&gt;&lt;/ruby&gt;")</f>
        <v>&lt;ruby&gt;心理&lt;rt&gt;xīnlĭ&lt;/rt&gt;&lt;/ruby&gt;</v>
      </c>
      <c r="E1765" s="13" t="str">
        <f ca="1">IFERROR(__xludf.DUMMYFUNCTION("""COMPUTED_VALUE"""),"xīnlĭ")</f>
        <v>xīnlĭ</v>
      </c>
      <c r="F1765" s="13" t="str">
        <f ca="1">IFERROR(__xludf.DUMMYFUNCTION("""COMPUTED_VALUE"""),"Danh từ")</f>
        <v>Danh từ</v>
      </c>
      <c r="G1765" s="13" t="str">
        <f ca="1">IFERROR(__xludf.DUMMYFUNCTION("""COMPUTED_VALUE"""),"tâm lý")</f>
        <v>tâm lý</v>
      </c>
      <c r="H1765" s="13" t="str">
        <f ca="1">IFERROR(__xludf.DUMMYFUNCTION("""COMPUTED_VALUE"""),"她的心理压力很大，导致她不得不辞职。")</f>
        <v>她的心理压力很大，导致她不得不辞职。</v>
      </c>
      <c r="I1765" s="13"/>
      <c r="J1765" s="13" t="str">
        <f ca="1">IFERROR(__xludf.DUMMYFUNCTION("""COMPUTED_VALUE"""),"Áp lực tâm lý của cô ấy rất lớn, khiến cô ấy phải xin thôi việc.")</f>
        <v>Áp lực tâm lý của cô ấy rất lớn, khiến cô ấy phải xin thôi việc.</v>
      </c>
      <c r="K1765" s="13" t="str">
        <f ca="1">IFERROR(__xludf.DUMMYFUNCTION("""COMPUTED_VALUE"""),"H5_B11_BG-36.png")</f>
        <v>H5_B11_BG-36.png</v>
      </c>
      <c r="L1765" s="13" t="str">
        <f ca="1">IFERROR(__xludf.DUMMYFUNCTION("""COMPUTED_VALUE"""),"B11_36.mp3")</f>
        <v>B11_36.mp3</v>
      </c>
      <c r="M1765" s="13" t="str">
        <f ca="1">IFERROR(__xludf.DUMMYFUNCTION("""COMPUTED_VALUE"""),"B11_VD_36.mp3")</f>
        <v>B11_VD_36.mp3</v>
      </c>
    </row>
    <row r="1766" spans="1:13">
      <c r="A1766" s="13">
        <f ca="1">IFERROR(__xludf.DUMMYFUNCTION("""COMPUTED_VALUE"""),37)</f>
        <v>37</v>
      </c>
      <c r="B1766" s="13"/>
      <c r="C1766" s="13" t="str">
        <f ca="1">IFERROR(__xludf.DUMMYFUNCTION("""COMPUTED_VALUE"""),"愿望")</f>
        <v>愿望</v>
      </c>
      <c r="D1766" s="13" t="str">
        <f ca="1">IFERROR(__xludf.DUMMYFUNCTION("""COMPUTED_VALUE"""),"&lt;ruby&gt;愿望&lt;rt&gt;yuànwàng&lt;/rt&gt;&lt;/ruby&gt;")</f>
        <v>&lt;ruby&gt;愿望&lt;rt&gt;yuànwàng&lt;/rt&gt;&lt;/ruby&gt;</v>
      </c>
      <c r="E1766" s="13" t="str">
        <f ca="1">IFERROR(__xludf.DUMMYFUNCTION("""COMPUTED_VALUE"""),"yuànwàng")</f>
        <v>yuànwàng</v>
      </c>
      <c r="F1766" s="13" t="str">
        <f ca="1">IFERROR(__xludf.DUMMYFUNCTION("""COMPUTED_VALUE"""),"Danh từ")</f>
        <v>Danh từ</v>
      </c>
      <c r="G1766" s="13" t="str">
        <f ca="1">IFERROR(__xludf.DUMMYFUNCTION("""COMPUTED_VALUE"""),"ước muốn, điều mong muốn")</f>
        <v>ước muốn, điều mong muốn</v>
      </c>
      <c r="H1766" s="13" t="str">
        <f ca="1">IFERROR(__xludf.DUMMYFUNCTION("""COMPUTED_VALUE"""),"我的愿望是能成为像妈妈一样的医生。")</f>
        <v>我的愿望是能成为像妈妈一样的医生。</v>
      </c>
      <c r="I1766" s="13"/>
      <c r="J1766" s="13" t="str">
        <f ca="1">IFERROR(__xludf.DUMMYFUNCTION("""COMPUTED_VALUE"""),"Ước muốn của tôi là có thể trở thành bác sỹ giống mẹ của mình.")</f>
        <v>Ước muốn của tôi là có thể trở thành bác sỹ giống mẹ của mình.</v>
      </c>
      <c r="K1766" s="13" t="str">
        <f ca="1">IFERROR(__xludf.DUMMYFUNCTION("""COMPUTED_VALUE"""),"H5_B11_BG-37.png")</f>
        <v>H5_B11_BG-37.png</v>
      </c>
      <c r="L1766" s="13" t="str">
        <f ca="1">IFERROR(__xludf.DUMMYFUNCTION("""COMPUTED_VALUE"""),"B11_37.mp3")</f>
        <v>B11_37.mp3</v>
      </c>
      <c r="M1766" s="13" t="str">
        <f ca="1">IFERROR(__xludf.DUMMYFUNCTION("""COMPUTED_VALUE"""),"B11_VD_37.mp3")</f>
        <v>B11_VD_37.mp3</v>
      </c>
    </row>
    <row r="1767" spans="1:13">
      <c r="A1767" s="13">
        <f ca="1">IFERROR(__xludf.DUMMYFUNCTION("""COMPUTED_VALUE"""),38)</f>
        <v>38</v>
      </c>
      <c r="B1767" s="13"/>
      <c r="C1767" s="13" t="str">
        <f ca="1">IFERROR(__xludf.DUMMYFUNCTION("""COMPUTED_VALUE"""),"柔和")</f>
        <v>柔和</v>
      </c>
      <c r="D1767" s="13" t="str">
        <f ca="1">IFERROR(__xludf.DUMMYFUNCTION("""COMPUTED_VALUE"""),"&lt;ruby&gt;柔和&lt;rt&gt;róuhé&lt;/rt&gt;&lt;/ruby&gt;")</f>
        <v>&lt;ruby&gt;柔和&lt;rt&gt;róuhé&lt;/rt&gt;&lt;/ruby&gt;</v>
      </c>
      <c r="E1767" s="13" t="str">
        <f ca="1">IFERROR(__xludf.DUMMYFUNCTION("""COMPUTED_VALUE"""),"róuhé")</f>
        <v>róuhé</v>
      </c>
      <c r="F1767" s="13" t="str">
        <f ca="1">IFERROR(__xludf.DUMMYFUNCTION("""COMPUTED_VALUE"""),"Tính từ")</f>
        <v>Tính từ</v>
      </c>
      <c r="G1767" s="13" t="str">
        <f ca="1">IFERROR(__xludf.DUMMYFUNCTION("""COMPUTED_VALUE"""),"êm dịu")</f>
        <v>êm dịu</v>
      </c>
      <c r="H1767" s="13" t="str">
        <f ca="1">IFERROR(__xludf.DUMMYFUNCTION("""COMPUTED_VALUE"""),"这首音乐的声音很柔和，让人感到放松。")</f>
        <v>这首音乐的声音很柔和，让人感到放松。</v>
      </c>
      <c r="I1767" s="13"/>
      <c r="J1767" s="13" t="str">
        <f ca="1">IFERROR(__xludf.DUMMYFUNCTION("""COMPUTED_VALUE"""),"Âm thanh của bản nhạc này rất êm dịu, khiến người nghe cảm thấy thư giãn.")</f>
        <v>Âm thanh của bản nhạc này rất êm dịu, khiến người nghe cảm thấy thư giãn.</v>
      </c>
      <c r="K1767" s="13" t="str">
        <f ca="1">IFERROR(__xludf.DUMMYFUNCTION("""COMPUTED_VALUE"""),"H5_B11_BG-38.png")</f>
        <v>H5_B11_BG-38.png</v>
      </c>
      <c r="L1767" s="13" t="str">
        <f ca="1">IFERROR(__xludf.DUMMYFUNCTION("""COMPUTED_VALUE"""),"B11_38.mp3")</f>
        <v>B11_38.mp3</v>
      </c>
      <c r="M1767" s="13" t="str">
        <f ca="1">IFERROR(__xludf.DUMMYFUNCTION("""COMPUTED_VALUE"""),"B11_VD_38.mp3")</f>
        <v>B11_VD_38.mp3</v>
      </c>
    </row>
    <row r="1768" spans="1:13">
      <c r="A1768" s="13">
        <f ca="1">IFERROR(__xludf.DUMMYFUNCTION("""COMPUTED_VALUE"""),39)</f>
        <v>39</v>
      </c>
      <c r="B1768" s="13"/>
      <c r="C1768" s="13" t="str">
        <f ca="1">IFERROR(__xludf.DUMMYFUNCTION("""COMPUTED_VALUE"""),"清醒")</f>
        <v>清醒</v>
      </c>
      <c r="D1768" s="13" t="str">
        <f ca="1">IFERROR(__xludf.DUMMYFUNCTION("""COMPUTED_VALUE"""),"&lt;ruby&gt;清醒&lt;rt&gt;qīngxǐng&lt;/rt&gt;&lt;/ruby&gt;")</f>
        <v>&lt;ruby&gt;清醒&lt;rt&gt;qīngxǐng&lt;/rt&gt;&lt;/ruby&gt;</v>
      </c>
      <c r="E1768" s="13" t="str">
        <f ca="1">IFERROR(__xludf.DUMMYFUNCTION("""COMPUTED_VALUE"""),"qīngxǐng")</f>
        <v>qīngxǐng</v>
      </c>
      <c r="F1768" s="13" t="str">
        <f ca="1">IFERROR(__xludf.DUMMYFUNCTION("""COMPUTED_VALUE"""),"Tính từ /Động từ")</f>
        <v>Tính từ /Động từ</v>
      </c>
      <c r="G1768" s="13" t="str">
        <f ca="1">IFERROR(__xludf.DUMMYFUNCTION("""COMPUTED_VALUE"""),"tỉnh táo, tỉnh lại")</f>
        <v>tỉnh táo, tỉnh lại</v>
      </c>
      <c r="H1768" s="13" t="str">
        <f ca="1">IFERROR(__xludf.DUMMYFUNCTION("""COMPUTED_VALUE"""),"事故发生一天后，他现在已经清醒了。")</f>
        <v>事故发生一天后，他现在已经清醒了。</v>
      </c>
      <c r="I1768" s="13"/>
      <c r="J1768" s="13" t="str">
        <f ca="1">IFERROR(__xludf.DUMMYFUNCTION("""COMPUTED_VALUE"""),"Anh ấy bất tỉnh một ngày sau vụ tai nạn, bây giờ đã tỉnh lại.")</f>
        <v>Anh ấy bất tỉnh một ngày sau vụ tai nạn, bây giờ đã tỉnh lại.</v>
      </c>
      <c r="K1768" s="13" t="str">
        <f ca="1">IFERROR(__xludf.DUMMYFUNCTION("""COMPUTED_VALUE"""),"H5_B11_BG-39.png")</f>
        <v>H5_B11_BG-39.png</v>
      </c>
      <c r="L1768" s="13" t="str">
        <f ca="1">IFERROR(__xludf.DUMMYFUNCTION("""COMPUTED_VALUE"""),"B11_39.mp3")</f>
        <v>B11_39.mp3</v>
      </c>
      <c r="M1768" s="13" t="str">
        <f ca="1">IFERROR(__xludf.DUMMYFUNCTION("""COMPUTED_VALUE"""),"B11_VD_39.mp3")</f>
        <v>B11_VD_39.mp3</v>
      </c>
    </row>
    <row r="1769" spans="1:13">
      <c r="A1769" s="13">
        <f ca="1">IFERROR(__xludf.DUMMYFUNCTION("""COMPUTED_VALUE"""),40)</f>
        <v>40</v>
      </c>
      <c r="B1769" s="13"/>
      <c r="C1769" s="13" t="str">
        <f ca="1">IFERROR(__xludf.DUMMYFUNCTION("""COMPUTED_VALUE"""),"精神")</f>
        <v>精神</v>
      </c>
      <c r="D1769" s="13" t="str">
        <f ca="1">IFERROR(__xludf.DUMMYFUNCTION("""COMPUTED_VALUE"""),"&lt;ruby&gt;精神&lt;rt&gt;jīngshén&lt;/rt&gt;&lt;/ruby&gt;")</f>
        <v>&lt;ruby&gt;精神&lt;rt&gt;jīngshén&lt;/rt&gt;&lt;/ruby&gt;</v>
      </c>
      <c r="E1769" s="13" t="str">
        <f ca="1">IFERROR(__xludf.DUMMYFUNCTION("""COMPUTED_VALUE"""),"jīngshén")</f>
        <v>jīngshén</v>
      </c>
      <c r="F1769" s="13" t="str">
        <f ca="1">IFERROR(__xludf.DUMMYFUNCTION("""COMPUTED_VALUE"""),"Danh từ /Tính từ")</f>
        <v>Danh từ /Tính từ</v>
      </c>
      <c r="G1769" s="13" t="str">
        <f ca="1">IFERROR(__xludf.DUMMYFUNCTION("""COMPUTED_VALUE"""),"tinh thần, sôi nổi, hoạt bát")</f>
        <v>tinh thần, sôi nổi, hoạt bát</v>
      </c>
      <c r="H1769" s="13" t="str">
        <f ca="1">IFERROR(__xludf.DUMMYFUNCTION("""COMPUTED_VALUE"""),"小狗跑来跑去，非常精神。")</f>
        <v>小狗跑来跑去，非常精神。</v>
      </c>
      <c r="I1769" s="13"/>
      <c r="J1769" s="13" t="str">
        <f ca="1">IFERROR(__xludf.DUMMYFUNCTION("""COMPUTED_VALUE"""),"Chú chó chạy đi chạy lại, rất sôi nổi.")</f>
        <v>Chú chó chạy đi chạy lại, rất sôi nổi.</v>
      </c>
      <c r="K1769" s="13" t="str">
        <f ca="1">IFERROR(__xludf.DUMMYFUNCTION("""COMPUTED_VALUE"""),"H5_B11_BG-40.png")</f>
        <v>H5_B11_BG-40.png</v>
      </c>
      <c r="L1769" s="13" t="str">
        <f ca="1">IFERROR(__xludf.DUMMYFUNCTION("""COMPUTED_VALUE"""),"B11_40.mp3")</f>
        <v>B11_40.mp3</v>
      </c>
      <c r="M1769" s="13" t="str">
        <f ca="1">IFERROR(__xludf.DUMMYFUNCTION("""COMPUTED_VALUE"""),"B11_VD_40.mp3")</f>
        <v>B11_VD_40.mp3</v>
      </c>
    </row>
    <row r="1770" spans="1:13">
      <c r="A1770" s="13">
        <f ca="1">IFERROR(__xludf.DUMMYFUNCTION("""COMPUTED_VALUE"""),41)</f>
        <v>41</v>
      </c>
      <c r="B1770" s="13"/>
      <c r="C1770" s="13" t="str">
        <f ca="1">IFERROR(__xludf.DUMMYFUNCTION("""COMPUTED_VALUE"""),"过度")</f>
        <v>过度</v>
      </c>
      <c r="D1770" s="13" t="str">
        <f ca="1">IFERROR(__xludf.DUMMYFUNCTION("""COMPUTED_VALUE"""),"&lt;ruby&gt;过度&lt;rt&gt;guòdù&lt;/rt&gt;&lt;/ruby&gt;")</f>
        <v>&lt;ruby&gt;过度&lt;rt&gt;guòdù&lt;/rt&gt;&lt;/ruby&gt;</v>
      </c>
      <c r="E1770" s="13" t="str">
        <f ca="1">IFERROR(__xludf.DUMMYFUNCTION("""COMPUTED_VALUE"""),"guòdù")</f>
        <v>guòdù</v>
      </c>
      <c r="F1770" s="13" t="str">
        <f ca="1">IFERROR(__xludf.DUMMYFUNCTION("""COMPUTED_VALUE"""),"Động từ ")</f>
        <v xml:space="preserve">Động từ </v>
      </c>
      <c r="G1770" s="13" t="str">
        <f ca="1">IFERROR(__xludf.DUMMYFUNCTION("""COMPUTED_VALUE"""),"quá độ, chuyển tiếp")</f>
        <v>quá độ, chuyển tiếp</v>
      </c>
      <c r="H1770" s="13" t="str">
        <f ca="1">IFERROR(__xludf.DUMMYFUNCTION("""COMPUTED_VALUE"""),"长期过度工作会让人感到非常疲惫。")</f>
        <v>长期过度工作会让人感到非常疲惫。</v>
      </c>
      <c r="I1770" s="13"/>
      <c r="J1770" s="13" t="str">
        <f ca="1">IFERROR(__xludf.DUMMYFUNCTION("""COMPUTED_VALUE"""),"Làm việc quá độ trong thời gian dài sẽ cảm thấy rất mệt mỏi.")</f>
        <v>Làm việc quá độ trong thời gian dài sẽ cảm thấy rất mệt mỏi.</v>
      </c>
      <c r="K1770" s="13" t="str">
        <f ca="1">IFERROR(__xludf.DUMMYFUNCTION("""COMPUTED_VALUE"""),"H5_B11_BG-41.png")</f>
        <v>H5_B11_BG-41.png</v>
      </c>
      <c r="L1770" s="13" t="str">
        <f ca="1">IFERROR(__xludf.DUMMYFUNCTION("""COMPUTED_VALUE"""),"B11_41.mp3")</f>
        <v>B11_41.mp3</v>
      </c>
      <c r="M1770" s="13" t="str">
        <f ca="1">IFERROR(__xludf.DUMMYFUNCTION("""COMPUTED_VALUE"""),"B11_VD_41.mp3")</f>
        <v>B11_VD_41.mp3</v>
      </c>
    </row>
    <row r="1771" spans="1:13">
      <c r="A1771" s="13">
        <f ca="1">IFERROR(__xludf.DUMMYFUNCTION("""COMPUTED_VALUE"""),1)</f>
        <v>1</v>
      </c>
      <c r="B1771" s="13"/>
      <c r="C1771" s="13" t="str">
        <f ca="1">IFERROR(__xludf.DUMMYFUNCTION("""COMPUTED_VALUE"""),"程度")</f>
        <v>程度</v>
      </c>
      <c r="D1771" s="13" t="str">
        <f ca="1">IFERROR(__xludf.DUMMYFUNCTION("""COMPUTED_VALUE"""),"&lt;ruby&gt;程度&lt;rt&gt;chéngdù&lt;/rt&gt;&lt;/ruby&gt;")</f>
        <v>&lt;ruby&gt;程度&lt;rt&gt;chéngdù&lt;/rt&gt;&lt;/ruby&gt;</v>
      </c>
      <c r="E1771" s="13" t="str">
        <f ca="1">IFERROR(__xludf.DUMMYFUNCTION("""COMPUTED_VALUE"""),"chéngdù")</f>
        <v>chéngdù</v>
      </c>
      <c r="F1771" s="13" t="str">
        <f ca="1">IFERROR(__xludf.DUMMYFUNCTION("""COMPUTED_VALUE"""),"Danh từ")</f>
        <v>Danh từ</v>
      </c>
      <c r="G1771" s="13" t="str">
        <f ca="1">IFERROR(__xludf.DUMMYFUNCTION("""COMPUTED_VALUE"""),"trình độ, mức độ")</f>
        <v>trình độ, mức độ</v>
      </c>
      <c r="H1771" s="13" t="str">
        <f ca="1">IFERROR(__xludf.DUMMYFUNCTION("""COMPUTED_VALUE"""),"他的羽毛球程度让他得到了第一的位置。")</f>
        <v>他的羽毛球程度让他得到了第一的位置。</v>
      </c>
      <c r="I1771" s="13"/>
      <c r="J1771" s="13" t="str">
        <f ca="1">IFERROR(__xludf.DUMMYFUNCTION("""COMPUTED_VALUE"""),"Trình độ cầu lông của cậu bé đã giúp cho cậu ấy đạt được vị trí số 1")</f>
        <v>Trình độ cầu lông của cậu bé đã giúp cho cậu ấy đạt được vị trí số 1</v>
      </c>
      <c r="K1771" s="13" t="str">
        <f ca="1">IFERROR(__xludf.DUMMYFUNCTION("""COMPUTED_VALUE"""),"H5_B12_BG1.png")</f>
        <v>H5_B12_BG1.png</v>
      </c>
      <c r="L1771" s="13" t="str">
        <f ca="1">IFERROR(__xludf.DUMMYFUNCTION("""COMPUTED_VALUE"""),"B12_1.mp3")</f>
        <v>B12_1.mp3</v>
      </c>
      <c r="M1771" s="13" t="str">
        <f ca="1">IFERROR(__xludf.DUMMYFUNCTION("""COMPUTED_VALUE"""),"B12_VD_1.mp3")</f>
        <v>B12_VD_1.mp3</v>
      </c>
    </row>
    <row r="1772" spans="1:13">
      <c r="A1772" s="13">
        <f ca="1">IFERROR(__xludf.DUMMYFUNCTION("""COMPUTED_VALUE"""),2)</f>
        <v>2</v>
      </c>
      <c r="B1772" s="13"/>
      <c r="C1772" s="13" t="str">
        <f ca="1">IFERROR(__xludf.DUMMYFUNCTION("""COMPUTED_VALUE"""),"当地")</f>
        <v>当地</v>
      </c>
      <c r="D1772" s="13" t="str">
        <f ca="1">IFERROR(__xludf.DUMMYFUNCTION("""COMPUTED_VALUE"""),"&lt;ruby&gt;当地&lt;rt&gt;dāngdì&lt;/rt&gt;&lt;/ruby&gt;")</f>
        <v>&lt;ruby&gt;当地&lt;rt&gt;dāngdì&lt;/rt&gt;&lt;/ruby&gt;</v>
      </c>
      <c r="E1772" s="13" t="str">
        <f ca="1">IFERROR(__xludf.DUMMYFUNCTION("""COMPUTED_VALUE"""),"dāngdì")</f>
        <v>dāngdì</v>
      </c>
      <c r="F1772" s="13" t="str">
        <f ca="1">IFERROR(__xludf.DUMMYFUNCTION("""COMPUTED_VALUE"""),"Danh từ")</f>
        <v>Danh từ</v>
      </c>
      <c r="G1772" s="13" t="str">
        <f ca="1">IFERROR(__xludf.DUMMYFUNCTION("""COMPUTED_VALUE"""),"bản địa, bản xứ")</f>
        <v>bản địa, bản xứ</v>
      </c>
      <c r="H1772" s="13" t="str">
        <f ca="1">IFERROR(__xludf.DUMMYFUNCTION("""COMPUTED_VALUE"""),"外国人正在向当地人问路。")</f>
        <v>外国人正在向当地人问路。</v>
      </c>
      <c r="I1772" s="13"/>
      <c r="J1772" s="13" t="str">
        <f ca="1">IFERROR(__xludf.DUMMYFUNCTION("""COMPUTED_VALUE"""),"Người nước ngoài đang hỏi đường người bản địa")</f>
        <v>Người nước ngoài đang hỏi đường người bản địa</v>
      </c>
      <c r="K1772" s="13" t="str">
        <f ca="1">IFERROR(__xludf.DUMMYFUNCTION("""COMPUTED_VALUE"""),"H5_B12_BG2.png")</f>
        <v>H5_B12_BG2.png</v>
      </c>
      <c r="L1772" s="13" t="str">
        <f ca="1">IFERROR(__xludf.DUMMYFUNCTION("""COMPUTED_VALUE"""),"B12_2.mp3")</f>
        <v>B12_2.mp3</v>
      </c>
      <c r="M1772" s="13" t="str">
        <f ca="1">IFERROR(__xludf.DUMMYFUNCTION("""COMPUTED_VALUE"""),"B12_VD_2.mp3")</f>
        <v>B12_VD_2.mp3</v>
      </c>
    </row>
    <row r="1773" spans="1:13">
      <c r="A1773" s="13">
        <f ca="1">IFERROR(__xludf.DUMMYFUNCTION("""COMPUTED_VALUE"""),3)</f>
        <v>3</v>
      </c>
      <c r="B1773" s="13"/>
      <c r="C1773" s="13" t="str">
        <f ca="1">IFERROR(__xludf.DUMMYFUNCTION("""COMPUTED_VALUE"""),"地位")</f>
        <v>地位</v>
      </c>
      <c r="D1773" s="13" t="str">
        <f ca="1">IFERROR(__xludf.DUMMYFUNCTION("""COMPUTED_VALUE"""),"&lt;ruby&gt;地位&lt;rt&gt;dìwèi&lt;/rt&gt;&lt;/ruby&gt;")</f>
        <v>&lt;ruby&gt;地位&lt;rt&gt;dìwèi&lt;/rt&gt;&lt;/ruby&gt;</v>
      </c>
      <c r="E1773" s="13" t="str">
        <f ca="1">IFERROR(__xludf.DUMMYFUNCTION("""COMPUTED_VALUE"""),"dìwèi")</f>
        <v>dìwèi</v>
      </c>
      <c r="F1773" s="13" t="str">
        <f ca="1">IFERROR(__xludf.DUMMYFUNCTION("""COMPUTED_VALUE"""),"Danh từ")</f>
        <v>Danh từ</v>
      </c>
      <c r="G1773" s="13" t="str">
        <f ca="1">IFERROR(__xludf.DUMMYFUNCTION("""COMPUTED_VALUE"""),"địa vị, vị trí ")</f>
        <v xml:space="preserve">địa vị, vị trí </v>
      </c>
      <c r="H1773" s="13" t="str">
        <f ca="1">IFERROR(__xludf.DUMMYFUNCTION("""COMPUTED_VALUE"""),"他在公司中的地位是整个部门的经理。")</f>
        <v>他在公司中的地位是整个部门的经理。</v>
      </c>
      <c r="I1773" s="13"/>
      <c r="J1773" s="13" t="str">
        <f ca="1">IFERROR(__xludf.DUMMYFUNCTION("""COMPUTED_VALUE"""),"Địa vị của anh ấy trong công ty này chính là người quản lý của cả một phòng ban.")</f>
        <v>Địa vị của anh ấy trong công ty này chính là người quản lý của cả một phòng ban.</v>
      </c>
      <c r="K1773" s="13" t="str">
        <f ca="1">IFERROR(__xludf.DUMMYFUNCTION("""COMPUTED_VALUE"""),"H5_B12_BG3.png")</f>
        <v>H5_B12_BG3.png</v>
      </c>
      <c r="L1773" s="13" t="str">
        <f ca="1">IFERROR(__xludf.DUMMYFUNCTION("""COMPUTED_VALUE"""),"B12_3.mp3")</f>
        <v>B12_3.mp3</v>
      </c>
      <c r="M1773" s="13" t="str">
        <f ca="1">IFERROR(__xludf.DUMMYFUNCTION("""COMPUTED_VALUE"""),"B12_VD_3.mp3")</f>
        <v>B12_VD_3.mp3</v>
      </c>
    </row>
    <row r="1774" spans="1:13">
      <c r="A1774" s="13">
        <f ca="1">IFERROR(__xludf.DUMMYFUNCTION("""COMPUTED_VALUE"""),4)</f>
        <v>4</v>
      </c>
      <c r="B1774" s="13"/>
      <c r="C1774" s="13" t="str">
        <f ca="1">IFERROR(__xludf.DUMMYFUNCTION("""COMPUTED_VALUE"""),"高级")</f>
        <v>高级</v>
      </c>
      <c r="D1774" s="13" t="str">
        <f ca="1">IFERROR(__xludf.DUMMYFUNCTION("""COMPUTED_VALUE"""),"&lt;ruby&gt;高级&lt;rt&gt;gāojí&lt;/rt&gt;&lt;/ruby&gt;")</f>
        <v>&lt;ruby&gt;高级&lt;rt&gt;gāojí&lt;/rt&gt;&lt;/ruby&gt;</v>
      </c>
      <c r="E1774" s="13" t="str">
        <f ca="1">IFERROR(__xludf.DUMMYFUNCTION("""COMPUTED_VALUE"""),"gāojí")</f>
        <v>gāojí</v>
      </c>
      <c r="F1774" s="13" t="str">
        <f ca="1">IFERROR(__xludf.DUMMYFUNCTION("""COMPUTED_VALUE"""),"Tính từ")</f>
        <v>Tính từ</v>
      </c>
      <c r="G1774" s="13" t="str">
        <f ca="1">IFERROR(__xludf.DUMMYFUNCTION("""COMPUTED_VALUE"""),"cao cấp")</f>
        <v>cao cấp</v>
      </c>
      <c r="H1774" s="13" t="str">
        <f ca="1">IFERROR(__xludf.DUMMYFUNCTION("""COMPUTED_VALUE"""),"这是一个高级洗衣机。")</f>
        <v>这是一个高级洗衣机。</v>
      </c>
      <c r="I1774" s="13"/>
      <c r="J1774" s="13" t="str">
        <f ca="1">IFERROR(__xludf.DUMMYFUNCTION("""COMPUTED_VALUE"""),"Đây là một chiếc máy giặt cao cấp. ")</f>
        <v xml:space="preserve">Đây là một chiếc máy giặt cao cấp. </v>
      </c>
      <c r="K1774" s="13" t="str">
        <f ca="1">IFERROR(__xludf.DUMMYFUNCTION("""COMPUTED_VALUE"""),"H5_B12_BG4.png")</f>
        <v>H5_B12_BG4.png</v>
      </c>
      <c r="L1774" s="13" t="str">
        <f ca="1">IFERROR(__xludf.DUMMYFUNCTION("""COMPUTED_VALUE"""),"B12_4.mp3")</f>
        <v>B12_4.mp3</v>
      </c>
      <c r="M1774" s="13" t="str">
        <f ca="1">IFERROR(__xludf.DUMMYFUNCTION("""COMPUTED_VALUE"""),"B12_VD_4.mp3")</f>
        <v>B12_VD_4.mp3</v>
      </c>
    </row>
    <row r="1775" spans="1:13">
      <c r="A1775" s="13">
        <f ca="1">IFERROR(__xludf.DUMMYFUNCTION("""COMPUTED_VALUE"""),5)</f>
        <v>5</v>
      </c>
      <c r="B1775" s="13"/>
      <c r="C1775" s="13" t="str">
        <f ca="1">IFERROR(__xludf.DUMMYFUNCTION("""COMPUTED_VALUE"""),"现实")</f>
        <v>现实</v>
      </c>
      <c r="D1775" s="13" t="str">
        <f ca="1">IFERROR(__xludf.DUMMYFUNCTION("""COMPUTED_VALUE"""),"&lt;ruby&gt;现实&lt;rt&gt;xiànshí&lt;/rt&gt;&lt;/ruby&gt;")</f>
        <v>&lt;ruby&gt;现实&lt;rt&gt;xiànshí&lt;/rt&gt;&lt;/ruby&gt;</v>
      </c>
      <c r="E1775" s="13" t="str">
        <f ca="1">IFERROR(__xludf.DUMMYFUNCTION("""COMPUTED_VALUE"""),"xiànshí")</f>
        <v>xiànshí</v>
      </c>
      <c r="F1775" s="13" t="str">
        <f ca="1">IFERROR(__xludf.DUMMYFUNCTION("""COMPUTED_VALUE"""),"Danh từ")</f>
        <v>Danh từ</v>
      </c>
      <c r="G1775" s="13" t="str">
        <f ca="1">IFERROR(__xludf.DUMMYFUNCTION("""COMPUTED_VALUE"""),"hiện thực")</f>
        <v>hiện thực</v>
      </c>
      <c r="H1775" s="13" t="str">
        <f ca="1">IFERROR(__xludf.DUMMYFUNCTION("""COMPUTED_VALUE"""),"这个小男孩讲述的梦境变成了现实，他在夏威夷游泳。")</f>
        <v>这个小男孩讲述的梦境变成了现实，他在夏威夷游泳。</v>
      </c>
      <c r="I1775" s="13"/>
      <c r="J1775" s="13" t="str">
        <f ca="1">IFERROR(__xludf.DUMMYFUNCTION("""COMPUTED_VALUE"""),"Cậu bé đang kể giấc mơ trở thành hiện thực , cậu ấy đang bơi ở Hawaii.")</f>
        <v>Cậu bé đang kể giấc mơ trở thành hiện thực , cậu ấy đang bơi ở Hawaii.</v>
      </c>
      <c r="K1775" s="13" t="str">
        <f ca="1">IFERROR(__xludf.DUMMYFUNCTION("""COMPUTED_VALUE"""),"H5_B12_BG5.png")</f>
        <v>H5_B12_BG5.png</v>
      </c>
      <c r="L1775" s="13" t="str">
        <f ca="1">IFERROR(__xludf.DUMMYFUNCTION("""COMPUTED_VALUE"""),"B12_5.mp3")</f>
        <v>B12_5.mp3</v>
      </c>
      <c r="M1775" s="13" t="str">
        <f ca="1">IFERROR(__xludf.DUMMYFUNCTION("""COMPUTED_VALUE"""),"B12_VD_5.mp3")</f>
        <v>B12_VD_5.mp3</v>
      </c>
    </row>
    <row r="1776" spans="1:13">
      <c r="A1776" s="13">
        <f ca="1">IFERROR(__xludf.DUMMYFUNCTION("""COMPUTED_VALUE"""),6)</f>
        <v>6</v>
      </c>
      <c r="B1776" s="13"/>
      <c r="C1776" s="13" t="str">
        <f ca="1">IFERROR(__xludf.DUMMYFUNCTION("""COMPUTED_VALUE"""),"相关")</f>
        <v>相关</v>
      </c>
      <c r="D1776" s="13" t="str">
        <f ca="1">IFERROR(__xludf.DUMMYFUNCTION("""COMPUTED_VALUE"""),"&lt;ruby&gt;相关&lt;rt&gt;xiāngguān&lt;/rt&gt;&lt;/ruby&gt;")</f>
        <v>&lt;ruby&gt;相关&lt;rt&gt;xiāngguān&lt;/rt&gt;&lt;/ruby&gt;</v>
      </c>
      <c r="E1776" s="13" t="str">
        <f ca="1">IFERROR(__xludf.DUMMYFUNCTION("""COMPUTED_VALUE"""),"xiāngguān")</f>
        <v>xiāngguān</v>
      </c>
      <c r="F1776" s="13" t="str">
        <f ca="1">IFERROR(__xludf.DUMMYFUNCTION("""COMPUTED_VALUE"""),"Động từ ")</f>
        <v xml:space="preserve">Động từ </v>
      </c>
      <c r="G1776" s="13" t="str">
        <f ca="1">IFERROR(__xludf.DUMMYFUNCTION("""COMPUTED_VALUE"""),"liên quan, tương quan")</f>
        <v>liên quan, tương quan</v>
      </c>
      <c r="H1776" s="13" t="str">
        <f ca="1">IFERROR(__xludf.DUMMYFUNCTION("""COMPUTED_VALUE"""),"我们需要相关的信息。")</f>
        <v>我们需要相关的信息。</v>
      </c>
      <c r="I1776" s="13"/>
      <c r="J1776" s="13" t="str">
        <f ca="1">IFERROR(__xludf.DUMMYFUNCTION("""COMPUTED_VALUE"""),"Chúng tôi cần thông tin liên quan.")</f>
        <v>Chúng tôi cần thông tin liên quan.</v>
      </c>
      <c r="K1776" s="13" t="str">
        <f ca="1">IFERROR(__xludf.DUMMYFUNCTION("""COMPUTED_VALUE"""),"H5_B12_BG6.png")</f>
        <v>H5_B12_BG6.png</v>
      </c>
      <c r="L1776" s="13" t="str">
        <f ca="1">IFERROR(__xludf.DUMMYFUNCTION("""COMPUTED_VALUE"""),"B12_6.mp3")</f>
        <v>B12_6.mp3</v>
      </c>
      <c r="M1776" s="13" t="str">
        <f ca="1">IFERROR(__xludf.DUMMYFUNCTION("""COMPUTED_VALUE"""),"B12_VD_6.mp3")</f>
        <v>B12_VD_6.mp3</v>
      </c>
    </row>
    <row r="1777" spans="1:13">
      <c r="A1777" s="13">
        <f ca="1">IFERROR(__xludf.DUMMYFUNCTION("""COMPUTED_VALUE"""),7)</f>
        <v>7</v>
      </c>
      <c r="B1777" s="13"/>
      <c r="C1777" s="13" t="str">
        <f ca="1">IFERROR(__xludf.DUMMYFUNCTION("""COMPUTED_VALUE"""),"移动")</f>
        <v>移动</v>
      </c>
      <c r="D1777" s="13" t="str">
        <f ca="1">IFERROR(__xludf.DUMMYFUNCTION("""COMPUTED_VALUE"""),"&lt;ruby&gt;移动&lt;rt&gt;yídòng&lt;/rt&gt;&lt;/ruby&gt;")</f>
        <v>&lt;ruby&gt;移动&lt;rt&gt;yídòng&lt;/rt&gt;&lt;/ruby&gt;</v>
      </c>
      <c r="E1777" s="13" t="str">
        <f ca="1">IFERROR(__xludf.DUMMYFUNCTION("""COMPUTED_VALUE"""),"yídòng")</f>
        <v>yídòng</v>
      </c>
      <c r="F1777" s="13" t="str">
        <f ca="1">IFERROR(__xludf.DUMMYFUNCTION("""COMPUTED_VALUE"""),"Động từ ")</f>
        <v xml:space="preserve">Động từ </v>
      </c>
      <c r="G1777" s="13" t="str">
        <f ca="1">IFERROR(__xludf.DUMMYFUNCTION("""COMPUTED_VALUE"""),"di động, di chuyển")</f>
        <v>di động, di chuyển</v>
      </c>
      <c r="H1777" s="13" t="str">
        <f ca="1">IFERROR(__xludf.DUMMYFUNCTION("""COMPUTED_VALUE"""),"传送带正在移动货物。")</f>
        <v>传送带正在移动货物。</v>
      </c>
      <c r="I1777" s="13"/>
      <c r="J1777" s="13" t="str">
        <f ca="1">IFERROR(__xludf.DUMMYFUNCTION("""COMPUTED_VALUE"""),"Băng truyền đang di chuyển hàng hóa")</f>
        <v>Băng truyền đang di chuyển hàng hóa</v>
      </c>
      <c r="K1777" s="13" t="str">
        <f ca="1">IFERROR(__xludf.DUMMYFUNCTION("""COMPUTED_VALUE"""),"H5_B12_BG7.png")</f>
        <v>H5_B12_BG7.png</v>
      </c>
      <c r="L1777" s="13" t="str">
        <f ca="1">IFERROR(__xludf.DUMMYFUNCTION("""COMPUTED_VALUE"""),"B12_7.mp3")</f>
        <v>B12_7.mp3</v>
      </c>
      <c r="M1777" s="13" t="str">
        <f ca="1">IFERROR(__xludf.DUMMYFUNCTION("""COMPUTED_VALUE"""),"B12_VD_7.mp3")</f>
        <v>B12_VD_7.mp3</v>
      </c>
    </row>
    <row r="1778" spans="1:13">
      <c r="A1778" s="13">
        <f ca="1">IFERROR(__xludf.DUMMYFUNCTION("""COMPUTED_VALUE"""),8)</f>
        <v>8</v>
      </c>
      <c r="B1778" s="13"/>
      <c r="C1778" s="13" t="str">
        <f ca="1">IFERROR(__xludf.DUMMYFUNCTION("""COMPUTED_VALUE"""),"移民")</f>
        <v>移民</v>
      </c>
      <c r="D1778" s="13" t="str">
        <f ca="1">IFERROR(__xludf.DUMMYFUNCTION("""COMPUTED_VALUE"""),"&lt;ruby&gt;移民&lt;rt&gt;yímín&lt;/rt&gt;&lt;/ruby&gt;")</f>
        <v>&lt;ruby&gt;移民&lt;rt&gt;yímín&lt;/rt&gt;&lt;/ruby&gt;</v>
      </c>
      <c r="E1778" s="13" t="str">
        <f ca="1">IFERROR(__xludf.DUMMYFUNCTION("""COMPUTED_VALUE"""),"yímín")</f>
        <v>yímín</v>
      </c>
      <c r="F1778" s="13" t="str">
        <f ca="1">IFERROR(__xludf.DUMMYFUNCTION("""COMPUTED_VALUE"""),"Danh từ")</f>
        <v>Danh từ</v>
      </c>
      <c r="G1778" s="13" t="str">
        <f ca="1">IFERROR(__xludf.DUMMYFUNCTION("""COMPUTED_VALUE"""),"dân di cu")</f>
        <v>dân di cu</v>
      </c>
      <c r="H1778" s="13" t="str">
        <f ca="1">IFERROR(__xludf.DUMMYFUNCTION("""COMPUTED_VALUE"""),"那一大群移民正在寻找新的家园。")</f>
        <v>那一大群移民正在寻找新的家园。</v>
      </c>
      <c r="I1778" s="13"/>
      <c r="J1778" s="13" t="str">
        <f ca="1">IFERROR(__xludf.DUMMYFUNCTION("""COMPUTED_VALUE"""),"Dòng người dân di cư đang tìm nơi ở mới.")</f>
        <v>Dòng người dân di cư đang tìm nơi ở mới.</v>
      </c>
      <c r="K1778" s="13" t="str">
        <f ca="1">IFERROR(__xludf.DUMMYFUNCTION("""COMPUTED_VALUE"""),"H5_B12_BG8.png")</f>
        <v>H5_B12_BG8.png</v>
      </c>
      <c r="L1778" s="13" t="str">
        <f ca="1">IFERROR(__xludf.DUMMYFUNCTION("""COMPUTED_VALUE"""),"B12_8.mp3")</f>
        <v>B12_8.mp3</v>
      </c>
      <c r="M1778" s="13" t="str">
        <f ca="1">IFERROR(__xludf.DUMMYFUNCTION("""COMPUTED_VALUE"""),"B12_VD_8.mp3")</f>
        <v>B12_VD_8.mp3</v>
      </c>
    </row>
    <row r="1779" spans="1:13">
      <c r="A1779" s="13">
        <f ca="1">IFERROR(__xludf.DUMMYFUNCTION("""COMPUTED_VALUE"""),9)</f>
        <v>9</v>
      </c>
      <c r="B1779" s="13"/>
      <c r="C1779" s="13" t="str">
        <f ca="1">IFERROR(__xludf.DUMMYFUNCTION("""COMPUTED_VALUE"""),"应用")</f>
        <v>应用</v>
      </c>
      <c r="D1779" s="13" t="str">
        <f ca="1">IFERROR(__xludf.DUMMYFUNCTION("""COMPUTED_VALUE"""),"&lt;ruby&gt;应用&lt;rt&gt;yìngyòng&lt;/rt&gt;&lt;/ruby&gt;")</f>
        <v>&lt;ruby&gt;应用&lt;rt&gt;yìngyòng&lt;/rt&gt;&lt;/ruby&gt;</v>
      </c>
      <c r="E1779" s="13" t="str">
        <f ca="1">IFERROR(__xludf.DUMMYFUNCTION("""COMPUTED_VALUE"""),"yìngyòng")</f>
        <v>yìngyòng</v>
      </c>
      <c r="F1779" s="13" t="str">
        <f ca="1">IFERROR(__xludf.DUMMYFUNCTION("""COMPUTED_VALUE"""),"Danh từ/Động từ ")</f>
        <v xml:space="preserve">Danh từ/Động từ </v>
      </c>
      <c r="G1779" s="13" t="str">
        <f ca="1">IFERROR(__xludf.DUMMYFUNCTION("""COMPUTED_VALUE"""),"(tin học) trình ứng dụng; ứng dụng")</f>
        <v>(tin học) trình ứng dụng; ứng dụng</v>
      </c>
      <c r="H1779" s="13" t="str">
        <f ca="1">IFERROR(__xludf.DUMMYFUNCTION("""COMPUTED_VALUE"""),"这是一个非常好的数学学习应用程序。")</f>
        <v>这是一个非常好的数学学习应用程序。</v>
      </c>
      <c r="I1779" s="13"/>
      <c r="J1779" s="13" t="str">
        <f ca="1">IFERROR(__xludf.DUMMYFUNCTION("""COMPUTED_VALUE"""),"Đây là một ứng dụng để học toán rất hay.")</f>
        <v>Đây là một ứng dụng để học toán rất hay.</v>
      </c>
      <c r="K1779" s="13" t="str">
        <f ca="1">IFERROR(__xludf.DUMMYFUNCTION("""COMPUTED_VALUE"""),"H5_B12_BG9.png")</f>
        <v>H5_B12_BG9.png</v>
      </c>
      <c r="L1779" s="13" t="str">
        <f ca="1">IFERROR(__xludf.DUMMYFUNCTION("""COMPUTED_VALUE"""),"B12_9.mp3")</f>
        <v>B12_9.mp3</v>
      </c>
      <c r="M1779" s="13" t="str">
        <f ca="1">IFERROR(__xludf.DUMMYFUNCTION("""COMPUTED_VALUE"""),"B12_VD_9.mp3")</f>
        <v>B12_VD_9.mp3</v>
      </c>
    </row>
    <row r="1780" spans="1:13">
      <c r="A1780" s="13">
        <f ca="1">IFERROR(__xludf.DUMMYFUNCTION("""COMPUTED_VALUE"""),10)</f>
        <v>10</v>
      </c>
      <c r="B1780" s="13"/>
      <c r="C1780" s="13" t="str">
        <f ca="1">IFERROR(__xludf.DUMMYFUNCTION("""COMPUTED_VALUE"""),"召开")</f>
        <v>召开</v>
      </c>
      <c r="D1780" s="13" t="str">
        <f ca="1">IFERROR(__xludf.DUMMYFUNCTION("""COMPUTED_VALUE"""),"&lt;ruby&gt;召开&lt;rt&gt;zhàokāi&lt;/rt&gt;&lt;/ruby&gt;")</f>
        <v>&lt;ruby&gt;召开&lt;rt&gt;zhàokāi&lt;/rt&gt;&lt;/ruby&gt;</v>
      </c>
      <c r="E1780" s="13" t="str">
        <f ca="1">IFERROR(__xludf.DUMMYFUNCTION("""COMPUTED_VALUE"""),"zhàokāi")</f>
        <v>zhàokāi</v>
      </c>
      <c r="F1780" s="13" t="str">
        <f ca="1">IFERROR(__xludf.DUMMYFUNCTION("""COMPUTED_VALUE"""),"Động từ ")</f>
        <v xml:space="preserve">Động từ </v>
      </c>
      <c r="G1780" s="13" t="str">
        <f ca="1">IFERROR(__xludf.DUMMYFUNCTION("""COMPUTED_VALUE"""),"mời dự họp, tổ chức")</f>
        <v>mời dự họp, tổ chức</v>
      </c>
      <c r="H1780" s="13" t="str">
        <f ca="1">IFERROR(__xludf.DUMMYFUNCTION("""COMPUTED_VALUE"""),"明天公司将召开一个重要会议。")</f>
        <v>明天公司将召开一个重要会议。</v>
      </c>
      <c r="I1780" s="13"/>
      <c r="J1780" s="13" t="str">
        <f ca="1">IFERROR(__xludf.DUMMYFUNCTION("""COMPUTED_VALUE"""),"Ngày mai công ty mở cuộc họp quan trọng.")</f>
        <v>Ngày mai công ty mở cuộc họp quan trọng.</v>
      </c>
      <c r="K1780" s="13" t="str">
        <f ca="1">IFERROR(__xludf.DUMMYFUNCTION("""COMPUTED_VALUE"""),"H5_B12_BG10.png")</f>
        <v>H5_B12_BG10.png</v>
      </c>
      <c r="L1780" s="13" t="str">
        <f ca="1">IFERROR(__xludf.DUMMYFUNCTION("""COMPUTED_VALUE"""),"B12_10.mp3")</f>
        <v>B12_10.mp3</v>
      </c>
      <c r="M1780" s="13" t="str">
        <f ca="1">IFERROR(__xludf.DUMMYFUNCTION("""COMPUTED_VALUE"""),"B12_VD_10.mp3")</f>
        <v>B12_VD_10.mp3</v>
      </c>
    </row>
    <row r="1781" spans="1:13">
      <c r="A1781" s="13">
        <f ca="1">IFERROR(__xludf.DUMMYFUNCTION("""COMPUTED_VALUE"""),11)</f>
        <v>11</v>
      </c>
      <c r="B1781" s="13"/>
      <c r="C1781" s="13" t="str">
        <f ca="1">IFERROR(__xludf.DUMMYFUNCTION("""COMPUTED_VALUE"""),"针对")</f>
        <v>针对</v>
      </c>
      <c r="D1781" s="13" t="str">
        <f ca="1">IFERROR(__xludf.DUMMYFUNCTION("""COMPUTED_VALUE"""),"&lt;ruby&gt;针对&lt;rt&gt;zhēnduì&lt;/rt&gt;&lt;/ruby&gt;")</f>
        <v>&lt;ruby&gt;针对&lt;rt&gt;zhēnduì&lt;/rt&gt;&lt;/ruby&gt;</v>
      </c>
      <c r="E1781" s="13" t="str">
        <f ca="1">IFERROR(__xludf.DUMMYFUNCTION("""COMPUTED_VALUE"""),"zhēnduì")</f>
        <v>zhēnduì</v>
      </c>
      <c r="F1781" s="13" t="str">
        <f ca="1">IFERROR(__xludf.DUMMYFUNCTION("""COMPUTED_VALUE"""),"Động từ ")</f>
        <v xml:space="preserve">Động từ </v>
      </c>
      <c r="G1781" s="13" t="str">
        <f ca="1">IFERROR(__xludf.DUMMYFUNCTION("""COMPUTED_VALUE"""),"nhằm vào, chĩa vào")</f>
        <v>nhằm vào, chĩa vào</v>
      </c>
      <c r="H1781" s="13" t="str">
        <f ca="1">IFERROR(__xludf.DUMMYFUNCTION("""COMPUTED_VALUE"""),"这个计划针对特定客户。")</f>
        <v>这个计划针对特定客户。</v>
      </c>
      <c r="I1781" s="13"/>
      <c r="J1781" s="13" t="str">
        <f ca="1">IFERROR(__xludf.DUMMYFUNCTION("""COMPUTED_VALUE"""),"Kế hoạch này nhằm vào các khách hàng cụ thể.")</f>
        <v>Kế hoạch này nhằm vào các khách hàng cụ thể.</v>
      </c>
      <c r="K1781" s="13" t="str">
        <f ca="1">IFERROR(__xludf.DUMMYFUNCTION("""COMPUTED_VALUE"""),"H5_B12_BG11.png")</f>
        <v>H5_B12_BG11.png</v>
      </c>
      <c r="L1781" s="13" t="str">
        <f ca="1">IFERROR(__xludf.DUMMYFUNCTION("""COMPUTED_VALUE"""),"B12_11.mp3")</f>
        <v>B12_11.mp3</v>
      </c>
      <c r="M1781" s="13" t="str">
        <f ca="1">IFERROR(__xludf.DUMMYFUNCTION("""COMPUTED_VALUE"""),"B12_VD_11.mp3")</f>
        <v>B12_VD_11.mp3</v>
      </c>
    </row>
    <row r="1782" spans="1:13">
      <c r="A1782" s="13">
        <f ca="1">IFERROR(__xludf.DUMMYFUNCTION("""COMPUTED_VALUE"""),12)</f>
        <v>12</v>
      </c>
      <c r="B1782" s="13"/>
      <c r="C1782" s="13" t="str">
        <f ca="1">IFERROR(__xludf.DUMMYFUNCTION("""COMPUTED_VALUE"""),"中心")</f>
        <v>中心</v>
      </c>
      <c r="D1782" s="13" t="str">
        <f ca="1">IFERROR(__xludf.DUMMYFUNCTION("""COMPUTED_VALUE"""),"&lt;ruby&gt;中心&lt;rt&gt;zhōngxīn&lt;/rt&gt;&lt;/ruby&gt;")</f>
        <v>&lt;ruby&gt;中心&lt;rt&gt;zhōngxīn&lt;/rt&gt;&lt;/ruby&gt;</v>
      </c>
      <c r="E1782" s="13" t="str">
        <f ca="1">IFERROR(__xludf.DUMMYFUNCTION("""COMPUTED_VALUE"""),"zhōngxīn")</f>
        <v>zhōngxīn</v>
      </c>
      <c r="F1782" s="13" t="str">
        <f ca="1">IFERROR(__xludf.DUMMYFUNCTION("""COMPUTED_VALUE"""),"Danh từ")</f>
        <v>Danh từ</v>
      </c>
      <c r="G1782" s="13" t="str">
        <f ca="1">IFERROR(__xludf.DUMMYFUNCTION("""COMPUTED_VALUE"""),"trung tâm")</f>
        <v>trung tâm</v>
      </c>
      <c r="H1782" s="13" t="str">
        <f ca="1">IFERROR(__xludf.DUMMYFUNCTION("""COMPUTED_VALUE"""),"这家超市位于市中心。")</f>
        <v>这家超市位于市中心。</v>
      </c>
      <c r="I1782" s="13"/>
      <c r="J1782" s="13" t="str">
        <f ca="1">IFERROR(__xludf.DUMMYFUNCTION("""COMPUTED_VALUE"""),"Siêu thị này nằm ở trung tâm thành phố.")</f>
        <v>Siêu thị này nằm ở trung tâm thành phố.</v>
      </c>
      <c r="K1782" s="13" t="str">
        <f ca="1">IFERROR(__xludf.DUMMYFUNCTION("""COMPUTED_VALUE"""),"H5_B12_BG12.png")</f>
        <v>H5_B12_BG12.png</v>
      </c>
      <c r="L1782" s="13" t="str">
        <f ca="1">IFERROR(__xludf.DUMMYFUNCTION("""COMPUTED_VALUE"""),"B12_12.mp3")</f>
        <v>B12_12.mp3</v>
      </c>
      <c r="M1782" s="13" t="str">
        <f ca="1">IFERROR(__xludf.DUMMYFUNCTION("""COMPUTED_VALUE"""),"B12_VD_12.mp3")</f>
        <v>B12_VD_12.mp3</v>
      </c>
    </row>
    <row r="1783" spans="1:13">
      <c r="A1783" s="13">
        <f ca="1">IFERROR(__xludf.DUMMYFUNCTION("""COMPUTED_VALUE"""),13)</f>
        <v>13</v>
      </c>
      <c r="B1783" s="13"/>
      <c r="C1783" s="13" t="str">
        <f ca="1">IFERROR(__xludf.DUMMYFUNCTION("""COMPUTED_VALUE"""),"注册")</f>
        <v>注册</v>
      </c>
      <c r="D1783" s="13" t="str">
        <f ca="1">IFERROR(__xludf.DUMMYFUNCTION("""COMPUTED_VALUE"""),"&lt;ruby&gt;注册&lt;rt&gt;zhùcè&lt;/rt&gt;&lt;/ruby&gt;")</f>
        <v>&lt;ruby&gt;注册&lt;rt&gt;zhùcè&lt;/rt&gt;&lt;/ruby&gt;</v>
      </c>
      <c r="E1783" s="13" t="str">
        <f ca="1">IFERROR(__xludf.DUMMYFUNCTION("""COMPUTED_VALUE"""),"zhùcè")</f>
        <v>zhùcè</v>
      </c>
      <c r="F1783" s="13" t="str">
        <f ca="1">IFERROR(__xludf.DUMMYFUNCTION("""COMPUTED_VALUE"""),"Động từ ")</f>
        <v xml:space="preserve">Động từ </v>
      </c>
      <c r="G1783" s="13" t="str">
        <f ca="1">IFERROR(__xludf.DUMMYFUNCTION("""COMPUTED_VALUE"""),"đăng ký")</f>
        <v>đăng ký</v>
      </c>
      <c r="H1783" s="13" t="str">
        <f ca="1">IFERROR(__xludf.DUMMYFUNCTION("""COMPUTED_VALUE"""),"我们必须在月底前完成注册。")</f>
        <v>我们必须在月底前完成注册。</v>
      </c>
      <c r="I1783" s="13"/>
      <c r="J1783" s="13" t="str">
        <f ca="1">IFERROR(__xludf.DUMMYFUNCTION("""COMPUTED_VALUE"""),"Chúng tôi phải hoàn thành đăng ký trước cuối tháng.")</f>
        <v>Chúng tôi phải hoàn thành đăng ký trước cuối tháng.</v>
      </c>
      <c r="K1783" s="13" t="str">
        <f ca="1">IFERROR(__xludf.DUMMYFUNCTION("""COMPUTED_VALUE"""),"H5_B12_BG13.png")</f>
        <v>H5_B12_BG13.png</v>
      </c>
      <c r="L1783" s="13" t="str">
        <f ca="1">IFERROR(__xludf.DUMMYFUNCTION("""COMPUTED_VALUE"""),"B12_13.mp3")</f>
        <v>B12_13.mp3</v>
      </c>
      <c r="M1783" s="13" t="str">
        <f ca="1">IFERROR(__xludf.DUMMYFUNCTION("""COMPUTED_VALUE"""),"B12_VD_13.mp3")</f>
        <v>B12_VD_13.mp3</v>
      </c>
    </row>
    <row r="1784" spans="1:13">
      <c r="A1784" s="13">
        <f ca="1">IFERROR(__xludf.DUMMYFUNCTION("""COMPUTED_VALUE"""),14)</f>
        <v>14</v>
      </c>
      <c r="B1784" s="13"/>
      <c r="C1784" s="13" t="str">
        <f ca="1">IFERROR(__xludf.DUMMYFUNCTION("""COMPUTED_VALUE"""),"颠球")</f>
        <v>颠球</v>
      </c>
      <c r="D1784" s="13" t="str">
        <f ca="1">IFERROR(__xludf.DUMMYFUNCTION("""COMPUTED_VALUE"""),"&lt;ruby&gt;颠球&lt;rt&gt;diān qiú&lt;/rt&gt;&lt;/ruby&gt;")</f>
        <v>&lt;ruby&gt;颠球&lt;rt&gt;diān qiú&lt;/rt&gt;&lt;/ruby&gt;</v>
      </c>
      <c r="E1784" s="13" t="str">
        <f ca="1">IFERROR(__xludf.DUMMYFUNCTION("""COMPUTED_VALUE"""),"diān qiú")</f>
        <v>diān qiú</v>
      </c>
      <c r="F1784" s="13" t="str">
        <f ca="1">IFERROR(__xludf.DUMMYFUNCTION("""COMPUTED_VALUE"""),"Động từ ")</f>
        <v xml:space="preserve">Động từ </v>
      </c>
      <c r="G1784" s="13" t="str">
        <f ca="1">IFERROR(__xludf.DUMMYFUNCTION("""COMPUTED_VALUE"""),"tung hứng ")</f>
        <v xml:space="preserve">tung hứng </v>
      </c>
      <c r="H1784" s="13" t="str">
        <f ca="1">IFERROR(__xludf.DUMMYFUNCTION("""COMPUTED_VALUE"""),"那个男孩正在表演颠球。")</f>
        <v>那个男孩正在表演颠球。</v>
      </c>
      <c r="I1784" s="13"/>
      <c r="J1784" s="13" t="str">
        <f ca="1">IFERROR(__xludf.DUMMYFUNCTION("""COMPUTED_VALUE"""),"Cậu bé đang tung hứng biểu diễn")</f>
        <v>Cậu bé đang tung hứng biểu diễn</v>
      </c>
      <c r="K1784" s="13" t="str">
        <f ca="1">IFERROR(__xludf.DUMMYFUNCTION("""COMPUTED_VALUE"""),"H5_B12_BG14.png")</f>
        <v>H5_B12_BG14.png</v>
      </c>
      <c r="L1784" s="13" t="str">
        <f ca="1">IFERROR(__xludf.DUMMYFUNCTION("""COMPUTED_VALUE"""),"B12_14.mp3")</f>
        <v>B12_14.mp3</v>
      </c>
      <c r="M1784" s="13" t="str">
        <f ca="1">IFERROR(__xludf.DUMMYFUNCTION("""COMPUTED_VALUE"""),"B12_VD_14.mp3")</f>
        <v>B12_VD_14.mp3</v>
      </c>
    </row>
    <row r="1785" spans="1:13">
      <c r="A1785" s="13">
        <f ca="1">IFERROR(__xludf.DUMMYFUNCTION("""COMPUTED_VALUE"""),15)</f>
        <v>15</v>
      </c>
      <c r="B1785" s="13"/>
      <c r="C1785" s="13" t="str">
        <f ca="1">IFERROR(__xludf.DUMMYFUNCTION("""COMPUTED_VALUE"""),"直播")</f>
        <v>直播</v>
      </c>
      <c r="D1785" s="13" t="str">
        <f ca="1">IFERROR(__xludf.DUMMYFUNCTION("""COMPUTED_VALUE"""),"&lt;ruby&gt;直播&lt;rt&gt;zhíbō&lt;/rt&gt;&lt;/ruby&gt;")</f>
        <v>&lt;ruby&gt;直播&lt;rt&gt;zhíbō&lt;/rt&gt;&lt;/ruby&gt;</v>
      </c>
      <c r="E1785" s="13" t="str">
        <f ca="1">IFERROR(__xludf.DUMMYFUNCTION("""COMPUTED_VALUE"""),"zhíbō")</f>
        <v>zhíbō</v>
      </c>
      <c r="F1785" s="13" t="str">
        <f ca="1">IFERROR(__xludf.DUMMYFUNCTION("""COMPUTED_VALUE"""),"Động từ ")</f>
        <v xml:space="preserve">Động từ </v>
      </c>
      <c r="G1785" s="13" t="str">
        <f ca="1">IFERROR(__xludf.DUMMYFUNCTION("""COMPUTED_VALUE"""),"phát sóng trực tiếp ")</f>
        <v xml:space="preserve">phát sóng trực tiếp </v>
      </c>
      <c r="H1785" s="13" t="str">
        <f ca="1">IFERROR(__xludf.DUMMYFUNCTION("""COMPUTED_VALUE"""),"那个男孩正在社交媒体上直播。")</f>
        <v>那个男孩正在社交媒体上直播。</v>
      </c>
      <c r="I1785" s="13"/>
      <c r="J1785" s="13" t="str">
        <f ca="1">IFERROR(__xludf.DUMMYFUNCTION("""COMPUTED_VALUE"""),"Cậu bé đang phát sóng trực tiếp trên mạng xã hội.")</f>
        <v>Cậu bé đang phát sóng trực tiếp trên mạng xã hội.</v>
      </c>
      <c r="K1785" s="13" t="str">
        <f ca="1">IFERROR(__xludf.DUMMYFUNCTION("""COMPUTED_VALUE"""),"H5_B12_BG15.png")</f>
        <v>H5_B12_BG15.png</v>
      </c>
      <c r="L1785" s="13" t="str">
        <f ca="1">IFERROR(__xludf.DUMMYFUNCTION("""COMPUTED_VALUE"""),"B12_15.mp3")</f>
        <v>B12_15.mp3</v>
      </c>
      <c r="M1785" s="13" t="str">
        <f ca="1">IFERROR(__xludf.DUMMYFUNCTION("""COMPUTED_VALUE"""),"B12_VD_15.mp3")</f>
        <v>B12_VD_15.mp3</v>
      </c>
    </row>
    <row r="1786" spans="1:13">
      <c r="A1786" s="13">
        <f ca="1">IFERROR(__xludf.DUMMYFUNCTION("""COMPUTED_VALUE"""),16)</f>
        <v>16</v>
      </c>
      <c r="B1786" s="13"/>
      <c r="C1786" s="13" t="str">
        <f ca="1">IFERROR(__xludf.DUMMYFUNCTION("""COMPUTED_VALUE"""),"手笔")</f>
        <v>手笔</v>
      </c>
      <c r="D1786" s="13" t="str">
        <f ca="1">IFERROR(__xludf.DUMMYFUNCTION("""COMPUTED_VALUE"""),"&lt;ruby&gt;手笔&lt;rt&gt;shǒubǐ&lt;/rt&gt;&lt;/ruby&gt;")</f>
        <v>&lt;ruby&gt;手笔&lt;rt&gt;shǒubǐ&lt;/rt&gt;&lt;/ruby&gt;</v>
      </c>
      <c r="E1786" s="13" t="str">
        <f ca="1">IFERROR(__xludf.DUMMYFUNCTION("""COMPUTED_VALUE"""),"shǒubǐ")</f>
        <v>shǒubǐ</v>
      </c>
      <c r="F1786" s="13" t="str">
        <f ca="1">IFERROR(__xludf.DUMMYFUNCTION("""COMPUTED_VALUE"""),"Danh từ")</f>
        <v>Danh từ</v>
      </c>
      <c r="G1786" s="13" t="str">
        <f ca="1">IFERROR(__xludf.DUMMYFUNCTION("""COMPUTED_VALUE"""),"sự mạnh tay, sự phô trương ")</f>
        <v xml:space="preserve">sự mạnh tay, sự phô trương </v>
      </c>
      <c r="H1786" s="13" t="str">
        <f ca="1">IFERROR(__xludf.DUMMYFUNCTION("""COMPUTED_VALUE"""),"这封信有他的手笔。")</f>
        <v>这封信有他的手笔。</v>
      </c>
      <c r="I1786" s="13"/>
      <c r="J1786" s="13" t="str">
        <f ca="1">IFERROR(__xludf.DUMMYFUNCTION("""COMPUTED_VALUE"""),"Bức thư này có bút tích của anh ấy.")</f>
        <v>Bức thư này có bút tích của anh ấy.</v>
      </c>
      <c r="K1786" s="13" t="str">
        <f ca="1">IFERROR(__xludf.DUMMYFUNCTION("""COMPUTED_VALUE"""),"H5_B12_BG16.png")</f>
        <v>H5_B12_BG16.png</v>
      </c>
      <c r="L1786" s="13" t="str">
        <f ca="1">IFERROR(__xludf.DUMMYFUNCTION("""COMPUTED_VALUE"""),"B12_16.mp3")</f>
        <v>B12_16.mp3</v>
      </c>
      <c r="M1786" s="13" t="str">
        <f ca="1">IFERROR(__xludf.DUMMYFUNCTION("""COMPUTED_VALUE"""),"B12_VD_16.mp3")</f>
        <v>B12_VD_16.mp3</v>
      </c>
    </row>
    <row r="1787" spans="1:13">
      <c r="A1787" s="13">
        <f ca="1">IFERROR(__xludf.DUMMYFUNCTION("""COMPUTED_VALUE"""),17)</f>
        <v>17</v>
      </c>
      <c r="B1787" s="13"/>
      <c r="C1787" s="13" t="str">
        <f ca="1">IFERROR(__xludf.DUMMYFUNCTION("""COMPUTED_VALUE"""),"覆盖")</f>
        <v>覆盖</v>
      </c>
      <c r="D1787" s="13" t="str">
        <f ca="1">IFERROR(__xludf.DUMMYFUNCTION("""COMPUTED_VALUE"""),"&lt;ruby&gt;覆盖&lt;rt&gt;fùgài&lt;/rt&gt;&lt;/ruby&gt;")</f>
        <v>&lt;ruby&gt;覆盖&lt;rt&gt;fùgài&lt;/rt&gt;&lt;/ruby&gt;</v>
      </c>
      <c r="E1787" s="13" t="str">
        <f ca="1">IFERROR(__xludf.DUMMYFUNCTION("""COMPUTED_VALUE"""),"fùgài")</f>
        <v>fùgài</v>
      </c>
      <c r="F1787" s="13" t="str">
        <f ca="1">IFERROR(__xludf.DUMMYFUNCTION("""COMPUTED_VALUE"""),"Động từ ")</f>
        <v xml:space="preserve">Động từ </v>
      </c>
      <c r="G1787" s="13" t="str">
        <f ca="1">IFERROR(__xludf.DUMMYFUNCTION("""COMPUTED_VALUE"""),"bao trùm ")</f>
        <v xml:space="preserve">bao trùm </v>
      </c>
      <c r="H1787" s="13" t="str">
        <f ca="1">IFERROR(__xludf.DUMMYFUNCTION("""COMPUTED_VALUE"""),"雪已经覆盖了整个山谷。")</f>
        <v>雪已经覆盖了整个山谷。</v>
      </c>
      <c r="I1787" s="13"/>
      <c r="J1787" s="13" t="str">
        <f ca="1">IFERROR(__xludf.DUMMYFUNCTION("""COMPUTED_VALUE"""),"Tuyết đã bao trùm cả thung lũng.")</f>
        <v>Tuyết đã bao trùm cả thung lũng.</v>
      </c>
      <c r="K1787" s="13" t="str">
        <f ca="1">IFERROR(__xludf.DUMMYFUNCTION("""COMPUTED_VALUE"""),"H5_B12_BG17.png")</f>
        <v>H5_B12_BG17.png</v>
      </c>
      <c r="L1787" s="13" t="str">
        <f ca="1">IFERROR(__xludf.DUMMYFUNCTION("""COMPUTED_VALUE"""),"B12_17.mp3")</f>
        <v>B12_17.mp3</v>
      </c>
      <c r="M1787" s="13" t="str">
        <f ca="1">IFERROR(__xludf.DUMMYFUNCTION("""COMPUTED_VALUE"""),"B12_VD_17.mp3")</f>
        <v>B12_VD_17.mp3</v>
      </c>
    </row>
    <row r="1788" spans="1:13">
      <c r="A1788" s="13">
        <f ca="1">IFERROR(__xludf.DUMMYFUNCTION("""COMPUTED_VALUE"""),18)</f>
        <v>18</v>
      </c>
      <c r="B1788" s="13"/>
      <c r="C1788" s="13" t="str">
        <f ca="1">IFERROR(__xludf.DUMMYFUNCTION("""COMPUTED_VALUE"""),"通信")</f>
        <v>通信</v>
      </c>
      <c r="D1788" s="13" t="str">
        <f ca="1">IFERROR(__xludf.DUMMYFUNCTION("""COMPUTED_VALUE"""),"&lt;ruby&gt;通信&lt;rt&gt;tōngxìn&lt;/rt&gt;&lt;/ruby&gt;")</f>
        <v>&lt;ruby&gt;通信&lt;rt&gt;tōngxìn&lt;/rt&gt;&lt;/ruby&gt;</v>
      </c>
      <c r="E1788" s="13" t="str">
        <f ca="1">IFERROR(__xludf.DUMMYFUNCTION("""COMPUTED_VALUE"""),"tōngxìn")</f>
        <v>tōngxìn</v>
      </c>
      <c r="F1788" s="13" t="str">
        <f ca="1">IFERROR(__xludf.DUMMYFUNCTION("""COMPUTED_VALUE"""),"Danh từ/Động từ ")</f>
        <v xml:space="preserve">Danh từ/Động từ </v>
      </c>
      <c r="G1788" s="13" t="str">
        <f ca="1">IFERROR(__xludf.DUMMYFUNCTION("""COMPUTED_VALUE"""),"sự thông tin; liên lạc ")</f>
        <v xml:space="preserve">sự thông tin; liên lạc </v>
      </c>
      <c r="H1788" s="13" t="str">
        <f ca="1">IFERROR(__xludf.DUMMYFUNCTION("""COMPUTED_VALUE"""),"客服人员正在与客户进行通信。")</f>
        <v>客服人员正在与客户进行通信。</v>
      </c>
      <c r="I1788" s="13"/>
      <c r="J1788" s="13" t="str">
        <f ca="1">IFERROR(__xludf.DUMMYFUNCTION("""COMPUTED_VALUE"""),"Tổng đài viên đang liên lạc với khách hàng")</f>
        <v>Tổng đài viên đang liên lạc với khách hàng</v>
      </c>
      <c r="K1788" s="13" t="str">
        <f ca="1">IFERROR(__xludf.DUMMYFUNCTION("""COMPUTED_VALUE"""),"H5_B12_BG18.png")</f>
        <v>H5_B12_BG18.png</v>
      </c>
      <c r="L1788" s="13" t="str">
        <f ca="1">IFERROR(__xludf.DUMMYFUNCTION("""COMPUTED_VALUE"""),"B12_18.mp3")</f>
        <v>B12_18.mp3</v>
      </c>
      <c r="M1788" s="13" t="str">
        <f ca="1">IFERROR(__xludf.DUMMYFUNCTION("""COMPUTED_VALUE"""),"B12_VD_18.mp3")</f>
        <v>B12_VD_18.mp3</v>
      </c>
    </row>
    <row r="1789" spans="1:13">
      <c r="A1789" s="13">
        <f ca="1">IFERROR(__xludf.DUMMYFUNCTION("""COMPUTED_VALUE"""),19)</f>
        <v>19</v>
      </c>
      <c r="B1789" s="13"/>
      <c r="C1789" s="13" t="str">
        <f ca="1">IFERROR(__xludf.DUMMYFUNCTION("""COMPUTED_VALUE"""),"称霸")</f>
        <v>称霸</v>
      </c>
      <c r="D1789" s="13" t="str">
        <f ca="1">IFERROR(__xludf.DUMMYFUNCTION("""COMPUTED_VALUE"""),"&lt;ruby&gt;称霸&lt;rt&gt;chēngbà&lt;/rt&gt;&lt;/ruby&gt;")</f>
        <v>&lt;ruby&gt;称霸&lt;rt&gt;chēngbà&lt;/rt&gt;&lt;/ruby&gt;</v>
      </c>
      <c r="E1789" s="13" t="str">
        <f ca="1">IFERROR(__xludf.DUMMYFUNCTION("""COMPUTED_VALUE"""),"chēngbà")</f>
        <v>chēngbà</v>
      </c>
      <c r="F1789" s="13" t="str">
        <f ca="1">IFERROR(__xludf.DUMMYFUNCTION("""COMPUTED_VALUE"""),"Động từ ")</f>
        <v xml:space="preserve">Động từ </v>
      </c>
      <c r="G1789" s="13" t="str">
        <f ca="1">IFERROR(__xludf.DUMMYFUNCTION("""COMPUTED_VALUE"""),"xưng bá, thống trị ")</f>
        <v xml:space="preserve">xưng bá, thống trị </v>
      </c>
      <c r="H1789" s="13" t="str">
        <f ca="1">IFERROR(__xludf.DUMMYFUNCTION("""COMPUTED_VALUE"""),"贪官曾靠金钱称霸政界，最终落入法网。")</f>
        <v>贪官曾靠金钱称霸政界，最终落入法网。</v>
      </c>
      <c r="I1789" s="13"/>
      <c r="J1789" s="13" t="str">
        <f ca="1">IFERROR(__xludf.DUMMYFUNCTION("""COMPUTED_VALUE"""),"Quan tham từng dùng tiền để xưng bá chính trường, cuối cùng sa lưới pháp luật.")</f>
        <v>Quan tham từng dùng tiền để xưng bá chính trường, cuối cùng sa lưới pháp luật.</v>
      </c>
      <c r="K1789" s="13" t="str">
        <f ca="1">IFERROR(__xludf.DUMMYFUNCTION("""COMPUTED_VALUE"""),"H5_B12_BG19.png")</f>
        <v>H5_B12_BG19.png</v>
      </c>
      <c r="L1789" s="13" t="str">
        <f ca="1">IFERROR(__xludf.DUMMYFUNCTION("""COMPUTED_VALUE"""),"B12_19.mp3")</f>
        <v>B12_19.mp3</v>
      </c>
      <c r="M1789" s="13" t="str">
        <f ca="1">IFERROR(__xludf.DUMMYFUNCTION("""COMPUTED_VALUE"""),"B12_VD_19.mp3")</f>
        <v>B12_VD_19.mp3</v>
      </c>
    </row>
    <row r="1790" spans="1:13">
      <c r="A1790" s="13">
        <f ca="1">IFERROR(__xludf.DUMMYFUNCTION("""COMPUTED_VALUE"""),20)</f>
        <v>20</v>
      </c>
      <c r="B1790" s="13"/>
      <c r="C1790" s="13" t="str">
        <f ca="1">IFERROR(__xludf.DUMMYFUNCTION("""COMPUTED_VALUE"""),"发达")</f>
        <v>发达</v>
      </c>
      <c r="D1790" s="13" t="str">
        <f ca="1">IFERROR(__xludf.DUMMYFUNCTION("""COMPUTED_VALUE"""),"&lt;ruby&gt;发达&lt;rt&gt;fādá&lt;/rt&gt;&lt;/ruby&gt;")</f>
        <v>&lt;ruby&gt;发达&lt;rt&gt;fādá&lt;/rt&gt;&lt;/ruby&gt;</v>
      </c>
      <c r="E1790" s="13" t="str">
        <f ca="1">IFERROR(__xludf.DUMMYFUNCTION("""COMPUTED_VALUE"""),"fādá")</f>
        <v>fādá</v>
      </c>
      <c r="F1790" s="13" t="str">
        <f ca="1">IFERROR(__xludf.DUMMYFUNCTION("""COMPUTED_VALUE"""),"Tính từ")</f>
        <v>Tính từ</v>
      </c>
      <c r="G1790" s="13" t="str">
        <f ca="1">IFERROR(__xludf.DUMMYFUNCTION("""COMPUTED_VALUE"""),"phát triển")</f>
        <v>phát triển</v>
      </c>
      <c r="H1790" s="13" t="str">
        <f ca="1">IFERROR(__xludf.DUMMYFUNCTION("""COMPUTED_VALUE"""),"我们的家乡不太发达。")</f>
        <v>我们的家乡不太发达。</v>
      </c>
      <c r="I1790" s="13"/>
      <c r="J1790" s="13" t="str">
        <f ca="1">IFERROR(__xludf.DUMMYFUNCTION("""COMPUTED_VALUE"""),"Quê chúng tôi không phát triển lắm.")</f>
        <v>Quê chúng tôi không phát triển lắm.</v>
      </c>
      <c r="K1790" s="13" t="str">
        <f ca="1">IFERROR(__xludf.DUMMYFUNCTION("""COMPUTED_VALUE"""),"H5_B12_BG20.png")</f>
        <v>H5_B12_BG20.png</v>
      </c>
      <c r="L1790" s="13" t="str">
        <f ca="1">IFERROR(__xludf.DUMMYFUNCTION("""COMPUTED_VALUE"""),"B12_20.mp3")</f>
        <v>B12_20.mp3</v>
      </c>
      <c r="M1790" s="13" t="str">
        <f ca="1">IFERROR(__xludf.DUMMYFUNCTION("""COMPUTED_VALUE"""),"B12_VD_20.mp3")</f>
        <v>B12_VD_20.mp3</v>
      </c>
    </row>
    <row r="1791" spans="1:13">
      <c r="A1791" s="13">
        <f ca="1">IFERROR(__xludf.DUMMYFUNCTION("""COMPUTED_VALUE"""),21)</f>
        <v>21</v>
      </c>
      <c r="B1791" s="13"/>
      <c r="C1791" s="13" t="str">
        <f ca="1">IFERROR(__xludf.DUMMYFUNCTION("""COMPUTED_VALUE"""),"合作")</f>
        <v>合作</v>
      </c>
      <c r="D1791" s="13" t="str">
        <f ca="1">IFERROR(__xludf.DUMMYFUNCTION("""COMPUTED_VALUE"""),"&lt;ruby&gt;合作&lt;rt&gt;hézuò&lt;/rt&gt;&lt;/ruby&gt;")</f>
        <v>&lt;ruby&gt;合作&lt;rt&gt;hézuò&lt;/rt&gt;&lt;/ruby&gt;</v>
      </c>
      <c r="E1791" s="13" t="str">
        <f ca="1">IFERROR(__xludf.DUMMYFUNCTION("""COMPUTED_VALUE"""),"hézuò")</f>
        <v>hézuò</v>
      </c>
      <c r="F1791" s="13" t="str">
        <f ca="1">IFERROR(__xludf.DUMMYFUNCTION("""COMPUTED_VALUE"""),"Động từ ")</f>
        <v xml:space="preserve">Động từ </v>
      </c>
      <c r="G1791" s="13" t="str">
        <f ca="1">IFERROR(__xludf.DUMMYFUNCTION("""COMPUTED_VALUE"""),"hợp tác")</f>
        <v>hợp tác</v>
      </c>
      <c r="H1791" s="13" t="str">
        <f ca="1">IFERROR(__xludf.DUMMYFUNCTION("""COMPUTED_VALUE"""),"合作愉快！")</f>
        <v>合作愉快！</v>
      </c>
      <c r="I1791" s="13"/>
      <c r="J1791" s="13" t="str">
        <f ca="1">IFERROR(__xludf.DUMMYFUNCTION("""COMPUTED_VALUE"""),"Hợp tác vui vẻ!")</f>
        <v>Hợp tác vui vẻ!</v>
      </c>
      <c r="K1791" s="13" t="str">
        <f ca="1">IFERROR(__xludf.DUMMYFUNCTION("""COMPUTED_VALUE"""),"H5_B12_BG21.png")</f>
        <v>H5_B12_BG21.png</v>
      </c>
      <c r="L1791" s="13" t="str">
        <f ca="1">IFERROR(__xludf.DUMMYFUNCTION("""COMPUTED_VALUE"""),"B12_21.mp3")</f>
        <v>B12_21.mp3</v>
      </c>
      <c r="M1791" s="13" t="str">
        <f ca="1">IFERROR(__xludf.DUMMYFUNCTION("""COMPUTED_VALUE"""),"B12_VD_21.mp3")</f>
        <v>B12_VD_21.mp3</v>
      </c>
    </row>
    <row r="1792" spans="1:13">
      <c r="A1792" s="13">
        <f ca="1">IFERROR(__xludf.DUMMYFUNCTION("""COMPUTED_VALUE"""),22)</f>
        <v>22</v>
      </c>
      <c r="B1792" s="13"/>
      <c r="C1792" s="13" t="str">
        <f ca="1">IFERROR(__xludf.DUMMYFUNCTION("""COMPUTED_VALUE"""),"企业")</f>
        <v>企业</v>
      </c>
      <c r="D1792" s="13" t="str">
        <f ca="1">IFERROR(__xludf.DUMMYFUNCTION("""COMPUTED_VALUE"""),"&lt;ruby&gt;企业&lt;rt&gt;qǐyè&lt;/rt&gt;&lt;/ruby&gt;")</f>
        <v>&lt;ruby&gt;企业&lt;rt&gt;qǐyè&lt;/rt&gt;&lt;/ruby&gt;</v>
      </c>
      <c r="E1792" s="13" t="str">
        <f ca="1">IFERROR(__xludf.DUMMYFUNCTION("""COMPUTED_VALUE"""),"qǐyè")</f>
        <v>qǐyè</v>
      </c>
      <c r="F1792" s="13" t="str">
        <f ca="1">IFERROR(__xludf.DUMMYFUNCTION("""COMPUTED_VALUE"""),"Danh từ")</f>
        <v>Danh từ</v>
      </c>
      <c r="G1792" s="13" t="str">
        <f ca="1">IFERROR(__xludf.DUMMYFUNCTION("""COMPUTED_VALUE"""),"xí nghiệp, công ty")</f>
        <v>xí nghiệp, công ty</v>
      </c>
      <c r="H1792" s="13" t="str">
        <f ca="1">IFERROR(__xludf.DUMMYFUNCTION("""COMPUTED_VALUE"""),"这家企业非常大。")</f>
        <v>这家企业非常大。</v>
      </c>
      <c r="I1792" s="13"/>
      <c r="J1792" s="13" t="str">
        <f ca="1">IFERROR(__xludf.DUMMYFUNCTION("""COMPUTED_VALUE"""),"Xí nghiệp này rất lớn.")</f>
        <v>Xí nghiệp này rất lớn.</v>
      </c>
      <c r="K1792" s="13" t="str">
        <f ca="1">IFERROR(__xludf.DUMMYFUNCTION("""COMPUTED_VALUE"""),"H5_B12_BG22.png")</f>
        <v>H5_B12_BG22.png</v>
      </c>
      <c r="L1792" s="13" t="str">
        <f ca="1">IFERROR(__xludf.DUMMYFUNCTION("""COMPUTED_VALUE"""),"B12_22.mp3")</f>
        <v>B12_22.mp3</v>
      </c>
      <c r="M1792" s="13" t="str">
        <f ca="1">IFERROR(__xludf.DUMMYFUNCTION("""COMPUTED_VALUE"""),"B12_VD_22.mp3")</f>
        <v>B12_VD_22.mp3</v>
      </c>
    </row>
    <row r="1793" spans="1:13">
      <c r="A1793" s="13">
        <f ca="1">IFERROR(__xludf.DUMMYFUNCTION("""COMPUTED_VALUE"""),23)</f>
        <v>23</v>
      </c>
      <c r="B1793" s="13"/>
      <c r="C1793" s="13" t="str">
        <f ca="1">IFERROR(__xludf.DUMMYFUNCTION("""COMPUTED_VALUE"""),"实现")</f>
        <v>实现</v>
      </c>
      <c r="D1793" s="13" t="str">
        <f ca="1">IFERROR(__xludf.DUMMYFUNCTION("""COMPUTED_VALUE"""),"&lt;ruby&gt;实现&lt;rt&gt;shíxiàn&lt;/rt&gt;&lt;/ruby&gt;")</f>
        <v>&lt;ruby&gt;实现&lt;rt&gt;shíxiàn&lt;/rt&gt;&lt;/ruby&gt;</v>
      </c>
      <c r="E1793" s="13" t="str">
        <f ca="1">IFERROR(__xludf.DUMMYFUNCTION("""COMPUTED_VALUE"""),"shíxiàn")</f>
        <v>shíxiàn</v>
      </c>
      <c r="F1793" s="13" t="str">
        <f ca="1">IFERROR(__xludf.DUMMYFUNCTION("""COMPUTED_VALUE"""),"Động từ ")</f>
        <v xml:space="preserve">Động từ </v>
      </c>
      <c r="G1793" s="13" t="str">
        <f ca="1">IFERROR(__xludf.DUMMYFUNCTION("""COMPUTED_VALUE"""),"thực hiện")</f>
        <v>thực hiện</v>
      </c>
      <c r="H1793" s="13" t="str">
        <f ca="1">IFERROR(__xludf.DUMMYFUNCTION("""COMPUTED_VALUE"""),"那个小男孩正在用头实现踢球的动作。")</f>
        <v>那个小男孩正在用头实现踢球的动作。</v>
      </c>
      <c r="I1793" s="13"/>
      <c r="J1793" s="13" t="str">
        <f ca="1">IFERROR(__xludf.DUMMYFUNCTION("""COMPUTED_VALUE"""),"Cậu bé đang thực hiện tâng bóng bằng đầu.")</f>
        <v>Cậu bé đang thực hiện tâng bóng bằng đầu.</v>
      </c>
      <c r="K1793" s="13" t="str">
        <f ca="1">IFERROR(__xludf.DUMMYFUNCTION("""COMPUTED_VALUE"""),"H5_B12_BG23.png")</f>
        <v>H5_B12_BG23.png</v>
      </c>
      <c r="L1793" s="13" t="str">
        <f ca="1">IFERROR(__xludf.DUMMYFUNCTION("""COMPUTED_VALUE"""),"B12_23.mp3")</f>
        <v>B12_23.mp3</v>
      </c>
      <c r="M1793" s="13" t="str">
        <f ca="1">IFERROR(__xludf.DUMMYFUNCTION("""COMPUTED_VALUE"""),"B12_VD_23.mp3")</f>
        <v>B12_VD_23.mp3</v>
      </c>
    </row>
    <row r="1794" spans="1:13">
      <c r="A1794" s="13">
        <f ca="1">IFERROR(__xludf.DUMMYFUNCTION("""COMPUTED_VALUE"""),24)</f>
        <v>24</v>
      </c>
      <c r="B1794" s="13"/>
      <c r="C1794" s="13" t="str">
        <f ca="1">IFERROR(__xludf.DUMMYFUNCTION("""COMPUTED_VALUE"""),"推广")</f>
        <v>推广</v>
      </c>
      <c r="D1794" s="13" t="str">
        <f ca="1">IFERROR(__xludf.DUMMYFUNCTION("""COMPUTED_VALUE"""),"&lt;ruby&gt;推广&lt;rt&gt;tuīguăng&lt;/rt&gt;&lt;/ruby&gt;")</f>
        <v>&lt;ruby&gt;推广&lt;rt&gt;tuīguăng&lt;/rt&gt;&lt;/ruby&gt;</v>
      </c>
      <c r="E1794" s="13" t="str">
        <f ca="1">IFERROR(__xludf.DUMMYFUNCTION("""COMPUTED_VALUE"""),"tuīguăng")</f>
        <v>tuīguăng</v>
      </c>
      <c r="F1794" s="13" t="str">
        <f ca="1">IFERROR(__xludf.DUMMYFUNCTION("""COMPUTED_VALUE"""),"Động từ ")</f>
        <v xml:space="preserve">Động từ </v>
      </c>
      <c r="G1794" s="13" t="str">
        <f ca="1">IFERROR(__xludf.DUMMYFUNCTION("""COMPUTED_VALUE"""),"phổ biến, mở rộng")</f>
        <v>phổ biến, mở rộng</v>
      </c>
      <c r="H1794" s="13" t="str">
        <f ca="1">IFERROR(__xludf.DUMMYFUNCTION("""COMPUTED_VALUE"""),"羽毛球在全球推广。")</f>
        <v>羽毛球在全球推广。</v>
      </c>
      <c r="I1794" s="13"/>
      <c r="J1794" s="13" t="str">
        <f ca="1">IFERROR(__xludf.DUMMYFUNCTION("""COMPUTED_VALUE"""),"Cầu lông đang phổ biến trên thế giới.")</f>
        <v>Cầu lông đang phổ biến trên thế giới.</v>
      </c>
      <c r="K1794" s="13" t="str">
        <f ca="1">IFERROR(__xludf.DUMMYFUNCTION("""COMPUTED_VALUE"""),"H5_B12_BG24.png")</f>
        <v>H5_B12_BG24.png</v>
      </c>
      <c r="L1794" s="13" t="str">
        <f ca="1">IFERROR(__xludf.DUMMYFUNCTION("""COMPUTED_VALUE"""),"B12_24.mp3")</f>
        <v>B12_24.mp3</v>
      </c>
      <c r="M1794" s="13" t="str">
        <f ca="1">IFERROR(__xludf.DUMMYFUNCTION("""COMPUTED_VALUE"""),"B12_VD_24.mp3")</f>
        <v>B12_VD_24.mp3</v>
      </c>
    </row>
    <row r="1795" spans="1:13">
      <c r="A1795" s="13">
        <f ca="1">IFERROR(__xludf.DUMMYFUNCTION("""COMPUTED_VALUE"""),25)</f>
        <v>25</v>
      </c>
      <c r="B1795" s="13"/>
      <c r="C1795" s="13" t="str">
        <f ca="1">IFERROR(__xludf.DUMMYFUNCTION("""COMPUTED_VALUE"""),"销售")</f>
        <v>销售</v>
      </c>
      <c r="D1795" s="13" t="str">
        <f ca="1">IFERROR(__xludf.DUMMYFUNCTION("""COMPUTED_VALUE"""),"&lt;ruby&gt;销售&lt;rt&gt;xiāoshòu&lt;/rt&gt;&lt;/ruby&gt;")</f>
        <v>&lt;ruby&gt;销售&lt;rt&gt;xiāoshòu&lt;/rt&gt;&lt;/ruby&gt;</v>
      </c>
      <c r="E1795" s="13" t="str">
        <f ca="1">IFERROR(__xludf.DUMMYFUNCTION("""COMPUTED_VALUE"""),"xiāoshòu")</f>
        <v>xiāoshòu</v>
      </c>
      <c r="F1795" s="13" t="str">
        <f ca="1">IFERROR(__xludf.DUMMYFUNCTION("""COMPUTED_VALUE"""),"Động từ ")</f>
        <v xml:space="preserve">Động từ </v>
      </c>
      <c r="G1795" s="13" t="str">
        <f ca="1">IFERROR(__xludf.DUMMYFUNCTION("""COMPUTED_VALUE"""),"tiêu thụ (hàng hóa)")</f>
        <v>tiêu thụ (hàng hóa)</v>
      </c>
      <c r="H1795" s="13" t="str">
        <f ca="1">IFERROR(__xludf.DUMMYFUNCTION("""COMPUTED_VALUE"""),"工厂提高了产量，以满足市场销售需求。")</f>
        <v>工厂提高了产量，以满足市场销售需求。</v>
      </c>
      <c r="I1795" s="13"/>
      <c r="J1795" s="13" t="str">
        <f ca="1">IFERROR(__xludf.DUMMYFUNCTION("""COMPUTED_VALUE"""),"Nhà máy đã tăng sản lượng để đáp ứng nhu cầu tiêu thụ trên thị trường.")</f>
        <v>Nhà máy đã tăng sản lượng để đáp ứng nhu cầu tiêu thụ trên thị trường.</v>
      </c>
      <c r="K1795" s="13" t="str">
        <f ca="1">IFERROR(__xludf.DUMMYFUNCTION("""COMPUTED_VALUE"""),"H5_B12_BG25.png")</f>
        <v>H5_B12_BG25.png</v>
      </c>
      <c r="L1795" s="13" t="str">
        <f ca="1">IFERROR(__xludf.DUMMYFUNCTION("""COMPUTED_VALUE"""),"B12_25.mp3")</f>
        <v>B12_25.mp3</v>
      </c>
      <c r="M1795" s="13" t="str">
        <f ca="1">IFERROR(__xludf.DUMMYFUNCTION("""COMPUTED_VALUE"""),"B12_VD_25.mp3")</f>
        <v>B12_VD_25.mp3</v>
      </c>
    </row>
    <row r="1796" spans="1:13">
      <c r="A1796" s="13">
        <f ca="1">IFERROR(__xludf.DUMMYFUNCTION("""COMPUTED_VALUE"""),26)</f>
        <v>26</v>
      </c>
      <c r="B1796" s="13"/>
      <c r="C1796" s="13" t="str">
        <f ca="1">IFERROR(__xludf.DUMMYFUNCTION("""COMPUTED_VALUE"""),"宣传")</f>
        <v>宣传</v>
      </c>
      <c r="D1796" s="13" t="str">
        <f ca="1">IFERROR(__xludf.DUMMYFUNCTION("""COMPUTED_VALUE"""),"&lt;ruby&gt;宣传&lt;rt&gt;xuānchuán&lt;/rt&gt;&lt;/ruby&gt;")</f>
        <v>&lt;ruby&gt;宣传&lt;rt&gt;xuānchuán&lt;/rt&gt;&lt;/ruby&gt;</v>
      </c>
      <c r="E1796" s="13" t="str">
        <f ca="1">IFERROR(__xludf.DUMMYFUNCTION("""COMPUTED_VALUE"""),"xuānchuán")</f>
        <v>xuānchuán</v>
      </c>
      <c r="F1796" s="13" t="str">
        <f ca="1">IFERROR(__xludf.DUMMYFUNCTION("""COMPUTED_VALUE"""),"Động từ ")</f>
        <v xml:space="preserve">Động từ </v>
      </c>
      <c r="G1796" s="13" t="str">
        <f ca="1">IFERROR(__xludf.DUMMYFUNCTION("""COMPUTED_VALUE"""),"tuyên truyền")</f>
        <v>tuyên truyền</v>
      </c>
      <c r="H1796" s="13" t="str">
        <f ca="1">IFERROR(__xludf.DUMMYFUNCTION("""COMPUTED_VALUE"""),"那个女人正在宣传蚊子带来的危害。")</f>
        <v>那个女人正在宣传蚊子带来的危害。</v>
      </c>
      <c r="I1796" s="13"/>
      <c r="J1796" s="13" t="str">
        <f ca="1">IFERROR(__xludf.DUMMYFUNCTION("""COMPUTED_VALUE"""),"Người phụ nữ đang tuyên truyền tác hại của muỗi.")</f>
        <v>Người phụ nữ đang tuyên truyền tác hại của muỗi.</v>
      </c>
      <c r="K1796" s="13" t="str">
        <f ca="1">IFERROR(__xludf.DUMMYFUNCTION("""COMPUTED_VALUE"""),"H5_B12_BG26.png")</f>
        <v>H5_B12_BG26.png</v>
      </c>
      <c r="L1796" s="13" t="str">
        <f ca="1">IFERROR(__xludf.DUMMYFUNCTION("""COMPUTED_VALUE"""),"B12_26.mp3")</f>
        <v>B12_26.mp3</v>
      </c>
      <c r="M1796" s="13" t="str">
        <f ca="1">IFERROR(__xludf.DUMMYFUNCTION("""COMPUTED_VALUE"""),"B12_VD_26.mp3")</f>
        <v>B12_VD_26.mp3</v>
      </c>
    </row>
    <row r="1797" spans="1:13">
      <c r="A1797" s="13">
        <f ca="1">IFERROR(__xludf.DUMMYFUNCTION("""COMPUTED_VALUE"""),27)</f>
        <v>27</v>
      </c>
      <c r="B1797" s="13"/>
      <c r="C1797" s="13" t="str">
        <f ca="1">IFERROR(__xludf.DUMMYFUNCTION("""COMPUTED_VALUE"""),"业务")</f>
        <v>业务</v>
      </c>
      <c r="D1797" s="13" t="str">
        <f ca="1">IFERROR(__xludf.DUMMYFUNCTION("""COMPUTED_VALUE"""),"&lt;ruby&gt;业务&lt;rt&gt;yèwù&lt;/rt&gt;&lt;/ruby&gt;")</f>
        <v>&lt;ruby&gt;业务&lt;rt&gt;yèwù&lt;/rt&gt;&lt;/ruby&gt;</v>
      </c>
      <c r="E1797" s="13" t="str">
        <f ca="1">IFERROR(__xludf.DUMMYFUNCTION("""COMPUTED_VALUE"""),"yèwù")</f>
        <v>yèwù</v>
      </c>
      <c r="F1797" s="13" t="str">
        <f ca="1">IFERROR(__xludf.DUMMYFUNCTION("""COMPUTED_VALUE"""),"Danh từ")</f>
        <v>Danh từ</v>
      </c>
      <c r="G1797" s="13" t="str">
        <f ca="1">IFERROR(__xludf.DUMMYFUNCTION("""COMPUTED_VALUE"""),"nghiệp vu")</f>
        <v>nghiệp vu</v>
      </c>
      <c r="H1797" s="13" t="str">
        <f ca="1">IFERROR(__xludf.DUMMYFUNCTION("""COMPUTED_VALUE"""),"这位女警正在执行交通指挥业务。")</f>
        <v>这位女警正在执行交通指挥业务。</v>
      </c>
      <c r="I1797" s="13"/>
      <c r="J1797" s="13" t="str">
        <f ca="1">IFERROR(__xludf.DUMMYFUNCTION("""COMPUTED_VALUE"""),"Cô cảnh sát này đang thực hiện nghiệp vụ điều tiết giao thông.")</f>
        <v>Cô cảnh sát này đang thực hiện nghiệp vụ điều tiết giao thông.</v>
      </c>
      <c r="K1797" s="13" t="str">
        <f ca="1">IFERROR(__xludf.DUMMYFUNCTION("""COMPUTED_VALUE"""),"H5_B12_BG27.png")</f>
        <v>H5_B12_BG27.png</v>
      </c>
      <c r="L1797" s="13" t="str">
        <f ca="1">IFERROR(__xludf.DUMMYFUNCTION("""COMPUTED_VALUE"""),"B12_27.mp3")</f>
        <v>B12_27.mp3</v>
      </c>
      <c r="M1797" s="13" t="str">
        <f ca="1">IFERROR(__xludf.DUMMYFUNCTION("""COMPUTED_VALUE"""),"B12_VD_27.mp3")</f>
        <v>B12_VD_27.mp3</v>
      </c>
    </row>
    <row r="1798" spans="1:13">
      <c r="A1798" s="13">
        <f ca="1">IFERROR(__xludf.DUMMYFUNCTION("""COMPUTED_VALUE"""),28)</f>
        <v>28</v>
      </c>
      <c r="B1798" s="13"/>
      <c r="C1798" s="13" t="str">
        <f ca="1">IFERROR(__xludf.DUMMYFUNCTION("""COMPUTED_VALUE"""),"开发")</f>
        <v>开发</v>
      </c>
      <c r="D1798" s="13" t="str">
        <f ca="1">IFERROR(__xludf.DUMMYFUNCTION("""COMPUTED_VALUE"""),"&lt;ruby&gt;开发&lt;rt&gt;kāifā&lt;/rt&gt;&lt;/ruby&gt;")</f>
        <v>&lt;ruby&gt;开发&lt;rt&gt;kāifā&lt;/rt&gt;&lt;/ruby&gt;</v>
      </c>
      <c r="E1798" s="13" t="str">
        <f ca="1">IFERROR(__xludf.DUMMYFUNCTION("""COMPUTED_VALUE"""),"kāifā")</f>
        <v>kāifā</v>
      </c>
      <c r="F1798" s="13" t="str">
        <f ca="1">IFERROR(__xludf.DUMMYFUNCTION("""COMPUTED_VALUE"""),"Động từ ")</f>
        <v xml:space="preserve">Động từ </v>
      </c>
      <c r="G1798" s="13" t="str">
        <f ca="1">IFERROR(__xludf.DUMMYFUNCTION("""COMPUTED_VALUE"""),"khai thác, phát triển ")</f>
        <v xml:space="preserve">khai thác, phát triển </v>
      </c>
      <c r="H1798" s="13" t="str">
        <f ca="1">IFERROR(__xludf.DUMMYFUNCTION("""COMPUTED_VALUE"""),"我们需要开发这些资源。")</f>
        <v>我们需要开发这些资源。</v>
      </c>
      <c r="I1798" s="13"/>
      <c r="J1798" s="13" t="str">
        <f ca="1">IFERROR(__xludf.DUMMYFUNCTION("""COMPUTED_VALUE"""),"Chúng ta cần khai thác tài nguyên.")</f>
        <v>Chúng ta cần khai thác tài nguyên.</v>
      </c>
      <c r="K1798" s="13" t="str">
        <f ca="1">IFERROR(__xludf.DUMMYFUNCTION("""COMPUTED_VALUE"""),"H5_B12_BG28.png")</f>
        <v>H5_B12_BG28.png</v>
      </c>
      <c r="L1798" s="13" t="str">
        <f ca="1">IFERROR(__xludf.DUMMYFUNCTION("""COMPUTED_VALUE"""),"B12_28.mp3")</f>
        <v>B12_28.mp3</v>
      </c>
      <c r="M1798" s="13" t="str">
        <f ca="1">IFERROR(__xludf.DUMMYFUNCTION("""COMPUTED_VALUE"""),"B12_VD_28.mp3")</f>
        <v>B12_VD_28.mp3</v>
      </c>
    </row>
    <row r="1799" spans="1:13">
      <c r="A1799" s="13">
        <f ca="1">IFERROR(__xludf.DUMMYFUNCTION("""COMPUTED_VALUE"""),29)</f>
        <v>29</v>
      </c>
      <c r="B1799" s="13"/>
      <c r="C1799" s="13" t="str">
        <f ca="1">IFERROR(__xludf.DUMMYFUNCTION("""COMPUTED_VALUE"""),"创新")</f>
        <v>创新</v>
      </c>
      <c r="D1799" s="13" t="str">
        <f ca="1">IFERROR(__xludf.DUMMYFUNCTION("""COMPUTED_VALUE"""),"&lt;ruby&gt;创新&lt;rt&gt;chuàngxīn&lt;/rt&gt;&lt;/ruby&gt;")</f>
        <v>&lt;ruby&gt;创新&lt;rt&gt;chuàngxīn&lt;/rt&gt;&lt;/ruby&gt;</v>
      </c>
      <c r="E1799" s="13" t="str">
        <f ca="1">IFERROR(__xludf.DUMMYFUNCTION("""COMPUTED_VALUE"""),"chuàngxīn")</f>
        <v>chuàngxīn</v>
      </c>
      <c r="F1799" s="13" t="str">
        <f ca="1">IFERROR(__xludf.DUMMYFUNCTION("""COMPUTED_VALUE"""),"Động từ ")</f>
        <v xml:space="preserve">Động từ </v>
      </c>
      <c r="G1799" s="13" t="str">
        <f ca="1">IFERROR(__xludf.DUMMYFUNCTION("""COMPUTED_VALUE"""),"sáng tạo cái mới, đổi mới ")</f>
        <v xml:space="preserve">sáng tạo cái mới, đổi mới </v>
      </c>
      <c r="H1799" s="13" t="str">
        <f ca="1">IFERROR(__xludf.DUMMYFUNCTION("""COMPUTED_VALUE"""),"那个小男孩正在创新绘画风格。")</f>
        <v>那个小男孩正在创新绘画风格。</v>
      </c>
      <c r="I1799" s="13"/>
      <c r="J1799" s="13" t="str">
        <f ca="1">IFERROR(__xludf.DUMMYFUNCTION("""COMPUTED_VALUE"""),"Cậu bé đang đổi mới phong cách vẽ.")</f>
        <v>Cậu bé đang đổi mới phong cách vẽ.</v>
      </c>
      <c r="K1799" s="13" t="str">
        <f ca="1">IFERROR(__xludf.DUMMYFUNCTION("""COMPUTED_VALUE"""),"H5_B12_BG29.png")</f>
        <v>H5_B12_BG29.png</v>
      </c>
      <c r="L1799" s="13" t="str">
        <f ca="1">IFERROR(__xludf.DUMMYFUNCTION("""COMPUTED_VALUE"""),"B12_29.mp3")</f>
        <v>B12_29.mp3</v>
      </c>
      <c r="M1799" s="13" t="str">
        <f ca="1">IFERROR(__xludf.DUMMYFUNCTION("""COMPUTED_VALUE"""),"B12_VD_29.mp3")</f>
        <v>B12_VD_29.mp3</v>
      </c>
    </row>
    <row r="1800" spans="1:13">
      <c r="A1800" s="13">
        <f ca="1">IFERROR(__xludf.DUMMYFUNCTION("""COMPUTED_VALUE"""),30)</f>
        <v>30</v>
      </c>
      <c r="B1800" s="13"/>
      <c r="C1800" s="13" t="str">
        <f ca="1">IFERROR(__xludf.DUMMYFUNCTION("""COMPUTED_VALUE"""),"经营")</f>
        <v>经营</v>
      </c>
      <c r="D1800" s="13" t="str">
        <f ca="1">IFERROR(__xludf.DUMMYFUNCTION("""COMPUTED_VALUE"""),"&lt;ruby&gt;经营&lt;rt&gt;jīngyíng&lt;/rt&gt;&lt;/ruby&gt;")</f>
        <v>&lt;ruby&gt;经营&lt;rt&gt;jīngyíng&lt;/rt&gt;&lt;/ruby&gt;</v>
      </c>
      <c r="E1800" s="13" t="str">
        <f ca="1">IFERROR(__xludf.DUMMYFUNCTION("""COMPUTED_VALUE"""),"jīngyíng")</f>
        <v>jīngyíng</v>
      </c>
      <c r="F1800" s="13" t="str">
        <f ca="1">IFERROR(__xludf.DUMMYFUNCTION("""COMPUTED_VALUE"""),"Động từ ")</f>
        <v xml:space="preserve">Động từ </v>
      </c>
      <c r="G1800" s="13" t="str">
        <f ca="1">IFERROR(__xludf.DUMMYFUNCTION("""COMPUTED_VALUE"""),"kinh doanh ")</f>
        <v xml:space="preserve">kinh doanh </v>
      </c>
      <c r="H1800" s="13" t="str">
        <f ca="1">IFERROR(__xludf.DUMMYFUNCTION("""COMPUTED_VALUE"""),"他已经经营了咖啡店一段时间了。")</f>
        <v>他已经经营了咖啡店一段时间了。</v>
      </c>
      <c r="I1800" s="13"/>
      <c r="J1800" s="13" t="str">
        <f ca="1">IFERROR(__xludf.DUMMYFUNCTION("""COMPUTED_VALUE"""),"Anh ấy đã kinh doanh một quán cà phê được 1 thời gian.")</f>
        <v>Anh ấy đã kinh doanh một quán cà phê được 1 thời gian.</v>
      </c>
      <c r="K1800" s="13" t="str">
        <f ca="1">IFERROR(__xludf.DUMMYFUNCTION("""COMPUTED_VALUE"""),"H5_B12_BG30.png")</f>
        <v>H5_B12_BG30.png</v>
      </c>
      <c r="L1800" s="13" t="str">
        <f ca="1">IFERROR(__xludf.DUMMYFUNCTION("""COMPUTED_VALUE"""),"B12_30.mp3")</f>
        <v>B12_30.mp3</v>
      </c>
      <c r="M1800" s="13" t="str">
        <f ca="1">IFERROR(__xludf.DUMMYFUNCTION("""COMPUTED_VALUE"""),"B12_VD_30.mp3")</f>
        <v>B12_VD_30.mp3</v>
      </c>
    </row>
    <row r="1801" spans="1:13">
      <c r="A1801" s="13">
        <f ca="1">IFERROR(__xludf.DUMMYFUNCTION("""COMPUTED_VALUE"""),31)</f>
        <v>31</v>
      </c>
      <c r="B1801" s="13"/>
      <c r="C1801" s="13" t="str">
        <f ca="1">IFERROR(__xludf.DUMMYFUNCTION("""COMPUTED_VALUE"""),"宝贝")</f>
        <v>宝贝</v>
      </c>
      <c r="D1801" s="13" t="str">
        <f ca="1">IFERROR(__xludf.DUMMYFUNCTION("""COMPUTED_VALUE"""),"&lt;ruby&gt;宝贝&lt;rt&gt;bǎobèi&lt;/rt&gt;&lt;/ruby&gt;")</f>
        <v>&lt;ruby&gt;宝贝&lt;rt&gt;bǎobèi&lt;/rt&gt;&lt;/ruby&gt;</v>
      </c>
      <c r="E1801" s="13" t="str">
        <f ca="1">IFERROR(__xludf.DUMMYFUNCTION("""COMPUTED_VALUE"""),"bǎobèi")</f>
        <v>bǎobèi</v>
      </c>
      <c r="F1801" s="13" t="str">
        <f ca="1">IFERROR(__xludf.DUMMYFUNCTION("""COMPUTED_VALUE"""),"Danh từ")</f>
        <v>Danh từ</v>
      </c>
      <c r="G1801" s="13" t="str">
        <f ca="1">IFERROR(__xludf.DUMMYFUNCTION("""COMPUTED_VALUE"""),"cuc cưng")</f>
        <v>cuc cưng</v>
      </c>
      <c r="H1801" s="13" t="str">
        <f ca="1">IFERROR(__xludf.DUMMYFUNCTION("""COMPUTED_VALUE"""),"妈妈对女儿说：“你是妈妈的宝贝。”")</f>
        <v>妈妈对女儿说：“你是妈妈的宝贝。”</v>
      </c>
      <c r="I1801" s="13"/>
      <c r="J1801" s="13" t="str">
        <f ca="1">IFERROR(__xludf.DUMMYFUNCTION("""COMPUTED_VALUE"""),"Mẹ nói với con gái: ""Con là cục cưng của mẹ.""")</f>
        <v>Mẹ nói với con gái: "Con là cục cưng của mẹ."</v>
      </c>
      <c r="K1801" s="13" t="str">
        <f ca="1">IFERROR(__xludf.DUMMYFUNCTION("""COMPUTED_VALUE"""),"H5_B12_BG31.png")</f>
        <v>H5_B12_BG31.png</v>
      </c>
      <c r="L1801" s="13" t="str">
        <f ca="1">IFERROR(__xludf.DUMMYFUNCTION("""COMPUTED_VALUE"""),"B12_31.mp3")</f>
        <v>B12_31.mp3</v>
      </c>
      <c r="M1801" s="13" t="str">
        <f ca="1">IFERROR(__xludf.DUMMYFUNCTION("""COMPUTED_VALUE"""),"B12_VD_31.mp3")</f>
        <v>B12_VD_31.mp3</v>
      </c>
    </row>
    <row r="1802" spans="1:13">
      <c r="A1802" s="13">
        <f ca="1">IFERROR(__xludf.DUMMYFUNCTION("""COMPUTED_VALUE"""),32)</f>
        <v>32</v>
      </c>
      <c r="B1802" s="13"/>
      <c r="C1802" s="13" t="str">
        <f ca="1">IFERROR(__xludf.DUMMYFUNCTION("""COMPUTED_VALUE"""),"背景")</f>
        <v>背景</v>
      </c>
      <c r="D1802" s="13" t="str">
        <f ca="1">IFERROR(__xludf.DUMMYFUNCTION("""COMPUTED_VALUE"""),"&lt;ruby&gt;背景&lt;rt&gt;bèijǐng&lt;/rt&gt;&lt;/ruby&gt;")</f>
        <v>&lt;ruby&gt;背景&lt;rt&gt;bèijǐng&lt;/rt&gt;&lt;/ruby&gt;</v>
      </c>
      <c r="E1802" s="13" t="str">
        <f ca="1">IFERROR(__xludf.DUMMYFUNCTION("""COMPUTED_VALUE"""),"bèijǐng")</f>
        <v>bèijǐng</v>
      </c>
      <c r="F1802" s="13" t="str">
        <f ca="1">IFERROR(__xludf.DUMMYFUNCTION("""COMPUTED_VALUE"""),"Danh từ")</f>
        <v>Danh từ</v>
      </c>
      <c r="G1802" s="13" t="str">
        <f ca="1">IFERROR(__xludf.DUMMYFUNCTION("""COMPUTED_VALUE"""),"bối cảnh ")</f>
        <v xml:space="preserve">bối cảnh </v>
      </c>
      <c r="H1802" s="13" t="str">
        <f ca="1">IFERROR(__xludf.DUMMYFUNCTION("""COMPUTED_VALUE"""),"戏剧的背景是狼和兔子。")</f>
        <v>戏剧的背景是狼和兔子。</v>
      </c>
      <c r="I1802" s="13"/>
      <c r="J1802" s="13" t="str">
        <f ca="1">IFERROR(__xludf.DUMMYFUNCTION("""COMPUTED_VALUE"""),"Diễn kịch nói với bối cảnh sói và thỏ.")</f>
        <v>Diễn kịch nói với bối cảnh sói và thỏ.</v>
      </c>
      <c r="K1802" s="13" t="str">
        <f ca="1">IFERROR(__xludf.DUMMYFUNCTION("""COMPUTED_VALUE"""),"H5_B12_BG32.png")</f>
        <v>H5_B12_BG32.png</v>
      </c>
      <c r="L1802" s="13" t="str">
        <f ca="1">IFERROR(__xludf.DUMMYFUNCTION("""COMPUTED_VALUE"""),"B12_32.mp3")</f>
        <v>B12_32.mp3</v>
      </c>
      <c r="M1802" s="13" t="str">
        <f ca="1">IFERROR(__xludf.DUMMYFUNCTION("""COMPUTED_VALUE"""),"B12_VD_32.mp3")</f>
        <v>B12_VD_32.mp3</v>
      </c>
    </row>
    <row r="1803" spans="1:13">
      <c r="A1803" s="13">
        <f ca="1">IFERROR(__xludf.DUMMYFUNCTION("""COMPUTED_VALUE"""),33)</f>
        <v>33</v>
      </c>
      <c r="B1803" s="13"/>
      <c r="C1803" s="13" t="str">
        <f ca="1">IFERROR(__xludf.DUMMYFUNCTION("""COMPUTED_VALUE"""),"逗")</f>
        <v>逗</v>
      </c>
      <c r="D1803" s="13" t="str">
        <f ca="1">IFERROR(__xludf.DUMMYFUNCTION("""COMPUTED_VALUE"""),"&lt;ruby&gt;逗&lt;rt&gt;dòu&lt;/rt&gt;&lt;/ruby&gt;")</f>
        <v>&lt;ruby&gt;逗&lt;rt&gt;dòu&lt;/rt&gt;&lt;/ruby&gt;</v>
      </c>
      <c r="E1803" s="13" t="str">
        <f ca="1">IFERROR(__xludf.DUMMYFUNCTION("""COMPUTED_VALUE"""),"dòu")</f>
        <v>dòu</v>
      </c>
      <c r="F1803" s="13" t="str">
        <f ca="1">IFERROR(__xludf.DUMMYFUNCTION("""COMPUTED_VALUE"""),"Động từ ")</f>
        <v xml:space="preserve">Động từ </v>
      </c>
      <c r="G1803" s="13" t="str">
        <f ca="1">IFERROR(__xludf.DUMMYFUNCTION("""COMPUTED_VALUE"""),"gây cười, chọc cười")</f>
        <v>gây cười, chọc cười</v>
      </c>
      <c r="H1803" s="13" t="str">
        <f ca="1">IFERROR(__xludf.DUMMYFUNCTION("""COMPUTED_VALUE"""),"她的话逗我们都乐了。")</f>
        <v>她的话逗我们都乐了。</v>
      </c>
      <c r="I1803" s="13"/>
      <c r="J1803" s="13" t="str">
        <f ca="1">IFERROR(__xludf.DUMMYFUNCTION("""COMPUTED_VALUE"""),"Những lời của cô ấy khiến chúng tôi đều cười.")</f>
        <v>Những lời của cô ấy khiến chúng tôi đều cười.</v>
      </c>
      <c r="K1803" s="13" t="str">
        <f ca="1">IFERROR(__xludf.DUMMYFUNCTION("""COMPUTED_VALUE"""),"H5_B12_BG33.png")</f>
        <v>H5_B12_BG33.png</v>
      </c>
      <c r="L1803" s="13" t="str">
        <f ca="1">IFERROR(__xludf.DUMMYFUNCTION("""COMPUTED_VALUE"""),"B12_33.mp3")</f>
        <v>B12_33.mp3</v>
      </c>
      <c r="M1803" s="13" t="str">
        <f ca="1">IFERROR(__xludf.DUMMYFUNCTION("""COMPUTED_VALUE"""),"B12_VD_33.mp3")</f>
        <v>B12_VD_33.mp3</v>
      </c>
    </row>
    <row r="1804" spans="1:13">
      <c r="A1804" s="13">
        <f ca="1">IFERROR(__xludf.DUMMYFUNCTION("""COMPUTED_VALUE"""),34)</f>
        <v>34</v>
      </c>
      <c r="B1804" s="13"/>
      <c r="C1804" s="13" t="str">
        <f ca="1">IFERROR(__xludf.DUMMYFUNCTION("""COMPUTED_VALUE"""),"个人")</f>
        <v>个人</v>
      </c>
      <c r="D1804" s="13" t="str">
        <f ca="1">IFERROR(__xludf.DUMMYFUNCTION("""COMPUTED_VALUE"""),"&lt;ruby&gt;个人&lt;rt&gt;gèrén&lt;/rt&gt;&lt;/ruby&gt;")</f>
        <v>&lt;ruby&gt;个人&lt;rt&gt;gèrén&lt;/rt&gt;&lt;/ruby&gt;</v>
      </c>
      <c r="E1804" s="13" t="str">
        <f ca="1">IFERROR(__xludf.DUMMYFUNCTION("""COMPUTED_VALUE"""),"gèrén")</f>
        <v>gèrén</v>
      </c>
      <c r="F1804" s="13" t="str">
        <f ca="1">IFERROR(__xludf.DUMMYFUNCTION("""COMPUTED_VALUE"""),"Danh từ")</f>
        <v>Danh từ</v>
      </c>
      <c r="G1804" s="13" t="str">
        <f ca="1">IFERROR(__xludf.DUMMYFUNCTION("""COMPUTED_VALUE"""),"cá nhân")</f>
        <v>cá nhân</v>
      </c>
      <c r="H1804" s="13" t="str">
        <f ca="1">IFERROR(__xludf.DUMMYFUNCTION("""COMPUTED_VALUE"""),"个人信息请保密。")</f>
        <v>个人信息请保密。</v>
      </c>
      <c r="I1804" s="13"/>
      <c r="J1804" s="13" t="str">
        <f ca="1">IFERROR(__xludf.DUMMYFUNCTION("""COMPUTED_VALUE"""),"Thông tin cá nhân xin giữ kín.")</f>
        <v>Thông tin cá nhân xin giữ kín.</v>
      </c>
      <c r="K1804" s="13" t="str">
        <f ca="1">IFERROR(__xludf.DUMMYFUNCTION("""COMPUTED_VALUE"""),"H5_B12_BG34.png")</f>
        <v>H5_B12_BG34.png</v>
      </c>
      <c r="L1804" s="13" t="str">
        <f ca="1">IFERROR(__xludf.DUMMYFUNCTION("""COMPUTED_VALUE"""),"B12_34.mp3")</f>
        <v>B12_34.mp3</v>
      </c>
      <c r="M1804" s="13" t="str">
        <f ca="1">IFERROR(__xludf.DUMMYFUNCTION("""COMPUTED_VALUE"""),"B12_VD_34.mp3")</f>
        <v>B12_VD_34.mp3</v>
      </c>
    </row>
    <row r="1805" spans="1:13">
      <c r="A1805" s="13">
        <f ca="1">IFERROR(__xludf.DUMMYFUNCTION("""COMPUTED_VALUE"""),35)</f>
        <v>35</v>
      </c>
      <c r="B1805" s="13"/>
      <c r="C1805" s="13" t="str">
        <f ca="1">IFERROR(__xludf.DUMMYFUNCTION("""COMPUTED_VALUE"""),"华裔")</f>
        <v>华裔</v>
      </c>
      <c r="D1805" s="13" t="str">
        <f ca="1">IFERROR(__xludf.DUMMYFUNCTION("""COMPUTED_VALUE"""),"&lt;ruby&gt;华裔&lt;rt&gt;huáyì&lt;/rt&gt;&lt;/ruby&gt;")</f>
        <v>&lt;ruby&gt;华裔&lt;rt&gt;huáyì&lt;/rt&gt;&lt;/ruby&gt;</v>
      </c>
      <c r="E1805" s="13" t="str">
        <f ca="1">IFERROR(__xludf.DUMMYFUNCTION("""COMPUTED_VALUE"""),"huáyì")</f>
        <v>huáyì</v>
      </c>
      <c r="F1805" s="13" t="str">
        <f ca="1">IFERROR(__xludf.DUMMYFUNCTION("""COMPUTED_VALUE"""),"Danh từ")</f>
        <v>Danh từ</v>
      </c>
      <c r="G1805" s="13" t="str">
        <f ca="1">IFERROR(__xludf.DUMMYFUNCTION("""COMPUTED_VALUE"""),"người gốc Hoa")</f>
        <v>người gốc Hoa</v>
      </c>
      <c r="H1805" s="13" t="str">
        <f ca="1">IFERROR(__xludf.DUMMYFUNCTION("""COMPUTED_VALUE"""),"他是一个华裔美国人。")</f>
        <v>他是一个华裔美国人。</v>
      </c>
      <c r="I1805" s="13"/>
      <c r="J1805" s="13" t="str">
        <f ca="1">IFERROR(__xludf.DUMMYFUNCTION("""COMPUTED_VALUE"""),"Anh ấy là người gốc Hoa sinh ra tại Mỹ.")</f>
        <v>Anh ấy là người gốc Hoa sinh ra tại Mỹ.</v>
      </c>
      <c r="K1805" s="13" t="str">
        <f ca="1">IFERROR(__xludf.DUMMYFUNCTION("""COMPUTED_VALUE"""),"H5_B12_BG35.png")</f>
        <v>H5_B12_BG35.png</v>
      </c>
      <c r="L1805" s="13" t="str">
        <f ca="1">IFERROR(__xludf.DUMMYFUNCTION("""COMPUTED_VALUE"""),"B12_35.mp3")</f>
        <v>B12_35.mp3</v>
      </c>
      <c r="M1805" s="13" t="str">
        <f ca="1">IFERROR(__xludf.DUMMYFUNCTION("""COMPUTED_VALUE"""),"B12_VD_35.mp3")</f>
        <v>B12_VD_35.mp3</v>
      </c>
    </row>
    <row r="1806" spans="1:13">
      <c r="A1806" s="13">
        <f ca="1">IFERROR(__xludf.DUMMYFUNCTION("""COMPUTED_VALUE"""),36)</f>
        <v>36</v>
      </c>
      <c r="B1806" s="13"/>
      <c r="C1806" s="13" t="str">
        <f ca="1">IFERROR(__xludf.DUMMYFUNCTION("""COMPUTED_VALUE"""),"伙伴")</f>
        <v>伙伴</v>
      </c>
      <c r="D1806" s="13" t="str">
        <f ca="1">IFERROR(__xludf.DUMMYFUNCTION("""COMPUTED_VALUE"""),"&lt;ruby&gt;伙伴&lt;rt&gt;huǒbàn&lt;/rt&gt;&lt;/ruby&gt;")</f>
        <v>&lt;ruby&gt;伙伴&lt;rt&gt;huǒbàn&lt;/rt&gt;&lt;/ruby&gt;</v>
      </c>
      <c r="E1806" s="13" t="str">
        <f ca="1">IFERROR(__xludf.DUMMYFUNCTION("""COMPUTED_VALUE"""),"huǒbàn")</f>
        <v>huǒbàn</v>
      </c>
      <c r="F1806" s="13" t="str">
        <f ca="1">IFERROR(__xludf.DUMMYFUNCTION("""COMPUTED_VALUE"""),"Danh từ")</f>
        <v>Danh từ</v>
      </c>
      <c r="G1806" s="13" t="str">
        <f ca="1">IFERROR(__xludf.DUMMYFUNCTION("""COMPUTED_VALUE"""),"cộng sư, đối tác")</f>
        <v>cộng sư, đối tác</v>
      </c>
      <c r="H1806" s="13" t="str">
        <f ca="1">IFERROR(__xludf.DUMMYFUNCTION("""COMPUTED_VALUE"""),"他是我的商业伙伴。")</f>
        <v>他是我的商业伙伴。</v>
      </c>
      <c r="I1806" s="13"/>
      <c r="J1806" s="13" t="str">
        <f ca="1">IFERROR(__xludf.DUMMYFUNCTION("""COMPUTED_VALUE"""),"Anh ấy là đối tác kinh doanh của tôi.")</f>
        <v>Anh ấy là đối tác kinh doanh của tôi.</v>
      </c>
      <c r="K1806" s="13" t="str">
        <f ca="1">IFERROR(__xludf.DUMMYFUNCTION("""COMPUTED_VALUE"""),"H5_B12_BG36.png")</f>
        <v>H5_B12_BG36.png</v>
      </c>
      <c r="L1806" s="13" t="str">
        <f ca="1">IFERROR(__xludf.DUMMYFUNCTION("""COMPUTED_VALUE"""),"B12_36.mp3")</f>
        <v>B12_36.mp3</v>
      </c>
      <c r="M1806" s="13" t="str">
        <f ca="1">IFERROR(__xludf.DUMMYFUNCTION("""COMPUTED_VALUE"""),"B12_VD_36.mp3")</f>
        <v>B12_VD_36.mp3</v>
      </c>
    </row>
    <row r="1807" spans="1:13">
      <c r="A1807" s="13">
        <f ca="1">IFERROR(__xludf.DUMMYFUNCTION("""COMPUTED_VALUE"""),37)</f>
        <v>37</v>
      </c>
      <c r="B1807" s="13"/>
      <c r="C1807" s="13" t="str">
        <f ca="1">IFERROR(__xludf.DUMMYFUNCTION("""COMPUTED_VALUE"""),"领导")</f>
        <v>领导</v>
      </c>
      <c r="D1807" s="13" t="str">
        <f ca="1">IFERROR(__xludf.DUMMYFUNCTION("""COMPUTED_VALUE"""),"&lt;ruby&gt;领导&lt;rt&gt;lǐngdǎo&lt;/rt&gt;&lt;/ruby&gt;")</f>
        <v>&lt;ruby&gt;领导&lt;rt&gt;lǐngdǎo&lt;/rt&gt;&lt;/ruby&gt;</v>
      </c>
      <c r="E1807" s="13" t="str">
        <f ca="1">IFERROR(__xludf.DUMMYFUNCTION("""COMPUTED_VALUE"""),"lǐngdǎo")</f>
        <v>lǐngdǎo</v>
      </c>
      <c r="F1807" s="13" t="str">
        <f ca="1">IFERROR(__xludf.DUMMYFUNCTION("""COMPUTED_VALUE"""),"Danh từ")</f>
        <v>Danh từ</v>
      </c>
      <c r="G1807" s="13" t="str">
        <f ca="1">IFERROR(__xludf.DUMMYFUNCTION("""COMPUTED_VALUE"""),"lãnh đạo")</f>
        <v>lãnh đạo</v>
      </c>
      <c r="H1807" s="13" t="str">
        <f ca="1">IFERROR(__xludf.DUMMYFUNCTION("""COMPUTED_VALUE"""),"领导在会议中宣布了一个重要任务。")</f>
        <v>领导在会议中宣布了一个重要任务。</v>
      </c>
      <c r="I1807" s="13"/>
      <c r="J1807" s="13" t="str">
        <f ca="1">IFERROR(__xludf.DUMMYFUNCTION("""COMPUTED_VALUE"""),"Lãnh đạo đã thông báo một công việc quan trọng trong cuộc họp.")</f>
        <v>Lãnh đạo đã thông báo một công việc quan trọng trong cuộc họp.</v>
      </c>
      <c r="K1807" s="13" t="str">
        <f ca="1">IFERROR(__xludf.DUMMYFUNCTION("""COMPUTED_VALUE"""),"H5_B12_BG37.png")</f>
        <v>H5_B12_BG37.png</v>
      </c>
      <c r="L1807" s="13" t="str">
        <f ca="1">IFERROR(__xludf.DUMMYFUNCTION("""COMPUTED_VALUE"""),"B12_37.mp3")</f>
        <v>B12_37.mp3</v>
      </c>
      <c r="M1807" s="13" t="str">
        <f ca="1">IFERROR(__xludf.DUMMYFUNCTION("""COMPUTED_VALUE"""),"B12_VD_37.mp3")</f>
        <v>B12_VD_37.mp3</v>
      </c>
    </row>
    <row r="1808" spans="1:13">
      <c r="A1808" s="13">
        <f ca="1">IFERROR(__xludf.DUMMYFUNCTION("""COMPUTED_VALUE"""),38)</f>
        <v>38</v>
      </c>
      <c r="B1808" s="13"/>
      <c r="C1808" s="13" t="str">
        <f ca="1">IFERROR(__xludf.DUMMYFUNCTION("""COMPUTED_VALUE"""),"明星")</f>
        <v>明星</v>
      </c>
      <c r="D1808" s="13" t="str">
        <f ca="1">IFERROR(__xludf.DUMMYFUNCTION("""COMPUTED_VALUE"""),"&lt;ruby&gt;明星&lt;rt&gt;míngxīng&lt;/rt&gt;&lt;/ruby&gt;")</f>
        <v>&lt;ruby&gt;明星&lt;rt&gt;míngxīng&lt;/rt&gt;&lt;/ruby&gt;</v>
      </c>
      <c r="E1808" s="13" t="str">
        <f ca="1">IFERROR(__xludf.DUMMYFUNCTION("""COMPUTED_VALUE"""),"míngxīng")</f>
        <v>míngxīng</v>
      </c>
      <c r="F1808" s="13" t="str">
        <f ca="1">IFERROR(__xludf.DUMMYFUNCTION("""COMPUTED_VALUE"""),"Danh từ")</f>
        <v>Danh từ</v>
      </c>
      <c r="G1808" s="13" t="str">
        <f ca="1">IFERROR(__xludf.DUMMYFUNCTION("""COMPUTED_VALUE"""),"minh tinh, ngôi sao")</f>
        <v>minh tinh, ngôi sao</v>
      </c>
      <c r="H1808" s="13" t="str">
        <f ca="1">IFERROR(__xludf.DUMMYFUNCTION("""COMPUTED_VALUE"""),"她是我最喜欢的明星。")</f>
        <v>她是我最喜欢的明星。</v>
      </c>
      <c r="I1808" s="13"/>
      <c r="J1808" s="13" t="str">
        <f ca="1">IFERROR(__xludf.DUMMYFUNCTION("""COMPUTED_VALUE"""),"Cô ấy là ngôi sao mà tôi yêu thích nhất.")</f>
        <v>Cô ấy là ngôi sao mà tôi yêu thích nhất.</v>
      </c>
      <c r="K1808" s="13" t="str">
        <f ca="1">IFERROR(__xludf.DUMMYFUNCTION("""COMPUTED_VALUE"""),"H5_B12_BG38.png")</f>
        <v>H5_B12_BG38.png</v>
      </c>
      <c r="L1808" s="13" t="str">
        <f ca="1">IFERROR(__xludf.DUMMYFUNCTION("""COMPUTED_VALUE"""),"B12_38.mp3")</f>
        <v>B12_38.mp3</v>
      </c>
      <c r="M1808" s="13" t="str">
        <f ca="1">IFERROR(__xludf.DUMMYFUNCTION("""COMPUTED_VALUE"""),"B12_VD_38.mp3")</f>
        <v>B12_VD_38.mp3</v>
      </c>
    </row>
    <row r="1809" spans="1:13">
      <c r="A1809" s="13">
        <f ca="1">IFERROR(__xludf.DUMMYFUNCTION("""COMPUTED_VALUE"""),39)</f>
        <v>39</v>
      </c>
      <c r="B1809" s="13"/>
      <c r="C1809" s="13" t="str">
        <f ca="1">IFERROR(__xludf.DUMMYFUNCTION("""COMPUTED_VALUE"""),"以及")</f>
        <v>以及</v>
      </c>
      <c r="D1809" s="13" t="str">
        <f ca="1">IFERROR(__xludf.DUMMYFUNCTION("""COMPUTED_VALUE"""),"&lt;ruby&gt;以及&lt;rt&gt;yǐjí&lt;/rt&gt;&lt;/ruby&gt;")</f>
        <v>&lt;ruby&gt;以及&lt;rt&gt;yǐjí&lt;/rt&gt;&lt;/ruby&gt;</v>
      </c>
      <c r="E1809" s="13" t="str">
        <f ca="1">IFERROR(__xludf.DUMMYFUNCTION("""COMPUTED_VALUE"""),"yǐjí")</f>
        <v>yǐjí</v>
      </c>
      <c r="F1809" s="13" t="str">
        <f ca="1">IFERROR(__xludf.DUMMYFUNCTION("""COMPUTED_VALUE"""),"Liên từ")</f>
        <v>Liên từ</v>
      </c>
      <c r="G1809" s="13" t="str">
        <f ca="1">IFERROR(__xludf.DUMMYFUNCTION("""COMPUTED_VALUE"""),"và")</f>
        <v>và</v>
      </c>
      <c r="H1809" s="13" t="str">
        <f ca="1">IFERROR(__xludf.DUMMYFUNCTION("""COMPUTED_VALUE"""),"这家公司生产电子产品以及家用电器。")</f>
        <v>这家公司生产电子产品以及家用电器。</v>
      </c>
      <c r="I1809" s="13"/>
      <c r="J1809" s="13" t="str">
        <f ca="1">IFERROR(__xludf.DUMMYFUNCTION("""COMPUTED_VALUE"""),"Công ty này sản xuất các sản phẩm điện tử và đồ điện gia dụng.")</f>
        <v>Công ty này sản xuất các sản phẩm điện tử và đồ điện gia dụng.</v>
      </c>
      <c r="K1809" s="13" t="str">
        <f ca="1">IFERROR(__xludf.DUMMYFUNCTION("""COMPUTED_VALUE"""),"H5_B12_BG39.png")</f>
        <v>H5_B12_BG39.png</v>
      </c>
      <c r="L1809" s="13" t="str">
        <f ca="1">IFERROR(__xludf.DUMMYFUNCTION("""COMPUTED_VALUE"""),"B12_39.mp3")</f>
        <v>B12_39.mp3</v>
      </c>
      <c r="M1809" s="13" t="str">
        <f ca="1">IFERROR(__xludf.DUMMYFUNCTION("""COMPUTED_VALUE"""),"B12_VD_39.mp3")</f>
        <v>B12_VD_39.mp3</v>
      </c>
    </row>
    <row r="1810" spans="1:13">
      <c r="A1810" s="13">
        <f ca="1">IFERROR(__xludf.DUMMYFUNCTION("""COMPUTED_VALUE"""),40)</f>
        <v>40</v>
      </c>
      <c r="B1810" s="13"/>
      <c r="C1810" s="13" t="str">
        <f ca="1">IFERROR(__xludf.DUMMYFUNCTION("""COMPUTED_VALUE"""),"总裁")</f>
        <v>总裁</v>
      </c>
      <c r="D1810" s="13" t="str">
        <f ca="1">IFERROR(__xludf.DUMMYFUNCTION("""COMPUTED_VALUE"""),"&lt;ruby&gt;总裁&lt;rt&gt;zǒngcái&lt;/rt&gt;&lt;/ruby&gt;")</f>
        <v>&lt;ruby&gt;总裁&lt;rt&gt;zǒngcái&lt;/rt&gt;&lt;/ruby&gt;</v>
      </c>
      <c r="E1810" s="13" t="str">
        <f ca="1">IFERROR(__xludf.DUMMYFUNCTION("""COMPUTED_VALUE"""),"zǒngcái")</f>
        <v>zǒngcái</v>
      </c>
      <c r="F1810" s="13" t="str">
        <f ca="1">IFERROR(__xludf.DUMMYFUNCTION("""COMPUTED_VALUE"""),"Danh từ")</f>
        <v>Danh từ</v>
      </c>
      <c r="G1810" s="13" t="str">
        <f ca="1">IFERROR(__xludf.DUMMYFUNCTION("""COMPUTED_VALUE"""),"chủ tịch, president")</f>
        <v>chủ tịch, president</v>
      </c>
      <c r="H1810" s="13" t="str">
        <f ca="1">IFERROR(__xludf.DUMMYFUNCTION("""COMPUTED_VALUE"""),"他是这家公司的总裁，负责所有决策。")</f>
        <v>他是这家公司的总裁，负责所有决策。</v>
      </c>
      <c r="I1810" s="13"/>
      <c r="J1810" s="13" t="str">
        <f ca="1">IFERROR(__xludf.DUMMYFUNCTION("""COMPUTED_VALUE"""),"Ông ấy là tổng giám đốc của công ty này, chịu trách nhiệm mọi quyết định.")</f>
        <v>Ông ấy là tổng giám đốc của công ty này, chịu trách nhiệm mọi quyết định.</v>
      </c>
      <c r="K1810" s="13" t="str">
        <f ca="1">IFERROR(__xludf.DUMMYFUNCTION("""COMPUTED_VALUE"""),"H5_B12_BG40.png")</f>
        <v>H5_B12_BG40.png</v>
      </c>
      <c r="L1810" s="13" t="str">
        <f ca="1">IFERROR(__xludf.DUMMYFUNCTION("""COMPUTED_VALUE"""),"B12_40.mp3")</f>
        <v>B12_40.mp3</v>
      </c>
      <c r="M1810" s="13" t="str">
        <f ca="1">IFERROR(__xludf.DUMMYFUNCTION("""COMPUTED_VALUE"""),"B12_VD_40.mp3")</f>
        <v>B12_VD_40.mp3</v>
      </c>
    </row>
    <row r="1811" spans="1:13">
      <c r="A1811" s="13">
        <f ca="1">IFERROR(__xludf.DUMMYFUNCTION("""COMPUTED_VALUE"""),41)</f>
        <v>41</v>
      </c>
      <c r="B1811" s="13"/>
      <c r="C1811" s="13" t="str">
        <f ca="1">IFERROR(__xludf.DUMMYFUNCTION("""COMPUTED_VALUE"""),"用户")</f>
        <v>用户</v>
      </c>
      <c r="D1811" s="13" t="str">
        <f ca="1">IFERROR(__xludf.DUMMYFUNCTION("""COMPUTED_VALUE"""),"&lt;ruby&gt;用户&lt;rt&gt;yònghù&lt;/rt&gt;&lt;/ruby&gt;")</f>
        <v>&lt;ruby&gt;用户&lt;rt&gt;yònghù&lt;/rt&gt;&lt;/ruby&gt;</v>
      </c>
      <c r="E1811" s="13" t="str">
        <f ca="1">IFERROR(__xludf.DUMMYFUNCTION("""COMPUTED_VALUE"""),"yònghù")</f>
        <v>yònghù</v>
      </c>
      <c r="F1811" s="13" t="str">
        <f ca="1">IFERROR(__xludf.DUMMYFUNCTION("""COMPUTED_VALUE"""),"Danh từ")</f>
        <v>Danh từ</v>
      </c>
      <c r="G1811" s="13" t="str">
        <f ca="1">IFERROR(__xludf.DUMMYFUNCTION("""COMPUTED_VALUE"""),"người dùng")</f>
        <v>người dùng</v>
      </c>
      <c r="H1811" s="13" t="str">
        <f ca="1">IFERROR(__xludf.DUMMYFUNCTION("""COMPUTED_VALUE"""),"这个应用有很多活跃用户。")</f>
        <v>这个应用有很多活跃用户。</v>
      </c>
      <c r="I1811" s="13"/>
      <c r="J1811" s="13" t="str">
        <f ca="1">IFERROR(__xludf.DUMMYFUNCTION("""COMPUTED_VALUE"""),"Ứng dụng này có rất nhiều người dùng tích cực.")</f>
        <v>Ứng dụng này có rất nhiều người dùng tích cực.</v>
      </c>
      <c r="K1811" s="13" t="str">
        <f ca="1">IFERROR(__xludf.DUMMYFUNCTION("""COMPUTED_VALUE"""),"H5_B12_BG41.png")</f>
        <v>H5_B12_BG41.png</v>
      </c>
      <c r="L1811" s="13" t="str">
        <f ca="1">IFERROR(__xludf.DUMMYFUNCTION("""COMPUTED_VALUE"""),"B12_41.mp3")</f>
        <v>B12_41.mp3</v>
      </c>
      <c r="M1811" s="13" t="str">
        <f ca="1">IFERROR(__xludf.DUMMYFUNCTION("""COMPUTED_VALUE"""),"B12_VD_41.mp3")</f>
        <v>B12_VD_41.mp3</v>
      </c>
    </row>
    <row r="1812" spans="1:13">
      <c r="A1812" s="13">
        <f ca="1">IFERROR(__xludf.DUMMYFUNCTION("""COMPUTED_VALUE"""),42)</f>
        <v>42</v>
      </c>
      <c r="B1812" s="13"/>
      <c r="C1812" s="13" t="str">
        <f ca="1">IFERROR(__xludf.DUMMYFUNCTION("""COMPUTED_VALUE"""),"副")</f>
        <v>副</v>
      </c>
      <c r="D1812" s="13" t="str">
        <f ca="1">IFERROR(__xludf.DUMMYFUNCTION("""COMPUTED_VALUE"""),"&lt;ruby&gt;副&lt;rt&gt;fù&lt;/rt&gt;&lt;/ruby&gt;")</f>
        <v>&lt;ruby&gt;副&lt;rt&gt;fù&lt;/rt&gt;&lt;/ruby&gt;</v>
      </c>
      <c r="E1812" s="13" t="str">
        <f ca="1">IFERROR(__xludf.DUMMYFUNCTION("""COMPUTED_VALUE"""),"fù")</f>
        <v>fù</v>
      </c>
      <c r="F1812" s="13" t="str">
        <f ca="1">IFERROR(__xludf.DUMMYFUNCTION("""COMPUTED_VALUE"""),"Tính từ")</f>
        <v>Tính từ</v>
      </c>
      <c r="G1812" s="13" t="str">
        <f ca="1">IFERROR(__xludf.DUMMYFUNCTION("""COMPUTED_VALUE"""),"phó, phụ ")</f>
        <v xml:space="preserve">phó, phụ </v>
      </c>
      <c r="H1812" s="13" t="str">
        <f ca="1">IFERROR(__xludf.DUMMYFUNCTION("""COMPUTED_VALUE"""),"他是这家公司的副总裁。")</f>
        <v>他是这家公司的副总裁。</v>
      </c>
      <c r="I1812" s="13"/>
      <c r="J1812" s="13" t="str">
        <f ca="1">IFERROR(__xludf.DUMMYFUNCTION("""COMPUTED_VALUE"""),"Anh ấy là phó chủ tịch của công ty này.")</f>
        <v>Anh ấy là phó chủ tịch của công ty này.</v>
      </c>
      <c r="K1812" s="13" t="str">
        <f ca="1">IFERROR(__xludf.DUMMYFUNCTION("""COMPUTED_VALUE"""),"H5_B12_BG42.png")</f>
        <v>H5_B12_BG42.png</v>
      </c>
      <c r="L1812" s="13" t="str">
        <f ca="1">IFERROR(__xludf.DUMMYFUNCTION("""COMPUTED_VALUE"""),"B12_42.mp3")</f>
        <v>B12_42.mp3</v>
      </c>
      <c r="M1812" s="13" t="str">
        <f ca="1">IFERROR(__xludf.DUMMYFUNCTION("""COMPUTED_VALUE"""),"B12_VD_42.mp3")</f>
        <v>B12_VD_42.mp3</v>
      </c>
    </row>
    <row r="1813" spans="1:13">
      <c r="A1813" s="13">
        <f ca="1">IFERROR(__xludf.DUMMYFUNCTION("""COMPUTED_VALUE"""),43)</f>
        <v>43</v>
      </c>
      <c r="B1813" s="13"/>
      <c r="C1813" s="13" t="str">
        <f ca="1">IFERROR(__xludf.DUMMYFUNCTION("""COMPUTED_VALUE"""),"代言")</f>
        <v>代言</v>
      </c>
      <c r="D1813" s="13" t="str">
        <f ca="1">IFERROR(__xludf.DUMMYFUNCTION("""COMPUTED_VALUE"""),"&lt;ruby&gt;代言&lt;rt&gt;dàiyán&lt;/rt&gt;&lt;/ruby&gt;")</f>
        <v>&lt;ruby&gt;代言&lt;rt&gt;dàiyán&lt;/rt&gt;&lt;/ruby&gt;</v>
      </c>
      <c r="E1813" s="13" t="str">
        <f ca="1">IFERROR(__xludf.DUMMYFUNCTION("""COMPUTED_VALUE"""),"dàiyán")</f>
        <v>dàiyán</v>
      </c>
      <c r="F1813" s="13" t="str">
        <f ca="1">IFERROR(__xludf.DUMMYFUNCTION("""COMPUTED_VALUE"""),"Động từ ")</f>
        <v xml:space="preserve">Động từ </v>
      </c>
      <c r="G1813" s="13" t="str">
        <f ca="1">IFERROR(__xludf.DUMMYFUNCTION("""COMPUTED_VALUE"""),"phát ngôn  ")</f>
        <v xml:space="preserve">phát ngôn  </v>
      </c>
      <c r="H1813" s="13" t="str">
        <f ca="1">IFERROR(__xludf.DUMMYFUNCTION("""COMPUTED_VALUE"""),"她美丽的外貌非常适合为知名品牌代言。")</f>
        <v>她美丽的外貌非常适合为知名品牌代言。</v>
      </c>
      <c r="I1813" s="13"/>
      <c r="J1813" s="13" t="str">
        <f ca="1">IFERROR(__xludf.DUMMYFUNCTION("""COMPUTED_VALUE"""),"Dáng vẻ xinh đẹp của cô ấy rất phù hợp làm đại diện nhãn hàng nổi tiếng. ")</f>
        <v xml:space="preserve">Dáng vẻ xinh đẹp của cô ấy rất phù hợp làm đại diện nhãn hàng nổi tiếng. </v>
      </c>
      <c r="K1813" s="13" t="str">
        <f ca="1">IFERROR(__xludf.DUMMYFUNCTION("""COMPUTED_VALUE"""),"H5_B12_BG43.png")</f>
        <v>H5_B12_BG43.png</v>
      </c>
      <c r="L1813" s="13" t="str">
        <f ca="1">IFERROR(__xludf.DUMMYFUNCTION("""COMPUTED_VALUE"""),"B12_43.mp3")</f>
        <v>B12_43.mp3</v>
      </c>
      <c r="M1813" s="13" t="str">
        <f ca="1">IFERROR(__xludf.DUMMYFUNCTION("""COMPUTED_VALUE"""),"B12_VD_43.mp3")</f>
        <v>B12_VD_43.mp3</v>
      </c>
    </row>
    <row r="1814" spans="1:13">
      <c r="A1814" s="13">
        <f ca="1">IFERROR(__xludf.DUMMYFUNCTION("""COMPUTED_VALUE"""),1)</f>
        <v>1</v>
      </c>
      <c r="B1814" s="13"/>
      <c r="C1814" s="13" t="str">
        <f ca="1">IFERROR(__xludf.DUMMYFUNCTION("""COMPUTED_VALUE"""),"安装")</f>
        <v>安装</v>
      </c>
      <c r="D1814" s="13" t="str">
        <f ca="1">IFERROR(__xludf.DUMMYFUNCTION("""COMPUTED_VALUE"""),"&lt;ruby&gt;安装&lt;rt&gt;ānzhuāng&lt;/rt&gt;&lt;/ruby&gt;")</f>
        <v>&lt;ruby&gt;安装&lt;rt&gt;ānzhuāng&lt;/rt&gt;&lt;/ruby&gt;</v>
      </c>
      <c r="E1814" s="13" t="str">
        <f ca="1">IFERROR(__xludf.DUMMYFUNCTION("""COMPUTED_VALUE"""),"ānzhuāng")</f>
        <v>ānzhuāng</v>
      </c>
      <c r="F1814" s="13" t="str">
        <f ca="1">IFERROR(__xludf.DUMMYFUNCTION("""COMPUTED_VALUE"""),"Động từ ")</f>
        <v xml:space="preserve">Động từ </v>
      </c>
      <c r="G1814" s="13" t="str">
        <f ca="1">IFERROR(__xludf.DUMMYFUNCTION("""COMPUTED_VALUE"""),"lắp đặt, gắn")</f>
        <v>lắp đặt, gắn</v>
      </c>
      <c r="H1814" s="13" t="str">
        <f ca="1">IFERROR(__xludf.DUMMYFUNCTION("""COMPUTED_VALUE"""),"我们需要请专家来安装这台设备。")</f>
        <v>我们需要请专家来安装这台设备。</v>
      </c>
      <c r="I1814" s="13"/>
      <c r="J1814" s="13" t="str">
        <f ca="1">IFERROR(__xludf.DUMMYFUNCTION("""COMPUTED_VALUE"""),"Chúng tôi cần mời chuyên gia đến lắp đặt thiết bị này.")</f>
        <v>Chúng tôi cần mời chuyên gia đến lắp đặt thiết bị này.</v>
      </c>
      <c r="K1814" s="13" t="str">
        <f ca="1">IFERROR(__xludf.DUMMYFUNCTION("""COMPUTED_VALUE"""),"H5_B13_BG-01.png")</f>
        <v>H5_B13_BG-01.png</v>
      </c>
      <c r="L1814" s="13" t="str">
        <f ca="1">IFERROR(__xludf.DUMMYFUNCTION("""COMPUTED_VALUE"""),"B13_1.mp3")</f>
        <v>B13_1.mp3</v>
      </c>
      <c r="M1814" s="13" t="str">
        <f ca="1">IFERROR(__xludf.DUMMYFUNCTION("""COMPUTED_VALUE"""),"B13_VD_1.mp3")</f>
        <v>B13_VD_1.mp3</v>
      </c>
    </row>
    <row r="1815" spans="1:13">
      <c r="A1815" s="13">
        <f ca="1">IFERROR(__xludf.DUMMYFUNCTION("""COMPUTED_VALUE"""),2)</f>
        <v>2</v>
      </c>
      <c r="B1815" s="13"/>
      <c r="C1815" s="13" t="str">
        <f ca="1">IFERROR(__xludf.DUMMYFUNCTION("""COMPUTED_VALUE"""),"工程师")</f>
        <v>工程师</v>
      </c>
      <c r="D1815" s="13" t="str">
        <f ca="1">IFERROR(__xludf.DUMMYFUNCTION("""COMPUTED_VALUE"""),"&lt;ruby&gt;工程师&lt;rt&gt;gōngchéngshī&lt;/rt&gt;&lt;/ruby&gt;")</f>
        <v>&lt;ruby&gt;工程师&lt;rt&gt;gōngchéngshī&lt;/rt&gt;&lt;/ruby&gt;</v>
      </c>
      <c r="E1815" s="13" t="str">
        <f ca="1">IFERROR(__xludf.DUMMYFUNCTION("""COMPUTED_VALUE"""),"gōngchéngshī")</f>
        <v>gōngchéngshī</v>
      </c>
      <c r="F1815" s="13" t="str">
        <f ca="1">IFERROR(__xludf.DUMMYFUNCTION("""COMPUTED_VALUE"""),"Danh từ")</f>
        <v>Danh từ</v>
      </c>
      <c r="G1815" s="13" t="str">
        <f ca="1">IFERROR(__xludf.DUMMYFUNCTION("""COMPUTED_VALUE"""),"kỹ sư")</f>
        <v>kỹ sư</v>
      </c>
      <c r="H1815" s="13" t="str">
        <f ca="1">IFERROR(__xludf.DUMMYFUNCTION("""COMPUTED_VALUE"""),"他是一位非常有经验的工程师。")</f>
        <v>他是一位非常有经验的工程师。</v>
      </c>
      <c r="I1815" s="13"/>
      <c r="J1815" s="13" t="str">
        <f ca="1">IFERROR(__xludf.DUMMYFUNCTION("""COMPUTED_VALUE"""),"Anh ấy là một kỹ sư rất có kinh nghiệm.")</f>
        <v>Anh ấy là một kỹ sư rất có kinh nghiệm.</v>
      </c>
      <c r="K1815" s="13" t="str">
        <f ca="1">IFERROR(__xludf.DUMMYFUNCTION("""COMPUTED_VALUE"""),"H5_B13_BG-02.png")</f>
        <v>H5_B13_BG-02.png</v>
      </c>
      <c r="L1815" s="13" t="str">
        <f ca="1">IFERROR(__xludf.DUMMYFUNCTION("""COMPUTED_VALUE"""),"B13_2.mp3")</f>
        <v>B13_2.mp3</v>
      </c>
      <c r="M1815" s="13" t="str">
        <f ca="1">IFERROR(__xludf.DUMMYFUNCTION("""COMPUTED_VALUE"""),"B13_VD_2.mp3")</f>
        <v>B13_VD_2.mp3</v>
      </c>
    </row>
    <row r="1816" spans="1:13">
      <c r="A1816" s="13">
        <f ca="1">IFERROR(__xludf.DUMMYFUNCTION("""COMPUTED_VALUE"""),3)</f>
        <v>3</v>
      </c>
      <c r="B1816" s="13"/>
      <c r="C1816" s="13" t="str">
        <f ca="1">IFERROR(__xludf.DUMMYFUNCTION("""COMPUTED_VALUE"""),"工具")</f>
        <v>工具</v>
      </c>
      <c r="D1816" s="13" t="str">
        <f ca="1">IFERROR(__xludf.DUMMYFUNCTION("""COMPUTED_VALUE"""),"&lt;ruby&gt;工具&lt;rt&gt;gōngjù&lt;/rt&gt;&lt;/ruby&gt;")</f>
        <v>&lt;ruby&gt;工具&lt;rt&gt;gōngjù&lt;/rt&gt;&lt;/ruby&gt;</v>
      </c>
      <c r="E1816" s="13" t="str">
        <f ca="1">IFERROR(__xludf.DUMMYFUNCTION("""COMPUTED_VALUE"""),"gōngjù")</f>
        <v>gōngjù</v>
      </c>
      <c r="F1816" s="13" t="str">
        <f ca="1">IFERROR(__xludf.DUMMYFUNCTION("""COMPUTED_VALUE"""),"Danh từ")</f>
        <v>Danh từ</v>
      </c>
      <c r="G1816" s="13" t="str">
        <f ca="1">IFERROR(__xludf.DUMMYFUNCTION("""COMPUTED_VALUE"""),"công cụ ")</f>
        <v xml:space="preserve">công cụ </v>
      </c>
      <c r="H1816" s="13" t="str">
        <f ca="1">IFERROR(__xludf.DUMMYFUNCTION("""COMPUTED_VALUE"""),"这个工具在修理中非常有用。")</f>
        <v>这个工具在修理中非常有用。</v>
      </c>
      <c r="I1816" s="13"/>
      <c r="J1816" s="13" t="str">
        <f ca="1">IFERROR(__xludf.DUMMYFUNCTION("""COMPUTED_VALUE"""),"Công cụ này rất hữu ích trong việc sửa chữa")</f>
        <v>Công cụ này rất hữu ích trong việc sửa chữa</v>
      </c>
      <c r="K1816" s="13" t="str">
        <f ca="1">IFERROR(__xludf.DUMMYFUNCTION("""COMPUTED_VALUE"""),"H5_B13_BG-03.png")</f>
        <v>H5_B13_BG-03.png</v>
      </c>
      <c r="L1816" s="13" t="str">
        <f ca="1">IFERROR(__xludf.DUMMYFUNCTION("""COMPUTED_VALUE"""),"B13_3.mp3")</f>
        <v>B13_3.mp3</v>
      </c>
      <c r="M1816" s="13" t="str">
        <f ca="1">IFERROR(__xludf.DUMMYFUNCTION("""COMPUTED_VALUE"""),"B13_VD_3.mp3")</f>
        <v>B13_VD_3.mp3</v>
      </c>
    </row>
    <row r="1817" spans="1:13">
      <c r="A1817" s="13">
        <f ca="1">IFERROR(__xludf.DUMMYFUNCTION("""COMPUTED_VALUE"""),4)</f>
        <v>4</v>
      </c>
      <c r="B1817" s="13"/>
      <c r="C1817" s="13" t="str">
        <f ca="1">IFERROR(__xludf.DUMMYFUNCTION("""COMPUTED_VALUE"""),"机器")</f>
        <v>机器</v>
      </c>
      <c r="D1817" s="13" t="str">
        <f ca="1">IFERROR(__xludf.DUMMYFUNCTION("""COMPUTED_VALUE"""),"&lt;ruby&gt;机器&lt;rt&gt;jīqì&lt;/rt&gt;&lt;/ruby&gt;")</f>
        <v>&lt;ruby&gt;机器&lt;rt&gt;jīqì&lt;/rt&gt;&lt;/ruby&gt;</v>
      </c>
      <c r="E1817" s="13" t="str">
        <f ca="1">IFERROR(__xludf.DUMMYFUNCTION("""COMPUTED_VALUE"""),"jīqì")</f>
        <v>jīqì</v>
      </c>
      <c r="F1817" s="13" t="str">
        <f ca="1">IFERROR(__xludf.DUMMYFUNCTION("""COMPUTED_VALUE"""),"Danh từ")</f>
        <v>Danh từ</v>
      </c>
      <c r="G1817" s="13" t="str">
        <f ca="1">IFERROR(__xludf.DUMMYFUNCTION("""COMPUTED_VALUE"""),"máy móc")</f>
        <v>máy móc</v>
      </c>
      <c r="H1817" s="13" t="str">
        <f ca="1">IFERROR(__xludf.DUMMYFUNCTION("""COMPUTED_VALUE"""),"这台机器可以帮助我们更快地完成工作。")</f>
        <v>这台机器可以帮助我们更快地完成工作。</v>
      </c>
      <c r="I1817" s="13"/>
      <c r="J1817" s="13" t="str">
        <f ca="1">IFERROR(__xludf.DUMMYFUNCTION("""COMPUTED_VALUE"""),"Chiếc máy này có thể giúp chúng tôi hoàn thành công việc nhanh hơn.")</f>
        <v>Chiếc máy này có thể giúp chúng tôi hoàn thành công việc nhanh hơn.</v>
      </c>
      <c r="K1817" s="13" t="str">
        <f ca="1">IFERROR(__xludf.DUMMYFUNCTION("""COMPUTED_VALUE"""),"H5_B13_BG-04.png")</f>
        <v>H5_B13_BG-04.png</v>
      </c>
      <c r="L1817" s="13" t="str">
        <f ca="1">IFERROR(__xludf.DUMMYFUNCTION("""COMPUTED_VALUE"""),"B13_4.mp3")</f>
        <v>B13_4.mp3</v>
      </c>
      <c r="M1817" s="13" t="str">
        <f ca="1">IFERROR(__xludf.DUMMYFUNCTION("""COMPUTED_VALUE"""),"B13_VD_4.mp3")</f>
        <v>B13_VD_4.mp3</v>
      </c>
    </row>
    <row r="1818" spans="1:13">
      <c r="A1818" s="13">
        <f ca="1">IFERROR(__xludf.DUMMYFUNCTION("""COMPUTED_VALUE"""),5)</f>
        <v>5</v>
      </c>
      <c r="B1818" s="13"/>
      <c r="C1818" s="13" t="str">
        <f ca="1">IFERROR(__xludf.DUMMYFUNCTION("""COMPUTED_VALUE"""),"项目")</f>
        <v>项目</v>
      </c>
      <c r="D1818" s="13" t="str">
        <f ca="1">IFERROR(__xludf.DUMMYFUNCTION("""COMPUTED_VALUE"""),"&lt;ruby&gt;项目&lt;rt&gt;xiàngmù&lt;/rt&gt;&lt;/ruby&gt;")</f>
        <v>&lt;ruby&gt;项目&lt;rt&gt;xiàngmù&lt;/rt&gt;&lt;/ruby&gt;</v>
      </c>
      <c r="E1818" s="13" t="str">
        <f ca="1">IFERROR(__xludf.DUMMYFUNCTION("""COMPUTED_VALUE"""),"xiàngmù")</f>
        <v>xiàngmù</v>
      </c>
      <c r="F1818" s="13" t="str">
        <f ca="1">IFERROR(__xludf.DUMMYFUNCTION("""COMPUTED_VALUE"""),"Danh từ")</f>
        <v>Danh từ</v>
      </c>
      <c r="G1818" s="13" t="str">
        <f ca="1">IFERROR(__xludf.DUMMYFUNCTION("""COMPUTED_VALUE"""),"hạng mục")</f>
        <v>hạng mục</v>
      </c>
      <c r="H1818" s="13" t="str">
        <f ca="1">IFERROR(__xludf.DUMMYFUNCTION("""COMPUTED_VALUE"""),"会议结束后，我们每个人被分配了不同的项目。")</f>
        <v>会议结束后，我们每个人被分配了不同的项目。</v>
      </c>
      <c r="I1818" s="13"/>
      <c r="J1818" s="13" t="str">
        <f ca="1">IFERROR(__xludf.DUMMYFUNCTION("""COMPUTED_VALUE"""),"Sau cuộc họp chúng tôi mỗi người được phân công một hạng mục khác nhau.")</f>
        <v>Sau cuộc họp chúng tôi mỗi người được phân công một hạng mục khác nhau.</v>
      </c>
      <c r="K1818" s="13" t="str">
        <f ca="1">IFERROR(__xludf.DUMMYFUNCTION("""COMPUTED_VALUE"""),"H5_B13_BG-05.png")</f>
        <v>H5_B13_BG-05.png</v>
      </c>
      <c r="L1818" s="13" t="str">
        <f ca="1">IFERROR(__xludf.DUMMYFUNCTION("""COMPUTED_VALUE"""),"B13_5.mp3")</f>
        <v>B13_5.mp3</v>
      </c>
      <c r="M1818" s="13" t="str">
        <f ca="1">IFERROR(__xludf.DUMMYFUNCTION("""COMPUTED_VALUE"""),"B13_VD_5.mp3")</f>
        <v>B13_VD_5.mp3</v>
      </c>
    </row>
    <row r="1819" spans="1:13">
      <c r="A1819" s="13">
        <f ca="1">IFERROR(__xludf.DUMMYFUNCTION("""COMPUTED_VALUE"""),6)</f>
        <v>6</v>
      </c>
      <c r="B1819" s="13"/>
      <c r="C1819" s="13" t="str">
        <f ca="1">IFERROR(__xludf.DUMMYFUNCTION("""COMPUTED_VALUE"""),"造成")</f>
        <v>造成</v>
      </c>
      <c r="D1819" s="13" t="str">
        <f ca="1">IFERROR(__xludf.DUMMYFUNCTION("""COMPUTED_VALUE"""),"&lt;ruby&gt;造成&lt;rt&gt;zàochéng&lt;/rt&gt;&lt;/ruby&gt;")</f>
        <v>&lt;ruby&gt;造成&lt;rt&gt;zàochéng&lt;/rt&gt;&lt;/ruby&gt;</v>
      </c>
      <c r="E1819" s="13" t="str">
        <f ca="1">IFERROR(__xludf.DUMMYFUNCTION("""COMPUTED_VALUE"""),"zàochéng")</f>
        <v>zàochéng</v>
      </c>
      <c r="F1819" s="13" t="str">
        <f ca="1">IFERROR(__xludf.DUMMYFUNCTION("""COMPUTED_VALUE"""),"Động từ ")</f>
        <v xml:space="preserve">Động từ </v>
      </c>
      <c r="G1819" s="13" t="str">
        <f ca="1">IFERROR(__xludf.DUMMYFUNCTION("""COMPUTED_VALUE"""),"tạo thành, gây ra")</f>
        <v>tạo thành, gây ra</v>
      </c>
      <c r="H1819" s="13" t="str">
        <f ca="1">IFERROR(__xludf.DUMMYFUNCTION("""COMPUTED_VALUE"""),"大雨造成了严重的交通堵塞。")</f>
        <v>大雨造成了严重的交通堵塞。</v>
      </c>
      <c r="I1819" s="13"/>
      <c r="J1819" s="13" t="str">
        <f ca="1">IFERROR(__xludf.DUMMYFUNCTION("""COMPUTED_VALUE"""),"Mưa lớn đã gây ra tình trạng tắc nghẽn giao thông nghiêm trọng.")</f>
        <v>Mưa lớn đã gây ra tình trạng tắc nghẽn giao thông nghiêm trọng.</v>
      </c>
      <c r="K1819" s="13" t="str">
        <f ca="1">IFERROR(__xludf.DUMMYFUNCTION("""COMPUTED_VALUE"""),"H5_B13_BG-06.png")</f>
        <v>H5_B13_BG-06.png</v>
      </c>
      <c r="L1819" s="13" t="str">
        <f ca="1">IFERROR(__xludf.DUMMYFUNCTION("""COMPUTED_VALUE"""),"B13_6.mp3")</f>
        <v>B13_6.mp3</v>
      </c>
      <c r="M1819" s="13" t="str">
        <f ca="1">IFERROR(__xludf.DUMMYFUNCTION("""COMPUTED_VALUE"""),"B13_VD_6.mp3")</f>
        <v>B13_VD_6.mp3</v>
      </c>
    </row>
    <row r="1820" spans="1:13">
      <c r="A1820" s="13">
        <f ca="1">IFERROR(__xludf.DUMMYFUNCTION("""COMPUTED_VALUE"""),7)</f>
        <v>7</v>
      </c>
      <c r="B1820" s="13"/>
      <c r="C1820" s="13" t="str">
        <f ca="1">IFERROR(__xludf.DUMMYFUNCTION("""COMPUTED_VALUE"""),"装")</f>
        <v>装</v>
      </c>
      <c r="D1820" s="13" t="str">
        <f ca="1">IFERROR(__xludf.DUMMYFUNCTION("""COMPUTED_VALUE"""),"&lt;ruby&gt;装&lt;rt&gt;zhuāng&lt;/rt&gt;&lt;/ruby&gt;")</f>
        <v>&lt;ruby&gt;装&lt;rt&gt;zhuāng&lt;/rt&gt;&lt;/ruby&gt;</v>
      </c>
      <c r="E1820" s="13" t="str">
        <f ca="1">IFERROR(__xludf.DUMMYFUNCTION("""COMPUTED_VALUE"""),"zhuāng")</f>
        <v>zhuāng</v>
      </c>
      <c r="F1820" s="13" t="str">
        <f ca="1">IFERROR(__xludf.DUMMYFUNCTION("""COMPUTED_VALUE"""),"Động từ ")</f>
        <v xml:space="preserve">Động từ </v>
      </c>
      <c r="G1820" s="13" t="str">
        <f ca="1">IFERROR(__xludf.DUMMYFUNCTION("""COMPUTED_VALUE"""),"đựng, để vào ")</f>
        <v xml:space="preserve">đựng, để vào </v>
      </c>
      <c r="H1820" s="13" t="str">
        <f ca="1">IFERROR(__xludf.DUMMYFUNCTION("""COMPUTED_VALUE"""),"她把很多东西装进了行李箱。")</f>
        <v>她把很多东西装进了行李箱。</v>
      </c>
      <c r="I1820" s="13"/>
      <c r="J1820" s="13" t="str">
        <f ca="1">IFERROR(__xludf.DUMMYFUNCTION("""COMPUTED_VALUE"""),"Cô ấy đã đựng rất nhiều đồ vào trong vali.")</f>
        <v>Cô ấy đã đựng rất nhiều đồ vào trong vali.</v>
      </c>
      <c r="K1820" s="13" t="str">
        <f ca="1">IFERROR(__xludf.DUMMYFUNCTION("""COMPUTED_VALUE"""),"H5_B13_BG-07.png")</f>
        <v>H5_B13_BG-07.png</v>
      </c>
      <c r="L1820" s="13" t="str">
        <f ca="1">IFERROR(__xludf.DUMMYFUNCTION("""COMPUTED_VALUE"""),"B13_7.mp3")</f>
        <v>B13_7.mp3</v>
      </c>
      <c r="M1820" s="13" t="str">
        <f ca="1">IFERROR(__xludf.DUMMYFUNCTION("""COMPUTED_VALUE"""),"B13_VD_7.mp3")</f>
        <v>B13_VD_7.mp3</v>
      </c>
    </row>
    <row r="1821" spans="1:13">
      <c r="A1821" s="13">
        <f ca="1">IFERROR(__xludf.DUMMYFUNCTION("""COMPUTED_VALUE"""),8)</f>
        <v>8</v>
      </c>
      <c r="B1821" s="13"/>
      <c r="C1821" s="13" t="str">
        <f ca="1">IFERROR(__xludf.DUMMYFUNCTION("""COMPUTED_VALUE"""),"锯子")</f>
        <v>锯子</v>
      </c>
      <c r="D1821" s="13" t="str">
        <f ca="1">IFERROR(__xludf.DUMMYFUNCTION("""COMPUTED_VALUE"""),"&lt;ruby&gt;锯子&lt;rt&gt;jùzi&lt;/rt&gt;&lt;/ruby&gt;")</f>
        <v>&lt;ruby&gt;锯子&lt;rt&gt;jùzi&lt;/rt&gt;&lt;/ruby&gt;</v>
      </c>
      <c r="E1821" s="13" t="str">
        <f ca="1">IFERROR(__xludf.DUMMYFUNCTION("""COMPUTED_VALUE"""),"jùzi")</f>
        <v>jùzi</v>
      </c>
      <c r="F1821" s="13" t="str">
        <f ca="1">IFERROR(__xludf.DUMMYFUNCTION("""COMPUTED_VALUE"""),"Động từ /Danh từ")</f>
        <v>Động từ /Danh từ</v>
      </c>
      <c r="G1821" s="13" t="str">
        <f ca="1">IFERROR(__xludf.DUMMYFUNCTION("""COMPUTED_VALUE"""),"cái cưa")</f>
        <v>cái cưa</v>
      </c>
      <c r="H1821" s="13" t="str">
        <f ca="1">IFERROR(__xludf.DUMMYFUNCTION("""COMPUTED_VALUE"""),"他用锯子把木头锯成了两段。")</f>
        <v>他用锯子把木头锯成了两段。</v>
      </c>
      <c r="I1821" s="13"/>
      <c r="J1821" s="13" t="str">
        <f ca="1">IFERROR(__xludf.DUMMYFUNCTION("""COMPUTED_VALUE"""),"Anh ấy đã dùng cái cưa cắt khúc gỗ thành hai phần.")</f>
        <v>Anh ấy đã dùng cái cưa cắt khúc gỗ thành hai phần.</v>
      </c>
      <c r="K1821" s="13" t="str">
        <f ca="1">IFERROR(__xludf.DUMMYFUNCTION("""COMPUTED_VALUE"""),"H5_B13_BG-08.png")</f>
        <v>H5_B13_BG-08.png</v>
      </c>
      <c r="L1821" s="13" t="str">
        <f ca="1">IFERROR(__xludf.DUMMYFUNCTION("""COMPUTED_VALUE"""),"B13_8.mp3")</f>
        <v>B13_8.mp3</v>
      </c>
      <c r="M1821" s="13" t="str">
        <f ca="1">IFERROR(__xludf.DUMMYFUNCTION("""COMPUTED_VALUE"""),"B13_VD_8.mp3")</f>
        <v>B13_VD_8.mp3</v>
      </c>
    </row>
    <row r="1822" spans="1:13">
      <c r="A1822" s="13">
        <f ca="1">IFERROR(__xludf.DUMMYFUNCTION("""COMPUTED_VALUE"""),9)</f>
        <v>9</v>
      </c>
      <c r="B1822" s="13"/>
      <c r="C1822" s="13" t="str">
        <f ca="1">IFERROR(__xludf.DUMMYFUNCTION("""COMPUTED_VALUE"""),"栏杆")</f>
        <v>栏杆</v>
      </c>
      <c r="D1822" s="13" t="str">
        <f ca="1">IFERROR(__xludf.DUMMYFUNCTION("""COMPUTED_VALUE"""),"&lt;ruby&gt;栏杆&lt;rt&gt;lángān&lt;/rt&gt;&lt;/ruby&gt;")</f>
        <v>&lt;ruby&gt;栏杆&lt;rt&gt;lángān&lt;/rt&gt;&lt;/ruby&gt;</v>
      </c>
      <c r="E1822" s="13" t="str">
        <f ca="1">IFERROR(__xludf.DUMMYFUNCTION("""COMPUTED_VALUE"""),"lángān")</f>
        <v>lángān</v>
      </c>
      <c r="F1822" s="13" t="str">
        <f ca="1">IFERROR(__xludf.DUMMYFUNCTION("""COMPUTED_VALUE"""),"Danh từ")</f>
        <v>Danh từ</v>
      </c>
      <c r="G1822" s="13" t="str">
        <f ca="1">IFERROR(__xludf.DUMMYFUNCTION("""COMPUTED_VALUE"""),"hàng lan can")</f>
        <v>hàng lan can</v>
      </c>
      <c r="H1822" s="13" t="str">
        <f ca="1">IFERROR(__xludf.DUMMYFUNCTION("""COMPUTED_VALUE"""),"这座桥的栏杆很漂亮。")</f>
        <v>这座桥的栏杆很漂亮。</v>
      </c>
      <c r="I1822" s="13"/>
      <c r="J1822" s="13" t="str">
        <f ca="1">IFERROR(__xludf.DUMMYFUNCTION("""COMPUTED_VALUE"""),"Lan can của cây cầu này rất đẹp.")</f>
        <v>Lan can của cây cầu này rất đẹp.</v>
      </c>
      <c r="K1822" s="13" t="str">
        <f ca="1">IFERROR(__xludf.DUMMYFUNCTION("""COMPUTED_VALUE"""),"H5_B13_BG-09.png")</f>
        <v>H5_B13_BG-09.png</v>
      </c>
      <c r="L1822" s="13" t="str">
        <f ca="1">IFERROR(__xludf.DUMMYFUNCTION("""COMPUTED_VALUE"""),"B13_9.mp3")</f>
        <v>B13_9.mp3</v>
      </c>
      <c r="M1822" s="13" t="str">
        <f ca="1">IFERROR(__xludf.DUMMYFUNCTION("""COMPUTED_VALUE"""),"B13_VD_9.mp3")</f>
        <v>B13_VD_9.mp3</v>
      </c>
    </row>
    <row r="1823" spans="1:13">
      <c r="A1823" s="13">
        <f ca="1">IFERROR(__xludf.DUMMYFUNCTION("""COMPUTED_VALUE"""),10)</f>
        <v>10</v>
      </c>
      <c r="B1823" s="13"/>
      <c r="C1823" s="13" t="str">
        <f ca="1">IFERROR(__xludf.DUMMYFUNCTION("""COMPUTED_VALUE"""),"思维")</f>
        <v>思维</v>
      </c>
      <c r="D1823" s="13" t="str">
        <f ca="1">IFERROR(__xludf.DUMMYFUNCTION("""COMPUTED_VALUE"""),"&lt;ruby&gt;思维&lt;rt&gt;sīwéi&lt;/rt&gt;&lt;/ruby&gt;")</f>
        <v>&lt;ruby&gt;思维&lt;rt&gt;sīwéi&lt;/rt&gt;&lt;/ruby&gt;</v>
      </c>
      <c r="E1823" s="13" t="str">
        <f ca="1">IFERROR(__xludf.DUMMYFUNCTION("""COMPUTED_VALUE"""),"sīwéi")</f>
        <v>sīwéi</v>
      </c>
      <c r="F1823" s="13" t="str">
        <f ca="1">IFERROR(__xludf.DUMMYFUNCTION("""COMPUTED_VALUE"""),"Danh từ/Động từ ")</f>
        <v xml:space="preserve">Danh từ/Động từ </v>
      </c>
      <c r="G1823" s="13" t="str">
        <f ca="1">IFERROR(__xludf.DUMMYFUNCTION("""COMPUTED_VALUE"""),"tư duy, suy nghĩ ")</f>
        <v xml:space="preserve">tư duy, suy nghĩ </v>
      </c>
      <c r="H1823" s="13" t="str">
        <f ca="1">IFERROR(__xludf.DUMMYFUNCTION("""COMPUTED_VALUE"""),"他的思维非常灵活，总能想到解决问题的方法。")</f>
        <v>他的思维非常灵活，总能想到解决问题的方法。</v>
      </c>
      <c r="I1823" s="13"/>
      <c r="J1823" s="13" t="str">
        <f ca="1">IFERROR(__xludf.DUMMYFUNCTION("""COMPUTED_VALUE"""),"Tư duy của anh ấy rất linh hoạt, luôn có thể nghĩ ra các phương án giải quyết khác nhau.")</f>
        <v>Tư duy của anh ấy rất linh hoạt, luôn có thể nghĩ ra các phương án giải quyết khác nhau.</v>
      </c>
      <c r="K1823" s="13" t="str">
        <f ca="1">IFERROR(__xludf.DUMMYFUNCTION("""COMPUTED_VALUE"""),"H5_B13_BG-10.png")</f>
        <v>H5_B13_BG-10.png</v>
      </c>
      <c r="L1823" s="13" t="str">
        <f ca="1">IFERROR(__xludf.DUMMYFUNCTION("""COMPUTED_VALUE"""),"B13_10.mp3")</f>
        <v>B13_10.mp3</v>
      </c>
      <c r="M1823" s="13" t="str">
        <f ca="1">IFERROR(__xludf.DUMMYFUNCTION("""COMPUTED_VALUE"""),"B13_VD_10.mp3")</f>
        <v>B13_VD_10.mp3</v>
      </c>
    </row>
    <row r="1824" spans="1:13">
      <c r="A1824" s="13">
        <f ca="1">IFERROR(__xludf.DUMMYFUNCTION("""COMPUTED_VALUE"""),11)</f>
        <v>11</v>
      </c>
      <c r="B1824" s="13"/>
      <c r="C1824" s="13" t="str">
        <f ca="1">IFERROR(__xludf.DUMMYFUNCTION("""COMPUTED_VALUE"""),"阻碍")</f>
        <v>阻碍</v>
      </c>
      <c r="D1824" s="13" t="str">
        <f ca="1">IFERROR(__xludf.DUMMYFUNCTION("""COMPUTED_VALUE"""),"&lt;ruby&gt;阻碍&lt;rt&gt;zǔ'ài&lt;/rt&gt;&lt;/ruby&gt;")</f>
        <v>&lt;ruby&gt;阻碍&lt;rt&gt;zǔ'ài&lt;/rt&gt;&lt;/ruby&gt;</v>
      </c>
      <c r="E1824" s="13" t="str">
        <f ca="1">IFERROR(__xludf.DUMMYFUNCTION("""COMPUTED_VALUE"""),"zǔ'ài")</f>
        <v>zǔ'ài</v>
      </c>
      <c r="F1824" s="13" t="str">
        <f ca="1">IFERROR(__xludf.DUMMYFUNCTION("""COMPUTED_VALUE"""),"Động từ ")</f>
        <v xml:space="preserve">Động từ </v>
      </c>
      <c r="G1824" s="13" t="str">
        <f ca="1">IFERROR(__xludf.DUMMYFUNCTION("""COMPUTED_VALUE"""),"ngăn cản, cản trở ")</f>
        <v xml:space="preserve">ngăn cản, cản trở </v>
      </c>
      <c r="H1824" s="13" t="str">
        <f ca="1">IFERROR(__xludf.DUMMYFUNCTION("""COMPUTED_VALUE"""),"贫穷阻碍了这个孩子的学习机会。")</f>
        <v>贫穷阻碍了这个孩子的学习机会。</v>
      </c>
      <c r="I1824" s="13"/>
      <c r="J1824" s="13" t="str">
        <f ca="1">IFERROR(__xludf.DUMMYFUNCTION("""COMPUTED_VALUE"""),"Nghèo đói đã cản trở cơ hội học tập của cậu bé này.")</f>
        <v>Nghèo đói đã cản trở cơ hội học tập của cậu bé này.</v>
      </c>
      <c r="K1824" s="13" t="str">
        <f ca="1">IFERROR(__xludf.DUMMYFUNCTION("""COMPUTED_VALUE"""),"H5_B13_BG-11.png")</f>
        <v>H5_B13_BG-11.png</v>
      </c>
      <c r="L1824" s="13" t="str">
        <f ca="1">IFERROR(__xludf.DUMMYFUNCTION("""COMPUTED_VALUE"""),"B13_11.mp3")</f>
        <v>B13_11.mp3</v>
      </c>
      <c r="M1824" s="13" t="str">
        <f ca="1">IFERROR(__xludf.DUMMYFUNCTION("""COMPUTED_VALUE"""),"B13_VD_11.mp3")</f>
        <v>B13_VD_11.mp3</v>
      </c>
    </row>
    <row r="1825" spans="1:13">
      <c r="A1825" s="13">
        <f ca="1">IFERROR(__xludf.DUMMYFUNCTION("""COMPUTED_VALUE"""),12)</f>
        <v>12</v>
      </c>
      <c r="B1825" s="13"/>
      <c r="C1825" s="13" t="str">
        <f ca="1">IFERROR(__xludf.DUMMYFUNCTION("""COMPUTED_VALUE"""),"踩")</f>
        <v>踩</v>
      </c>
      <c r="D1825" s="13" t="str">
        <f ca="1">IFERROR(__xludf.DUMMYFUNCTION("""COMPUTED_VALUE"""),"&lt;ruby&gt;踩&lt;rt&gt;căi&lt;/rt&gt;&lt;/ruby&gt;")</f>
        <v>&lt;ruby&gt;踩&lt;rt&gt;căi&lt;/rt&gt;&lt;/ruby&gt;</v>
      </c>
      <c r="E1825" s="13" t="str">
        <f ca="1">IFERROR(__xludf.DUMMYFUNCTION("""COMPUTED_VALUE"""),"căi")</f>
        <v>căi</v>
      </c>
      <c r="F1825" s="13" t="str">
        <f ca="1">IFERROR(__xludf.DUMMYFUNCTION("""COMPUTED_VALUE"""),"Động từ ")</f>
        <v xml:space="preserve">Động từ </v>
      </c>
      <c r="G1825" s="13" t="str">
        <f ca="1">IFERROR(__xludf.DUMMYFUNCTION("""COMPUTED_VALUE"""),"giẫm, đạp")</f>
        <v>giẫm, đạp</v>
      </c>
      <c r="H1825" s="13" t="str">
        <f ca="1">IFERROR(__xludf.DUMMYFUNCTION("""COMPUTED_VALUE"""),"我不小心踩到地上的水摔倒了。")</f>
        <v>我不小心踩到地上的水摔倒了。</v>
      </c>
      <c r="I1825" s="13"/>
      <c r="J1825" s="13" t="str">
        <f ca="1">IFERROR(__xludf.DUMMYFUNCTION("""COMPUTED_VALUE"""),"Không may tôi đã bị ngã do giẫm vào vũng nước trên sàn.")</f>
        <v>Không may tôi đã bị ngã do giẫm vào vũng nước trên sàn.</v>
      </c>
      <c r="K1825" s="13" t="str">
        <f ca="1">IFERROR(__xludf.DUMMYFUNCTION("""COMPUTED_VALUE"""),"H5_B13_BG-12.png")</f>
        <v>H5_B13_BG-12.png</v>
      </c>
      <c r="L1825" s="13" t="str">
        <f ca="1">IFERROR(__xludf.DUMMYFUNCTION("""COMPUTED_VALUE"""),"B13_12.mp3")</f>
        <v>B13_12.mp3</v>
      </c>
      <c r="M1825" s="13" t="str">
        <f ca="1">IFERROR(__xludf.DUMMYFUNCTION("""COMPUTED_VALUE"""),"B13_VD_12.mp3")</f>
        <v>B13_VD_12.mp3</v>
      </c>
    </row>
    <row r="1826" spans="1:13">
      <c r="A1826" s="13">
        <f ca="1">IFERROR(__xludf.DUMMYFUNCTION("""COMPUTED_VALUE"""),13)</f>
        <v>13</v>
      </c>
      <c r="B1826" s="13"/>
      <c r="C1826" s="13" t="str">
        <f ca="1">IFERROR(__xludf.DUMMYFUNCTION("""COMPUTED_VALUE"""),"重复")</f>
        <v>重复</v>
      </c>
      <c r="D1826" s="13" t="str">
        <f ca="1">IFERROR(__xludf.DUMMYFUNCTION("""COMPUTED_VALUE"""),"&lt;ruby&gt;重复&lt;rt&gt;chóngfù&lt;/rt&gt;&lt;/ruby&gt;")</f>
        <v>&lt;ruby&gt;重复&lt;rt&gt;chóngfù&lt;/rt&gt;&lt;/ruby&gt;</v>
      </c>
      <c r="E1826" s="13" t="str">
        <f ca="1">IFERROR(__xludf.DUMMYFUNCTION("""COMPUTED_VALUE"""),"chóngfù")</f>
        <v>chóngfù</v>
      </c>
      <c r="F1826" s="13" t="str">
        <f ca="1">IFERROR(__xludf.DUMMYFUNCTION("""COMPUTED_VALUE"""),"Động từ ")</f>
        <v xml:space="preserve">Động từ </v>
      </c>
      <c r="G1826" s="13" t="str">
        <f ca="1">IFERROR(__xludf.DUMMYFUNCTION("""COMPUTED_VALUE"""),"lặp lại, lại")</f>
        <v>lặp lại, lại</v>
      </c>
      <c r="H1826" s="13" t="str">
        <f ca="1">IFERROR(__xludf.DUMMYFUNCTION("""COMPUTED_VALUE"""),"这本书非常有趣，我已经重复读了很多次。")</f>
        <v>这本书非常有趣，我已经重复读了很多次。</v>
      </c>
      <c r="I1826" s="13"/>
      <c r="J1826" s="13" t="str">
        <f ca="1">IFERROR(__xludf.DUMMYFUNCTION("""COMPUTED_VALUE"""),"Quyển sách này rất hay tôi đã đọc lại nó nhiều lần.")</f>
        <v>Quyển sách này rất hay tôi đã đọc lại nó nhiều lần.</v>
      </c>
      <c r="K1826" s="13" t="str">
        <f ca="1">IFERROR(__xludf.DUMMYFUNCTION("""COMPUTED_VALUE"""),"H5_B13_BG-13.png")</f>
        <v>H5_B13_BG-13.png</v>
      </c>
      <c r="L1826" s="13" t="str">
        <f ca="1">IFERROR(__xludf.DUMMYFUNCTION("""COMPUTED_VALUE"""),"B13_13.mp3")</f>
        <v>B13_13.mp3</v>
      </c>
      <c r="M1826" s="13" t="str">
        <f ca="1">IFERROR(__xludf.DUMMYFUNCTION("""COMPUTED_VALUE"""),"B13_VD_13.mp3")</f>
        <v>B13_VD_13.mp3</v>
      </c>
    </row>
    <row r="1827" spans="1:13">
      <c r="A1827" s="13">
        <f ca="1">IFERROR(__xludf.DUMMYFUNCTION("""COMPUTED_VALUE"""),14)</f>
        <v>14</v>
      </c>
      <c r="B1827" s="13"/>
      <c r="C1827" s="13" t="str">
        <f ca="1">IFERROR(__xludf.DUMMYFUNCTION("""COMPUTED_VALUE"""),"激烈")</f>
        <v>激烈</v>
      </c>
      <c r="D1827" s="13" t="str">
        <f ca="1">IFERROR(__xludf.DUMMYFUNCTION("""COMPUTED_VALUE"""),"&lt;ruby&gt;激烈&lt;rt&gt;jīliè&lt;/rt&gt;&lt;/ruby&gt;")</f>
        <v>&lt;ruby&gt;激烈&lt;rt&gt;jīliè&lt;/rt&gt;&lt;/ruby&gt;</v>
      </c>
      <c r="E1827" s="13" t="str">
        <f ca="1">IFERROR(__xludf.DUMMYFUNCTION("""COMPUTED_VALUE"""),"jīliè")</f>
        <v>jīliè</v>
      </c>
      <c r="F1827" s="13" t="str">
        <f ca="1">IFERROR(__xludf.DUMMYFUNCTION("""COMPUTED_VALUE"""),"Tính từ")</f>
        <v>Tính từ</v>
      </c>
      <c r="G1827" s="13" t="str">
        <f ca="1">IFERROR(__xludf.DUMMYFUNCTION("""COMPUTED_VALUE"""),"kịch liệt, sôi nổi")</f>
        <v>kịch liệt, sôi nổi</v>
      </c>
      <c r="H1827" s="13" t="str">
        <f ca="1">IFERROR(__xludf.DUMMYFUNCTION("""COMPUTED_VALUE"""),"两队之间的比赛非常激烈，最终越南以3比2战胜了泰国。")</f>
        <v>两队之间的比赛非常激烈，最终越南以3比2战胜了泰国。</v>
      </c>
      <c r="I1827" s="13"/>
      <c r="J1827" s="13" t="str">
        <f ca="1">IFERROR(__xludf.DUMMYFUNCTION("""COMPUTED_VALUE"""),"Trận đấu giữa hai đội rất kịch liệt, cuối cùng Việt Nam đã thắng Thái Lan với tỉ số 3-2")</f>
        <v>Trận đấu giữa hai đội rất kịch liệt, cuối cùng Việt Nam đã thắng Thái Lan với tỉ số 3-2</v>
      </c>
      <c r="K1827" s="13" t="str">
        <f ca="1">IFERROR(__xludf.DUMMYFUNCTION("""COMPUTED_VALUE"""),"H5_B13_BG-14.png")</f>
        <v>H5_B13_BG-14.png</v>
      </c>
      <c r="L1827" s="13" t="str">
        <f ca="1">IFERROR(__xludf.DUMMYFUNCTION("""COMPUTED_VALUE"""),"B13_14.mp3")</f>
        <v>B13_14.mp3</v>
      </c>
      <c r="M1827" s="13" t="str">
        <f ca="1">IFERROR(__xludf.DUMMYFUNCTION("""COMPUTED_VALUE"""),"B13_VD_14.mp3")</f>
        <v>B13_VD_14.mp3</v>
      </c>
    </row>
    <row r="1828" spans="1:13">
      <c r="A1828" s="13">
        <f ca="1">IFERROR(__xludf.DUMMYFUNCTION("""COMPUTED_VALUE"""),15)</f>
        <v>15</v>
      </c>
      <c r="B1828" s="13"/>
      <c r="C1828" s="13" t="str">
        <f ca="1">IFERROR(__xludf.DUMMYFUNCTION("""COMPUTED_VALUE"""),"甲")</f>
        <v>甲</v>
      </c>
      <c r="D1828" s="13" t="str">
        <f ca="1">IFERROR(__xludf.DUMMYFUNCTION("""COMPUTED_VALUE"""),"&lt;ruby&gt;甲&lt;rt&gt;jiă&lt;/rt&gt;&lt;/ruby&gt;")</f>
        <v>&lt;ruby&gt;甲&lt;rt&gt;jiă&lt;/rt&gt;&lt;/ruby&gt;</v>
      </c>
      <c r="E1828" s="13" t="str">
        <f ca="1">IFERROR(__xludf.DUMMYFUNCTION("""COMPUTED_VALUE"""),"jiă")</f>
        <v>jiă</v>
      </c>
      <c r="F1828" s="13" t="str">
        <f ca="1">IFERROR(__xludf.DUMMYFUNCTION("""COMPUTED_VALUE"""),"Danh từ")</f>
        <v>Danh từ</v>
      </c>
      <c r="G1828" s="13" t="str">
        <f ca="1">IFERROR(__xludf.DUMMYFUNCTION("""COMPUTED_VALUE"""),"người (đội) thứ nhất ")</f>
        <v xml:space="preserve">người (đội) thứ nhất </v>
      </c>
      <c r="H1828" s="13" t="str">
        <f ca="1">IFERROR(__xludf.DUMMYFUNCTION("""COMPUTED_VALUE"""),"在这场比赛中，甲队赢了乙队。")</f>
        <v>在这场比赛中，甲队赢了乙队。</v>
      </c>
      <c r="I1828" s="13"/>
      <c r="J1828" s="13" t="str">
        <f ca="1">IFERROR(__xludf.DUMMYFUNCTION("""COMPUTED_VALUE"""),"Ở trận đấu này, đội A đã thắng đội B.")</f>
        <v>Ở trận đấu này, đội A đã thắng đội B.</v>
      </c>
      <c r="K1828" s="13" t="str">
        <f ca="1">IFERROR(__xludf.DUMMYFUNCTION("""COMPUTED_VALUE"""),"H5_B13_BG-15.png")</f>
        <v>H5_B13_BG-15.png</v>
      </c>
      <c r="L1828" s="13" t="str">
        <f ca="1">IFERROR(__xludf.DUMMYFUNCTION("""COMPUTED_VALUE"""),"B13_15.mp3")</f>
        <v>B13_15.mp3</v>
      </c>
      <c r="M1828" s="13" t="str">
        <f ca="1">IFERROR(__xludf.DUMMYFUNCTION("""COMPUTED_VALUE"""),"B13_VD_15.mp3")</f>
        <v>B13_VD_15.mp3</v>
      </c>
    </row>
    <row r="1829" spans="1:13">
      <c r="A1829" s="13">
        <f ca="1">IFERROR(__xludf.DUMMYFUNCTION("""COMPUTED_VALUE"""),16)</f>
        <v>16</v>
      </c>
      <c r="B1829" s="13"/>
      <c r="C1829" s="13" t="str">
        <f ca="1">IFERROR(__xludf.DUMMYFUNCTION("""COMPUTED_VALUE"""),"瞧")</f>
        <v>瞧</v>
      </c>
      <c r="D1829" s="13" t="str">
        <f ca="1">IFERROR(__xludf.DUMMYFUNCTION("""COMPUTED_VALUE"""),"&lt;ruby&gt;瞧&lt;rt&gt;qiáo&lt;/rt&gt;&lt;/ruby&gt;")</f>
        <v>&lt;ruby&gt;瞧&lt;rt&gt;qiáo&lt;/rt&gt;&lt;/ruby&gt;</v>
      </c>
      <c r="E1829" s="13" t="str">
        <f ca="1">IFERROR(__xludf.DUMMYFUNCTION("""COMPUTED_VALUE"""),"qiáo")</f>
        <v>qiáo</v>
      </c>
      <c r="F1829" s="13" t="str">
        <f ca="1">IFERROR(__xludf.DUMMYFUNCTION("""COMPUTED_VALUE"""),"Động từ ")</f>
        <v xml:space="preserve">Động từ </v>
      </c>
      <c r="G1829" s="13" t="str">
        <f ca="1">IFERROR(__xludf.DUMMYFUNCTION("""COMPUTED_VALUE"""),"nhìn")</f>
        <v>nhìn</v>
      </c>
      <c r="H1829" s="13" t="str">
        <f ca="1">IFERROR(__xludf.DUMMYFUNCTION("""COMPUTED_VALUE"""),"瞧，这些小猫多可爱！")</f>
        <v>瞧，这些小猫多可爱！</v>
      </c>
      <c r="I1829" s="13"/>
      <c r="J1829" s="13" t="str">
        <f ca="1">IFERROR(__xludf.DUMMYFUNCTION("""COMPUTED_VALUE"""),"Nhìn này, những chú mèo này đẹp thật!")</f>
        <v>Nhìn này, những chú mèo này đẹp thật!</v>
      </c>
      <c r="K1829" s="13" t="str">
        <f ca="1">IFERROR(__xludf.DUMMYFUNCTION("""COMPUTED_VALUE"""),"H5_B13_BG-16.png")</f>
        <v>H5_B13_BG-16.png</v>
      </c>
      <c r="L1829" s="13" t="str">
        <f ca="1">IFERROR(__xludf.DUMMYFUNCTION("""COMPUTED_VALUE"""),"B13_16.mp3")</f>
        <v>B13_16.mp3</v>
      </c>
      <c r="M1829" s="13" t="str">
        <f ca="1">IFERROR(__xludf.DUMMYFUNCTION("""COMPUTED_VALUE"""),"B13_VD_16.mp3")</f>
        <v>B13_VD_16.mp3</v>
      </c>
    </row>
    <row r="1830" spans="1:13">
      <c r="A1830" s="13">
        <f ca="1">IFERROR(__xludf.DUMMYFUNCTION("""COMPUTED_VALUE"""),17)</f>
        <v>17</v>
      </c>
      <c r="B1830" s="13"/>
      <c r="C1830" s="13" t="str">
        <f ca="1">IFERROR(__xludf.DUMMYFUNCTION("""COMPUTED_VALUE"""),"球迷")</f>
        <v>球迷</v>
      </c>
      <c r="D1830" s="13" t="str">
        <f ca="1">IFERROR(__xludf.DUMMYFUNCTION("""COMPUTED_VALUE"""),"&lt;ruby&gt;球迷&lt;rt&gt;qiúmí&lt;/rt&gt;&lt;/ruby&gt;")</f>
        <v>&lt;ruby&gt;球迷&lt;rt&gt;qiúmí&lt;/rt&gt;&lt;/ruby&gt;</v>
      </c>
      <c r="E1830" s="13" t="str">
        <f ca="1">IFERROR(__xludf.DUMMYFUNCTION("""COMPUTED_VALUE"""),"qiúmí")</f>
        <v>qiúmí</v>
      </c>
      <c r="F1830" s="13" t="str">
        <f ca="1">IFERROR(__xludf.DUMMYFUNCTION("""COMPUTED_VALUE"""),"Danh từ")</f>
        <v>Danh từ</v>
      </c>
      <c r="G1830" s="13" t="str">
        <f ca="1">IFERROR(__xludf.DUMMYFUNCTION("""COMPUTED_VALUE"""),"người mê bóng")</f>
        <v>người mê bóng</v>
      </c>
      <c r="H1830" s="13" t="str">
        <f ca="1">IFERROR(__xludf.DUMMYFUNCTION("""COMPUTED_VALUE"""),"作为一个球迷，他每周都去球场训练。")</f>
        <v>作为一个球迷，他每周都去球场训练。</v>
      </c>
      <c r="I1830" s="13"/>
      <c r="J1830" s="13" t="str">
        <f ca="1">IFERROR(__xludf.DUMMYFUNCTION("""COMPUTED_VALUE"""),"Là một fan bóng đá, tuần nào a ấy cũng ra sân tập luyện.")</f>
        <v>Là một fan bóng đá, tuần nào a ấy cũng ra sân tập luyện.</v>
      </c>
      <c r="K1830" s="13" t="str">
        <f ca="1">IFERROR(__xludf.DUMMYFUNCTION("""COMPUTED_VALUE"""),"H5_B13_BG-17.png")</f>
        <v>H5_B13_BG-17.png</v>
      </c>
      <c r="L1830" s="13" t="str">
        <f ca="1">IFERROR(__xludf.DUMMYFUNCTION("""COMPUTED_VALUE"""),"B13_17.mp3")</f>
        <v>B13_17.mp3</v>
      </c>
      <c r="M1830" s="13" t="str">
        <f ca="1">IFERROR(__xludf.DUMMYFUNCTION("""COMPUTED_VALUE"""),"B13_VD_17.mp3")</f>
        <v>B13_VD_17.mp3</v>
      </c>
    </row>
    <row r="1831" spans="1:13">
      <c r="A1831" s="13">
        <f ca="1">IFERROR(__xludf.DUMMYFUNCTION("""COMPUTED_VALUE"""),18)</f>
        <v>18</v>
      </c>
      <c r="B1831" s="13"/>
      <c r="C1831" s="13" t="str">
        <f ca="1">IFERROR(__xludf.DUMMYFUNCTION("""COMPUTED_VALUE"""),"缺乏")</f>
        <v>缺乏</v>
      </c>
      <c r="D1831" s="13" t="str">
        <f ca="1">IFERROR(__xludf.DUMMYFUNCTION("""COMPUTED_VALUE"""),"&lt;ruby&gt;缺乏&lt;rt&gt;quēfá&lt;/rt&gt;&lt;/ruby&gt;")</f>
        <v>&lt;ruby&gt;缺乏&lt;rt&gt;quēfá&lt;/rt&gt;&lt;/ruby&gt;</v>
      </c>
      <c r="E1831" s="13" t="str">
        <f ca="1">IFERROR(__xludf.DUMMYFUNCTION("""COMPUTED_VALUE"""),"quēfá")</f>
        <v>quēfá</v>
      </c>
      <c r="F1831" s="13" t="str">
        <f ca="1">IFERROR(__xludf.DUMMYFUNCTION("""COMPUTED_VALUE"""),"Động từ ")</f>
        <v xml:space="preserve">Động từ </v>
      </c>
      <c r="G1831" s="13" t="str">
        <f ca="1">IFERROR(__xludf.DUMMYFUNCTION("""COMPUTED_VALUE"""),"thiếu, không dủ")</f>
        <v>thiếu, không dủ</v>
      </c>
      <c r="H1831" s="13" t="str">
        <f ca="1">IFERROR(__xludf.DUMMYFUNCTION("""COMPUTED_VALUE"""),"因为缺乏经验，我至今还没找到工作。")</f>
        <v>因为缺乏经验，我至今还没找到工作。</v>
      </c>
      <c r="I1831" s="13"/>
      <c r="J1831" s="13" t="str">
        <f ca="1">IFERROR(__xludf.DUMMYFUNCTION("""COMPUTED_VALUE"""),"Vì thiếu kinh nghiệm, nên tôi vẫn chưa tìm được việc làm.")</f>
        <v>Vì thiếu kinh nghiệm, nên tôi vẫn chưa tìm được việc làm.</v>
      </c>
      <c r="K1831" s="13" t="str">
        <f ca="1">IFERROR(__xludf.DUMMYFUNCTION("""COMPUTED_VALUE"""),"H5_B13_BG-18.png")</f>
        <v>H5_B13_BG-18.png</v>
      </c>
      <c r="L1831" s="13" t="str">
        <f ca="1">IFERROR(__xludf.DUMMYFUNCTION("""COMPUTED_VALUE"""),"B13_18.mp3")</f>
        <v>B13_18.mp3</v>
      </c>
      <c r="M1831" s="13" t="str">
        <f ca="1">IFERROR(__xludf.DUMMYFUNCTION("""COMPUTED_VALUE"""),"B13_VD_18.mp3")</f>
        <v>B13_VD_18.mp3</v>
      </c>
    </row>
    <row r="1832" spans="1:13">
      <c r="A1832" s="13">
        <f ca="1">IFERROR(__xludf.DUMMYFUNCTION("""COMPUTED_VALUE"""),19)</f>
        <v>19</v>
      </c>
      <c r="B1832" s="13"/>
      <c r="C1832" s="13" t="str">
        <f ca="1">IFERROR(__xludf.DUMMYFUNCTION("""COMPUTED_VALUE"""),"投篮")</f>
        <v>投篮</v>
      </c>
      <c r="D1832" s="13" t="str">
        <f ca="1">IFERROR(__xludf.DUMMYFUNCTION("""COMPUTED_VALUE"""),"&lt;ruby&gt;投篮&lt;rt&gt;tóu lán&lt;/rt&gt;&lt;/ruby&gt;")</f>
        <v>&lt;ruby&gt;投篮&lt;rt&gt;tóu lán&lt;/rt&gt;&lt;/ruby&gt;</v>
      </c>
      <c r="E1832" s="13" t="str">
        <f ca="1">IFERROR(__xludf.DUMMYFUNCTION("""COMPUTED_VALUE"""),"tóu lán")</f>
        <v>tóu lán</v>
      </c>
      <c r="F1832" s="13" t="str">
        <f ca="1">IFERROR(__xludf.DUMMYFUNCTION("""COMPUTED_VALUE"""),"Động từ ")</f>
        <v xml:space="preserve">Động từ </v>
      </c>
      <c r="G1832" s="13" t="str">
        <f ca="1">IFERROR(__xludf.DUMMYFUNCTION("""COMPUTED_VALUE"""),"ném bóng vào rổ")</f>
        <v>ném bóng vào rổ</v>
      </c>
      <c r="H1832" s="13" t="str">
        <f ca="1">IFERROR(__xludf.DUMMYFUNCTION("""COMPUTED_VALUE"""),"他每天都练习投篮，进步很快。")</f>
        <v>他每天都练习投篮，进步很快。</v>
      </c>
      <c r="I1832" s="13"/>
      <c r="J1832" s="13" t="str">
        <f ca="1">IFERROR(__xludf.DUMMYFUNCTION("""COMPUTED_VALUE"""),"Anh ấy mỗi ngày đều luyện tập ném bóng vào rổ, tiến bộ rất nhanh.")</f>
        <v>Anh ấy mỗi ngày đều luyện tập ném bóng vào rổ, tiến bộ rất nhanh.</v>
      </c>
      <c r="K1832" s="13" t="str">
        <f ca="1">IFERROR(__xludf.DUMMYFUNCTION("""COMPUTED_VALUE"""),"H5_B13_BG-19.png")</f>
        <v>H5_B13_BG-19.png</v>
      </c>
      <c r="L1832" s="13" t="str">
        <f ca="1">IFERROR(__xludf.DUMMYFUNCTION("""COMPUTED_VALUE"""),"B13_19.mp3")</f>
        <v>B13_19.mp3</v>
      </c>
      <c r="M1832" s="13" t="str">
        <f ca="1">IFERROR(__xludf.DUMMYFUNCTION("""COMPUTED_VALUE"""),"B13_VD_19.mp3")</f>
        <v>B13_VD_19.mp3</v>
      </c>
    </row>
    <row r="1833" spans="1:13">
      <c r="A1833" s="13">
        <f ca="1">IFERROR(__xludf.DUMMYFUNCTION("""COMPUTED_VALUE"""),20)</f>
        <v>20</v>
      </c>
      <c r="B1833" s="13"/>
      <c r="C1833" s="13" t="str">
        <f ca="1">IFERROR(__xludf.DUMMYFUNCTION("""COMPUTED_VALUE"""),"训练")</f>
        <v>训练</v>
      </c>
      <c r="D1833" s="13" t="str">
        <f ca="1">IFERROR(__xludf.DUMMYFUNCTION("""COMPUTED_VALUE"""),"&lt;ruby&gt;训练&lt;rt&gt;xùnliàn&lt;/rt&gt;&lt;/ruby&gt;")</f>
        <v>&lt;ruby&gt;训练&lt;rt&gt;xùnliàn&lt;/rt&gt;&lt;/ruby&gt;</v>
      </c>
      <c r="E1833" s="13" t="str">
        <f ca="1">IFERROR(__xludf.DUMMYFUNCTION("""COMPUTED_VALUE"""),"xùnliàn")</f>
        <v>xùnliàn</v>
      </c>
      <c r="F1833" s="13" t="str">
        <f ca="1">IFERROR(__xludf.DUMMYFUNCTION("""COMPUTED_VALUE"""),"Động từ ")</f>
        <v xml:space="preserve">Động từ </v>
      </c>
      <c r="G1833" s="13" t="str">
        <f ca="1">IFERROR(__xludf.DUMMYFUNCTION("""COMPUTED_VALUE"""),"huấn luyện")</f>
        <v>huấn luyện</v>
      </c>
      <c r="H1833" s="13" t="str">
        <f ca="1">IFERROR(__xludf.DUMMYFUNCTION("""COMPUTED_VALUE"""),"他正在训练自己的小狗。")</f>
        <v>他正在训练自己的小狗。</v>
      </c>
      <c r="I1833" s="13"/>
      <c r="J1833" s="13" t="str">
        <f ca="1">IFERROR(__xludf.DUMMYFUNCTION("""COMPUTED_VALUE"""),"Anh ấy đang huấn luyện chú chó của mình.")</f>
        <v>Anh ấy đang huấn luyện chú chó của mình.</v>
      </c>
      <c r="K1833" s="13" t="str">
        <f ca="1">IFERROR(__xludf.DUMMYFUNCTION("""COMPUTED_VALUE"""),"H5_B13_BG-20.png")</f>
        <v>H5_B13_BG-20.png</v>
      </c>
      <c r="L1833" s="13" t="str">
        <f ca="1">IFERROR(__xludf.DUMMYFUNCTION("""COMPUTED_VALUE"""),"B13_20.mp3")</f>
        <v>B13_20.mp3</v>
      </c>
      <c r="M1833" s="13" t="str">
        <f ca="1">IFERROR(__xludf.DUMMYFUNCTION("""COMPUTED_VALUE"""),"B13_VD_20.mp3")</f>
        <v>B13_VD_20.mp3</v>
      </c>
    </row>
    <row r="1834" spans="1:13">
      <c r="A1834" s="13">
        <f ca="1">IFERROR(__xludf.DUMMYFUNCTION("""COMPUTED_VALUE"""),21)</f>
        <v>21</v>
      </c>
      <c r="B1834" s="13"/>
      <c r="C1834" s="13" t="str">
        <f ca="1">IFERROR(__xludf.DUMMYFUNCTION("""COMPUTED_VALUE"""),"乙")</f>
        <v>乙</v>
      </c>
      <c r="D1834" s="13" t="str">
        <f ca="1">IFERROR(__xludf.DUMMYFUNCTION("""COMPUTED_VALUE"""),"&lt;ruby&gt;乙&lt;rt&gt;yǐ&lt;/rt&gt;&lt;/ruby&gt;")</f>
        <v>&lt;ruby&gt;乙&lt;rt&gt;yǐ&lt;/rt&gt;&lt;/ruby&gt;</v>
      </c>
      <c r="E1834" s="13" t="str">
        <f ca="1">IFERROR(__xludf.DUMMYFUNCTION("""COMPUTED_VALUE"""),"yǐ")</f>
        <v>yǐ</v>
      </c>
      <c r="F1834" s="13" t="str">
        <f ca="1">IFERROR(__xludf.DUMMYFUNCTION("""COMPUTED_VALUE"""),"Danh từ")</f>
        <v>Danh từ</v>
      </c>
      <c r="G1834" s="13" t="str">
        <f ca="1">IFERROR(__xludf.DUMMYFUNCTION("""COMPUTED_VALUE"""),"người (đội) thứ hai")</f>
        <v>người (đội) thứ hai</v>
      </c>
      <c r="H1834" s="13" t="str">
        <f ca="1">IFERROR(__xludf.DUMMYFUNCTION("""COMPUTED_VALUE"""),"在这场比赛中，乙队输给了甲队。")</f>
        <v>在这场比赛中，乙队输给了甲队。</v>
      </c>
      <c r="I1834" s="13"/>
      <c r="J1834" s="13" t="str">
        <f ca="1">IFERROR(__xludf.DUMMYFUNCTION("""COMPUTED_VALUE"""),"Ở trận đấu này, đội B đã thua đội A.")</f>
        <v>Ở trận đấu này, đội B đã thua đội A.</v>
      </c>
      <c r="K1834" s="13" t="str">
        <f ca="1">IFERROR(__xludf.DUMMYFUNCTION("""COMPUTED_VALUE"""),"H5_B13_BG-21.png")</f>
        <v>H5_B13_BG-21.png</v>
      </c>
      <c r="L1834" s="13" t="str">
        <f ca="1">IFERROR(__xludf.DUMMYFUNCTION("""COMPUTED_VALUE"""),"B13_21.mp3")</f>
        <v>B13_21.mp3</v>
      </c>
      <c r="M1834" s="13" t="str">
        <f ca="1">IFERROR(__xludf.DUMMYFUNCTION("""COMPUTED_VALUE"""),"B13_VD_21.mp3")</f>
        <v>B13_VD_21.mp3</v>
      </c>
    </row>
    <row r="1835" spans="1:13">
      <c r="A1835" s="13">
        <f ca="1">IFERROR(__xludf.DUMMYFUNCTION("""COMPUTED_VALUE"""),22)</f>
        <v>22</v>
      </c>
      <c r="B1835" s="13"/>
      <c r="C1835" s="13" t="str">
        <f ca="1">IFERROR(__xludf.DUMMYFUNCTION("""COMPUTED_VALUE"""),"顺畅")</f>
        <v>顺畅</v>
      </c>
      <c r="D1835" s="13" t="str">
        <f ca="1">IFERROR(__xludf.DUMMYFUNCTION("""COMPUTED_VALUE"""),"&lt;ruby&gt;顺畅&lt;rt&gt;shùnchàng&lt;/rt&gt;&lt;/ruby&gt;")</f>
        <v>&lt;ruby&gt;顺畅&lt;rt&gt;shùnchàng&lt;/rt&gt;&lt;/ruby&gt;</v>
      </c>
      <c r="E1835" s="13" t="str">
        <f ca="1">IFERROR(__xludf.DUMMYFUNCTION("""COMPUTED_VALUE"""),"shùnchàng")</f>
        <v>shùnchàng</v>
      </c>
      <c r="F1835" s="13" t="str">
        <f ca="1">IFERROR(__xludf.DUMMYFUNCTION("""COMPUTED_VALUE"""),"Tính từ")</f>
        <v>Tính từ</v>
      </c>
      <c r="G1835" s="13" t="str">
        <f ca="1">IFERROR(__xludf.DUMMYFUNCTION("""COMPUTED_VALUE"""),"trôi chảy")</f>
        <v>trôi chảy</v>
      </c>
      <c r="H1835" s="13" t="str">
        <f ca="1">IFERROR(__xludf.DUMMYFUNCTION("""COMPUTED_VALUE"""),"会议进行得非常顺畅。")</f>
        <v>会议进行得非常顺畅。</v>
      </c>
      <c r="I1835" s="13"/>
      <c r="J1835" s="13" t="str">
        <f ca="1">IFERROR(__xludf.DUMMYFUNCTION("""COMPUTED_VALUE"""),"Cuộc họp diễn ra rất trôi chảy.")</f>
        <v>Cuộc họp diễn ra rất trôi chảy.</v>
      </c>
      <c r="K1835" s="13" t="str">
        <f ca="1">IFERROR(__xludf.DUMMYFUNCTION("""COMPUTED_VALUE"""),"H5_B13_BG-22.png")</f>
        <v>H5_B13_BG-22.png</v>
      </c>
      <c r="L1835" s="13" t="str">
        <f ca="1">IFERROR(__xludf.DUMMYFUNCTION("""COMPUTED_VALUE"""),"B13_22.mp3")</f>
        <v>B13_22.mp3</v>
      </c>
      <c r="M1835" s="13" t="str">
        <f ca="1">IFERROR(__xludf.DUMMYFUNCTION("""COMPUTED_VALUE"""),"B13_VD_22.mp3")</f>
        <v>B13_VD_22.mp3</v>
      </c>
    </row>
    <row r="1836" spans="1:13">
      <c r="A1836" s="13">
        <f ca="1">IFERROR(__xludf.DUMMYFUNCTION("""COMPUTED_VALUE"""),23)</f>
        <v>23</v>
      </c>
      <c r="B1836" s="13"/>
      <c r="C1836" s="13" t="str">
        <f ca="1">IFERROR(__xludf.DUMMYFUNCTION("""COMPUTED_VALUE"""),"困扰")</f>
        <v>困扰</v>
      </c>
      <c r="D1836" s="13" t="str">
        <f ca="1">IFERROR(__xludf.DUMMYFUNCTION("""COMPUTED_VALUE"""),"&lt;ruby&gt;困扰&lt;rt&gt;kùnrǎo&lt;/rt&gt;&lt;/ruby&gt;")</f>
        <v>&lt;ruby&gt;困扰&lt;rt&gt;kùnrǎo&lt;/rt&gt;&lt;/ruby&gt;</v>
      </c>
      <c r="E1836" s="13" t="str">
        <f ca="1">IFERROR(__xludf.DUMMYFUNCTION("""COMPUTED_VALUE"""),"kùnrǎo")</f>
        <v>kùnrǎo</v>
      </c>
      <c r="F1836" s="13" t="str">
        <f ca="1">IFERROR(__xludf.DUMMYFUNCTION("""COMPUTED_VALUE"""),"Động từ ")</f>
        <v xml:space="preserve">Động từ </v>
      </c>
      <c r="G1836" s="13" t="str">
        <f ca="1">IFERROR(__xludf.DUMMYFUNCTION("""COMPUTED_VALUE"""),"làm phiền, gây rối")</f>
        <v>làm phiền, gây rối</v>
      </c>
      <c r="H1836" s="13" t="str">
        <f ca="1">IFERROR(__xludf.DUMMYFUNCTION("""COMPUTED_VALUE"""),"失眠的问题已经困扰她很久了。")</f>
        <v>失眠的问题已经困扰她很久了。</v>
      </c>
      <c r="I1836" s="13"/>
      <c r="J1836" s="13" t="str">
        <f ca="1">IFERROR(__xludf.DUMMYFUNCTION("""COMPUTED_VALUE"""),"Vấn đề mất ngủ đã làm phiền cô ấy lâu rồi.")</f>
        <v>Vấn đề mất ngủ đã làm phiền cô ấy lâu rồi.</v>
      </c>
      <c r="K1836" s="13" t="str">
        <f ca="1">IFERROR(__xludf.DUMMYFUNCTION("""COMPUTED_VALUE"""),"H5_B13_BG-23.png")</f>
        <v>H5_B13_BG-23.png</v>
      </c>
      <c r="L1836" s="13" t="str">
        <f ca="1">IFERROR(__xludf.DUMMYFUNCTION("""COMPUTED_VALUE"""),"B13_23.mp3")</f>
        <v>B13_23.mp3</v>
      </c>
      <c r="M1836" s="13" t="str">
        <f ca="1">IFERROR(__xludf.DUMMYFUNCTION("""COMPUTED_VALUE"""),"B13_VD_23.mp3")</f>
        <v>B13_VD_23.mp3</v>
      </c>
    </row>
    <row r="1837" spans="1:13">
      <c r="A1837" s="13">
        <f ca="1">IFERROR(__xludf.DUMMYFUNCTION("""COMPUTED_VALUE"""),24)</f>
        <v>24</v>
      </c>
      <c r="B1837" s="13"/>
      <c r="C1837" s="13" t="str">
        <f ca="1">IFERROR(__xludf.DUMMYFUNCTION("""COMPUTED_VALUE"""),"呆")</f>
        <v>呆</v>
      </c>
      <c r="D1837" s="13" t="str">
        <f ca="1">IFERROR(__xludf.DUMMYFUNCTION("""COMPUTED_VALUE"""),"&lt;ruby&gt;呆&lt;rt&gt;dāi&lt;/rt&gt;&lt;/ruby&gt;")</f>
        <v>&lt;ruby&gt;呆&lt;rt&gt;dāi&lt;/rt&gt;&lt;/ruby&gt;</v>
      </c>
      <c r="E1837" s="13" t="str">
        <f ca="1">IFERROR(__xludf.DUMMYFUNCTION("""COMPUTED_VALUE"""),"dāi")</f>
        <v>dāi</v>
      </c>
      <c r="F1837" s="13" t="str">
        <f ca="1">IFERROR(__xludf.DUMMYFUNCTION("""COMPUTED_VALUE"""),"Tính từ/Động từ ")</f>
        <v xml:space="preserve">Tính từ/Động từ </v>
      </c>
      <c r="G1837" s="13" t="str">
        <f ca="1">IFERROR(__xludf.DUMMYFUNCTION("""COMPUTED_VALUE"""),"đần độn, ngu ngốc; nán lại, ở lại")</f>
        <v>đần độn, ngu ngốc; nán lại, ở lại</v>
      </c>
      <c r="H1837" s="13" t="str">
        <f ca="1">IFERROR(__xludf.DUMMYFUNCTION("""COMPUTED_VALUE"""),"听到这个问题，他显得很呆。")</f>
        <v>听到这个问题，他显得很呆。</v>
      </c>
      <c r="I1837" s="13"/>
      <c r="J1837" s="13" t="str">
        <f ca="1">IFERROR(__xludf.DUMMYFUNCTION("""COMPUTED_VALUE"""),"Nghe đến câu hỏi này, anh ấy trông rất ngốc nghếch.")</f>
        <v>Nghe đến câu hỏi này, anh ấy trông rất ngốc nghếch.</v>
      </c>
      <c r="K1837" s="13" t="str">
        <f ca="1">IFERROR(__xludf.DUMMYFUNCTION("""COMPUTED_VALUE"""),"H5_B13_BG-24.png")</f>
        <v>H5_B13_BG-24.png</v>
      </c>
      <c r="L1837" s="13" t="str">
        <f ca="1">IFERROR(__xludf.DUMMYFUNCTION("""COMPUTED_VALUE"""),"B13_24.mp3")</f>
        <v>B13_24.mp3</v>
      </c>
      <c r="M1837" s="13" t="str">
        <f ca="1">IFERROR(__xludf.DUMMYFUNCTION("""COMPUTED_VALUE"""),"B13_VD_24.mp3")</f>
        <v>B13_VD_24.mp3</v>
      </c>
    </row>
    <row r="1838" spans="1:13">
      <c r="A1838" s="13">
        <f ca="1">IFERROR(__xludf.DUMMYFUNCTION("""COMPUTED_VALUE"""),25)</f>
        <v>25</v>
      </c>
      <c r="B1838" s="13"/>
      <c r="C1838" s="13" t="str">
        <f ca="1">IFERROR(__xludf.DUMMYFUNCTION("""COMPUTED_VALUE"""),"断断续续")</f>
        <v>断断续续</v>
      </c>
      <c r="D1838" s="13" t="str">
        <f ca="1">IFERROR(__xludf.DUMMYFUNCTION("""COMPUTED_VALUE"""),"&lt;ruby&gt;断断续续&lt;rt&gt;duànduàn xùxù&lt;/rt&gt;&lt;/ruby&gt;")</f>
        <v>&lt;ruby&gt;断断续续&lt;rt&gt;duànduàn xùxù&lt;/rt&gt;&lt;/ruby&gt;</v>
      </c>
      <c r="E1838" s="13" t="str">
        <f ca="1">IFERROR(__xludf.DUMMYFUNCTION("""COMPUTED_VALUE"""),"duànduàn xùxù")</f>
        <v>duànduàn xùxù</v>
      </c>
      <c r="F1838" s="13" t="str">
        <f ca="1">IFERROR(__xludf.DUMMYFUNCTION("""COMPUTED_VALUE"""),"Tính từ")</f>
        <v>Tính từ</v>
      </c>
      <c r="G1838" s="13" t="str">
        <f ca="1">IFERROR(__xludf.DUMMYFUNCTION("""COMPUTED_VALUE"""),"không liên tục, gián đoạn")</f>
        <v>không liên tục, gián đoạn</v>
      </c>
      <c r="H1838" s="13" t="str">
        <f ca="1">IFERROR(__xludf.DUMMYFUNCTION("""COMPUTED_VALUE"""),"他的网络连接断断续续，无法正常工作。")</f>
        <v>他的网络连接断断续续，无法正常工作。</v>
      </c>
      <c r="I1838" s="13"/>
      <c r="J1838" s="13" t="str">
        <f ca="1">IFERROR(__xludf.DUMMYFUNCTION("""COMPUTED_VALUE"""),"Kết nối mạng của anh ấy không ổn định, khiến anh ấy không thể làm việc bình thường.")</f>
        <v>Kết nối mạng của anh ấy không ổn định, khiến anh ấy không thể làm việc bình thường.</v>
      </c>
      <c r="K1838" s="13" t="str">
        <f ca="1">IFERROR(__xludf.DUMMYFUNCTION("""COMPUTED_VALUE"""),"H5_B13_BG-25.png")</f>
        <v>H5_B13_BG-25.png</v>
      </c>
      <c r="L1838" s="13" t="str">
        <f ca="1">IFERROR(__xludf.DUMMYFUNCTION("""COMPUTED_VALUE"""),"B13_25.mp3")</f>
        <v>B13_25.mp3</v>
      </c>
      <c r="M1838" s="13" t="str">
        <f ca="1">IFERROR(__xludf.DUMMYFUNCTION("""COMPUTED_VALUE"""),"B13_VD_25.mp3")</f>
        <v>B13_VD_25.mp3</v>
      </c>
    </row>
    <row r="1839" spans="1:13">
      <c r="A1839" s="13">
        <f ca="1">IFERROR(__xludf.DUMMYFUNCTION("""COMPUTED_VALUE"""),26)</f>
        <v>26</v>
      </c>
      <c r="B1839" s="13"/>
      <c r="C1839" s="13" t="str">
        <f ca="1">IFERROR(__xludf.DUMMYFUNCTION("""COMPUTED_VALUE"""),"多亏")</f>
        <v>多亏</v>
      </c>
      <c r="D1839" s="13" t="str">
        <f ca="1">IFERROR(__xludf.DUMMYFUNCTION("""COMPUTED_VALUE"""),"&lt;ruby&gt;多亏&lt;rt&gt;duōkuī&lt;/rt&gt;&lt;/ruby&gt;")</f>
        <v>&lt;ruby&gt;多亏&lt;rt&gt;duōkuī&lt;/rt&gt;&lt;/ruby&gt;</v>
      </c>
      <c r="E1839" s="13" t="str">
        <f ca="1">IFERROR(__xludf.DUMMYFUNCTION("""COMPUTED_VALUE"""),"duōkuī")</f>
        <v>duōkuī</v>
      </c>
      <c r="F1839" s="13" t="str">
        <f ca="1">IFERROR(__xludf.DUMMYFUNCTION("""COMPUTED_VALUE"""),"Động từ ")</f>
        <v xml:space="preserve">Động từ </v>
      </c>
      <c r="G1839" s="13" t="str">
        <f ca="1">IFERROR(__xludf.DUMMYFUNCTION("""COMPUTED_VALUE"""),"may mà (có), nhờ có")</f>
        <v>may mà (có), nhờ có</v>
      </c>
      <c r="H1839" s="13" t="str">
        <f ca="1">IFERROR(__xludf.DUMMYFUNCTION("""COMPUTED_VALUE"""),"多亏小朋友的帮助，我才能顺利过马路。")</f>
        <v>多亏小朋友的帮助，我才能顺利过马路。</v>
      </c>
      <c r="I1839" s="13"/>
      <c r="J1839" s="13" t="str">
        <f ca="1">IFERROR(__xludf.DUMMYFUNCTION("""COMPUTED_VALUE"""),"May mà có sự giúp đỡ của bạn nhỏ, tôi mới có thể qua đường.")</f>
        <v>May mà có sự giúp đỡ của bạn nhỏ, tôi mới có thể qua đường.</v>
      </c>
      <c r="K1839" s="13" t="str">
        <f ca="1">IFERROR(__xludf.DUMMYFUNCTION("""COMPUTED_VALUE"""),"H5_B13_BG-26.png")</f>
        <v>H5_B13_BG-26.png</v>
      </c>
      <c r="L1839" s="13" t="str">
        <f ca="1">IFERROR(__xludf.DUMMYFUNCTION("""COMPUTED_VALUE"""),"B13_26.mp3")</f>
        <v>B13_26.mp3</v>
      </c>
      <c r="M1839" s="13" t="str">
        <f ca="1">IFERROR(__xludf.DUMMYFUNCTION("""COMPUTED_VALUE"""),"B13_VD_26.mp3")</f>
        <v>B13_VD_26.mp3</v>
      </c>
    </row>
    <row r="1840" spans="1:13">
      <c r="A1840" s="13">
        <f ca="1">IFERROR(__xludf.DUMMYFUNCTION("""COMPUTED_VALUE"""),27)</f>
        <v>27</v>
      </c>
      <c r="B1840" s="13"/>
      <c r="C1840" s="13" t="str">
        <f ca="1">IFERROR(__xludf.DUMMYFUNCTION("""COMPUTED_VALUE"""),"仿佛")</f>
        <v>仿佛</v>
      </c>
      <c r="D1840" s="13" t="str">
        <f ca="1">IFERROR(__xludf.DUMMYFUNCTION("""COMPUTED_VALUE"""),"&lt;ruby&gt;仿佛&lt;rt&gt;făngfú&lt;/rt&gt;&lt;/ruby&gt;")</f>
        <v>&lt;ruby&gt;仿佛&lt;rt&gt;făngfú&lt;/rt&gt;&lt;/ruby&gt;</v>
      </c>
      <c r="E1840" s="13" t="str">
        <f ca="1">IFERROR(__xludf.DUMMYFUNCTION("""COMPUTED_VALUE"""),"făngfú")</f>
        <v>făngfú</v>
      </c>
      <c r="F1840" s="13" t="str">
        <f ca="1">IFERROR(__xludf.DUMMYFUNCTION("""COMPUTED_VALUE"""),"Phó từ/Động từ ")</f>
        <v xml:space="preserve">Phó từ/Động từ </v>
      </c>
      <c r="G1840" s="13" t="str">
        <f ca="1">IFERROR(__xludf.DUMMYFUNCTION("""COMPUTED_VALUE"""),"dường như; giống như")</f>
        <v>dường như; giống như</v>
      </c>
      <c r="H1840" s="13" t="str">
        <f ca="1">IFERROR(__xludf.DUMMYFUNCTION("""COMPUTED_VALUE"""),"这里的景色仿佛是人间仙境。")</f>
        <v>这里的景色仿佛是人间仙境。</v>
      </c>
      <c r="I1840" s="13"/>
      <c r="J1840" s="13" t="str">
        <f ca="1">IFERROR(__xludf.DUMMYFUNCTION("""COMPUTED_VALUE"""),"Nơi này dường như là một thiên đường trên trần gian.")</f>
        <v>Nơi này dường như là một thiên đường trên trần gian.</v>
      </c>
      <c r="K1840" s="13" t="str">
        <f ca="1">IFERROR(__xludf.DUMMYFUNCTION("""COMPUTED_VALUE"""),"H5_B13_BG-27.png")</f>
        <v>H5_B13_BG-27.png</v>
      </c>
      <c r="L1840" s="13" t="str">
        <f ca="1">IFERROR(__xludf.DUMMYFUNCTION("""COMPUTED_VALUE"""),"B13_27.mp3")</f>
        <v>B13_27.mp3</v>
      </c>
      <c r="M1840" s="13" t="str">
        <f ca="1">IFERROR(__xludf.DUMMYFUNCTION("""COMPUTED_VALUE"""),"B13_VD_27.mp3")</f>
        <v>B13_VD_27.mp3</v>
      </c>
    </row>
    <row r="1841" spans="1:13">
      <c r="A1841" s="13">
        <f ca="1">IFERROR(__xludf.DUMMYFUNCTION("""COMPUTED_VALUE"""),28)</f>
        <v>28</v>
      </c>
      <c r="B1841" s="13"/>
      <c r="C1841" s="13" t="str">
        <f ca="1">IFERROR(__xludf.DUMMYFUNCTION("""COMPUTED_VALUE"""),"好奇")</f>
        <v>好奇</v>
      </c>
      <c r="D1841" s="13" t="str">
        <f ca="1">IFERROR(__xludf.DUMMYFUNCTION("""COMPUTED_VALUE"""),"&lt;ruby&gt;好奇&lt;rt&gt;hàogí&lt;/rt&gt;&lt;/ruby&gt;")</f>
        <v>&lt;ruby&gt;好奇&lt;rt&gt;hàogí&lt;/rt&gt;&lt;/ruby&gt;</v>
      </c>
      <c r="E1841" s="13" t="str">
        <f ca="1">IFERROR(__xludf.DUMMYFUNCTION("""COMPUTED_VALUE"""),"hàogí")</f>
        <v>hàogí</v>
      </c>
      <c r="F1841" s="13" t="str">
        <f ca="1">IFERROR(__xludf.DUMMYFUNCTION("""COMPUTED_VALUE"""),"Tính từ")</f>
        <v>Tính từ</v>
      </c>
      <c r="G1841" s="13" t="str">
        <f ca="1">IFERROR(__xludf.DUMMYFUNCTION("""COMPUTED_VALUE"""),"hiếu kỳ, tò mò")</f>
        <v>hiếu kỳ, tò mò</v>
      </c>
      <c r="H1841" s="13" t="str">
        <f ca="1">IFERROR(__xludf.DUMMYFUNCTION("""COMPUTED_VALUE"""),"他对世界上的各个国家非常好奇。")</f>
        <v>他对世界上的各个国家非常好奇。</v>
      </c>
      <c r="I1841" s="13"/>
      <c r="J1841" s="13" t="str">
        <f ca="1">IFERROR(__xludf.DUMMYFUNCTION("""COMPUTED_VALUE"""),"Anh ấy rất tò mò về các quốc gia trên thế giới")</f>
        <v>Anh ấy rất tò mò về các quốc gia trên thế giới</v>
      </c>
      <c r="K1841" s="13" t="str">
        <f ca="1">IFERROR(__xludf.DUMMYFUNCTION("""COMPUTED_VALUE"""),"H5_B13_BG-28.png")</f>
        <v>H5_B13_BG-28.png</v>
      </c>
      <c r="L1841" s="13" t="str">
        <f ca="1">IFERROR(__xludf.DUMMYFUNCTION("""COMPUTED_VALUE"""),"B13_28.mp3")</f>
        <v>B13_28.mp3</v>
      </c>
      <c r="M1841" s="13" t="str">
        <f ca="1">IFERROR(__xludf.DUMMYFUNCTION("""COMPUTED_VALUE"""),"B13_VD_28.mp3")</f>
        <v>B13_VD_28.mp3</v>
      </c>
    </row>
    <row r="1842" spans="1:13">
      <c r="A1842" s="13">
        <f ca="1">IFERROR(__xludf.DUMMYFUNCTION("""COMPUTED_VALUE"""),29)</f>
        <v>29</v>
      </c>
      <c r="B1842" s="13"/>
      <c r="C1842" s="13" t="str">
        <f ca="1">IFERROR(__xludf.DUMMYFUNCTION("""COMPUTED_VALUE"""),"何必")</f>
        <v>何必</v>
      </c>
      <c r="D1842" s="13" t="str">
        <f ca="1">IFERROR(__xludf.DUMMYFUNCTION("""COMPUTED_VALUE"""),"&lt;ruby&gt;何必&lt;rt&gt;hébì&lt;/rt&gt;&lt;/ruby&gt;")</f>
        <v>&lt;ruby&gt;何必&lt;rt&gt;hébì&lt;/rt&gt;&lt;/ruby&gt;</v>
      </c>
      <c r="E1842" s="13" t="str">
        <f ca="1">IFERROR(__xludf.DUMMYFUNCTION("""COMPUTED_VALUE"""),"hébì")</f>
        <v>hébì</v>
      </c>
      <c r="F1842" s="13" t="str">
        <f ca="1">IFERROR(__xludf.DUMMYFUNCTION("""COMPUTED_VALUE"""),"Phó từ")</f>
        <v>Phó từ</v>
      </c>
      <c r="G1842" s="13" t="str">
        <f ca="1">IFERROR(__xludf.DUMMYFUNCTION("""COMPUTED_VALUE"""),"(chỉ sự không cần) hà tất, cần gì")</f>
        <v>(chỉ sự không cần) hà tất, cần gì</v>
      </c>
      <c r="H1842" s="13" t="str">
        <f ca="1">IFERROR(__xludf.DUMMYFUNCTION("""COMPUTED_VALUE"""),"你已经做得很好了，何必再难过呢？")</f>
        <v>你已经做得很好了，何必再难过呢？</v>
      </c>
      <c r="I1842" s="13"/>
      <c r="J1842" s="13" t="str">
        <f ca="1">IFERROR(__xludf.DUMMYFUNCTION("""COMPUTED_VALUE"""),"Bạn đã làm rất tốt rồi, cần gì phải buồn như vậy ?")</f>
        <v>Bạn đã làm rất tốt rồi, cần gì phải buồn như vậy ?</v>
      </c>
      <c r="K1842" s="13" t="str">
        <f ca="1">IFERROR(__xludf.DUMMYFUNCTION("""COMPUTED_VALUE"""),"H5_B13_BG-29.png")</f>
        <v>H5_B13_BG-29.png</v>
      </c>
      <c r="L1842" s="13" t="str">
        <f ca="1">IFERROR(__xludf.DUMMYFUNCTION("""COMPUTED_VALUE"""),"B13_29.mp3")</f>
        <v>B13_29.mp3</v>
      </c>
      <c r="M1842" s="13" t="str">
        <f ca="1">IFERROR(__xludf.DUMMYFUNCTION("""COMPUTED_VALUE"""),"B13_VD_29.mp3")</f>
        <v>B13_VD_29.mp3</v>
      </c>
    </row>
    <row r="1843" spans="1:13">
      <c r="A1843" s="13">
        <f ca="1">IFERROR(__xludf.DUMMYFUNCTION("""COMPUTED_VALUE"""),30)</f>
        <v>30</v>
      </c>
      <c r="B1843" s="13"/>
      <c r="C1843" s="13" t="str">
        <f ca="1">IFERROR(__xludf.DUMMYFUNCTION("""COMPUTED_VALUE"""),"何况")</f>
        <v>何况</v>
      </c>
      <c r="D1843" s="13" t="str">
        <f ca="1">IFERROR(__xludf.DUMMYFUNCTION("""COMPUTED_VALUE"""),"&lt;ruby&gt;何况&lt;rt&gt;hékuàng&lt;/rt&gt;&lt;/ruby&gt;")</f>
        <v>&lt;ruby&gt;何况&lt;rt&gt;hékuàng&lt;/rt&gt;&lt;/ruby&gt;</v>
      </c>
      <c r="E1843" s="13" t="str">
        <f ca="1">IFERROR(__xludf.DUMMYFUNCTION("""COMPUTED_VALUE"""),"hékuàng")</f>
        <v>hékuàng</v>
      </c>
      <c r="F1843" s="13" t="str">
        <f ca="1">IFERROR(__xludf.DUMMYFUNCTION("""COMPUTED_VALUE"""),"Liên từ")</f>
        <v>Liên từ</v>
      </c>
      <c r="G1843" s="13" t="str">
        <f ca="1">IFERROR(__xludf.DUMMYFUNCTION("""COMPUTED_VALUE"""),"huống hồ, huống chi")</f>
        <v>huống hồ, huống chi</v>
      </c>
      <c r="H1843" s="13" t="str">
        <f ca="1">IFERROR(__xludf.DUMMYFUNCTION("""COMPUTED_VALUE"""),"今天我已经很忙了，何况明天还要加班。")</f>
        <v>今天我已经很忙了，何况明天还要加班。</v>
      </c>
      <c r="I1843" s="13"/>
      <c r="J1843" s="13" t="str">
        <f ca="1">IFERROR(__xludf.DUMMYFUNCTION("""COMPUTED_VALUE"""),"Hôm nay tôi đã rất bận rồi, huống hồ ngày mai còn phải làm thêm giờ.")</f>
        <v>Hôm nay tôi đã rất bận rồi, huống hồ ngày mai còn phải làm thêm giờ.</v>
      </c>
      <c r="K1843" s="13" t="str">
        <f ca="1">IFERROR(__xludf.DUMMYFUNCTION("""COMPUTED_VALUE"""),"H5_B13_BG-30.png")</f>
        <v>H5_B13_BG-30.png</v>
      </c>
      <c r="L1843" s="13" t="str">
        <f ca="1">IFERROR(__xludf.DUMMYFUNCTION("""COMPUTED_VALUE"""),"B13_30.mp3")</f>
        <v>B13_30.mp3</v>
      </c>
      <c r="M1843" s="13" t="str">
        <f ca="1">IFERROR(__xludf.DUMMYFUNCTION("""COMPUTED_VALUE"""),"B13_VD_30.mp3")</f>
        <v>B13_VD_30.mp3</v>
      </c>
    </row>
    <row r="1844" spans="1:13">
      <c r="A1844" s="13">
        <f ca="1">IFERROR(__xludf.DUMMYFUNCTION("""COMPUTED_VALUE"""),31)</f>
        <v>31</v>
      </c>
      <c r="B1844" s="13"/>
      <c r="C1844" s="13" t="str">
        <f ca="1">IFERROR(__xludf.DUMMYFUNCTION("""COMPUTED_VALUE"""),"连忙")</f>
        <v>连忙</v>
      </c>
      <c r="D1844" s="13" t="str">
        <f ca="1">IFERROR(__xludf.DUMMYFUNCTION("""COMPUTED_VALUE"""),"&lt;ruby&gt;连忙&lt;rt&gt;liánmáng&lt;/rt&gt;&lt;/ruby&gt;")</f>
        <v>&lt;ruby&gt;连忙&lt;rt&gt;liánmáng&lt;/rt&gt;&lt;/ruby&gt;</v>
      </c>
      <c r="E1844" s="13" t="str">
        <f ca="1">IFERROR(__xludf.DUMMYFUNCTION("""COMPUTED_VALUE"""),"liánmáng")</f>
        <v>liánmáng</v>
      </c>
      <c r="F1844" s="13" t="str">
        <f ca="1">IFERROR(__xludf.DUMMYFUNCTION("""COMPUTED_VALUE"""),"Phó từ")</f>
        <v>Phó từ</v>
      </c>
      <c r="G1844" s="13" t="str">
        <f ca="1">IFERROR(__xludf.DUMMYFUNCTION("""COMPUTED_VALUE"""),"ngay lập tức")</f>
        <v>ngay lập tức</v>
      </c>
      <c r="H1844" s="13" t="str">
        <f ca="1">IFERROR(__xludf.DUMMYFUNCTION("""COMPUTED_VALUE"""),"她听到电话铃声，连忙跑去接电话。")</f>
        <v>她听到电话铃声，连忙跑去接电话。</v>
      </c>
      <c r="I1844" s="13"/>
      <c r="J1844" s="13" t="str">
        <f ca="1">IFERROR(__xludf.DUMMYFUNCTION("""COMPUTED_VALUE"""),"Cô ấy nghe thấy tiếng chuông điện thoại, ngay lập tức đi nhận điện thoại.")</f>
        <v>Cô ấy nghe thấy tiếng chuông điện thoại, ngay lập tức đi nhận điện thoại.</v>
      </c>
      <c r="K1844" s="13" t="str">
        <f ca="1">IFERROR(__xludf.DUMMYFUNCTION("""COMPUTED_VALUE"""),"H5_B13_BG-31.png")</f>
        <v>H5_B13_BG-31.png</v>
      </c>
      <c r="L1844" s="13" t="str">
        <f ca="1">IFERROR(__xludf.DUMMYFUNCTION("""COMPUTED_VALUE"""),"B13_31.mp3")</f>
        <v>B13_31.mp3</v>
      </c>
      <c r="M1844" s="13" t="str">
        <f ca="1">IFERROR(__xludf.DUMMYFUNCTION("""COMPUTED_VALUE"""),"B13_VD_31.mp3")</f>
        <v>B13_VD_31.mp3</v>
      </c>
    </row>
    <row r="1845" spans="1:13">
      <c r="A1845" s="13">
        <f ca="1">IFERROR(__xludf.DUMMYFUNCTION("""COMPUTED_VALUE"""),32)</f>
        <v>32</v>
      </c>
      <c r="B1845" s="13"/>
      <c r="C1845" s="13" t="str">
        <f ca="1">IFERROR(__xludf.DUMMYFUNCTION("""COMPUTED_VALUE"""),"启发")</f>
        <v>启发</v>
      </c>
      <c r="D1845" s="13" t="str">
        <f ca="1">IFERROR(__xludf.DUMMYFUNCTION("""COMPUTED_VALUE"""),"&lt;ruby&gt;启发&lt;rt&gt;qǐfā&lt;/rt&gt;&lt;/ruby&gt;")</f>
        <v>&lt;ruby&gt;启发&lt;rt&gt;qǐfā&lt;/rt&gt;&lt;/ruby&gt;</v>
      </c>
      <c r="E1845" s="13" t="str">
        <f ca="1">IFERROR(__xludf.DUMMYFUNCTION("""COMPUTED_VALUE"""),"qǐfā")</f>
        <v>qǐfā</v>
      </c>
      <c r="F1845" s="13" t="str">
        <f ca="1">IFERROR(__xludf.DUMMYFUNCTION("""COMPUTED_VALUE"""),"Động từ ")</f>
        <v xml:space="preserve">Động từ </v>
      </c>
      <c r="G1845" s="13" t="str">
        <f ca="1">IFERROR(__xludf.DUMMYFUNCTION("""COMPUTED_VALUE"""),"gợi ý ")</f>
        <v xml:space="preserve">gợi ý </v>
      </c>
      <c r="H1845" s="13" t="str">
        <f ca="1">IFERROR(__xludf.DUMMYFUNCTION("""COMPUTED_VALUE"""),"妈妈为我启发 了很多关于教师节的好创意。")</f>
        <v>妈妈为我启发 了很多关于教师节的好创意。</v>
      </c>
      <c r="I1845" s="13"/>
      <c r="J1845" s="13" t="str">
        <f ca="1">IFERROR(__xludf.DUMMYFUNCTION("""COMPUTED_VALUE"""),"Mẹ đã gợi ý cho tôi rất nhiều ý tưởng hay cho dịp 20/11 tới")</f>
        <v>Mẹ đã gợi ý cho tôi rất nhiều ý tưởng hay cho dịp 20/11 tới</v>
      </c>
      <c r="K1845" s="13" t="str">
        <f ca="1">IFERROR(__xludf.DUMMYFUNCTION("""COMPUTED_VALUE"""),"H5_B13_BG-32.png")</f>
        <v>H5_B13_BG-32.png</v>
      </c>
      <c r="L1845" s="13" t="str">
        <f ca="1">IFERROR(__xludf.DUMMYFUNCTION("""COMPUTED_VALUE"""),"B13_32.mp3")</f>
        <v>B13_32.mp3</v>
      </c>
      <c r="M1845" s="13" t="str">
        <f ca="1">IFERROR(__xludf.DUMMYFUNCTION("""COMPUTED_VALUE"""),"B13_VD_32.mp3")</f>
        <v>B13_VD_32.mp3</v>
      </c>
    </row>
    <row r="1846" spans="1:13">
      <c r="A1846" s="13">
        <f ca="1">IFERROR(__xludf.DUMMYFUNCTION("""COMPUTED_VALUE"""),33)</f>
        <v>33</v>
      </c>
      <c r="B1846" s="13"/>
      <c r="C1846" s="13" t="str">
        <f ca="1">IFERROR(__xludf.DUMMYFUNCTION("""COMPUTED_VALUE"""),"气氛")</f>
        <v>气氛</v>
      </c>
      <c r="D1846" s="13" t="str">
        <f ca="1">IFERROR(__xludf.DUMMYFUNCTION("""COMPUTED_VALUE"""),"&lt;ruby&gt;气氛&lt;rt&gt;qìfēn&lt;/rt&gt;&lt;/ruby&gt;")</f>
        <v>&lt;ruby&gt;气氛&lt;rt&gt;qìfēn&lt;/rt&gt;&lt;/ruby&gt;</v>
      </c>
      <c r="E1846" s="13" t="str">
        <f ca="1">IFERROR(__xludf.DUMMYFUNCTION("""COMPUTED_VALUE"""),"qìfēn")</f>
        <v>qìfēn</v>
      </c>
      <c r="F1846" s="13" t="str">
        <f ca="1">IFERROR(__xludf.DUMMYFUNCTION("""COMPUTED_VALUE"""),"Danh từ")</f>
        <v>Danh từ</v>
      </c>
      <c r="G1846" s="13" t="str">
        <f ca="1">IFERROR(__xludf.DUMMYFUNCTION("""COMPUTED_VALUE"""),"bầu không khí")</f>
        <v>bầu không khí</v>
      </c>
      <c r="H1846" s="13" t="str">
        <f ca="1">IFERROR(__xludf.DUMMYFUNCTION("""COMPUTED_VALUE"""),"节日的气氛让人感到非常温暖。")</f>
        <v>节日的气氛让人感到非常温暖。</v>
      </c>
      <c r="I1846" s="13"/>
      <c r="J1846" s="13" t="str">
        <f ca="1">IFERROR(__xludf.DUMMYFUNCTION("""COMPUTED_VALUE"""),"Bầu không khí của ngày lễ khiến người ta cảm thấy rất ấm áp.")</f>
        <v>Bầu không khí của ngày lễ khiến người ta cảm thấy rất ấm áp.</v>
      </c>
      <c r="K1846" s="13" t="str">
        <f ca="1">IFERROR(__xludf.DUMMYFUNCTION("""COMPUTED_VALUE"""),"H5_B13_BG-33.png")</f>
        <v>H5_B13_BG-33.png</v>
      </c>
      <c r="L1846" s="13" t="str">
        <f ca="1">IFERROR(__xludf.DUMMYFUNCTION("""COMPUTED_VALUE"""),"B13_33.mp3")</f>
        <v>B13_33.mp3</v>
      </c>
      <c r="M1846" s="13" t="str">
        <f ca="1">IFERROR(__xludf.DUMMYFUNCTION("""COMPUTED_VALUE"""),"B13_VD_33.mp3")</f>
        <v>B13_VD_33.mp3</v>
      </c>
    </row>
    <row r="1847" spans="1:13">
      <c r="A1847" s="13">
        <f ca="1">IFERROR(__xludf.DUMMYFUNCTION("""COMPUTED_VALUE"""),34)</f>
        <v>34</v>
      </c>
      <c r="B1847" s="13"/>
      <c r="C1847" s="13" t="str">
        <f ca="1">IFERROR(__xludf.DUMMYFUNCTION("""COMPUTED_VALUE"""),"一再")</f>
        <v>一再</v>
      </c>
      <c r="D1847" s="13" t="str">
        <f ca="1">IFERROR(__xludf.DUMMYFUNCTION("""COMPUTED_VALUE"""),"&lt;ruby&gt;一再&lt;rt&gt;yízài&lt;/rt&gt;&lt;/ruby&gt;")</f>
        <v>&lt;ruby&gt;一再&lt;rt&gt;yízài&lt;/rt&gt;&lt;/ruby&gt;</v>
      </c>
      <c r="E1847" s="13" t="str">
        <f ca="1">IFERROR(__xludf.DUMMYFUNCTION("""COMPUTED_VALUE"""),"yízài")</f>
        <v>yízài</v>
      </c>
      <c r="F1847" s="13" t="str">
        <f ca="1">IFERROR(__xludf.DUMMYFUNCTION("""COMPUTED_VALUE"""),"Phó từ")</f>
        <v>Phó từ</v>
      </c>
      <c r="G1847" s="13" t="str">
        <f ca="1">IFERROR(__xludf.DUMMYFUNCTION("""COMPUTED_VALUE"""),"nhiều lần, hết lần này đến lần khác")</f>
        <v>nhiều lần, hết lần này đến lần khác</v>
      </c>
      <c r="H1847" s="13" t="str">
        <f ca="1">IFERROR(__xludf.DUMMYFUNCTION("""COMPUTED_VALUE"""),"他一再提醒我要好好吃饭。")</f>
        <v>他一再提醒我要好好吃饭。</v>
      </c>
      <c r="I1847" s="13"/>
      <c r="J1847" s="13" t="str">
        <f ca="1">IFERROR(__xludf.DUMMYFUNCTION("""COMPUTED_VALUE""")," Anh ấy hết lần này đến lần khác nhắc tôi ăn uống đầy đủ")</f>
        <v xml:space="preserve"> Anh ấy hết lần này đến lần khác nhắc tôi ăn uống đầy đủ</v>
      </c>
      <c r="K1847" s="13" t="str">
        <f ca="1">IFERROR(__xludf.DUMMYFUNCTION("""COMPUTED_VALUE"""),"H5_B13_BG-34.png")</f>
        <v>H5_B13_BG-34.png</v>
      </c>
      <c r="L1847" s="13" t="str">
        <f ca="1">IFERROR(__xludf.DUMMYFUNCTION("""COMPUTED_VALUE"""),"B13_34.mp3")</f>
        <v>B13_34.mp3</v>
      </c>
      <c r="M1847" s="13" t="str">
        <f ca="1">IFERROR(__xludf.DUMMYFUNCTION("""COMPUTED_VALUE"""),"B13_VD_34.mp3")</f>
        <v>B13_VD_34.mp3</v>
      </c>
    </row>
    <row r="1848" spans="1:13">
      <c r="A1848" s="13">
        <f ca="1">IFERROR(__xludf.DUMMYFUNCTION("""COMPUTED_VALUE"""),35)</f>
        <v>35</v>
      </c>
      <c r="B1848" s="13"/>
      <c r="C1848" s="13" t="str">
        <f ca="1">IFERROR(__xludf.DUMMYFUNCTION("""COMPUTED_VALUE"""),"幼儿园")</f>
        <v>幼儿园</v>
      </c>
      <c r="D1848" s="13" t="str">
        <f ca="1">IFERROR(__xludf.DUMMYFUNCTION("""COMPUTED_VALUE"""),"&lt;ruby&gt;幼儿园&lt;rt&gt;yòu'éryuán&lt;/rt&gt;&lt;/ruby&gt;")</f>
        <v>&lt;ruby&gt;幼儿园&lt;rt&gt;yòu'éryuán&lt;/rt&gt;&lt;/ruby&gt;</v>
      </c>
      <c r="E1848" s="13" t="str">
        <f ca="1">IFERROR(__xludf.DUMMYFUNCTION("""COMPUTED_VALUE"""),"yòu'éryuán")</f>
        <v>yòu'éryuán</v>
      </c>
      <c r="F1848" s="13" t="str">
        <f ca="1">IFERROR(__xludf.DUMMYFUNCTION("""COMPUTED_VALUE"""),"Danh từ")</f>
        <v>Danh từ</v>
      </c>
      <c r="G1848" s="13" t="str">
        <f ca="1">IFERROR(__xludf.DUMMYFUNCTION("""COMPUTED_VALUE"""),"nhà trẻ")</f>
        <v>nhà trẻ</v>
      </c>
      <c r="H1848" s="13" t="str">
        <f ca="1">IFERROR(__xludf.DUMMYFUNCTION("""COMPUTED_VALUE"""),"她的孩子刚刚开始上幼儿园。")</f>
        <v>她的孩子刚刚开始上幼儿园。</v>
      </c>
      <c r="I1848" s="13"/>
      <c r="J1848" s="13" t="str">
        <f ca="1">IFERROR(__xludf.DUMMYFUNCTION("""COMPUTED_VALUE"""),"Con của cô ấy vừa mới bắt đầu đi học mẫu giáo.")</f>
        <v>Con của cô ấy vừa mới bắt đầu đi học mẫu giáo.</v>
      </c>
      <c r="K1848" s="13" t="str">
        <f ca="1">IFERROR(__xludf.DUMMYFUNCTION("""COMPUTED_VALUE"""),"H5_B13_BG-35.png")</f>
        <v>H5_B13_BG-35.png</v>
      </c>
      <c r="L1848" s="13" t="str">
        <f ca="1">IFERROR(__xludf.DUMMYFUNCTION("""COMPUTED_VALUE"""),"B13_35.mp3")</f>
        <v>B13_35.mp3</v>
      </c>
      <c r="M1848" s="13" t="str">
        <f ca="1">IFERROR(__xludf.DUMMYFUNCTION("""COMPUTED_VALUE"""),"B13_VD_35.mp3")</f>
        <v>B13_VD_35.mp3</v>
      </c>
    </row>
    <row r="1849" spans="1:13">
      <c r="A1849" s="13">
        <f ca="1">IFERROR(__xludf.DUMMYFUNCTION("""COMPUTED_VALUE"""),36)</f>
        <v>36</v>
      </c>
      <c r="B1849" s="13"/>
      <c r="C1849" s="13" t="str">
        <f ca="1">IFERROR(__xludf.DUMMYFUNCTION("""COMPUTED_VALUE"""),"筐")</f>
        <v>筐</v>
      </c>
      <c r="D1849" s="13" t="str">
        <f ca="1">IFERROR(__xludf.DUMMYFUNCTION("""COMPUTED_VALUE"""),"&lt;ruby&gt;筐&lt;rt&gt;kuāng&lt;/rt&gt;&lt;/ruby&gt;")</f>
        <v>&lt;ruby&gt;筐&lt;rt&gt;kuāng&lt;/rt&gt;&lt;/ruby&gt;</v>
      </c>
      <c r="E1849" s="13" t="str">
        <f ca="1">IFERROR(__xludf.DUMMYFUNCTION("""COMPUTED_VALUE"""),"kuāng")</f>
        <v>kuāng</v>
      </c>
      <c r="F1849" s="13" t="str">
        <f ca="1">IFERROR(__xludf.DUMMYFUNCTION("""COMPUTED_VALUE"""),"Danh từ")</f>
        <v>Danh từ</v>
      </c>
      <c r="G1849" s="13" t="str">
        <f ca="1">IFERROR(__xludf.DUMMYFUNCTION("""COMPUTED_VALUE"""),"giỏ, sọt")</f>
        <v>giỏ, sọt</v>
      </c>
      <c r="H1849" s="13" t="str">
        <f ca="1">IFERROR(__xludf.DUMMYFUNCTION("""COMPUTED_VALUE"""),"她用筐装了很多苹果。")</f>
        <v>她用筐装了很多苹果。</v>
      </c>
      <c r="I1849" s="13"/>
      <c r="J1849" s="13" t="str">
        <f ca="1">IFERROR(__xludf.DUMMYFUNCTION("""COMPUTED_VALUE"""),"Cô ấy dùng giỏ để đựng rất nhiều táo.")</f>
        <v>Cô ấy dùng giỏ để đựng rất nhiều táo.</v>
      </c>
      <c r="K1849" s="13" t="str">
        <f ca="1">IFERROR(__xludf.DUMMYFUNCTION("""COMPUTED_VALUE"""),"H5_B13_BG-36.png")</f>
        <v>H5_B13_BG-36.png</v>
      </c>
      <c r="L1849" s="13" t="str">
        <f ca="1">IFERROR(__xludf.DUMMYFUNCTION("""COMPUTED_VALUE"""),"B13_36.mp3")</f>
        <v>B13_36.mp3</v>
      </c>
      <c r="M1849" s="13" t="str">
        <f ca="1">IFERROR(__xludf.DUMMYFUNCTION("""COMPUTED_VALUE"""),"B13_VD_36.mp3")</f>
        <v>B13_VD_36.mp3</v>
      </c>
    </row>
    <row r="1850" spans="1:13">
      <c r="A1850" s="13">
        <f ca="1">IFERROR(__xludf.DUMMYFUNCTION("""COMPUTED_VALUE"""),37)</f>
        <v>37</v>
      </c>
      <c r="B1850" s="13"/>
      <c r="C1850" s="13" t="str">
        <f ca="1">IFERROR(__xludf.DUMMYFUNCTION("""COMPUTED_VALUE"""),"桃")</f>
        <v>桃</v>
      </c>
      <c r="D1850" s="13" t="str">
        <f ca="1">IFERROR(__xludf.DUMMYFUNCTION("""COMPUTED_VALUE"""),"&lt;ruby&gt;桃&lt;rt&gt;táo&lt;/rt&gt;&lt;/ruby&gt;")</f>
        <v>&lt;ruby&gt;桃&lt;rt&gt;táo&lt;/rt&gt;&lt;/ruby&gt;</v>
      </c>
      <c r="E1850" s="13" t="str">
        <f ca="1">IFERROR(__xludf.DUMMYFUNCTION("""COMPUTED_VALUE"""),"táo")</f>
        <v>táo</v>
      </c>
      <c r="F1850" s="13" t="str">
        <f ca="1">IFERROR(__xludf.DUMMYFUNCTION("""COMPUTED_VALUE"""),"Danh từ")</f>
        <v>Danh từ</v>
      </c>
      <c r="G1850" s="13" t="str">
        <f ca="1">IFERROR(__xludf.DUMMYFUNCTION("""COMPUTED_VALUE"""),"(trái) đào ")</f>
        <v xml:space="preserve">(trái) đào </v>
      </c>
      <c r="H1850" s="13" t="str">
        <f ca="1">IFERROR(__xludf.DUMMYFUNCTION("""COMPUTED_VALUE"""),"我最喜欢吃桃子，因为它又甜又多汁。")</f>
        <v>我最喜欢吃桃子，因为它又甜又多汁。</v>
      </c>
      <c r="I1850" s="13"/>
      <c r="J1850" s="13" t="str">
        <f ca="1">IFERROR(__xludf.DUMMYFUNCTION("""COMPUTED_VALUE"""),"Tôi thích ăn đào nhất, vì nó vừa ngọt vừa mọng nước.")</f>
        <v>Tôi thích ăn đào nhất, vì nó vừa ngọt vừa mọng nước.</v>
      </c>
      <c r="K1850" s="13" t="str">
        <f ca="1">IFERROR(__xludf.DUMMYFUNCTION("""COMPUTED_VALUE"""),"H5_B13_BG-37.png")</f>
        <v>H5_B13_BG-37.png</v>
      </c>
      <c r="L1850" s="13" t="str">
        <f ca="1">IFERROR(__xludf.DUMMYFUNCTION("""COMPUTED_VALUE"""),"B13_37.mp3")</f>
        <v>B13_37.mp3</v>
      </c>
      <c r="M1850" s="13" t="str">
        <f ca="1">IFERROR(__xludf.DUMMYFUNCTION("""COMPUTED_VALUE"""),"B13_VD_37.mp3")</f>
        <v>B13_VD_37.mp3</v>
      </c>
    </row>
    <row r="1851" spans="1:13">
      <c r="A1851" s="13">
        <f ca="1">IFERROR(__xludf.DUMMYFUNCTION("""COMPUTED_VALUE"""),1)</f>
        <v>1</v>
      </c>
      <c r="B1851" s="13"/>
      <c r="C1851" s="13" t="str">
        <f ca="1">IFERROR(__xludf.DUMMYFUNCTION("""COMPUTED_VALUE"""),"方")</f>
        <v>方</v>
      </c>
      <c r="D1851" s="13" t="str">
        <f ca="1">IFERROR(__xludf.DUMMYFUNCTION("""COMPUTED_VALUE"""),"&lt;ruby&gt;方&lt;rt&gt;fāng&lt;/rt&gt;&lt;/ruby&gt;")</f>
        <v>&lt;ruby&gt;方&lt;rt&gt;fāng&lt;/rt&gt;&lt;/ruby&gt;</v>
      </c>
      <c r="E1851" s="13" t="str">
        <f ca="1">IFERROR(__xludf.DUMMYFUNCTION("""COMPUTED_VALUE"""),"fāng")</f>
        <v>fāng</v>
      </c>
      <c r="F1851" s="13" t="str">
        <f ca="1">IFERROR(__xludf.DUMMYFUNCTION("""COMPUTED_VALUE"""),"Tính từ")</f>
        <v>Tính từ</v>
      </c>
      <c r="G1851" s="13" t="str">
        <f ca="1">IFERROR(__xludf.DUMMYFUNCTION("""COMPUTED_VALUE"""),"vuông")</f>
        <v>vuông</v>
      </c>
      <c r="H1851" s="13" t="str">
        <f ca="1">IFERROR(__xludf.DUMMYFUNCTION("""COMPUTED_VALUE"""),"这个图案的主要形状是一个红色的方形，象征着稳定和平衡。")</f>
        <v>这个图案的主要形状是一个红色的方形，象征着稳定和平衡。</v>
      </c>
      <c r="I1851" s="13"/>
      <c r="J1851" s="13" t="str">
        <f ca="1">IFERROR(__xludf.DUMMYFUNCTION("""COMPUTED_VALUE"""),"Hình dạng chính của biểu tượng này là một hình vuông màu đỏ, tượng trưng cho sự ổn định và cân bằng.")</f>
        <v>Hình dạng chính của biểu tượng này là một hình vuông màu đỏ, tượng trưng cho sự ổn định và cân bằng.</v>
      </c>
      <c r="K1851" s="13" t="str">
        <f ca="1">IFERROR(__xludf.DUMMYFUNCTION("""COMPUTED_VALUE"""),"H5_B14_BG-01.png")</f>
        <v>H5_B14_BG-01.png</v>
      </c>
      <c r="L1851" s="13" t="str">
        <f ca="1">IFERROR(__xludf.DUMMYFUNCTION("""COMPUTED_VALUE"""),"B14_1.mp3")</f>
        <v>B14_1.mp3</v>
      </c>
      <c r="M1851" s="13" t="str">
        <f ca="1">IFERROR(__xludf.DUMMYFUNCTION("""COMPUTED_VALUE"""),"B14_VD_1.mp3")</f>
        <v>B14_VD_1.mp3</v>
      </c>
    </row>
    <row r="1852" spans="1:13">
      <c r="A1852" s="13">
        <f ca="1">IFERROR(__xludf.DUMMYFUNCTION("""COMPUTED_VALUE"""),2)</f>
        <v>2</v>
      </c>
      <c r="B1852" s="13"/>
      <c r="C1852" s="13" t="str">
        <f ca="1">IFERROR(__xludf.DUMMYFUNCTION("""COMPUTED_VALUE"""),"功能")</f>
        <v>功能</v>
      </c>
      <c r="D1852" s="13" t="str">
        <f ca="1">IFERROR(__xludf.DUMMYFUNCTION("""COMPUTED_VALUE"""),"&lt;ruby&gt;功能&lt;rt&gt;gōngnéng&lt;/rt&gt;&lt;/ruby&gt;")</f>
        <v>&lt;ruby&gt;功能&lt;rt&gt;gōngnéng&lt;/rt&gt;&lt;/ruby&gt;</v>
      </c>
      <c r="E1852" s="13" t="str">
        <f ca="1">IFERROR(__xludf.DUMMYFUNCTION("""COMPUTED_VALUE"""),"gōngnéng")</f>
        <v>gōngnéng</v>
      </c>
      <c r="F1852" s="13" t="str">
        <f ca="1">IFERROR(__xludf.DUMMYFUNCTION("""COMPUTED_VALUE"""),"Danh từ")</f>
        <v>Danh từ</v>
      </c>
      <c r="G1852" s="13" t="str">
        <f ca="1">IFERROR(__xludf.DUMMYFUNCTION("""COMPUTED_VALUE"""),"chức năng, công dụng")</f>
        <v>chức năng, công dụng</v>
      </c>
      <c r="H1852" s="13" t="str">
        <f ca="1">IFERROR(__xludf.DUMMYFUNCTION("""COMPUTED_VALUE"""),"这个手机有很多新的功能。")</f>
        <v>这个手机有很多新的功能。</v>
      </c>
      <c r="I1852" s="13"/>
      <c r="J1852" s="13" t="str">
        <f ca="1">IFERROR(__xludf.DUMMYFUNCTION("""COMPUTED_VALUE"""),"Chiếc điện thoại này có rất nhiều chức năng mới.")</f>
        <v>Chiếc điện thoại này có rất nhiều chức năng mới.</v>
      </c>
      <c r="K1852" s="13" t="str">
        <f ca="1">IFERROR(__xludf.DUMMYFUNCTION("""COMPUTED_VALUE"""),"H5_B14_BG-02.png")</f>
        <v>H5_B14_BG-02.png</v>
      </c>
      <c r="L1852" s="13" t="str">
        <f ca="1">IFERROR(__xludf.DUMMYFUNCTION("""COMPUTED_VALUE"""),"B14_2.mp3")</f>
        <v>B14_2.mp3</v>
      </c>
      <c r="M1852" s="13" t="str">
        <f ca="1">IFERROR(__xludf.DUMMYFUNCTION("""COMPUTED_VALUE"""),"B14_VD_2.mp3")</f>
        <v>B14_VD_2.mp3</v>
      </c>
    </row>
    <row r="1853" spans="1:13">
      <c r="A1853" s="13">
        <f ca="1">IFERROR(__xludf.DUMMYFUNCTION("""COMPUTED_VALUE"""),3)</f>
        <v>3</v>
      </c>
      <c r="B1853" s="13"/>
      <c r="C1853" s="13" t="str">
        <f ca="1">IFERROR(__xludf.DUMMYFUNCTION("""COMPUTED_VALUE"""),"广泛")</f>
        <v>广泛</v>
      </c>
      <c r="D1853" s="13" t="str">
        <f ca="1">IFERROR(__xludf.DUMMYFUNCTION("""COMPUTED_VALUE"""),"&lt;ruby&gt;广泛&lt;rt&gt;guăngfàn&lt;/rt&gt;&lt;/ruby&gt;")</f>
        <v>&lt;ruby&gt;广泛&lt;rt&gt;guăngfàn&lt;/rt&gt;&lt;/ruby&gt;</v>
      </c>
      <c r="E1853" s="13" t="str">
        <f ca="1">IFERROR(__xludf.DUMMYFUNCTION("""COMPUTED_VALUE"""),"guăngfàn")</f>
        <v>guăngfàn</v>
      </c>
      <c r="F1853" s="13" t="str">
        <f ca="1">IFERROR(__xludf.DUMMYFUNCTION("""COMPUTED_VALUE"""),"Tính từ")</f>
        <v>Tính từ</v>
      </c>
      <c r="G1853" s="13" t="str">
        <f ca="1">IFERROR(__xludf.DUMMYFUNCTION("""COMPUTED_VALUE"""),"rộng rãi, phổ biến")</f>
        <v>rộng rãi, phổ biến</v>
      </c>
      <c r="H1853" s="13" t="str">
        <f ca="1">IFERROR(__xludf.DUMMYFUNCTION("""COMPUTED_VALUE"""),"中文在世界上使用得很广泛。")</f>
        <v>中文在世界上使用得很广泛。</v>
      </c>
      <c r="I1853" s="13"/>
      <c r="J1853" s="13" t="str">
        <f ca="1">IFERROR(__xludf.DUMMYFUNCTION("""COMPUTED_VALUE"""),"Tiếng Trung được sử dụng rất rộng rãi trên thế giới.")</f>
        <v>Tiếng Trung được sử dụng rất rộng rãi trên thế giới.</v>
      </c>
      <c r="K1853" s="13" t="str">
        <f ca="1">IFERROR(__xludf.DUMMYFUNCTION("""COMPUTED_VALUE"""),"H5_B14_BG-03.png")</f>
        <v>H5_B14_BG-03.png</v>
      </c>
      <c r="L1853" s="13" t="str">
        <f ca="1">IFERROR(__xludf.DUMMYFUNCTION("""COMPUTED_VALUE"""),"B14_3.mp3")</f>
        <v>B14_3.mp3</v>
      </c>
      <c r="M1853" s="13" t="str">
        <f ca="1">IFERROR(__xludf.DUMMYFUNCTION("""COMPUTED_VALUE"""),"B14_VD_3.mp3")</f>
        <v>B14_VD_3.mp3</v>
      </c>
    </row>
    <row r="1854" spans="1:13">
      <c r="A1854" s="13">
        <f ca="1">IFERROR(__xludf.DUMMYFUNCTION("""COMPUTED_VALUE"""),4)</f>
        <v>4</v>
      </c>
      <c r="B1854" s="13"/>
      <c r="C1854" s="13" t="str">
        <f ca="1">IFERROR(__xludf.DUMMYFUNCTION("""COMPUTED_VALUE"""),"建筑")</f>
        <v>建筑</v>
      </c>
      <c r="D1854" s="13" t="str">
        <f ca="1">IFERROR(__xludf.DUMMYFUNCTION("""COMPUTED_VALUE"""),"&lt;ruby&gt;建筑&lt;rt&gt;jiànzhù&lt;/rt&gt;&lt;/ruby&gt;")</f>
        <v>&lt;ruby&gt;建筑&lt;rt&gt;jiànzhù&lt;/rt&gt;&lt;/ruby&gt;</v>
      </c>
      <c r="E1854" s="13" t="str">
        <f ca="1">IFERROR(__xludf.DUMMYFUNCTION("""COMPUTED_VALUE"""),"jiànzhù")</f>
        <v>jiànzhù</v>
      </c>
      <c r="F1854" s="13" t="str">
        <f ca="1">IFERROR(__xludf.DUMMYFUNCTION("""COMPUTED_VALUE"""),"Danh từ")</f>
        <v>Danh từ</v>
      </c>
      <c r="G1854" s="13" t="str">
        <f ca="1">IFERROR(__xludf.DUMMYFUNCTION("""COMPUTED_VALUE"""),"kiến trúc, công trình kiến trúc")</f>
        <v>kiến trúc, công trình kiến trúc</v>
      </c>
      <c r="H1854" s="13" t="str">
        <f ca="1">IFERROR(__xludf.DUMMYFUNCTION("""COMPUTED_VALUE"""),"这座建筑很古老。")</f>
        <v>这座建筑很古老。</v>
      </c>
      <c r="I1854" s="13"/>
      <c r="J1854" s="13" t="str">
        <f ca="1">IFERROR(__xludf.DUMMYFUNCTION("""COMPUTED_VALUE"""),"Tòa kiến trúc này rất cổ kính.")</f>
        <v>Tòa kiến trúc này rất cổ kính.</v>
      </c>
      <c r="K1854" s="13" t="str">
        <f ca="1">IFERROR(__xludf.DUMMYFUNCTION("""COMPUTED_VALUE"""),"H5_B14_BG-04.png")</f>
        <v>H5_B14_BG-04.png</v>
      </c>
      <c r="L1854" s="13" t="str">
        <f ca="1">IFERROR(__xludf.DUMMYFUNCTION("""COMPUTED_VALUE"""),"B14_4.mp3")</f>
        <v>B14_4.mp3</v>
      </c>
      <c r="M1854" s="13" t="str">
        <f ca="1">IFERROR(__xludf.DUMMYFUNCTION("""COMPUTED_VALUE"""),"B14_VD_4.mp3")</f>
        <v>B14_VD_4.mp3</v>
      </c>
    </row>
    <row r="1855" spans="1:13">
      <c r="A1855" s="13">
        <f ca="1">IFERROR(__xludf.DUMMYFUNCTION("""COMPUTED_VALUE"""),5)</f>
        <v>5</v>
      </c>
      <c r="B1855" s="13"/>
      <c r="C1855" s="13" t="str">
        <f ca="1">IFERROR(__xludf.DUMMYFUNCTION("""COMPUTED_VALUE"""),"竹子")</f>
        <v>竹子</v>
      </c>
      <c r="D1855" s="13" t="str">
        <f ca="1">IFERROR(__xludf.DUMMYFUNCTION("""COMPUTED_VALUE"""),"&lt;ruby&gt;竹子&lt;rt&gt;zhúzi&lt;/rt&gt;&lt;/ruby&gt;")</f>
        <v>&lt;ruby&gt;竹子&lt;rt&gt;zhúzi&lt;/rt&gt;&lt;/ruby&gt;</v>
      </c>
      <c r="E1855" s="13" t="str">
        <f ca="1">IFERROR(__xludf.DUMMYFUNCTION("""COMPUTED_VALUE"""),"zhúzi")</f>
        <v>zhúzi</v>
      </c>
      <c r="F1855" s="13" t="str">
        <f ca="1">IFERROR(__xludf.DUMMYFUNCTION("""COMPUTED_VALUE"""),"Danh từ")</f>
        <v>Danh từ</v>
      </c>
      <c r="G1855" s="13" t="str">
        <f ca="1">IFERROR(__xludf.DUMMYFUNCTION("""COMPUTED_VALUE"""),"cây trúc, cây tre")</f>
        <v>cây trúc, cây tre</v>
      </c>
      <c r="H1855" s="13" t="str">
        <f ca="1">IFERROR(__xludf.DUMMYFUNCTION("""COMPUTED_VALUE"""),"大熊猫喜欢吃竹子。")</f>
        <v>大熊猫喜欢吃竹子。</v>
      </c>
      <c r="I1855" s="13"/>
      <c r="J1855" s="13" t="str">
        <f ca="1">IFERROR(__xludf.DUMMYFUNCTION("""COMPUTED_VALUE"""),"Gấu trúc thích ăn trúc.")</f>
        <v>Gấu trúc thích ăn trúc.</v>
      </c>
      <c r="K1855" s="13" t="str">
        <f ca="1">IFERROR(__xludf.DUMMYFUNCTION("""COMPUTED_VALUE"""),"H5_B14_BG-05.png")</f>
        <v>H5_B14_BG-05.png</v>
      </c>
      <c r="L1855" s="13" t="str">
        <f ca="1">IFERROR(__xludf.DUMMYFUNCTION("""COMPUTED_VALUE"""),"B14_5.mp3")</f>
        <v>B14_5.mp3</v>
      </c>
      <c r="M1855" s="13" t="str">
        <f ca="1">IFERROR(__xludf.DUMMYFUNCTION("""COMPUTED_VALUE"""),"B14_VD_5.mp3")</f>
        <v>B14_VD_5.mp3</v>
      </c>
    </row>
    <row r="1856" spans="1:13">
      <c r="A1856" s="13">
        <f ca="1">IFERROR(__xludf.DUMMYFUNCTION("""COMPUTED_VALUE"""),6)</f>
        <v>6</v>
      </c>
      <c r="B1856" s="13"/>
      <c r="C1856" s="13" t="str">
        <f ca="1">IFERROR(__xludf.DUMMYFUNCTION("""COMPUTED_VALUE"""),"组成")</f>
        <v>组成</v>
      </c>
      <c r="D1856" s="13" t="str">
        <f ca="1">IFERROR(__xludf.DUMMYFUNCTION("""COMPUTED_VALUE"""),"&lt;ruby&gt;组成&lt;rt&gt;zǔchéng&lt;/rt&gt;&lt;/ruby&gt;")</f>
        <v>&lt;ruby&gt;组成&lt;rt&gt;zǔchéng&lt;/rt&gt;&lt;/ruby&gt;</v>
      </c>
      <c r="E1856" s="13" t="str">
        <f ca="1">IFERROR(__xludf.DUMMYFUNCTION("""COMPUTED_VALUE"""),"zǔchéng")</f>
        <v>zǔchéng</v>
      </c>
      <c r="F1856" s="13" t="str">
        <f ca="1">IFERROR(__xludf.DUMMYFUNCTION("""COMPUTED_VALUE"""),"Động từ")</f>
        <v>Động từ</v>
      </c>
      <c r="G1856" s="13" t="str">
        <f ca="1">IFERROR(__xludf.DUMMYFUNCTION("""COMPUTED_VALUE"""),"tạo thành, hợp thành")</f>
        <v>tạo thành, hợp thành</v>
      </c>
      <c r="H1856" s="13" t="str">
        <f ca="1">IFERROR(__xludf.DUMMYFUNCTION("""COMPUTED_VALUE"""),"这座公园由花园和步道组成。")</f>
        <v>这座公园由花园和步道组成。</v>
      </c>
      <c r="I1856" s="13"/>
      <c r="J1856" s="13" t="str">
        <f ca="1">IFERROR(__xludf.DUMMYFUNCTION("""COMPUTED_VALUE"""),"Công viên này được tạo thành từ vườn hoa và lối đi bộ.")</f>
        <v>Công viên này được tạo thành từ vườn hoa và lối đi bộ.</v>
      </c>
      <c r="K1856" s="13" t="str">
        <f ca="1">IFERROR(__xludf.DUMMYFUNCTION("""COMPUTED_VALUE"""),"H5_B14_BG-06.png")</f>
        <v>H5_B14_BG-06.png</v>
      </c>
      <c r="L1856" s="13" t="str">
        <f ca="1">IFERROR(__xludf.DUMMYFUNCTION("""COMPUTED_VALUE"""),"B14_6.mp3")</f>
        <v>B14_6.mp3</v>
      </c>
      <c r="M1856" s="13" t="str">
        <f ca="1">IFERROR(__xludf.DUMMYFUNCTION("""COMPUTED_VALUE"""),"B14_VD_6.mp3")</f>
        <v>B14_VD_6.mp3</v>
      </c>
    </row>
    <row r="1857" spans="1:13">
      <c r="A1857" s="13">
        <f ca="1">IFERROR(__xludf.DUMMYFUNCTION("""COMPUTED_VALUE"""),7)</f>
        <v>7</v>
      </c>
      <c r="B1857" s="13"/>
      <c r="C1857" s="13" t="str">
        <f ca="1">IFERROR(__xludf.DUMMYFUNCTION("""COMPUTED_VALUE"""),"组合")</f>
        <v>组合</v>
      </c>
      <c r="D1857" s="13" t="str">
        <f ca="1">IFERROR(__xludf.DUMMYFUNCTION("""COMPUTED_VALUE"""),"&lt;ruby&gt;组合&lt;rt&gt;zǔhé&lt;/rt&gt;&lt;/ruby&gt;")</f>
        <v>&lt;ruby&gt;组合&lt;rt&gt;zǔhé&lt;/rt&gt;&lt;/ruby&gt;</v>
      </c>
      <c r="E1857" s="13" t="str">
        <f ca="1">IFERROR(__xludf.DUMMYFUNCTION("""COMPUTED_VALUE"""),"zǔhé")</f>
        <v>zǔhé</v>
      </c>
      <c r="F1857" s="13" t="str">
        <f ca="1">IFERROR(__xludf.DUMMYFUNCTION("""COMPUTED_VALUE"""),"Động từ/Danh từ")</f>
        <v>Động từ/Danh từ</v>
      </c>
      <c r="G1857" s="13" t="str">
        <f ca="1">IFERROR(__xludf.DUMMYFUNCTION("""COMPUTED_VALUE"""),"kết hợp; tổ hợp")</f>
        <v>kết hợp; tổ hợp</v>
      </c>
      <c r="H1857" s="13" t="str">
        <f ca="1">IFERROR(__xludf.DUMMYFUNCTION("""COMPUTED_VALUE"""),"这些家具的组合很美观。")</f>
        <v>这些家具的组合很美观。</v>
      </c>
      <c r="I1857" s="13"/>
      <c r="J1857" s="13" t="str">
        <f ca="1">IFERROR(__xludf.DUMMYFUNCTION("""COMPUTED_VALUE"""),"Sự kết hợp của những món đồ nội thất này rất đẹp mắt.")</f>
        <v>Sự kết hợp của những món đồ nội thất này rất đẹp mắt.</v>
      </c>
      <c r="K1857" s="13" t="str">
        <f ca="1">IFERROR(__xludf.DUMMYFUNCTION("""COMPUTED_VALUE"""),"H5_B14_BG-07.png")</f>
        <v>H5_B14_BG-07.png</v>
      </c>
      <c r="L1857" s="13" t="str">
        <f ca="1">IFERROR(__xludf.DUMMYFUNCTION("""COMPUTED_VALUE"""),"B14_7.mp3")</f>
        <v>B14_7.mp3</v>
      </c>
      <c r="M1857" s="13" t="str">
        <f ca="1">IFERROR(__xludf.DUMMYFUNCTION("""COMPUTED_VALUE"""),"B14_VD_7.mp3")</f>
        <v>B14_VD_7.mp3</v>
      </c>
    </row>
    <row r="1858" spans="1:13">
      <c r="A1858" s="13">
        <f ca="1">IFERROR(__xludf.DUMMYFUNCTION("""COMPUTED_VALUE"""),8)</f>
        <v>8</v>
      </c>
      <c r="B1858" s="13"/>
      <c r="C1858" s="13" t="str">
        <f ca="1">IFERROR(__xludf.DUMMYFUNCTION("""COMPUTED_VALUE"""),"四合院")</f>
        <v>四合院</v>
      </c>
      <c r="D1858" s="13" t="str">
        <f ca="1">IFERROR(__xludf.DUMMYFUNCTION("""COMPUTED_VALUE"""),"&lt;ruby&gt;四合院&lt;rt&gt;sìhéyuàn&lt;/rt&gt;&lt;/ruby&gt;")</f>
        <v>&lt;ruby&gt;四合院&lt;rt&gt;sìhéyuàn&lt;/rt&gt;&lt;/ruby&gt;</v>
      </c>
      <c r="E1858" s="13" t="str">
        <f ca="1">IFERROR(__xludf.DUMMYFUNCTION("""COMPUTED_VALUE"""),"sìhéyuàn")</f>
        <v>sìhéyuàn</v>
      </c>
      <c r="F1858" s="13" t="str">
        <f ca="1">IFERROR(__xludf.DUMMYFUNCTION("""COMPUTED_VALUE"""),"Danh từ")</f>
        <v>Danh từ</v>
      </c>
      <c r="G1858" s="13" t="str">
        <f ca="1">IFERROR(__xludf.DUMMYFUNCTION("""COMPUTED_VALUE"""),"tứ hợp viện")</f>
        <v>tứ hợp viện</v>
      </c>
      <c r="H1858" s="13" t="str">
        <f ca="1">IFERROR(__xludf.DUMMYFUNCTION("""COMPUTED_VALUE"""),"北京的四合院是中国传统建筑的代表。")</f>
        <v>北京的四合院是中国传统建筑的代表。</v>
      </c>
      <c r="I1858" s="13"/>
      <c r="J1858" s="13" t="str">
        <f ca="1">IFERROR(__xludf.DUMMYFUNCTION("""COMPUTED_VALUE"""),"Tứ hợp viện ở Bắc Kinh là đại diện của kiến trúc truyền thống Trung Quốc.")</f>
        <v>Tứ hợp viện ở Bắc Kinh là đại diện của kiến trúc truyền thống Trung Quốc.</v>
      </c>
      <c r="K1858" s="13" t="str">
        <f ca="1">IFERROR(__xludf.DUMMYFUNCTION("""COMPUTED_VALUE"""),"H5_B14_BG-08.png")</f>
        <v>H5_B14_BG-08.png</v>
      </c>
      <c r="L1858" s="13" t="str">
        <f ca="1">IFERROR(__xludf.DUMMYFUNCTION("""COMPUTED_VALUE"""),"B14_8.mp3")</f>
        <v>B14_8.mp3</v>
      </c>
      <c r="M1858" s="13" t="str">
        <f ca="1">IFERROR(__xludf.DUMMYFUNCTION("""COMPUTED_VALUE"""),"B14_VD_8.mp3")</f>
        <v>B14_VD_8.mp3</v>
      </c>
    </row>
    <row r="1859" spans="1:13">
      <c r="A1859" s="13">
        <f ca="1">IFERROR(__xludf.DUMMYFUNCTION("""COMPUTED_VALUE"""),9)</f>
        <v>9</v>
      </c>
      <c r="B1859" s="13"/>
      <c r="C1859" s="13" t="str">
        <f ca="1">IFERROR(__xludf.DUMMYFUNCTION("""COMPUTED_VALUE"""),"民居")</f>
        <v>民居</v>
      </c>
      <c r="D1859" s="13" t="str">
        <f ca="1">IFERROR(__xludf.DUMMYFUNCTION("""COMPUTED_VALUE"""),"&lt;ruby&gt;民居&lt;rt&gt;mínjū&lt;/rt&gt;&lt;/ruby&gt;")</f>
        <v>&lt;ruby&gt;民居&lt;rt&gt;mínjū&lt;/rt&gt;&lt;/ruby&gt;</v>
      </c>
      <c r="E1859" s="13" t="str">
        <f ca="1">IFERROR(__xludf.DUMMYFUNCTION("""COMPUTED_VALUE"""),"mínjū")</f>
        <v>mínjū</v>
      </c>
      <c r="F1859" s="13" t="str">
        <f ca="1">IFERROR(__xludf.DUMMYFUNCTION("""COMPUTED_VALUE"""),"Danh từ")</f>
        <v>Danh từ</v>
      </c>
      <c r="G1859" s="13" t="str">
        <f ca="1">IFERROR(__xludf.DUMMYFUNCTION("""COMPUTED_VALUE"""),"nhà ở của dân")</f>
        <v>nhà ở của dân</v>
      </c>
      <c r="H1859" s="13" t="str">
        <f ca="1">IFERROR(__xludf.DUMMYFUNCTION("""COMPUTED_VALUE"""),"这个圆形的建筑是中国传统的客家民居，叫做土楼。")</f>
        <v>这个圆形的建筑是中国传统的客家民居，叫做土楼。</v>
      </c>
      <c r="I1859" s="13"/>
      <c r="J1859" s="13" t="str">
        <f ca="1">IFERROR(__xludf.DUMMYFUNCTION("""COMPUTED_VALUE"""),"Tòa nhà hình tròn này là nhà ở truyền thống của người Khách Gia ở Trung Quốc, được gọi là ""Thổ Lâu"" (nhà đất).")</f>
        <v>Tòa nhà hình tròn này là nhà ở truyền thống của người Khách Gia ở Trung Quốc, được gọi là "Thổ Lâu" (nhà đất).</v>
      </c>
      <c r="K1859" s="13" t="str">
        <f ca="1">IFERROR(__xludf.DUMMYFUNCTION("""COMPUTED_VALUE"""),"H5_B14_BG-09.png")</f>
        <v>H5_B14_BG-09.png</v>
      </c>
      <c r="L1859" s="13" t="str">
        <f ca="1">IFERROR(__xludf.DUMMYFUNCTION("""COMPUTED_VALUE"""),"B14_9.mp3")</f>
        <v>B14_9.mp3</v>
      </c>
      <c r="M1859" s="13" t="str">
        <f ca="1">IFERROR(__xludf.DUMMYFUNCTION("""COMPUTED_VALUE"""),"B14_VD_9.mp3")</f>
        <v>B14_VD_9.mp3</v>
      </c>
    </row>
    <row r="1860" spans="1:13">
      <c r="A1860" s="13">
        <f ca="1">IFERROR(__xludf.DUMMYFUNCTION("""COMPUTED_VALUE"""),10)</f>
        <v>10</v>
      </c>
      <c r="B1860" s="13"/>
      <c r="C1860" s="13" t="str">
        <f ca="1">IFERROR(__xludf.DUMMYFUNCTION("""COMPUTED_VALUE"""),"并列")</f>
        <v>并列</v>
      </c>
      <c r="D1860" s="13" t="str">
        <f ca="1">IFERROR(__xludf.DUMMYFUNCTION("""COMPUTED_VALUE"""),"&lt;ruby&gt;并列&lt;rt&gt;bìngliè&lt;/rt&gt;&lt;/ruby&gt;")</f>
        <v>&lt;ruby&gt;并列&lt;rt&gt;bìngliè&lt;/rt&gt;&lt;/ruby&gt;</v>
      </c>
      <c r="E1860" s="13" t="str">
        <f ca="1">IFERROR(__xludf.DUMMYFUNCTION("""COMPUTED_VALUE"""),"bìngliè")</f>
        <v>bìngliè</v>
      </c>
      <c r="F1860" s="13" t="str">
        <f ca="1">IFERROR(__xludf.DUMMYFUNCTION("""COMPUTED_VALUE"""),"Động từ")</f>
        <v>Động từ</v>
      </c>
      <c r="G1860" s="13" t="str">
        <f ca="1">IFERROR(__xludf.DUMMYFUNCTION("""COMPUTED_VALUE"""),"đặt song song, đứng cạnh nhau")</f>
        <v>đặt song song, đứng cạnh nhau</v>
      </c>
      <c r="H1860" s="13" t="str">
        <f ca="1">IFERROR(__xludf.DUMMYFUNCTION("""COMPUTED_VALUE"""),"两座房子并列在一起。")</f>
        <v>两座房子并列在一起。</v>
      </c>
      <c r="I1860" s="13"/>
      <c r="J1860" s="13" t="str">
        <f ca="1">IFERROR(__xludf.DUMMYFUNCTION("""COMPUTED_VALUE"""),"Hai ngôi nhà được xây song song với nhau.")</f>
        <v>Hai ngôi nhà được xây song song với nhau.</v>
      </c>
      <c r="K1860" s="13" t="str">
        <f ca="1">IFERROR(__xludf.DUMMYFUNCTION("""COMPUTED_VALUE"""),"H5_B14_BG-10.png")</f>
        <v>H5_B14_BG-10.png</v>
      </c>
      <c r="L1860" s="13" t="str">
        <f ca="1">IFERROR(__xludf.DUMMYFUNCTION("""COMPUTED_VALUE"""),"B14_10.mp3")</f>
        <v>B14_10.mp3</v>
      </c>
      <c r="M1860" s="13" t="str">
        <f ca="1">IFERROR(__xludf.DUMMYFUNCTION("""COMPUTED_VALUE"""),"B14_VD_10.mp3")</f>
        <v>B14_VD_10.mp3</v>
      </c>
    </row>
    <row r="1861" spans="1:13">
      <c r="A1861" s="13">
        <f ca="1">IFERROR(__xludf.DUMMYFUNCTION("""COMPUTED_VALUE"""),11)</f>
        <v>11</v>
      </c>
      <c r="B1861" s="13"/>
      <c r="C1861" s="13" t="str">
        <f ca="1">IFERROR(__xludf.DUMMYFUNCTION("""COMPUTED_VALUE"""),"具备")</f>
        <v>具备</v>
      </c>
      <c r="D1861" s="13" t="str">
        <f ca="1">IFERROR(__xludf.DUMMYFUNCTION("""COMPUTED_VALUE"""),"&lt;ruby&gt;具备&lt;rt&gt;jùbèi&lt;/rt&gt;&lt;/ruby&gt;")</f>
        <v>&lt;ruby&gt;具备&lt;rt&gt;jùbèi&lt;/rt&gt;&lt;/ruby&gt;</v>
      </c>
      <c r="E1861" s="13" t="str">
        <f ca="1">IFERROR(__xludf.DUMMYFUNCTION("""COMPUTED_VALUE"""),"jùbèi")</f>
        <v>jùbèi</v>
      </c>
      <c r="F1861" s="13" t="str">
        <f ca="1">IFERROR(__xludf.DUMMYFUNCTION("""COMPUTED_VALUE"""),"Động từ")</f>
        <v>Động từ</v>
      </c>
      <c r="G1861" s="13" t="str">
        <f ca="1">IFERROR(__xludf.DUMMYFUNCTION("""COMPUTED_VALUE"""),"có đủ, có, sở hữu")</f>
        <v>có đủ, có, sở hữu</v>
      </c>
      <c r="H1861" s="13" t="str">
        <f ca="1">IFERROR(__xludf.DUMMYFUNCTION("""COMPUTED_VALUE"""),"这栋楼具备所有现代化的设备。")</f>
        <v>这栋楼具备所有现代化的设备。</v>
      </c>
      <c r="I1861" s="13"/>
      <c r="J1861" s="13" t="str">
        <f ca="1">IFERROR(__xludf.DUMMYFUNCTION("""COMPUTED_VALUE"""),"Tòa nhà này có đầy đủ các thiết bị hiện đại.")</f>
        <v>Tòa nhà này có đầy đủ các thiết bị hiện đại.</v>
      </c>
      <c r="K1861" s="13" t="str">
        <f ca="1">IFERROR(__xludf.DUMMYFUNCTION("""COMPUTED_VALUE"""),"H5_B14_BG-11.png")</f>
        <v>H5_B14_BG-11.png</v>
      </c>
      <c r="L1861" s="13" t="str">
        <f ca="1">IFERROR(__xludf.DUMMYFUNCTION("""COMPUTED_VALUE"""),"B14_11.mp3")</f>
        <v>B14_11.mp3</v>
      </c>
      <c r="M1861" s="13" t="str">
        <f ca="1">IFERROR(__xludf.DUMMYFUNCTION("""COMPUTED_VALUE"""),"B14_VD_11.mp3")</f>
        <v>B14_VD_11.mp3</v>
      </c>
    </row>
    <row r="1862" spans="1:13">
      <c r="A1862" s="13">
        <f ca="1">IFERROR(__xludf.DUMMYFUNCTION("""COMPUTED_VALUE"""),12)</f>
        <v>12</v>
      </c>
      <c r="B1862" s="13"/>
      <c r="C1862" s="13" t="str">
        <f ca="1">IFERROR(__xludf.DUMMYFUNCTION("""COMPUTED_VALUE"""),"厢房")</f>
        <v>厢房</v>
      </c>
      <c r="D1862" s="13" t="str">
        <f ca="1">IFERROR(__xludf.DUMMYFUNCTION("""COMPUTED_VALUE"""),"&lt;ruby&gt;厢房&lt;rt&gt;xiāngfáng&lt;/rt&gt;&lt;/ruby&gt;")</f>
        <v>&lt;ruby&gt;厢房&lt;rt&gt;xiāngfáng&lt;/rt&gt;&lt;/ruby&gt;</v>
      </c>
      <c r="E1862" s="13" t="str">
        <f ca="1">IFERROR(__xludf.DUMMYFUNCTION("""COMPUTED_VALUE"""),"xiāngfáng")</f>
        <v>xiāngfáng</v>
      </c>
      <c r="F1862" s="13" t="str">
        <f ca="1">IFERROR(__xludf.DUMMYFUNCTION("""COMPUTED_VALUE"""),"Danh từ")</f>
        <v>Danh từ</v>
      </c>
      <c r="G1862" s="13" t="str">
        <f ca="1">IFERROR(__xludf.DUMMYFUNCTION("""COMPUTED_VALUE"""),"chái nhà, hiên nhà")</f>
        <v>chái nhà, hiên nhà</v>
      </c>
      <c r="H1862" s="13" t="str">
        <f ca="1">IFERROR(__xludf.DUMMYFUNCTION("""COMPUTED_VALUE"""),"老房子的厢房被改造成了储藏室。")</f>
        <v>老房子的厢房被改造成了储藏室。</v>
      </c>
      <c r="I1862" s="13"/>
      <c r="J1862" s="13" t="str">
        <f ca="1">IFERROR(__xludf.DUMMYFUNCTION("""COMPUTED_VALUE"""),"Phòng phụ của ngôi nhà cũ đã được cải tạo thành nhà kho.")</f>
        <v>Phòng phụ của ngôi nhà cũ đã được cải tạo thành nhà kho.</v>
      </c>
      <c r="K1862" s="13" t="str">
        <f ca="1">IFERROR(__xludf.DUMMYFUNCTION("""COMPUTED_VALUE"""),"H5_B14_BG-12.png")</f>
        <v>H5_B14_BG-12.png</v>
      </c>
      <c r="L1862" s="13" t="str">
        <f ca="1">IFERROR(__xludf.DUMMYFUNCTION("""COMPUTED_VALUE"""),"B14_12.mp3")</f>
        <v>B14_12.mp3</v>
      </c>
      <c r="M1862" s="13" t="str">
        <f ca="1">IFERROR(__xludf.DUMMYFUNCTION("""COMPUTED_VALUE"""),"B14_VD_12.mp3")</f>
        <v>B14_VD_12.mp3</v>
      </c>
    </row>
    <row r="1863" spans="1:13">
      <c r="A1863" s="13">
        <f ca="1">IFERROR(__xludf.DUMMYFUNCTION("""COMPUTED_VALUE"""),13)</f>
        <v>13</v>
      </c>
      <c r="B1863" s="13"/>
      <c r="C1863" s="13" t="str">
        <f ca="1">IFERROR(__xludf.DUMMYFUNCTION("""COMPUTED_VALUE"""),"走廊")</f>
        <v>走廊</v>
      </c>
      <c r="D1863" s="13" t="str">
        <f ca="1">IFERROR(__xludf.DUMMYFUNCTION("""COMPUTED_VALUE"""),"&lt;ruby&gt;走廊&lt;rt&gt;zǒuláng&lt;/rt&gt;&lt;/ruby&gt;")</f>
        <v>&lt;ruby&gt;走廊&lt;rt&gt;zǒuláng&lt;/rt&gt;&lt;/ruby&gt;</v>
      </c>
      <c r="E1863" s="13" t="str">
        <f ca="1">IFERROR(__xludf.DUMMYFUNCTION("""COMPUTED_VALUE"""),"zǒuláng")</f>
        <v>zǒuláng</v>
      </c>
      <c r="F1863" s="13" t="str">
        <f ca="1">IFERROR(__xludf.DUMMYFUNCTION("""COMPUTED_VALUE"""),"Danh từ")</f>
        <v>Danh từ</v>
      </c>
      <c r="G1863" s="13" t="str">
        <f ca="1">IFERROR(__xludf.DUMMYFUNCTION("""COMPUTED_VALUE"""),"hành lang, hàng hiên")</f>
        <v>hành lang, hàng hiên</v>
      </c>
      <c r="H1863" s="13" t="str">
        <f ca="1">IFERROR(__xludf.DUMMYFUNCTION("""COMPUTED_VALUE"""),"这家酒店的走廊装饰得很漂亮。")</f>
        <v>这家酒店的走廊装饰得很漂亮。</v>
      </c>
      <c r="I1863" s="13"/>
      <c r="J1863" s="13" t="str">
        <f ca="1">IFERROR(__xludf.DUMMYFUNCTION("""COMPUTED_VALUE"""),"Hành lang của khách sạn này được trang trí rất đẹp.")</f>
        <v>Hành lang của khách sạn này được trang trí rất đẹp.</v>
      </c>
      <c r="K1863" s="13" t="str">
        <f ca="1">IFERROR(__xludf.DUMMYFUNCTION("""COMPUTED_VALUE"""),"H5_B14_BG-13.png")</f>
        <v>H5_B14_BG-13.png</v>
      </c>
      <c r="L1863" s="13" t="str">
        <f ca="1">IFERROR(__xludf.DUMMYFUNCTION("""COMPUTED_VALUE"""),"B14_13.mp3")</f>
        <v>B14_13.mp3</v>
      </c>
      <c r="M1863" s="13" t="str">
        <f ca="1">IFERROR(__xludf.DUMMYFUNCTION("""COMPUTED_VALUE"""),"B14_VD_13.mp3")</f>
        <v>B14_VD_13.mp3</v>
      </c>
    </row>
    <row r="1864" spans="1:13">
      <c r="A1864" s="13">
        <f ca="1">IFERROR(__xludf.DUMMYFUNCTION("""COMPUTED_VALUE"""),14)</f>
        <v>14</v>
      </c>
      <c r="B1864" s="13"/>
      <c r="C1864" s="13" t="str">
        <f ca="1">IFERROR(__xludf.DUMMYFUNCTION("""COMPUTED_VALUE"""),"封闭")</f>
        <v>封闭</v>
      </c>
      <c r="D1864" s="13" t="str">
        <f ca="1">IFERROR(__xludf.DUMMYFUNCTION("""COMPUTED_VALUE"""),"&lt;ruby&gt;封闭&lt;rt&gt;fēngbì&lt;/rt&gt;&lt;/ruby&gt;")</f>
        <v>&lt;ruby&gt;封闭&lt;rt&gt;fēngbì&lt;/rt&gt;&lt;/ruby&gt;</v>
      </c>
      <c r="E1864" s="13" t="str">
        <f ca="1">IFERROR(__xludf.DUMMYFUNCTION("""COMPUTED_VALUE"""),"fēngbì")</f>
        <v>fēngbì</v>
      </c>
      <c r="F1864" s="13" t="str">
        <f ca="1">IFERROR(__xludf.DUMMYFUNCTION("""COMPUTED_VALUE"""),"Động từ")</f>
        <v>Động từ</v>
      </c>
      <c r="G1864" s="13" t="str">
        <f ca="1">IFERROR(__xludf.DUMMYFUNCTION("""COMPUTED_VALUE"""),"khép kín")</f>
        <v>khép kín</v>
      </c>
      <c r="H1864" s="13" t="str">
        <f ca="1">IFERROR(__xludf.DUMMYFUNCTION("""COMPUTED_VALUE"""),"这个房间是一个封闭的空间，没有窗户。")</f>
        <v>这个房间是一个封闭的空间，没有窗户。</v>
      </c>
      <c r="I1864" s="13"/>
      <c r="J1864" s="13" t="str">
        <f ca="1">IFERROR(__xludf.DUMMYFUNCTION("""COMPUTED_VALUE"""),"Căn phòng này là một không gian kín, không có cửa sổ.")</f>
        <v>Căn phòng này là một không gian kín, không có cửa sổ.</v>
      </c>
      <c r="K1864" s="13" t="str">
        <f ca="1">IFERROR(__xludf.DUMMYFUNCTION("""COMPUTED_VALUE"""),"H5_B14_BG-14.png")</f>
        <v>H5_B14_BG-14.png</v>
      </c>
      <c r="L1864" s="13" t="str">
        <f ca="1">IFERROR(__xludf.DUMMYFUNCTION("""COMPUTED_VALUE"""),"B14_14.mp3")</f>
        <v>B14_14.mp3</v>
      </c>
      <c r="M1864" s="13" t="str">
        <f ca="1">IFERROR(__xludf.DUMMYFUNCTION("""COMPUTED_VALUE"""),"B14_VD_14.mp3")</f>
        <v>B14_VD_14.mp3</v>
      </c>
    </row>
    <row r="1865" spans="1:13">
      <c r="A1865" s="13">
        <f ca="1">IFERROR(__xludf.DUMMYFUNCTION("""COMPUTED_VALUE"""),15)</f>
        <v>15</v>
      </c>
      <c r="B1865" s="13"/>
      <c r="C1865" s="13" t="str">
        <f ca="1">IFERROR(__xludf.DUMMYFUNCTION("""COMPUTED_VALUE"""),"空间")</f>
        <v>空间</v>
      </c>
      <c r="D1865" s="13" t="str">
        <f ca="1">IFERROR(__xludf.DUMMYFUNCTION("""COMPUTED_VALUE"""),"&lt;ruby&gt;空间&lt;rt&gt;kōngjiān&lt;/rt&gt;&lt;/ruby&gt;")</f>
        <v>&lt;ruby&gt;空间&lt;rt&gt;kōngjiān&lt;/rt&gt;&lt;/ruby&gt;</v>
      </c>
      <c r="E1865" s="13" t="str">
        <f ca="1">IFERROR(__xludf.DUMMYFUNCTION("""COMPUTED_VALUE"""),"kōngjiān")</f>
        <v>kōngjiān</v>
      </c>
      <c r="F1865" s="13" t="str">
        <f ca="1">IFERROR(__xludf.DUMMYFUNCTION("""COMPUTED_VALUE"""),"Danh từ")</f>
        <v>Danh từ</v>
      </c>
      <c r="G1865" s="13" t="str">
        <f ca="1">IFERROR(__xludf.DUMMYFUNCTION("""COMPUTED_VALUE"""),"không gian")</f>
        <v>không gian</v>
      </c>
      <c r="H1865" s="13" t="str">
        <f ca="1">IFERROR(__xludf.DUMMYFUNCTION("""COMPUTED_VALUE"""),"这个房间的空间很大。")</f>
        <v>这个房间的空间很大。</v>
      </c>
      <c r="I1865" s="13"/>
      <c r="J1865" s="13" t="str">
        <f ca="1">IFERROR(__xludf.DUMMYFUNCTION("""COMPUTED_VALUE"""),"Không gian của căn phòng này rất rộng.")</f>
        <v>Không gian của căn phòng này rất rộng.</v>
      </c>
      <c r="K1865" s="13" t="str">
        <f ca="1">IFERROR(__xludf.DUMMYFUNCTION("""COMPUTED_VALUE"""),"H5_B14_BG-15.png")</f>
        <v>H5_B14_BG-15.png</v>
      </c>
      <c r="L1865" s="13" t="str">
        <f ca="1">IFERROR(__xludf.DUMMYFUNCTION("""COMPUTED_VALUE"""),"B14_15.mp3")</f>
        <v>B14_15.mp3</v>
      </c>
      <c r="M1865" s="13" t="str">
        <f ca="1">IFERROR(__xludf.DUMMYFUNCTION("""COMPUTED_VALUE"""),"B14_VD_15.mp3")</f>
        <v>B14_VD_15.mp3</v>
      </c>
    </row>
    <row r="1866" spans="1:13">
      <c r="A1866" s="13">
        <f ca="1">IFERROR(__xludf.DUMMYFUNCTION("""COMPUTED_VALUE"""),16)</f>
        <v>16</v>
      </c>
      <c r="B1866" s="13"/>
      <c r="C1866" s="13" t="str">
        <f ca="1">IFERROR(__xludf.DUMMYFUNCTION("""COMPUTED_VALUE"""),"种")</f>
        <v>种</v>
      </c>
      <c r="D1866" s="13" t="str">
        <f ca="1">IFERROR(__xludf.DUMMYFUNCTION("""COMPUTED_VALUE"""),"&lt;ruby&gt;种&lt;rt&gt;zhòng&lt;/rt&gt;&lt;/ruby&gt;")</f>
        <v>&lt;ruby&gt;种&lt;rt&gt;zhòng&lt;/rt&gt;&lt;/ruby&gt;</v>
      </c>
      <c r="E1866" s="13" t="str">
        <f ca="1">IFERROR(__xludf.DUMMYFUNCTION("""COMPUTED_VALUE"""),"zhòng")</f>
        <v>zhòng</v>
      </c>
      <c r="F1866" s="13" t="str">
        <f ca="1">IFERROR(__xludf.DUMMYFUNCTION("""COMPUTED_VALUE"""),"Động từ")</f>
        <v>Động từ</v>
      </c>
      <c r="G1866" s="13" t="str">
        <f ca="1">IFERROR(__xludf.DUMMYFUNCTION("""COMPUTED_VALUE"""),"trồng")</f>
        <v>trồng</v>
      </c>
      <c r="H1866" s="13" t="str">
        <f ca="1">IFERROR(__xludf.DUMMYFUNCTION("""COMPUTED_VALUE"""),"爷爷在院子里种了很多花。")</f>
        <v>爷爷在院子里种了很多花。</v>
      </c>
      <c r="I1866" s="13"/>
      <c r="J1866" s="13" t="str">
        <f ca="1">IFERROR(__xludf.DUMMYFUNCTION("""COMPUTED_VALUE"""),"Ông nội đã trồng rất nhiều hoa trong sân.")</f>
        <v>Ông nội đã trồng rất nhiều hoa trong sân.</v>
      </c>
      <c r="K1866" s="13" t="str">
        <f ca="1">IFERROR(__xludf.DUMMYFUNCTION("""COMPUTED_VALUE"""),"H5_B14_BG-16.png")</f>
        <v>H5_B14_BG-16.png</v>
      </c>
      <c r="L1866" s="13" t="str">
        <f ca="1">IFERROR(__xludf.DUMMYFUNCTION("""COMPUTED_VALUE"""),"B14_16.mp3")</f>
        <v>B14_16.mp3</v>
      </c>
      <c r="M1866" s="13" t="str">
        <f ca="1">IFERROR(__xludf.DUMMYFUNCTION("""COMPUTED_VALUE"""),"B14_VD_16.mp3")</f>
        <v>B14_VD_16.mp3</v>
      </c>
    </row>
    <row r="1867" spans="1:13">
      <c r="A1867" s="13">
        <f ca="1">IFERROR(__xludf.DUMMYFUNCTION("""COMPUTED_VALUE"""),17)</f>
        <v>17</v>
      </c>
      <c r="B1867" s="13"/>
      <c r="C1867" s="13" t="str">
        <f ca="1">IFERROR(__xludf.DUMMYFUNCTION("""COMPUTED_VALUE"""),"打交道")</f>
        <v>打交道</v>
      </c>
      <c r="D1867" s="13" t="str">
        <f ca="1">IFERROR(__xludf.DUMMYFUNCTION("""COMPUTED_VALUE"""),"&lt;ruby&gt;打交道&lt;rt&gt;dă jiāodào&lt;/rt&gt;&lt;/ruby&gt;")</f>
        <v>&lt;ruby&gt;打交道&lt;rt&gt;dă jiāodào&lt;/rt&gt;&lt;/ruby&gt;</v>
      </c>
      <c r="E1867" s="13" t="str">
        <f ca="1">IFERROR(__xludf.DUMMYFUNCTION("""COMPUTED_VALUE"""),"dă jiāodào")</f>
        <v>dă jiāodào</v>
      </c>
      <c r="F1867" s="13" t="str">
        <f ca="1">IFERROR(__xludf.DUMMYFUNCTION("""COMPUTED_VALUE"""),"Động từ")</f>
        <v>Động từ</v>
      </c>
      <c r="G1867" s="13" t="str">
        <f ca="1">IFERROR(__xludf.DUMMYFUNCTION("""COMPUTED_VALUE"""),"tiếp xúc, kết giao, giao thiệp")</f>
        <v>tiếp xúc, kết giao, giao thiệp</v>
      </c>
      <c r="H1867" s="13" t="str">
        <f ca="1">IFERROR(__xludf.DUMMYFUNCTION("""COMPUTED_VALUE"""),"他经常和外国客户打交道，所以英语说得很好。")</f>
        <v>他经常和外国客户打交道，所以英语说得很好。</v>
      </c>
      <c r="I1867" s="13"/>
      <c r="J1867" s="13" t="str">
        <f ca="1">IFERROR(__xludf.DUMMYFUNCTION("""COMPUTED_VALUE"""),"Anh ấy thường xuyên tiếp xúc với khách hàng nước ngoài, vì vậy nói tiếng Anh rất tốt.")</f>
        <v>Anh ấy thường xuyên tiếp xúc với khách hàng nước ngoài, vì vậy nói tiếng Anh rất tốt.</v>
      </c>
      <c r="K1867" s="13" t="str">
        <f ca="1">IFERROR(__xludf.DUMMYFUNCTION("""COMPUTED_VALUE"""),"H5_B14_BG-17.png")</f>
        <v>H5_B14_BG-17.png</v>
      </c>
      <c r="L1867" s="13" t="str">
        <f ca="1">IFERROR(__xludf.DUMMYFUNCTION("""COMPUTED_VALUE"""),"B14_17.mp3")</f>
        <v>B14_17.mp3</v>
      </c>
      <c r="M1867" s="13" t="str">
        <f ca="1">IFERROR(__xludf.DUMMYFUNCTION("""COMPUTED_VALUE"""),"B14_VD_17.mp3")</f>
        <v>B14_VD_17.mp3</v>
      </c>
    </row>
    <row r="1868" spans="1:13">
      <c r="A1868" s="13">
        <f ca="1">IFERROR(__xludf.DUMMYFUNCTION("""COMPUTED_VALUE"""),18)</f>
        <v>18</v>
      </c>
      <c r="B1868" s="13"/>
      <c r="C1868" s="13" t="str">
        <f ca="1">IFERROR(__xludf.DUMMYFUNCTION("""COMPUTED_VALUE"""),"接待")</f>
        <v>接待</v>
      </c>
      <c r="D1868" s="13" t="str">
        <f ca="1">IFERROR(__xludf.DUMMYFUNCTION("""COMPUTED_VALUE"""),"&lt;ruby&gt;接待&lt;rt&gt;jiēdài&lt;/rt&gt;&lt;/ruby&gt;")</f>
        <v>&lt;ruby&gt;接待&lt;rt&gt;jiēdài&lt;/rt&gt;&lt;/ruby&gt;</v>
      </c>
      <c r="E1868" s="13" t="str">
        <f ca="1">IFERROR(__xludf.DUMMYFUNCTION("""COMPUTED_VALUE"""),"jiēdài")</f>
        <v>jiēdài</v>
      </c>
      <c r="F1868" s="13" t="str">
        <f ca="1">IFERROR(__xludf.DUMMYFUNCTION("""COMPUTED_VALUE"""),"Động từ")</f>
        <v>Động từ</v>
      </c>
      <c r="G1868" s="13" t="str">
        <f ca="1">IFERROR(__xludf.DUMMYFUNCTION("""COMPUTED_VALUE"""),"tiếp đãi")</f>
        <v>tiếp đãi</v>
      </c>
      <c r="H1868" s="13" t="str">
        <f ca="1">IFERROR(__xludf.DUMMYFUNCTION("""COMPUTED_VALUE"""),"小男孩热情地接待了来访的小女孩。")</f>
        <v>小男孩热情地接待了来访的小女孩。</v>
      </c>
      <c r="I1868" s="13"/>
      <c r="J1868" s="13" t="str">
        <f ca="1">IFERROR(__xludf.DUMMYFUNCTION("""COMPUTED_VALUE"""),"Cậu bé nhiệt tình tiếp đãi cô bé đến thăm.")</f>
        <v>Cậu bé nhiệt tình tiếp đãi cô bé đến thăm.</v>
      </c>
      <c r="K1868" s="13" t="str">
        <f ca="1">IFERROR(__xludf.DUMMYFUNCTION("""COMPUTED_VALUE"""),"H5_B14_BG-18.png")</f>
        <v>H5_B14_BG-18.png</v>
      </c>
      <c r="L1868" s="13" t="str">
        <f ca="1">IFERROR(__xludf.DUMMYFUNCTION("""COMPUTED_VALUE"""),"B14_18.mp3")</f>
        <v>B14_18.mp3</v>
      </c>
      <c r="M1868" s="13" t="str">
        <f ca="1">IFERROR(__xludf.DUMMYFUNCTION("""COMPUTED_VALUE"""),"B14_VD_18.mp3")</f>
        <v>B14_VD_18.mp3</v>
      </c>
    </row>
    <row r="1869" spans="1:13">
      <c r="A1869" s="13">
        <f ca="1">IFERROR(__xludf.DUMMYFUNCTION("""COMPUTED_VALUE"""),19)</f>
        <v>19</v>
      </c>
      <c r="B1869" s="13"/>
      <c r="C1869" s="13" t="str">
        <f ca="1">IFERROR(__xludf.DUMMYFUNCTION("""COMPUTED_VALUE"""),"令")</f>
        <v>令</v>
      </c>
      <c r="D1869" s="13" t="str">
        <f ca="1">IFERROR(__xludf.DUMMYFUNCTION("""COMPUTED_VALUE"""),"&lt;ruby&gt;令&lt;rt&gt;lìng&lt;/rt&gt;&lt;/ruby&gt;")</f>
        <v>&lt;ruby&gt;令&lt;rt&gt;lìng&lt;/rt&gt;&lt;/ruby&gt;</v>
      </c>
      <c r="E1869" s="13" t="str">
        <f ca="1">IFERROR(__xludf.DUMMYFUNCTION("""COMPUTED_VALUE"""),"lìng")</f>
        <v>lìng</v>
      </c>
      <c r="F1869" s="13" t="str">
        <f ca="1">IFERROR(__xludf.DUMMYFUNCTION("""COMPUTED_VALUE"""),"Động từ")</f>
        <v>Động từ</v>
      </c>
      <c r="G1869" s="13" t="str">
        <f ca="1">IFERROR(__xludf.DUMMYFUNCTION("""COMPUTED_VALUE"""),"khiến, làm cho")</f>
        <v>khiến, làm cho</v>
      </c>
      <c r="H1869" s="13" t="str">
        <f ca="1">IFERROR(__xludf.DUMMYFUNCTION("""COMPUTED_VALUE"""),"这个消息令我非常高兴。")</f>
        <v>这个消息令我非常高兴。</v>
      </c>
      <c r="I1869" s="13"/>
      <c r="J1869" s="13" t="str">
        <f ca="1">IFERROR(__xludf.DUMMYFUNCTION("""COMPUTED_VALUE"""),"Tin tức này khiến tôi rất vui.")</f>
        <v>Tin tức này khiến tôi rất vui.</v>
      </c>
      <c r="K1869" s="13" t="str">
        <f ca="1">IFERROR(__xludf.DUMMYFUNCTION("""COMPUTED_VALUE"""),"H5_B14_BG-19.png")</f>
        <v>H5_B14_BG-19.png</v>
      </c>
      <c r="L1869" s="13" t="str">
        <f ca="1">IFERROR(__xludf.DUMMYFUNCTION("""COMPUTED_VALUE"""),"B14_19.mp3")</f>
        <v>B14_19.mp3</v>
      </c>
      <c r="M1869" s="13" t="str">
        <f ca="1">IFERROR(__xludf.DUMMYFUNCTION("""COMPUTED_VALUE"""),"B14_VD_19.mp3")</f>
        <v>B14_VD_19.mp3</v>
      </c>
    </row>
    <row r="1870" spans="1:13">
      <c r="A1870" s="13">
        <f ca="1">IFERROR(__xludf.DUMMYFUNCTION("""COMPUTED_VALUE"""),20)</f>
        <v>20</v>
      </c>
      <c r="B1870" s="13"/>
      <c r="C1870" s="13" t="str">
        <f ca="1">IFERROR(__xludf.DUMMYFUNCTION("""COMPUTED_VALUE"""),"矛盾")</f>
        <v>矛盾</v>
      </c>
      <c r="D1870" s="13" t="str">
        <f ca="1">IFERROR(__xludf.DUMMYFUNCTION("""COMPUTED_VALUE"""),"&lt;ruby&gt;矛盾&lt;rt&gt;máodùn&lt;/rt&gt;&lt;/ruby&gt;")</f>
        <v>&lt;ruby&gt;矛盾&lt;rt&gt;máodùn&lt;/rt&gt;&lt;/ruby&gt;</v>
      </c>
      <c r="E1870" s="13" t="str">
        <f ca="1">IFERROR(__xludf.DUMMYFUNCTION("""COMPUTED_VALUE"""),"máodùn")</f>
        <v>máodùn</v>
      </c>
      <c r="F1870" s="13" t="str">
        <f ca="1">IFERROR(__xludf.DUMMYFUNCTION("""COMPUTED_VALUE"""),"Danh từ/Tính từ")</f>
        <v>Danh từ/Tính từ</v>
      </c>
      <c r="G1870" s="13" t="str">
        <f ca="1">IFERROR(__xludf.DUMMYFUNCTION("""COMPUTED_VALUE"""),"sự mâu thuẫn; mâu thuẫn")</f>
        <v>sự mâu thuẫn; mâu thuẫn</v>
      </c>
      <c r="H1870" s="13" t="str">
        <f ca="1">IFERROR(__xludf.DUMMYFUNCTION("""COMPUTED_VALUE"""),"他们之间的矛盾越来越深。")</f>
        <v>他们之间的矛盾越来越深。</v>
      </c>
      <c r="I1870" s="13"/>
      <c r="J1870" s="13" t="str">
        <f ca="1">IFERROR(__xludf.DUMMYFUNCTION("""COMPUTED_VALUE"""),"Mâu thuẫn giữa họ ngày càng sâu sắc.")</f>
        <v>Mâu thuẫn giữa họ ngày càng sâu sắc.</v>
      </c>
      <c r="K1870" s="13" t="str">
        <f ca="1">IFERROR(__xludf.DUMMYFUNCTION("""COMPUTED_VALUE"""),"H5_B14_BG-20.png")</f>
        <v>H5_B14_BG-20.png</v>
      </c>
      <c r="L1870" s="13" t="str">
        <f ca="1">IFERROR(__xludf.DUMMYFUNCTION("""COMPUTED_VALUE"""),"B14_20.mp3")</f>
        <v>B14_20.mp3</v>
      </c>
      <c r="M1870" s="13" t="str">
        <f ca="1">IFERROR(__xludf.DUMMYFUNCTION("""COMPUTED_VALUE"""),"B14_VD_20.mp3")</f>
        <v>B14_VD_20.mp3</v>
      </c>
    </row>
    <row r="1871" spans="1:13">
      <c r="A1871" s="13">
        <f ca="1">IFERROR(__xludf.DUMMYFUNCTION("""COMPUTED_VALUE"""),21)</f>
        <v>21</v>
      </c>
      <c r="B1871" s="13"/>
      <c r="C1871" s="13" t="str">
        <f ca="1">IFERROR(__xludf.DUMMYFUNCTION("""COMPUTED_VALUE"""),"亲切")</f>
        <v>亲切</v>
      </c>
      <c r="D1871" s="13" t="str">
        <f ca="1">IFERROR(__xludf.DUMMYFUNCTION("""COMPUTED_VALUE"""),"&lt;ruby&gt;亲切&lt;rt&gt;qīnqiè&lt;/rt&gt;&lt;/ruby&gt;")</f>
        <v>&lt;ruby&gt;亲切&lt;rt&gt;qīnqiè&lt;/rt&gt;&lt;/ruby&gt;</v>
      </c>
      <c r="E1871" s="13" t="str">
        <f ca="1">IFERROR(__xludf.DUMMYFUNCTION("""COMPUTED_VALUE"""),"qīnqiè")</f>
        <v>qīnqiè</v>
      </c>
      <c r="F1871" s="13" t="str">
        <f ca="1">IFERROR(__xludf.DUMMYFUNCTION("""COMPUTED_VALUE"""),"Tính từ")</f>
        <v>Tính từ</v>
      </c>
      <c r="G1871" s="13" t="str">
        <f ca="1">IFERROR(__xludf.DUMMYFUNCTION("""COMPUTED_VALUE"""),"thân thiết, gần gũi")</f>
        <v>thân thiết, gần gũi</v>
      </c>
      <c r="H1871" s="13" t="str">
        <f ca="1">IFERROR(__xludf.DUMMYFUNCTION("""COMPUTED_VALUE"""),"邻居们对我非常亲切，总是主动打招呼。")</f>
        <v>邻居们对我非常亲切，总是主动打招呼。</v>
      </c>
      <c r="I1871" s="13"/>
      <c r="J1871" s="13" t="str">
        <f ca="1">IFERROR(__xludf.DUMMYFUNCTION("""COMPUTED_VALUE"""),"Hàng xóm đối xử với tôi rất thân thiện, luôn chủ động chào hỏi.")</f>
        <v>Hàng xóm đối xử với tôi rất thân thiện, luôn chủ động chào hỏi.</v>
      </c>
      <c r="K1871" s="13" t="str">
        <f ca="1">IFERROR(__xludf.DUMMYFUNCTION("""COMPUTED_VALUE"""),"H5_B14_BG-21.png")</f>
        <v>H5_B14_BG-21.png</v>
      </c>
      <c r="L1871" s="13" t="str">
        <f ca="1">IFERROR(__xludf.DUMMYFUNCTION("""COMPUTED_VALUE"""),"B14_21.mp3")</f>
        <v>B14_21.mp3</v>
      </c>
      <c r="M1871" s="13" t="str">
        <f ca="1">IFERROR(__xludf.DUMMYFUNCTION("""COMPUTED_VALUE"""),"B14_VD_21.mp3")</f>
        <v>B14_VD_21.mp3</v>
      </c>
    </row>
    <row r="1872" spans="1:13">
      <c r="A1872" s="13">
        <f ca="1">IFERROR(__xludf.DUMMYFUNCTION("""COMPUTED_VALUE"""),22)</f>
        <v>22</v>
      </c>
      <c r="B1872" s="13"/>
      <c r="C1872" s="13" t="str">
        <f ca="1">IFERROR(__xludf.DUMMYFUNCTION("""COMPUTED_VALUE"""),"日常")</f>
        <v>日常</v>
      </c>
      <c r="D1872" s="13" t="str">
        <f ca="1">IFERROR(__xludf.DUMMYFUNCTION("""COMPUTED_VALUE"""),"&lt;ruby&gt;日常&lt;rt&gt;rìcháng&lt;/rt&gt;&lt;/ruby&gt;")</f>
        <v>&lt;ruby&gt;日常&lt;rt&gt;rìcháng&lt;/rt&gt;&lt;/ruby&gt;</v>
      </c>
      <c r="E1872" s="13" t="str">
        <f ca="1">IFERROR(__xludf.DUMMYFUNCTION("""COMPUTED_VALUE"""),"rìcháng")</f>
        <v>rìcháng</v>
      </c>
      <c r="F1872" s="13" t="str">
        <f ca="1">IFERROR(__xludf.DUMMYFUNCTION("""COMPUTED_VALUE"""),"Tính từ")</f>
        <v>Tính từ</v>
      </c>
      <c r="G1872" s="13" t="str">
        <f ca="1">IFERROR(__xludf.DUMMYFUNCTION("""COMPUTED_VALUE"""),"hằng ngày")</f>
        <v>hằng ngày</v>
      </c>
      <c r="H1872" s="13" t="str">
        <f ca="1">IFERROR(__xludf.DUMMYFUNCTION("""COMPUTED_VALUE"""),"她喜欢拍日常生活的视频。")</f>
        <v>她喜欢拍日常生活的视频。</v>
      </c>
      <c r="I1872" s="13"/>
      <c r="J1872" s="13" t="str">
        <f ca="1">IFERROR(__xludf.DUMMYFUNCTION("""COMPUTED_VALUE"""),"Cô ấy thích quay video về cuộc sống thường ngày.")</f>
        <v>Cô ấy thích quay video về cuộc sống thường ngày.</v>
      </c>
      <c r="K1872" s="13" t="str">
        <f ca="1">IFERROR(__xludf.DUMMYFUNCTION("""COMPUTED_VALUE"""),"H5_B14_BG-22.png")</f>
        <v>H5_B14_BG-22.png</v>
      </c>
      <c r="L1872" s="13" t="str">
        <f ca="1">IFERROR(__xludf.DUMMYFUNCTION("""COMPUTED_VALUE"""),"B14_22.mp3")</f>
        <v>B14_22.mp3</v>
      </c>
      <c r="M1872" s="13" t="str">
        <f ca="1">IFERROR(__xludf.DUMMYFUNCTION("""COMPUTED_VALUE"""),"B14_VD_22.mp3")</f>
        <v>B14_VD_22.mp3</v>
      </c>
    </row>
    <row r="1873" spans="1:13">
      <c r="A1873" s="13">
        <f ca="1">IFERROR(__xludf.DUMMYFUNCTION("""COMPUTED_VALUE"""),23)</f>
        <v>23</v>
      </c>
      <c r="B1873" s="13"/>
      <c r="C1873" s="13" t="str">
        <f ca="1">IFERROR(__xludf.DUMMYFUNCTION("""COMPUTED_VALUE"""),"日子")</f>
        <v>日子</v>
      </c>
      <c r="D1873" s="13" t="str">
        <f ca="1">IFERROR(__xludf.DUMMYFUNCTION("""COMPUTED_VALUE"""),"&lt;ruby&gt;日子&lt;rt&gt;rìzi&lt;/rt&gt;&lt;/ruby&gt;")</f>
        <v>&lt;ruby&gt;日子&lt;rt&gt;rìzi&lt;/rt&gt;&lt;/ruby&gt;</v>
      </c>
      <c r="E1873" s="13" t="str">
        <f ca="1">IFERROR(__xludf.DUMMYFUNCTION("""COMPUTED_VALUE"""),"rìzi")</f>
        <v>rìzi</v>
      </c>
      <c r="F1873" s="13" t="str">
        <f ca="1">IFERROR(__xludf.DUMMYFUNCTION("""COMPUTED_VALUE"""),"Danh từ")</f>
        <v>Danh từ</v>
      </c>
      <c r="G1873" s="13" t="str">
        <f ca="1">IFERROR(__xludf.DUMMYFUNCTION("""COMPUTED_VALUE"""),"cuộc sống, ngày tháng")</f>
        <v>cuộc sống, ngày tháng</v>
      </c>
      <c r="H1873" s="13" t="str">
        <f ca="1">IFERROR(__xludf.DUMMYFUNCTION("""COMPUTED_VALUE"""),"我们的日子过得很开心。")</f>
        <v>我们的日子过得很开心。</v>
      </c>
      <c r="I1873" s="13"/>
      <c r="J1873" s="13" t="str">
        <f ca="1">IFERROR(__xludf.DUMMYFUNCTION("""COMPUTED_VALUE"""),"Cuộc sống của chúng tôi trôi qua rất vui vẻ")</f>
        <v>Cuộc sống của chúng tôi trôi qua rất vui vẻ</v>
      </c>
      <c r="K1873" s="13" t="str">
        <f ca="1">IFERROR(__xludf.DUMMYFUNCTION("""COMPUTED_VALUE"""),"H5_B14_BG-23.png")</f>
        <v>H5_B14_BG-23.png</v>
      </c>
      <c r="L1873" s="13" t="str">
        <f ca="1">IFERROR(__xludf.DUMMYFUNCTION("""COMPUTED_VALUE"""),"B14_23.mp3")</f>
        <v>B14_23.mp3</v>
      </c>
      <c r="M1873" s="13" t="str">
        <f ca="1">IFERROR(__xludf.DUMMYFUNCTION("""COMPUTED_VALUE"""),"B14_VD_23.mp3")</f>
        <v>B14_VD_23.mp3</v>
      </c>
    </row>
    <row r="1874" spans="1:13">
      <c r="A1874" s="13">
        <f ca="1">IFERROR(__xludf.DUMMYFUNCTION("""COMPUTED_VALUE"""),24)</f>
        <v>24</v>
      </c>
      <c r="B1874" s="13"/>
      <c r="C1874" s="13" t="str">
        <f ca="1">IFERROR(__xludf.DUMMYFUNCTION("""COMPUTED_VALUE"""),"所谓")</f>
        <v>所谓</v>
      </c>
      <c r="D1874" s="13" t="str">
        <f ca="1">IFERROR(__xludf.DUMMYFUNCTION("""COMPUTED_VALUE"""),"&lt;ruby&gt;所谓&lt;rt&gt;suǒwèi&lt;/rt&gt;&lt;/ruby&gt;")</f>
        <v>&lt;ruby&gt;所谓&lt;rt&gt;suǒwèi&lt;/rt&gt;&lt;/ruby&gt;</v>
      </c>
      <c r="E1874" s="13" t="str">
        <f ca="1">IFERROR(__xludf.DUMMYFUNCTION("""COMPUTED_VALUE"""),"suǒwèi")</f>
        <v>suǒwèi</v>
      </c>
      <c r="F1874" s="13" t="str">
        <f ca="1">IFERROR(__xludf.DUMMYFUNCTION("""COMPUTED_VALUE"""),"Tính từ")</f>
        <v>Tính từ</v>
      </c>
      <c r="G1874" s="13" t="str">
        <f ca="1">IFERROR(__xludf.DUMMYFUNCTION("""COMPUTED_VALUE"""),"gọi là, cái gọi là")</f>
        <v>gọi là, cái gọi là</v>
      </c>
      <c r="H1874" s="13" t="str">
        <f ca="1">IFERROR(__xludf.DUMMYFUNCTION("""COMPUTED_VALUE"""),"所谓朋友，就是能互相帮助的人。")</f>
        <v>所谓朋友，就是能互相帮助的人。</v>
      </c>
      <c r="I1874" s="13"/>
      <c r="J1874" s="13" t="str">
        <f ca="1">IFERROR(__xludf.DUMMYFUNCTION("""COMPUTED_VALUE"""),"Cái gọi là bạn bè là người có thể giúp đỡ lẫn nhau.")</f>
        <v>Cái gọi là bạn bè là người có thể giúp đỡ lẫn nhau.</v>
      </c>
      <c r="K1874" s="13" t="str">
        <f ca="1">IFERROR(__xludf.DUMMYFUNCTION("""COMPUTED_VALUE"""),"H5_B14_BG-24.png")</f>
        <v>H5_B14_BG-24.png</v>
      </c>
      <c r="L1874" s="13" t="str">
        <f ca="1">IFERROR(__xludf.DUMMYFUNCTION("""COMPUTED_VALUE"""),"B14_24.mp3")</f>
        <v>B14_24.mp3</v>
      </c>
      <c r="M1874" s="13" t="str">
        <f ca="1">IFERROR(__xludf.DUMMYFUNCTION("""COMPUTED_VALUE"""),"B14_VD_24.mp3")</f>
        <v>B14_VD_24.mp3</v>
      </c>
    </row>
    <row r="1875" spans="1:13">
      <c r="A1875" s="13">
        <f ca="1">IFERROR(__xludf.DUMMYFUNCTION("""COMPUTED_VALUE"""),25)</f>
        <v>25</v>
      </c>
      <c r="B1875" s="13"/>
      <c r="C1875" s="13" t="str">
        <f ca="1">IFERROR(__xludf.DUMMYFUNCTION("""COMPUTED_VALUE"""),"通常")</f>
        <v>通常</v>
      </c>
      <c r="D1875" s="13" t="str">
        <f ca="1">IFERROR(__xludf.DUMMYFUNCTION("""COMPUTED_VALUE"""),"&lt;ruby&gt;通常&lt;rt&gt;tōngcháng&lt;/rt&gt;&lt;/ruby&gt;")</f>
        <v>&lt;ruby&gt;通常&lt;rt&gt;tōngcháng&lt;/rt&gt;&lt;/ruby&gt;</v>
      </c>
      <c r="E1875" s="13" t="str">
        <f ca="1">IFERROR(__xludf.DUMMYFUNCTION("""COMPUTED_VALUE"""),"tōngcháng")</f>
        <v>tōngcháng</v>
      </c>
      <c r="F1875" s="13" t="str">
        <f ca="1">IFERROR(__xludf.DUMMYFUNCTION("""COMPUTED_VALUE"""),"Phó từ ")</f>
        <v xml:space="preserve">Phó từ </v>
      </c>
      <c r="G1875" s="13" t="str">
        <f ca="1">IFERROR(__xludf.DUMMYFUNCTION("""COMPUTED_VALUE"""),"thường, thông thường, bình thường")</f>
        <v>thường, thông thường, bình thường</v>
      </c>
      <c r="H1875" s="13" t="str">
        <f ca="1">IFERROR(__xludf.DUMMYFUNCTION("""COMPUTED_VALUE"""),"他通常早上七点起床，开始一天的工作。")</f>
        <v>他通常早上七点起床，开始一天的工作。</v>
      </c>
      <c r="I1875" s="13"/>
      <c r="J1875" s="13" t="str">
        <f ca="1">IFERROR(__xludf.DUMMYFUNCTION("""COMPUTED_VALUE"""),"Anh ấy thường thức dậy lúc 7 giờ sáng và bắt đầu công việc trong ngày.")</f>
        <v>Anh ấy thường thức dậy lúc 7 giờ sáng và bắt đầu công việc trong ngày.</v>
      </c>
      <c r="K1875" s="13" t="str">
        <f ca="1">IFERROR(__xludf.DUMMYFUNCTION("""COMPUTED_VALUE"""),"H5_B14_BG-25.png")</f>
        <v>H5_B14_BG-25.png</v>
      </c>
      <c r="L1875" s="13" t="str">
        <f ca="1">IFERROR(__xludf.DUMMYFUNCTION("""COMPUTED_VALUE"""),"B14_25.mp3")</f>
        <v>B14_25.mp3</v>
      </c>
      <c r="M1875" s="13" t="str">
        <f ca="1">IFERROR(__xludf.DUMMYFUNCTION("""COMPUTED_VALUE"""),"B14_VD_25.mp3")</f>
        <v>B14_VD_25.mp3</v>
      </c>
    </row>
    <row r="1876" spans="1:13">
      <c r="A1876" s="13">
        <f ca="1">IFERROR(__xludf.DUMMYFUNCTION("""COMPUTED_VALUE"""),26)</f>
        <v>26</v>
      </c>
      <c r="B1876" s="13"/>
      <c r="C1876" s="13" t="str">
        <f ca="1">IFERROR(__xludf.DUMMYFUNCTION("""COMPUTED_VALUE"""),"为")</f>
        <v>为</v>
      </c>
      <c r="D1876" s="13" t="str">
        <f ca="1">IFERROR(__xludf.DUMMYFUNCTION("""COMPUTED_VALUE"""),"&lt;ruby&gt;为&lt;rt&gt;wéi&lt;/rt&gt;&lt;/ruby&gt;")</f>
        <v>&lt;ruby&gt;为&lt;rt&gt;wéi&lt;/rt&gt;&lt;/ruby&gt;</v>
      </c>
      <c r="E1876" s="13" t="str">
        <f ca="1">IFERROR(__xludf.DUMMYFUNCTION("""COMPUTED_VALUE"""),"wéi")</f>
        <v>wéi</v>
      </c>
      <c r="F1876" s="13" t="str">
        <f ca="1">IFERROR(__xludf.DUMMYFUNCTION("""COMPUTED_VALUE"""),"Giới từ")</f>
        <v>Giới từ</v>
      </c>
      <c r="G1876" s="13" t="str">
        <f ca="1">IFERROR(__xludf.DUMMYFUNCTION("""COMPUTED_VALUE"""),"(thường được dùng với ""所"") bị, được")</f>
        <v>(thường được dùng với "所") bị, được</v>
      </c>
      <c r="H1876" s="13" t="str">
        <f ca="1">IFERROR(__xludf.DUMMYFUNCTION("""COMPUTED_VALUE"""),"他的行为为大家所赞赏。")</f>
        <v>他的行为为大家所赞赏。</v>
      </c>
      <c r="I1876" s="13"/>
      <c r="J1876" s="13" t="str">
        <f ca="1">IFERROR(__xludf.DUMMYFUNCTION("""COMPUTED_VALUE"""),"Hành vi của anh ấy được mọi người tán thưởng.")</f>
        <v>Hành vi của anh ấy được mọi người tán thưởng.</v>
      </c>
      <c r="K1876" s="13" t="str">
        <f ca="1">IFERROR(__xludf.DUMMYFUNCTION("""COMPUTED_VALUE"""),"H5_B14_BG-26.png")</f>
        <v>H5_B14_BG-26.png</v>
      </c>
      <c r="L1876" s="13" t="str">
        <f ca="1">IFERROR(__xludf.DUMMYFUNCTION("""COMPUTED_VALUE"""),"B14_26.mp3")</f>
        <v>B14_26.mp3</v>
      </c>
      <c r="M1876" s="13" t="str">
        <f ca="1">IFERROR(__xludf.DUMMYFUNCTION("""COMPUTED_VALUE"""),"B14_VD_26.mp3")</f>
        <v>B14_VD_26.mp3</v>
      </c>
    </row>
    <row r="1877" spans="1:13">
      <c r="A1877" s="13">
        <f ca="1">IFERROR(__xludf.DUMMYFUNCTION("""COMPUTED_VALUE"""),27)</f>
        <v>27</v>
      </c>
      <c r="B1877" s="13"/>
      <c r="C1877" s="13" t="str">
        <f ca="1">IFERROR(__xludf.DUMMYFUNCTION("""COMPUTED_VALUE"""),"形式")</f>
        <v>形式</v>
      </c>
      <c r="D1877" s="13" t="str">
        <f ca="1">IFERROR(__xludf.DUMMYFUNCTION("""COMPUTED_VALUE"""),"&lt;ruby&gt;形式&lt;rt&gt;xíngshì&lt;/rt&gt;&lt;/ruby&gt;")</f>
        <v>&lt;ruby&gt;形式&lt;rt&gt;xíngshì&lt;/rt&gt;&lt;/ruby&gt;</v>
      </c>
      <c r="E1877" s="13" t="str">
        <f ca="1">IFERROR(__xludf.DUMMYFUNCTION("""COMPUTED_VALUE"""),"xíngshì")</f>
        <v>xíngshì</v>
      </c>
      <c r="F1877" s="13" t="str">
        <f ca="1">IFERROR(__xludf.DUMMYFUNCTION("""COMPUTED_VALUE"""),"Danh từ")</f>
        <v>Danh từ</v>
      </c>
      <c r="G1877" s="13" t="str">
        <f ca="1">IFERROR(__xludf.DUMMYFUNCTION("""COMPUTED_VALUE"""),"hình thức, kiểu")</f>
        <v>hình thức, kiểu</v>
      </c>
      <c r="H1877" s="13" t="str">
        <f ca="1">IFERROR(__xludf.DUMMYFUNCTION("""COMPUTED_VALUE"""),"他的表演形式很特别。")</f>
        <v>他的表演形式很特别。</v>
      </c>
      <c r="I1877" s="13"/>
      <c r="J1877" s="13" t="str">
        <f ca="1">IFERROR(__xludf.DUMMYFUNCTION("""COMPUTED_VALUE"""),"Hình thức biểu diễn của anh ấy rất đặc biệt.")</f>
        <v>Hình thức biểu diễn của anh ấy rất đặc biệt.</v>
      </c>
      <c r="K1877" s="13" t="str">
        <f ca="1">IFERROR(__xludf.DUMMYFUNCTION("""COMPUTED_VALUE"""),"H5_B14_BG-27.png")</f>
        <v>H5_B14_BG-27.png</v>
      </c>
      <c r="L1877" s="13" t="str">
        <f ca="1">IFERROR(__xludf.DUMMYFUNCTION("""COMPUTED_VALUE"""),"B14_27.mp3")</f>
        <v>B14_27.mp3</v>
      </c>
      <c r="M1877" s="13" t="str">
        <f ca="1">IFERROR(__xludf.DUMMYFUNCTION("""COMPUTED_VALUE"""),"B14_VD_27.mp3")</f>
        <v>B14_VD_27.mp3</v>
      </c>
    </row>
    <row r="1878" spans="1:13">
      <c r="A1878" s="13">
        <f ca="1">IFERROR(__xludf.DUMMYFUNCTION("""COMPUTED_VALUE"""),28)</f>
        <v>28</v>
      </c>
      <c r="B1878" s="13"/>
      <c r="C1878" s="13" t="str">
        <f ca="1">IFERROR(__xludf.DUMMYFUNCTION("""COMPUTED_VALUE"""),"长辈")</f>
        <v>长辈</v>
      </c>
      <c r="D1878" s="13" t="str">
        <f ca="1">IFERROR(__xludf.DUMMYFUNCTION("""COMPUTED_VALUE"""),"&lt;ruby&gt;长辈&lt;rt&gt;zhǎngbèi&lt;/rt&gt;&lt;/ruby&gt;")</f>
        <v>&lt;ruby&gt;长辈&lt;rt&gt;zhǎngbèi&lt;/rt&gt;&lt;/ruby&gt;</v>
      </c>
      <c r="E1878" s="13" t="str">
        <f ca="1">IFERROR(__xludf.DUMMYFUNCTION("""COMPUTED_VALUE"""),"zhǎngbèi")</f>
        <v>zhǎngbèi</v>
      </c>
      <c r="F1878" s="13" t="str">
        <f ca="1">IFERROR(__xludf.DUMMYFUNCTION("""COMPUTED_VALUE"""),"Danh từ")</f>
        <v>Danh từ</v>
      </c>
      <c r="G1878" s="13" t="str">
        <f ca="1">IFERROR(__xludf.DUMMYFUNCTION("""COMPUTED_VALUE"""),"bề trên, người lớn tuổi, bậc cha chú")</f>
        <v>bề trên, người lớn tuổi, bậc cha chú</v>
      </c>
      <c r="H1878" s="13" t="str">
        <f ca="1">IFERROR(__xludf.DUMMYFUNCTION("""COMPUTED_VALUE"""),"我们每个人都要尊敬长辈。")</f>
        <v>我们每个人都要尊敬长辈。</v>
      </c>
      <c r="I1878" s="13"/>
      <c r="J1878" s="13" t="str">
        <f ca="1">IFERROR(__xludf.DUMMYFUNCTION("""COMPUTED_VALUE"""),"Mỗi người chúng ta đều phải kính trọng người lớn tuổi.")</f>
        <v>Mỗi người chúng ta đều phải kính trọng người lớn tuổi.</v>
      </c>
      <c r="K1878" s="13" t="str">
        <f ca="1">IFERROR(__xludf.DUMMYFUNCTION("""COMPUTED_VALUE"""),"H5_B14_BG-28.png")</f>
        <v>H5_B14_BG-28.png</v>
      </c>
      <c r="L1878" s="13" t="str">
        <f ca="1">IFERROR(__xludf.DUMMYFUNCTION("""COMPUTED_VALUE"""),"B14_28.mp3")</f>
        <v>B14_28.mp3</v>
      </c>
      <c r="M1878" s="13" t="str">
        <f ca="1">IFERROR(__xludf.DUMMYFUNCTION("""COMPUTED_VALUE"""),"B14_VD_28.mp3")</f>
        <v>B14_VD_28.mp3</v>
      </c>
    </row>
    <row r="1879" spans="1:13">
      <c r="A1879" s="13">
        <f ca="1">IFERROR(__xludf.DUMMYFUNCTION("""COMPUTED_VALUE"""),29)</f>
        <v>29</v>
      </c>
      <c r="B1879" s="13"/>
      <c r="C1879" s="13" t="str">
        <f ca="1">IFERROR(__xludf.DUMMYFUNCTION("""COMPUTED_VALUE"""),"劳动")</f>
        <v>劳动</v>
      </c>
      <c r="D1879" s="13" t="str">
        <f ca="1">IFERROR(__xludf.DUMMYFUNCTION("""COMPUTED_VALUE"""),"&lt;ruby&gt;劳动&lt;rt&gt;láodòng&lt;/rt&gt;&lt;/ruby&gt;")</f>
        <v>&lt;ruby&gt;劳动&lt;rt&gt;láodòng&lt;/rt&gt;&lt;/ruby&gt;</v>
      </c>
      <c r="E1879" s="13" t="str">
        <f ca="1">IFERROR(__xludf.DUMMYFUNCTION("""COMPUTED_VALUE"""),"láodòng")</f>
        <v>láodòng</v>
      </c>
      <c r="F1879" s="13" t="str">
        <f ca="1">IFERROR(__xludf.DUMMYFUNCTION("""COMPUTED_VALUE"""),"Danh từ/Động từ")</f>
        <v>Danh từ/Động từ</v>
      </c>
      <c r="G1879" s="13" t="str">
        <f ca="1">IFERROR(__xludf.DUMMYFUNCTION("""COMPUTED_VALUE"""),"lao động, công việc; làm việc, lao động (bằng chân tay)")</f>
        <v>lao động, công việc; làm việc, lao động (bằng chân tay)</v>
      </c>
      <c r="H1879" s="13" t="str">
        <f ca="1">IFERROR(__xludf.DUMMYFUNCTION("""COMPUTED_VALUE"""),"学生们通过劳动学到了很多实践知识。")</f>
        <v>学生们通过劳动学到了很多实践知识。</v>
      </c>
      <c r="I1879" s="13"/>
      <c r="J1879" s="13" t="str">
        <f ca="1">IFERROR(__xludf.DUMMYFUNCTION("""COMPUTED_VALUE"""),"Các học sinh đã học được nhiều kiến thức thực tiễn thông qua lao động.")</f>
        <v>Các học sinh đã học được nhiều kiến thức thực tiễn thông qua lao động.</v>
      </c>
      <c r="K1879" s="13" t="str">
        <f ca="1">IFERROR(__xludf.DUMMYFUNCTION("""COMPUTED_VALUE"""),"H5_B14_BG-29.png")</f>
        <v>H5_B14_BG-29.png</v>
      </c>
      <c r="L1879" s="13" t="str">
        <f ca="1">IFERROR(__xludf.DUMMYFUNCTION("""COMPUTED_VALUE"""),"B14_29.mp3")</f>
        <v>B14_29.mp3</v>
      </c>
      <c r="M1879" s="13" t="str">
        <f ca="1">IFERROR(__xludf.DUMMYFUNCTION("""COMPUTED_VALUE"""),"B14_VD_29.mp3")</f>
        <v>B14_VD_29.mp3</v>
      </c>
    </row>
    <row r="1880" spans="1:13">
      <c r="A1880" s="13">
        <f ca="1">IFERROR(__xludf.DUMMYFUNCTION("""COMPUTED_VALUE"""),30)</f>
        <v>30</v>
      </c>
      <c r="B1880" s="13"/>
      <c r="C1880" s="13" t="str">
        <f ca="1">IFERROR(__xludf.DUMMYFUNCTION("""COMPUTED_VALUE"""),"起居")</f>
        <v>起居</v>
      </c>
      <c r="D1880" s="13" t="str">
        <f ca="1">IFERROR(__xludf.DUMMYFUNCTION("""COMPUTED_VALUE"""),"&lt;ruby&gt;起居&lt;rt&gt;qǐjū&lt;/rt&gt;&lt;/ruby&gt;")</f>
        <v>&lt;ruby&gt;起居&lt;rt&gt;qǐjū&lt;/rt&gt;&lt;/ruby&gt;</v>
      </c>
      <c r="E1880" s="13" t="str">
        <f ca="1">IFERROR(__xludf.DUMMYFUNCTION("""COMPUTED_VALUE"""),"qǐjū")</f>
        <v>qǐjū</v>
      </c>
      <c r="F1880" s="13" t="str">
        <f ca="1">IFERROR(__xludf.DUMMYFUNCTION("""COMPUTED_VALUE"""),"Danh từ")</f>
        <v>Danh từ</v>
      </c>
      <c r="G1880" s="13" t="str">
        <f ca="1">IFERROR(__xludf.DUMMYFUNCTION("""COMPUTED_VALUE"""),"sinh hoạt hàng ngày")</f>
        <v>sinh hoạt hàng ngày</v>
      </c>
      <c r="H1880" s="13" t="str">
        <f ca="1">IFERROR(__xludf.DUMMYFUNCTION("""COMPUTED_VALUE"""),"她的起居习惯非常健康，每天都会亲自准备营养丰富的饭菜。")</f>
        <v>她的起居习惯非常健康，每天都会亲自准备营养丰富的饭菜。</v>
      </c>
      <c r="I1880" s="13"/>
      <c r="J1880" s="13" t="str">
        <f ca="1">IFERROR(__xludf.DUMMYFUNCTION("""COMPUTED_VALUE"""),"Thói quen sinh hoạt hàng ngày của cô ấy rất lành mạnh, mỗi ngày đều tự tay chuẩn bị những bữa ăn giàu dinh dưỡng.")</f>
        <v>Thói quen sinh hoạt hàng ngày của cô ấy rất lành mạnh, mỗi ngày đều tự tay chuẩn bị những bữa ăn giàu dinh dưỡng.</v>
      </c>
      <c r="K1880" s="13" t="str">
        <f ca="1">IFERROR(__xludf.DUMMYFUNCTION("""COMPUTED_VALUE"""),"H5_B14_BG-30.png")</f>
        <v>H5_B14_BG-30.png</v>
      </c>
      <c r="L1880" s="13" t="str">
        <f ca="1">IFERROR(__xludf.DUMMYFUNCTION("""COMPUTED_VALUE"""),"B14_30.mp3")</f>
        <v>B14_30.mp3</v>
      </c>
      <c r="M1880" s="13" t="str">
        <f ca="1">IFERROR(__xludf.DUMMYFUNCTION("""COMPUTED_VALUE"""),"B14_VD_30.mp3")</f>
        <v>B14_VD_30.mp3</v>
      </c>
    </row>
    <row r="1881" spans="1:13">
      <c r="A1881" s="13">
        <f ca="1">IFERROR(__xludf.DUMMYFUNCTION("""COMPUTED_VALUE"""),31)</f>
        <v>31</v>
      </c>
      <c r="B1881" s="13"/>
      <c r="C1881" s="13" t="str">
        <f ca="1">IFERROR(__xludf.DUMMYFUNCTION("""COMPUTED_VALUE"""),"创造")</f>
        <v>创造</v>
      </c>
      <c r="D1881" s="13" t="str">
        <f ca="1">IFERROR(__xludf.DUMMYFUNCTION("""COMPUTED_VALUE"""),"&lt;ruby&gt;创造&lt;rt&gt;chuàngzào&lt;/rt&gt;&lt;/ruby&gt;")</f>
        <v>&lt;ruby&gt;创造&lt;rt&gt;chuàngzào&lt;/rt&gt;&lt;/ruby&gt;</v>
      </c>
      <c r="E1881" s="13" t="str">
        <f ca="1">IFERROR(__xludf.DUMMYFUNCTION("""COMPUTED_VALUE"""),"chuàngzào")</f>
        <v>chuàngzào</v>
      </c>
      <c r="F1881" s="13" t="str">
        <f ca="1">IFERROR(__xludf.DUMMYFUNCTION("""COMPUTED_VALUE"""),"Động từ")</f>
        <v>Động từ</v>
      </c>
      <c r="G1881" s="13" t="str">
        <f ca="1">IFERROR(__xludf.DUMMYFUNCTION("""COMPUTED_VALUE"""),"tạo ra, sáng tạo")</f>
        <v>tạo ra, sáng tạo</v>
      </c>
      <c r="H1881" s="13" t="str">
        <f ca="1">IFERROR(__xludf.DUMMYFUNCTION("""COMPUTED_VALUE"""),"她在创造一幅画。")</f>
        <v>她在创造一幅画。</v>
      </c>
      <c r="I1881" s="13"/>
      <c r="J1881" s="13" t="str">
        <f ca="1">IFERROR(__xludf.DUMMYFUNCTION("""COMPUTED_VALUE"""),"Cô ấy đang tạo ra một bức tranh.")</f>
        <v>Cô ấy đang tạo ra một bức tranh.</v>
      </c>
      <c r="K1881" s="13" t="str">
        <f ca="1">IFERROR(__xludf.DUMMYFUNCTION("""COMPUTED_VALUE"""),"H5_B14_BG-31.png")</f>
        <v>H5_B14_BG-31.png</v>
      </c>
      <c r="L1881" s="13" t="str">
        <f ca="1">IFERROR(__xludf.DUMMYFUNCTION("""COMPUTED_VALUE"""),"B14_31.mp3")</f>
        <v>B14_31.mp3</v>
      </c>
      <c r="M1881" s="13" t="str">
        <f ca="1">IFERROR(__xludf.DUMMYFUNCTION("""COMPUTED_VALUE"""),"B14_VD_31.mp3")</f>
        <v>B14_VD_31.mp3</v>
      </c>
    </row>
    <row r="1882" spans="1:13">
      <c r="A1882" s="13">
        <f ca="1">IFERROR(__xludf.DUMMYFUNCTION("""COMPUTED_VALUE"""),32)</f>
        <v>32</v>
      </c>
      <c r="B1882" s="13"/>
      <c r="C1882" s="13" t="str">
        <f ca="1">IFERROR(__xludf.DUMMYFUNCTION("""COMPUTED_VALUE"""),"代表")</f>
        <v>代表</v>
      </c>
      <c r="D1882" s="13" t="str">
        <f ca="1">IFERROR(__xludf.DUMMYFUNCTION("""COMPUTED_VALUE"""),"&lt;ruby&gt;代表&lt;rt&gt;dàibiǎo&lt;/rt&gt;&lt;/ruby&gt;")</f>
        <v>&lt;ruby&gt;代表&lt;rt&gt;dàibiǎo&lt;/rt&gt;&lt;/ruby&gt;</v>
      </c>
      <c r="E1882" s="13" t="str">
        <f ca="1">IFERROR(__xludf.DUMMYFUNCTION("""COMPUTED_VALUE"""),"dàibiǎo")</f>
        <v>dàibiǎo</v>
      </c>
      <c r="F1882" s="13" t="str">
        <f ca="1">IFERROR(__xludf.DUMMYFUNCTION("""COMPUTED_VALUE"""),"Danh từ/Động từ")</f>
        <v>Danh từ/Động từ</v>
      </c>
      <c r="G1882" s="13" t="str">
        <f ca="1">IFERROR(__xludf.DUMMYFUNCTION("""COMPUTED_VALUE"""),"đại biểu; đại diện")</f>
        <v>đại biểu; đại diện</v>
      </c>
      <c r="H1882" s="13" t="str">
        <f ca="1">IFERROR(__xludf.DUMMYFUNCTION("""COMPUTED_VALUE"""),"她是我们学校的学生代表。")</f>
        <v>她是我们学校的学生代表。</v>
      </c>
      <c r="I1882" s="13"/>
      <c r="J1882" s="13" t="str">
        <f ca="1">IFERROR(__xludf.DUMMYFUNCTION("""COMPUTED_VALUE"""),"Cô ấy là đại biểu học sinh của trường chúng tôi.")</f>
        <v>Cô ấy là đại biểu học sinh của trường chúng tôi.</v>
      </c>
      <c r="K1882" s="13" t="str">
        <f ca="1">IFERROR(__xludf.DUMMYFUNCTION("""COMPUTED_VALUE"""),"H5_B14_BG-32.png")</f>
        <v>H5_B14_BG-32.png</v>
      </c>
      <c r="L1882" s="13" t="str">
        <f ca="1">IFERROR(__xludf.DUMMYFUNCTION("""COMPUTED_VALUE"""),"B14_32.mp3")</f>
        <v>B14_32.mp3</v>
      </c>
      <c r="M1882" s="13" t="str">
        <f ca="1">IFERROR(__xludf.DUMMYFUNCTION("""COMPUTED_VALUE"""),"B14_VD_32.mp3")</f>
        <v>B14_VD_32.mp3</v>
      </c>
    </row>
    <row r="1883" spans="1:13">
      <c r="A1883" s="13">
        <f ca="1">IFERROR(__xludf.DUMMYFUNCTION("""COMPUTED_VALUE"""),33)</f>
        <v>33</v>
      </c>
      <c r="B1883" s="13"/>
      <c r="C1883" s="13" t="str">
        <f ca="1">IFERROR(__xludf.DUMMYFUNCTION("""COMPUTED_VALUE"""),"关闭")</f>
        <v>关闭</v>
      </c>
      <c r="D1883" s="13" t="str">
        <f ca="1">IFERROR(__xludf.DUMMYFUNCTION("""COMPUTED_VALUE"""),"&lt;ruby&gt;关闭&lt;rt&gt;guānbì&lt;/rt&gt;&lt;/ruby&gt;")</f>
        <v>&lt;ruby&gt;关闭&lt;rt&gt;guānbì&lt;/rt&gt;&lt;/ruby&gt;</v>
      </c>
      <c r="E1883" s="13" t="str">
        <f ca="1">IFERROR(__xludf.DUMMYFUNCTION("""COMPUTED_VALUE"""),"guānbì")</f>
        <v>guānbì</v>
      </c>
      <c r="F1883" s="13" t="str">
        <f ca="1">IFERROR(__xludf.DUMMYFUNCTION("""COMPUTED_VALUE"""),"Động từ")</f>
        <v>Động từ</v>
      </c>
      <c r="G1883" s="13" t="str">
        <f ca="1">IFERROR(__xludf.DUMMYFUNCTION("""COMPUTED_VALUE"""),"đóng kín")</f>
        <v>đóng kín</v>
      </c>
      <c r="H1883" s="13" t="str">
        <f ca="1">IFERROR(__xludf.DUMMYFUNCTION("""COMPUTED_VALUE"""),"他把门关闭了。")</f>
        <v>他把门关闭了。</v>
      </c>
      <c r="I1883" s="13"/>
      <c r="J1883" s="13" t="str">
        <f ca="1">IFERROR(__xludf.DUMMYFUNCTION("""COMPUTED_VALUE"""),"Anh ấy đã đóng kín cửa lại.")</f>
        <v>Anh ấy đã đóng kín cửa lại.</v>
      </c>
      <c r="K1883" s="13" t="str">
        <f ca="1">IFERROR(__xludf.DUMMYFUNCTION("""COMPUTED_VALUE"""),"H5_B14_BG-33.png")</f>
        <v>H5_B14_BG-33.png</v>
      </c>
      <c r="L1883" s="13" t="str">
        <f ca="1">IFERROR(__xludf.DUMMYFUNCTION("""COMPUTED_VALUE"""),"B14_33.mp3")</f>
        <v>B14_33.mp3</v>
      </c>
      <c r="M1883" s="13" t="str">
        <f ca="1">IFERROR(__xludf.DUMMYFUNCTION("""COMPUTED_VALUE"""),"B14_VD_33.mp3")</f>
        <v>B14_VD_33.mp3</v>
      </c>
    </row>
    <row r="1884" spans="1:13">
      <c r="A1884" s="13">
        <f ca="1">IFERROR(__xludf.DUMMYFUNCTION("""COMPUTED_VALUE"""),34)</f>
        <v>34</v>
      </c>
      <c r="B1884" s="13"/>
      <c r="C1884" s="13" t="str">
        <f ca="1">IFERROR(__xludf.DUMMYFUNCTION("""COMPUTED_VALUE"""),"浓")</f>
        <v>浓</v>
      </c>
      <c r="D1884" s="13" t="str">
        <f ca="1">IFERROR(__xludf.DUMMYFUNCTION("""COMPUTED_VALUE"""),"&lt;ruby&gt;浓&lt;rt&gt;nóng&lt;/rt&gt;&lt;/ruby&gt;")</f>
        <v>&lt;ruby&gt;浓&lt;rt&gt;nóng&lt;/rt&gt;&lt;/ruby&gt;</v>
      </c>
      <c r="E1884" s="13" t="str">
        <f ca="1">IFERROR(__xludf.DUMMYFUNCTION("""COMPUTED_VALUE"""),"nóng")</f>
        <v>nóng</v>
      </c>
      <c r="F1884" s="13" t="str">
        <f ca="1">IFERROR(__xludf.DUMMYFUNCTION("""COMPUTED_VALUE"""),"Tính từ")</f>
        <v>Tính từ</v>
      </c>
      <c r="G1884" s="13" t="str">
        <f ca="1">IFERROR(__xludf.DUMMYFUNCTION("""COMPUTED_VALUE"""),"sâu sắc, đậm")</f>
        <v>sâu sắc, đậm</v>
      </c>
      <c r="H1884" s="13" t="str">
        <f ca="1">IFERROR(__xludf.DUMMYFUNCTION("""COMPUTED_VALUE"""),"墨汁浓，书写很顺畅。")</f>
        <v>墨汁浓，书写很顺畅。</v>
      </c>
      <c r="I1884" s="13"/>
      <c r="J1884" s="13" t="str">
        <f ca="1">IFERROR(__xludf.DUMMYFUNCTION("""COMPUTED_VALUE"""),"Mực đậm viết rất trơn tru.")</f>
        <v>Mực đậm viết rất trơn tru.</v>
      </c>
      <c r="K1884" s="13" t="str">
        <f ca="1">IFERROR(__xludf.DUMMYFUNCTION("""COMPUTED_VALUE"""),"H5_B14_BG-34.png")</f>
        <v>H5_B14_BG-34.png</v>
      </c>
      <c r="L1884" s="13" t="str">
        <f ca="1">IFERROR(__xludf.DUMMYFUNCTION("""COMPUTED_VALUE"""),"B14_34.mp3")</f>
        <v>B14_34.mp3</v>
      </c>
      <c r="M1884" s="13" t="str">
        <f ca="1">IFERROR(__xludf.DUMMYFUNCTION("""COMPUTED_VALUE"""),"B14_VD_34.mp3")</f>
        <v>B14_VD_34.mp3</v>
      </c>
    </row>
    <row r="1885" spans="1:13">
      <c r="A1885" s="13">
        <f ca="1">IFERROR(__xludf.DUMMYFUNCTION("""COMPUTED_VALUE"""),35)</f>
        <v>35</v>
      </c>
      <c r="B1885" s="13"/>
      <c r="C1885" s="13" t="str">
        <f ca="1">IFERROR(__xludf.DUMMYFUNCTION("""COMPUTED_VALUE"""),"金鱼")</f>
        <v>金鱼</v>
      </c>
      <c r="D1885" s="13" t="str">
        <f ca="1">IFERROR(__xludf.DUMMYFUNCTION("""COMPUTED_VALUE"""),"&lt;ruby&gt;金鱼&lt;rt&gt;jīnyú&lt;/rt&gt;&lt;/ruby&gt;")</f>
        <v>&lt;ruby&gt;金鱼&lt;rt&gt;jīnyú&lt;/rt&gt;&lt;/ruby&gt;</v>
      </c>
      <c r="E1885" s="13" t="str">
        <f ca="1">IFERROR(__xludf.DUMMYFUNCTION("""COMPUTED_VALUE"""),"jīnyú")</f>
        <v>jīnyú</v>
      </c>
      <c r="F1885" s="13" t="str">
        <f ca="1">IFERROR(__xludf.DUMMYFUNCTION("""COMPUTED_VALUE"""),"Danh từ")</f>
        <v>Danh từ</v>
      </c>
      <c r="G1885" s="13" t="str">
        <f ca="1">IFERROR(__xludf.DUMMYFUNCTION("""COMPUTED_VALUE"""),"cá vàng")</f>
        <v>cá vàng</v>
      </c>
      <c r="H1885" s="13" t="str">
        <f ca="1">IFERROR(__xludf.DUMMYFUNCTION("""COMPUTED_VALUE"""),"我的家里养了一只金鱼。")</f>
        <v>我的家里养了一只金鱼。</v>
      </c>
      <c r="I1885" s="13"/>
      <c r="J1885" s="13" t="str">
        <f ca="1">IFERROR(__xludf.DUMMYFUNCTION("""COMPUTED_VALUE"""),"Nhà tôi nuôi một con cá vàng.")</f>
        <v>Nhà tôi nuôi một con cá vàng.</v>
      </c>
      <c r="K1885" s="13" t="str">
        <f ca="1">IFERROR(__xludf.DUMMYFUNCTION("""COMPUTED_VALUE"""),"H5_B14_BG-35.png")</f>
        <v>H5_B14_BG-35.png</v>
      </c>
      <c r="L1885" s="13" t="str">
        <f ca="1">IFERROR(__xludf.DUMMYFUNCTION("""COMPUTED_VALUE"""),"B14_35.mp3")</f>
        <v>B14_35.mp3</v>
      </c>
      <c r="M1885" s="13" t="str">
        <f ca="1">IFERROR(__xludf.DUMMYFUNCTION("""COMPUTED_VALUE"""),"B14_VD_35.mp3")</f>
        <v>B14_VD_35.mp3</v>
      </c>
    </row>
    <row r="1886" spans="1:13">
      <c r="A1886" s="13">
        <f ca="1">IFERROR(__xludf.DUMMYFUNCTION("""COMPUTED_VALUE"""),36)</f>
        <v>36</v>
      </c>
      <c r="B1886" s="13"/>
      <c r="C1886" s="13" t="str">
        <f ca="1">IFERROR(__xludf.DUMMYFUNCTION("""COMPUTED_VALUE"""),"样式")</f>
        <v>样式</v>
      </c>
      <c r="D1886" s="13" t="str">
        <f ca="1">IFERROR(__xludf.DUMMYFUNCTION("""COMPUTED_VALUE"""),"&lt;ruby&gt;样式&lt;rt&gt;yàngshì&lt;/rt&gt;&lt;/ruby&gt;")</f>
        <v>&lt;ruby&gt;样式&lt;rt&gt;yàngshì&lt;/rt&gt;&lt;/ruby&gt;</v>
      </c>
      <c r="E1886" s="13" t="str">
        <f ca="1">IFERROR(__xludf.DUMMYFUNCTION("""COMPUTED_VALUE"""),"yàngshì")</f>
        <v>yàngshì</v>
      </c>
      <c r="F1886" s="13" t="str">
        <f ca="1">IFERROR(__xludf.DUMMYFUNCTION("""COMPUTED_VALUE"""),"Danh từ")</f>
        <v>Danh từ</v>
      </c>
      <c r="G1886" s="13" t="str">
        <f ca="1">IFERROR(__xludf.DUMMYFUNCTION("""COMPUTED_VALUE"""),"mẫu, kiểu dáng, hình thức")</f>
        <v>mẫu, kiểu dáng, hình thức</v>
      </c>
      <c r="H1886" s="13" t="str">
        <f ca="1">IFERROR(__xludf.DUMMYFUNCTION("""COMPUTED_VALUE"""),"这种衣服的样式很漂亮。")</f>
        <v>这种衣服的样式很漂亮。</v>
      </c>
      <c r="I1886" s="13"/>
      <c r="J1886" s="13" t="str">
        <f ca="1">IFERROR(__xludf.DUMMYFUNCTION("""COMPUTED_VALUE"""),"Kiểu dáng của chiếc áo này rất đẹp.")</f>
        <v>Kiểu dáng của chiếc áo này rất đẹp.</v>
      </c>
      <c r="K1886" s="13" t="str">
        <f ca="1">IFERROR(__xludf.DUMMYFUNCTION("""COMPUTED_VALUE"""),"H5_B14_BG-36.png")</f>
        <v>H5_B14_BG-36.png</v>
      </c>
      <c r="L1886" s="13" t="str">
        <f ca="1">IFERROR(__xludf.DUMMYFUNCTION("""COMPUTED_VALUE"""),"B14_36.mp3")</f>
        <v>B14_36.mp3</v>
      </c>
      <c r="M1886" s="13" t="str">
        <f ca="1">IFERROR(__xludf.DUMMYFUNCTION("""COMPUTED_VALUE"""),"B14_VD_36.mp3")</f>
        <v>B14_VD_36.mp3</v>
      </c>
    </row>
    <row r="1887" spans="1:13">
      <c r="A1887" s="13">
        <f ca="1">IFERROR(__xludf.DUMMYFUNCTION("""COMPUTED_VALUE"""),37)</f>
        <v>37</v>
      </c>
      <c r="B1887" s="13"/>
      <c r="C1887" s="13" t="str">
        <f ca="1">IFERROR(__xludf.DUMMYFUNCTION("""COMPUTED_VALUE"""),"情趣")</f>
        <v>情趣</v>
      </c>
      <c r="D1887" s="13" t="str">
        <f ca="1">IFERROR(__xludf.DUMMYFUNCTION("""COMPUTED_VALUE"""),"&lt;ruby&gt;情趣&lt;rt&gt;qíngqù&lt;/rt&gt;&lt;/ruby&gt;")</f>
        <v>&lt;ruby&gt;情趣&lt;rt&gt;qíngqù&lt;/rt&gt;&lt;/ruby&gt;</v>
      </c>
      <c r="E1887" s="13" t="str">
        <f ca="1">IFERROR(__xludf.DUMMYFUNCTION("""COMPUTED_VALUE"""),"qíngqù")</f>
        <v>qíngqù</v>
      </c>
      <c r="F1887" s="13" t="str">
        <f ca="1">IFERROR(__xludf.DUMMYFUNCTION("""COMPUTED_VALUE"""),"Danh từ")</f>
        <v>Danh từ</v>
      </c>
      <c r="G1887" s="13" t="str">
        <f ca="1">IFERROR(__xludf.DUMMYFUNCTION("""COMPUTED_VALUE"""),"sự thú vị, sở thích")</f>
        <v>sự thú vị, sở thích</v>
      </c>
      <c r="H1887" s="13" t="str">
        <f ca="1">IFERROR(__xludf.DUMMYFUNCTION("""COMPUTED_VALUE"""),"弹吉他是他的情趣之一。")</f>
        <v>弹吉他是他的情趣之一。</v>
      </c>
      <c r="I1887" s="13"/>
      <c r="J1887" s="13" t="str">
        <f ca="1">IFERROR(__xludf.DUMMYFUNCTION("""COMPUTED_VALUE"""),"Chơi đàn guitar là một trong những sở thích tao nhã của cậu ấy.")</f>
        <v>Chơi đàn guitar là một trong những sở thích tao nhã của cậu ấy.</v>
      </c>
      <c r="K1887" s="13" t="str">
        <f ca="1">IFERROR(__xludf.DUMMYFUNCTION("""COMPUTED_VALUE"""),"H5_B14_BG-37.png")</f>
        <v>H5_B14_BG-37.png</v>
      </c>
      <c r="L1887" s="13" t="str">
        <f ca="1">IFERROR(__xludf.DUMMYFUNCTION("""COMPUTED_VALUE"""),"B14_37.mp3")</f>
        <v>B14_37.mp3</v>
      </c>
      <c r="M1887" s="13" t="str">
        <f ca="1">IFERROR(__xludf.DUMMYFUNCTION("""COMPUTED_VALUE"""),"B14_VD_37.mp3")</f>
        <v>B14_VD_37.mp3</v>
      </c>
    </row>
    <row r="1888" spans="1:13">
      <c r="A1888" s="13">
        <f ca="1">IFERROR(__xludf.DUMMYFUNCTION("""COMPUTED_VALUE"""),38)</f>
        <v>38</v>
      </c>
      <c r="B1888" s="13"/>
      <c r="C1888" s="13" t="str">
        <f ca="1">IFERROR(__xludf.DUMMYFUNCTION("""COMPUTED_VALUE"""),"因而")</f>
        <v>因而</v>
      </c>
      <c r="D1888" s="13" t="str">
        <f ca="1">IFERROR(__xludf.DUMMYFUNCTION("""COMPUTED_VALUE"""),"&lt;ruby&gt;因而&lt;rt&gt;yīn'ér&lt;/rt&gt;&lt;/ruby&gt;")</f>
        <v>&lt;ruby&gt;因而&lt;rt&gt;yīn'ér&lt;/rt&gt;&lt;/ruby&gt;</v>
      </c>
      <c r="E1888" s="13" t="str">
        <f ca="1">IFERROR(__xludf.DUMMYFUNCTION("""COMPUTED_VALUE"""),"yīn'ér")</f>
        <v>yīn'ér</v>
      </c>
      <c r="F1888" s="13" t="str">
        <f ca="1">IFERROR(__xludf.DUMMYFUNCTION("""COMPUTED_VALUE"""),"Liên từ")</f>
        <v>Liên từ</v>
      </c>
      <c r="G1888" s="13" t="str">
        <f ca="1">IFERROR(__xludf.DUMMYFUNCTION("""COMPUTED_VALUE"""),"vì vậy, do đó")</f>
        <v>vì vậy, do đó</v>
      </c>
      <c r="H1888" s="13" t="str">
        <f ca="1">IFERROR(__xludf.DUMMYFUNCTION("""COMPUTED_VALUE"""),"他很努力，因而成绩很好。")</f>
        <v>他很努力，因而成绩很好。</v>
      </c>
      <c r="I1888" s="13"/>
      <c r="J1888" s="13" t="str">
        <f ca="1">IFERROR(__xludf.DUMMYFUNCTION("""COMPUTED_VALUE"""),"Anh ấy rất chăm chỉ, vì vậy thành tích rất tốt.")</f>
        <v>Anh ấy rất chăm chỉ, vì vậy thành tích rất tốt.</v>
      </c>
      <c r="K1888" s="13" t="str">
        <f ca="1">IFERROR(__xludf.DUMMYFUNCTION("""COMPUTED_VALUE"""),"H5_B14_BG-38.png")</f>
        <v>H5_B14_BG-38.png</v>
      </c>
      <c r="L1888" s="13" t="str">
        <f ca="1">IFERROR(__xludf.DUMMYFUNCTION("""COMPUTED_VALUE"""),"B14_38.mp3")</f>
        <v>B14_38.mp3</v>
      </c>
      <c r="M1888" s="13" t="str">
        <f ca="1">IFERROR(__xludf.DUMMYFUNCTION("""COMPUTED_VALUE"""),"B14_VD_38.mp3")</f>
        <v>B14_VD_38.mp3</v>
      </c>
    </row>
    <row r="1889" spans="1:13">
      <c r="A1889" s="13">
        <f ca="1">IFERROR(__xludf.DUMMYFUNCTION("""COMPUTED_VALUE"""),39)</f>
        <v>39</v>
      </c>
      <c r="B1889" s="13"/>
      <c r="C1889" s="13" t="str">
        <f ca="1">IFERROR(__xludf.DUMMYFUNCTION("""COMPUTED_VALUE"""),"则")</f>
        <v>则</v>
      </c>
      <c r="D1889" s="13" t="str">
        <f ca="1">IFERROR(__xludf.DUMMYFUNCTION("""COMPUTED_VALUE"""),"&lt;ruby&gt;则&lt;rt&gt;zé&lt;/rt&gt;&lt;/ruby&gt;")</f>
        <v>&lt;ruby&gt;则&lt;rt&gt;zé&lt;/rt&gt;&lt;/ruby&gt;</v>
      </c>
      <c r="E1889" s="13" t="str">
        <f ca="1">IFERROR(__xludf.DUMMYFUNCTION("""COMPUTED_VALUE"""),"zé")</f>
        <v>zé</v>
      </c>
      <c r="F1889" s="13" t="str">
        <f ca="1">IFERROR(__xludf.DUMMYFUNCTION("""COMPUTED_VALUE"""),"Liên từ")</f>
        <v>Liên từ</v>
      </c>
      <c r="G1889" s="13" t="str">
        <f ca="1">IFERROR(__xludf.DUMMYFUNCTION("""COMPUTED_VALUE"""),"chỉ sự tương phản (trong khi đó)")</f>
        <v>chỉ sự tương phản (trong khi đó)</v>
      </c>
      <c r="H1889" s="13" t="str">
        <f ca="1">IFERROR(__xludf.DUMMYFUNCTION("""COMPUTED_VALUE"""),"弟弟喜欢运动，我则喜欢读书。")</f>
        <v>弟弟喜欢运动，我则喜欢读书。</v>
      </c>
      <c r="I1889" s="13"/>
      <c r="J1889" s="13" t="str">
        <f ca="1">IFERROR(__xludf.DUMMYFUNCTION("""COMPUTED_VALUE"""),"Em trai thích thể thao, trong khi đó tôi lại thích đọc sách.")</f>
        <v>Em trai thích thể thao, trong khi đó tôi lại thích đọc sách.</v>
      </c>
      <c r="K1889" s="13" t="str">
        <f ca="1">IFERROR(__xludf.DUMMYFUNCTION("""COMPUTED_VALUE"""),"H5_B14_BG-39.png")</f>
        <v>H5_B14_BG-39.png</v>
      </c>
      <c r="L1889" s="13" t="str">
        <f ca="1">IFERROR(__xludf.DUMMYFUNCTION("""COMPUTED_VALUE"""),"B14_39.mp3")</f>
        <v>B14_39.mp3</v>
      </c>
      <c r="M1889" s="13" t="str">
        <f ca="1">IFERROR(__xludf.DUMMYFUNCTION("""COMPUTED_VALUE"""),"B14_VD_39.mp3")</f>
        <v>B14_VD_39.mp3</v>
      </c>
    </row>
    <row r="1890" spans="1:13">
      <c r="A1890" s="13">
        <f ca="1">IFERROR(__xludf.DUMMYFUNCTION("""COMPUTED_VALUE"""),40)</f>
        <v>40</v>
      </c>
      <c r="B1890" s="13"/>
      <c r="C1890" s="13" t="str">
        <f ca="1">IFERROR(__xludf.DUMMYFUNCTION("""COMPUTED_VALUE"""),"充分")</f>
        <v>充分</v>
      </c>
      <c r="D1890" s="13" t="str">
        <f ca="1">IFERROR(__xludf.DUMMYFUNCTION("""COMPUTED_VALUE"""),"&lt;ruby&gt;充分&lt;rt&gt;chōngfèn&lt;/rt&gt;&lt;/ruby&gt;")</f>
        <v>&lt;ruby&gt;充分&lt;rt&gt;chōngfèn&lt;/rt&gt;&lt;/ruby&gt;</v>
      </c>
      <c r="E1890" s="13" t="str">
        <f ca="1">IFERROR(__xludf.DUMMYFUNCTION("""COMPUTED_VALUE"""),"chōngfèn")</f>
        <v>chōngfèn</v>
      </c>
      <c r="F1890" s="13" t="str">
        <f ca="1">IFERROR(__xludf.DUMMYFUNCTION("""COMPUTED_VALUE"""),"Tính từ")</f>
        <v>Tính từ</v>
      </c>
      <c r="G1890" s="13" t="str">
        <f ca="1">IFERROR(__xludf.DUMMYFUNCTION("""COMPUTED_VALUE"""),"đầy đủ, đủ, trọn vẹn")</f>
        <v>đầy đủ, đủ, trọn vẹn</v>
      </c>
      <c r="H1890" s="13" t="str">
        <f ca="1">IFERROR(__xludf.DUMMYFUNCTION("""COMPUTED_VALUE"""),"阳光充分地照进了房间。")</f>
        <v>阳光充分地照进了房间。</v>
      </c>
      <c r="I1890" s="13"/>
      <c r="J1890" s="13" t="str">
        <f ca="1">IFERROR(__xludf.DUMMYFUNCTION("""COMPUTED_VALUE"""),"Ánh nắng tràn ngập căn phòng.")</f>
        <v>Ánh nắng tràn ngập căn phòng.</v>
      </c>
      <c r="K1890" s="13" t="str">
        <f ca="1">IFERROR(__xludf.DUMMYFUNCTION("""COMPUTED_VALUE"""),"H5_B14_BG-40.png")</f>
        <v>H5_B14_BG-40.png</v>
      </c>
      <c r="L1890" s="13" t="str">
        <f ca="1">IFERROR(__xludf.DUMMYFUNCTION("""COMPUTED_VALUE"""),"B14_40.mp3")</f>
        <v>B14_40.mp3</v>
      </c>
      <c r="M1890" s="13" t="str">
        <f ca="1">IFERROR(__xludf.DUMMYFUNCTION("""COMPUTED_VALUE"""),"B14_VD_40.mp3")</f>
        <v>B14_VD_40.mp3</v>
      </c>
    </row>
    <row r="1891" spans="1:13">
      <c r="A1891" s="13">
        <f ca="1">IFERROR(__xludf.DUMMYFUNCTION("""COMPUTED_VALUE"""),41)</f>
        <v>41</v>
      </c>
      <c r="B1891" s="13"/>
      <c r="C1891" s="13" t="str">
        <f ca="1">IFERROR(__xludf.DUMMYFUNCTION("""COMPUTED_VALUE"""),"人民")</f>
        <v>人民</v>
      </c>
      <c r="D1891" s="13" t="str">
        <f ca="1">IFERROR(__xludf.DUMMYFUNCTION("""COMPUTED_VALUE"""),"&lt;ruby&gt;人民&lt;rt&gt;rénmín&lt;/rt&gt;&lt;/ruby&gt;")</f>
        <v>&lt;ruby&gt;人民&lt;rt&gt;rénmín&lt;/rt&gt;&lt;/ruby&gt;</v>
      </c>
      <c r="E1891" s="13" t="str">
        <f ca="1">IFERROR(__xludf.DUMMYFUNCTION("""COMPUTED_VALUE"""),"rénmín")</f>
        <v>rénmín</v>
      </c>
      <c r="F1891" s="13" t="str">
        <f ca="1">IFERROR(__xludf.DUMMYFUNCTION("""COMPUTED_VALUE"""),"Danh từ")</f>
        <v>Danh từ</v>
      </c>
      <c r="G1891" s="13" t="str">
        <f ca="1">IFERROR(__xludf.DUMMYFUNCTION("""COMPUTED_VALUE"""),"nhân dân")</f>
        <v>nhân dân</v>
      </c>
      <c r="H1891" s="13" t="str">
        <f ca="1">IFERROR(__xludf.DUMMYFUNCTION("""COMPUTED_VALUE"""),"人民团结劳动生产，共创美好未来。")</f>
        <v>人民团结劳动生产，共创美好未来。</v>
      </c>
      <c r="I1891" s="13"/>
      <c r="J1891" s="13" t="str">
        <f ca="1">IFERROR(__xludf.DUMMYFUNCTION("""COMPUTED_VALUE"""),"Nhân dân đoàn kết lao động sản xuất, cùng xây dựng tương lai tươi sáng.")</f>
        <v>Nhân dân đoàn kết lao động sản xuất, cùng xây dựng tương lai tươi sáng.</v>
      </c>
      <c r="K1891" s="13" t="str">
        <f ca="1">IFERROR(__xludf.DUMMYFUNCTION("""COMPUTED_VALUE"""),"H5_B14_BG-41.png")</f>
        <v>H5_B14_BG-41.png</v>
      </c>
      <c r="L1891" s="13" t="str">
        <f ca="1">IFERROR(__xludf.DUMMYFUNCTION("""COMPUTED_VALUE"""),"B14_41.mp3")</f>
        <v>B14_41.mp3</v>
      </c>
      <c r="M1891" s="13" t="str">
        <f ca="1">IFERROR(__xludf.DUMMYFUNCTION("""COMPUTED_VALUE"""),"B14_VD_41.mp3")</f>
        <v>B14_VD_41.mp3</v>
      </c>
    </row>
    <row r="1892" spans="1:13">
      <c r="A1892" s="13">
        <f ca="1">IFERROR(__xludf.DUMMYFUNCTION("""COMPUTED_VALUE"""),1)</f>
        <v>1</v>
      </c>
      <c r="B1892" s="13"/>
      <c r="C1892" s="13" t="str">
        <f ca="1">IFERROR(__xludf.DUMMYFUNCTION("""COMPUTED_VALUE"""),"敌（人）")</f>
        <v>敌（人）</v>
      </c>
      <c r="D1892" s="13" t="str">
        <f ca="1">IFERROR(__xludf.DUMMYFUNCTION("""COMPUTED_VALUE"""),"&lt;ruby&gt;敌（人）&lt;rt&gt;dí (rén)&lt;/rt&gt;&lt;/ruby&gt;")</f>
        <v>&lt;ruby&gt;敌（人）&lt;rt&gt;dí (rén)&lt;/rt&gt;&lt;/ruby&gt;</v>
      </c>
      <c r="E1892" s="13" t="str">
        <f ca="1">IFERROR(__xludf.DUMMYFUNCTION("""COMPUTED_VALUE"""),"dí (rén)")</f>
        <v>dí (rén)</v>
      </c>
      <c r="F1892" s="13" t="str">
        <f ca="1">IFERROR(__xludf.DUMMYFUNCTION("""COMPUTED_VALUE"""),"Danh từ")</f>
        <v>Danh từ</v>
      </c>
      <c r="G1892" s="13" t="str">
        <f ca="1">IFERROR(__xludf.DUMMYFUNCTION("""COMPUTED_VALUE"""),"quân địch")</f>
        <v>quân địch</v>
      </c>
      <c r="H1892" s="13" t="str">
        <f ca="1">IFERROR(__xludf.DUMMYFUNCTION("""COMPUTED_VALUE"""),"前方出现了很多敌人。")</f>
        <v>前方出现了很多敌人。</v>
      </c>
      <c r="I1892" s="13"/>
      <c r="J1892" s="13" t="str">
        <f ca="1">IFERROR(__xludf.DUMMYFUNCTION("""COMPUTED_VALUE"""),"Ở phía trước xuất hiện rất nhiều địch.")</f>
        <v>Ở phía trước xuất hiện rất nhiều địch.</v>
      </c>
      <c r="K1892" s="13" t="str">
        <f ca="1">IFERROR(__xludf.DUMMYFUNCTION("""COMPUTED_VALUE"""),"H5_B15_BG-01.png")</f>
        <v>H5_B15_BG-01.png</v>
      </c>
      <c r="L1892" s="13" t="str">
        <f ca="1">IFERROR(__xludf.DUMMYFUNCTION("""COMPUTED_VALUE"""),"B15_1.mp3")</f>
        <v>B15_1.mp3</v>
      </c>
      <c r="M1892" s="13" t="str">
        <f ca="1">IFERROR(__xludf.DUMMYFUNCTION("""COMPUTED_VALUE"""),"B15_VD_1.mp3")</f>
        <v>B15_VD_1.mp3</v>
      </c>
    </row>
    <row r="1893" spans="1:13">
      <c r="A1893" s="13">
        <f ca="1">IFERROR(__xludf.DUMMYFUNCTION("""COMPUTED_VALUE"""),2)</f>
        <v>2</v>
      </c>
      <c r="B1893" s="13"/>
      <c r="C1893" s="13" t="str">
        <f ca="1">IFERROR(__xludf.DUMMYFUNCTION("""COMPUTED_VALUE"""),"命令")</f>
        <v>命令</v>
      </c>
      <c r="D1893" s="13" t="str">
        <f ca="1">IFERROR(__xludf.DUMMYFUNCTION("""COMPUTED_VALUE"""),"&lt;ruby&gt;命令&lt;rt&gt;mìnglìng&lt;/rt&gt;&lt;/ruby&gt;")</f>
        <v>&lt;ruby&gt;命令&lt;rt&gt;mìnglìng&lt;/rt&gt;&lt;/ruby&gt;</v>
      </c>
      <c r="E1893" s="13" t="str">
        <f ca="1">IFERROR(__xludf.DUMMYFUNCTION("""COMPUTED_VALUE"""),"mìnglìng")</f>
        <v>mìnglìng</v>
      </c>
      <c r="F1893" s="13" t="str">
        <f ca="1">IFERROR(__xludf.DUMMYFUNCTION("""COMPUTED_VALUE"""),"Động từ/Danh từ")</f>
        <v>Động từ/Danh từ</v>
      </c>
      <c r="G1893" s="13" t="str">
        <f ca="1">IFERROR(__xludf.DUMMYFUNCTION("""COMPUTED_VALUE"""),"ra lệnh; mệnh lệnh")</f>
        <v>ra lệnh; mệnh lệnh</v>
      </c>
      <c r="H1893" s="13" t="str">
        <f ca="1">IFERROR(__xludf.DUMMYFUNCTION("""COMPUTED_VALUE"""),"士兵们执行指挥官的命令。")</f>
        <v>士兵们执行指挥官的命令。</v>
      </c>
      <c r="I1893" s="13"/>
      <c r="J1893" s="13" t="str">
        <f ca="1">IFERROR(__xludf.DUMMYFUNCTION("""COMPUTED_VALUE"""),"Binh sĩ chấp hành mệnh lệnh của chỉ huy.")</f>
        <v>Binh sĩ chấp hành mệnh lệnh của chỉ huy.</v>
      </c>
      <c r="K1893" s="13" t="str">
        <f ca="1">IFERROR(__xludf.DUMMYFUNCTION("""COMPUTED_VALUE"""),"H5_B15_BG-02.png")</f>
        <v>H5_B15_BG-02.png</v>
      </c>
      <c r="L1893" s="13" t="str">
        <f ca="1">IFERROR(__xludf.DUMMYFUNCTION("""COMPUTED_VALUE"""),"B15_2.mp3")</f>
        <v>B15_2.mp3</v>
      </c>
      <c r="M1893" s="13" t="str">
        <f ca="1">IFERROR(__xludf.DUMMYFUNCTION("""COMPUTED_VALUE"""),"B15_VD_2.mp3")</f>
        <v>B15_VD_2.mp3</v>
      </c>
    </row>
    <row r="1894" spans="1:13">
      <c r="A1894" s="13">
        <f ca="1">IFERROR(__xludf.DUMMYFUNCTION("""COMPUTED_VALUE"""),3)</f>
        <v>3</v>
      </c>
      <c r="B1894" s="13"/>
      <c r="C1894" s="13" t="str">
        <f ca="1">IFERROR(__xludf.DUMMYFUNCTION("""COMPUTED_VALUE"""),"胜利")</f>
        <v>胜利</v>
      </c>
      <c r="D1894" s="13" t="str">
        <f ca="1">IFERROR(__xludf.DUMMYFUNCTION("""COMPUTED_VALUE"""),"&lt;ruby&gt;胜利&lt;rt&gt;shènglì&lt;/rt&gt;&lt;/ruby&gt;")</f>
        <v>&lt;ruby&gt;胜利&lt;rt&gt;shènglì&lt;/rt&gt;&lt;/ruby&gt;</v>
      </c>
      <c r="E1894" s="13" t="str">
        <f ca="1">IFERROR(__xludf.DUMMYFUNCTION("""COMPUTED_VALUE"""),"shènglì")</f>
        <v>shènglì</v>
      </c>
      <c r="F1894" s="13" t="str">
        <f ca="1">IFERROR(__xludf.DUMMYFUNCTION("""COMPUTED_VALUE"""),"Động từ")</f>
        <v>Động từ</v>
      </c>
      <c r="G1894" s="13" t="str">
        <f ca="1">IFERROR(__xludf.DUMMYFUNCTION("""COMPUTED_VALUE"""),"thắng lợi")</f>
        <v>thắng lợi</v>
      </c>
      <c r="H1894" s="13" t="str">
        <f ca="1">IFERROR(__xludf.DUMMYFUNCTION("""COMPUTED_VALUE"""),"最终，抗战取得了胜利。")</f>
        <v>最终，抗战取得了胜利。</v>
      </c>
      <c r="I1894" s="13"/>
      <c r="J1894" s="13" t="str">
        <f ca="1">IFERROR(__xludf.DUMMYFUNCTION("""COMPUTED_VALUE"""),"Cuộc kháng chiến cuối cùng đã giành được thắng lợi.")</f>
        <v>Cuộc kháng chiến cuối cùng đã giành được thắng lợi.</v>
      </c>
      <c r="K1894" s="13" t="str">
        <f ca="1">IFERROR(__xludf.DUMMYFUNCTION("""COMPUTED_VALUE"""),"H5_B15_BG-03.png")</f>
        <v>H5_B15_BG-03.png</v>
      </c>
      <c r="L1894" s="13" t="str">
        <f ca="1">IFERROR(__xludf.DUMMYFUNCTION("""COMPUTED_VALUE"""),"B15_3.mp3")</f>
        <v>B15_3.mp3</v>
      </c>
      <c r="M1894" s="13" t="str">
        <f ca="1">IFERROR(__xludf.DUMMYFUNCTION("""COMPUTED_VALUE"""),"B15_VD_3.mp3")</f>
        <v>B15_VD_3.mp3</v>
      </c>
    </row>
    <row r="1895" spans="1:13">
      <c r="A1895" s="13">
        <f ca="1">IFERROR(__xludf.DUMMYFUNCTION("""COMPUTED_VALUE"""),4)</f>
        <v>4</v>
      </c>
      <c r="B1895" s="13"/>
      <c r="C1895" s="13" t="str">
        <f ca="1">IFERROR(__xludf.DUMMYFUNCTION("""COMPUTED_VALUE"""),"作战")</f>
        <v>作战</v>
      </c>
      <c r="D1895" s="13" t="str">
        <f ca="1">IFERROR(__xludf.DUMMYFUNCTION("""COMPUTED_VALUE"""),"&lt;ruby&gt;作战&lt;rt&gt;zuòzhàn&lt;/rt&gt;&lt;/ruby&gt;")</f>
        <v>&lt;ruby&gt;作战&lt;rt&gt;zuòzhàn&lt;/rt&gt;&lt;/ruby&gt;</v>
      </c>
      <c r="E1895" s="13" t="str">
        <f ca="1">IFERROR(__xludf.DUMMYFUNCTION("""COMPUTED_VALUE"""),"zuòzhàn")</f>
        <v>zuòzhàn</v>
      </c>
      <c r="F1895" s="13" t="str">
        <f ca="1">IFERROR(__xludf.DUMMYFUNCTION("""COMPUTED_VALUE"""),"Động từ")</f>
        <v>Động từ</v>
      </c>
      <c r="G1895" s="13" t="str">
        <f ca="1">IFERROR(__xludf.DUMMYFUNCTION("""COMPUTED_VALUE"""),"đánh trận, chiến đấu")</f>
        <v>đánh trận, chiến đấu</v>
      </c>
      <c r="H1895" s="13" t="str">
        <f ca="1">IFERROR(__xludf.DUMMYFUNCTION("""COMPUTED_VALUE"""),"战士们正在激烈作战。")</f>
        <v>战士们正在激烈作战。</v>
      </c>
      <c r="I1895" s="13"/>
      <c r="J1895" s="13" t="str">
        <f ca="1">IFERROR(__xludf.DUMMYFUNCTION("""COMPUTED_VALUE"""),"Các chiến sĩ đang chiến đấu ác liệt.")</f>
        <v>Các chiến sĩ đang chiến đấu ác liệt.</v>
      </c>
      <c r="K1895" s="13" t="str">
        <f ca="1">IFERROR(__xludf.DUMMYFUNCTION("""COMPUTED_VALUE"""),"H5_B15_BG-04.png")</f>
        <v>H5_B15_BG-04.png</v>
      </c>
      <c r="L1895" s="13" t="str">
        <f ca="1">IFERROR(__xludf.DUMMYFUNCTION("""COMPUTED_VALUE"""),"B15_4.mp3")</f>
        <v>B15_4.mp3</v>
      </c>
      <c r="M1895" s="13" t="str">
        <f ca="1">IFERROR(__xludf.DUMMYFUNCTION("""COMPUTED_VALUE"""),"B15_VD_4.mp3")</f>
        <v>B15_VD_4.mp3</v>
      </c>
    </row>
    <row r="1896" spans="1:13">
      <c r="A1896" s="13">
        <f ca="1">IFERROR(__xludf.DUMMYFUNCTION("""COMPUTED_VALUE"""),5)</f>
        <v>5</v>
      </c>
      <c r="B1896" s="13"/>
      <c r="C1896" s="13" t="str">
        <f ca="1">IFERROR(__xludf.DUMMYFUNCTION("""COMPUTED_VALUE"""),"纸上谈兵")</f>
        <v>纸上谈兵</v>
      </c>
      <c r="D1896" s="13" t="str">
        <f ca="1">IFERROR(__xludf.DUMMYFUNCTION("""COMPUTED_VALUE"""),"&lt;ruby&gt;纸上谈兵&lt;rt&gt;zhǐshàngtánbīng&lt;/rt&gt;&lt;/ruby&gt;")</f>
        <v>&lt;ruby&gt;纸上谈兵&lt;rt&gt;zhǐshàngtánbīng&lt;/rt&gt;&lt;/ruby&gt;</v>
      </c>
      <c r="E1896" s="13" t="str">
        <f ca="1">IFERROR(__xludf.DUMMYFUNCTION("""COMPUTED_VALUE"""),"zhǐshàngtánbīng")</f>
        <v>zhǐshàngtánbīng</v>
      </c>
      <c r="F1896" s="13"/>
      <c r="G1896" s="13" t="str">
        <f ca="1">IFERROR(__xludf.DUMMYFUNCTION("""COMPUTED_VALUE"""),"bàn chuyện đánh giặc trên giấy (lý luận suông)")</f>
        <v>bàn chuyện đánh giặc trên giấy (lý luận suông)</v>
      </c>
      <c r="H1896" s="13" t="str">
        <f ca="1">IFERROR(__xludf.DUMMYFUNCTION("""COMPUTED_VALUE"""),"他只是纸上谈兵，从不实际行动。")</f>
        <v>他只是纸上谈兵，从不实际行动。</v>
      </c>
      <c r="I1896" s="13"/>
      <c r="J1896" s="13" t="str">
        <f ca="1">IFERROR(__xludf.DUMMYFUNCTION("""COMPUTED_VALUE"""),"Anh ấy chỉ toàn nói lý thuyết mà không bao giờ hành động thực tế.")</f>
        <v>Anh ấy chỉ toàn nói lý thuyết mà không bao giờ hành động thực tế.</v>
      </c>
      <c r="K1896" s="13" t="str">
        <f ca="1">IFERROR(__xludf.DUMMYFUNCTION("""COMPUTED_VALUE"""),"H5_B15_BG-05.png")</f>
        <v>H5_B15_BG-05.png</v>
      </c>
      <c r="L1896" s="13" t="str">
        <f ca="1">IFERROR(__xludf.DUMMYFUNCTION("""COMPUTED_VALUE"""),"B15_5.mp3")</f>
        <v>B15_5.mp3</v>
      </c>
      <c r="M1896" s="13" t="str">
        <f ca="1">IFERROR(__xludf.DUMMYFUNCTION("""COMPUTED_VALUE"""),"B15_VD_5.mp3")</f>
        <v>B15_VD_5.mp3</v>
      </c>
    </row>
    <row r="1897" spans="1:13">
      <c r="A1897" s="13">
        <f ca="1">IFERROR(__xludf.DUMMYFUNCTION("""COMPUTED_VALUE"""),6)</f>
        <v>6</v>
      </c>
      <c r="B1897" s="13"/>
      <c r="C1897" s="13" t="str">
        <f ca="1">IFERROR(__xludf.DUMMYFUNCTION("""COMPUTED_VALUE"""),"军事")</f>
        <v>军事</v>
      </c>
      <c r="D1897" s="13" t="str">
        <f ca="1">IFERROR(__xludf.DUMMYFUNCTION("""COMPUTED_VALUE"""),"&lt;ruby&gt;军事&lt;rt&gt;jūnshì&lt;/rt&gt;&lt;/ruby&gt;")</f>
        <v>&lt;ruby&gt;军事&lt;rt&gt;jūnshì&lt;/rt&gt;&lt;/ruby&gt;</v>
      </c>
      <c r="E1897" s="13" t="str">
        <f ca="1">IFERROR(__xludf.DUMMYFUNCTION("""COMPUTED_VALUE"""),"jūnshì")</f>
        <v>jūnshì</v>
      </c>
      <c r="F1897" s="13" t="str">
        <f ca="1">IFERROR(__xludf.DUMMYFUNCTION("""COMPUTED_VALUE"""),"Danh từ")</f>
        <v>Danh từ</v>
      </c>
      <c r="G1897" s="13" t="str">
        <f ca="1">IFERROR(__xludf.DUMMYFUNCTION("""COMPUTED_VALUE"""),"việc quân")</f>
        <v>việc quân</v>
      </c>
      <c r="H1897" s="13" t="str">
        <f ca="1">IFERROR(__xludf.DUMMYFUNCTION("""COMPUTED_VALUE"""),"他对军事很感兴趣。")</f>
        <v>他对军事很感兴趣。</v>
      </c>
      <c r="I1897" s="13"/>
      <c r="J1897" s="13" t="str">
        <f ca="1">IFERROR(__xludf.DUMMYFUNCTION("""COMPUTED_VALUE"""),"Anh ấy rất hứng thú với quân sự.")</f>
        <v>Anh ấy rất hứng thú với quân sự.</v>
      </c>
      <c r="K1897" s="13" t="str">
        <f ca="1">IFERROR(__xludf.DUMMYFUNCTION("""COMPUTED_VALUE"""),"H5_B15_BG-06.png")</f>
        <v>H5_B15_BG-06.png</v>
      </c>
      <c r="L1897" s="13" t="str">
        <f ca="1">IFERROR(__xludf.DUMMYFUNCTION("""COMPUTED_VALUE"""),"B15_6.mp3")</f>
        <v>B15_6.mp3</v>
      </c>
      <c r="M1897" s="13" t="str">
        <f ca="1">IFERROR(__xludf.DUMMYFUNCTION("""COMPUTED_VALUE"""),"B15_VD_6.mp3")</f>
        <v>B15_VD_6.mp3</v>
      </c>
    </row>
    <row r="1898" spans="1:13">
      <c r="A1898" s="13">
        <f ca="1">IFERROR(__xludf.DUMMYFUNCTION("""COMPUTED_VALUE"""),7)</f>
        <v>7</v>
      </c>
      <c r="B1898" s="13"/>
      <c r="C1898" s="13" t="str">
        <f ca="1">IFERROR(__xludf.DUMMYFUNCTION("""COMPUTED_VALUE"""),"军队")</f>
        <v>军队</v>
      </c>
      <c r="D1898" s="13" t="str">
        <f ca="1">IFERROR(__xludf.DUMMYFUNCTION("""COMPUTED_VALUE"""),"&lt;ruby&gt;军队&lt;rt&gt;jūnduì&lt;/rt&gt;&lt;/ruby&gt;")</f>
        <v>&lt;ruby&gt;军队&lt;rt&gt;jūnduì&lt;/rt&gt;&lt;/ruby&gt;</v>
      </c>
      <c r="E1898" s="13" t="str">
        <f ca="1">IFERROR(__xludf.DUMMYFUNCTION("""COMPUTED_VALUE"""),"jūnduì")</f>
        <v>jūnduì</v>
      </c>
      <c r="F1898" s="13" t="str">
        <f ca="1">IFERROR(__xludf.DUMMYFUNCTION("""COMPUTED_VALUE"""),"Danh từ")</f>
        <v>Danh từ</v>
      </c>
      <c r="G1898" s="13" t="str">
        <f ca="1">IFERROR(__xludf.DUMMYFUNCTION("""COMPUTED_VALUE"""),"quân đội")</f>
        <v>quân đội</v>
      </c>
      <c r="H1898" s="13" t="str">
        <f ca="1">IFERROR(__xludf.DUMMYFUNCTION("""COMPUTED_VALUE"""),"这支军队训练得非常专业。")</f>
        <v>这支军队训练得非常专业。</v>
      </c>
      <c r="I1898" s="13"/>
      <c r="J1898" s="13" t="str">
        <f ca="1">IFERROR(__xludf.DUMMYFUNCTION("""COMPUTED_VALUE"""),"Đội quân này được huấn luyện rất bài bản.")</f>
        <v>Đội quân này được huấn luyện rất bài bản.</v>
      </c>
      <c r="K1898" s="13" t="str">
        <f ca="1">IFERROR(__xludf.DUMMYFUNCTION("""COMPUTED_VALUE"""),"H5_B15_BG-07.png")</f>
        <v>H5_B15_BG-07.png</v>
      </c>
      <c r="L1898" s="13" t="str">
        <f ca="1">IFERROR(__xludf.DUMMYFUNCTION("""COMPUTED_VALUE"""),"B15_7.mp3")</f>
        <v>B15_7.mp3</v>
      </c>
      <c r="M1898" s="13" t="str">
        <f ca="1">IFERROR(__xludf.DUMMYFUNCTION("""COMPUTED_VALUE"""),"B15_VD_7.mp3")</f>
        <v>B15_VD_7.mp3</v>
      </c>
    </row>
    <row r="1899" spans="1:13">
      <c r="A1899" s="13">
        <f ca="1">IFERROR(__xludf.DUMMYFUNCTION("""COMPUTED_VALUE"""),8)</f>
        <v>8</v>
      </c>
      <c r="B1899" s="13"/>
      <c r="C1899" s="13" t="str">
        <f ca="1">IFERROR(__xludf.DUMMYFUNCTION("""COMPUTED_VALUE"""),"守")</f>
        <v>守</v>
      </c>
      <c r="D1899" s="13" t="str">
        <f ca="1">IFERROR(__xludf.DUMMYFUNCTION("""COMPUTED_VALUE"""),"&lt;ruby&gt;守&lt;rt&gt;shǒu&lt;/rt&gt;&lt;/ruby&gt;")</f>
        <v>&lt;ruby&gt;守&lt;rt&gt;shǒu&lt;/rt&gt;&lt;/ruby&gt;</v>
      </c>
      <c r="E1899" s="13" t="str">
        <f ca="1">IFERROR(__xludf.DUMMYFUNCTION("""COMPUTED_VALUE"""),"shǒu")</f>
        <v>shǒu</v>
      </c>
      <c r="F1899" s="13" t="str">
        <f ca="1">IFERROR(__xludf.DUMMYFUNCTION("""COMPUTED_VALUE"""),"Động từ")</f>
        <v>Động từ</v>
      </c>
      <c r="G1899" s="13" t="str">
        <f ca="1">IFERROR(__xludf.DUMMYFUNCTION("""COMPUTED_VALUE"""),"phòng thủ, trấn giữ")</f>
        <v>phòng thủ, trấn giữ</v>
      </c>
      <c r="H1899" s="13" t="str">
        <f ca="1">IFERROR(__xludf.DUMMYFUNCTION("""COMPUTED_VALUE"""),"他们日夜守卫边境。")</f>
        <v>他们日夜守卫边境。</v>
      </c>
      <c r="I1899" s="13"/>
      <c r="J1899" s="13" t="str">
        <f ca="1">IFERROR(__xludf.DUMMYFUNCTION("""COMPUTED_VALUE"""),"Họ ngày đêm trấn giữ bảo vệ biên giới.")</f>
        <v>Họ ngày đêm trấn giữ bảo vệ biên giới.</v>
      </c>
      <c r="K1899" s="13" t="str">
        <f ca="1">IFERROR(__xludf.DUMMYFUNCTION("""COMPUTED_VALUE"""),"H5_B15_BG-08.png")</f>
        <v>H5_B15_BG-08.png</v>
      </c>
      <c r="L1899" s="13" t="str">
        <f ca="1">IFERROR(__xludf.DUMMYFUNCTION("""COMPUTED_VALUE"""),"B15_8.mp3")</f>
        <v>B15_8.mp3</v>
      </c>
      <c r="M1899" s="13" t="str">
        <f ca="1">IFERROR(__xludf.DUMMYFUNCTION("""COMPUTED_VALUE"""),"B15_VD_8.mp3")</f>
        <v>B15_VD_8.mp3</v>
      </c>
    </row>
    <row r="1900" spans="1:13">
      <c r="A1900" s="13">
        <f ca="1">IFERROR(__xludf.DUMMYFUNCTION("""COMPUTED_VALUE"""),9)</f>
        <v>9</v>
      </c>
      <c r="B1900" s="13"/>
      <c r="C1900" s="13" t="str">
        <f ca="1">IFERROR(__xludf.DUMMYFUNCTION("""COMPUTED_VALUE"""),"阵地")</f>
        <v>阵地</v>
      </c>
      <c r="D1900" s="13" t="str">
        <f ca="1">IFERROR(__xludf.DUMMYFUNCTION("""COMPUTED_VALUE"""),"&lt;ruby&gt;阵地&lt;rt&gt;zhèndì&lt;/rt&gt;&lt;/ruby&gt;")</f>
        <v>&lt;ruby&gt;阵地&lt;rt&gt;zhèndì&lt;/rt&gt;&lt;/ruby&gt;</v>
      </c>
      <c r="E1900" s="13" t="str">
        <f ca="1">IFERROR(__xludf.DUMMYFUNCTION("""COMPUTED_VALUE"""),"zhèndì")</f>
        <v>zhèndì</v>
      </c>
      <c r="F1900" s="13" t="str">
        <f ca="1">IFERROR(__xludf.DUMMYFUNCTION("""COMPUTED_VALUE"""),"Danh từ")</f>
        <v>Danh từ</v>
      </c>
      <c r="G1900" s="13" t="str">
        <f ca="1">IFERROR(__xludf.DUMMYFUNCTION("""COMPUTED_VALUE"""),"trận địa. mặt trận")</f>
        <v>trận địa. mặt trận</v>
      </c>
      <c r="H1900" s="13" t="str">
        <f ca="1">IFERROR(__xludf.DUMMYFUNCTION("""COMPUTED_VALUE"""),"我们必须保护自己的阵地。")</f>
        <v>我们必须保护自己的阵地。</v>
      </c>
      <c r="I1900" s="13"/>
      <c r="J1900" s="13" t="str">
        <f ca="1">IFERROR(__xludf.DUMMYFUNCTION("""COMPUTED_VALUE"""),"Chúng ta phải bảo vệ trận địa của mình.")</f>
        <v>Chúng ta phải bảo vệ trận địa của mình.</v>
      </c>
      <c r="K1900" s="13" t="str">
        <f ca="1">IFERROR(__xludf.DUMMYFUNCTION("""COMPUTED_VALUE"""),"H5_B15_BG-09.png")</f>
        <v>H5_B15_BG-09.png</v>
      </c>
      <c r="L1900" s="13" t="str">
        <f ca="1">IFERROR(__xludf.DUMMYFUNCTION("""COMPUTED_VALUE"""),"B15_9.mp3")</f>
        <v>B15_9.mp3</v>
      </c>
      <c r="M1900" s="13" t="str">
        <f ca="1">IFERROR(__xludf.DUMMYFUNCTION("""COMPUTED_VALUE"""),"B15_VD_9.mp3")</f>
        <v>B15_VD_9.mp3</v>
      </c>
    </row>
    <row r="1901" spans="1:13">
      <c r="A1901" s="13">
        <f ca="1">IFERROR(__xludf.DUMMYFUNCTION("""COMPUTED_VALUE"""),10)</f>
        <v>10</v>
      </c>
      <c r="B1901" s="13"/>
      <c r="C1901" s="13" t="str">
        <f ca="1">IFERROR(__xludf.DUMMYFUNCTION("""COMPUTED_VALUE"""),"绝对")</f>
        <v>绝对</v>
      </c>
      <c r="D1901" s="13" t="str">
        <f ca="1">IFERROR(__xludf.DUMMYFUNCTION("""COMPUTED_VALUE"""),"&lt;ruby&gt;绝对&lt;rt&gt;juéduì&lt;/rt&gt;&lt;/ruby&gt;")</f>
        <v>&lt;ruby&gt;绝对&lt;rt&gt;juéduì&lt;/rt&gt;&lt;/ruby&gt;</v>
      </c>
      <c r="E1901" s="13" t="str">
        <f ca="1">IFERROR(__xludf.DUMMYFUNCTION("""COMPUTED_VALUE"""),"juéduì")</f>
        <v>juéduì</v>
      </c>
      <c r="F1901" s="13" t="str">
        <f ca="1">IFERROR(__xludf.DUMMYFUNCTION("""COMPUTED_VALUE"""),"Tính từ")</f>
        <v>Tính từ</v>
      </c>
      <c r="G1901" s="13" t="str">
        <f ca="1">IFERROR(__xludf.DUMMYFUNCTION("""COMPUTED_VALUE"""),"tuyệt đối, nhất định")</f>
        <v>tuyệt đối, nhất định</v>
      </c>
      <c r="H1901" s="13" t="str">
        <f ca="1">IFERROR(__xludf.DUMMYFUNCTION("""COMPUTED_VALUE"""),"这场战斗绝对不能输。")</f>
        <v>这场战斗绝对不能输。</v>
      </c>
      <c r="I1901" s="13"/>
      <c r="J1901" s="13" t="str">
        <f ca="1">IFERROR(__xludf.DUMMYFUNCTION("""COMPUTED_VALUE"""),"Trận chiến này tuyệt đối không được thua.")</f>
        <v>Trận chiến này tuyệt đối không được thua.</v>
      </c>
      <c r="K1901" s="13" t="str">
        <f ca="1">IFERROR(__xludf.DUMMYFUNCTION("""COMPUTED_VALUE"""),"H5_B15_BG-10.png")</f>
        <v>H5_B15_BG-10.png</v>
      </c>
      <c r="L1901" s="13" t="str">
        <f ca="1">IFERROR(__xludf.DUMMYFUNCTION("""COMPUTED_VALUE"""),"B15_10.mp3")</f>
        <v>B15_10.mp3</v>
      </c>
      <c r="M1901" s="13" t="str">
        <f ca="1">IFERROR(__xludf.DUMMYFUNCTION("""COMPUTED_VALUE"""),"B15_VD_10.mp3")</f>
        <v>B15_VD_10.mp3</v>
      </c>
    </row>
    <row r="1902" spans="1:13">
      <c r="A1902" s="13">
        <f ca="1">IFERROR(__xludf.DUMMYFUNCTION("""COMPUTED_VALUE"""),11)</f>
        <v>11</v>
      </c>
      <c r="B1902" s="13"/>
      <c r="C1902" s="13" t="str">
        <f ca="1">IFERROR(__xludf.DUMMYFUNCTION("""COMPUTED_VALUE"""),"调动")</f>
        <v>调动</v>
      </c>
      <c r="D1902" s="13" t="str">
        <f ca="1">IFERROR(__xludf.DUMMYFUNCTION("""COMPUTED_VALUE"""),"&lt;ruby&gt;调动&lt;rt&gt;diàodòng&lt;/rt&gt;&lt;/ruby&gt;")</f>
        <v>&lt;ruby&gt;调动&lt;rt&gt;diàodòng&lt;/rt&gt;&lt;/ruby&gt;</v>
      </c>
      <c r="E1902" s="13" t="str">
        <f ca="1">IFERROR(__xludf.DUMMYFUNCTION("""COMPUTED_VALUE"""),"diàodòng")</f>
        <v>diàodòng</v>
      </c>
      <c r="F1902" s="13" t="str">
        <f ca="1">IFERROR(__xludf.DUMMYFUNCTION("""COMPUTED_VALUE"""),"Động từ")</f>
        <v>Động từ</v>
      </c>
      <c r="G1902" s="13" t="str">
        <f ca="1">IFERROR(__xludf.DUMMYFUNCTION("""COMPUTED_VALUE"""),"điều động, thuyên chuyển")</f>
        <v>điều động, thuyên chuyển</v>
      </c>
      <c r="H1902" s="13" t="str">
        <f ca="1">IFERROR(__xludf.DUMMYFUNCTION("""COMPUTED_VALUE"""),"他们被立即调动去支援。")</f>
        <v>他们被立即调动去支援。</v>
      </c>
      <c r="I1902" s="13"/>
      <c r="J1902" s="13" t="str">
        <f ca="1">IFERROR(__xludf.DUMMYFUNCTION("""COMPUTED_VALUE"""),"Họ được điều động đi chi viện ngay lập tức.")</f>
        <v>Họ được điều động đi chi viện ngay lập tức.</v>
      </c>
      <c r="K1902" s="13" t="str">
        <f ca="1">IFERROR(__xludf.DUMMYFUNCTION("""COMPUTED_VALUE"""),"H5_B15_BG-11.png")</f>
        <v>H5_B15_BG-11.png</v>
      </c>
      <c r="L1902" s="13" t="str">
        <f ca="1">IFERROR(__xludf.DUMMYFUNCTION("""COMPUTED_VALUE"""),"B15_11.mp3")</f>
        <v>B15_11.mp3</v>
      </c>
      <c r="M1902" s="13" t="str">
        <f ca="1">IFERROR(__xludf.DUMMYFUNCTION("""COMPUTED_VALUE"""),"B15_VD_11.mp3")</f>
        <v>B15_VD_11.mp3</v>
      </c>
    </row>
    <row r="1903" spans="1:13">
      <c r="A1903" s="13">
        <f ca="1">IFERROR(__xludf.DUMMYFUNCTION("""COMPUTED_VALUE"""),12)</f>
        <v>12</v>
      </c>
      <c r="B1903" s="13"/>
      <c r="C1903" s="13" t="str">
        <f ca="1">IFERROR(__xludf.DUMMYFUNCTION("""COMPUTED_VALUE"""),"任命")</f>
        <v>任命</v>
      </c>
      <c r="D1903" s="13" t="str">
        <f ca="1">IFERROR(__xludf.DUMMYFUNCTION("""COMPUTED_VALUE"""),"&lt;ruby&gt;任命&lt;rt&gt;rènmìng&lt;/rt&gt;&lt;/ruby&gt;")</f>
        <v>&lt;ruby&gt;任命&lt;rt&gt;rènmìng&lt;/rt&gt;&lt;/ruby&gt;</v>
      </c>
      <c r="E1903" s="13" t="str">
        <f ca="1">IFERROR(__xludf.DUMMYFUNCTION("""COMPUTED_VALUE"""),"rènmìng")</f>
        <v>rènmìng</v>
      </c>
      <c r="F1903" s="13" t="str">
        <f ca="1">IFERROR(__xludf.DUMMYFUNCTION("""COMPUTED_VALUE"""),"Động từ")</f>
        <v>Động từ</v>
      </c>
      <c r="G1903" s="13" t="str">
        <f ca="1">IFERROR(__xludf.DUMMYFUNCTION("""COMPUTED_VALUE"""),"bổ nhiệm")</f>
        <v>bổ nhiệm</v>
      </c>
      <c r="H1903" s="13" t="str">
        <f ca="1">IFERROR(__xludf.DUMMYFUNCTION("""COMPUTED_VALUE"""),"他被任命为指挥官。")</f>
        <v>他被任命为指挥官。</v>
      </c>
      <c r="I1903" s="13"/>
      <c r="J1903" s="13" t="str">
        <f ca="1">IFERROR(__xludf.DUMMYFUNCTION("""COMPUTED_VALUE"""),"Anh ấy được bổ nhiệm làm chỉ huy.")</f>
        <v>Anh ấy được bổ nhiệm làm chỉ huy.</v>
      </c>
      <c r="K1903" s="13" t="str">
        <f ca="1">IFERROR(__xludf.DUMMYFUNCTION("""COMPUTED_VALUE"""),"H5_B15_BG-12.png")</f>
        <v>H5_B15_BG-12.png</v>
      </c>
      <c r="L1903" s="13" t="str">
        <f ca="1">IFERROR(__xludf.DUMMYFUNCTION("""COMPUTED_VALUE"""),"B15_12.mp3")</f>
        <v>B15_12.mp3</v>
      </c>
      <c r="M1903" s="13" t="str">
        <f ca="1">IFERROR(__xludf.DUMMYFUNCTION("""COMPUTED_VALUE"""),"B15_VD_12.mp3")</f>
        <v>B15_VD_12.mp3</v>
      </c>
    </row>
    <row r="1904" spans="1:13">
      <c r="A1904" s="13">
        <f ca="1">IFERROR(__xludf.DUMMYFUNCTION("""COMPUTED_VALUE"""),13)</f>
        <v>13</v>
      </c>
      <c r="B1904" s="13"/>
      <c r="C1904" s="13" t="str">
        <f ca="1">IFERROR(__xludf.DUMMYFUNCTION("""COMPUTED_VALUE"""),"进攻")</f>
        <v>进攻</v>
      </c>
      <c r="D1904" s="13" t="str">
        <f ca="1">IFERROR(__xludf.DUMMYFUNCTION("""COMPUTED_VALUE"""),"&lt;ruby&gt;进攻&lt;rt&gt;jìngōng&lt;/rt&gt;&lt;/ruby&gt;")</f>
        <v>&lt;ruby&gt;进攻&lt;rt&gt;jìngōng&lt;/rt&gt;&lt;/ruby&gt;</v>
      </c>
      <c r="E1904" s="13" t="str">
        <f ca="1">IFERROR(__xludf.DUMMYFUNCTION("""COMPUTED_VALUE"""),"jìngōng")</f>
        <v>jìngōng</v>
      </c>
      <c r="F1904" s="13" t="str">
        <f ca="1">IFERROR(__xludf.DUMMYFUNCTION("""COMPUTED_VALUE"""),"Động từ")</f>
        <v>Động từ</v>
      </c>
      <c r="G1904" s="13" t="str">
        <f ca="1">IFERROR(__xludf.DUMMYFUNCTION("""COMPUTED_VALUE"""),"tấn công, công kích")</f>
        <v>tấn công, công kích</v>
      </c>
      <c r="H1904" s="13" t="str">
        <f ca="1">IFERROR(__xludf.DUMMYFUNCTION("""COMPUTED_VALUE"""),"士兵们开始发动进攻。")</f>
        <v>士兵们开始发动进攻。</v>
      </c>
      <c r="I1904" s="13"/>
      <c r="J1904" s="13" t="str">
        <f ca="1">IFERROR(__xludf.DUMMYFUNCTION("""COMPUTED_VALUE"""),"Các binh sĩ bắt đầu phát động tấn công.")</f>
        <v>Các binh sĩ bắt đầu phát động tấn công.</v>
      </c>
      <c r="K1904" s="13" t="str">
        <f ca="1">IFERROR(__xludf.DUMMYFUNCTION("""COMPUTED_VALUE"""),"H5_B15_BG-13.png")</f>
        <v>H5_B15_BG-13.png</v>
      </c>
      <c r="L1904" s="13" t="str">
        <f ca="1">IFERROR(__xludf.DUMMYFUNCTION("""COMPUTED_VALUE"""),"B15_13.mp3")</f>
        <v>B15_13.mp3</v>
      </c>
      <c r="M1904" s="13" t="str">
        <f ca="1">IFERROR(__xludf.DUMMYFUNCTION("""COMPUTED_VALUE"""),"B15_VD_13.mp3")</f>
        <v>B15_VD_13.mp3</v>
      </c>
    </row>
    <row r="1905" spans="1:13">
      <c r="A1905" s="13">
        <f ca="1">IFERROR(__xludf.DUMMYFUNCTION("""COMPUTED_VALUE"""),14)</f>
        <v>14</v>
      </c>
      <c r="B1905" s="13"/>
      <c r="C1905" s="13" t="str">
        <f ca="1">IFERROR(__xludf.DUMMYFUNCTION("""COMPUTED_VALUE"""),"胆小鬼")</f>
        <v>胆小鬼</v>
      </c>
      <c r="D1905" s="13" t="str">
        <f ca="1">IFERROR(__xludf.DUMMYFUNCTION("""COMPUTED_VALUE"""),"&lt;ruby&gt;胆小鬼&lt;rt&gt;dǎnxiǎoguǐ&lt;/rt&gt;&lt;/ruby&gt;")</f>
        <v>&lt;ruby&gt;胆小鬼&lt;rt&gt;dǎnxiǎoguǐ&lt;/rt&gt;&lt;/ruby&gt;</v>
      </c>
      <c r="E1905" s="13" t="str">
        <f ca="1">IFERROR(__xludf.DUMMYFUNCTION("""COMPUTED_VALUE"""),"dǎnxiǎoguǐ")</f>
        <v>dǎnxiǎoguǐ</v>
      </c>
      <c r="F1905" s="13" t="str">
        <f ca="1">IFERROR(__xludf.DUMMYFUNCTION("""COMPUTED_VALUE"""),"Danh từ")</f>
        <v>Danh từ</v>
      </c>
      <c r="G1905" s="13" t="str">
        <f ca="1">IFERROR(__xludf.DUMMYFUNCTION("""COMPUTED_VALUE"""),"kẻ hèn nhát")</f>
        <v>kẻ hèn nhát</v>
      </c>
      <c r="H1905" s="13" t="str">
        <f ca="1">IFERROR(__xludf.DUMMYFUNCTION("""COMPUTED_VALUE"""),"我觉得她真是个胆小鬼，连一只小蜘蛛都怕。")</f>
        <v>我觉得她真是个胆小鬼，连一只小蜘蛛都怕。</v>
      </c>
      <c r="I1905" s="13"/>
      <c r="J1905" s="13" t="str">
        <f ca="1">IFERROR(__xludf.DUMMYFUNCTION("""COMPUTED_VALUE"""),"Tôi thấy cô ấy đúng là đồ nhát cáy, có con nhện bé tí cũng sợ.")</f>
        <v>Tôi thấy cô ấy đúng là đồ nhát cáy, có con nhện bé tí cũng sợ.</v>
      </c>
      <c r="K1905" s="13" t="str">
        <f ca="1">IFERROR(__xludf.DUMMYFUNCTION("""COMPUTED_VALUE"""),"H5_B15_BG-14.png")</f>
        <v>H5_B15_BG-14.png</v>
      </c>
      <c r="L1905" s="13" t="str">
        <f ca="1">IFERROR(__xludf.DUMMYFUNCTION("""COMPUTED_VALUE"""),"B15_14.mp3")</f>
        <v>B15_14.mp3</v>
      </c>
      <c r="M1905" s="13" t="str">
        <f ca="1">IFERROR(__xludf.DUMMYFUNCTION("""COMPUTED_VALUE"""),"B15_VD_14.mp3")</f>
        <v>B15_VD_14.mp3</v>
      </c>
    </row>
    <row r="1906" spans="1:13">
      <c r="A1906" s="13">
        <f ca="1">IFERROR(__xludf.DUMMYFUNCTION("""COMPUTED_VALUE"""),15)</f>
        <v>15</v>
      </c>
      <c r="B1906" s="13"/>
      <c r="C1906" s="13" t="str">
        <f ca="1">IFERROR(__xludf.DUMMYFUNCTION("""COMPUTED_VALUE"""),"讽刺")</f>
        <v>讽刺</v>
      </c>
      <c r="D1906" s="13" t="str">
        <f ca="1">IFERROR(__xludf.DUMMYFUNCTION("""COMPUTED_VALUE"""),"&lt;ruby&gt;讽刺&lt;rt&gt;fěngcì&lt;/rt&gt;&lt;/ruby&gt;")</f>
        <v>&lt;ruby&gt;讽刺&lt;rt&gt;fěngcì&lt;/rt&gt;&lt;/ruby&gt;</v>
      </c>
      <c r="E1906" s="13" t="str">
        <f ca="1">IFERROR(__xludf.DUMMYFUNCTION("""COMPUTED_VALUE"""),"fěngcì")</f>
        <v>fěngcì</v>
      </c>
      <c r="F1906" s="13" t="str">
        <f ca="1">IFERROR(__xludf.DUMMYFUNCTION("""COMPUTED_VALUE"""),"Động từ")</f>
        <v>Động từ</v>
      </c>
      <c r="G1906" s="13" t="str">
        <f ca="1">IFERROR(__xludf.DUMMYFUNCTION("""COMPUTED_VALUE"""),"châm biếm, mỉa mai")</f>
        <v>châm biếm, mỉa mai</v>
      </c>
      <c r="H1906" s="13" t="str">
        <f ca="1">IFERROR(__xludf.DUMMYFUNCTION("""COMPUTED_VALUE"""),"她讽刺了他几句。")</f>
        <v>她讽刺了他几句。</v>
      </c>
      <c r="I1906" s="13"/>
      <c r="J1906" s="13" t="str">
        <f ca="1">IFERROR(__xludf.DUMMYFUNCTION("""COMPUTED_VALUE"""),"Cô ấy mỉa mai anh ấy mấy câu.")</f>
        <v>Cô ấy mỉa mai anh ấy mấy câu.</v>
      </c>
      <c r="K1906" s="13" t="str">
        <f ca="1">IFERROR(__xludf.DUMMYFUNCTION("""COMPUTED_VALUE"""),"H5_B15_BG-15.png")</f>
        <v>H5_B15_BG-15.png</v>
      </c>
      <c r="L1906" s="13" t="str">
        <f ca="1">IFERROR(__xludf.DUMMYFUNCTION("""COMPUTED_VALUE"""),"B15_15.mp3")</f>
        <v>B15_15.mp3</v>
      </c>
      <c r="M1906" s="13" t="str">
        <f ca="1">IFERROR(__xludf.DUMMYFUNCTION("""COMPUTED_VALUE"""),"B15_VD_15.mp3")</f>
        <v>B15_VD_15.mp3</v>
      </c>
    </row>
    <row r="1907" spans="1:13">
      <c r="A1907" s="13">
        <f ca="1">IFERROR(__xludf.DUMMYFUNCTION("""COMPUTED_VALUE"""),16)</f>
        <v>16</v>
      </c>
      <c r="B1907" s="13"/>
      <c r="C1907" s="13" t="str">
        <f ca="1">IFERROR(__xludf.DUMMYFUNCTION("""COMPUTED_VALUE"""),"糊涂")</f>
        <v>糊涂</v>
      </c>
      <c r="D1907" s="13" t="str">
        <f ca="1">IFERROR(__xludf.DUMMYFUNCTION("""COMPUTED_VALUE"""),"&lt;ruby&gt;糊涂&lt;rt&gt;hútu&lt;/rt&gt;&lt;/ruby&gt;")</f>
        <v>&lt;ruby&gt;糊涂&lt;rt&gt;hútu&lt;/rt&gt;&lt;/ruby&gt;</v>
      </c>
      <c r="E1907" s="13" t="str">
        <f ca="1">IFERROR(__xludf.DUMMYFUNCTION("""COMPUTED_VALUE"""),"hútu")</f>
        <v>hútu</v>
      </c>
      <c r="F1907" s="13" t="str">
        <f ca="1">IFERROR(__xludf.DUMMYFUNCTION("""COMPUTED_VALUE"""),"Tính từ")</f>
        <v>Tính từ</v>
      </c>
      <c r="G1907" s="13" t="str">
        <f ca="1">IFERROR(__xludf.DUMMYFUNCTION("""COMPUTED_VALUE"""),"đần độn, hồ đồ")</f>
        <v>đần độn, hồ đồ</v>
      </c>
      <c r="H1907" s="13" t="str">
        <f ca="1">IFERROR(__xludf.DUMMYFUNCTION("""COMPUTED_VALUE"""),"他越解释，我越糊涂。")</f>
        <v>他越解释，我越糊涂。</v>
      </c>
      <c r="I1907" s="13"/>
      <c r="J1907" s="13" t="str">
        <f ca="1">IFERROR(__xludf.DUMMYFUNCTION("""COMPUTED_VALUE"""),"Anh ấy càng giải thích, tôi càng không rõ.")</f>
        <v>Anh ấy càng giải thích, tôi càng không rõ.</v>
      </c>
      <c r="K1907" s="13" t="str">
        <f ca="1">IFERROR(__xludf.DUMMYFUNCTION("""COMPUTED_VALUE"""),"H5_B15_BG-16.png")</f>
        <v>H5_B15_BG-16.png</v>
      </c>
      <c r="L1907" s="13" t="str">
        <f ca="1">IFERROR(__xludf.DUMMYFUNCTION("""COMPUTED_VALUE"""),"B15_16.mp3")</f>
        <v>B15_16.mp3</v>
      </c>
      <c r="M1907" s="13" t="str">
        <f ca="1">IFERROR(__xludf.DUMMYFUNCTION("""COMPUTED_VALUE"""),"B15_VD_16.mp3")</f>
        <v>B15_VD_16.mp3</v>
      </c>
    </row>
    <row r="1908" spans="1:13">
      <c r="A1908" s="13">
        <f ca="1">IFERROR(__xludf.DUMMYFUNCTION("""COMPUTED_VALUE"""),17)</f>
        <v>17</v>
      </c>
      <c r="B1908" s="13"/>
      <c r="C1908" s="13" t="str">
        <f ca="1">IFERROR(__xludf.DUMMYFUNCTION("""COMPUTED_VALUE"""),"灵活")</f>
        <v>灵活</v>
      </c>
      <c r="D1908" s="13" t="str">
        <f ca="1">IFERROR(__xludf.DUMMYFUNCTION("""COMPUTED_VALUE"""),"&lt;ruby&gt;灵活&lt;rt&gt;línghuó&lt;/rt&gt;&lt;/ruby&gt;")</f>
        <v>&lt;ruby&gt;灵活&lt;rt&gt;línghuó&lt;/rt&gt;&lt;/ruby&gt;</v>
      </c>
      <c r="E1908" s="13" t="str">
        <f ca="1">IFERROR(__xludf.DUMMYFUNCTION("""COMPUTED_VALUE"""),"línghuó")</f>
        <v>línghuó</v>
      </c>
      <c r="F1908" s="13" t="str">
        <f ca="1">IFERROR(__xludf.DUMMYFUNCTION("""COMPUTED_VALUE"""),"Tính từ")</f>
        <v>Tính từ</v>
      </c>
      <c r="G1908" s="13" t="str">
        <f ca="1">IFERROR(__xludf.DUMMYFUNCTION("""COMPUTED_VALUE"""),"linh hoạt, nhạy bén")</f>
        <v>linh hoạt, nhạy bén</v>
      </c>
      <c r="H1908" s="13" t="str">
        <f ca="1">IFERROR(__xludf.DUMMYFUNCTION("""COMPUTED_VALUE"""),"运动员反应灵活，轻松地接住了球。")</f>
        <v>运动员反应灵活，轻松地接住了球。</v>
      </c>
      <c r="I1908" s="13"/>
      <c r="J1908" s="13" t="str">
        <f ca="1">IFERROR(__xludf.DUMMYFUNCTION("""COMPUTED_VALUE"""),"Vận động viên phản ứng linh hoạt, dễ dàng bắt bóng.")</f>
        <v>Vận động viên phản ứng linh hoạt, dễ dàng bắt bóng.</v>
      </c>
      <c r="K1908" s="13" t="str">
        <f ca="1">IFERROR(__xludf.DUMMYFUNCTION("""COMPUTED_VALUE"""),"H5_B15_BG-17.png")</f>
        <v>H5_B15_BG-17.png</v>
      </c>
      <c r="L1908" s="13" t="str">
        <f ca="1">IFERROR(__xludf.DUMMYFUNCTION("""COMPUTED_VALUE"""),"B15_17.mp3")</f>
        <v>B15_17.mp3</v>
      </c>
      <c r="M1908" s="13" t="str">
        <f ca="1">IFERROR(__xludf.DUMMYFUNCTION("""COMPUTED_VALUE"""),"B15_VD_17.mp3")</f>
        <v>B15_VD_17.mp3</v>
      </c>
    </row>
    <row r="1909" spans="1:13">
      <c r="A1909" s="13">
        <f ca="1">IFERROR(__xludf.DUMMYFUNCTION("""COMPUTED_VALUE"""),18)</f>
        <v>18</v>
      </c>
      <c r="B1909" s="13"/>
      <c r="C1909" s="13" t="str">
        <f ca="1">IFERROR(__xludf.DUMMYFUNCTION("""COMPUTED_VALUE"""),"骂")</f>
        <v>骂</v>
      </c>
      <c r="D1909" s="13" t="str">
        <f ca="1">IFERROR(__xludf.DUMMYFUNCTION("""COMPUTED_VALUE"""),"&lt;ruby&gt;骂&lt;rt&gt;mà&lt;/rt&gt;&lt;/ruby&gt;")</f>
        <v>&lt;ruby&gt;骂&lt;rt&gt;mà&lt;/rt&gt;&lt;/ruby&gt;</v>
      </c>
      <c r="E1909" s="13" t="str">
        <f ca="1">IFERROR(__xludf.DUMMYFUNCTION("""COMPUTED_VALUE"""),"mà")</f>
        <v>mà</v>
      </c>
      <c r="F1909" s="13" t="str">
        <f ca="1">IFERROR(__xludf.DUMMYFUNCTION("""COMPUTED_VALUE"""),"Động từ")</f>
        <v>Động từ</v>
      </c>
      <c r="G1909" s="13" t="str">
        <f ca="1">IFERROR(__xludf.DUMMYFUNCTION("""COMPUTED_VALUE"""),"chửi, mắng")</f>
        <v>chửi, mắng</v>
      </c>
      <c r="H1909" s="13" t="str">
        <f ca="1">IFERROR(__xludf.DUMMYFUNCTION("""COMPUTED_VALUE"""),"他经常骂自己的女儿。")</f>
        <v>他经常骂自己的女儿。</v>
      </c>
      <c r="I1909" s="13"/>
      <c r="J1909" s="13" t="str">
        <f ca="1">IFERROR(__xludf.DUMMYFUNCTION("""COMPUTED_VALUE"""),"Anh ấy thường xuyên chửi mắng con gái.")</f>
        <v>Anh ấy thường xuyên chửi mắng con gái.</v>
      </c>
      <c r="K1909" s="13" t="str">
        <f ca="1">IFERROR(__xludf.DUMMYFUNCTION("""COMPUTED_VALUE"""),"H5_B15_BG-18.png")</f>
        <v>H5_B15_BG-18.png</v>
      </c>
      <c r="L1909" s="13" t="str">
        <f ca="1">IFERROR(__xludf.DUMMYFUNCTION("""COMPUTED_VALUE"""),"B15_18.mp3")</f>
        <v>B15_18.mp3</v>
      </c>
      <c r="M1909" s="13" t="str">
        <f ca="1">IFERROR(__xludf.DUMMYFUNCTION("""COMPUTED_VALUE"""),"B15_VD_18.mp3")</f>
        <v>B15_VD_18.mp3</v>
      </c>
    </row>
    <row r="1910" spans="1:13">
      <c r="A1910" s="13">
        <f ca="1">IFERROR(__xludf.DUMMYFUNCTION("""COMPUTED_VALUE"""),19)</f>
        <v>19</v>
      </c>
      <c r="B1910" s="13"/>
      <c r="C1910" s="13" t="str">
        <f ca="1">IFERROR(__xludf.DUMMYFUNCTION("""COMPUTED_VALUE"""),"毛病")</f>
        <v>毛病</v>
      </c>
      <c r="D1910" s="13" t="str">
        <f ca="1">IFERROR(__xludf.DUMMYFUNCTION("""COMPUTED_VALUE"""),"&lt;ruby&gt;毛病&lt;rt&gt;máobìng&lt;/rt&gt;&lt;/ruby&gt;")</f>
        <v>&lt;ruby&gt;毛病&lt;rt&gt;máobìng&lt;/rt&gt;&lt;/ruby&gt;</v>
      </c>
      <c r="E1910" s="13" t="str">
        <f ca="1">IFERROR(__xludf.DUMMYFUNCTION("""COMPUTED_VALUE"""),"máobìng")</f>
        <v>máobìng</v>
      </c>
      <c r="F1910" s="13" t="str">
        <f ca="1">IFERROR(__xludf.DUMMYFUNCTION("""COMPUTED_VALUE"""),"Danh từ")</f>
        <v>Danh từ</v>
      </c>
      <c r="G1910" s="13" t="str">
        <f ca="1">IFERROR(__xludf.DUMMYFUNCTION("""COMPUTED_VALUE"""),"khuyết điểm, tật xấu")</f>
        <v>khuyết điểm, tật xấu</v>
      </c>
      <c r="H1910" s="13" t="str">
        <f ca="1">IFERROR(__xludf.DUMMYFUNCTION("""COMPUTED_VALUE"""),"他的毛病就是总是随手乱扔垃圾。")</f>
        <v>他的毛病就是总是随手乱扔垃圾。</v>
      </c>
      <c r="I1910" s="13"/>
      <c r="J1910" s="13" t="str">
        <f ca="1">IFERROR(__xludf.DUMMYFUNCTION("""COMPUTED_VALUE"""),"Tật xấu của cậu ấy là luôn vứt rác lung tung.")</f>
        <v>Tật xấu của cậu ấy là luôn vứt rác lung tung.</v>
      </c>
      <c r="K1910" s="13" t="str">
        <f ca="1">IFERROR(__xludf.DUMMYFUNCTION("""COMPUTED_VALUE"""),"H5_B15_BG-19.png")</f>
        <v>H5_B15_BG-19.png</v>
      </c>
      <c r="L1910" s="13" t="str">
        <f ca="1">IFERROR(__xludf.DUMMYFUNCTION("""COMPUTED_VALUE"""),"B15_19.mp3")</f>
        <v>B15_19.mp3</v>
      </c>
      <c r="M1910" s="13" t="str">
        <f ca="1">IFERROR(__xludf.DUMMYFUNCTION("""COMPUTED_VALUE"""),"B15_VD_19.mp3")</f>
        <v>B15_VD_19.mp3</v>
      </c>
    </row>
    <row r="1911" spans="1:13">
      <c r="A1911" s="13">
        <f ca="1">IFERROR(__xludf.DUMMYFUNCTION("""COMPUTED_VALUE"""),20)</f>
        <v>20</v>
      </c>
      <c r="B1911" s="13"/>
      <c r="C1911" s="13" t="str">
        <f ca="1">IFERROR(__xludf.DUMMYFUNCTION("""COMPUTED_VALUE"""),"轻视")</f>
        <v>轻视</v>
      </c>
      <c r="D1911" s="13" t="str">
        <f ca="1">IFERROR(__xludf.DUMMYFUNCTION("""COMPUTED_VALUE"""),"&lt;ruby&gt;轻视&lt;rt&gt;qīngshì&lt;/rt&gt;&lt;/ruby&gt;")</f>
        <v>&lt;ruby&gt;轻视&lt;rt&gt;qīngshì&lt;/rt&gt;&lt;/ruby&gt;</v>
      </c>
      <c r="E1911" s="13" t="str">
        <f ca="1">IFERROR(__xludf.DUMMYFUNCTION("""COMPUTED_VALUE"""),"qīngshì")</f>
        <v>qīngshì</v>
      </c>
      <c r="F1911" s="13" t="str">
        <f ca="1">IFERROR(__xludf.DUMMYFUNCTION("""COMPUTED_VALUE"""),"Động từ")</f>
        <v>Động từ</v>
      </c>
      <c r="G1911" s="13" t="str">
        <f ca="1">IFERROR(__xludf.DUMMYFUNCTION("""COMPUTED_VALUE"""),"khinh thường, xem thường")</f>
        <v>khinh thường, xem thường</v>
      </c>
      <c r="H1911" s="13" t="str">
        <f ca="1">IFERROR(__xludf.DUMMYFUNCTION("""COMPUTED_VALUE"""),"她轻视他，因为他不富有。")</f>
        <v>她轻视他，因为他不富有。</v>
      </c>
      <c r="I1911" s="13"/>
      <c r="J1911" s="13" t="str">
        <f ca="1">IFERROR(__xludf.DUMMYFUNCTION("""COMPUTED_VALUE"""),"Cô ấy khinh thường anh ấy vì anh ấy không giàu.")</f>
        <v>Cô ấy khinh thường anh ấy vì anh ấy không giàu.</v>
      </c>
      <c r="K1911" s="13" t="str">
        <f ca="1">IFERROR(__xludf.DUMMYFUNCTION("""COMPUTED_VALUE"""),"H5_B15_BG-20.png")</f>
        <v>H5_B15_BG-20.png</v>
      </c>
      <c r="L1911" s="13" t="str">
        <f ca="1">IFERROR(__xludf.DUMMYFUNCTION("""COMPUTED_VALUE"""),"B15_20.mp3")</f>
        <v>B15_20.mp3</v>
      </c>
      <c r="M1911" s="13" t="str">
        <f ca="1">IFERROR(__xludf.DUMMYFUNCTION("""COMPUTED_VALUE"""),"B15_VD_20.mp3")</f>
        <v>B15_VD_20.mp3</v>
      </c>
    </row>
    <row r="1912" spans="1:13">
      <c r="A1912" s="13">
        <f ca="1">IFERROR(__xludf.DUMMYFUNCTION("""COMPUTED_VALUE"""),21)</f>
        <v>21</v>
      </c>
      <c r="B1912" s="13"/>
      <c r="C1912" s="13" t="str">
        <f ca="1">IFERROR(__xludf.DUMMYFUNCTION("""COMPUTED_VALUE"""),"弱")</f>
        <v>弱</v>
      </c>
      <c r="D1912" s="13" t="str">
        <f ca="1">IFERROR(__xludf.DUMMYFUNCTION("""COMPUTED_VALUE"""),"&lt;ruby&gt;弱&lt;rt&gt;ruò&lt;/rt&gt;&lt;/ruby&gt;")</f>
        <v>&lt;ruby&gt;弱&lt;rt&gt;ruò&lt;/rt&gt;&lt;/ruby&gt;</v>
      </c>
      <c r="E1912" s="13" t="str">
        <f ca="1">IFERROR(__xludf.DUMMYFUNCTION("""COMPUTED_VALUE"""),"ruò")</f>
        <v>ruò</v>
      </c>
      <c r="F1912" s="13" t="str">
        <f ca="1">IFERROR(__xludf.DUMMYFUNCTION("""COMPUTED_VALUE"""),"Tính từ")</f>
        <v>Tính từ</v>
      </c>
      <c r="G1912" s="13" t="str">
        <f ca="1">IFERROR(__xludf.DUMMYFUNCTION("""COMPUTED_VALUE"""),"yếu, kém")</f>
        <v>yếu, kém</v>
      </c>
      <c r="H1912" s="13" t="str">
        <f ca="1">IFERROR(__xludf.DUMMYFUNCTION("""COMPUTED_VALUE"""),"他的体力比同学们弱。")</f>
        <v>他的体力比同学们弱。</v>
      </c>
      <c r="I1912" s="13"/>
      <c r="J1912" s="13" t="str">
        <f ca="1">IFERROR(__xludf.DUMMYFUNCTION("""COMPUTED_VALUE"""),"Thể lực của cậu ấy yếu hơn so với bạn bè.")</f>
        <v>Thể lực của cậu ấy yếu hơn so với bạn bè.</v>
      </c>
      <c r="K1912" s="13" t="str">
        <f ca="1">IFERROR(__xludf.DUMMYFUNCTION("""COMPUTED_VALUE"""),"H5_B15_BG-21.png")</f>
        <v>H5_B15_BG-21.png</v>
      </c>
      <c r="L1912" s="13" t="str">
        <f ca="1">IFERROR(__xludf.DUMMYFUNCTION("""COMPUTED_VALUE"""),"B15_21.mp3")</f>
        <v>B15_21.mp3</v>
      </c>
      <c r="M1912" s="13" t="str">
        <f ca="1">IFERROR(__xludf.DUMMYFUNCTION("""COMPUTED_VALUE"""),"B15_VD_21.mp3")</f>
        <v>B15_VD_21.mp3</v>
      </c>
    </row>
    <row r="1913" spans="1:13">
      <c r="A1913" s="13">
        <f ca="1">IFERROR(__xludf.DUMMYFUNCTION("""COMPUTED_VALUE"""),22)</f>
        <v>22</v>
      </c>
      <c r="B1913" s="13"/>
      <c r="C1913" s="13" t="str">
        <f ca="1">IFERROR(__xludf.DUMMYFUNCTION("""COMPUTED_VALUE"""),"上当")</f>
        <v>上当</v>
      </c>
      <c r="D1913" s="13" t="str">
        <f ca="1">IFERROR(__xludf.DUMMYFUNCTION("""COMPUTED_VALUE"""),"&lt;ruby&gt;上当&lt;rt&gt;shàngdàng&lt;/rt&gt;&lt;/ruby&gt;")</f>
        <v>&lt;ruby&gt;上当&lt;rt&gt;shàngdàng&lt;/rt&gt;&lt;/ruby&gt;</v>
      </c>
      <c r="E1913" s="13" t="str">
        <f ca="1">IFERROR(__xludf.DUMMYFUNCTION("""COMPUTED_VALUE"""),"shàngdàng")</f>
        <v>shàngdàng</v>
      </c>
      <c r="F1913" s="13" t="str">
        <f ca="1">IFERROR(__xludf.DUMMYFUNCTION("""COMPUTED_VALUE"""),"Động từ")</f>
        <v>Động từ</v>
      </c>
      <c r="G1913" s="13" t="str">
        <f ca="1">IFERROR(__xludf.DUMMYFUNCTION("""COMPUTED_VALUE"""),"bị lừa, mắc lừa")</f>
        <v>bị lừa, mắc lừa</v>
      </c>
      <c r="H1913" s="13" t="str">
        <f ca="1">IFERROR(__xludf.DUMMYFUNCTION("""COMPUTED_VALUE"""),"她因为贪便宜上当了。")</f>
        <v>她因为贪便宜上当了。</v>
      </c>
      <c r="I1913" s="13"/>
      <c r="J1913" s="13" t="str">
        <f ca="1">IFERROR(__xludf.DUMMYFUNCTION("""COMPUTED_VALUE"""),"Cô ấy ham rẻ nên bị lừa mất rồi.")</f>
        <v>Cô ấy ham rẻ nên bị lừa mất rồi.</v>
      </c>
      <c r="K1913" s="13" t="str">
        <f ca="1">IFERROR(__xludf.DUMMYFUNCTION("""COMPUTED_VALUE"""),"H5_B15_BG-22.png")</f>
        <v>H5_B15_BG-22.png</v>
      </c>
      <c r="L1913" s="13" t="str">
        <f ca="1">IFERROR(__xludf.DUMMYFUNCTION("""COMPUTED_VALUE"""),"B15_22.mp3")</f>
        <v>B15_22.mp3</v>
      </c>
      <c r="M1913" s="13" t="str">
        <f ca="1">IFERROR(__xludf.DUMMYFUNCTION("""COMPUTED_VALUE"""),"B15_VD_22.mp3")</f>
        <v>B15_VD_22.mp3</v>
      </c>
    </row>
    <row r="1914" spans="1:13">
      <c r="A1914" s="13">
        <f ca="1">IFERROR(__xludf.DUMMYFUNCTION("""COMPUTED_VALUE"""),23)</f>
        <v>23</v>
      </c>
      <c r="B1914" s="13"/>
      <c r="C1914" s="13" t="str">
        <f ca="1">IFERROR(__xludf.DUMMYFUNCTION("""COMPUTED_VALUE"""),"主动")</f>
        <v>主动</v>
      </c>
      <c r="D1914" s="13" t="str">
        <f ca="1">IFERROR(__xludf.DUMMYFUNCTION("""COMPUTED_VALUE"""),"&lt;ruby&gt;主动&lt;rt&gt;zhǔdòng&lt;/rt&gt;&lt;/ruby&gt;")</f>
        <v>&lt;ruby&gt;主动&lt;rt&gt;zhǔdòng&lt;/rt&gt;&lt;/ruby&gt;</v>
      </c>
      <c r="E1914" s="13" t="str">
        <f ca="1">IFERROR(__xludf.DUMMYFUNCTION("""COMPUTED_VALUE"""),"zhǔdòng")</f>
        <v>zhǔdòng</v>
      </c>
      <c r="F1914" s="13" t="str">
        <f ca="1">IFERROR(__xludf.DUMMYFUNCTION("""COMPUTED_VALUE"""),"Tính từ")</f>
        <v>Tính từ</v>
      </c>
      <c r="G1914" s="13" t="str">
        <f ca="1">IFERROR(__xludf.DUMMYFUNCTION("""COMPUTED_VALUE"""),"chủ động")</f>
        <v>chủ động</v>
      </c>
      <c r="H1914" s="13" t="str">
        <f ca="1">IFERROR(__xludf.DUMMYFUNCTION("""COMPUTED_VALUE"""),"他主动在吃饭前洗手。")</f>
        <v>他主动在吃饭前洗手。</v>
      </c>
      <c r="I1914" s="13"/>
      <c r="J1914" s="13" t="str">
        <f ca="1">IFERROR(__xludf.DUMMYFUNCTION("""COMPUTED_VALUE"""),"Cậu ấy chủ động rửa tay trước khi ăn ")</f>
        <v xml:space="preserve">Cậu ấy chủ động rửa tay trước khi ăn </v>
      </c>
      <c r="K1914" s="13" t="str">
        <f ca="1">IFERROR(__xludf.DUMMYFUNCTION("""COMPUTED_VALUE"""),"H5_B15_BG-23.png")</f>
        <v>H5_B15_BG-23.png</v>
      </c>
      <c r="L1914" s="13" t="str">
        <f ca="1">IFERROR(__xludf.DUMMYFUNCTION("""COMPUTED_VALUE"""),"B15_23.mp3")</f>
        <v>B15_23.mp3</v>
      </c>
      <c r="M1914" s="13" t="str">
        <f ca="1">IFERROR(__xludf.DUMMYFUNCTION("""COMPUTED_VALUE"""),"B15_VD_23.mp3")</f>
        <v>B15_VD_23.mp3</v>
      </c>
    </row>
    <row r="1915" spans="1:13">
      <c r="A1915" s="13">
        <f ca="1">IFERROR(__xludf.DUMMYFUNCTION("""COMPUTED_VALUE"""),24)</f>
        <v>24</v>
      </c>
      <c r="B1915" s="13"/>
      <c r="C1915" s="13" t="str">
        <f ca="1">IFERROR(__xludf.DUMMYFUNCTION("""COMPUTED_VALUE"""),"资格")</f>
        <v>资格</v>
      </c>
      <c r="D1915" s="13" t="str">
        <f ca="1">IFERROR(__xludf.DUMMYFUNCTION("""COMPUTED_VALUE"""),"&lt;ruby&gt;资格&lt;rt&gt;zīgé&lt;/rt&gt;&lt;/ruby&gt;")</f>
        <v>&lt;ruby&gt;资格&lt;rt&gt;zīgé&lt;/rt&gt;&lt;/ruby&gt;</v>
      </c>
      <c r="E1915" s="13" t="str">
        <f ca="1">IFERROR(__xludf.DUMMYFUNCTION("""COMPUTED_VALUE"""),"zīgé")</f>
        <v>zīgé</v>
      </c>
      <c r="F1915" s="13" t="str">
        <f ca="1">IFERROR(__xludf.DUMMYFUNCTION("""COMPUTED_VALUE"""),"Danh từ")</f>
        <v>Danh từ</v>
      </c>
      <c r="G1915" s="13" t="str">
        <f ca="1">IFERROR(__xludf.DUMMYFUNCTION("""COMPUTED_VALUE"""),"Tư cách ")</f>
        <v xml:space="preserve">Tư cách </v>
      </c>
      <c r="H1915" s="13" t="str">
        <f ca="1">IFERROR(__xludf.DUMMYFUNCTION("""COMPUTED_VALUE"""),"他以评论员的资格参加了比赛。")</f>
        <v>他以评论员的资格参加了比赛。</v>
      </c>
      <c r="I1915" s="13"/>
      <c r="J1915" s="13" t="str">
        <f ca="1">IFERROR(__xludf.DUMMYFUNCTION("""COMPUTED_VALUE"""),"Anh ấy tham dự giải đấu với tư cách là bình luận viên.")</f>
        <v>Anh ấy tham dự giải đấu với tư cách là bình luận viên.</v>
      </c>
      <c r="K1915" s="13" t="str">
        <f ca="1">IFERROR(__xludf.DUMMYFUNCTION("""COMPUTED_VALUE"""),"H5_B15_BG-24.png")</f>
        <v>H5_B15_BG-24.png</v>
      </c>
      <c r="L1915" s="13" t="str">
        <f ca="1">IFERROR(__xludf.DUMMYFUNCTION("""COMPUTED_VALUE"""),"B15_24.mp3")</f>
        <v>B15_24.mp3</v>
      </c>
      <c r="M1915" s="13" t="str">
        <f ca="1">IFERROR(__xludf.DUMMYFUNCTION("""COMPUTED_VALUE"""),"B15_VD_24.mp3")</f>
        <v>B15_VD_24.mp3</v>
      </c>
    </row>
    <row r="1916" spans="1:13">
      <c r="A1916" s="13">
        <f ca="1">IFERROR(__xludf.DUMMYFUNCTION("""COMPUTED_VALUE"""),25)</f>
        <v>25</v>
      </c>
      <c r="B1916" s="13"/>
      <c r="C1916" s="13" t="str">
        <f ca="1">IFERROR(__xludf.DUMMYFUNCTION("""COMPUTED_VALUE"""),"盲目")</f>
        <v>盲目</v>
      </c>
      <c r="D1916" s="13" t="str">
        <f ca="1">IFERROR(__xludf.DUMMYFUNCTION("""COMPUTED_VALUE"""),"&lt;ruby&gt;盲目&lt;rt&gt;mángmù&lt;/rt&gt;&lt;/ruby&gt;")</f>
        <v>&lt;ruby&gt;盲目&lt;rt&gt;mángmù&lt;/rt&gt;&lt;/ruby&gt;</v>
      </c>
      <c r="E1916" s="13" t="str">
        <f ca="1">IFERROR(__xludf.DUMMYFUNCTION("""COMPUTED_VALUE"""),"mángmù")</f>
        <v>mángmù</v>
      </c>
      <c r="F1916" s="13" t="str">
        <f ca="1">IFERROR(__xludf.DUMMYFUNCTION("""COMPUTED_VALUE"""),"Tính từ")</f>
        <v>Tính từ</v>
      </c>
      <c r="G1916" s="13" t="str">
        <f ca="1">IFERROR(__xludf.DUMMYFUNCTION("""COMPUTED_VALUE"""),"mù quáng")</f>
        <v>mù quáng</v>
      </c>
      <c r="H1916" s="13" t="str">
        <f ca="1">IFERROR(__xludf.DUMMYFUNCTION("""COMPUTED_VALUE"""),"盲目的爱情让人忽略对方的所有错误。")</f>
        <v>盲目的爱情让人忽略对方的所有错误。</v>
      </c>
      <c r="I1916" s="13"/>
      <c r="J1916" s="13" t="str">
        <f ca="1">IFERROR(__xludf.DUMMYFUNCTION("""COMPUTED_VALUE"""),"Tình yêu mù quáng khiến người ta bỏ qua mọi lỗi lầm của đối phương.")</f>
        <v>Tình yêu mù quáng khiến người ta bỏ qua mọi lỗi lầm của đối phương.</v>
      </c>
      <c r="K1916" s="13" t="str">
        <f ca="1">IFERROR(__xludf.DUMMYFUNCTION("""COMPUTED_VALUE"""),"H5_B15_BG-25.png")</f>
        <v>H5_B15_BG-25.png</v>
      </c>
      <c r="L1916" s="13" t="str">
        <f ca="1">IFERROR(__xludf.DUMMYFUNCTION("""COMPUTED_VALUE"""),"B15_25.mp3")</f>
        <v>B15_25.mp3</v>
      </c>
      <c r="M1916" s="13" t="str">
        <f ca="1">IFERROR(__xludf.DUMMYFUNCTION("""COMPUTED_VALUE"""),"B15_VD_25.mp3")</f>
        <v>B15_VD_25.mp3</v>
      </c>
    </row>
    <row r="1917" spans="1:13">
      <c r="A1917" s="13">
        <f ca="1">IFERROR(__xludf.DUMMYFUNCTION("""COMPUTED_VALUE"""),26)</f>
        <v>26</v>
      </c>
      <c r="B1917" s="13"/>
      <c r="C1917" s="13" t="str">
        <f ca="1">IFERROR(__xludf.DUMMYFUNCTION("""COMPUTED_VALUE"""),"宝贵")</f>
        <v>宝贵</v>
      </c>
      <c r="D1917" s="13" t="str">
        <f ca="1">IFERROR(__xludf.DUMMYFUNCTION("""COMPUTED_VALUE"""),"&lt;ruby&gt;宝贵&lt;rt&gt;bǎoguì&lt;/rt&gt;&lt;/ruby&gt;")</f>
        <v>&lt;ruby&gt;宝贵&lt;rt&gt;bǎoguì&lt;/rt&gt;&lt;/ruby&gt;</v>
      </c>
      <c r="E1917" s="13" t="str">
        <f ca="1">IFERROR(__xludf.DUMMYFUNCTION("""COMPUTED_VALUE"""),"bǎoguì")</f>
        <v>bǎoguì</v>
      </c>
      <c r="F1917" s="13" t="str">
        <f ca="1">IFERROR(__xludf.DUMMYFUNCTION("""COMPUTED_VALUE"""),"Tính từ")</f>
        <v>Tính từ</v>
      </c>
      <c r="G1917" s="13" t="str">
        <f ca="1">IFERROR(__xludf.DUMMYFUNCTION("""COMPUTED_VALUE"""),"quý báu, quý giá")</f>
        <v>quý báu, quý giá</v>
      </c>
      <c r="H1917" s="13" t="str">
        <f ca="1">IFERROR(__xludf.DUMMYFUNCTION("""COMPUTED_VALUE"""),"水是一种宝贵的资源。")</f>
        <v>水是一种宝贵的资源。</v>
      </c>
      <c r="I1917" s="13"/>
      <c r="J1917" s="13" t="str">
        <f ca="1">IFERROR(__xludf.DUMMYFUNCTION("""COMPUTED_VALUE"""),"Nước là tài nguyên quý giá.")</f>
        <v>Nước là tài nguyên quý giá.</v>
      </c>
      <c r="K1917" s="13" t="str">
        <f ca="1">IFERROR(__xludf.DUMMYFUNCTION("""COMPUTED_VALUE"""),"H5_B15_BG-26.png")</f>
        <v>H5_B15_BG-26.png</v>
      </c>
      <c r="L1917" s="13" t="str">
        <f ca="1">IFERROR(__xludf.DUMMYFUNCTION("""COMPUTED_VALUE"""),"B15_26.mp3")</f>
        <v>B15_26.mp3</v>
      </c>
      <c r="M1917" s="13" t="str">
        <f ca="1">IFERROR(__xludf.DUMMYFUNCTION("""COMPUTED_VALUE"""),"B15_VD_26.mp3")</f>
        <v>B15_VD_26.mp3</v>
      </c>
    </row>
    <row r="1918" spans="1:13">
      <c r="A1918" s="13">
        <f ca="1">IFERROR(__xludf.DUMMYFUNCTION("""COMPUTED_VALUE"""),27)</f>
        <v>27</v>
      </c>
      <c r="B1918" s="13"/>
      <c r="C1918" s="13" t="str">
        <f ca="1">IFERROR(__xludf.DUMMYFUNCTION("""COMPUTED_VALUE"""),"迟早")</f>
        <v>迟早</v>
      </c>
      <c r="D1918" s="13" t="str">
        <f ca="1">IFERROR(__xludf.DUMMYFUNCTION("""COMPUTED_VALUE"""),"&lt;ruby&gt;迟早&lt;rt&gt;chízǎo&lt;/rt&gt;&lt;/ruby&gt;")</f>
        <v>&lt;ruby&gt;迟早&lt;rt&gt;chízǎo&lt;/rt&gt;&lt;/ruby&gt;</v>
      </c>
      <c r="E1918" s="13" t="str">
        <f ca="1">IFERROR(__xludf.DUMMYFUNCTION("""COMPUTED_VALUE"""),"chízǎo")</f>
        <v>chízǎo</v>
      </c>
      <c r="F1918" s="13" t="str">
        <f ca="1">IFERROR(__xludf.DUMMYFUNCTION("""COMPUTED_VALUE"""),"Phó từ")</f>
        <v>Phó từ</v>
      </c>
      <c r="G1918" s="13" t="str">
        <f ca="1">IFERROR(__xludf.DUMMYFUNCTION("""COMPUTED_VALUE"""),"sớm muộn")</f>
        <v>sớm muộn</v>
      </c>
      <c r="H1918" s="13" t="str">
        <f ca="1">IFERROR(__xludf.DUMMYFUNCTION("""COMPUTED_VALUE"""),"如果他还继续吃冰激凌，迟早会牙疼。")</f>
        <v>如果他还继续吃冰激凌，迟早会牙疼。</v>
      </c>
      <c r="I1918" s="13"/>
      <c r="J1918" s="13" t="str">
        <f ca="1">IFERROR(__xludf.DUMMYFUNCTION("""COMPUTED_VALUE"""),"Nếu cậu ấy còn ăn kem thì sớm muộn cũng sẽ bị đau răng.")</f>
        <v>Nếu cậu ấy còn ăn kem thì sớm muộn cũng sẽ bị đau răng.</v>
      </c>
      <c r="K1918" s="13" t="str">
        <f ca="1">IFERROR(__xludf.DUMMYFUNCTION("""COMPUTED_VALUE"""),"H5_B15_BG-27.png")</f>
        <v>H5_B15_BG-27.png</v>
      </c>
      <c r="L1918" s="13" t="str">
        <f ca="1">IFERROR(__xludf.DUMMYFUNCTION("""COMPUTED_VALUE"""),"B15_27.mp3")</f>
        <v>B15_27.mp3</v>
      </c>
      <c r="M1918" s="13" t="str">
        <f ca="1">IFERROR(__xludf.DUMMYFUNCTION("""COMPUTED_VALUE"""),"B15_VD_27.mp3")</f>
        <v>B15_VD_27.mp3</v>
      </c>
    </row>
    <row r="1919" spans="1:13">
      <c r="A1919" s="13">
        <f ca="1">IFERROR(__xludf.DUMMYFUNCTION("""COMPUTED_VALUE"""),28)</f>
        <v>28</v>
      </c>
      <c r="B1919" s="13"/>
      <c r="C1919" s="13" t="str">
        <f ca="1">IFERROR(__xludf.DUMMYFUNCTION("""COMPUTED_VALUE"""),"道理")</f>
        <v>道理</v>
      </c>
      <c r="D1919" s="13" t="str">
        <f ca="1">IFERROR(__xludf.DUMMYFUNCTION("""COMPUTED_VALUE"""),"&lt;ruby&gt;道理&lt;rt&gt;dàolǐ&lt;/rt&gt;&lt;/ruby&gt;")</f>
        <v>&lt;ruby&gt;道理&lt;rt&gt;dàolǐ&lt;/rt&gt;&lt;/ruby&gt;</v>
      </c>
      <c r="E1919" s="13" t="str">
        <f ca="1">IFERROR(__xludf.DUMMYFUNCTION("""COMPUTED_VALUE"""),"dàolǐ")</f>
        <v>dàolǐ</v>
      </c>
      <c r="F1919" s="13" t="str">
        <f ca="1">IFERROR(__xludf.DUMMYFUNCTION("""COMPUTED_VALUE"""),"Danh từ")</f>
        <v>Danh từ</v>
      </c>
      <c r="G1919" s="13" t="str">
        <f ca="1">IFERROR(__xludf.DUMMYFUNCTION("""COMPUTED_VALUE"""),"lý lẽ, lý thuyết")</f>
        <v>lý lẽ, lý thuyết</v>
      </c>
      <c r="H1919" s="13" t="str">
        <f ca="1">IFERROR(__xludf.DUMMYFUNCTION("""COMPUTED_VALUE"""),"法官提出了有说服力的道理。")</f>
        <v>法官提出了有说服力的道理。</v>
      </c>
      <c r="I1919" s="13"/>
      <c r="J1919" s="13" t="str">
        <f ca="1">IFERROR(__xludf.DUMMYFUNCTION("""COMPUTED_VALUE"""),"Thẩm phán đưa ra những lí lẽ thuyết phục.")</f>
        <v>Thẩm phán đưa ra những lí lẽ thuyết phục.</v>
      </c>
      <c r="K1919" s="13" t="str">
        <f ca="1">IFERROR(__xludf.DUMMYFUNCTION("""COMPUTED_VALUE"""),"H5_B15_BG-28.png")</f>
        <v>H5_B15_BG-28.png</v>
      </c>
      <c r="L1919" s="13" t="str">
        <f ca="1">IFERROR(__xludf.DUMMYFUNCTION("""COMPUTED_VALUE"""),"B15_28.mp3")</f>
        <v>B15_28.mp3</v>
      </c>
      <c r="M1919" s="13" t="str">
        <f ca="1">IFERROR(__xludf.DUMMYFUNCTION("""COMPUTED_VALUE"""),"B15_VD_28.mp3")</f>
        <v>B15_VD_28.mp3</v>
      </c>
    </row>
    <row r="1920" spans="1:13">
      <c r="A1920" s="13">
        <f ca="1">IFERROR(__xludf.DUMMYFUNCTION("""COMPUTED_VALUE"""),29)</f>
        <v>29</v>
      </c>
      <c r="B1920" s="13"/>
      <c r="C1920" s="13" t="str">
        <f ca="1">IFERROR(__xludf.DUMMYFUNCTION("""COMPUTED_VALUE"""),"独立")</f>
        <v>独立</v>
      </c>
      <c r="D1920" s="13" t="str">
        <f ca="1">IFERROR(__xludf.DUMMYFUNCTION("""COMPUTED_VALUE"""),"&lt;ruby&gt;独立&lt;rt&gt;dúlì&lt;/rt&gt;&lt;/ruby&gt;")</f>
        <v>&lt;ruby&gt;独立&lt;rt&gt;dúlì&lt;/rt&gt;&lt;/ruby&gt;</v>
      </c>
      <c r="E1920" s="13" t="str">
        <f ca="1">IFERROR(__xludf.DUMMYFUNCTION("""COMPUTED_VALUE"""),"dúlì")</f>
        <v>dúlì</v>
      </c>
      <c r="F1920" s="13" t="str">
        <f ca="1">IFERROR(__xludf.DUMMYFUNCTION("""COMPUTED_VALUE"""),"Động từ")</f>
        <v>Động từ</v>
      </c>
      <c r="G1920" s="13" t="str">
        <f ca="1">IFERROR(__xludf.DUMMYFUNCTION("""COMPUTED_VALUE"""),"có một mình, không lệ thuộc")</f>
        <v>có một mình, không lệ thuộc</v>
      </c>
      <c r="H1920" s="13" t="str">
        <f ca="1">IFERROR(__xludf.DUMMYFUNCTION("""COMPUTED_VALUE"""),"我们的国家终于独立了。")</f>
        <v>我们的国家终于独立了。</v>
      </c>
      <c r="I1920" s="13"/>
      <c r="J1920" s="13" t="str">
        <f ca="1">IFERROR(__xludf.DUMMYFUNCTION("""COMPUTED_VALUE"""),"Đất nước chúng tôi cuối cùng cũng độc lập.")</f>
        <v>Đất nước chúng tôi cuối cùng cũng độc lập.</v>
      </c>
      <c r="K1920" s="13" t="str">
        <f ca="1">IFERROR(__xludf.DUMMYFUNCTION("""COMPUTED_VALUE"""),"H5_B15_BG-29.png")</f>
        <v>H5_B15_BG-29.png</v>
      </c>
      <c r="L1920" s="13" t="str">
        <f ca="1">IFERROR(__xludf.DUMMYFUNCTION("""COMPUTED_VALUE"""),"B15_29.mp3")</f>
        <v>B15_29.mp3</v>
      </c>
      <c r="M1920" s="13" t="str">
        <f ca="1">IFERROR(__xludf.DUMMYFUNCTION("""COMPUTED_VALUE"""),"B15_VD_29.mp3")</f>
        <v>B15_VD_29.mp3</v>
      </c>
    </row>
    <row r="1921" spans="1:13">
      <c r="A1921" s="13">
        <f ca="1">IFERROR(__xludf.DUMMYFUNCTION("""COMPUTED_VALUE"""),30)</f>
        <v>30</v>
      </c>
      <c r="B1921" s="13"/>
      <c r="C1921" s="13" t="str">
        <f ca="1">IFERROR(__xludf.DUMMYFUNCTION("""COMPUTED_VALUE"""),"方案")</f>
        <v>方案</v>
      </c>
      <c r="D1921" s="13" t="str">
        <f ca="1">IFERROR(__xludf.DUMMYFUNCTION("""COMPUTED_VALUE"""),"&lt;ruby&gt;方案&lt;rt&gt;fāng'àn&lt;/rt&gt;&lt;/ruby&gt;")</f>
        <v>&lt;ruby&gt;方案&lt;rt&gt;fāng'àn&lt;/rt&gt;&lt;/ruby&gt;</v>
      </c>
      <c r="E1921" s="13" t="str">
        <f ca="1">IFERROR(__xludf.DUMMYFUNCTION("""COMPUTED_VALUE"""),"fāng'àn")</f>
        <v>fāng'àn</v>
      </c>
      <c r="F1921" s="13" t="str">
        <f ca="1">IFERROR(__xludf.DUMMYFUNCTION("""COMPUTED_VALUE"""),"Danh từ")</f>
        <v>Danh từ</v>
      </c>
      <c r="G1921" s="13" t="str">
        <f ca="1">IFERROR(__xludf.DUMMYFUNCTION("""COMPUTED_VALUE"""),"kế hoạch, phương án")</f>
        <v>kế hoạch, phương án</v>
      </c>
      <c r="H1921" s="13" t="str">
        <f ca="1">IFERROR(__xludf.DUMMYFUNCTION("""COMPUTED_VALUE"""),"她正在写下一步的方案。")</f>
        <v>她正在写下一步的方案。</v>
      </c>
      <c r="I1921" s="13"/>
      <c r="J1921" s="13" t="str">
        <f ca="1">IFERROR(__xludf.DUMMYFUNCTION("""COMPUTED_VALUE"""),"Cô ấy đang viết bản kế hoạch sắp tới.")</f>
        <v>Cô ấy đang viết bản kế hoạch sắp tới.</v>
      </c>
      <c r="K1921" s="13" t="str">
        <f ca="1">IFERROR(__xludf.DUMMYFUNCTION("""COMPUTED_VALUE"""),"H5_B15_BG-30.png")</f>
        <v>H5_B15_BG-30.png</v>
      </c>
      <c r="L1921" s="13" t="str">
        <f ca="1">IFERROR(__xludf.DUMMYFUNCTION("""COMPUTED_VALUE"""),"B15_30.mp3")</f>
        <v>B15_30.mp3</v>
      </c>
      <c r="M1921" s="13" t="str">
        <f ca="1">IFERROR(__xludf.DUMMYFUNCTION("""COMPUTED_VALUE"""),"B15_VD_30.mp3")</f>
        <v>B15_VD_30.mp3</v>
      </c>
    </row>
    <row r="1922" spans="1:13">
      <c r="A1922" s="13">
        <f ca="1">IFERROR(__xludf.DUMMYFUNCTION("""COMPUTED_VALUE"""),31)</f>
        <v>31</v>
      </c>
      <c r="B1922" s="13"/>
      <c r="C1922" s="13" t="str">
        <f ca="1">IFERROR(__xludf.DUMMYFUNCTION("""COMPUTED_VALUE"""),"公元")</f>
        <v>公元</v>
      </c>
      <c r="D1922" s="13" t="str">
        <f ca="1">IFERROR(__xludf.DUMMYFUNCTION("""COMPUTED_VALUE"""),"&lt;ruby&gt;公元&lt;rt&gt;gōngyuán&lt;/rt&gt;&lt;/ruby&gt;")</f>
        <v>&lt;ruby&gt;公元&lt;rt&gt;gōngyuán&lt;/rt&gt;&lt;/ruby&gt;</v>
      </c>
      <c r="E1922" s="13" t="str">
        <f ca="1">IFERROR(__xludf.DUMMYFUNCTION("""COMPUTED_VALUE"""),"gōngyuán")</f>
        <v>gōngyuán</v>
      </c>
      <c r="F1922" s="13" t="str">
        <f ca="1">IFERROR(__xludf.DUMMYFUNCTION("""COMPUTED_VALUE"""),"Danh từ")</f>
        <v>Danh từ</v>
      </c>
      <c r="G1922" s="13" t="str">
        <f ca="1">IFERROR(__xludf.DUMMYFUNCTION("""COMPUTED_VALUE"""),"công nguyên")</f>
        <v>công nguyên</v>
      </c>
      <c r="H1922" s="13" t="str">
        <f ca="1">IFERROR(__xludf.DUMMYFUNCTION("""COMPUTED_VALUE"""),"罗马斗兽场于公元80年开放。")</f>
        <v>罗马斗兽场于公元80年开放。</v>
      </c>
      <c r="I1922" s="13"/>
      <c r="J1922" s="13" t="str">
        <f ca="1">IFERROR(__xludf.DUMMYFUNCTION("""COMPUTED_VALUE"""),"Đấu trường La Mã mở cửa vào năm 80 sau công nguyên.")</f>
        <v>Đấu trường La Mã mở cửa vào năm 80 sau công nguyên.</v>
      </c>
      <c r="K1922" s="13" t="str">
        <f ca="1">IFERROR(__xludf.DUMMYFUNCTION("""COMPUTED_VALUE"""),"H5_B15_BG-31.png")</f>
        <v>H5_B15_BG-31.png</v>
      </c>
      <c r="L1922" s="13" t="str">
        <f ca="1">IFERROR(__xludf.DUMMYFUNCTION("""COMPUTED_VALUE"""),"B15_31.mp3")</f>
        <v>B15_31.mp3</v>
      </c>
      <c r="M1922" s="13" t="str">
        <f ca="1">IFERROR(__xludf.DUMMYFUNCTION("""COMPUTED_VALUE"""),"B15_VD_31.mp3")</f>
        <v>B15_VD_31.mp3</v>
      </c>
    </row>
    <row r="1923" spans="1:13">
      <c r="A1923" s="13">
        <f ca="1">IFERROR(__xludf.DUMMYFUNCTION("""COMPUTED_VALUE"""),32)</f>
        <v>32</v>
      </c>
      <c r="B1923" s="13"/>
      <c r="C1923" s="13" t="str">
        <f ca="1">IFERROR(__xludf.DUMMYFUNCTION("""COMPUTED_VALUE"""),"派")</f>
        <v>派</v>
      </c>
      <c r="D1923" s="13" t="str">
        <f ca="1">IFERROR(__xludf.DUMMYFUNCTION("""COMPUTED_VALUE"""),"&lt;ruby&gt;派&lt;rt&gt;pài&lt;/rt&gt;&lt;/ruby&gt;")</f>
        <v>&lt;ruby&gt;派&lt;rt&gt;pài&lt;/rt&gt;&lt;/ruby&gt;</v>
      </c>
      <c r="E1923" s="13" t="str">
        <f ca="1">IFERROR(__xludf.DUMMYFUNCTION("""COMPUTED_VALUE"""),"pài")</f>
        <v>pài</v>
      </c>
      <c r="F1923" s="13" t="str">
        <f ca="1">IFERROR(__xludf.DUMMYFUNCTION("""COMPUTED_VALUE"""),"Động từ")</f>
        <v>Động từ</v>
      </c>
      <c r="G1923" s="13" t="str">
        <f ca="1">IFERROR(__xludf.DUMMYFUNCTION("""COMPUTED_VALUE"""),"phái đi, cử đi")</f>
        <v>phái đi, cử đi</v>
      </c>
      <c r="H1923" s="13" t="str">
        <f ca="1">IFERROR(__xludf.DUMMYFUNCTION("""COMPUTED_VALUE"""),"老板派我去北京。")</f>
        <v>老板派我去北京。</v>
      </c>
      <c r="I1923" s="13"/>
      <c r="J1923" s="13" t="str">
        <f ca="1">IFERROR(__xludf.DUMMYFUNCTION("""COMPUTED_VALUE"""),"Sếp cử tôi đi Bắc Kinh.")</f>
        <v>Sếp cử tôi đi Bắc Kinh.</v>
      </c>
      <c r="K1923" s="13" t="str">
        <f ca="1">IFERROR(__xludf.DUMMYFUNCTION("""COMPUTED_VALUE"""),"H5_B15_BG-32.png")</f>
        <v>H5_B15_BG-32.png</v>
      </c>
      <c r="L1923" s="13" t="str">
        <f ca="1">IFERROR(__xludf.DUMMYFUNCTION("""COMPUTED_VALUE"""),"B15_32.mp3")</f>
        <v>B15_32.mp3</v>
      </c>
      <c r="M1923" s="13" t="str">
        <f ca="1">IFERROR(__xludf.DUMMYFUNCTION("""COMPUTED_VALUE"""),"B15_VD_32.mp3")</f>
        <v>B15_VD_32.mp3</v>
      </c>
    </row>
    <row r="1924" spans="1:13">
      <c r="A1924" s="13">
        <f ca="1">IFERROR(__xludf.DUMMYFUNCTION("""COMPUTED_VALUE"""),33)</f>
        <v>33</v>
      </c>
      <c r="B1924" s="13"/>
      <c r="C1924" s="13" t="str">
        <f ca="1">IFERROR(__xludf.DUMMYFUNCTION("""COMPUTED_VALUE"""),"挑战")</f>
        <v>挑战</v>
      </c>
      <c r="D1924" s="13" t="str">
        <f ca="1">IFERROR(__xludf.DUMMYFUNCTION("""COMPUTED_VALUE"""),"&lt;ruby&gt;挑战&lt;rt&gt;tiǎozhàn&lt;/rt&gt;&lt;/ruby&gt;")</f>
        <v>&lt;ruby&gt;挑战&lt;rt&gt;tiǎozhàn&lt;/rt&gt;&lt;/ruby&gt;</v>
      </c>
      <c r="E1924" s="13" t="str">
        <f ca="1">IFERROR(__xludf.DUMMYFUNCTION("""COMPUTED_VALUE"""),"tiǎozhàn")</f>
        <v>tiǎozhàn</v>
      </c>
      <c r="F1924" s="13" t="str">
        <f ca="1">IFERROR(__xludf.DUMMYFUNCTION("""COMPUTED_VALUE"""),"Động từ/Danh từ")</f>
        <v>Động từ/Danh từ</v>
      </c>
      <c r="G1924" s="13" t="str">
        <f ca="1">IFERROR(__xludf.DUMMYFUNCTION("""COMPUTED_VALUE"""),"khiêu chiến, thách thức; sự thách thức")</f>
        <v>khiêu chiến, thách thức; sự thách thức</v>
      </c>
      <c r="H1924" s="13" t="str">
        <f ca="1">IFERROR(__xludf.DUMMYFUNCTION("""COMPUTED_VALUE"""),"她勇敢地挑战对手。")</f>
        <v>她勇敢地挑战对手。</v>
      </c>
      <c r="I1924" s="13"/>
      <c r="J1924" s="13" t="str">
        <f ca="1">IFERROR(__xludf.DUMMYFUNCTION("""COMPUTED_VALUE"""),"Cô ấy dũng cảm thách thức đối thủ.")</f>
        <v>Cô ấy dũng cảm thách thức đối thủ.</v>
      </c>
      <c r="K1924" s="13" t="str">
        <f ca="1">IFERROR(__xludf.DUMMYFUNCTION("""COMPUTED_VALUE"""),"H5_B15_BG-33.png")</f>
        <v>H5_B15_BG-33.png</v>
      </c>
      <c r="L1924" s="13" t="str">
        <f ca="1">IFERROR(__xludf.DUMMYFUNCTION("""COMPUTED_VALUE"""),"B15_33.mp3")</f>
        <v>B15_33.mp3</v>
      </c>
      <c r="M1924" s="13" t="str">
        <f ca="1">IFERROR(__xludf.DUMMYFUNCTION("""COMPUTED_VALUE"""),"B15_VD_33.mp3")</f>
        <v>B15_VD_33.mp3</v>
      </c>
    </row>
    <row r="1925" spans="1:13">
      <c r="A1925" s="13">
        <f ca="1">IFERROR(__xludf.DUMMYFUNCTION("""COMPUTED_VALUE"""),34)</f>
        <v>34</v>
      </c>
      <c r="B1925" s="13"/>
      <c r="C1925" s="13" t="str">
        <f ca="1">IFERROR(__xludf.DUMMYFUNCTION("""COMPUTED_VALUE"""),"形势")</f>
        <v>形势</v>
      </c>
      <c r="D1925" s="13" t="str">
        <f ca="1">IFERROR(__xludf.DUMMYFUNCTION("""COMPUTED_VALUE"""),"&lt;ruby&gt;形势&lt;rt&gt;xíngshì&lt;/rt&gt;&lt;/ruby&gt;")</f>
        <v>&lt;ruby&gt;形势&lt;rt&gt;xíngshì&lt;/rt&gt;&lt;/ruby&gt;</v>
      </c>
      <c r="E1925" s="13" t="str">
        <f ca="1">IFERROR(__xludf.DUMMYFUNCTION("""COMPUTED_VALUE"""),"xíngshì")</f>
        <v>xíngshì</v>
      </c>
      <c r="F1925" s="13" t="str">
        <f ca="1">IFERROR(__xludf.DUMMYFUNCTION("""COMPUTED_VALUE"""),"Danh từ")</f>
        <v>Danh từ</v>
      </c>
      <c r="G1925" s="13" t="str">
        <f ca="1">IFERROR(__xludf.DUMMYFUNCTION("""COMPUTED_VALUE"""),"tình hình")</f>
        <v>tình hình</v>
      </c>
      <c r="H1925" s="13" t="str">
        <f ca="1">IFERROR(__xludf.DUMMYFUNCTION("""COMPUTED_VALUE"""),"火灾的形势非常严峻。")</f>
        <v>火灾的形势非常严峻。</v>
      </c>
      <c r="I1925" s="13"/>
      <c r="J1925" s="13" t="str">
        <f ca="1">IFERROR(__xludf.DUMMYFUNCTION("""COMPUTED_VALUE"""),"Tình hình đám cháy đang rất nghiêm trọng")</f>
        <v>Tình hình đám cháy đang rất nghiêm trọng</v>
      </c>
      <c r="K1925" s="13" t="str">
        <f ca="1">IFERROR(__xludf.DUMMYFUNCTION("""COMPUTED_VALUE"""),"H5_B15_BG-34.png")</f>
        <v>H5_B15_BG-34.png</v>
      </c>
      <c r="L1925" s="13" t="str">
        <f ca="1">IFERROR(__xludf.DUMMYFUNCTION("""COMPUTED_VALUE"""),"B15_34.mp3")</f>
        <v>B15_34.mp3</v>
      </c>
      <c r="M1925" s="13" t="str">
        <f ca="1">IFERROR(__xludf.DUMMYFUNCTION("""COMPUTED_VALUE"""),"B15_VD_34.mp3")</f>
        <v>B15_VD_34.mp3</v>
      </c>
    </row>
    <row r="1926" spans="1:13">
      <c r="A1926" s="13">
        <f ca="1">IFERROR(__xludf.DUMMYFUNCTION("""COMPUTED_VALUE"""),35)</f>
        <v>35</v>
      </c>
      <c r="B1926" s="13"/>
      <c r="C1926" s="13" t="str">
        <f ca="1">IFERROR(__xludf.DUMMYFUNCTION("""COMPUTED_VALUE"""),"再三")</f>
        <v>再三</v>
      </c>
      <c r="D1926" s="13" t="str">
        <f ca="1">IFERROR(__xludf.DUMMYFUNCTION("""COMPUTED_VALUE"""),"&lt;ruby&gt;再三&lt;rt&gt;zàisān&lt;/rt&gt;&lt;/ruby&gt;")</f>
        <v>&lt;ruby&gt;再三&lt;rt&gt;zàisān&lt;/rt&gt;&lt;/ruby&gt;</v>
      </c>
      <c r="E1926" s="13" t="str">
        <f ca="1">IFERROR(__xludf.DUMMYFUNCTION("""COMPUTED_VALUE"""),"zàisān")</f>
        <v>zàisān</v>
      </c>
      <c r="F1926" s="13" t="str">
        <f ca="1">IFERROR(__xludf.DUMMYFUNCTION("""COMPUTED_VALUE"""),"Phó từ")</f>
        <v>Phó từ</v>
      </c>
      <c r="G1926" s="13" t="str">
        <f ca="1">IFERROR(__xludf.DUMMYFUNCTION("""COMPUTED_VALUE"""),"nhiều lần, hết lần này đến lần khác")</f>
        <v>nhiều lần, hết lần này đến lần khác</v>
      </c>
      <c r="H1926" s="13" t="str">
        <f ca="1">IFERROR(__xludf.DUMMYFUNCTION("""COMPUTED_VALUE"""),"他再三忘记自己该做的事情。")</f>
        <v>他再三忘记自己该做的事情。</v>
      </c>
      <c r="I1926" s="13"/>
      <c r="J1926" s="13" t="str">
        <f ca="1">IFERROR(__xludf.DUMMYFUNCTION("""COMPUTED_VALUE"""),"Anh ấy nhiều lần quên việc cần làm.")</f>
        <v>Anh ấy nhiều lần quên việc cần làm.</v>
      </c>
      <c r="K1926" s="13" t="str">
        <f ca="1">IFERROR(__xludf.DUMMYFUNCTION("""COMPUTED_VALUE"""),"H5_B15_BG-35.png")</f>
        <v>H5_B15_BG-35.png</v>
      </c>
      <c r="L1926" s="13" t="str">
        <f ca="1">IFERROR(__xludf.DUMMYFUNCTION("""COMPUTED_VALUE"""),"B15_35.mp3")</f>
        <v>B15_35.mp3</v>
      </c>
      <c r="M1926" s="13" t="str">
        <f ca="1">IFERROR(__xludf.DUMMYFUNCTION("""COMPUTED_VALUE"""),"B15_VD_35.mp3")</f>
        <v>B15_VD_35.mp3</v>
      </c>
    </row>
    <row r="1927" spans="1:13">
      <c r="A1927" s="13">
        <f ca="1">IFERROR(__xludf.DUMMYFUNCTION("""COMPUTED_VALUE"""),36)</f>
        <v>36</v>
      </c>
      <c r="B1927" s="13"/>
      <c r="C1927" s="13" t="str">
        <f ca="1">IFERROR(__xludf.DUMMYFUNCTION("""COMPUTED_VALUE"""),"阻止")</f>
        <v>阻止</v>
      </c>
      <c r="D1927" s="13" t="str">
        <f ca="1">IFERROR(__xludf.DUMMYFUNCTION("""COMPUTED_VALUE"""),"&lt;ruby&gt;阻止&lt;rt&gt;zǔzhǐ&lt;/rt&gt;&lt;/ruby&gt;")</f>
        <v>&lt;ruby&gt;阻止&lt;rt&gt;zǔzhǐ&lt;/rt&gt;&lt;/ruby&gt;</v>
      </c>
      <c r="E1927" s="13" t="str">
        <f ca="1">IFERROR(__xludf.DUMMYFUNCTION("""COMPUTED_VALUE"""),"zǔzhǐ")</f>
        <v>zǔzhǐ</v>
      </c>
      <c r="F1927" s="13" t="str">
        <f ca="1">IFERROR(__xludf.DUMMYFUNCTION("""COMPUTED_VALUE"""),"Động từ")</f>
        <v>Động từ</v>
      </c>
      <c r="G1927" s="13" t="str">
        <f ca="1">IFERROR(__xludf.DUMMYFUNCTION("""COMPUTED_VALUE"""),"ngăn cản, cản trở")</f>
        <v>ngăn cản, cản trở</v>
      </c>
      <c r="H1927" s="13" t="str">
        <f ca="1">IFERROR(__xludf.DUMMYFUNCTION("""COMPUTED_VALUE"""),"她阻止了孩子们的争吵。")</f>
        <v>她阻止了孩子们的争吵。</v>
      </c>
      <c r="I1927" s="13"/>
      <c r="J1927" s="13" t="str">
        <f ca="1">IFERROR(__xludf.DUMMYFUNCTION("""COMPUTED_VALUE"""),"Cô ấy đã ngăn cuộc cãi vã của bọn trẻ.")</f>
        <v>Cô ấy đã ngăn cuộc cãi vã của bọn trẻ.</v>
      </c>
      <c r="K1927" s="13" t="str">
        <f ca="1">IFERROR(__xludf.DUMMYFUNCTION("""COMPUTED_VALUE"""),"H5_B15_BG-36.png")</f>
        <v>H5_B15_BG-36.png</v>
      </c>
      <c r="L1927" s="13" t="str">
        <f ca="1">IFERROR(__xludf.DUMMYFUNCTION("""COMPUTED_VALUE"""),"B15_36.mp3")</f>
        <v>B15_36.mp3</v>
      </c>
      <c r="M1927" s="13" t="str">
        <f ca="1">IFERROR(__xludf.DUMMYFUNCTION("""COMPUTED_VALUE"""),"B15_VD_36.mp3")</f>
        <v>B15_VD_36.mp3</v>
      </c>
    </row>
    <row r="1928" spans="1:13">
      <c r="A1928" s="13">
        <f ca="1">IFERROR(__xludf.DUMMYFUNCTION("""COMPUTED_VALUE"""),37)</f>
        <v>37</v>
      </c>
      <c r="B1928" s="13"/>
      <c r="C1928" s="13" t="str">
        <f ca="1">IFERROR(__xludf.DUMMYFUNCTION("""COMPUTED_VALUE"""),"理论")</f>
        <v>理论</v>
      </c>
      <c r="D1928" s="13" t="str">
        <f ca="1">IFERROR(__xludf.DUMMYFUNCTION("""COMPUTED_VALUE"""),"&lt;ruby&gt;理论&lt;rt&gt;lǐlùn&lt;/rt&gt;&lt;/ruby&gt;")</f>
        <v>&lt;ruby&gt;理论&lt;rt&gt;lǐlùn&lt;/rt&gt;&lt;/ruby&gt;</v>
      </c>
      <c r="E1928" s="13" t="str">
        <f ca="1">IFERROR(__xludf.DUMMYFUNCTION("""COMPUTED_VALUE"""),"lǐlùn")</f>
        <v>lǐlùn</v>
      </c>
      <c r="F1928" s="13" t="str">
        <f ca="1">IFERROR(__xludf.DUMMYFUNCTION("""COMPUTED_VALUE"""),"Danh từ ")</f>
        <v xml:space="preserve">Danh từ </v>
      </c>
      <c r="G1928" s="13" t="str">
        <f ca="1">IFERROR(__xludf.DUMMYFUNCTION("""COMPUTED_VALUE"""),"lý luận, lý thuyết")</f>
        <v>lý luận, lý thuyết</v>
      </c>
      <c r="H1928" s="13" t="str">
        <f ca="1">IFERROR(__xludf.DUMMYFUNCTION("""COMPUTED_VALUE"""),"他在研究新的理论。")</f>
        <v>他在研究新的理论。</v>
      </c>
      <c r="I1928" s="13"/>
      <c r="J1928" s="13" t="str">
        <f ca="1">IFERROR(__xludf.DUMMYFUNCTION("""COMPUTED_VALUE"""),"Anh ấy nghiên cứu lý thuyết mới.")</f>
        <v>Anh ấy nghiên cứu lý thuyết mới.</v>
      </c>
      <c r="K1928" s="13" t="str">
        <f ca="1">IFERROR(__xludf.DUMMYFUNCTION("""COMPUTED_VALUE"""),"H5_B15_BG-37.png")</f>
        <v>H5_B15_BG-37.png</v>
      </c>
      <c r="L1928" s="13" t="str">
        <f ca="1">IFERROR(__xludf.DUMMYFUNCTION("""COMPUTED_VALUE"""),"B15_37.mp3")</f>
        <v>B15_37.mp3</v>
      </c>
      <c r="M1928" s="13" t="str">
        <f ca="1">IFERROR(__xludf.DUMMYFUNCTION("""COMPUTED_VALUE"""),"B15_VD_37.mp3")</f>
        <v>B15_VD_37.mp3</v>
      </c>
    </row>
    <row r="1929" spans="1:13">
      <c r="A1929" s="13">
        <f ca="1">IFERROR(__xludf.DUMMYFUNCTION("""COMPUTED_VALUE"""),38)</f>
        <v>38</v>
      </c>
      <c r="B1929" s="13"/>
      <c r="C1929" s="13" t="str">
        <f ca="1">IFERROR(__xludf.DUMMYFUNCTION("""COMPUTED_VALUE"""),"散布")</f>
        <v>散布</v>
      </c>
      <c r="D1929" s="13" t="str">
        <f ca="1">IFERROR(__xludf.DUMMYFUNCTION("""COMPUTED_VALUE"""),"&lt;ruby&gt;散布&lt;rt&gt;sànbù&lt;/rt&gt;&lt;/ruby&gt;")</f>
        <v>&lt;ruby&gt;散布&lt;rt&gt;sànbù&lt;/rt&gt;&lt;/ruby&gt;</v>
      </c>
      <c r="E1929" s="13" t="str">
        <f ca="1">IFERROR(__xludf.DUMMYFUNCTION("""COMPUTED_VALUE"""),"sànbù")</f>
        <v>sànbù</v>
      </c>
      <c r="F1929" s="13" t="str">
        <f ca="1">IFERROR(__xludf.DUMMYFUNCTION("""COMPUTED_VALUE"""),"Động từ")</f>
        <v>Động từ</v>
      </c>
      <c r="G1929" s="13" t="str">
        <f ca="1">IFERROR(__xludf.DUMMYFUNCTION("""COMPUTED_VALUE"""),"gieo rắc, truyền")</f>
        <v>gieo rắc, truyền</v>
      </c>
      <c r="H1929" s="13" t="str">
        <f ca="1">IFERROR(__xludf.DUMMYFUNCTION("""COMPUTED_VALUE"""),"他们散布新的想法。")</f>
        <v>他们散布新的想法。</v>
      </c>
      <c r="I1929" s="13"/>
      <c r="J1929" s="13" t="str">
        <f ca="1">IFERROR(__xludf.DUMMYFUNCTION("""COMPUTED_VALUE"""),"Họ đang truyền bá ý tưởng mới.")</f>
        <v>Họ đang truyền bá ý tưởng mới.</v>
      </c>
      <c r="K1929" s="13" t="str">
        <f ca="1">IFERROR(__xludf.DUMMYFUNCTION("""COMPUTED_VALUE"""),"H5_B15_BG-38.png")</f>
        <v>H5_B15_BG-38.png</v>
      </c>
      <c r="L1929" s="13" t="str">
        <f ca="1">IFERROR(__xludf.DUMMYFUNCTION("""COMPUTED_VALUE"""),"B15_38.mp3")</f>
        <v>B15_38.mp3</v>
      </c>
      <c r="M1929" s="13" t="str">
        <f ca="1">IFERROR(__xludf.DUMMYFUNCTION("""COMPUTED_VALUE"""),"B15_VD_38.mp3")</f>
        <v>B15_VD_38.mp3</v>
      </c>
    </row>
    <row r="1930" spans="1:13">
      <c r="A1930" s="13">
        <f ca="1">IFERROR(__xludf.DUMMYFUNCTION("""COMPUTED_VALUE"""),39)</f>
        <v>39</v>
      </c>
      <c r="B1930" s="13"/>
      <c r="C1930" s="13" t="str">
        <f ca="1">IFERROR(__xludf.DUMMYFUNCTION("""COMPUTED_VALUE"""),"谣言")</f>
        <v>谣言</v>
      </c>
      <c r="D1930" s="13" t="str">
        <f ca="1">IFERROR(__xludf.DUMMYFUNCTION("""COMPUTED_VALUE"""),"&lt;ruby&gt;谣言&lt;rt&gt;yáoyán&lt;/rt&gt;&lt;/ruby&gt;")</f>
        <v>&lt;ruby&gt;谣言&lt;rt&gt;yáoyán&lt;/rt&gt;&lt;/ruby&gt;</v>
      </c>
      <c r="E1930" s="13" t="str">
        <f ca="1">IFERROR(__xludf.DUMMYFUNCTION("""COMPUTED_VALUE"""),"yáoyán")</f>
        <v>yáoyán</v>
      </c>
      <c r="F1930" s="13" t="str">
        <f ca="1">IFERROR(__xludf.DUMMYFUNCTION("""COMPUTED_VALUE"""),"Danh từ")</f>
        <v>Danh từ</v>
      </c>
      <c r="G1930" s="13" t="str">
        <f ca="1">IFERROR(__xludf.DUMMYFUNCTION("""COMPUTED_VALUE"""),"tin đồn")</f>
        <v>tin đồn</v>
      </c>
      <c r="H1930" s="13" t="str">
        <f ca="1">IFERROR(__xludf.DUMMYFUNCTION("""COMPUTED_VALUE"""),"不要相信那些谣言。")</f>
        <v>不要相信那些谣言。</v>
      </c>
      <c r="I1930" s="13"/>
      <c r="J1930" s="13" t="str">
        <f ca="1">IFERROR(__xludf.DUMMYFUNCTION("""COMPUTED_VALUE"""),"Đừng tin những tin đồn đó.")</f>
        <v>Đừng tin những tin đồn đó.</v>
      </c>
      <c r="K1930" s="13" t="str">
        <f ca="1">IFERROR(__xludf.DUMMYFUNCTION("""COMPUTED_VALUE"""),"H5_B15_BG-39.png")</f>
        <v>H5_B15_BG-39.png</v>
      </c>
      <c r="L1930" s="13" t="str">
        <f ca="1">IFERROR(__xludf.DUMMYFUNCTION("""COMPUTED_VALUE"""),"B15_39.mp3")</f>
        <v>B15_39.mp3</v>
      </c>
      <c r="M1930" s="13" t="str">
        <f ca="1">IFERROR(__xludf.DUMMYFUNCTION("""COMPUTED_VALUE"""),"B15_VD_39.mp3")</f>
        <v>B15_VD_39.mp3</v>
      </c>
    </row>
    <row r="1931" spans="1:13">
      <c r="A1931" s="13">
        <f ca="1">IFERROR(__xludf.DUMMYFUNCTION("""COMPUTED_VALUE"""),1)</f>
        <v>1</v>
      </c>
      <c r="B1931" s="13"/>
      <c r="C1931" s="13" t="str">
        <f ca="1">IFERROR(__xludf.DUMMYFUNCTION("""COMPUTED_VALUE"""),"采取")</f>
        <v>采取</v>
      </c>
      <c r="D1931" s="13" t="str">
        <f ca="1">IFERROR(__xludf.DUMMYFUNCTION("""COMPUTED_VALUE"""),"&lt;ruby&gt;采取&lt;rt&gt;căiqǔ&lt;/rt&gt;&lt;/ruby&gt;")</f>
        <v>&lt;ruby&gt;采取&lt;rt&gt;căiqǔ&lt;/rt&gt;&lt;/ruby&gt;</v>
      </c>
      <c r="E1931" s="13" t="str">
        <f ca="1">IFERROR(__xludf.DUMMYFUNCTION("""COMPUTED_VALUE"""),"căiqǔ")</f>
        <v>căiqǔ</v>
      </c>
      <c r="F1931" s="13" t="str">
        <f ca="1">IFERROR(__xludf.DUMMYFUNCTION("""COMPUTED_VALUE"""),"Động từ")</f>
        <v>Động từ</v>
      </c>
      <c r="G1931" s="13" t="str">
        <f ca="1">IFERROR(__xludf.DUMMYFUNCTION("""COMPUTED_VALUE"""),"áp dụng, dùng")</f>
        <v>áp dụng, dùng</v>
      </c>
      <c r="H1931" s="13" t="str">
        <f ca="1">IFERROR(__xludf.DUMMYFUNCTION("""COMPUTED_VALUE"""),"她正在采取健康饮食来改善她的健康状况。")</f>
        <v>她正在采取健康饮食来改善她的健康状况。</v>
      </c>
      <c r="I1931" s="13"/>
      <c r="J1931" s="13" t="str">
        <f ca="1">IFERROR(__xludf.DUMMYFUNCTION("""COMPUTED_VALUE"""),"Cô ấy đang áp dụng chế độ ăn uống lành mạnh để cải thiện tình trạng sức khỏe.")</f>
        <v>Cô ấy đang áp dụng chế độ ăn uống lành mạnh để cải thiện tình trạng sức khỏe.</v>
      </c>
      <c r="K1931" s="13" t="str">
        <f ca="1">IFERROR(__xludf.DUMMYFUNCTION("""COMPUTED_VALUE"""),"H5_B16_BG-01.png")</f>
        <v>H5_B16_BG-01.png</v>
      </c>
      <c r="L1931" s="13" t="str">
        <f ca="1">IFERROR(__xludf.DUMMYFUNCTION("""COMPUTED_VALUE"""),"B16_1.mp3")</f>
        <v>B16_1.mp3</v>
      </c>
      <c r="M1931" s="13" t="str">
        <f ca="1">IFERROR(__xludf.DUMMYFUNCTION("""COMPUTED_VALUE"""),"B16_VD_1.mp3")</f>
        <v>B16_VD_1.mp3</v>
      </c>
    </row>
    <row r="1932" spans="1:13">
      <c r="A1932" s="13">
        <f ca="1">IFERROR(__xludf.DUMMYFUNCTION("""COMPUTED_VALUE"""),2)</f>
        <v>2</v>
      </c>
      <c r="B1932" s="13"/>
      <c r="C1932" s="13" t="str">
        <f ca="1">IFERROR(__xludf.DUMMYFUNCTION("""COMPUTED_VALUE"""),"参与")</f>
        <v>参与</v>
      </c>
      <c r="D1932" s="13" t="str">
        <f ca="1">IFERROR(__xludf.DUMMYFUNCTION("""COMPUTED_VALUE"""),"&lt;ruby&gt;参与&lt;rt&gt;cānyù&lt;/rt&gt;&lt;/ruby&gt;")</f>
        <v>&lt;ruby&gt;参与&lt;rt&gt;cānyù&lt;/rt&gt;&lt;/ruby&gt;</v>
      </c>
      <c r="E1932" s="13" t="str">
        <f ca="1">IFERROR(__xludf.DUMMYFUNCTION("""COMPUTED_VALUE"""),"cānyù")</f>
        <v>cānyù</v>
      </c>
      <c r="F1932" s="13" t="str">
        <f ca="1">IFERROR(__xludf.DUMMYFUNCTION("""COMPUTED_VALUE"""),"Động từ")</f>
        <v>Động từ</v>
      </c>
      <c r="G1932" s="13" t="str">
        <f ca="1">IFERROR(__xludf.DUMMYFUNCTION("""COMPUTED_VALUE"""),"tham dự, tham gia")</f>
        <v>tham dự, tham gia</v>
      </c>
      <c r="H1932" s="13" t="str">
        <f ca="1">IFERROR(__xludf.DUMMYFUNCTION("""COMPUTED_VALUE"""),"他决定参与学校的足球俱乐部。")</f>
        <v>他决定参与学校的足球俱乐部。</v>
      </c>
      <c r="I1932" s="13"/>
      <c r="J1932" s="13" t="str">
        <f ca="1">IFERROR(__xludf.DUMMYFUNCTION("""COMPUTED_VALUE"""),"Anh ấy quyết định tham gia câu lạc bộ đá bóng của trường.")</f>
        <v>Anh ấy quyết định tham gia câu lạc bộ đá bóng của trường.</v>
      </c>
      <c r="K1932" s="13" t="str">
        <f ca="1">IFERROR(__xludf.DUMMYFUNCTION("""COMPUTED_VALUE"""),"H5_B16_BG-02.png")</f>
        <v>H5_B16_BG-02.png</v>
      </c>
      <c r="L1932" s="13" t="str">
        <f ca="1">IFERROR(__xludf.DUMMYFUNCTION("""COMPUTED_VALUE"""),"B16_2.mp3")</f>
        <v>B16_2.mp3</v>
      </c>
      <c r="M1932" s="13" t="str">
        <f ca="1">IFERROR(__xludf.DUMMYFUNCTION("""COMPUTED_VALUE"""),"B16_VD_2.mp3")</f>
        <v>B16_VD_2.mp3</v>
      </c>
    </row>
    <row r="1933" spans="1:13">
      <c r="A1933" s="13">
        <f ca="1">IFERROR(__xludf.DUMMYFUNCTION("""COMPUTED_VALUE"""),3)</f>
        <v>3</v>
      </c>
      <c r="B1933" s="13"/>
      <c r="C1933" s="13" t="str">
        <f ca="1">IFERROR(__xludf.DUMMYFUNCTION("""COMPUTED_VALUE"""),"差异")</f>
        <v>差异</v>
      </c>
      <c r="D1933" s="13" t="str">
        <f ca="1">IFERROR(__xludf.DUMMYFUNCTION("""COMPUTED_VALUE"""),"&lt;ruby&gt;差异&lt;rt&gt;chāyì&lt;/rt&gt;&lt;/ruby&gt;")</f>
        <v>&lt;ruby&gt;差异&lt;rt&gt;chāyì&lt;/rt&gt;&lt;/ruby&gt;</v>
      </c>
      <c r="E1933" s="13" t="str">
        <f ca="1">IFERROR(__xludf.DUMMYFUNCTION("""COMPUTED_VALUE"""),"chāyì")</f>
        <v>chāyì</v>
      </c>
      <c r="F1933" s="13" t="str">
        <f ca="1">IFERROR(__xludf.DUMMYFUNCTION("""COMPUTED_VALUE"""),"Danh từ")</f>
        <v>Danh từ</v>
      </c>
      <c r="G1933" s="13" t="str">
        <f ca="1">IFERROR(__xludf.DUMMYFUNCTION("""COMPUTED_VALUE"""),"sự khác biệt")</f>
        <v>sự khác biệt</v>
      </c>
      <c r="H1933" s="13" t="str">
        <f ca="1">IFERROR(__xludf.DUMMYFUNCTION("""COMPUTED_VALUE"""),"每个国家都有其独特的文化差异。")</f>
        <v>每个国家都有其独特的文化差异。</v>
      </c>
      <c r="I1933" s="13"/>
      <c r="J1933" s="13" t="str">
        <f ca="1">IFERROR(__xludf.DUMMYFUNCTION("""COMPUTED_VALUE"""),"Mỗi quốc gia đều có sự khác biệt về văn hoá.")</f>
        <v>Mỗi quốc gia đều có sự khác biệt về văn hoá.</v>
      </c>
      <c r="K1933" s="13" t="str">
        <f ca="1">IFERROR(__xludf.DUMMYFUNCTION("""COMPUTED_VALUE"""),"H5_B16_BG-03.png")</f>
        <v>H5_B16_BG-03.png</v>
      </c>
      <c r="L1933" s="13" t="str">
        <f ca="1">IFERROR(__xludf.DUMMYFUNCTION("""COMPUTED_VALUE"""),"B16_3.mp3")</f>
        <v>B16_3.mp3</v>
      </c>
      <c r="M1933" s="13" t="str">
        <f ca="1">IFERROR(__xludf.DUMMYFUNCTION("""COMPUTED_VALUE"""),"B16_VD_3.mp3")</f>
        <v>B16_VD_3.mp3</v>
      </c>
    </row>
    <row r="1934" spans="1:13">
      <c r="A1934" s="13">
        <f ca="1">IFERROR(__xludf.DUMMYFUNCTION("""COMPUTED_VALUE"""),4)</f>
        <v>4</v>
      </c>
      <c r="B1934" s="13"/>
      <c r="C1934" s="13" t="str">
        <f ca="1">IFERROR(__xludf.DUMMYFUNCTION("""COMPUTED_VALUE"""),"措施")</f>
        <v>措施</v>
      </c>
      <c r="D1934" s="13" t="str">
        <f ca="1">IFERROR(__xludf.DUMMYFUNCTION("""COMPUTED_VALUE"""),"&lt;ruby&gt;措施&lt;rt&gt;cuòshī&lt;/rt&gt;&lt;/ruby&gt;")</f>
        <v>&lt;ruby&gt;措施&lt;rt&gt;cuòshī&lt;/rt&gt;&lt;/ruby&gt;</v>
      </c>
      <c r="E1934" s="13" t="str">
        <f ca="1">IFERROR(__xludf.DUMMYFUNCTION("""COMPUTED_VALUE"""),"cuòshī")</f>
        <v>cuòshī</v>
      </c>
      <c r="F1934" s="13" t="str">
        <f ca="1">IFERROR(__xludf.DUMMYFUNCTION("""COMPUTED_VALUE"""),"Danh từ")</f>
        <v>Danh từ</v>
      </c>
      <c r="G1934" s="13" t="str">
        <f ca="1">IFERROR(__xludf.DUMMYFUNCTION("""COMPUTED_VALUE"""),"biện pháp")</f>
        <v>biện pháp</v>
      </c>
      <c r="H1934" s="13" t="str">
        <f ca="1">IFERROR(__xludf.DUMMYFUNCTION("""COMPUTED_VALUE"""),"为了减少交通事故，政府采取了严格的交通管理措施。")</f>
        <v>为了减少交通事故，政府采取了严格的交通管理措施。</v>
      </c>
      <c r="I1934" s="13"/>
      <c r="J1934" s="13" t="str">
        <f ca="1">IFERROR(__xludf.DUMMYFUNCTION("""COMPUTED_VALUE"""),"Để giảm thiểu tai nạn giao thông, chính phủ đã áp dụng các biện pháp quản lý giao thông nghiêm ngặt.")</f>
        <v>Để giảm thiểu tai nạn giao thông, chính phủ đã áp dụng các biện pháp quản lý giao thông nghiêm ngặt.</v>
      </c>
      <c r="K1934" s="13" t="str">
        <f ca="1">IFERROR(__xludf.DUMMYFUNCTION("""COMPUTED_VALUE"""),"H5_B16_BG-04.png")</f>
        <v>H5_B16_BG-04.png</v>
      </c>
      <c r="L1934" s="13" t="str">
        <f ca="1">IFERROR(__xludf.DUMMYFUNCTION("""COMPUTED_VALUE"""),"B16_4.mp3")</f>
        <v>B16_4.mp3</v>
      </c>
      <c r="M1934" s="13" t="str">
        <f ca="1">IFERROR(__xludf.DUMMYFUNCTION("""COMPUTED_VALUE"""),"B16_VD_4.mp3")</f>
        <v>B16_VD_4.mp3</v>
      </c>
    </row>
    <row r="1935" spans="1:13">
      <c r="A1935" s="13">
        <f ca="1">IFERROR(__xludf.DUMMYFUNCTION("""COMPUTED_VALUE"""),5)</f>
        <v>5</v>
      </c>
      <c r="B1935" s="13"/>
      <c r="C1935" s="13" t="str">
        <f ca="1">IFERROR(__xludf.DUMMYFUNCTION("""COMPUTED_VALUE"""),"达到")</f>
        <v>达到</v>
      </c>
      <c r="D1935" s="13" t="str">
        <f ca="1">IFERROR(__xludf.DUMMYFUNCTION("""COMPUTED_VALUE"""),"&lt;ruby&gt;达到&lt;rt&gt;dá dào&lt;/rt&gt;&lt;/ruby&gt;")</f>
        <v>&lt;ruby&gt;达到&lt;rt&gt;dá dào&lt;/rt&gt;&lt;/ruby&gt;</v>
      </c>
      <c r="E1935" s="13" t="str">
        <f ca="1">IFERROR(__xludf.DUMMYFUNCTION("""COMPUTED_VALUE"""),"dá dào")</f>
        <v>dá dào</v>
      </c>
      <c r="F1935" s="13" t="str">
        <f ca="1">IFERROR(__xludf.DUMMYFUNCTION("""COMPUTED_VALUE"""),"Động từ")</f>
        <v>Động từ</v>
      </c>
      <c r="G1935" s="13" t="str">
        <f ca="1">IFERROR(__xludf.DUMMYFUNCTION("""COMPUTED_VALUE"""),"đạt đến")</f>
        <v>đạt đến</v>
      </c>
      <c r="H1935" s="13" t="str">
        <f ca="1">IFERROR(__xludf.DUMMYFUNCTION("""COMPUTED_VALUE"""),"如果你坚持不懈，你一定能够达到自己的期望。")</f>
        <v>如果你坚持不懈，你一定能够达到自己的期望。</v>
      </c>
      <c r="I1935" s="13"/>
      <c r="J1935" s="13" t="str">
        <f ca="1">IFERROR(__xludf.DUMMYFUNCTION("""COMPUTED_VALUE"""),"Nếu bạn kiên trì, bạn chắc chắn có thể đạt được kỳ vọng của mình.")</f>
        <v>Nếu bạn kiên trì, bạn chắc chắn có thể đạt được kỳ vọng của mình.</v>
      </c>
      <c r="K1935" s="13" t="str">
        <f ca="1">IFERROR(__xludf.DUMMYFUNCTION("""COMPUTED_VALUE"""),"H5_B16_BG-05.png")</f>
        <v>H5_B16_BG-05.png</v>
      </c>
      <c r="L1935" s="13" t="str">
        <f ca="1">IFERROR(__xludf.DUMMYFUNCTION("""COMPUTED_VALUE"""),"B16_5.mp3")</f>
        <v>B16_5.mp3</v>
      </c>
      <c r="M1935" s="13" t="str">
        <f ca="1">IFERROR(__xludf.DUMMYFUNCTION("""COMPUTED_VALUE"""),"B16_VD_5.mp3")</f>
        <v>B16_VD_5.mp3</v>
      </c>
    </row>
    <row r="1936" spans="1:13">
      <c r="A1936" s="13">
        <f ca="1">IFERROR(__xludf.DUMMYFUNCTION("""COMPUTED_VALUE"""),6)</f>
        <v>6</v>
      </c>
      <c r="B1936" s="13"/>
      <c r="C1936" s="13" t="str">
        <f ca="1">IFERROR(__xludf.DUMMYFUNCTION("""COMPUTED_VALUE"""),"非")</f>
        <v>非</v>
      </c>
      <c r="D1936" s="13" t="str">
        <f ca="1">IFERROR(__xludf.DUMMYFUNCTION("""COMPUTED_VALUE"""),"&lt;ruby&gt;非&lt;rt&gt;fēi&lt;/rt&gt;&lt;/ruby&gt;")</f>
        <v>&lt;ruby&gt;非&lt;rt&gt;fēi&lt;/rt&gt;&lt;/ruby&gt;</v>
      </c>
      <c r="E1936" s="13" t="str">
        <f ca="1">IFERROR(__xludf.DUMMYFUNCTION("""COMPUTED_VALUE"""),"fēi")</f>
        <v>fēi</v>
      </c>
      <c r="F1936" s="13" t="str">
        <f ca="1">IFERROR(__xludf.DUMMYFUNCTION("""COMPUTED_VALUE"""),"Động từ")</f>
        <v>Động từ</v>
      </c>
      <c r="G1936" s="13" t="str">
        <f ca="1">IFERROR(__xludf.DUMMYFUNCTION("""COMPUTED_VALUE"""),"không phải, không")</f>
        <v>không phải, không</v>
      </c>
      <c r="H1936" s="13" t="str">
        <f ca="1">IFERROR(__xludf.DUMMYFUNCTION("""COMPUTED_VALUE"""),"这里非公共场所。")</f>
        <v>这里非公共场所。</v>
      </c>
      <c r="I1936" s="13"/>
      <c r="J1936" s="13" t="str">
        <f ca="1">IFERROR(__xludf.DUMMYFUNCTION("""COMPUTED_VALUE"""),"Đây không phải nơi công cộng.")</f>
        <v>Đây không phải nơi công cộng.</v>
      </c>
      <c r="K1936" s="13" t="str">
        <f ca="1">IFERROR(__xludf.DUMMYFUNCTION("""COMPUTED_VALUE"""),"H5_B16_BG-06.png")</f>
        <v>H5_B16_BG-06.png</v>
      </c>
      <c r="L1936" s="13" t="str">
        <f ca="1">IFERROR(__xludf.DUMMYFUNCTION("""COMPUTED_VALUE"""),"B16_6.mp3")</f>
        <v>B16_6.mp3</v>
      </c>
      <c r="M1936" s="13" t="str">
        <f ca="1">IFERROR(__xludf.DUMMYFUNCTION("""COMPUTED_VALUE"""),"B16_VD_6.mp3")</f>
        <v>B16_VD_6.mp3</v>
      </c>
    </row>
    <row r="1937" spans="1:13">
      <c r="A1937" s="13">
        <f ca="1">IFERROR(__xludf.DUMMYFUNCTION("""COMPUTED_VALUE"""),7)</f>
        <v>7</v>
      </c>
      <c r="B1937" s="13"/>
      <c r="C1937" s="13" t="str">
        <f ca="1">IFERROR(__xludf.DUMMYFUNCTION("""COMPUTED_VALUE"""),"个别")</f>
        <v>个别</v>
      </c>
      <c r="D1937" s="13" t="str">
        <f ca="1">IFERROR(__xludf.DUMMYFUNCTION("""COMPUTED_VALUE"""),"&lt;ruby&gt;个别&lt;rt&gt;gèbié&lt;/rt&gt;&lt;/ruby&gt;")</f>
        <v>&lt;ruby&gt;个别&lt;rt&gt;gèbié&lt;/rt&gt;&lt;/ruby&gt;</v>
      </c>
      <c r="E1937" s="13" t="str">
        <f ca="1">IFERROR(__xludf.DUMMYFUNCTION("""COMPUTED_VALUE"""),"gèbié")</f>
        <v>gèbié</v>
      </c>
      <c r="F1937" s="13" t="str">
        <f ca="1">IFERROR(__xludf.DUMMYFUNCTION("""COMPUTED_VALUE"""),"Tính từ")</f>
        <v>Tính từ</v>
      </c>
      <c r="G1937" s="13" t="str">
        <f ca="1">IFERROR(__xludf.DUMMYFUNCTION("""COMPUTED_VALUE"""),"riêng lẻ, cá biệt")</f>
        <v>riêng lẻ, cá biệt</v>
      </c>
      <c r="H1937" s="13" t="str">
        <f ca="1">IFERROR(__xludf.DUMMYFUNCTION("""COMPUTED_VALUE"""),"个别天气很冷。")</f>
        <v>个别天气很冷。</v>
      </c>
      <c r="I1937" s="13"/>
      <c r="J1937" s="13" t="str">
        <f ca="1">IFERROR(__xludf.DUMMYFUNCTION("""COMPUTED_VALUE"""),"Một số ngày thời tiết rất lạnh.")</f>
        <v>Một số ngày thời tiết rất lạnh.</v>
      </c>
      <c r="K1937" s="13" t="str">
        <f ca="1">IFERROR(__xludf.DUMMYFUNCTION("""COMPUTED_VALUE"""),"H5_B16_BG-07.png")</f>
        <v>H5_B16_BG-07.png</v>
      </c>
      <c r="L1937" s="13" t="str">
        <f ca="1">IFERROR(__xludf.DUMMYFUNCTION("""COMPUTED_VALUE"""),"B16_7.mp3")</f>
        <v>B16_7.mp3</v>
      </c>
      <c r="M1937" s="13" t="str">
        <f ca="1">IFERROR(__xludf.DUMMYFUNCTION("""COMPUTED_VALUE"""),"B16_VD_7.mp3")</f>
        <v>B16_VD_7.mp3</v>
      </c>
    </row>
    <row r="1938" spans="1:13">
      <c r="A1938" s="13">
        <f ca="1">IFERROR(__xludf.DUMMYFUNCTION("""COMPUTED_VALUE"""),8)</f>
        <v>8</v>
      </c>
      <c r="B1938" s="13"/>
      <c r="C1938" s="13" t="str">
        <f ca="1">IFERROR(__xludf.DUMMYFUNCTION("""COMPUTED_VALUE"""),"即")</f>
        <v>即</v>
      </c>
      <c r="D1938" s="13" t="str">
        <f ca="1">IFERROR(__xludf.DUMMYFUNCTION("""COMPUTED_VALUE"""),"&lt;ruby&gt;即&lt;rt&gt;jí&lt;/rt&gt;&lt;/ruby&gt;")</f>
        <v>&lt;ruby&gt;即&lt;rt&gt;jí&lt;/rt&gt;&lt;/ruby&gt;</v>
      </c>
      <c r="E1938" s="13" t="str">
        <f ca="1">IFERROR(__xludf.DUMMYFUNCTION("""COMPUTED_VALUE"""),"jí")</f>
        <v>jí</v>
      </c>
      <c r="F1938" s="13" t="str">
        <f ca="1">IFERROR(__xludf.DUMMYFUNCTION("""COMPUTED_VALUE"""),"Động từ/Phó từ")</f>
        <v>Động từ/Phó từ</v>
      </c>
      <c r="G1938" s="13" t="str">
        <f ca="1">IFERROR(__xludf.DUMMYFUNCTION("""COMPUTED_VALUE"""),"nghĩa là; ngay")</f>
        <v>nghĩa là; ngay</v>
      </c>
      <c r="H1938" s="13" t="str">
        <f ca="1">IFERROR(__xludf.DUMMYFUNCTION("""COMPUTED_VALUE"""),"我们即将出发，准备好了吗？")</f>
        <v>我们即将出发，准备好了吗？</v>
      </c>
      <c r="I1938" s="13"/>
      <c r="J1938" s="13" t="str">
        <f ca="1">IFERROR(__xludf.DUMMYFUNCTION("""COMPUTED_VALUE"""),"Chúng ta sắp sửa khởi hành, đã chuẩn bị xong chưa?")</f>
        <v>Chúng ta sắp sửa khởi hành, đã chuẩn bị xong chưa?</v>
      </c>
      <c r="K1938" s="13" t="str">
        <f ca="1">IFERROR(__xludf.DUMMYFUNCTION("""COMPUTED_VALUE"""),"H5_B16_BG-08.png")</f>
        <v>H5_B16_BG-08.png</v>
      </c>
      <c r="L1938" s="13" t="str">
        <f ca="1">IFERROR(__xludf.DUMMYFUNCTION("""COMPUTED_VALUE"""),"B16_8.mp3")</f>
        <v>B16_8.mp3</v>
      </c>
      <c r="M1938" s="13" t="str">
        <f ca="1">IFERROR(__xludf.DUMMYFUNCTION("""COMPUTED_VALUE"""),"B16_VD_8.mp3")</f>
        <v>B16_VD_8.mp3</v>
      </c>
    </row>
    <row r="1939" spans="1:13">
      <c r="A1939" s="13">
        <f ca="1">IFERROR(__xludf.DUMMYFUNCTION("""COMPUTED_VALUE"""),9)</f>
        <v>9</v>
      </c>
      <c r="B1939" s="13"/>
      <c r="C1939" s="13" t="str">
        <f ca="1">IFERROR(__xludf.DUMMYFUNCTION("""COMPUTED_VALUE"""),"借口")</f>
        <v>借口</v>
      </c>
      <c r="D1939" s="13" t="str">
        <f ca="1">IFERROR(__xludf.DUMMYFUNCTION("""COMPUTED_VALUE"""),"&lt;ruby&gt;借口&lt;rt&gt;jièkǒu&lt;/rt&gt;&lt;/ruby&gt;")</f>
        <v>&lt;ruby&gt;借口&lt;rt&gt;jièkǒu&lt;/rt&gt;&lt;/ruby&gt;</v>
      </c>
      <c r="E1939" s="13" t="str">
        <f ca="1">IFERROR(__xludf.DUMMYFUNCTION("""COMPUTED_VALUE"""),"jièkǒu")</f>
        <v>jièkǒu</v>
      </c>
      <c r="F1939" s="13" t="str">
        <f ca="1">IFERROR(__xludf.DUMMYFUNCTION("""COMPUTED_VALUE"""),"Danh từ/Động từ")</f>
        <v>Danh từ/Động từ</v>
      </c>
      <c r="G1939" s="13" t="str">
        <f ca="1">IFERROR(__xludf.DUMMYFUNCTION("""COMPUTED_VALUE"""),"cớ; lấy cớ")</f>
        <v>cớ; lấy cớ</v>
      </c>
      <c r="H1939" s="13" t="str">
        <f ca="1">IFERROR(__xludf.DUMMYFUNCTION("""COMPUTED_VALUE"""),"她找借口说天气不好而不去跑步。")</f>
        <v>她找借口说天气不好而不去跑步。</v>
      </c>
      <c r="I1939" s="13"/>
      <c r="J1939" s="13" t="str">
        <f ca="1">IFERROR(__xludf.DUMMYFUNCTION("""COMPUTED_VALUE"""),"Cô ấy lấy cớ thời tiết xấu để không đi chạy bộ.")</f>
        <v>Cô ấy lấy cớ thời tiết xấu để không đi chạy bộ.</v>
      </c>
      <c r="K1939" s="13" t="str">
        <f ca="1">IFERROR(__xludf.DUMMYFUNCTION("""COMPUTED_VALUE"""),"H5_B16_BG-09.png")</f>
        <v>H5_B16_BG-09.png</v>
      </c>
      <c r="L1939" s="13" t="str">
        <f ca="1">IFERROR(__xludf.DUMMYFUNCTION("""COMPUTED_VALUE"""),"B16_9.mp3")</f>
        <v>B16_9.mp3</v>
      </c>
      <c r="M1939" s="13" t="str">
        <f ca="1">IFERROR(__xludf.DUMMYFUNCTION("""COMPUTED_VALUE"""),"B16_VD_9.mp3")</f>
        <v>B16_VD_9.mp3</v>
      </c>
    </row>
    <row r="1940" spans="1:13">
      <c r="A1940" s="13">
        <f ca="1">IFERROR(__xludf.DUMMYFUNCTION("""COMPUTED_VALUE"""),10)</f>
        <v>10</v>
      </c>
      <c r="B1940" s="13"/>
      <c r="C1940" s="13" t="str">
        <f ca="1">IFERROR(__xludf.DUMMYFUNCTION("""COMPUTED_VALUE"""),"联合")</f>
        <v>联合</v>
      </c>
      <c r="D1940" s="13" t="str">
        <f ca="1">IFERROR(__xludf.DUMMYFUNCTION("""COMPUTED_VALUE"""),"&lt;ruby&gt;联合&lt;rt&gt;liánhé&lt;/rt&gt;&lt;/ruby&gt;")</f>
        <v>&lt;ruby&gt;联合&lt;rt&gt;liánhé&lt;/rt&gt;&lt;/ruby&gt;</v>
      </c>
      <c r="E1940" s="13" t="str">
        <f ca="1">IFERROR(__xludf.DUMMYFUNCTION("""COMPUTED_VALUE"""),"liánhé")</f>
        <v>liánhé</v>
      </c>
      <c r="F1940" s="13" t="str">
        <f ca="1">IFERROR(__xludf.DUMMYFUNCTION("""COMPUTED_VALUE"""),"Động từ/Tính từ")</f>
        <v>Động từ/Tính từ</v>
      </c>
      <c r="G1940" s="13" t="str">
        <f ca="1">IFERROR(__xludf.DUMMYFUNCTION("""COMPUTED_VALUE"""),"kết hợp, hợp nhất; chung")</f>
        <v>kết hợp, hợp nhất; chung</v>
      </c>
      <c r="H1940" s="13" t="str">
        <f ca="1">IFERROR(__xludf.DUMMYFUNCTION("""COMPUTED_VALUE"""),"两家公司决定联合开发新产品。")</f>
        <v>两家公司决定联合开发新产品。</v>
      </c>
      <c r="I1940" s="13"/>
      <c r="J1940" s="13" t="str">
        <f ca="1">IFERROR(__xludf.DUMMYFUNCTION("""COMPUTED_VALUE"""),"Hai công ty quyết định hợp tác phát triển sản phẩm mới.")</f>
        <v>Hai công ty quyết định hợp tác phát triển sản phẩm mới.</v>
      </c>
      <c r="K1940" s="13" t="str">
        <f ca="1">IFERROR(__xludf.DUMMYFUNCTION("""COMPUTED_VALUE"""),"H5_B16_BG-10.png")</f>
        <v>H5_B16_BG-10.png</v>
      </c>
      <c r="L1940" s="13" t="str">
        <f ca="1">IFERROR(__xludf.DUMMYFUNCTION("""COMPUTED_VALUE"""),"B16_10.mp3")</f>
        <v>B16_10.mp3</v>
      </c>
      <c r="M1940" s="13" t="str">
        <f ca="1">IFERROR(__xludf.DUMMYFUNCTION("""COMPUTED_VALUE"""),"B16_VD_10.mp3")</f>
        <v>B16_VD_10.mp3</v>
      </c>
    </row>
    <row r="1941" spans="1:13">
      <c r="A1941" s="13">
        <f ca="1">IFERROR(__xludf.DUMMYFUNCTION("""COMPUTED_VALUE"""),11)</f>
        <v>11</v>
      </c>
      <c r="B1941" s="13"/>
      <c r="C1941" s="13" t="str">
        <f ca="1">IFERROR(__xludf.DUMMYFUNCTION("""COMPUTED_VALUE"""),"临时")</f>
        <v>临时</v>
      </c>
      <c r="D1941" s="13" t="str">
        <f ca="1">IFERROR(__xludf.DUMMYFUNCTION("""COMPUTED_VALUE"""),"&lt;ruby&gt;临时&lt;rt&gt;línshí&lt;/rt&gt;&lt;/ruby&gt;")</f>
        <v>&lt;ruby&gt;临时&lt;rt&gt;línshí&lt;/rt&gt;&lt;/ruby&gt;</v>
      </c>
      <c r="E1941" s="13" t="str">
        <f ca="1">IFERROR(__xludf.DUMMYFUNCTION("""COMPUTED_VALUE"""),"línshí")</f>
        <v>línshí</v>
      </c>
      <c r="F1941" s="13" t="str">
        <f ca="1">IFERROR(__xludf.DUMMYFUNCTION("""COMPUTED_VALUE"""),"Phó từ/Tính từ")</f>
        <v>Phó từ/Tính từ</v>
      </c>
      <c r="G1941" s="13" t="str">
        <f ca="1">IFERROR(__xludf.DUMMYFUNCTION("""COMPUTED_VALUE"""),"đến lúc; tạm thời ")</f>
        <v xml:space="preserve">đến lúc; tạm thời </v>
      </c>
      <c r="H1941" s="13" t="str">
        <f ca="1">IFERROR(__xludf.DUMMYFUNCTION("""COMPUTED_VALUE"""),"我们临时找了一个地方休息。")</f>
        <v>我们临时找了一个地方休息。</v>
      </c>
      <c r="I1941" s="13"/>
      <c r="J1941" s="13" t="str">
        <f ca="1">IFERROR(__xludf.DUMMYFUNCTION("""COMPUTED_VALUE"""),"Chúng tôi tạm thời tìm một nơi để nghỉ ngơi.")</f>
        <v>Chúng tôi tạm thời tìm một nơi để nghỉ ngơi.</v>
      </c>
      <c r="K1941" s="13" t="str">
        <f ca="1">IFERROR(__xludf.DUMMYFUNCTION("""COMPUTED_VALUE"""),"H5_B16_BG-11.png")</f>
        <v>H5_B16_BG-11.png</v>
      </c>
      <c r="L1941" s="13" t="str">
        <f ca="1">IFERROR(__xludf.DUMMYFUNCTION("""COMPUTED_VALUE"""),"B16_11.mp3")</f>
        <v>B16_11.mp3</v>
      </c>
      <c r="M1941" s="13" t="str">
        <f ca="1">IFERROR(__xludf.DUMMYFUNCTION("""COMPUTED_VALUE"""),"B16_VD_11.mp3")</f>
        <v>B16_VD_11.mp3</v>
      </c>
    </row>
    <row r="1942" spans="1:13">
      <c r="A1942" s="13">
        <f ca="1">IFERROR(__xludf.DUMMYFUNCTION("""COMPUTED_VALUE"""),12)</f>
        <v>12</v>
      </c>
      <c r="B1942" s="13"/>
      <c r="C1942" s="13" t="str">
        <f ca="1">IFERROR(__xludf.DUMMYFUNCTION("""COMPUTED_VALUE"""),"人员")</f>
        <v>人员</v>
      </c>
      <c r="D1942" s="13" t="str">
        <f ca="1">IFERROR(__xludf.DUMMYFUNCTION("""COMPUTED_VALUE"""),"&lt;ruby&gt;人员&lt;rt&gt;rényuán&lt;/rt&gt;&lt;/ruby&gt;")</f>
        <v>&lt;ruby&gt;人员&lt;rt&gt;rényuán&lt;/rt&gt;&lt;/ruby&gt;</v>
      </c>
      <c r="E1942" s="13" t="str">
        <f ca="1">IFERROR(__xludf.DUMMYFUNCTION("""COMPUTED_VALUE"""),"rényuán")</f>
        <v>rényuán</v>
      </c>
      <c r="F1942" s="13" t="str">
        <f ca="1">IFERROR(__xludf.DUMMYFUNCTION("""COMPUTED_VALUE"""),"Danh từ")</f>
        <v>Danh từ</v>
      </c>
      <c r="G1942" s="13" t="str">
        <f ca="1">IFERROR(__xludf.DUMMYFUNCTION("""COMPUTED_VALUE"""),"nhân viên")</f>
        <v>nhân viên</v>
      </c>
      <c r="H1942" s="13" t="str">
        <f ca="1">IFERROR(__xludf.DUMMYFUNCTION("""COMPUTED_VALUE"""),"我在这里做收银人员已经两年了。")</f>
        <v>我在这里做收银人员已经两年了。</v>
      </c>
      <c r="I1942" s="13"/>
      <c r="J1942" s="13" t="str">
        <f ca="1">IFERROR(__xludf.DUMMYFUNCTION("""COMPUTED_VALUE"""),"Tôi làm nhân viên thu ngân ở đây được 2 năm rồi.")</f>
        <v>Tôi làm nhân viên thu ngân ở đây được 2 năm rồi.</v>
      </c>
      <c r="K1942" s="13" t="str">
        <f ca="1">IFERROR(__xludf.DUMMYFUNCTION("""COMPUTED_VALUE"""),"H5_B16_BG-12.png")</f>
        <v>H5_B16_BG-12.png</v>
      </c>
      <c r="L1942" s="13" t="str">
        <f ca="1">IFERROR(__xludf.DUMMYFUNCTION("""COMPUTED_VALUE"""),"B16_12.mp3")</f>
        <v>B16_12.mp3</v>
      </c>
      <c r="M1942" s="13" t="str">
        <f ca="1">IFERROR(__xludf.DUMMYFUNCTION("""COMPUTED_VALUE"""),"B16_VD_12.mp3")</f>
        <v>B16_VD_12.mp3</v>
      </c>
    </row>
    <row r="1943" spans="1:13">
      <c r="A1943" s="13">
        <f ca="1">IFERROR(__xludf.DUMMYFUNCTION("""COMPUTED_VALUE"""),13)</f>
        <v>13</v>
      </c>
      <c r="B1943" s="13"/>
      <c r="C1943" s="13" t="str">
        <f ca="1">IFERROR(__xludf.DUMMYFUNCTION("""COMPUTED_VALUE"""),"意外")</f>
        <v>意外</v>
      </c>
      <c r="D1943" s="13" t="str">
        <f ca="1">IFERROR(__xludf.DUMMYFUNCTION("""COMPUTED_VALUE"""),"&lt;ruby&gt;意外&lt;rt&gt;yìwài&lt;/rt&gt;&lt;/ruby&gt;")</f>
        <v>&lt;ruby&gt;意外&lt;rt&gt;yìwài&lt;/rt&gt;&lt;/ruby&gt;</v>
      </c>
      <c r="E1943" s="13" t="str">
        <f ca="1">IFERROR(__xludf.DUMMYFUNCTION("""COMPUTED_VALUE"""),"yìwài")</f>
        <v>yìwài</v>
      </c>
      <c r="F1943" s="13" t="str">
        <f ca="1">IFERROR(__xludf.DUMMYFUNCTION("""COMPUTED_VALUE"""),"Tính từ/Danh từ")</f>
        <v>Tính từ/Danh từ</v>
      </c>
      <c r="G1943" s="13" t="str">
        <f ca="1">IFERROR(__xludf.DUMMYFUNCTION("""COMPUTED_VALUE"""),"bất ngờ; điều bất trắc")</f>
        <v>bất ngờ; điều bất trắc</v>
      </c>
      <c r="H1943" s="13" t="str">
        <f ca="1">IFERROR(__xludf.DUMMYFUNCTION("""COMPUTED_VALUE"""),"她意外地赢得了比赛。")</f>
        <v>她意外地赢得了比赛。</v>
      </c>
      <c r="I1943" s="13"/>
      <c r="J1943" s="13" t="str">
        <f ca="1">IFERROR(__xludf.DUMMYFUNCTION("""COMPUTED_VALUE"""),"Cô ấy bất ngờ giành chiến thắng trong trận đấu.")</f>
        <v>Cô ấy bất ngờ giành chiến thắng trong trận đấu.</v>
      </c>
      <c r="K1943" s="13" t="str">
        <f ca="1">IFERROR(__xludf.DUMMYFUNCTION("""COMPUTED_VALUE"""),"H5_B16_BG-13.png")</f>
        <v>H5_B16_BG-13.png</v>
      </c>
      <c r="L1943" s="13" t="str">
        <f ca="1">IFERROR(__xludf.DUMMYFUNCTION("""COMPUTED_VALUE"""),"B16_13.mp3")</f>
        <v>B16_13.mp3</v>
      </c>
      <c r="M1943" s="13" t="str">
        <f ca="1">IFERROR(__xludf.DUMMYFUNCTION("""COMPUTED_VALUE"""),"B16_VD_13.mp3")</f>
        <v>B16_VD_13.mp3</v>
      </c>
    </row>
    <row r="1944" spans="1:13">
      <c r="A1944" s="13">
        <f ca="1">IFERROR(__xludf.DUMMYFUNCTION("""COMPUTED_VALUE"""),14)</f>
        <v>14</v>
      </c>
      <c r="B1944" s="13"/>
      <c r="C1944" s="13" t="str">
        <f ca="1">IFERROR(__xludf.DUMMYFUNCTION("""COMPUTED_VALUE"""),"志愿者")</f>
        <v>志愿者</v>
      </c>
      <c r="D1944" s="13" t="str">
        <f ca="1">IFERROR(__xludf.DUMMYFUNCTION("""COMPUTED_VALUE"""),"&lt;ruby&gt;志愿者&lt;rt&gt;zhìyuànzhě&lt;/rt&gt;&lt;/ruby&gt;")</f>
        <v>&lt;ruby&gt;志愿者&lt;rt&gt;zhìyuànzhě&lt;/rt&gt;&lt;/ruby&gt;</v>
      </c>
      <c r="E1944" s="13" t="str">
        <f ca="1">IFERROR(__xludf.DUMMYFUNCTION("""COMPUTED_VALUE"""),"zhìyuànzhě")</f>
        <v>zhìyuànzhě</v>
      </c>
      <c r="F1944" s="13" t="str">
        <f ca="1">IFERROR(__xludf.DUMMYFUNCTION("""COMPUTED_VALUE"""),"Danh từ")</f>
        <v>Danh từ</v>
      </c>
      <c r="G1944" s="13" t="str">
        <f ca="1">IFERROR(__xludf.DUMMYFUNCTION("""COMPUTED_VALUE"""),"người tình nguyện ")</f>
        <v xml:space="preserve">người tình nguyện </v>
      </c>
      <c r="H1944" s="13" t="str">
        <f ca="1">IFERROR(__xludf.DUMMYFUNCTION("""COMPUTED_VALUE"""),"他决定成为一名志愿者，前往贫困地区帮助他人。")</f>
        <v>他决定成为一名志愿者，前往贫困地区帮助他人。</v>
      </c>
      <c r="I1944" s="13"/>
      <c r="J1944" s="13" t="str">
        <f ca="1">IFERROR(__xludf.DUMMYFUNCTION("""COMPUTED_VALUE"""),"Anh ấy quyết định trở thành một tình nguyện viên và đi đến vùng khó khăn giúp đỡ mọi người.")</f>
        <v>Anh ấy quyết định trở thành một tình nguyện viên và đi đến vùng khó khăn giúp đỡ mọi người.</v>
      </c>
      <c r="K1944" s="13" t="str">
        <f ca="1">IFERROR(__xludf.DUMMYFUNCTION("""COMPUTED_VALUE"""),"H5_B16_BG-14.png")</f>
        <v>H5_B16_BG-14.png</v>
      </c>
      <c r="L1944" s="13" t="str">
        <f ca="1">IFERROR(__xludf.DUMMYFUNCTION("""COMPUTED_VALUE"""),"B16_14.mp3")</f>
        <v>B16_14.mp3</v>
      </c>
      <c r="M1944" s="13" t="str">
        <f ca="1">IFERROR(__xludf.DUMMYFUNCTION("""COMPUTED_VALUE"""),"B16_VD_14.mp3")</f>
        <v>B16_VD_14.mp3</v>
      </c>
    </row>
    <row r="1945" spans="1:13">
      <c r="A1945" s="13">
        <f ca="1">IFERROR(__xludf.DUMMYFUNCTION("""COMPUTED_VALUE"""),15)</f>
        <v>15</v>
      </c>
      <c r="B1945" s="13"/>
      <c r="C1945" s="13" t="str">
        <f ca="1">IFERROR(__xludf.DUMMYFUNCTION("""COMPUTED_VALUE"""),"总共")</f>
        <v>总共</v>
      </c>
      <c r="D1945" s="13" t="str">
        <f ca="1">IFERROR(__xludf.DUMMYFUNCTION("""COMPUTED_VALUE"""),"&lt;ruby&gt;总共&lt;rt&gt;zǒnggòng&lt;/rt&gt;&lt;/ruby&gt;")</f>
        <v>&lt;ruby&gt;总共&lt;rt&gt;zǒnggòng&lt;/rt&gt;&lt;/ruby&gt;</v>
      </c>
      <c r="E1945" s="13" t="str">
        <f ca="1">IFERROR(__xludf.DUMMYFUNCTION("""COMPUTED_VALUE"""),"zǒnggòng")</f>
        <v>zǒnggòng</v>
      </c>
      <c r="F1945" s="13" t="str">
        <f ca="1">IFERROR(__xludf.DUMMYFUNCTION("""COMPUTED_VALUE"""),"Phó từ")</f>
        <v>Phó từ</v>
      </c>
      <c r="G1945" s="13" t="str">
        <f ca="1">IFERROR(__xludf.DUMMYFUNCTION("""COMPUTED_VALUE"""),"cả thảy, tất cả")</f>
        <v>cả thảy, tất cả</v>
      </c>
      <c r="H1945" s="13" t="str">
        <f ca="1">IFERROR(__xludf.DUMMYFUNCTION("""COMPUTED_VALUE"""),"我们买了三本书，总共花了两百块。")</f>
        <v>我们买了三本书，总共花了两百块。</v>
      </c>
      <c r="I1945" s="13"/>
      <c r="J1945" s="13" t="str">
        <f ca="1">IFERROR(__xludf.DUMMYFUNCTION("""COMPUTED_VALUE"""),"Chúng tôi đã mua 3 quyển sách, tổng cộng hết 200 tệ.")</f>
        <v>Chúng tôi đã mua 3 quyển sách, tổng cộng hết 200 tệ.</v>
      </c>
      <c r="K1945" s="13" t="str">
        <f ca="1">IFERROR(__xludf.DUMMYFUNCTION("""COMPUTED_VALUE"""),"H5_B16_BG-15.png")</f>
        <v>H5_B16_BG-15.png</v>
      </c>
      <c r="L1945" s="13" t="str">
        <f ca="1">IFERROR(__xludf.DUMMYFUNCTION("""COMPUTED_VALUE"""),"B16_15.mp3")</f>
        <v>B16_15.mp3</v>
      </c>
      <c r="M1945" s="13" t="str">
        <f ca="1">IFERROR(__xludf.DUMMYFUNCTION("""COMPUTED_VALUE"""),"B16_VD_15.mp3")</f>
        <v>B16_VD_15.mp3</v>
      </c>
    </row>
    <row r="1946" spans="1:13">
      <c r="A1946" s="13">
        <f ca="1">IFERROR(__xludf.DUMMYFUNCTION("""COMPUTED_VALUE"""),16)</f>
        <v>16</v>
      </c>
      <c r="B1946" s="13"/>
      <c r="C1946" s="13" t="str">
        <f ca="1">IFERROR(__xludf.DUMMYFUNCTION("""COMPUTED_VALUE"""),"立即")</f>
        <v>立即</v>
      </c>
      <c r="D1946" s="13" t="str">
        <f ca="1">IFERROR(__xludf.DUMMYFUNCTION("""COMPUTED_VALUE"""),"&lt;ruby&gt;立即&lt;rt&gt;lìjí&lt;/rt&gt;&lt;/ruby&gt;")</f>
        <v>&lt;ruby&gt;立即&lt;rt&gt;lìjí&lt;/rt&gt;&lt;/ruby&gt;</v>
      </c>
      <c r="E1946" s="13" t="str">
        <f ca="1">IFERROR(__xludf.DUMMYFUNCTION("""COMPUTED_VALUE"""),"lìjí")</f>
        <v>lìjí</v>
      </c>
      <c r="F1946" s="13" t="str">
        <f ca="1">IFERROR(__xludf.DUMMYFUNCTION("""COMPUTED_VALUE"""),"Phó từ")</f>
        <v>Phó từ</v>
      </c>
      <c r="G1946" s="13" t="str">
        <f ca="1">IFERROR(__xludf.DUMMYFUNCTION("""COMPUTED_VALUE"""),"lập tức, ngay ")</f>
        <v xml:space="preserve">lập tức, ngay </v>
      </c>
      <c r="H1946" s="13" t="str">
        <f ca="1">IFERROR(__xludf.DUMMYFUNCTION("""COMPUTED_VALUE"""),"事故发生后，救护车立即赶到了现场。")</f>
        <v>事故发生后，救护车立即赶到了现场。</v>
      </c>
      <c r="I1946" s="13"/>
      <c r="J1946" s="13" t="str">
        <f ca="1">IFERROR(__xludf.DUMMYFUNCTION("""COMPUTED_VALUE"""),"Sau khi tai nạn xảy ra, xe cứu thương lập tức đến hiện trường.")</f>
        <v>Sau khi tai nạn xảy ra, xe cứu thương lập tức đến hiện trường.</v>
      </c>
      <c r="K1946" s="13" t="str">
        <f ca="1">IFERROR(__xludf.DUMMYFUNCTION("""COMPUTED_VALUE"""),"H5_B16_BG-16.png")</f>
        <v>H5_B16_BG-16.png</v>
      </c>
      <c r="L1946" s="13" t="str">
        <f ca="1">IFERROR(__xludf.DUMMYFUNCTION("""COMPUTED_VALUE"""),"B16_16.mp3")</f>
        <v>B16_16.mp3</v>
      </c>
      <c r="M1946" s="13" t="str">
        <f ca="1">IFERROR(__xludf.DUMMYFUNCTION("""COMPUTED_VALUE"""),"B16_VD_16.mp3")</f>
        <v>B16_VD_16.mp3</v>
      </c>
    </row>
    <row r="1947" spans="1:13">
      <c r="A1947" s="13">
        <f ca="1">IFERROR(__xludf.DUMMYFUNCTION("""COMPUTED_VALUE"""),17)</f>
        <v>17</v>
      </c>
      <c r="B1947" s="13"/>
      <c r="C1947" s="13" t="str">
        <f ca="1">IFERROR(__xludf.DUMMYFUNCTION("""COMPUTED_VALUE"""),"报道")</f>
        <v>报道</v>
      </c>
      <c r="D1947" s="13" t="str">
        <f ca="1">IFERROR(__xludf.DUMMYFUNCTION("""COMPUTED_VALUE"""),"&lt;ruby&gt;报道&lt;rt&gt;bàodào&lt;/rt&gt;&lt;/ruby&gt;")</f>
        <v>&lt;ruby&gt;报道&lt;rt&gt;bàodào&lt;/rt&gt;&lt;/ruby&gt;</v>
      </c>
      <c r="E1947" s="13" t="str">
        <f ca="1">IFERROR(__xludf.DUMMYFUNCTION("""COMPUTED_VALUE"""),"bàodào")</f>
        <v>bàodào</v>
      </c>
      <c r="F1947" s="13" t="str">
        <f ca="1">IFERROR(__xludf.DUMMYFUNCTION("""COMPUTED_VALUE"""),"Danh từ/Động từ")</f>
        <v>Danh từ/Động từ</v>
      </c>
      <c r="G1947" s="13" t="str">
        <f ca="1">IFERROR(__xludf.DUMMYFUNCTION("""COMPUTED_VALUE"""),"bài báo; đưa tin")</f>
        <v>bài báo; đưa tin</v>
      </c>
      <c r="H1947" s="13" t="str">
        <f ca="1">IFERROR(__xludf.DUMMYFUNCTION("""COMPUTED_VALUE"""),"这篇报道引起了大家的关注。")</f>
        <v>这篇报道引起了大家的关注。</v>
      </c>
      <c r="I1947" s="13"/>
      <c r="J1947" s="13" t="str">
        <f ca="1">IFERROR(__xludf.DUMMYFUNCTION("""COMPUTED_VALUE"""),"Bài báo này đã thu hút sự chú ý của mọi người.")</f>
        <v>Bài báo này đã thu hút sự chú ý của mọi người.</v>
      </c>
      <c r="K1947" s="13" t="str">
        <f ca="1">IFERROR(__xludf.DUMMYFUNCTION("""COMPUTED_VALUE"""),"H5_B16_BG-17.png")</f>
        <v>H5_B16_BG-17.png</v>
      </c>
      <c r="L1947" s="13" t="str">
        <f ca="1">IFERROR(__xludf.DUMMYFUNCTION("""COMPUTED_VALUE"""),"B16_17.mp3")</f>
        <v>B16_17.mp3</v>
      </c>
      <c r="M1947" s="13" t="str">
        <f ca="1">IFERROR(__xludf.DUMMYFUNCTION("""COMPUTED_VALUE"""),"B16_VD_17.mp3")</f>
        <v>B16_VD_17.mp3</v>
      </c>
    </row>
    <row r="1948" spans="1:13">
      <c r="A1948" s="13">
        <f ca="1">IFERROR(__xludf.DUMMYFUNCTION("""COMPUTED_VALUE"""),18)</f>
        <v>18</v>
      </c>
      <c r="B1948" s="13"/>
      <c r="C1948" s="13" t="str">
        <f ca="1">IFERROR(__xludf.DUMMYFUNCTION("""COMPUTED_VALUE"""),"表明")</f>
        <v>表明</v>
      </c>
      <c r="D1948" s="13" t="str">
        <f ca="1">IFERROR(__xludf.DUMMYFUNCTION("""COMPUTED_VALUE"""),"&lt;ruby&gt;表明&lt;rt&gt;biǎomíng&lt;/rt&gt;&lt;/ruby&gt;")</f>
        <v>&lt;ruby&gt;表明&lt;rt&gt;biǎomíng&lt;/rt&gt;&lt;/ruby&gt;</v>
      </c>
      <c r="E1948" s="13" t="str">
        <f ca="1">IFERROR(__xludf.DUMMYFUNCTION("""COMPUTED_VALUE"""),"biǎomíng")</f>
        <v>biǎomíng</v>
      </c>
      <c r="F1948" s="13" t="str">
        <f ca="1">IFERROR(__xludf.DUMMYFUNCTION("""COMPUTED_VALUE"""),"Động từ")</f>
        <v>Động từ</v>
      </c>
      <c r="G1948" s="13" t="str">
        <f ca="1">IFERROR(__xludf.DUMMYFUNCTION("""COMPUTED_VALUE"""),"thể hiện, chứng tỏ ")</f>
        <v xml:space="preserve">thể hiện, chứng tỏ </v>
      </c>
      <c r="H1948" s="13" t="str">
        <f ca="1">IFERROR(__xludf.DUMMYFUNCTION("""COMPUTED_VALUE"""),"他的成绩表明他付出了很多努力。")</f>
        <v>他的成绩表明他付出了很多努力。</v>
      </c>
      <c r="I1948" s="13"/>
      <c r="J1948" s="13" t="str">
        <f ca="1">IFERROR(__xludf.DUMMYFUNCTION("""COMPUTED_VALUE"""),"Thành tích của anh ấy chứng tỏ anh ấy đã nỗ lực rất nhiều.")</f>
        <v>Thành tích của anh ấy chứng tỏ anh ấy đã nỗ lực rất nhiều.</v>
      </c>
      <c r="K1948" s="13" t="str">
        <f ca="1">IFERROR(__xludf.DUMMYFUNCTION("""COMPUTED_VALUE"""),"H5_B16_BG-18.png")</f>
        <v>H5_B16_BG-18.png</v>
      </c>
      <c r="L1948" s="13" t="str">
        <f ca="1">IFERROR(__xludf.DUMMYFUNCTION("""COMPUTED_VALUE"""),"B16_18.mp3")</f>
        <v>B16_18.mp3</v>
      </c>
      <c r="M1948" s="13" t="str">
        <f ca="1">IFERROR(__xludf.DUMMYFUNCTION("""COMPUTED_VALUE"""),"B16_VD_18.mp3")</f>
        <v>B16_VD_18.mp3</v>
      </c>
    </row>
    <row r="1949" spans="1:13">
      <c r="A1949" s="13">
        <f ca="1">IFERROR(__xludf.DUMMYFUNCTION("""COMPUTED_VALUE"""),19)</f>
        <v>19</v>
      </c>
      <c r="B1949" s="13"/>
      <c r="C1949" s="13" t="str">
        <f ca="1">IFERROR(__xludf.DUMMYFUNCTION("""COMPUTED_VALUE"""),"成果")</f>
        <v>成果</v>
      </c>
      <c r="D1949" s="13" t="str">
        <f ca="1">IFERROR(__xludf.DUMMYFUNCTION("""COMPUTED_VALUE"""),"&lt;ruby&gt;成果&lt;rt&gt;chéngguǒ&lt;/rt&gt;&lt;/ruby&gt;")</f>
        <v>&lt;ruby&gt;成果&lt;rt&gt;chéngguǒ&lt;/rt&gt;&lt;/ruby&gt;</v>
      </c>
      <c r="E1949" s="13" t="str">
        <f ca="1">IFERROR(__xludf.DUMMYFUNCTION("""COMPUTED_VALUE"""),"chéngguǒ")</f>
        <v>chéngguǒ</v>
      </c>
      <c r="F1949" s="13" t="str">
        <f ca="1">IFERROR(__xludf.DUMMYFUNCTION("""COMPUTED_VALUE"""),"Danh từ")</f>
        <v>Danh từ</v>
      </c>
      <c r="G1949" s="13" t="str">
        <f ca="1">IFERROR(__xludf.DUMMYFUNCTION("""COMPUTED_VALUE"""),"thành quả, kết quả")</f>
        <v>thành quả, kết quả</v>
      </c>
      <c r="H1949" s="13" t="str">
        <f ca="1">IFERROR(__xludf.DUMMYFUNCTION("""COMPUTED_VALUE"""),"对我来说，这座房子是多年的努力成果。")</f>
        <v>对我来说，这座房子是多年的努力成果。</v>
      </c>
      <c r="I1949" s="13"/>
      <c r="J1949" s="13" t="str">
        <f ca="1">IFERROR(__xludf.DUMMYFUNCTION("""COMPUTED_VALUE"""),"Với tôi ngôi nhà này là thành quả của nhiều năm nỗ lực.")</f>
        <v>Với tôi ngôi nhà này là thành quả của nhiều năm nỗ lực.</v>
      </c>
      <c r="K1949" s="13" t="str">
        <f ca="1">IFERROR(__xludf.DUMMYFUNCTION("""COMPUTED_VALUE"""),"H5_B16_BG-19.png")</f>
        <v>H5_B16_BG-19.png</v>
      </c>
      <c r="L1949" s="13" t="str">
        <f ca="1">IFERROR(__xludf.DUMMYFUNCTION("""COMPUTED_VALUE"""),"B16_19.mp3")</f>
        <v>B16_19.mp3</v>
      </c>
      <c r="M1949" s="13" t="str">
        <f ca="1">IFERROR(__xludf.DUMMYFUNCTION("""COMPUTED_VALUE"""),"B16_VD_19.mp3")</f>
        <v>B16_VD_19.mp3</v>
      </c>
    </row>
    <row r="1950" spans="1:13">
      <c r="A1950" s="13">
        <f ca="1">IFERROR(__xludf.DUMMYFUNCTION("""COMPUTED_VALUE"""),20)</f>
        <v>20</v>
      </c>
      <c r="B1950" s="13"/>
      <c r="C1950" s="13" t="str">
        <f ca="1">IFERROR(__xludf.DUMMYFUNCTION("""COMPUTED_VALUE"""),"存在")</f>
        <v>存在</v>
      </c>
      <c r="D1950" s="13" t="str">
        <f ca="1">IFERROR(__xludf.DUMMYFUNCTION("""COMPUTED_VALUE"""),"&lt;ruby&gt;存在&lt;rt&gt;cúnzài&lt;/rt&gt;&lt;/ruby&gt;")</f>
        <v>&lt;ruby&gt;存在&lt;rt&gt;cúnzài&lt;/rt&gt;&lt;/ruby&gt;</v>
      </c>
      <c r="E1950" s="13" t="str">
        <f ca="1">IFERROR(__xludf.DUMMYFUNCTION("""COMPUTED_VALUE"""),"cúnzài")</f>
        <v>cúnzài</v>
      </c>
      <c r="F1950" s="13" t="str">
        <f ca="1">IFERROR(__xludf.DUMMYFUNCTION("""COMPUTED_VALUE"""),"Động từ")</f>
        <v>Động từ</v>
      </c>
      <c r="G1950" s="13" t="str">
        <f ca="1">IFERROR(__xludf.DUMMYFUNCTION("""COMPUTED_VALUE"""),"tồn tại")</f>
        <v>tồn tại</v>
      </c>
      <c r="H1950" s="13" t="str">
        <f ca="1">IFERROR(__xludf.DUMMYFUNCTION("""COMPUTED_VALUE"""),"科学家们发现了外星生命的存在。")</f>
        <v>科学家们发现了外星生命的存在。</v>
      </c>
      <c r="I1950" s="13"/>
      <c r="J1950" s="13" t="str">
        <f ca="1">IFERROR(__xludf.DUMMYFUNCTION("""COMPUTED_VALUE""")," Các nhà khoa học đã phát hiện sự tồn tại của sự sống ngoài hành tinh.")</f>
        <v xml:space="preserve"> Các nhà khoa học đã phát hiện sự tồn tại của sự sống ngoài hành tinh.</v>
      </c>
      <c r="K1950" s="13" t="str">
        <f ca="1">IFERROR(__xludf.DUMMYFUNCTION("""COMPUTED_VALUE"""),"H5_B16_BG-20.png")</f>
        <v>H5_B16_BG-20.png</v>
      </c>
      <c r="L1950" s="13" t="str">
        <f ca="1">IFERROR(__xludf.DUMMYFUNCTION("""COMPUTED_VALUE"""),"B16_20.mp3")</f>
        <v>B16_20.mp3</v>
      </c>
      <c r="M1950" s="13" t="str">
        <f ca="1">IFERROR(__xludf.DUMMYFUNCTION("""COMPUTED_VALUE"""),"B16_VD_20.mp3")</f>
        <v>B16_VD_20.mp3</v>
      </c>
    </row>
    <row r="1951" spans="1:13">
      <c r="A1951" s="13">
        <f ca="1">IFERROR(__xludf.DUMMYFUNCTION("""COMPUTED_VALUE"""),21)</f>
        <v>21</v>
      </c>
      <c r="B1951" s="13"/>
      <c r="C1951" s="13" t="str">
        <f ca="1">IFERROR(__xludf.DUMMYFUNCTION("""COMPUTED_VALUE"""),"分析")</f>
        <v>分析</v>
      </c>
      <c r="D1951" s="13" t="str">
        <f ca="1">IFERROR(__xludf.DUMMYFUNCTION("""COMPUTED_VALUE"""),"&lt;ruby&gt;分析&lt;rt&gt;fēnxī&lt;/rt&gt;&lt;/ruby&gt;")</f>
        <v>&lt;ruby&gt;分析&lt;rt&gt;fēnxī&lt;/rt&gt;&lt;/ruby&gt;</v>
      </c>
      <c r="E1951" s="13" t="str">
        <f ca="1">IFERROR(__xludf.DUMMYFUNCTION("""COMPUTED_VALUE"""),"fēnxī")</f>
        <v>fēnxī</v>
      </c>
      <c r="F1951" s="13" t="str">
        <f ca="1">IFERROR(__xludf.DUMMYFUNCTION("""COMPUTED_VALUE"""),"Động từ")</f>
        <v>Động từ</v>
      </c>
      <c r="G1951" s="13" t="str">
        <f ca="1">IFERROR(__xludf.DUMMYFUNCTION("""COMPUTED_VALUE"""),"phân tích")</f>
        <v>phân tích</v>
      </c>
      <c r="H1951" s="13" t="str">
        <f ca="1">IFERROR(__xludf.DUMMYFUNCTION("""COMPUTED_VALUE"""),"在会议上，我们共同分析了市场，以寻找吸引客户的方法。")</f>
        <v>在会议上，我们共同分析了市场，以寻找吸引客户的方法。</v>
      </c>
      <c r="I1951" s="13"/>
      <c r="J1951" s="13" t="str">
        <f ca="1">IFERROR(__xludf.DUMMYFUNCTION("""COMPUTED_VALUE"""),"Trong cuộc họp, chúng tôi đã cùng nhau phân tích thị trường để tìm hướng tiếp cận khách hàng.")</f>
        <v>Trong cuộc họp, chúng tôi đã cùng nhau phân tích thị trường để tìm hướng tiếp cận khách hàng.</v>
      </c>
      <c r="K1951" s="13" t="str">
        <f ca="1">IFERROR(__xludf.DUMMYFUNCTION("""COMPUTED_VALUE"""),"H5_B16_BG-21.png")</f>
        <v>H5_B16_BG-21.png</v>
      </c>
      <c r="L1951" s="13" t="str">
        <f ca="1">IFERROR(__xludf.DUMMYFUNCTION("""COMPUTED_VALUE"""),"B16_21.mp3")</f>
        <v>B16_21.mp3</v>
      </c>
      <c r="M1951" s="13" t="str">
        <f ca="1">IFERROR(__xludf.DUMMYFUNCTION("""COMPUTED_VALUE"""),"B16_VD_21.mp3")</f>
        <v>B16_VD_21.mp3</v>
      </c>
    </row>
    <row r="1952" spans="1:13">
      <c r="A1952" s="13">
        <f ca="1">IFERROR(__xludf.DUMMYFUNCTION("""COMPUTED_VALUE"""),22)</f>
        <v>22</v>
      </c>
      <c r="B1952" s="13"/>
      <c r="C1952" s="13" t="str">
        <f ca="1">IFERROR(__xludf.DUMMYFUNCTION("""COMPUTED_VALUE"""),"现象")</f>
        <v>现象</v>
      </c>
      <c r="D1952" s="13" t="str">
        <f ca="1">IFERROR(__xludf.DUMMYFUNCTION("""COMPUTED_VALUE"""),"&lt;ruby&gt;现象&lt;rt&gt;xiànxiàng&lt;/rt&gt;&lt;/ruby&gt;")</f>
        <v>&lt;ruby&gt;现象&lt;rt&gt;xiànxiàng&lt;/rt&gt;&lt;/ruby&gt;</v>
      </c>
      <c r="E1952" s="13" t="str">
        <f ca="1">IFERROR(__xludf.DUMMYFUNCTION("""COMPUTED_VALUE"""),"xiànxiàng")</f>
        <v>xiànxiàng</v>
      </c>
      <c r="F1952" s="13" t="str">
        <f ca="1">IFERROR(__xludf.DUMMYFUNCTION("""COMPUTED_VALUE"""),"Danh từ")</f>
        <v>Danh từ</v>
      </c>
      <c r="G1952" s="13" t="str">
        <f ca="1">IFERROR(__xludf.DUMMYFUNCTION("""COMPUTED_VALUE"""),"hiện tượng")</f>
        <v>hiện tượng</v>
      </c>
      <c r="H1952" s="13" t="str">
        <f ca="1">IFERROR(__xludf.DUMMYFUNCTION("""COMPUTED_VALUE"""),"雨后的彩虹是一种美丽的自然现象。")</f>
        <v>雨后的彩虹是一种美丽的自然现象。</v>
      </c>
      <c r="I1952" s="13"/>
      <c r="J1952" s="13" t="str">
        <f ca="1">IFERROR(__xludf.DUMMYFUNCTION("""COMPUTED_VALUE"""),"Cầu vồng sau mưa là một hiện tượng tự nhiên đẹp.")</f>
        <v>Cầu vồng sau mưa là một hiện tượng tự nhiên đẹp.</v>
      </c>
      <c r="K1952" s="13" t="str">
        <f ca="1">IFERROR(__xludf.DUMMYFUNCTION("""COMPUTED_VALUE"""),"H5_B16_BG-22.png")</f>
        <v>H5_B16_BG-22.png</v>
      </c>
      <c r="L1952" s="13" t="str">
        <f ca="1">IFERROR(__xludf.DUMMYFUNCTION("""COMPUTED_VALUE"""),"B16_22.mp3")</f>
        <v>B16_22.mp3</v>
      </c>
      <c r="M1952" s="13" t="str">
        <f ca="1">IFERROR(__xludf.DUMMYFUNCTION("""COMPUTED_VALUE"""),"B16_VD_22.mp3")</f>
        <v>B16_VD_22.mp3</v>
      </c>
    </row>
    <row r="1953" spans="1:13">
      <c r="A1953" s="13">
        <f ca="1">IFERROR(__xludf.DUMMYFUNCTION("""COMPUTED_VALUE"""),23)</f>
        <v>23</v>
      </c>
      <c r="B1953" s="13"/>
      <c r="C1953" s="13" t="str">
        <f ca="1">IFERROR(__xludf.DUMMYFUNCTION("""COMPUTED_VALUE"""),"模式")</f>
        <v>模式</v>
      </c>
      <c r="D1953" s="13" t="str">
        <f ca="1">IFERROR(__xludf.DUMMYFUNCTION("""COMPUTED_VALUE"""),"&lt;ruby&gt;模式&lt;rt&gt;móshì&lt;/rt&gt;&lt;/ruby&gt;")</f>
        <v>&lt;ruby&gt;模式&lt;rt&gt;móshì&lt;/rt&gt;&lt;/ruby&gt;</v>
      </c>
      <c r="E1953" s="13" t="str">
        <f ca="1">IFERROR(__xludf.DUMMYFUNCTION("""COMPUTED_VALUE"""),"móshì")</f>
        <v>móshì</v>
      </c>
      <c r="F1953" s="13" t="str">
        <f ca="1">IFERROR(__xludf.DUMMYFUNCTION("""COMPUTED_VALUE"""),"Danh từ")</f>
        <v>Danh từ</v>
      </c>
      <c r="G1953" s="13" t="str">
        <f ca="1">IFERROR(__xludf.DUMMYFUNCTION("""COMPUTED_VALUE"""),"kiểu, mô hình")</f>
        <v>kiểu, mô hình</v>
      </c>
      <c r="H1953" s="13" t="str">
        <f ca="1">IFERROR(__xludf.DUMMYFUNCTION("""COMPUTED_VALUE"""),"这种学习模式能帮助学生更有效地掌握知识。")</f>
        <v>这种学习模式能帮助学生更有效地掌握知识。</v>
      </c>
      <c r="I1953" s="13"/>
      <c r="J1953" s="13" t="str">
        <f ca="1">IFERROR(__xludf.DUMMYFUNCTION("""COMPUTED_VALUE"""),"Mô hình học tập này giúp học sinh nắm bắt kiến thức hiệu quả hơn.")</f>
        <v>Mô hình học tập này giúp học sinh nắm bắt kiến thức hiệu quả hơn.</v>
      </c>
      <c r="K1953" s="13" t="str">
        <f ca="1">IFERROR(__xludf.DUMMYFUNCTION("""COMPUTED_VALUE"""),"H5_B16_BG-23.png")</f>
        <v>H5_B16_BG-23.png</v>
      </c>
      <c r="L1953" s="13" t="str">
        <f ca="1">IFERROR(__xludf.DUMMYFUNCTION("""COMPUTED_VALUE"""),"B16_23.mp3")</f>
        <v>B16_23.mp3</v>
      </c>
      <c r="M1953" s="13" t="str">
        <f ca="1">IFERROR(__xludf.DUMMYFUNCTION("""COMPUTED_VALUE"""),"B16_VD_23.mp3")</f>
        <v>B16_VD_23.mp3</v>
      </c>
    </row>
    <row r="1954" spans="1:13">
      <c r="A1954" s="13">
        <f ca="1">IFERROR(__xludf.DUMMYFUNCTION("""COMPUTED_VALUE"""),24)</f>
        <v>24</v>
      </c>
      <c r="B1954" s="13"/>
      <c r="C1954" s="13" t="str">
        <f ca="1">IFERROR(__xludf.DUMMYFUNCTION("""COMPUTED_VALUE"""),"可靠")</f>
        <v>可靠</v>
      </c>
      <c r="D1954" s="13" t="str">
        <f ca="1">IFERROR(__xludf.DUMMYFUNCTION("""COMPUTED_VALUE"""),"&lt;ruby&gt;可靠&lt;rt&gt;kěkào&lt;/rt&gt;&lt;/ruby&gt;")</f>
        <v>&lt;ruby&gt;可靠&lt;rt&gt;kěkào&lt;/rt&gt;&lt;/ruby&gt;</v>
      </c>
      <c r="E1954" s="13" t="str">
        <f ca="1">IFERROR(__xludf.DUMMYFUNCTION("""COMPUTED_VALUE"""),"kěkào")</f>
        <v>kěkào</v>
      </c>
      <c r="F1954" s="13" t="str">
        <f ca="1">IFERROR(__xludf.DUMMYFUNCTION("""COMPUTED_VALUE"""),"Tính từ")</f>
        <v>Tính từ</v>
      </c>
      <c r="G1954" s="13" t="str">
        <f ca="1">IFERROR(__xludf.DUMMYFUNCTION("""COMPUTED_VALUE"""),"đáng tin cậy ")</f>
        <v xml:space="preserve">đáng tin cậy </v>
      </c>
      <c r="H1954" s="13" t="str">
        <f ca="1">IFERROR(__xludf.DUMMYFUNCTION("""COMPUTED_VALUE"""),"这个品牌的产品非常可靠，很多人都推荐使用。")</f>
        <v>这个品牌的产品非常可靠，很多人都推荐使用。</v>
      </c>
      <c r="I1954" s="13"/>
      <c r="J1954" s="13" t="str">
        <f ca="1">IFERROR(__xludf.DUMMYFUNCTION("""COMPUTED_VALUE"""),"Sản phẩm của thương hiệu này rất đáng tin cậy, được nhiều người khuyên dùng.")</f>
        <v>Sản phẩm của thương hiệu này rất đáng tin cậy, được nhiều người khuyên dùng.</v>
      </c>
      <c r="K1954" s="13" t="str">
        <f ca="1">IFERROR(__xludf.DUMMYFUNCTION("""COMPUTED_VALUE"""),"H5_B16_BG-24.png")</f>
        <v>H5_B16_BG-24.png</v>
      </c>
      <c r="L1954" s="13" t="str">
        <f ca="1">IFERROR(__xludf.DUMMYFUNCTION("""COMPUTED_VALUE"""),"B16_24.mp3")</f>
        <v>B16_24.mp3</v>
      </c>
      <c r="M1954" s="13" t="str">
        <f ca="1">IFERROR(__xludf.DUMMYFUNCTION("""COMPUTED_VALUE"""),"B16_VD_24.mp3")</f>
        <v>B16_VD_24.mp3</v>
      </c>
    </row>
    <row r="1955" spans="1:13">
      <c r="A1955" s="13">
        <f ca="1">IFERROR(__xludf.DUMMYFUNCTION("""COMPUTED_VALUE"""),25)</f>
        <v>25</v>
      </c>
      <c r="B1955" s="13"/>
      <c r="C1955" s="13" t="str">
        <f ca="1">IFERROR(__xludf.DUMMYFUNCTION("""COMPUTED_VALUE"""),"纳入")</f>
        <v>纳入</v>
      </c>
      <c r="D1955" s="13" t="str">
        <f ca="1">IFERROR(__xludf.DUMMYFUNCTION("""COMPUTED_VALUE"""),"&lt;ruby&gt;纳入&lt;rt&gt;nàrù&lt;/rt&gt;&lt;/ruby&gt;")</f>
        <v>&lt;ruby&gt;纳入&lt;rt&gt;nàrù&lt;/rt&gt;&lt;/ruby&gt;</v>
      </c>
      <c r="E1955" s="13" t="str">
        <f ca="1">IFERROR(__xludf.DUMMYFUNCTION("""COMPUTED_VALUE"""),"nàrù")</f>
        <v>nàrù</v>
      </c>
      <c r="F1955" s="13" t="str">
        <f ca="1">IFERROR(__xludf.DUMMYFUNCTION("""COMPUTED_VALUE"""),"Động từ")</f>
        <v>Động từ</v>
      </c>
      <c r="G1955" s="13" t="str">
        <f ca="1">IFERROR(__xludf.DUMMYFUNCTION("""COMPUTED_VALUE"""),"đưa vào ")</f>
        <v xml:space="preserve">đưa vào </v>
      </c>
      <c r="H1955" s="13" t="str">
        <f ca="1">IFERROR(__xludf.DUMMYFUNCTION("""COMPUTED_VALUE"""),"这项新技术将被纳入我们的生产流程，以提高效率。")</f>
        <v>这项新技术将被纳入我们的生产流程，以提高效率。</v>
      </c>
      <c r="I1955" s="13"/>
      <c r="J1955" s="13" t="str">
        <f ca="1">IFERROR(__xludf.DUMMYFUNCTION("""COMPUTED_VALUE"""),"Công nghệ mới này sẽ được đưa vào quy trình sản xuất của chúng tôi để nâng cao hiệu quả.")</f>
        <v>Công nghệ mới này sẽ được đưa vào quy trình sản xuất của chúng tôi để nâng cao hiệu quả.</v>
      </c>
      <c r="K1955" s="13" t="str">
        <f ca="1">IFERROR(__xludf.DUMMYFUNCTION("""COMPUTED_VALUE"""),"H5_B16_BG-25.png")</f>
        <v>H5_B16_BG-25.png</v>
      </c>
      <c r="L1955" s="13" t="str">
        <f ca="1">IFERROR(__xludf.DUMMYFUNCTION("""COMPUTED_VALUE"""),"B16_25.mp3")</f>
        <v>B16_25.mp3</v>
      </c>
      <c r="M1955" s="13" t="str">
        <f ca="1">IFERROR(__xludf.DUMMYFUNCTION("""COMPUTED_VALUE"""),"B16_VD_25.mp3")</f>
        <v>B16_VD_25.mp3</v>
      </c>
    </row>
    <row r="1956" spans="1:13">
      <c r="A1956" s="13">
        <f ca="1">IFERROR(__xludf.DUMMYFUNCTION("""COMPUTED_VALUE"""),26)</f>
        <v>26</v>
      </c>
      <c r="B1956" s="13"/>
      <c r="C1956" s="13" t="str">
        <f ca="1">IFERROR(__xludf.DUMMYFUNCTION("""COMPUTED_VALUE"""),"跟踪")</f>
        <v>跟踪</v>
      </c>
      <c r="D1956" s="13" t="str">
        <f ca="1">IFERROR(__xludf.DUMMYFUNCTION("""COMPUTED_VALUE"""),"&lt;ruby&gt;跟踪&lt;rt&gt;gēnzōng&lt;/rt&gt;&lt;/ruby&gt;")</f>
        <v>&lt;ruby&gt;跟踪&lt;rt&gt;gēnzōng&lt;/rt&gt;&lt;/ruby&gt;</v>
      </c>
      <c r="E1956" s="13" t="str">
        <f ca="1">IFERROR(__xludf.DUMMYFUNCTION("""COMPUTED_VALUE"""),"gēnzōng")</f>
        <v>gēnzōng</v>
      </c>
      <c r="F1956" s="13" t="str">
        <f ca="1">IFERROR(__xludf.DUMMYFUNCTION("""COMPUTED_VALUE"""),"Động từ")</f>
        <v>Động từ</v>
      </c>
      <c r="G1956" s="13" t="str">
        <f ca="1">IFERROR(__xludf.DUMMYFUNCTION("""COMPUTED_VALUE"""),"theo dõi, theo sát ")</f>
        <v xml:space="preserve">theo dõi, theo sát </v>
      </c>
      <c r="H1956" s="13" t="str">
        <f ca="1">IFERROR(__xludf.DUMMYFUNCTION("""COMPUTED_VALUE"""),"我们可以通过数据分析来跟踪项目的进展。")</f>
        <v>我们可以通过数据分析来跟踪项目的进展。</v>
      </c>
      <c r="I1956" s="13"/>
      <c r="J1956" s="13" t="str">
        <f ca="1">IFERROR(__xludf.DUMMYFUNCTION("""COMPUTED_VALUE"""),"Chúng ta có thể theo dõi tiến độ dự án thông qua phân tích dữ liệu.")</f>
        <v>Chúng ta có thể theo dõi tiến độ dự án thông qua phân tích dữ liệu.</v>
      </c>
      <c r="K1956" s="13" t="str">
        <f ca="1">IFERROR(__xludf.DUMMYFUNCTION("""COMPUTED_VALUE"""),"H5_B16_BG-26.png")</f>
        <v>H5_B16_BG-26.png</v>
      </c>
      <c r="L1956" s="13" t="str">
        <f ca="1">IFERROR(__xludf.DUMMYFUNCTION("""COMPUTED_VALUE"""),"B16_26.mp3")</f>
        <v>B16_26.mp3</v>
      </c>
      <c r="M1956" s="13" t="str">
        <f ca="1">IFERROR(__xludf.DUMMYFUNCTION("""COMPUTED_VALUE"""),"B16_VD_26.mp3")</f>
        <v>B16_VD_26.mp3</v>
      </c>
    </row>
    <row r="1957" spans="1:13">
      <c r="A1957" s="13">
        <f ca="1">IFERROR(__xludf.DUMMYFUNCTION("""COMPUTED_VALUE"""),27)</f>
        <v>27</v>
      </c>
      <c r="B1957" s="13"/>
      <c r="C1957" s="13" t="str">
        <f ca="1">IFERROR(__xludf.DUMMYFUNCTION("""COMPUTED_VALUE"""),"明显")</f>
        <v>明显</v>
      </c>
      <c r="D1957" s="13" t="str">
        <f ca="1">IFERROR(__xludf.DUMMYFUNCTION("""COMPUTED_VALUE"""),"&lt;ruby&gt;明显&lt;rt&gt;míngxiăn&lt;/rt&gt;&lt;/ruby&gt;")</f>
        <v>&lt;ruby&gt;明显&lt;rt&gt;míngxiăn&lt;/rt&gt;&lt;/ruby&gt;</v>
      </c>
      <c r="E1957" s="13" t="str">
        <f ca="1">IFERROR(__xludf.DUMMYFUNCTION("""COMPUTED_VALUE"""),"míngxiăn")</f>
        <v>míngxiăn</v>
      </c>
      <c r="F1957" s="13" t="str">
        <f ca="1">IFERROR(__xludf.DUMMYFUNCTION("""COMPUTED_VALUE"""),"Tính từ")</f>
        <v>Tính từ</v>
      </c>
      <c r="G1957" s="13" t="str">
        <f ca="1">IFERROR(__xludf.DUMMYFUNCTION("""COMPUTED_VALUE"""),"rõ ràng, nổi bật")</f>
        <v>rõ ràng, nổi bật</v>
      </c>
      <c r="H1957" s="13" t="str">
        <f ca="1">IFERROR(__xludf.DUMMYFUNCTION("""COMPUTED_VALUE"""),"天气变冷了，气温明显下降。")</f>
        <v>天气变冷了，气温明显下降。</v>
      </c>
      <c r="I1957" s="13"/>
      <c r="J1957" s="13" t="str">
        <f ca="1">IFERROR(__xludf.DUMMYFUNCTION("""COMPUTED_VALUE"""),"Thời tiết trở nên lạnh hơn, nhiệt độ giảm rõ rệt.")</f>
        <v>Thời tiết trở nên lạnh hơn, nhiệt độ giảm rõ rệt.</v>
      </c>
      <c r="K1957" s="13" t="str">
        <f ca="1">IFERROR(__xludf.DUMMYFUNCTION("""COMPUTED_VALUE"""),"H5_B16_BG-27.png")</f>
        <v>H5_B16_BG-27.png</v>
      </c>
      <c r="L1957" s="13" t="str">
        <f ca="1">IFERROR(__xludf.DUMMYFUNCTION("""COMPUTED_VALUE"""),"B16_27.mp3")</f>
        <v>B16_27.mp3</v>
      </c>
      <c r="M1957" s="13" t="str">
        <f ca="1">IFERROR(__xludf.DUMMYFUNCTION("""COMPUTED_VALUE"""),"B16_VD_27.mp3")</f>
        <v>B16_VD_27.mp3</v>
      </c>
    </row>
    <row r="1958" spans="1:13">
      <c r="A1958" s="13">
        <f ca="1">IFERROR(__xludf.DUMMYFUNCTION("""COMPUTED_VALUE"""),28)</f>
        <v>28</v>
      </c>
      <c r="B1958" s="13"/>
      <c r="C1958" s="13" t="str">
        <f ca="1">IFERROR(__xludf.DUMMYFUNCTION("""COMPUTED_VALUE"""),"趋势")</f>
        <v>趋势</v>
      </c>
      <c r="D1958" s="13" t="str">
        <f ca="1">IFERROR(__xludf.DUMMYFUNCTION("""COMPUTED_VALUE"""),"&lt;ruby&gt;趋势&lt;rt&gt;qūshì&lt;/rt&gt;&lt;/ruby&gt;")</f>
        <v>&lt;ruby&gt;趋势&lt;rt&gt;qūshì&lt;/rt&gt;&lt;/ruby&gt;</v>
      </c>
      <c r="E1958" s="13" t="str">
        <f ca="1">IFERROR(__xludf.DUMMYFUNCTION("""COMPUTED_VALUE"""),"qūshì")</f>
        <v>qūshì</v>
      </c>
      <c r="F1958" s="13" t="str">
        <f ca="1">IFERROR(__xludf.DUMMYFUNCTION("""COMPUTED_VALUE"""),"Danh từ")</f>
        <v>Danh từ</v>
      </c>
      <c r="G1958" s="13" t="str">
        <f ca="1">IFERROR(__xludf.DUMMYFUNCTION("""COMPUTED_VALUE"""),"xu hướng, chiều hướng")</f>
        <v>xu hướng, chiều hướng</v>
      </c>
      <c r="H1958" s="13" t="str">
        <f ca="1">IFERROR(__xludf.DUMMYFUNCTION("""COMPUTED_VALUE"""),"近年来，健康饮食的趋势越来越受到人们的关注。")</f>
        <v>近年来，健康饮食的趋势越来越受到人们的关注。</v>
      </c>
      <c r="I1958" s="13"/>
      <c r="J1958" s="13" t="str">
        <f ca="1">IFERROR(__xludf.DUMMYFUNCTION("""COMPUTED_VALUE"""),"Trong những năm gần đây, xu hướng ăn uống lành mạnh ngày càng được mọi người chú ý nhiều hơn.")</f>
        <v>Trong những năm gần đây, xu hướng ăn uống lành mạnh ngày càng được mọi người chú ý nhiều hơn.</v>
      </c>
      <c r="K1958" s="13" t="str">
        <f ca="1">IFERROR(__xludf.DUMMYFUNCTION("""COMPUTED_VALUE"""),"H5_B16_BG-28.png")</f>
        <v>H5_B16_BG-28.png</v>
      </c>
      <c r="L1958" s="13" t="str">
        <f ca="1">IFERROR(__xludf.DUMMYFUNCTION("""COMPUTED_VALUE"""),"B16_28.mp3")</f>
        <v>B16_28.mp3</v>
      </c>
      <c r="M1958" s="13" t="str">
        <f ca="1">IFERROR(__xludf.DUMMYFUNCTION("""COMPUTED_VALUE"""),"B16_VD_28.mp3")</f>
        <v>B16_VD_28.mp3</v>
      </c>
    </row>
    <row r="1959" spans="1:13">
      <c r="A1959" s="13">
        <f ca="1">IFERROR(__xludf.DUMMYFUNCTION("""COMPUTED_VALUE"""),29)</f>
        <v>29</v>
      </c>
      <c r="B1959" s="13"/>
      <c r="C1959" s="13" t="str">
        <f ca="1">IFERROR(__xludf.DUMMYFUNCTION("""COMPUTED_VALUE"""),"升")</f>
        <v>升</v>
      </c>
      <c r="D1959" s="13" t="str">
        <f ca="1">IFERROR(__xludf.DUMMYFUNCTION("""COMPUTED_VALUE"""),"&lt;ruby&gt;升&lt;rt&gt;shēng&lt;/rt&gt;&lt;/ruby&gt;")</f>
        <v>&lt;ruby&gt;升&lt;rt&gt;shēng&lt;/rt&gt;&lt;/ruby&gt;</v>
      </c>
      <c r="E1959" s="13" t="str">
        <f ca="1">IFERROR(__xludf.DUMMYFUNCTION("""COMPUTED_VALUE"""),"shēng")</f>
        <v>shēng</v>
      </c>
      <c r="F1959" s="13" t="str">
        <f ca="1">IFERROR(__xludf.DUMMYFUNCTION("""COMPUTED_VALUE"""),"Động từ")</f>
        <v>Động từ</v>
      </c>
      <c r="G1959" s="13" t="str">
        <f ca="1">IFERROR(__xludf.DUMMYFUNCTION("""COMPUTED_VALUE"""),"lên cao")</f>
        <v>lên cao</v>
      </c>
      <c r="H1959" s="13" t="str">
        <f ca="1">IFERROR(__xludf.DUMMYFUNCTION("""COMPUTED_VALUE"""),"把旗帜升起来。")</f>
        <v>把旗帜升起来。</v>
      </c>
      <c r="I1959" s="13"/>
      <c r="J1959" s="13" t="str">
        <f ca="1">IFERROR(__xludf.DUMMYFUNCTION("""COMPUTED_VALUE"""),"Treo cờ lên cao đi.")</f>
        <v>Treo cờ lên cao đi.</v>
      </c>
      <c r="K1959" s="13" t="str">
        <f ca="1">IFERROR(__xludf.DUMMYFUNCTION("""COMPUTED_VALUE"""),"H5_B16_BG-29.png")</f>
        <v>H5_B16_BG-29.png</v>
      </c>
      <c r="L1959" s="13" t="str">
        <f ca="1">IFERROR(__xludf.DUMMYFUNCTION("""COMPUTED_VALUE"""),"B16_29.mp3")</f>
        <v>B16_29.mp3</v>
      </c>
      <c r="M1959" s="13" t="str">
        <f ca="1">IFERROR(__xludf.DUMMYFUNCTION("""COMPUTED_VALUE"""),"B16_VD_29.mp3")</f>
        <v>B16_VD_29.mp3</v>
      </c>
    </row>
    <row r="1960" spans="1:13">
      <c r="A1960" s="13">
        <f ca="1">IFERROR(__xludf.DUMMYFUNCTION("""COMPUTED_VALUE"""),30)</f>
        <v>30</v>
      </c>
      <c r="B1960" s="13"/>
      <c r="C1960" s="13" t="str">
        <f ca="1">IFERROR(__xludf.DUMMYFUNCTION("""COMPUTED_VALUE"""),"相对")</f>
        <v>相对</v>
      </c>
      <c r="D1960" s="13" t="str">
        <f ca="1">IFERROR(__xludf.DUMMYFUNCTION("""COMPUTED_VALUE"""),"&lt;ruby&gt;相对&lt;rt&gt;xiāngduì&lt;/rt&gt;&lt;/ruby&gt;")</f>
        <v>&lt;ruby&gt;相对&lt;rt&gt;xiāngduì&lt;/rt&gt;&lt;/ruby&gt;</v>
      </c>
      <c r="E1960" s="13" t="str">
        <f ca="1">IFERROR(__xludf.DUMMYFUNCTION("""COMPUTED_VALUE"""),"xiāngduì")</f>
        <v>xiāngduì</v>
      </c>
      <c r="F1960" s="13" t="str">
        <f ca="1">IFERROR(__xludf.DUMMYFUNCTION("""COMPUTED_VALUE"""),"Tính từ")</f>
        <v>Tính từ</v>
      </c>
      <c r="G1960" s="13" t="str">
        <f ca="1">IFERROR(__xludf.DUMMYFUNCTION("""COMPUTED_VALUE"""),"tương đối ")</f>
        <v xml:space="preserve">tương đối </v>
      </c>
      <c r="H1960" s="13" t="str">
        <f ca="1">IFERROR(__xludf.DUMMYFUNCTION("""COMPUTED_VALUE"""),"今天的天气相对温暖。")</f>
        <v>今天的天气相对温暖。</v>
      </c>
      <c r="I1960" s="13"/>
      <c r="J1960" s="13" t="str">
        <f ca="1">IFERROR(__xludf.DUMMYFUNCTION("""COMPUTED_VALUE"""),"Thời tiết hôm nay tương đối ấm áp.")</f>
        <v>Thời tiết hôm nay tương đối ấm áp.</v>
      </c>
      <c r="K1960" s="13" t="str">
        <f ca="1">IFERROR(__xludf.DUMMYFUNCTION("""COMPUTED_VALUE"""),"H5_B16_BG-30.png")</f>
        <v>H5_B16_BG-30.png</v>
      </c>
      <c r="L1960" s="13" t="str">
        <f ca="1">IFERROR(__xludf.DUMMYFUNCTION("""COMPUTED_VALUE"""),"B16_30.mp3")</f>
        <v>B16_30.mp3</v>
      </c>
      <c r="M1960" s="13" t="str">
        <f ca="1">IFERROR(__xludf.DUMMYFUNCTION("""COMPUTED_VALUE"""),"B16_VD_30.mp3")</f>
        <v>B16_VD_30.mp3</v>
      </c>
    </row>
    <row r="1961" spans="1:13">
      <c r="A1961" s="13">
        <f ca="1">IFERROR(__xludf.DUMMYFUNCTION("""COMPUTED_VALUE"""),31)</f>
        <v>31</v>
      </c>
      <c r="B1961" s="13"/>
      <c r="C1961" s="13" t="str">
        <f ca="1">IFERROR(__xludf.DUMMYFUNCTION("""COMPUTED_VALUE"""),"节食")</f>
        <v>节食</v>
      </c>
      <c r="D1961" s="13" t="str">
        <f ca="1">IFERROR(__xludf.DUMMYFUNCTION("""COMPUTED_VALUE"""),"&lt;ruby&gt;节食&lt;rt&gt;jiéshí&lt;/rt&gt;&lt;/ruby&gt;")</f>
        <v>&lt;ruby&gt;节食&lt;rt&gt;jiéshí&lt;/rt&gt;&lt;/ruby&gt;</v>
      </c>
      <c r="E1961" s="13" t="str">
        <f ca="1">IFERROR(__xludf.DUMMYFUNCTION("""COMPUTED_VALUE"""),"jiéshí")</f>
        <v>jiéshí</v>
      </c>
      <c r="F1961" s="13" t="str">
        <f ca="1">IFERROR(__xludf.DUMMYFUNCTION("""COMPUTED_VALUE"""),"Động từ")</f>
        <v>Động từ</v>
      </c>
      <c r="G1961" s="13" t="str">
        <f ca="1">IFERROR(__xludf.DUMMYFUNCTION("""COMPUTED_VALUE"""),"ăn kiêng")</f>
        <v>ăn kiêng</v>
      </c>
      <c r="H1961" s="13" t="str">
        <f ca="1">IFERROR(__xludf.DUMMYFUNCTION("""COMPUTED_VALUE"""),"她最近开始节食，已经减掉了几公斤。")</f>
        <v>她最近开始节食，已经减掉了几公斤。</v>
      </c>
      <c r="I1961" s="13"/>
      <c r="J1961" s="13" t="str">
        <f ca="1">IFERROR(__xludf.DUMMYFUNCTION("""COMPUTED_VALUE"""),"Cô ấy gần đây đã bắt đầu ăn kiêng và đã giảm được vài kilogram.")</f>
        <v>Cô ấy gần đây đã bắt đầu ăn kiêng và đã giảm được vài kilogram.</v>
      </c>
      <c r="K1961" s="13" t="str">
        <f ca="1">IFERROR(__xludf.DUMMYFUNCTION("""COMPUTED_VALUE"""),"H5_B16_BG-31.png")</f>
        <v>H5_B16_BG-31.png</v>
      </c>
      <c r="L1961" s="13" t="str">
        <f ca="1">IFERROR(__xludf.DUMMYFUNCTION("""COMPUTED_VALUE"""),"B16_31.mp3")</f>
        <v>B16_31.mp3</v>
      </c>
      <c r="M1961" s="13" t="str">
        <f ca="1">IFERROR(__xludf.DUMMYFUNCTION("""COMPUTED_VALUE"""),"B16_VD_31.mp3")</f>
        <v>B16_VD_31.mp3</v>
      </c>
    </row>
    <row r="1962" spans="1:13">
      <c r="A1962" s="13">
        <f ca="1">IFERROR(__xludf.DUMMYFUNCTION("""COMPUTED_VALUE"""),32)</f>
        <v>32</v>
      </c>
      <c r="B1962" s="13"/>
      <c r="C1962" s="13" t="str">
        <f ca="1">IFERROR(__xludf.DUMMYFUNCTION("""COMPUTED_VALUE"""),"苗条")</f>
        <v>苗条</v>
      </c>
      <c r="D1962" s="13" t="str">
        <f ca="1">IFERROR(__xludf.DUMMYFUNCTION("""COMPUTED_VALUE"""),"&lt;ruby&gt;苗条&lt;rt&gt;miáotiáo&lt;/rt&gt;&lt;/ruby&gt;")</f>
        <v>&lt;ruby&gt;苗条&lt;rt&gt;miáotiáo&lt;/rt&gt;&lt;/ruby&gt;</v>
      </c>
      <c r="E1962" s="13" t="str">
        <f ca="1">IFERROR(__xludf.DUMMYFUNCTION("""COMPUTED_VALUE"""),"miáotiáo")</f>
        <v>miáotiáo</v>
      </c>
      <c r="F1962" s="13" t="str">
        <f ca="1">IFERROR(__xludf.DUMMYFUNCTION("""COMPUTED_VALUE"""),"Tính từ")</f>
        <v>Tính từ</v>
      </c>
      <c r="G1962" s="13" t="str">
        <f ca="1">IFERROR(__xludf.DUMMYFUNCTION("""COMPUTED_VALUE"""),"thon thả, mảnh khảnh")</f>
        <v>thon thả, mảnh khảnh</v>
      </c>
      <c r="H1962" s="13" t="str">
        <f ca="1">IFERROR(__xludf.DUMMYFUNCTION("""COMPUTED_VALUE"""),"她的身材很苗条，穿什么都很漂亮。")</f>
        <v>她的身材很苗条，穿什么都很漂亮。</v>
      </c>
      <c r="I1962" s="13"/>
      <c r="J1962" s="13" t="str">
        <f ca="1">IFERROR(__xludf.DUMMYFUNCTION("""COMPUTED_VALUE"""),"Dáng vóc của cô ấy rất thon thả, mặc gì cũng đều rất đẹp.")</f>
        <v>Dáng vóc của cô ấy rất thon thả, mặc gì cũng đều rất đẹp.</v>
      </c>
      <c r="K1962" s="13" t="str">
        <f ca="1">IFERROR(__xludf.DUMMYFUNCTION("""COMPUTED_VALUE"""),"H5_B16_BG-32.png")</f>
        <v>H5_B16_BG-32.png</v>
      </c>
      <c r="L1962" s="13" t="str">
        <f ca="1">IFERROR(__xludf.DUMMYFUNCTION("""COMPUTED_VALUE"""),"B16_32.mp3")</f>
        <v>B16_32.mp3</v>
      </c>
      <c r="M1962" s="13" t="str">
        <f ca="1">IFERROR(__xludf.DUMMYFUNCTION("""COMPUTED_VALUE"""),"B16_VD_32.mp3")</f>
        <v>B16_VD_32.mp3</v>
      </c>
    </row>
    <row r="1963" spans="1:13">
      <c r="A1963" s="13">
        <f ca="1">IFERROR(__xludf.DUMMYFUNCTION("""COMPUTED_VALUE"""),33)</f>
        <v>33</v>
      </c>
      <c r="B1963" s="13"/>
      <c r="C1963" s="13" t="str">
        <f ca="1">IFERROR(__xludf.DUMMYFUNCTION("""COMPUTED_VALUE"""),"营养")</f>
        <v>营养</v>
      </c>
      <c r="D1963" s="13" t="str">
        <f ca="1">IFERROR(__xludf.DUMMYFUNCTION("""COMPUTED_VALUE"""),"&lt;ruby&gt;营养&lt;rt&gt;yíngyǎng&lt;/rt&gt;&lt;/ruby&gt;")</f>
        <v>&lt;ruby&gt;营养&lt;rt&gt;yíngyǎng&lt;/rt&gt;&lt;/ruby&gt;</v>
      </c>
      <c r="E1963" s="13" t="str">
        <f ca="1">IFERROR(__xludf.DUMMYFUNCTION("""COMPUTED_VALUE"""),"yíngyǎng")</f>
        <v>yíngyǎng</v>
      </c>
      <c r="F1963" s="13" t="str">
        <f ca="1">IFERROR(__xludf.DUMMYFUNCTION("""COMPUTED_VALUE"""),"Danh từ")</f>
        <v>Danh từ</v>
      </c>
      <c r="G1963" s="13" t="str">
        <f ca="1">IFERROR(__xludf.DUMMYFUNCTION("""COMPUTED_VALUE"""),"chất dinh dưỡng")</f>
        <v>chất dinh dưỡng</v>
      </c>
      <c r="H1963" s="13" t="str">
        <f ca="1">IFERROR(__xludf.DUMMYFUNCTION("""COMPUTED_VALUE"""),"水果含有丰富的营养，对身体有益。")</f>
        <v>水果含有丰富的营养，对身体有益。</v>
      </c>
      <c r="I1963" s="13"/>
      <c r="J1963" s="13" t="str">
        <f ca="1">IFERROR(__xludf.DUMMYFUNCTION("""COMPUTED_VALUE"""),"Trái cây chứa nhiều chất dinh dưỡng, có lợi cho cơ thể.")</f>
        <v>Trái cây chứa nhiều chất dinh dưỡng, có lợi cho cơ thể.</v>
      </c>
      <c r="K1963" s="13" t="str">
        <f ca="1">IFERROR(__xludf.DUMMYFUNCTION("""COMPUTED_VALUE"""),"H5_B16_BG-33.png")</f>
        <v>H5_B16_BG-33.png</v>
      </c>
      <c r="L1963" s="13" t="str">
        <f ca="1">IFERROR(__xludf.DUMMYFUNCTION("""COMPUTED_VALUE"""),"B16_33.mp3")</f>
        <v>B16_33.mp3</v>
      </c>
      <c r="M1963" s="13" t="str">
        <f ca="1">IFERROR(__xludf.DUMMYFUNCTION("""COMPUTED_VALUE"""),"B16_VD_33.mp3")</f>
        <v>B16_VD_33.mp3</v>
      </c>
    </row>
    <row r="1964" spans="1:13">
      <c r="A1964" s="13">
        <f ca="1">IFERROR(__xludf.DUMMYFUNCTION("""COMPUTED_VALUE"""),34)</f>
        <v>34</v>
      </c>
      <c r="B1964" s="13"/>
      <c r="C1964" s="13" t="str">
        <f ca="1">IFERROR(__xludf.DUMMYFUNCTION("""COMPUTED_VALUE"""),"摄入")</f>
        <v>摄入</v>
      </c>
      <c r="D1964" s="13" t="str">
        <f ca="1">IFERROR(__xludf.DUMMYFUNCTION("""COMPUTED_VALUE"""),"&lt;ruby&gt;摄入&lt;rt&gt;shè rù&lt;/rt&gt;&lt;/ruby&gt;")</f>
        <v>&lt;ruby&gt;摄入&lt;rt&gt;shè rù&lt;/rt&gt;&lt;/ruby&gt;</v>
      </c>
      <c r="E1964" s="13" t="str">
        <f ca="1">IFERROR(__xludf.DUMMYFUNCTION("""COMPUTED_VALUE"""),"shè rù")</f>
        <v>shè rù</v>
      </c>
      <c r="F1964" s="13" t="str">
        <f ca="1">IFERROR(__xludf.DUMMYFUNCTION("""COMPUTED_VALUE"""),"Động từ")</f>
        <v>Động từ</v>
      </c>
      <c r="G1964" s="13" t="str">
        <f ca="1">IFERROR(__xludf.DUMMYFUNCTION("""COMPUTED_VALUE"""),"hấp thu ")</f>
        <v xml:space="preserve">hấp thu </v>
      </c>
      <c r="H1964" s="13" t="str">
        <f ca="1">IFERROR(__xludf.DUMMYFUNCTION("""COMPUTED_VALUE"""),"每天摄入足够的水分对身体健康很重要。")</f>
        <v>每天摄入足够的水分对身体健康很重要。</v>
      </c>
      <c r="I1964" s="13"/>
      <c r="J1964" s="13" t="str">
        <f ca="1">IFERROR(__xludf.DUMMYFUNCTION("""COMPUTED_VALUE"""),"Việc hấp thu đủ nước mỗi ngày rất quan trọng đối với sức khỏe cơ thể.")</f>
        <v>Việc hấp thu đủ nước mỗi ngày rất quan trọng đối với sức khỏe cơ thể.</v>
      </c>
      <c r="K1964" s="13" t="str">
        <f ca="1">IFERROR(__xludf.DUMMYFUNCTION("""COMPUTED_VALUE"""),"H5_B16_BG-34.png")</f>
        <v>H5_B16_BG-34.png</v>
      </c>
      <c r="L1964" s="13" t="str">
        <f ca="1">IFERROR(__xludf.DUMMYFUNCTION("""COMPUTED_VALUE"""),"B16_34.mp3")</f>
        <v>B16_34.mp3</v>
      </c>
      <c r="M1964" s="13" t="str">
        <f ca="1">IFERROR(__xludf.DUMMYFUNCTION("""COMPUTED_VALUE"""),"B16_VD_34.mp3")</f>
        <v>B16_VD_34.mp3</v>
      </c>
    </row>
    <row r="1965" spans="1:13">
      <c r="A1965" s="13">
        <f ca="1">IFERROR(__xludf.DUMMYFUNCTION("""COMPUTED_VALUE"""),35)</f>
        <v>35</v>
      </c>
      <c r="B1965" s="13"/>
      <c r="C1965" s="13" t="str">
        <f ca="1">IFERROR(__xludf.DUMMYFUNCTION("""COMPUTED_VALUE"""),"波动")</f>
        <v>波动</v>
      </c>
      <c r="D1965" s="13" t="str">
        <f ca="1">IFERROR(__xludf.DUMMYFUNCTION("""COMPUTED_VALUE"""),"&lt;ruby&gt;波动&lt;rt&gt;bōdòng&lt;/rt&gt;&lt;/ruby&gt;")</f>
        <v>&lt;ruby&gt;波动&lt;rt&gt;bōdòng&lt;/rt&gt;&lt;/ruby&gt;</v>
      </c>
      <c r="E1965" s="13" t="str">
        <f ca="1">IFERROR(__xludf.DUMMYFUNCTION("""COMPUTED_VALUE"""),"bōdòng")</f>
        <v>bōdòng</v>
      </c>
      <c r="F1965" s="13" t="str">
        <f ca="1">IFERROR(__xludf.DUMMYFUNCTION("""COMPUTED_VALUE"""),"Động từ")</f>
        <v>Động từ</v>
      </c>
      <c r="G1965" s="13" t="str">
        <f ca="1">IFERROR(__xludf.DUMMYFUNCTION("""COMPUTED_VALUE"""),"dao động, nhấp nhô ")</f>
        <v xml:space="preserve">dao động, nhấp nhô </v>
      </c>
      <c r="H1965" s="13" t="str">
        <f ca="1">IFERROR(__xludf.DUMMYFUNCTION("""COMPUTED_VALUE"""),"这个城市的房价波动很大，购房者需要小心。")</f>
        <v>这个城市的房价波动很大，购房者需要小心。</v>
      </c>
      <c r="I1965" s="13"/>
      <c r="J1965" s="13" t="str">
        <f ca="1">IFERROR(__xludf.DUMMYFUNCTION("""COMPUTED_VALUE"""),"Giá nhà ở thành phố này dao động rất lớn, những người mua nhà cần phải thận trọng.")</f>
        <v>Giá nhà ở thành phố này dao động rất lớn, những người mua nhà cần phải thận trọng.</v>
      </c>
      <c r="K1965" s="13" t="str">
        <f ca="1">IFERROR(__xludf.DUMMYFUNCTION("""COMPUTED_VALUE"""),"H5_B16_BG-35.png")</f>
        <v>H5_B16_BG-35.png</v>
      </c>
      <c r="L1965" s="13" t="str">
        <f ca="1">IFERROR(__xludf.DUMMYFUNCTION("""COMPUTED_VALUE"""),"B16_35.mp3")</f>
        <v>B16_35.mp3</v>
      </c>
      <c r="M1965" s="13" t="str">
        <f ca="1">IFERROR(__xludf.DUMMYFUNCTION("""COMPUTED_VALUE"""),"B16_VD_35.mp3")</f>
        <v>B16_VD_35.mp3</v>
      </c>
    </row>
    <row r="1966" spans="1:13">
      <c r="A1966" s="13">
        <f ca="1">IFERROR(__xludf.DUMMYFUNCTION("""COMPUTED_VALUE"""),36)</f>
        <v>36</v>
      </c>
      <c r="B1966" s="13"/>
      <c r="C1966" s="13" t="str">
        <f ca="1">IFERROR(__xludf.DUMMYFUNCTION("""COMPUTED_VALUE"""),"类型")</f>
        <v>类型</v>
      </c>
      <c r="D1966" s="13" t="str">
        <f ca="1">IFERROR(__xludf.DUMMYFUNCTION("""COMPUTED_VALUE"""),"&lt;ruby&gt;类型&lt;rt&gt;lèixíng&lt;/rt&gt;&lt;/ruby&gt;")</f>
        <v>&lt;ruby&gt;类型&lt;rt&gt;lèixíng&lt;/rt&gt;&lt;/ruby&gt;</v>
      </c>
      <c r="E1966" s="13" t="str">
        <f ca="1">IFERROR(__xludf.DUMMYFUNCTION("""COMPUTED_VALUE"""),"lèixíng")</f>
        <v>lèixíng</v>
      </c>
      <c r="F1966" s="13" t="str">
        <f ca="1">IFERROR(__xludf.DUMMYFUNCTION("""COMPUTED_VALUE"""),"Danh từ")</f>
        <v>Danh từ</v>
      </c>
      <c r="G1966" s="13" t="str">
        <f ca="1">IFERROR(__xludf.DUMMYFUNCTION("""COMPUTED_VALUE"""),"loại ")</f>
        <v xml:space="preserve">loại </v>
      </c>
      <c r="H1966" s="13" t="str">
        <f ca="1">IFERROR(__xludf.DUMMYFUNCTION("""COMPUTED_VALUE"""),"这家店有很多不同类型的商品。")</f>
        <v>这家店有很多不同类型的商品。</v>
      </c>
      <c r="I1966" s="13"/>
      <c r="J1966" s="13" t="str">
        <f ca="1">IFERROR(__xludf.DUMMYFUNCTION("""COMPUTED_VALUE"""),"Cửa hàng này có rất nhiều loại sản phẩm khác nhau.")</f>
        <v>Cửa hàng này có rất nhiều loại sản phẩm khác nhau.</v>
      </c>
      <c r="K1966" s="13" t="str">
        <f ca="1">IFERROR(__xludf.DUMMYFUNCTION("""COMPUTED_VALUE"""),"H5_B16_BG-36.png")</f>
        <v>H5_B16_BG-36.png</v>
      </c>
      <c r="L1966" s="13" t="str">
        <f ca="1">IFERROR(__xludf.DUMMYFUNCTION("""COMPUTED_VALUE"""),"B16_36.mp3")</f>
        <v>B16_36.mp3</v>
      </c>
      <c r="M1966" s="13" t="str">
        <f ca="1">IFERROR(__xludf.DUMMYFUNCTION("""COMPUTED_VALUE"""),"B16_VD_36.mp3")</f>
        <v>B16_VD_36.mp3</v>
      </c>
    </row>
    <row r="1967" spans="1:13">
      <c r="A1967" s="13">
        <f ca="1">IFERROR(__xludf.DUMMYFUNCTION("""COMPUTED_VALUE"""),37)</f>
        <v>37</v>
      </c>
      <c r="B1967" s="13"/>
      <c r="C1967" s="13" t="str">
        <f ca="1">IFERROR(__xludf.DUMMYFUNCTION("""COMPUTED_VALUE"""),"清晰")</f>
        <v>清晰</v>
      </c>
      <c r="D1967" s="13" t="str">
        <f ca="1">IFERROR(__xludf.DUMMYFUNCTION("""COMPUTED_VALUE"""),"&lt;ruby&gt;清晰&lt;rt&gt;qīngxī&lt;/rt&gt;&lt;/ruby&gt;")</f>
        <v>&lt;ruby&gt;清晰&lt;rt&gt;qīngxī&lt;/rt&gt;&lt;/ruby&gt;</v>
      </c>
      <c r="E1967" s="13" t="str">
        <f ca="1">IFERROR(__xludf.DUMMYFUNCTION("""COMPUTED_VALUE"""),"qīngxī")</f>
        <v>qīngxī</v>
      </c>
      <c r="F1967" s="13" t="str">
        <f ca="1">IFERROR(__xludf.DUMMYFUNCTION("""COMPUTED_VALUE"""),"Tính từ")</f>
        <v>Tính từ</v>
      </c>
      <c r="G1967" s="13" t="str">
        <f ca="1">IFERROR(__xludf.DUMMYFUNCTION("""COMPUTED_VALUE"""),"rõ ràng, rõ rệt ")</f>
        <v xml:space="preserve">rõ ràng, rõ rệt </v>
      </c>
      <c r="H1967" s="13" t="str">
        <f ca="1">IFERROR(__xludf.DUMMYFUNCTION("""COMPUTED_VALUE"""),"通过这张地图，我们可以清晰地找到目的地。")</f>
        <v>通过这张地图，我们可以清晰地找到目的地。</v>
      </c>
      <c r="I1967" s="13"/>
      <c r="J1967" s="13" t="str">
        <f ca="1">IFERROR(__xludf.DUMMYFUNCTION("""COMPUTED_VALUE"""),"Thông qua bản đồ này, chúng ta có thể tìm thấy đích đến một cách rõ ràng.")</f>
        <v>Thông qua bản đồ này, chúng ta có thể tìm thấy đích đến một cách rõ ràng.</v>
      </c>
      <c r="K1967" s="13" t="str">
        <f ca="1">IFERROR(__xludf.DUMMYFUNCTION("""COMPUTED_VALUE"""),"H5_B16_BG-37.png")</f>
        <v>H5_B16_BG-37.png</v>
      </c>
      <c r="L1967" s="13" t="str">
        <f ca="1">IFERROR(__xludf.DUMMYFUNCTION("""COMPUTED_VALUE"""),"B16_37.mp3")</f>
        <v>B16_37.mp3</v>
      </c>
      <c r="M1967" s="13" t="str">
        <f ca="1">IFERROR(__xludf.DUMMYFUNCTION("""COMPUTED_VALUE"""),"B16_VD_37.mp3")</f>
        <v>B16_VD_37.mp3</v>
      </c>
    </row>
    <row r="1968" spans="1:13">
      <c r="A1968" s="13">
        <f ca="1">IFERROR(__xludf.DUMMYFUNCTION("""COMPUTED_VALUE"""),38)</f>
        <v>38</v>
      </c>
      <c r="B1968" s="13"/>
      <c r="C1968" s="13" t="str">
        <f ca="1">IFERROR(__xludf.DUMMYFUNCTION("""COMPUTED_VALUE"""),"补偿")</f>
        <v>补偿</v>
      </c>
      <c r="D1968" s="13" t="str">
        <f ca="1">IFERROR(__xludf.DUMMYFUNCTION("""COMPUTED_VALUE"""),"&lt;ruby&gt;补偿&lt;rt&gt;bǔcháng&lt;/rt&gt;&lt;/ruby&gt;")</f>
        <v>&lt;ruby&gt;补偿&lt;rt&gt;bǔcháng&lt;/rt&gt;&lt;/ruby&gt;</v>
      </c>
      <c r="E1968" s="13" t="str">
        <f ca="1">IFERROR(__xludf.DUMMYFUNCTION("""COMPUTED_VALUE"""),"bǔcháng")</f>
        <v>bǔcháng</v>
      </c>
      <c r="F1968" s="13" t="str">
        <f ca="1">IFERROR(__xludf.DUMMYFUNCTION("""COMPUTED_VALUE"""),"Động từ")</f>
        <v>Động từ</v>
      </c>
      <c r="G1968" s="13" t="str">
        <f ca="1">IFERROR(__xludf.DUMMYFUNCTION("""COMPUTED_VALUE"""),"đền bù, bổ khuyết")</f>
        <v>đền bù, bổ khuyết</v>
      </c>
      <c r="H1968" s="13" t="str">
        <f ca="1">IFERROR(__xludf.DUMMYFUNCTION("""COMPUTED_VALUE"""),"这次旅行的美景已经补偿了我们路上的辛苦。")</f>
        <v>这次旅行的美景已经补偿了我们路上的辛苦。</v>
      </c>
      <c r="I1968" s="13"/>
      <c r="J1968" s="13" t="str">
        <f ca="1">IFERROR(__xludf.DUMMYFUNCTION("""COMPUTED_VALUE"""),"Phong cảnh tuyệt đẹp trong chuyến đi này đã bù đắp cho những vất vả trên đường.")</f>
        <v>Phong cảnh tuyệt đẹp trong chuyến đi này đã bù đắp cho những vất vả trên đường.</v>
      </c>
      <c r="K1968" s="13" t="str">
        <f ca="1">IFERROR(__xludf.DUMMYFUNCTION("""COMPUTED_VALUE"""),"H5_B16_BG-38.png")</f>
        <v>H5_B16_BG-38.png</v>
      </c>
      <c r="L1968" s="13" t="str">
        <f ca="1">IFERROR(__xludf.DUMMYFUNCTION("""COMPUTED_VALUE"""),"B16_38.mp3")</f>
        <v>B16_38.mp3</v>
      </c>
      <c r="M1968" s="13" t="str">
        <f ca="1">IFERROR(__xludf.DUMMYFUNCTION("""COMPUTED_VALUE"""),"B16_VD_38.mp3")</f>
        <v>B16_VD_38.mp3</v>
      </c>
    </row>
    <row r="1969" spans="1:13">
      <c r="A1969" s="13">
        <f ca="1">IFERROR(__xludf.DUMMYFUNCTION("""COMPUTED_VALUE"""),39)</f>
        <v>39</v>
      </c>
      <c r="B1969" s="13"/>
      <c r="C1969" s="13" t="str">
        <f ca="1">IFERROR(__xludf.DUMMYFUNCTION("""COMPUTED_VALUE"""),"就餐")</f>
        <v>就餐</v>
      </c>
      <c r="D1969" s="13" t="str">
        <f ca="1">IFERROR(__xludf.DUMMYFUNCTION("""COMPUTED_VALUE"""),"&lt;ruby&gt;就餐&lt;rt&gt;jiùcān&lt;/rt&gt;&lt;/ruby&gt;")</f>
        <v>&lt;ruby&gt;就餐&lt;rt&gt;jiùcān&lt;/rt&gt;&lt;/ruby&gt;</v>
      </c>
      <c r="E1969" s="13" t="str">
        <f ca="1">IFERROR(__xludf.DUMMYFUNCTION("""COMPUTED_VALUE"""),"jiùcān")</f>
        <v>jiùcān</v>
      </c>
      <c r="F1969" s="13" t="str">
        <f ca="1">IFERROR(__xludf.DUMMYFUNCTION("""COMPUTED_VALUE"""),"Động từ")</f>
        <v>Động từ</v>
      </c>
      <c r="G1969" s="13" t="str">
        <f ca="1">IFERROR(__xludf.DUMMYFUNCTION("""COMPUTED_VALUE"""),"đi ăn ")</f>
        <v xml:space="preserve">đi ăn </v>
      </c>
      <c r="H1969" s="13" t="str">
        <f ca="1">IFERROR(__xludf.DUMMYFUNCTION("""COMPUTED_VALUE"""),"我们在一家日本餐厅就餐，食物非常美味。")</f>
        <v>我们在一家日本餐厅就餐，食物非常美味。</v>
      </c>
      <c r="I1969" s="13"/>
      <c r="J1969" s="13" t="str">
        <f ca="1">IFERROR(__xludf.DUMMYFUNCTION("""COMPUTED_VALUE"""),"Chúng tôi đi ăn tại nhà hàng Nhật Bản, đồ ăn rất ngon.")</f>
        <v>Chúng tôi đi ăn tại nhà hàng Nhật Bản, đồ ăn rất ngon.</v>
      </c>
      <c r="K1969" s="13" t="str">
        <f ca="1">IFERROR(__xludf.DUMMYFUNCTION("""COMPUTED_VALUE"""),"H5_B16_BG-39.png")</f>
        <v>H5_B16_BG-39.png</v>
      </c>
      <c r="L1969" s="13" t="str">
        <f ca="1">IFERROR(__xludf.DUMMYFUNCTION("""COMPUTED_VALUE"""),"B16_39.mp3")</f>
        <v>B16_39.mp3</v>
      </c>
      <c r="M1969" s="13" t="str">
        <f ca="1">IFERROR(__xludf.DUMMYFUNCTION("""COMPUTED_VALUE"""),"B16_VD_39.mp3")</f>
        <v>B16_VD_39.mp3</v>
      </c>
    </row>
    <row r="1970" spans="1:13">
      <c r="A1970" s="13">
        <f ca="1">IFERROR(__xludf.DUMMYFUNCTION("""COMPUTED_VALUE"""),40)</f>
        <v>40</v>
      </c>
      <c r="B1970" s="13"/>
      <c r="C1970" s="13" t="str">
        <f ca="1">IFERROR(__xludf.DUMMYFUNCTION("""COMPUTED_VALUE"""),"放纵")</f>
        <v>放纵</v>
      </c>
      <c r="D1970" s="13" t="str">
        <f ca="1">IFERROR(__xludf.DUMMYFUNCTION("""COMPUTED_VALUE"""),"&lt;ruby&gt;放纵&lt;rt&gt;fàngzòng&lt;/rt&gt;&lt;/ruby&gt;")</f>
        <v>&lt;ruby&gt;放纵&lt;rt&gt;fàngzòng&lt;/rt&gt;&lt;/ruby&gt;</v>
      </c>
      <c r="E1970" s="13" t="str">
        <f ca="1">IFERROR(__xludf.DUMMYFUNCTION("""COMPUTED_VALUE"""),"fàngzòng")</f>
        <v>fàngzòng</v>
      </c>
      <c r="F1970" s="13" t="str">
        <f ca="1">IFERROR(__xludf.DUMMYFUNCTION("""COMPUTED_VALUE"""),"Động từ")</f>
        <v>Động từ</v>
      </c>
      <c r="G1970" s="13" t="str">
        <f ca="1">IFERROR(__xludf.DUMMYFUNCTION("""COMPUTED_VALUE"""),"buông thả, không kiểm soát")</f>
        <v>buông thả, không kiểm soát</v>
      </c>
      <c r="H1970" s="13" t="str">
        <f ca="1">IFERROR(__xludf.DUMMYFUNCTION("""COMPUTED_VALUE"""),"他常常放纵自己，做一些对身体不好不健康的事情。")</f>
        <v>他常常放纵自己，做一些对身体不好不健康的事情。</v>
      </c>
      <c r="I1970" s="13"/>
      <c r="J1970" s="13" t="str">
        <f ca="1">IFERROR(__xludf.DUMMYFUNCTION("""COMPUTED_VALUE"""),"Anh ấy thường xuyên buông thả bản thân, làm những điều không tốt cho sức khỏe.")</f>
        <v>Anh ấy thường xuyên buông thả bản thân, làm những điều không tốt cho sức khỏe.</v>
      </c>
      <c r="K1970" s="13" t="str">
        <f ca="1">IFERROR(__xludf.DUMMYFUNCTION("""COMPUTED_VALUE"""),"H5_B16_BG-40.png")</f>
        <v>H5_B16_BG-40.png</v>
      </c>
      <c r="L1970" s="13" t="str">
        <f ca="1">IFERROR(__xludf.DUMMYFUNCTION("""COMPUTED_VALUE"""),"B16_40.mp3")</f>
        <v>B16_40.mp3</v>
      </c>
      <c r="M1970" s="13" t="str">
        <f ca="1">IFERROR(__xludf.DUMMYFUNCTION("""COMPUTED_VALUE"""),"B16_VD_40.mp3")</f>
        <v>B16_VD_40.mp3</v>
      </c>
    </row>
    <row r="1971" spans="1:13">
      <c r="A1971" s="13">
        <f ca="1">IFERROR(__xludf.DUMMYFUNCTION("""COMPUTED_VALUE"""),41)</f>
        <v>41</v>
      </c>
      <c r="B1971" s="13"/>
      <c r="C1971" s="13" t="str">
        <f ca="1">IFERROR(__xludf.DUMMYFUNCTION("""COMPUTED_VALUE"""),"称")</f>
        <v>称</v>
      </c>
      <c r="D1971" s="13" t="str">
        <f ca="1">IFERROR(__xludf.DUMMYFUNCTION("""COMPUTED_VALUE"""),"&lt;ruby&gt;称&lt;rt&gt;chēng&lt;/rt&gt;&lt;/ruby&gt;")</f>
        <v>&lt;ruby&gt;称&lt;rt&gt;chēng&lt;/rt&gt;&lt;/ruby&gt;</v>
      </c>
      <c r="E1971" s="13" t="str">
        <f ca="1">IFERROR(__xludf.DUMMYFUNCTION("""COMPUTED_VALUE"""),"chēng")</f>
        <v>chēng</v>
      </c>
      <c r="F1971" s="13" t="str">
        <f ca="1">IFERROR(__xludf.DUMMYFUNCTION("""COMPUTED_VALUE"""),"Động từ")</f>
        <v>Động từ</v>
      </c>
      <c r="G1971" s="13" t="str">
        <f ca="1">IFERROR(__xludf.DUMMYFUNCTION("""COMPUTED_VALUE"""),"cân")</f>
        <v>cân</v>
      </c>
      <c r="H1971" s="13" t="str">
        <f ca="1">IFERROR(__xludf.DUMMYFUNCTION("""COMPUTED_VALUE"""),"她称了体重，发现自己增加了体重。")</f>
        <v>她称了体重，发现自己增加了体重。</v>
      </c>
      <c r="I1971" s="13"/>
      <c r="J1971" s="13" t="str">
        <f ca="1">IFERROR(__xludf.DUMMYFUNCTION("""COMPUTED_VALUE"""),"Cô ấy cân trọng lượng của mình và phát hiện ra mình đã bị tăng cân.")</f>
        <v>Cô ấy cân trọng lượng của mình và phát hiện ra mình đã bị tăng cân.</v>
      </c>
      <c r="K1971" s="13" t="str">
        <f ca="1">IFERROR(__xludf.DUMMYFUNCTION("""COMPUTED_VALUE"""),"H5_B16_BG-41.png")</f>
        <v>H5_B16_BG-41.png</v>
      </c>
      <c r="L1971" s="13" t="str">
        <f ca="1">IFERROR(__xludf.DUMMYFUNCTION("""COMPUTED_VALUE"""),"B16_41.mp3")</f>
        <v>B16_41.mp3</v>
      </c>
      <c r="M1971" s="13" t="str">
        <f ca="1">IFERROR(__xludf.DUMMYFUNCTION("""COMPUTED_VALUE"""),"B16_VD_41.mp3")</f>
        <v>B16_VD_41.mp3</v>
      </c>
    </row>
    <row r="1972" spans="1:13">
      <c r="A1972" s="13">
        <f ca="1">IFERROR(__xludf.DUMMYFUNCTION("""COMPUTED_VALUE"""),1)</f>
        <v>1</v>
      </c>
      <c r="B1972" s="13"/>
      <c r="C1972" s="13" t="str">
        <f ca="1">IFERROR(__xludf.DUMMYFUNCTION("""COMPUTED_VALUE"""),"服装")</f>
        <v>服装</v>
      </c>
      <c r="D1972" s="13" t="str">
        <f ca="1">IFERROR(__xludf.DUMMYFUNCTION("""COMPUTED_VALUE"""),"&lt;ruby&gt;服装&lt;rt&gt;fúzhuāng&lt;/rt&gt;&lt;/ruby&gt;")</f>
        <v>&lt;ruby&gt;服装&lt;rt&gt;fúzhuāng&lt;/rt&gt;&lt;/ruby&gt;</v>
      </c>
      <c r="E1972" s="13" t="str">
        <f ca="1">IFERROR(__xludf.DUMMYFUNCTION("""COMPUTED_VALUE"""),"fúzhuāng")</f>
        <v>fúzhuāng</v>
      </c>
      <c r="F1972" s="13" t="str">
        <f ca="1">IFERROR(__xludf.DUMMYFUNCTION("""COMPUTED_VALUE"""),"Danh từ")</f>
        <v>Danh từ</v>
      </c>
      <c r="G1972" s="13" t="str">
        <f ca="1">IFERROR(__xludf.DUMMYFUNCTION("""COMPUTED_VALUE"""),"trang phục")</f>
        <v>trang phục</v>
      </c>
      <c r="H1972" s="13" t="str">
        <f ca="1">IFERROR(__xludf.DUMMYFUNCTION("""COMPUTED_VALUE"""),"这家店有很多时尚的服装，吸引了许多顾客。")</f>
        <v>这家店有很多时尚的服装，吸引了许多顾客。</v>
      </c>
      <c r="I1972" s="13"/>
      <c r="J1972" s="13" t="str">
        <f ca="1">IFERROR(__xludf.DUMMYFUNCTION("""COMPUTED_VALUE"""),"Cửa hàng này có nhiều kiểu trang phục rất thời trang, thu hút được nhiều khách hàng.")</f>
        <v>Cửa hàng này có nhiều kiểu trang phục rất thời trang, thu hút được nhiều khách hàng.</v>
      </c>
      <c r="K1972" s="13" t="str">
        <f ca="1">IFERROR(__xludf.DUMMYFUNCTION("""COMPUTED_VALUE"""),"H5_B17_BG-01.png")</f>
        <v>H5_B17_BG-01.png</v>
      </c>
      <c r="L1972" s="13" t="str">
        <f ca="1">IFERROR(__xludf.DUMMYFUNCTION("""COMPUTED_VALUE"""),"B17_1.mp3")</f>
        <v>B17_1.mp3</v>
      </c>
      <c r="M1972" s="13" t="str">
        <f ca="1">IFERROR(__xludf.DUMMYFUNCTION("""COMPUTED_VALUE"""),"B17_VD_1.mp3")</f>
        <v>B17_VD_1.mp3</v>
      </c>
    </row>
    <row r="1973" spans="1:13">
      <c r="A1973" s="13">
        <f ca="1">IFERROR(__xludf.DUMMYFUNCTION("""COMPUTED_VALUE"""),2)</f>
        <v>2</v>
      </c>
      <c r="B1973" s="13"/>
      <c r="C1973" s="13" t="str">
        <f ca="1">IFERROR(__xludf.DUMMYFUNCTION("""COMPUTED_VALUE"""),"婚礼")</f>
        <v>婚礼</v>
      </c>
      <c r="D1973" s="13" t="str">
        <f ca="1">IFERROR(__xludf.DUMMYFUNCTION("""COMPUTED_VALUE"""),"&lt;ruby&gt;婚礼&lt;rt&gt;hūnlǐ&lt;/rt&gt;&lt;/ruby&gt;")</f>
        <v>&lt;ruby&gt;婚礼&lt;rt&gt;hūnlǐ&lt;/rt&gt;&lt;/ruby&gt;</v>
      </c>
      <c r="E1973" s="13" t="str">
        <f ca="1">IFERROR(__xludf.DUMMYFUNCTION("""COMPUTED_VALUE"""),"hūnlǐ")</f>
        <v>hūnlǐ</v>
      </c>
      <c r="F1973" s="13" t="str">
        <f ca="1">IFERROR(__xludf.DUMMYFUNCTION("""COMPUTED_VALUE"""),"Danh từ")</f>
        <v>Danh từ</v>
      </c>
      <c r="G1973" s="13" t="str">
        <f ca="1">IFERROR(__xludf.DUMMYFUNCTION("""COMPUTED_VALUE"""),"lễ cưới")</f>
        <v>lễ cưới</v>
      </c>
      <c r="H1973" s="13" t="str">
        <f ca="1">IFERROR(__xludf.DUMMYFUNCTION("""COMPUTED_VALUE"""),"他们的婚礼是在户外举行的，非常浪漫。")</f>
        <v>他们的婚礼是在户外举行的，非常浪漫。</v>
      </c>
      <c r="I1973" s="13"/>
      <c r="J1973" s="13" t="str">
        <f ca="1">IFERROR(__xludf.DUMMYFUNCTION("""COMPUTED_VALUE""")," Lễ cưới của họ được tổ chức ngoài trời, rất lãng mạn.")</f>
        <v xml:space="preserve"> Lễ cưới của họ được tổ chức ngoài trời, rất lãng mạn.</v>
      </c>
      <c r="K1973" s="13" t="str">
        <f ca="1">IFERROR(__xludf.DUMMYFUNCTION("""COMPUTED_VALUE"""),"H5_B17_BG-02.png")</f>
        <v>H5_B17_BG-02.png</v>
      </c>
      <c r="L1973" s="13" t="str">
        <f ca="1">IFERROR(__xludf.DUMMYFUNCTION("""COMPUTED_VALUE"""),"B17_2.mp3")</f>
        <v>B17_2.mp3</v>
      </c>
      <c r="M1973" s="13" t="str">
        <f ca="1">IFERROR(__xludf.DUMMYFUNCTION("""COMPUTED_VALUE"""),"B17_VD_2.mp3")</f>
        <v>B17_VD_2.mp3</v>
      </c>
    </row>
    <row r="1974" spans="1:13">
      <c r="A1974" s="13">
        <f ca="1">IFERROR(__xludf.DUMMYFUNCTION("""COMPUTED_VALUE"""),3)</f>
        <v>3</v>
      </c>
      <c r="B1974" s="13"/>
      <c r="C1974" s="13" t="str">
        <f ca="1">IFERROR(__xludf.DUMMYFUNCTION("""COMPUTED_VALUE"""),"美术")</f>
        <v>美术</v>
      </c>
      <c r="D1974" s="13" t="str">
        <f ca="1">IFERROR(__xludf.DUMMYFUNCTION("""COMPUTED_VALUE"""),"&lt;ruby&gt;美术&lt;rt&gt;měishù&lt;/rt&gt;&lt;/ruby&gt;")</f>
        <v>&lt;ruby&gt;美术&lt;rt&gt;měishù&lt;/rt&gt;&lt;/ruby&gt;</v>
      </c>
      <c r="E1974" s="13" t="str">
        <f ca="1">IFERROR(__xludf.DUMMYFUNCTION("""COMPUTED_VALUE"""),"měishù")</f>
        <v>měishù</v>
      </c>
      <c r="F1974" s="13" t="str">
        <f ca="1">IFERROR(__xludf.DUMMYFUNCTION("""COMPUTED_VALUE"""),"Danh từ")</f>
        <v>Danh từ</v>
      </c>
      <c r="G1974" s="13" t="str">
        <f ca="1">IFERROR(__xludf.DUMMYFUNCTION("""COMPUTED_VALUE"""),"nghệ thuật tạo hình ")</f>
        <v xml:space="preserve">nghệ thuật tạo hình </v>
      </c>
      <c r="H1974" s="13" t="str">
        <f ca="1">IFERROR(__xludf.DUMMYFUNCTION("""COMPUTED_VALUE"""),"她从小就对美术很感兴趣，经常去艺术博物馆看展览。")</f>
        <v>她从小就对美术很感兴趣，经常去艺术博物馆看展览。</v>
      </c>
      <c r="I1974" s="13"/>
      <c r="J1974" s="13" t="str">
        <f ca="1">IFERROR(__xludf.DUMMYFUNCTION("""COMPUTED_VALUE"""),"Cô ấy từ nhỏ đã rất quan tâm đến nghệ thuật tạo hình và thường xuyên đến bảo tàng nghệ thuật để xem triển lãm.")</f>
        <v>Cô ấy từ nhỏ đã rất quan tâm đến nghệ thuật tạo hình và thường xuyên đến bảo tàng nghệ thuật để xem triển lãm.</v>
      </c>
      <c r="K1974" s="13" t="str">
        <f ca="1">IFERROR(__xludf.DUMMYFUNCTION("""COMPUTED_VALUE"""),"H5_B17_BG-03.png")</f>
        <v>H5_B17_BG-03.png</v>
      </c>
      <c r="L1974" s="13" t="str">
        <f ca="1">IFERROR(__xludf.DUMMYFUNCTION("""COMPUTED_VALUE"""),"B17_3.mp3")</f>
        <v>B17_3.mp3</v>
      </c>
      <c r="M1974" s="13" t="str">
        <f ca="1">IFERROR(__xludf.DUMMYFUNCTION("""COMPUTED_VALUE"""),"B17_VD_3.mp3")</f>
        <v>B17_VD_3.mp3</v>
      </c>
    </row>
    <row r="1975" spans="1:13">
      <c r="A1975" s="13">
        <f ca="1">IFERROR(__xludf.DUMMYFUNCTION("""COMPUTED_VALUE"""),4)</f>
        <v>4</v>
      </c>
      <c r="B1975" s="13"/>
      <c r="C1975" s="13" t="str">
        <f ca="1">IFERROR(__xludf.DUMMYFUNCTION("""COMPUTED_VALUE"""),"魅力")</f>
        <v>魅力</v>
      </c>
      <c r="D1975" s="13" t="str">
        <f ca="1">IFERROR(__xludf.DUMMYFUNCTION("""COMPUTED_VALUE"""),"&lt;ruby&gt;魅力&lt;rt&gt;mèilì&lt;/rt&gt;&lt;/ruby&gt;")</f>
        <v>&lt;ruby&gt;魅力&lt;rt&gt;mèilì&lt;/rt&gt;&lt;/ruby&gt;</v>
      </c>
      <c r="E1975" s="13" t="str">
        <f ca="1">IFERROR(__xludf.DUMMYFUNCTION("""COMPUTED_VALUE"""),"mèilì")</f>
        <v>mèilì</v>
      </c>
      <c r="F1975" s="13" t="str">
        <f ca="1">IFERROR(__xludf.DUMMYFUNCTION("""COMPUTED_VALUE"""),"Danh từ")</f>
        <v>Danh từ</v>
      </c>
      <c r="G1975" s="13" t="str">
        <f ca="1">IFERROR(__xludf.DUMMYFUNCTION("""COMPUTED_VALUE"""),"sức hấp dẫn ")</f>
        <v xml:space="preserve">sức hấp dẫn </v>
      </c>
      <c r="H1975" s="13" t="str">
        <f ca="1">IFERROR(__xludf.DUMMYFUNCTION("""COMPUTED_VALUE"""),"夜晚的城市灯光闪烁，展现出无穷的魅力。")</f>
        <v>夜晚的城市灯光闪烁，展现出无穷的魅力。</v>
      </c>
      <c r="I1975" s="13"/>
      <c r="J1975" s="13" t="str">
        <f ca="1">IFERROR(__xludf.DUMMYFUNCTION("""COMPUTED_VALUE"""),"Buổi tối, ánh đèn thành phố lấp lánh, thể hiện sức hấp dẫn vô tận.")</f>
        <v>Buổi tối, ánh đèn thành phố lấp lánh, thể hiện sức hấp dẫn vô tận.</v>
      </c>
      <c r="K1975" s="13" t="str">
        <f ca="1">IFERROR(__xludf.DUMMYFUNCTION("""COMPUTED_VALUE"""),"H5_B17_BG-04.png")</f>
        <v>H5_B17_BG-04.png</v>
      </c>
      <c r="L1975" s="13" t="str">
        <f ca="1">IFERROR(__xludf.DUMMYFUNCTION("""COMPUTED_VALUE"""),"B17_4.mp3")</f>
        <v>B17_4.mp3</v>
      </c>
      <c r="M1975" s="13" t="str">
        <f ca="1">IFERROR(__xludf.DUMMYFUNCTION("""COMPUTED_VALUE"""),"B17_VD_4.mp3")</f>
        <v>B17_VD_4.mp3</v>
      </c>
    </row>
    <row r="1976" spans="1:13">
      <c r="A1976" s="13">
        <f ca="1">IFERROR(__xludf.DUMMYFUNCTION("""COMPUTED_VALUE"""),5)</f>
        <v>5</v>
      </c>
      <c r="B1976" s="13"/>
      <c r="C1976" s="13" t="str">
        <f ca="1">IFERROR(__xludf.DUMMYFUNCTION("""COMPUTED_VALUE"""),"评价")</f>
        <v>评价</v>
      </c>
      <c r="D1976" s="13" t="str">
        <f ca="1">IFERROR(__xludf.DUMMYFUNCTION("""COMPUTED_VALUE"""),"&lt;ruby&gt;评价&lt;rt&gt;píngjià&lt;/rt&gt;&lt;/ruby&gt;")</f>
        <v>&lt;ruby&gt;评价&lt;rt&gt;píngjià&lt;/rt&gt;&lt;/ruby&gt;</v>
      </c>
      <c r="E1976" s="13" t="str">
        <f ca="1">IFERROR(__xludf.DUMMYFUNCTION("""COMPUTED_VALUE"""),"píngjià")</f>
        <v>píngjià</v>
      </c>
      <c r="F1976" s="13" t="str">
        <f ca="1">IFERROR(__xludf.DUMMYFUNCTION("""COMPUTED_VALUE"""),"Động từ/Danh từ")</f>
        <v>Động từ/Danh từ</v>
      </c>
      <c r="G1976" s="13" t="str">
        <f ca="1">IFERROR(__xludf.DUMMYFUNCTION("""COMPUTED_VALUE"""),"đánh giá; sự đánh giá ")</f>
        <v xml:space="preserve">đánh giá; sự đánh giá </v>
      </c>
      <c r="H1976" s="13" t="str">
        <f ca="1">IFERROR(__xludf.DUMMYFUNCTION("""COMPUTED_VALUE"""),"他的作品获得了许多艺术评论家的高度评价。")</f>
        <v>他的作品获得了许多艺术评论家的高度评价。</v>
      </c>
      <c r="I1976" s="13"/>
      <c r="J1976" s="13" t="str">
        <f ca="1">IFERROR(__xludf.DUMMYFUNCTION("""COMPUTED_VALUE"""),"Tác phẩm của anh ấy nhận được nhiều lời khen từ các nhà phê bình nghệ thuật.")</f>
        <v>Tác phẩm của anh ấy nhận được nhiều lời khen từ các nhà phê bình nghệ thuật.</v>
      </c>
      <c r="K1976" s="13" t="str">
        <f ca="1">IFERROR(__xludf.DUMMYFUNCTION("""COMPUTED_VALUE"""),"H5_B17_BG-05.png")</f>
        <v>H5_B17_BG-05.png</v>
      </c>
      <c r="L1976" s="13" t="str">
        <f ca="1">IFERROR(__xludf.DUMMYFUNCTION("""COMPUTED_VALUE"""),"B17_5.mp3")</f>
        <v>B17_5.mp3</v>
      </c>
      <c r="M1976" s="13" t="str">
        <f ca="1">IFERROR(__xludf.DUMMYFUNCTION("""COMPUTED_VALUE"""),"B17_VD_5.mp3")</f>
        <v>B17_VD_5.mp3</v>
      </c>
    </row>
    <row r="1977" spans="1:13">
      <c r="A1977" s="13">
        <f ca="1">IFERROR(__xludf.DUMMYFUNCTION("""COMPUTED_VALUE"""),6)</f>
        <v>6</v>
      </c>
      <c r="B1977" s="13"/>
      <c r="C1977" s="13" t="str">
        <f ca="1">IFERROR(__xludf.DUMMYFUNCTION("""COMPUTED_VALUE"""),"戏剧")</f>
        <v>戏剧</v>
      </c>
      <c r="D1977" s="13" t="str">
        <f ca="1">IFERROR(__xludf.DUMMYFUNCTION("""COMPUTED_VALUE"""),"&lt;ruby&gt;戏剧&lt;rt&gt;xìjù&lt;/rt&gt;&lt;/ruby&gt;")</f>
        <v>&lt;ruby&gt;戏剧&lt;rt&gt;xìjù&lt;/rt&gt;&lt;/ruby&gt;</v>
      </c>
      <c r="E1977" s="13" t="str">
        <f ca="1">IFERROR(__xludf.DUMMYFUNCTION("""COMPUTED_VALUE"""),"xìjù")</f>
        <v>xìjù</v>
      </c>
      <c r="F1977" s="13" t="str">
        <f ca="1">IFERROR(__xludf.DUMMYFUNCTION("""COMPUTED_VALUE"""),"Danh từ")</f>
        <v>Danh từ</v>
      </c>
      <c r="G1977" s="13" t="str">
        <f ca="1">IFERROR(__xludf.DUMMYFUNCTION("""COMPUTED_VALUE"""),"kịch, vở tuồng")</f>
        <v>kịch, vở tuồng</v>
      </c>
      <c r="H1977" s="13" t="str">
        <f ca="1">IFERROR(__xludf.DUMMYFUNCTION("""COMPUTED_VALUE"""),"这是一个关于历史事件的戏剧。")</f>
        <v>这是一个关于历史事件的戏剧。</v>
      </c>
      <c r="I1977" s="13"/>
      <c r="J1977" s="13" t="str">
        <f ca="1">IFERROR(__xludf.DUMMYFUNCTION("""COMPUTED_VALUE"""),"Đây là một vở kịch lịch sử.")</f>
        <v>Đây là một vở kịch lịch sử.</v>
      </c>
      <c r="K1977" s="13" t="str">
        <f ca="1">IFERROR(__xludf.DUMMYFUNCTION("""COMPUTED_VALUE"""),"H5_B17_BG-06.png")</f>
        <v>H5_B17_BG-06.png</v>
      </c>
      <c r="L1977" s="13" t="str">
        <f ca="1">IFERROR(__xludf.DUMMYFUNCTION("""COMPUTED_VALUE"""),"B17_6.mp3")</f>
        <v>B17_6.mp3</v>
      </c>
      <c r="M1977" s="13" t="str">
        <f ca="1">IFERROR(__xludf.DUMMYFUNCTION("""COMPUTED_VALUE"""),"B17_VD_6.mp3")</f>
        <v>B17_VD_6.mp3</v>
      </c>
    </row>
    <row r="1978" spans="1:13">
      <c r="A1978" s="13">
        <f ca="1">IFERROR(__xludf.DUMMYFUNCTION("""COMPUTED_VALUE"""),7)</f>
        <v>7</v>
      </c>
      <c r="B1978" s="13"/>
      <c r="C1978" s="13" t="str">
        <f ca="1">IFERROR(__xludf.DUMMYFUNCTION("""COMPUTED_VALUE"""),"主持")</f>
        <v>主持</v>
      </c>
      <c r="D1978" s="13" t="str">
        <f ca="1">IFERROR(__xludf.DUMMYFUNCTION("""COMPUTED_VALUE"""),"&lt;ruby&gt;主持&lt;rt&gt;zhǔchí&lt;/rt&gt;&lt;/ruby&gt;")</f>
        <v>&lt;ruby&gt;主持&lt;rt&gt;zhǔchí&lt;/rt&gt;&lt;/ruby&gt;</v>
      </c>
      <c r="E1978" s="13" t="str">
        <f ca="1">IFERROR(__xludf.DUMMYFUNCTION("""COMPUTED_VALUE"""),"zhǔchí")</f>
        <v>zhǔchí</v>
      </c>
      <c r="F1978" s="13" t="str">
        <f ca="1">IFERROR(__xludf.DUMMYFUNCTION("""COMPUTED_VALUE"""),"Động từ/Danh từ")</f>
        <v>Động từ/Danh từ</v>
      </c>
      <c r="G1978" s="13" t="str">
        <f ca="1">IFERROR(__xludf.DUMMYFUNCTION("""COMPUTED_VALUE"""),"chủ trì; ngưòi chủ trì")</f>
        <v>chủ trì; ngưòi chủ trì</v>
      </c>
      <c r="H1978" s="13" t="str">
        <f ca="1">IFERROR(__xludf.DUMMYFUNCTION("""COMPUTED_VALUE"""),"今天的会议由他主持，会议进行得非常顺利。")</f>
        <v>今天的会议由他主持，会议进行得非常顺利。</v>
      </c>
      <c r="I1978" s="13"/>
      <c r="J1978" s="13" t="str">
        <f ca="1">IFERROR(__xludf.DUMMYFUNCTION("""COMPUTED_VALUE"""),"Cuộc họp hôm nay do anh ấy chủ trì, cuộc họp diễn ra rất suôn sẻ.")</f>
        <v>Cuộc họp hôm nay do anh ấy chủ trì, cuộc họp diễn ra rất suôn sẻ.</v>
      </c>
      <c r="K1978" s="13" t="str">
        <f ca="1">IFERROR(__xludf.DUMMYFUNCTION("""COMPUTED_VALUE"""),"H5_B17_BG-07.png")</f>
        <v>H5_B17_BG-07.png</v>
      </c>
      <c r="L1978" s="13" t="str">
        <f ca="1">IFERROR(__xludf.DUMMYFUNCTION("""COMPUTED_VALUE"""),"B17_7.mp3")</f>
        <v>B17_7.mp3</v>
      </c>
      <c r="M1978" s="13" t="str">
        <f ca="1">IFERROR(__xludf.DUMMYFUNCTION("""COMPUTED_VALUE"""),"B17_VD_7.mp3")</f>
        <v>B17_VD_7.mp3</v>
      </c>
    </row>
    <row r="1979" spans="1:13">
      <c r="A1979" s="13">
        <f ca="1">IFERROR(__xludf.DUMMYFUNCTION("""COMPUTED_VALUE"""),8)</f>
        <v>8</v>
      </c>
      <c r="B1979" s="13"/>
      <c r="C1979" s="13" t="str">
        <f ca="1">IFERROR(__xludf.DUMMYFUNCTION("""COMPUTED_VALUE"""),"高峰")</f>
        <v>高峰</v>
      </c>
      <c r="D1979" s="13" t="str">
        <f ca="1">IFERROR(__xludf.DUMMYFUNCTION("""COMPUTED_VALUE"""),"&lt;ruby&gt;高峰&lt;rt&gt;gāofēng&lt;/rt&gt;&lt;/ruby&gt;")</f>
        <v>&lt;ruby&gt;高峰&lt;rt&gt;gāofēng&lt;/rt&gt;&lt;/ruby&gt;</v>
      </c>
      <c r="E1979" s="13" t="str">
        <f ca="1">IFERROR(__xludf.DUMMYFUNCTION("""COMPUTED_VALUE"""),"gāofēng")</f>
        <v>gāofēng</v>
      </c>
      <c r="F1979" s="13" t="str">
        <f ca="1">IFERROR(__xludf.DUMMYFUNCTION("""COMPUTED_VALUE"""),"Danh từ")</f>
        <v>Danh từ</v>
      </c>
      <c r="G1979" s="13" t="str">
        <f ca="1">IFERROR(__xludf.DUMMYFUNCTION("""COMPUTED_VALUE"""),"cao điểm, đỉnh cao ")</f>
        <v xml:space="preserve">cao điểm, đỉnh cao </v>
      </c>
      <c r="H1979" s="13" t="str">
        <f ca="1">IFERROR(__xludf.DUMMYFUNCTION("""COMPUTED_VALUE"""),"早晚的交通高峰时间，路上总是很堵。")</f>
        <v>早晚的交通高峰时间，路上总是很堵。</v>
      </c>
      <c r="I1979" s="13"/>
      <c r="J1979" s="13" t="str">
        <f ca="1">IFERROR(__xludf.DUMMYFUNCTION("""COMPUTED_VALUE"""),"Vào giờ cao điểm sáng và tối, đường phố luôn rất tắc nghẽn.")</f>
        <v>Vào giờ cao điểm sáng và tối, đường phố luôn rất tắc nghẽn.</v>
      </c>
      <c r="K1979" s="13" t="str">
        <f ca="1">IFERROR(__xludf.DUMMYFUNCTION("""COMPUTED_VALUE"""),"H5_B17_BG-08.png")</f>
        <v>H5_B17_BG-08.png</v>
      </c>
      <c r="L1979" s="13" t="str">
        <f ca="1">IFERROR(__xludf.DUMMYFUNCTION("""COMPUTED_VALUE"""),"B17_8.mp3")</f>
        <v>B17_8.mp3</v>
      </c>
      <c r="M1979" s="13" t="str">
        <f ca="1">IFERROR(__xludf.DUMMYFUNCTION("""COMPUTED_VALUE"""),"B17_VD_8.mp3")</f>
        <v>B17_VD_8.mp3</v>
      </c>
    </row>
    <row r="1980" spans="1:13">
      <c r="A1980" s="13">
        <f ca="1">IFERROR(__xludf.DUMMYFUNCTION("""COMPUTED_VALUE"""),9)</f>
        <v>9</v>
      </c>
      <c r="B1980" s="13"/>
      <c r="C1980" s="13" t="str">
        <f ca="1">IFERROR(__xludf.DUMMYFUNCTION("""COMPUTED_VALUE"""),"化妆")</f>
        <v>化妆</v>
      </c>
      <c r="D1980" s="13" t="str">
        <f ca="1">IFERROR(__xludf.DUMMYFUNCTION("""COMPUTED_VALUE"""),"&lt;ruby&gt;化妆&lt;rt&gt;huàzhuāng&lt;/rt&gt;&lt;/ruby&gt;")</f>
        <v>&lt;ruby&gt;化妆&lt;rt&gt;huàzhuāng&lt;/rt&gt;&lt;/ruby&gt;</v>
      </c>
      <c r="E1980" s="13" t="str">
        <f ca="1">IFERROR(__xludf.DUMMYFUNCTION("""COMPUTED_VALUE"""),"huàzhuāng")</f>
        <v>huàzhuāng</v>
      </c>
      <c r="F1980" s="13" t="str">
        <f ca="1">IFERROR(__xludf.DUMMYFUNCTION("""COMPUTED_VALUE"""),"Động từ")</f>
        <v>Động từ</v>
      </c>
      <c r="G1980" s="13" t="str">
        <f ca="1">IFERROR(__xludf.DUMMYFUNCTION("""COMPUTED_VALUE"""),"trang điểm ")</f>
        <v xml:space="preserve">trang điểm </v>
      </c>
      <c r="H1980" s="13" t="str">
        <f ca="1">IFERROR(__xludf.DUMMYFUNCTION("""COMPUTED_VALUE"""),"女孩们通常都喜欢化妆，让自己看起来更漂亮。")</f>
        <v>女孩们通常都喜欢化妆，让自己看起来更漂亮。</v>
      </c>
      <c r="I1980" s="13"/>
      <c r="J1980" s="13" t="str">
        <f ca="1">IFERROR(__xludf.DUMMYFUNCTION("""COMPUTED_VALUE"""),"Các cô gái đều thích trang điểm.")</f>
        <v>Các cô gái đều thích trang điểm.</v>
      </c>
      <c r="K1980" s="13" t="str">
        <f ca="1">IFERROR(__xludf.DUMMYFUNCTION("""COMPUTED_VALUE"""),"H5_B17_BG-09.png")</f>
        <v>H5_B17_BG-09.png</v>
      </c>
      <c r="L1980" s="13" t="str">
        <f ca="1">IFERROR(__xludf.DUMMYFUNCTION("""COMPUTED_VALUE"""),"B17_9.mp3")</f>
        <v>B17_9.mp3</v>
      </c>
      <c r="M1980" s="13" t="str">
        <f ca="1">IFERROR(__xludf.DUMMYFUNCTION("""COMPUTED_VALUE"""),"B17_VD_9.mp3")</f>
        <v>B17_VD_9.mp3</v>
      </c>
    </row>
    <row r="1981" spans="1:13">
      <c r="A1981" s="13">
        <f ca="1">IFERROR(__xludf.DUMMYFUNCTION("""COMPUTED_VALUE"""),10)</f>
        <v>10</v>
      </c>
      <c r="B1981" s="13"/>
      <c r="C1981" s="13" t="str">
        <f ca="1">IFERROR(__xludf.DUMMYFUNCTION("""COMPUTED_VALUE"""),"道具")</f>
        <v>道具</v>
      </c>
      <c r="D1981" s="13" t="str">
        <f ca="1">IFERROR(__xludf.DUMMYFUNCTION("""COMPUTED_VALUE"""),"&lt;ruby&gt;道具&lt;rt&gt;dàojù&lt;/rt&gt;&lt;/ruby&gt;")</f>
        <v>&lt;ruby&gt;道具&lt;rt&gt;dàojù&lt;/rt&gt;&lt;/ruby&gt;</v>
      </c>
      <c r="E1981" s="13" t="str">
        <f ca="1">IFERROR(__xludf.DUMMYFUNCTION("""COMPUTED_VALUE"""),"dàojù")</f>
        <v>dàojù</v>
      </c>
      <c r="F1981" s="13" t="str">
        <f ca="1">IFERROR(__xludf.DUMMYFUNCTION("""COMPUTED_VALUE"""),"Danh từ")</f>
        <v>Danh từ</v>
      </c>
      <c r="G1981" s="13" t="str">
        <f ca="1">IFERROR(__xludf.DUMMYFUNCTION("""COMPUTED_VALUE"""),"đạo cụ")</f>
        <v>đạo cụ</v>
      </c>
      <c r="H1981" s="13" t="str">
        <f ca="1">IFERROR(__xludf.DUMMYFUNCTION("""COMPUTED_VALUE"""),"在化妆舞会上，很多人准备了创意的道具和服装。")</f>
        <v>在化妆舞会上，很多人准备了创意的道具和服装。</v>
      </c>
      <c r="I1981" s="13"/>
      <c r="J1981" s="13" t="str">
        <f ca="1">IFERROR(__xludf.DUMMYFUNCTION("""COMPUTED_VALUE"""),"Trong buổi tiệc hóa trang, nhiều người tham gia đã chuẩn bị đạo cụ và trang phục sáng tạo.")</f>
        <v>Trong buổi tiệc hóa trang, nhiều người tham gia đã chuẩn bị đạo cụ và trang phục sáng tạo.</v>
      </c>
      <c r="K1981" s="13" t="str">
        <f ca="1">IFERROR(__xludf.DUMMYFUNCTION("""COMPUTED_VALUE"""),"H5_B17_BG-10.png")</f>
        <v>H5_B17_BG-10.png</v>
      </c>
      <c r="L1981" s="13" t="str">
        <f ca="1">IFERROR(__xludf.DUMMYFUNCTION("""COMPUTED_VALUE"""),"B17_10.mp3")</f>
        <v>B17_10.mp3</v>
      </c>
      <c r="M1981" s="13" t="str">
        <f ca="1">IFERROR(__xludf.DUMMYFUNCTION("""COMPUTED_VALUE"""),"B17_VD_10.mp3")</f>
        <v>B17_VD_10.mp3</v>
      </c>
    </row>
    <row r="1982" spans="1:13">
      <c r="A1982" s="13">
        <f ca="1">IFERROR(__xludf.DUMMYFUNCTION("""COMPUTED_VALUE"""),11)</f>
        <v>11</v>
      </c>
      <c r="B1982" s="13"/>
      <c r="C1982" s="13" t="str">
        <f ca="1">IFERROR(__xludf.DUMMYFUNCTION("""COMPUTED_VALUE"""),"开幕式")</f>
        <v>开幕式</v>
      </c>
      <c r="D1982" s="13" t="str">
        <f ca="1">IFERROR(__xludf.DUMMYFUNCTION("""COMPUTED_VALUE"""),"&lt;ruby&gt;开幕式&lt;rt&gt;kāimù shì&lt;/rt&gt;&lt;/ruby&gt;")</f>
        <v>&lt;ruby&gt;开幕式&lt;rt&gt;kāimù shì&lt;/rt&gt;&lt;/ruby&gt;</v>
      </c>
      <c r="E1982" s="13" t="str">
        <f ca="1">IFERROR(__xludf.DUMMYFUNCTION("""COMPUTED_VALUE"""),"kāimù shì")</f>
        <v>kāimù shì</v>
      </c>
      <c r="F1982" s="13" t="str">
        <f ca="1">IFERROR(__xludf.DUMMYFUNCTION("""COMPUTED_VALUE"""),"Động từ/Danh từ")</f>
        <v>Động từ/Danh từ</v>
      </c>
      <c r="G1982" s="13" t="str">
        <f ca="1">IFERROR(__xludf.DUMMYFUNCTION("""COMPUTED_VALUE"""),"lễ khai mạc ")</f>
        <v xml:space="preserve">lễ khai mạc </v>
      </c>
      <c r="H1982" s="13" t="str">
        <f ca="1">IFERROR(__xludf.DUMMYFUNCTION("""COMPUTED_VALUE"""),"明天的开幕式将邀请许多知名的艺术家和演员参加。")</f>
        <v>明天的开幕式将邀请许多知名的艺术家和演员参加。</v>
      </c>
      <c r="I1982" s="13"/>
      <c r="J1982" s="13" t="str">
        <f ca="1">IFERROR(__xludf.DUMMYFUNCTION("""COMPUTED_VALUE"""),"Lễ khai mạc ngày mai sẽ mời nhiều nghệ sĩ và diễn viên nổi tiếng tham gia.")</f>
        <v>Lễ khai mạc ngày mai sẽ mời nhiều nghệ sĩ và diễn viên nổi tiếng tham gia.</v>
      </c>
      <c r="K1982" s="13" t="str">
        <f ca="1">IFERROR(__xludf.DUMMYFUNCTION("""COMPUTED_VALUE"""),"H5_B17_BG-11.png")</f>
        <v>H5_B17_BG-11.png</v>
      </c>
      <c r="L1982" s="13" t="str">
        <f ca="1">IFERROR(__xludf.DUMMYFUNCTION("""COMPUTED_VALUE"""),"B17_11.mp3")</f>
        <v>B17_11.mp3</v>
      </c>
      <c r="M1982" s="13" t="str">
        <f ca="1">IFERROR(__xludf.DUMMYFUNCTION("""COMPUTED_VALUE"""),"B17_VD_11.mp3")</f>
        <v>B17_VD_11.mp3</v>
      </c>
    </row>
    <row r="1983" spans="1:13">
      <c r="A1983" s="13">
        <f ca="1">IFERROR(__xludf.DUMMYFUNCTION("""COMPUTED_VALUE"""),12)</f>
        <v>12</v>
      </c>
      <c r="B1983" s="13"/>
      <c r="C1983" s="13" t="str">
        <f ca="1">IFERROR(__xludf.DUMMYFUNCTION("""COMPUTED_VALUE"""),"等于")</f>
        <v>等于</v>
      </c>
      <c r="D1983" s="13" t="str">
        <f ca="1">IFERROR(__xludf.DUMMYFUNCTION("""COMPUTED_VALUE"""),"&lt;ruby&gt;等于&lt;rt&gt;děngyú&lt;/rt&gt;&lt;/ruby&gt;")</f>
        <v>&lt;ruby&gt;等于&lt;rt&gt;děngyú&lt;/rt&gt;&lt;/ruby&gt;</v>
      </c>
      <c r="E1983" s="13" t="str">
        <f ca="1">IFERROR(__xludf.DUMMYFUNCTION("""COMPUTED_VALUE"""),"děngyú")</f>
        <v>děngyú</v>
      </c>
      <c r="F1983" s="13" t="str">
        <f ca="1">IFERROR(__xludf.DUMMYFUNCTION("""COMPUTED_VALUE"""),"Động từ")</f>
        <v>Động từ</v>
      </c>
      <c r="G1983" s="13" t="str">
        <f ca="1">IFERROR(__xludf.DUMMYFUNCTION("""COMPUTED_VALUE"""),"bằng")</f>
        <v>bằng</v>
      </c>
      <c r="H1983" s="13" t="str">
        <f ca="1">IFERROR(__xludf.DUMMYFUNCTION("""COMPUTED_VALUE"""),"五加五等于十。")</f>
        <v>五加五等于十。</v>
      </c>
      <c r="I1983" s="13"/>
      <c r="J1983" s="13" t="str">
        <f ca="1">IFERROR(__xludf.DUMMYFUNCTION("""COMPUTED_VALUE"""),"Năm cộng năm bằng mười.")</f>
        <v>Năm cộng năm bằng mười.</v>
      </c>
      <c r="K1983" s="13" t="str">
        <f ca="1">IFERROR(__xludf.DUMMYFUNCTION("""COMPUTED_VALUE"""),"H5_B17_BG-12.png")</f>
        <v>H5_B17_BG-12.png</v>
      </c>
      <c r="L1983" s="13" t="str">
        <f ca="1">IFERROR(__xludf.DUMMYFUNCTION("""COMPUTED_VALUE"""),"B17_12.mp3")</f>
        <v>B17_12.mp3</v>
      </c>
      <c r="M1983" s="13" t="str">
        <f ca="1">IFERROR(__xludf.DUMMYFUNCTION("""COMPUTED_VALUE"""),"B17_VD_12.mp3")</f>
        <v>B17_VD_12.mp3</v>
      </c>
    </row>
    <row r="1984" spans="1:13">
      <c r="A1984" s="13">
        <f ca="1">IFERROR(__xludf.DUMMYFUNCTION("""COMPUTED_VALUE"""),13)</f>
        <v>13</v>
      </c>
      <c r="B1984" s="13"/>
      <c r="C1984" s="13" t="str">
        <f ca="1">IFERROR(__xludf.DUMMYFUNCTION("""COMPUTED_VALUE"""),"忽视")</f>
        <v>忽视</v>
      </c>
      <c r="D1984" s="13" t="str">
        <f ca="1">IFERROR(__xludf.DUMMYFUNCTION("""COMPUTED_VALUE"""),"&lt;ruby&gt;忽视&lt;rt&gt;hūshì&lt;/rt&gt;&lt;/ruby&gt;")</f>
        <v>&lt;ruby&gt;忽视&lt;rt&gt;hūshì&lt;/rt&gt;&lt;/ruby&gt;</v>
      </c>
      <c r="E1984" s="13" t="str">
        <f ca="1">IFERROR(__xludf.DUMMYFUNCTION("""COMPUTED_VALUE"""),"hūshì")</f>
        <v>hūshì</v>
      </c>
      <c r="F1984" s="13" t="str">
        <f ca="1">IFERROR(__xludf.DUMMYFUNCTION("""COMPUTED_VALUE"""),"Động từ")</f>
        <v>Động từ</v>
      </c>
      <c r="G1984" s="13" t="str">
        <f ca="1">IFERROR(__xludf.DUMMYFUNCTION("""COMPUTED_VALUE"""),"xem nhẹ, không chú ý")</f>
        <v>xem nhẹ, không chú ý</v>
      </c>
      <c r="H1984" s="13" t="str">
        <f ca="1">IFERROR(__xludf.DUMMYFUNCTION("""COMPUTED_VALUE"""),"他忽视了安全问题，结果发生了意外。")</f>
        <v>他忽视了安全问题，结果发生了意外。</v>
      </c>
      <c r="I1984" s="13"/>
      <c r="J1984" s="13" t="str">
        <f ca="1">IFERROR(__xludf.DUMMYFUNCTION("""COMPUTED_VALUE"""),"Anh ấy đã xem nhẹ vấn đề an toàn, kết quả là đã xảy ra tai nạn.")</f>
        <v>Anh ấy đã xem nhẹ vấn đề an toàn, kết quả là đã xảy ra tai nạn.</v>
      </c>
      <c r="K1984" s="13" t="str">
        <f ca="1">IFERROR(__xludf.DUMMYFUNCTION("""COMPUTED_VALUE"""),"H5_B17_BG-13.png")</f>
        <v>H5_B17_BG-13.png</v>
      </c>
      <c r="L1984" s="13" t="str">
        <f ca="1">IFERROR(__xludf.DUMMYFUNCTION("""COMPUTED_VALUE"""),"B17_13.mp3")</f>
        <v>B17_13.mp3</v>
      </c>
      <c r="M1984" s="13" t="str">
        <f ca="1">IFERROR(__xludf.DUMMYFUNCTION("""COMPUTED_VALUE"""),"B17_VD_13.mp3")</f>
        <v>B17_VD_13.mp3</v>
      </c>
    </row>
    <row r="1985" spans="1:13">
      <c r="A1985" s="13">
        <f ca="1">IFERROR(__xludf.DUMMYFUNCTION("""COMPUTED_VALUE"""),14)</f>
        <v>14</v>
      </c>
      <c r="B1985" s="13"/>
      <c r="C1985" s="13" t="str">
        <f ca="1">IFERROR(__xludf.DUMMYFUNCTION("""COMPUTED_VALUE"""),"集中")</f>
        <v>集中</v>
      </c>
      <c r="D1985" s="13" t="str">
        <f ca="1">IFERROR(__xludf.DUMMYFUNCTION("""COMPUTED_VALUE"""),"&lt;ruby&gt;集中&lt;rt&gt;jízhōng&lt;/rt&gt;&lt;/ruby&gt;")</f>
        <v>&lt;ruby&gt;集中&lt;rt&gt;jízhōng&lt;/rt&gt;&lt;/ruby&gt;</v>
      </c>
      <c r="E1985" s="13" t="str">
        <f ca="1">IFERROR(__xludf.DUMMYFUNCTION("""COMPUTED_VALUE"""),"jízhōng")</f>
        <v>jízhōng</v>
      </c>
      <c r="F1985" s="13" t="str">
        <f ca="1">IFERROR(__xludf.DUMMYFUNCTION("""COMPUTED_VALUE"""),"Động từ/Tính từ")</f>
        <v>Động từ/Tính từ</v>
      </c>
      <c r="G1985" s="13" t="str">
        <f ca="1">IFERROR(__xludf.DUMMYFUNCTION("""COMPUTED_VALUE"""),"tập trung; chăm chú")</f>
        <v>tập trung; chăm chú</v>
      </c>
      <c r="H1985" s="13" t="str">
        <f ca="1">IFERROR(__xludf.DUMMYFUNCTION("""COMPUTED_VALUE"""),"为了成功完成项目，团队成员需要集中精力，努力合作。")</f>
        <v>为了成功完成项目，团队成员需要集中精力，努力合作。</v>
      </c>
      <c r="I1985" s="13"/>
      <c r="J1985" s="13" t="str">
        <f ca="1">IFERROR(__xludf.DUMMYFUNCTION("""COMPUTED_VALUE"""),"Để hoàn thành dự án thành công, các thành viên trong nhóm cần tập trung hợp tác và nỗ lực cùng nhau.")</f>
        <v>Để hoàn thành dự án thành công, các thành viên trong nhóm cần tập trung hợp tác và nỗ lực cùng nhau.</v>
      </c>
      <c r="K1985" s="13" t="str">
        <f ca="1">IFERROR(__xludf.DUMMYFUNCTION("""COMPUTED_VALUE"""),"H5_B17_BG-14.png")</f>
        <v>H5_B17_BG-14.png</v>
      </c>
      <c r="L1985" s="13" t="str">
        <f ca="1">IFERROR(__xludf.DUMMYFUNCTION("""COMPUTED_VALUE"""),"B17_14.mp3")</f>
        <v>B17_14.mp3</v>
      </c>
      <c r="M1985" s="13" t="str">
        <f ca="1">IFERROR(__xludf.DUMMYFUNCTION("""COMPUTED_VALUE"""),"B17_VD_14.mp3")</f>
        <v>B17_VD_14.mp3</v>
      </c>
    </row>
    <row r="1986" spans="1:13">
      <c r="A1986" s="13">
        <f ca="1">IFERROR(__xludf.DUMMYFUNCTION("""COMPUTED_VALUE"""),15)</f>
        <v>15</v>
      </c>
      <c r="B1986" s="13"/>
      <c r="C1986" s="13" t="str">
        <f ca="1">IFERROR(__xludf.DUMMYFUNCTION("""COMPUTED_VALUE"""),"良好")</f>
        <v>良好</v>
      </c>
      <c r="D1986" s="13" t="str">
        <f ca="1">IFERROR(__xludf.DUMMYFUNCTION("""COMPUTED_VALUE"""),"&lt;ruby&gt;良好&lt;rt&gt;liánghăo&lt;/rt&gt;&lt;/ruby&gt;")</f>
        <v>&lt;ruby&gt;良好&lt;rt&gt;liánghăo&lt;/rt&gt;&lt;/ruby&gt;</v>
      </c>
      <c r="E1986" s="13" t="str">
        <f ca="1">IFERROR(__xludf.DUMMYFUNCTION("""COMPUTED_VALUE"""),"liánghăo")</f>
        <v>liánghăo</v>
      </c>
      <c r="F1986" s="13" t="str">
        <f ca="1">IFERROR(__xludf.DUMMYFUNCTION("""COMPUTED_VALUE"""),"Tính từ")</f>
        <v>Tính từ</v>
      </c>
      <c r="G1986" s="13" t="str">
        <f ca="1">IFERROR(__xludf.DUMMYFUNCTION("""COMPUTED_VALUE"""),"tốt đẹp, tốt")</f>
        <v>tốt đẹp, tốt</v>
      </c>
      <c r="H1986" s="13" t="str">
        <f ca="1">IFERROR(__xludf.DUMMYFUNCTION("""COMPUTED_VALUE"""),"我们之间的关系一直保持良好。")</f>
        <v>我们之间的关系一直保持良好。</v>
      </c>
      <c r="I1986" s="13"/>
      <c r="J1986" s="13" t="str">
        <f ca="1">IFERROR(__xludf.DUMMYFUNCTION("""COMPUTED_VALUE"""),"Quan hệ giữa chúng tôi luôn duy trì rất tốt đẹp.")</f>
        <v>Quan hệ giữa chúng tôi luôn duy trì rất tốt đẹp.</v>
      </c>
      <c r="K1986" s="13" t="str">
        <f ca="1">IFERROR(__xludf.DUMMYFUNCTION("""COMPUTED_VALUE"""),"H5_B17_BG-15.png")</f>
        <v>H5_B17_BG-15.png</v>
      </c>
      <c r="L1986" s="13" t="str">
        <f ca="1">IFERROR(__xludf.DUMMYFUNCTION("""COMPUTED_VALUE"""),"B17_15.mp3")</f>
        <v>B17_15.mp3</v>
      </c>
      <c r="M1986" s="13" t="str">
        <f ca="1">IFERROR(__xludf.DUMMYFUNCTION("""COMPUTED_VALUE"""),"B17_VD_15.mp3")</f>
        <v>B17_VD_15.mp3</v>
      </c>
    </row>
    <row r="1987" spans="1:13">
      <c r="A1987" s="13">
        <f ca="1">IFERROR(__xludf.DUMMYFUNCTION("""COMPUTED_VALUE"""),16)</f>
        <v>16</v>
      </c>
      <c r="B1987" s="13"/>
      <c r="C1987" s="13" t="str">
        <f ca="1">IFERROR(__xludf.DUMMYFUNCTION("""COMPUTED_VALUE"""),"平常")</f>
        <v>平常</v>
      </c>
      <c r="D1987" s="13" t="str">
        <f ca="1">IFERROR(__xludf.DUMMYFUNCTION("""COMPUTED_VALUE"""),"&lt;ruby&gt;平常&lt;rt&gt;píngcháng&lt;/rt&gt;&lt;/ruby&gt;")</f>
        <v>&lt;ruby&gt;平常&lt;rt&gt;píngcháng&lt;/rt&gt;&lt;/ruby&gt;</v>
      </c>
      <c r="E1987" s="13" t="str">
        <f ca="1">IFERROR(__xludf.DUMMYFUNCTION("""COMPUTED_VALUE"""),"píngcháng")</f>
        <v>píngcháng</v>
      </c>
      <c r="F1987" s="13" t="str">
        <f ca="1">IFERROR(__xludf.DUMMYFUNCTION("""COMPUTED_VALUE"""),"Tính từ/Danh từ")</f>
        <v>Tính từ/Danh từ</v>
      </c>
      <c r="G1987" s="13" t="str">
        <f ca="1">IFERROR(__xludf.DUMMYFUNCTION("""COMPUTED_VALUE"""),"bình thường, ngày thường")</f>
        <v>bình thường, ngày thường</v>
      </c>
      <c r="H1987" s="13" t="str">
        <f ca="1">IFERROR(__xludf.DUMMYFUNCTION("""COMPUTED_VALUE"""),"我平常早上七点起床。")</f>
        <v>我平常早上七点起床。</v>
      </c>
      <c r="I1987" s="13"/>
      <c r="J1987" s="13" t="str">
        <f ca="1">IFERROR(__xludf.DUMMYFUNCTION("""COMPUTED_VALUE"""),"Bình thường, tôi thức dậy lúc 7 giờ sáng.")</f>
        <v>Bình thường, tôi thức dậy lúc 7 giờ sáng.</v>
      </c>
      <c r="K1987" s="13" t="str">
        <f ca="1">IFERROR(__xludf.DUMMYFUNCTION("""COMPUTED_VALUE"""),"H5_B17_BG-16.png")</f>
        <v>H5_B17_BG-16.png</v>
      </c>
      <c r="L1987" s="13" t="str">
        <f ca="1">IFERROR(__xludf.DUMMYFUNCTION("""COMPUTED_VALUE"""),"B17_16.mp3")</f>
        <v>B17_16.mp3</v>
      </c>
      <c r="M1987" s="13" t="str">
        <f ca="1">IFERROR(__xludf.DUMMYFUNCTION("""COMPUTED_VALUE"""),"B17_VD_16.mp3")</f>
        <v>B17_VD_16.mp3</v>
      </c>
    </row>
    <row r="1988" spans="1:13">
      <c r="A1988" s="13">
        <f ca="1">IFERROR(__xludf.DUMMYFUNCTION("""COMPUTED_VALUE"""),17)</f>
        <v>17</v>
      </c>
      <c r="B1988" s="13"/>
      <c r="C1988" s="13" t="str">
        <f ca="1">IFERROR(__xludf.DUMMYFUNCTION("""COMPUTED_VALUE"""),"深刻")</f>
        <v>深刻</v>
      </c>
      <c r="D1988" s="13" t="str">
        <f ca="1">IFERROR(__xludf.DUMMYFUNCTION("""COMPUTED_VALUE"""),"&lt;ruby&gt;深刻&lt;rt&gt;shēnkè&lt;/rt&gt;&lt;/ruby&gt;")</f>
        <v>&lt;ruby&gt;深刻&lt;rt&gt;shēnkè&lt;/rt&gt;&lt;/ruby&gt;</v>
      </c>
      <c r="E1988" s="13" t="str">
        <f ca="1">IFERROR(__xludf.DUMMYFUNCTION("""COMPUTED_VALUE"""),"shēnkè")</f>
        <v>shēnkè</v>
      </c>
      <c r="F1988" s="13" t="str">
        <f ca="1">IFERROR(__xludf.DUMMYFUNCTION("""COMPUTED_VALUE"""),"Tính từ")</f>
        <v>Tính từ</v>
      </c>
      <c r="G1988" s="13" t="str">
        <f ca="1">IFERROR(__xludf.DUMMYFUNCTION("""COMPUTED_VALUE"""),"sâu sắc")</f>
        <v>sâu sắc</v>
      </c>
      <c r="H1988" s="13" t="str">
        <f ca="1">IFERROR(__xludf.DUMMYFUNCTION("""COMPUTED_VALUE"""),"她的演讲给我留下了深刻的印象。")</f>
        <v>她的演讲给我留下了深刻的印象。</v>
      </c>
      <c r="I1988" s="13"/>
      <c r="J1988" s="13" t="str">
        <f ca="1">IFERROR(__xludf.DUMMYFUNCTION("""COMPUTED_VALUE"""),"Bài phát biểu của cô ấy đã để lại ấn tượng sâu sắc trong tôi.")</f>
        <v>Bài phát biểu của cô ấy đã để lại ấn tượng sâu sắc trong tôi.</v>
      </c>
      <c r="K1988" s="13" t="str">
        <f ca="1">IFERROR(__xludf.DUMMYFUNCTION("""COMPUTED_VALUE"""),"H5_B17_BG-17.png")</f>
        <v>H5_B17_BG-17.png</v>
      </c>
      <c r="L1988" s="13" t="str">
        <f ca="1">IFERROR(__xludf.DUMMYFUNCTION("""COMPUTED_VALUE"""),"B17_17.mp3")</f>
        <v>B17_17.mp3</v>
      </c>
      <c r="M1988" s="13" t="str">
        <f ca="1">IFERROR(__xludf.DUMMYFUNCTION("""COMPUTED_VALUE"""),"B17_VD_17.mp3")</f>
        <v>B17_VD_17.mp3</v>
      </c>
    </row>
    <row r="1989" spans="1:13">
      <c r="A1989" s="13">
        <f ca="1">IFERROR(__xludf.DUMMYFUNCTION("""COMPUTED_VALUE"""),18)</f>
        <v>18</v>
      </c>
      <c r="B1989" s="13"/>
      <c r="C1989" s="13" t="str">
        <f ca="1">IFERROR(__xludf.DUMMYFUNCTION("""COMPUTED_VALUE"""),"体会")</f>
        <v>体会</v>
      </c>
      <c r="D1989" s="13" t="str">
        <f ca="1">IFERROR(__xludf.DUMMYFUNCTION("""COMPUTED_VALUE"""),"&lt;ruby&gt;体会&lt;rt&gt;tǐhuì&lt;/rt&gt;&lt;/ruby&gt;")</f>
        <v>&lt;ruby&gt;体会&lt;rt&gt;tǐhuì&lt;/rt&gt;&lt;/ruby&gt;</v>
      </c>
      <c r="E1989" s="13" t="str">
        <f ca="1">IFERROR(__xludf.DUMMYFUNCTION("""COMPUTED_VALUE"""),"tǐhuì")</f>
        <v>tǐhuì</v>
      </c>
      <c r="F1989" s="13" t="str">
        <f ca="1">IFERROR(__xludf.DUMMYFUNCTION("""COMPUTED_VALUE"""),"Động từ/Danh từ")</f>
        <v>Động từ/Danh từ</v>
      </c>
      <c r="G1989" s="13" t="str">
        <f ca="1">IFERROR(__xludf.DUMMYFUNCTION("""COMPUTED_VALUE"""),"hiểu rõ, nhận thức rõ; nhận thức")</f>
        <v>hiểu rõ, nhận thức rõ; nhận thức</v>
      </c>
      <c r="H1989" s="13" t="str">
        <f ca="1">IFERROR(__xludf.DUMMYFUNCTION("""COMPUTED_VALUE"""),"通过每天锻炼，我体会到了健康的重要性。")</f>
        <v>通过每天锻炼，我体会到了健康的重要性。</v>
      </c>
      <c r="I1989" s="13"/>
      <c r="J1989" s="13" t="str">
        <f ca="1">IFERROR(__xludf.DUMMYFUNCTION("""COMPUTED_VALUE"""),"Qua việc tập luyện mỗi ngày, tôi nhận ra tầm quan trọng của sức khỏe.")</f>
        <v>Qua việc tập luyện mỗi ngày, tôi nhận ra tầm quan trọng của sức khỏe.</v>
      </c>
      <c r="K1989" s="13" t="str">
        <f ca="1">IFERROR(__xludf.DUMMYFUNCTION("""COMPUTED_VALUE"""),"H5_B17_BG-18.png")</f>
        <v>H5_B17_BG-18.png</v>
      </c>
      <c r="L1989" s="13" t="str">
        <f ca="1">IFERROR(__xludf.DUMMYFUNCTION("""COMPUTED_VALUE"""),"B17_18.mp3")</f>
        <v>B17_18.mp3</v>
      </c>
      <c r="M1989" s="13" t="str">
        <f ca="1">IFERROR(__xludf.DUMMYFUNCTION("""COMPUTED_VALUE"""),"B17_VD_18.mp3")</f>
        <v>B17_VD_18.mp3</v>
      </c>
    </row>
    <row r="1990" spans="1:13">
      <c r="A1990" s="13">
        <f ca="1">IFERROR(__xludf.DUMMYFUNCTION("""COMPUTED_VALUE"""),19)</f>
        <v>19</v>
      </c>
      <c r="B1990" s="13"/>
      <c r="C1990" s="13" t="str">
        <f ca="1">IFERROR(__xludf.DUMMYFUNCTION("""COMPUTED_VALUE"""),"迅速")</f>
        <v>迅速</v>
      </c>
      <c r="D1990" s="13" t="str">
        <f ca="1">IFERROR(__xludf.DUMMYFUNCTION("""COMPUTED_VALUE"""),"&lt;ruby&gt;迅速&lt;rt&gt;xùnsù&lt;/rt&gt;&lt;/ruby&gt;")</f>
        <v>&lt;ruby&gt;迅速&lt;rt&gt;xùnsù&lt;/rt&gt;&lt;/ruby&gt;</v>
      </c>
      <c r="E1990" s="13" t="str">
        <f ca="1">IFERROR(__xludf.DUMMYFUNCTION("""COMPUTED_VALUE"""),"xùnsù")</f>
        <v>xùnsù</v>
      </c>
      <c r="F1990" s="13" t="str">
        <f ca="1">IFERROR(__xludf.DUMMYFUNCTION("""COMPUTED_VALUE"""),"Tính từ")</f>
        <v>Tính từ</v>
      </c>
      <c r="G1990" s="13" t="str">
        <f ca="1">IFERROR(__xludf.DUMMYFUNCTION("""COMPUTED_VALUE"""),"nhanh chóng")</f>
        <v>nhanh chóng</v>
      </c>
      <c r="H1990" s="13" t="str">
        <f ca="1">IFERROR(__xludf.DUMMYFUNCTION("""COMPUTED_VALUE"""),"消防员迅速赶到现场，并扑灭了火灾。")</f>
        <v>消防员迅速赶到现场，并扑灭了火灾。</v>
      </c>
      <c r="I1990" s="13"/>
      <c r="J1990" s="13" t="str">
        <f ca="1">IFERROR(__xludf.DUMMYFUNCTION("""COMPUTED_VALUE"""),"Lính cứu hỏa đã nhanh chóng đến hiện trường và thành công dập tắt đám cháy.")</f>
        <v>Lính cứu hỏa đã nhanh chóng đến hiện trường và thành công dập tắt đám cháy.</v>
      </c>
      <c r="K1990" s="13" t="str">
        <f ca="1">IFERROR(__xludf.DUMMYFUNCTION("""COMPUTED_VALUE"""),"H5_B17_BG-19.png")</f>
        <v>H5_B17_BG-19.png</v>
      </c>
      <c r="L1990" s="13" t="str">
        <f ca="1">IFERROR(__xludf.DUMMYFUNCTION("""COMPUTED_VALUE"""),"B17_19.mp3")</f>
        <v>B17_19.mp3</v>
      </c>
      <c r="M1990" s="13" t="str">
        <f ca="1">IFERROR(__xludf.DUMMYFUNCTION("""COMPUTED_VALUE"""),"B17_VD_19.mp3")</f>
        <v>B17_VD_19.mp3</v>
      </c>
    </row>
    <row r="1991" spans="1:13">
      <c r="A1991" s="13">
        <f ca="1">IFERROR(__xludf.DUMMYFUNCTION("""COMPUTED_VALUE"""),20)</f>
        <v>20</v>
      </c>
      <c r="B1991" s="13"/>
      <c r="C1991" s="13" t="str">
        <f ca="1">IFERROR(__xludf.DUMMYFUNCTION("""COMPUTED_VALUE"""),"依然")</f>
        <v>依然</v>
      </c>
      <c r="D1991" s="13" t="str">
        <f ca="1">IFERROR(__xludf.DUMMYFUNCTION("""COMPUTED_VALUE"""),"&lt;ruby&gt;依然&lt;rt&gt;yīrán&lt;/rt&gt;&lt;/ruby&gt;")</f>
        <v>&lt;ruby&gt;依然&lt;rt&gt;yīrán&lt;/rt&gt;&lt;/ruby&gt;</v>
      </c>
      <c r="E1991" s="13" t="str">
        <f ca="1">IFERROR(__xludf.DUMMYFUNCTION("""COMPUTED_VALUE"""),"yīrán")</f>
        <v>yīrán</v>
      </c>
      <c r="F1991" s="13" t="str">
        <f ca="1">IFERROR(__xludf.DUMMYFUNCTION("""COMPUTED_VALUE"""),"Phó từ")</f>
        <v>Phó từ</v>
      </c>
      <c r="G1991" s="13" t="str">
        <f ca="1">IFERROR(__xludf.DUMMYFUNCTION("""COMPUTED_VALUE"""),"vẫn, vẫn như cũ")</f>
        <v>vẫn, vẫn như cũ</v>
      </c>
      <c r="H1991" s="13" t="str">
        <f ca="1">IFERROR(__xludf.DUMMYFUNCTION("""COMPUTED_VALUE"""),"多年未回家乡，故乡的风景依然如故。")</f>
        <v>多年未回家乡，故乡的风景依然如故。</v>
      </c>
      <c r="I1991" s="13"/>
      <c r="J1991" s="13" t="str">
        <f ca="1">IFERROR(__xludf.DUMMYFUNCTION("""COMPUTED_VALUE"""),"Nhiều năm chưa về quê, cảnh sắc quê hương vẫn như xưa.")</f>
        <v>Nhiều năm chưa về quê, cảnh sắc quê hương vẫn như xưa.</v>
      </c>
      <c r="K1991" s="13" t="str">
        <f ca="1">IFERROR(__xludf.DUMMYFUNCTION("""COMPUTED_VALUE"""),"H5_B17_BG-20.png")</f>
        <v>H5_B17_BG-20.png</v>
      </c>
      <c r="L1991" s="13" t="str">
        <f ca="1">IFERROR(__xludf.DUMMYFUNCTION("""COMPUTED_VALUE"""),"B17_20.mp3")</f>
        <v>B17_20.mp3</v>
      </c>
      <c r="M1991" s="13" t="str">
        <f ca="1">IFERROR(__xludf.DUMMYFUNCTION("""COMPUTED_VALUE"""),"B17_VD_20.mp3")</f>
        <v>B17_VD_20.mp3</v>
      </c>
    </row>
    <row r="1992" spans="1:13">
      <c r="A1992" s="13">
        <f ca="1">IFERROR(__xludf.DUMMYFUNCTION("""COMPUTED_VALUE"""),21)</f>
        <v>21</v>
      </c>
      <c r="B1992" s="13"/>
      <c r="C1992" s="13" t="str">
        <f ca="1">IFERROR(__xludf.DUMMYFUNCTION("""COMPUTED_VALUE"""),"糟糕")</f>
        <v>糟糕</v>
      </c>
      <c r="D1992" s="13" t="str">
        <f ca="1">IFERROR(__xludf.DUMMYFUNCTION("""COMPUTED_VALUE"""),"&lt;ruby&gt;糟糕&lt;rt&gt;zāogāo&lt;/rt&gt;&lt;/ruby&gt;")</f>
        <v>&lt;ruby&gt;糟糕&lt;rt&gt;zāogāo&lt;/rt&gt;&lt;/ruby&gt;</v>
      </c>
      <c r="E1992" s="13" t="str">
        <f ca="1">IFERROR(__xludf.DUMMYFUNCTION("""COMPUTED_VALUE"""),"zāogāo")</f>
        <v>zāogāo</v>
      </c>
      <c r="F1992" s="13" t="str">
        <f ca="1">IFERROR(__xludf.DUMMYFUNCTION("""COMPUTED_VALUE"""),"Tính từ")</f>
        <v>Tính từ</v>
      </c>
      <c r="G1992" s="13" t="str">
        <f ca="1">IFERROR(__xludf.DUMMYFUNCTION("""COMPUTED_VALUE"""),"tồi tệ, hỏng bét")</f>
        <v>tồi tệ, hỏng bét</v>
      </c>
      <c r="H1992" s="13" t="str">
        <f ca="1">IFERROR(__xludf.DUMMYFUNCTION("""COMPUTED_VALUE"""),"我的手机掉地上摔坏了，真是太糟糕了！")</f>
        <v>我的手机掉地上摔坏了，真是太糟糕了！</v>
      </c>
      <c r="I1992" s="13"/>
      <c r="J1992" s="13" t="str">
        <f ca="1">IFERROR(__xludf.DUMMYFUNCTION("""COMPUTED_VALUE"""),"Tôi làm rơi vỡ điện thoại, thật là tồi tệ!")</f>
        <v>Tôi làm rơi vỡ điện thoại, thật là tồi tệ!</v>
      </c>
      <c r="K1992" s="13" t="str">
        <f ca="1">IFERROR(__xludf.DUMMYFUNCTION("""COMPUTED_VALUE"""),"H5_B17_BG-21.png")</f>
        <v>H5_B17_BG-21.png</v>
      </c>
      <c r="L1992" s="13" t="str">
        <f ca="1">IFERROR(__xludf.DUMMYFUNCTION("""COMPUTED_VALUE"""),"B17_21.mp3")</f>
        <v>B17_21.mp3</v>
      </c>
      <c r="M1992" s="13" t="str">
        <f ca="1">IFERROR(__xludf.DUMMYFUNCTION("""COMPUTED_VALUE"""),"B17_VD_21.mp3")</f>
        <v>B17_VD_21.mp3</v>
      </c>
    </row>
    <row r="1993" spans="1:13">
      <c r="A1993" s="13">
        <f ca="1">IFERROR(__xludf.DUMMYFUNCTION("""COMPUTED_VALUE"""),22)</f>
        <v>22</v>
      </c>
      <c r="B1993" s="13"/>
      <c r="C1993" s="13" t="str">
        <f ca="1">IFERROR(__xludf.DUMMYFUNCTION("""COMPUTED_VALUE"""),"烂")</f>
        <v>烂</v>
      </c>
      <c r="D1993" s="13" t="str">
        <f ca="1">IFERROR(__xludf.DUMMYFUNCTION("""COMPUTED_VALUE"""),"&lt;ruby&gt;烂&lt;rt&gt;làn&lt;/rt&gt;&lt;/ruby&gt;")</f>
        <v>&lt;ruby&gt;烂&lt;rt&gt;làn&lt;/rt&gt;&lt;/ruby&gt;</v>
      </c>
      <c r="E1993" s="13" t="str">
        <f ca="1">IFERROR(__xludf.DUMMYFUNCTION("""COMPUTED_VALUE"""),"làn")</f>
        <v>làn</v>
      </c>
      <c r="F1993" s="13" t="str">
        <f ca="1">IFERROR(__xludf.DUMMYFUNCTION("""COMPUTED_VALUE"""),"Tính từ")</f>
        <v>Tính từ</v>
      </c>
      <c r="G1993" s="13" t="str">
        <f ca="1">IFERROR(__xludf.DUMMYFUNCTION("""COMPUTED_VALUE"""),"dở, tệ, thối rữa, rách nát")</f>
        <v>dở, tệ, thối rữa, rách nát</v>
      </c>
      <c r="H1993" s="13" t="str">
        <f ca="1">IFERROR(__xludf.DUMMYFUNCTION("""COMPUTED_VALUE"""),"这些水果都已经烂了，不能再吃了。")</f>
        <v>这些水果都已经烂了，不能再吃了。</v>
      </c>
      <c r="I1993" s="13"/>
      <c r="J1993" s="13" t="str">
        <f ca="1">IFERROR(__xludf.DUMMYFUNCTION("""COMPUTED_VALUE"""),"Đống trái cây đó đều đã thối rữa, không thể ăn được nữa.")</f>
        <v>Đống trái cây đó đều đã thối rữa, không thể ăn được nữa.</v>
      </c>
      <c r="K1993" s="13" t="str">
        <f ca="1">IFERROR(__xludf.DUMMYFUNCTION("""COMPUTED_VALUE"""),"H5_B17_BG-22.png")</f>
        <v>H5_B17_BG-22.png</v>
      </c>
      <c r="L1993" s="13" t="str">
        <f ca="1">IFERROR(__xludf.DUMMYFUNCTION("""COMPUTED_VALUE"""),"B17_22.mp3")</f>
        <v>B17_22.mp3</v>
      </c>
      <c r="M1993" s="13" t="str">
        <f ca="1">IFERROR(__xludf.DUMMYFUNCTION("""COMPUTED_VALUE"""),"B17_VD_22.mp3")</f>
        <v>B17_VD_22.mp3</v>
      </c>
    </row>
    <row r="1994" spans="1:13">
      <c r="A1994" s="13">
        <f ca="1">IFERROR(__xludf.DUMMYFUNCTION("""COMPUTED_VALUE"""),23)</f>
        <v>23</v>
      </c>
      <c r="B1994" s="13"/>
      <c r="C1994" s="13" t="str">
        <f ca="1">IFERROR(__xludf.DUMMYFUNCTION("""COMPUTED_VALUE"""),"度过")</f>
        <v>度过</v>
      </c>
      <c r="D1994" s="13" t="str">
        <f ca="1">IFERROR(__xludf.DUMMYFUNCTION("""COMPUTED_VALUE"""),"&lt;ruby&gt;度过&lt;rt&gt;dùguò&lt;/rt&gt;&lt;/ruby&gt;")</f>
        <v>&lt;ruby&gt;度过&lt;rt&gt;dùguò&lt;/rt&gt;&lt;/ruby&gt;</v>
      </c>
      <c r="E1994" s="13" t="str">
        <f ca="1">IFERROR(__xludf.DUMMYFUNCTION("""COMPUTED_VALUE"""),"dùguò")</f>
        <v>dùguò</v>
      </c>
      <c r="F1994" s="13" t="str">
        <f ca="1">IFERROR(__xludf.DUMMYFUNCTION("""COMPUTED_VALUE"""),"Động từ")</f>
        <v>Động từ</v>
      </c>
      <c r="G1994" s="13" t="str">
        <f ca="1">IFERROR(__xludf.DUMMYFUNCTION("""COMPUTED_VALUE"""),"trải qua")</f>
        <v>trải qua</v>
      </c>
      <c r="H1994" s="13" t="str">
        <f ca="1">IFERROR(__xludf.DUMMYFUNCTION("""COMPUTED_VALUE"""),"我们一起度过了一个美好的假期。")</f>
        <v>我们一起度过了一个美好的假期。</v>
      </c>
      <c r="I1994" s="13"/>
      <c r="J1994" s="13" t="str">
        <f ca="1">IFERROR(__xludf.DUMMYFUNCTION("""COMPUTED_VALUE"""),"Chúng tôi đã cùng nhau trải qua một kỳ nghỉ tuyệt vời.")</f>
        <v>Chúng tôi đã cùng nhau trải qua một kỳ nghỉ tuyệt vời.</v>
      </c>
      <c r="K1994" s="13" t="str">
        <f ca="1">IFERROR(__xludf.DUMMYFUNCTION("""COMPUTED_VALUE"""),"H5_B17_BG-23.png")</f>
        <v>H5_B17_BG-23.png</v>
      </c>
      <c r="L1994" s="13" t="str">
        <f ca="1">IFERROR(__xludf.DUMMYFUNCTION("""COMPUTED_VALUE"""),"B17_23.mp3")</f>
        <v>B17_23.mp3</v>
      </c>
      <c r="M1994" s="13" t="str">
        <f ca="1">IFERROR(__xludf.DUMMYFUNCTION("""COMPUTED_VALUE"""),"B17_VD_23.mp3")</f>
        <v>B17_VD_23.mp3</v>
      </c>
    </row>
    <row r="1995" spans="1:13">
      <c r="A1995" s="13">
        <f ca="1">IFERROR(__xludf.DUMMYFUNCTION("""COMPUTED_VALUE"""),24)</f>
        <v>24</v>
      </c>
      <c r="B1995" s="13"/>
      <c r="C1995" s="13" t="str">
        <f ca="1">IFERROR(__xludf.DUMMYFUNCTION("""COMPUTED_VALUE"""),"告别")</f>
        <v>告别</v>
      </c>
      <c r="D1995" s="13" t="str">
        <f ca="1">IFERROR(__xludf.DUMMYFUNCTION("""COMPUTED_VALUE"""),"&lt;ruby&gt;告别&lt;rt&gt;gàobié&lt;/rt&gt;&lt;/ruby&gt;")</f>
        <v>&lt;ruby&gt;告别&lt;rt&gt;gàobié&lt;/rt&gt;&lt;/ruby&gt;</v>
      </c>
      <c r="E1995" s="13" t="str">
        <f ca="1">IFERROR(__xludf.DUMMYFUNCTION("""COMPUTED_VALUE"""),"gàobié")</f>
        <v>gàobié</v>
      </c>
      <c r="F1995" s="13" t="str">
        <f ca="1">IFERROR(__xludf.DUMMYFUNCTION("""COMPUTED_VALUE"""),"Động từ")</f>
        <v>Động từ</v>
      </c>
      <c r="G1995" s="13" t="str">
        <f ca="1">IFERROR(__xludf.DUMMYFUNCTION("""COMPUTED_VALUE"""),"tạm biệt, tư biệt")</f>
        <v>tạm biệt, tư biệt</v>
      </c>
      <c r="H1995" s="13" t="str">
        <f ca="1">IFERROR(__xludf.DUMMYFUNCTION("""COMPUTED_VALUE"""),"她告别了家人，独自一人去国外留学。")</f>
        <v>她告别了家人，独自一人去国外留学。</v>
      </c>
      <c r="I1995" s="13"/>
      <c r="J1995" s="13" t="str">
        <f ca="1">IFERROR(__xludf.DUMMYFUNCTION("""COMPUTED_VALUE"""),"Cô ấy tạm biệt gia đình, một mình đi du học ở nước ngoài.")</f>
        <v>Cô ấy tạm biệt gia đình, một mình đi du học ở nước ngoài.</v>
      </c>
      <c r="K1995" s="13" t="str">
        <f ca="1">IFERROR(__xludf.DUMMYFUNCTION("""COMPUTED_VALUE"""),"H5_B17_BG-24.png")</f>
        <v>H5_B17_BG-24.png</v>
      </c>
      <c r="L1995" s="13" t="str">
        <f ca="1">IFERROR(__xludf.DUMMYFUNCTION("""COMPUTED_VALUE"""),"B17_24.mp3")</f>
        <v>B17_24.mp3</v>
      </c>
      <c r="M1995" s="13" t="str">
        <f ca="1">IFERROR(__xludf.DUMMYFUNCTION("""COMPUTED_VALUE"""),"B17_VD_24.mp3")</f>
        <v>B17_VD_24.mp3</v>
      </c>
    </row>
    <row r="1996" spans="1:13">
      <c r="A1996" s="13">
        <f ca="1">IFERROR(__xludf.DUMMYFUNCTION("""COMPUTED_VALUE"""),25)</f>
        <v>25</v>
      </c>
      <c r="B1996" s="13"/>
      <c r="C1996" s="13" t="str">
        <f ca="1">IFERROR(__xludf.DUMMYFUNCTION("""COMPUTED_VALUE"""),"宁可")</f>
        <v>宁可</v>
      </c>
      <c r="D1996" s="13" t="str">
        <f ca="1">IFERROR(__xludf.DUMMYFUNCTION("""COMPUTED_VALUE"""),"&lt;ruby&gt;宁可&lt;rt&gt;nìngkě&lt;/rt&gt;&lt;/ruby&gt;")</f>
        <v>&lt;ruby&gt;宁可&lt;rt&gt;nìngkě&lt;/rt&gt;&lt;/ruby&gt;</v>
      </c>
      <c r="E1996" s="13" t="str">
        <f ca="1">IFERROR(__xludf.DUMMYFUNCTION("""COMPUTED_VALUE"""),"nìngkě")</f>
        <v>nìngkě</v>
      </c>
      <c r="F1996" s="13" t="str">
        <f ca="1">IFERROR(__xludf.DUMMYFUNCTION("""COMPUTED_VALUE"""),"Phó từ ")</f>
        <v xml:space="preserve">Phó từ </v>
      </c>
      <c r="G1996" s="13" t="str">
        <f ca="1">IFERROR(__xludf.DUMMYFUNCTION("""COMPUTED_VALUE"""),"thà rằng, thà")</f>
        <v>thà rằng, thà</v>
      </c>
      <c r="H1996" s="13" t="str">
        <f ca="1">IFERROR(__xludf.DUMMYFUNCTION("""COMPUTED_VALUE"""),"我宁可少睡一会儿，也要把作业写完。")</f>
        <v>我宁可少睡一会儿，也要把作业写完。</v>
      </c>
      <c r="I1996" s="13"/>
      <c r="J1996" s="13" t="str">
        <f ca="1">IFERROR(__xludf.DUMMYFUNCTION("""COMPUTED_VALUE"""),"Tôi thà ngủ ít một chút còn hơn không hoàn thành bài tập.")</f>
        <v>Tôi thà ngủ ít một chút còn hơn không hoàn thành bài tập.</v>
      </c>
      <c r="K1996" s="13" t="str">
        <f ca="1">IFERROR(__xludf.DUMMYFUNCTION("""COMPUTED_VALUE"""),"H5_B17_BG-25.png")</f>
        <v>H5_B17_BG-25.png</v>
      </c>
      <c r="L1996" s="13" t="str">
        <f ca="1">IFERROR(__xludf.DUMMYFUNCTION("""COMPUTED_VALUE"""),"B17_25.mp3")</f>
        <v>B17_25.mp3</v>
      </c>
      <c r="M1996" s="13" t="str">
        <f ca="1">IFERROR(__xludf.DUMMYFUNCTION("""COMPUTED_VALUE"""),"B17_VD_25.mp3")</f>
        <v>B17_VD_25.mp3</v>
      </c>
    </row>
    <row r="1997" spans="1:13">
      <c r="A1997" s="13">
        <f ca="1">IFERROR(__xludf.DUMMYFUNCTION("""COMPUTED_VALUE"""),26)</f>
        <v>26</v>
      </c>
      <c r="B1997" s="13"/>
      <c r="C1997" s="13" t="str">
        <f ca="1">IFERROR(__xludf.DUMMYFUNCTION("""COMPUTED_VALUE"""),"事物")</f>
        <v>事物</v>
      </c>
      <c r="D1997" s="13" t="str">
        <f ca="1">IFERROR(__xludf.DUMMYFUNCTION("""COMPUTED_VALUE"""),"&lt;ruby&gt;事物&lt;rt&gt;shìwù&lt;/rt&gt;&lt;/ruby&gt;")</f>
        <v>&lt;ruby&gt;事物&lt;rt&gt;shìwù&lt;/rt&gt;&lt;/ruby&gt;</v>
      </c>
      <c r="E1997" s="13" t="str">
        <f ca="1">IFERROR(__xludf.DUMMYFUNCTION("""COMPUTED_VALUE"""),"shìwù")</f>
        <v>shìwù</v>
      </c>
      <c r="F1997" s="13" t="str">
        <f ca="1">IFERROR(__xludf.DUMMYFUNCTION("""COMPUTED_VALUE"""),"Danh từ")</f>
        <v>Danh từ</v>
      </c>
      <c r="G1997" s="13" t="str">
        <f ca="1">IFERROR(__xludf.DUMMYFUNCTION("""COMPUTED_VALUE"""),"sự vật")</f>
        <v>sự vật</v>
      </c>
      <c r="H1997" s="13" t="str">
        <f ca="1">IFERROR(__xludf.DUMMYFUNCTION("""COMPUTED_VALUE"""),"我对未知的事物总是充满好奇。")</f>
        <v>我对未知的事物总是充满好奇。</v>
      </c>
      <c r="I1997" s="13"/>
      <c r="J1997" s="13" t="str">
        <f ca="1">IFERROR(__xludf.DUMMYFUNCTION("""COMPUTED_VALUE"""),"Tôi luôn đầy tò mò về những sự vật chưa biết.")</f>
        <v>Tôi luôn đầy tò mò về những sự vật chưa biết.</v>
      </c>
      <c r="K1997" s="13" t="str">
        <f ca="1">IFERROR(__xludf.DUMMYFUNCTION("""COMPUTED_VALUE"""),"H5_B17_BG-26.png")</f>
        <v>H5_B17_BG-26.png</v>
      </c>
      <c r="L1997" s="13" t="str">
        <f ca="1">IFERROR(__xludf.DUMMYFUNCTION("""COMPUTED_VALUE"""),"B17_26.mp3")</f>
        <v>B17_26.mp3</v>
      </c>
      <c r="M1997" s="13" t="str">
        <f ca="1">IFERROR(__xludf.DUMMYFUNCTION("""COMPUTED_VALUE"""),"B17_VD_26.mp3")</f>
        <v>B17_VD_26.mp3</v>
      </c>
    </row>
    <row r="1998" spans="1:13">
      <c r="A1998" s="13">
        <f ca="1">IFERROR(__xludf.DUMMYFUNCTION("""COMPUTED_VALUE"""),27)</f>
        <v>27</v>
      </c>
      <c r="B1998" s="13"/>
      <c r="C1998" s="13" t="str">
        <f ca="1">IFERROR(__xludf.DUMMYFUNCTION("""COMPUTED_VALUE"""),"投入")</f>
        <v>投入</v>
      </c>
      <c r="D1998" s="13" t="str">
        <f ca="1">IFERROR(__xludf.DUMMYFUNCTION("""COMPUTED_VALUE"""),"&lt;ruby&gt;投入&lt;rt&gt;tóurù&lt;/rt&gt;&lt;/ruby&gt;")</f>
        <v>&lt;ruby&gt;投入&lt;rt&gt;tóurù&lt;/rt&gt;&lt;/ruby&gt;</v>
      </c>
      <c r="E1998" s="13" t="str">
        <f ca="1">IFERROR(__xludf.DUMMYFUNCTION("""COMPUTED_VALUE"""),"tóurù")</f>
        <v>tóurù</v>
      </c>
      <c r="F1998" s="13" t="str">
        <f ca="1">IFERROR(__xludf.DUMMYFUNCTION("""COMPUTED_VALUE"""),"Động từ/Danh từ/
Tính từ")</f>
        <v>Động từ/Danh từ/
Tính từ</v>
      </c>
      <c r="G1998" s="13" t="str">
        <f ca="1">IFERROR(__xludf.DUMMYFUNCTION("""COMPUTED_VALUE"""),"đưa vào, bỏ vốn; kinh phí đầu tu; xuất thần")</f>
        <v>đưa vào, bỏ vốn; kinh phí đầu tu; xuất thần</v>
      </c>
      <c r="H1998" s="13" t="str">
        <f ca="1">IFERROR(__xludf.DUMMYFUNCTION("""COMPUTED_VALUE"""),"他投入了很多钱。")</f>
        <v>他投入了很多钱。</v>
      </c>
      <c r="I1998" s="13"/>
      <c r="J1998" s="13" t="str">
        <f ca="1">IFERROR(__xludf.DUMMYFUNCTION("""COMPUTED_VALUE"""),"Anh ấy đã đầu tư rất nhiều tiền.")</f>
        <v>Anh ấy đã đầu tư rất nhiều tiền.</v>
      </c>
      <c r="K1998" s="13" t="str">
        <f ca="1">IFERROR(__xludf.DUMMYFUNCTION("""COMPUTED_VALUE"""),"H5_B17_BG-27.png")</f>
        <v>H5_B17_BG-27.png</v>
      </c>
      <c r="L1998" s="13" t="str">
        <f ca="1">IFERROR(__xludf.DUMMYFUNCTION("""COMPUTED_VALUE"""),"B17_27.mp3")</f>
        <v>B17_27.mp3</v>
      </c>
      <c r="M1998" s="13" t="str">
        <f ca="1">IFERROR(__xludf.DUMMYFUNCTION("""COMPUTED_VALUE"""),"B17_VD_27.mp3")</f>
        <v>B17_VD_27.mp3</v>
      </c>
    </row>
    <row r="1999" spans="1:13">
      <c r="A1999" s="13">
        <f ca="1">IFERROR(__xludf.DUMMYFUNCTION("""COMPUTED_VALUE"""),28)</f>
        <v>28</v>
      </c>
      <c r="B1999" s="13"/>
      <c r="C1999" s="13" t="str">
        <f ca="1">IFERROR(__xludf.DUMMYFUNCTION("""COMPUTED_VALUE"""),"推荐")</f>
        <v>推荐</v>
      </c>
      <c r="D1999" s="13" t="str">
        <f ca="1">IFERROR(__xludf.DUMMYFUNCTION("""COMPUTED_VALUE"""),"&lt;ruby&gt;推荐&lt;rt&gt;tuījiàn&lt;/rt&gt;&lt;/ruby&gt;")</f>
        <v>&lt;ruby&gt;推荐&lt;rt&gt;tuījiàn&lt;/rt&gt;&lt;/ruby&gt;</v>
      </c>
      <c r="E1999" s="13" t="str">
        <f ca="1">IFERROR(__xludf.DUMMYFUNCTION("""COMPUTED_VALUE"""),"tuījiàn")</f>
        <v>tuījiàn</v>
      </c>
      <c r="F1999" s="13" t="str">
        <f ca="1">IFERROR(__xludf.DUMMYFUNCTION("""COMPUTED_VALUE"""),"Động từ")</f>
        <v>Động từ</v>
      </c>
      <c r="G1999" s="13" t="str">
        <f ca="1">IFERROR(__xludf.DUMMYFUNCTION("""COMPUTED_VALUE"""),"giới thiệu, tiến cử")</f>
        <v>giới thiệu, tiến cử</v>
      </c>
      <c r="H1999" s="13" t="str">
        <f ca="1">IFERROR(__xludf.DUMMYFUNCTION("""COMPUTED_VALUE"""),"我向你推荐这道菜，它非常好吃。")</f>
        <v>我向你推荐这道菜，它非常好吃。</v>
      </c>
      <c r="I1999" s="13"/>
      <c r="J1999" s="13" t="str">
        <f ca="1">IFERROR(__xludf.DUMMYFUNCTION("""COMPUTED_VALUE"""),"Tôi giới thiệu món này cho bạn, nó rất ngon.")</f>
        <v>Tôi giới thiệu món này cho bạn, nó rất ngon.</v>
      </c>
      <c r="K1999" s="13" t="str">
        <f ca="1">IFERROR(__xludf.DUMMYFUNCTION("""COMPUTED_VALUE"""),"H5_B17_BG-28.png")</f>
        <v>H5_B17_BG-28.png</v>
      </c>
      <c r="L1999" s="13" t="str">
        <f ca="1">IFERROR(__xludf.DUMMYFUNCTION("""COMPUTED_VALUE"""),"B17_28.mp3")</f>
        <v>B17_28.mp3</v>
      </c>
      <c r="M1999" s="13" t="str">
        <f ca="1">IFERROR(__xludf.DUMMYFUNCTION("""COMPUTED_VALUE"""),"B17_VD_28.mp3")</f>
        <v>B17_VD_28.mp3</v>
      </c>
    </row>
    <row r="2000" spans="1:13">
      <c r="A2000" s="13">
        <f ca="1">IFERROR(__xludf.DUMMYFUNCTION("""COMPUTED_VALUE"""),29)</f>
        <v>29</v>
      </c>
      <c r="B2000" s="13"/>
      <c r="C2000" s="13" t="str">
        <f ca="1">IFERROR(__xludf.DUMMYFUNCTION("""COMPUTED_VALUE"""),"以")</f>
        <v>以</v>
      </c>
      <c r="D2000" s="13" t="str">
        <f ca="1">IFERROR(__xludf.DUMMYFUNCTION("""COMPUTED_VALUE"""),"&lt;ruby&gt;以&lt;rt&gt;yǐ&lt;/rt&gt;&lt;/ruby&gt;")</f>
        <v>&lt;ruby&gt;以&lt;rt&gt;yǐ&lt;/rt&gt;&lt;/ruby&gt;</v>
      </c>
      <c r="E2000" s="13" t="str">
        <f ca="1">IFERROR(__xludf.DUMMYFUNCTION("""COMPUTED_VALUE"""),"yǐ")</f>
        <v>yǐ</v>
      </c>
      <c r="F2000" s="13" t="str">
        <f ca="1">IFERROR(__xludf.DUMMYFUNCTION("""COMPUTED_VALUE"""),"Liên từ ")</f>
        <v xml:space="preserve">Liên từ </v>
      </c>
      <c r="G2000" s="13" t="str">
        <f ca="1">IFERROR(__xludf.DUMMYFUNCTION("""COMPUTED_VALUE"""),"để nhằm")</f>
        <v>để nhằm</v>
      </c>
      <c r="H2000" s="13" t="str">
        <f ca="1">IFERROR(__xludf.DUMMYFUNCTION("""COMPUTED_VALUE"""),"以减少污染，我们要减少使用塑料袋。")</f>
        <v>以减少污染，我们要减少使用塑料袋。</v>
      </c>
      <c r="I2000" s="13"/>
      <c r="J2000" s="13" t="str">
        <f ca="1">IFERROR(__xludf.DUMMYFUNCTION("""COMPUTED_VALUE"""),"Nhằm giảm ô nhiễm, chúng ta cần giảm sử dụng túi nilong.")</f>
        <v>Nhằm giảm ô nhiễm, chúng ta cần giảm sử dụng túi nilong.</v>
      </c>
      <c r="K2000" s="13" t="str">
        <f ca="1">IFERROR(__xludf.DUMMYFUNCTION("""COMPUTED_VALUE"""),"H5_B17_BG-29.png")</f>
        <v>H5_B17_BG-29.png</v>
      </c>
      <c r="L2000" s="13" t="str">
        <f ca="1">IFERROR(__xludf.DUMMYFUNCTION("""COMPUTED_VALUE"""),"B17_29.mp3")</f>
        <v>B17_29.mp3</v>
      </c>
      <c r="M2000" s="13" t="str">
        <f ca="1">IFERROR(__xludf.DUMMYFUNCTION("""COMPUTED_VALUE"""),"B17_VD_29.mp3")</f>
        <v>B17_VD_29.mp3</v>
      </c>
    </row>
    <row r="2001" spans="1:13">
      <c r="A2001" s="13">
        <f ca="1">IFERROR(__xludf.DUMMYFUNCTION("""COMPUTED_VALUE"""),30)</f>
        <v>30</v>
      </c>
      <c r="B2001" s="13"/>
      <c r="C2001" s="13" t="str">
        <f ca="1">IFERROR(__xludf.DUMMYFUNCTION("""COMPUTED_VALUE"""),"运用")</f>
        <v>运用</v>
      </c>
      <c r="D2001" s="13" t="str">
        <f ca="1">IFERROR(__xludf.DUMMYFUNCTION("""COMPUTED_VALUE"""),"&lt;ruby&gt;运用&lt;rt&gt;yùnyòng&lt;/rt&gt;&lt;/ruby&gt;")</f>
        <v>&lt;ruby&gt;运用&lt;rt&gt;yùnyòng&lt;/rt&gt;&lt;/ruby&gt;</v>
      </c>
      <c r="E2001" s="13" t="str">
        <f ca="1">IFERROR(__xludf.DUMMYFUNCTION("""COMPUTED_VALUE"""),"yùnyòng")</f>
        <v>yùnyòng</v>
      </c>
      <c r="F2001" s="13" t="str">
        <f ca="1">IFERROR(__xludf.DUMMYFUNCTION("""COMPUTED_VALUE"""),"Động từ")</f>
        <v>Động từ</v>
      </c>
      <c r="G2001" s="13" t="str">
        <f ca="1">IFERROR(__xludf.DUMMYFUNCTION("""COMPUTED_VALUE"""),"vận dụng, áp dụng")</f>
        <v>vận dụng, áp dụng</v>
      </c>
      <c r="H2001" s="13" t="str">
        <f ca="1">IFERROR(__xludf.DUMMYFUNCTION("""COMPUTED_VALUE"""),"他运用电脑学习。")</f>
        <v>他运用电脑学习。</v>
      </c>
      <c r="I2001" s="13"/>
      <c r="J2001" s="13" t="str">
        <f ca="1">IFERROR(__xludf.DUMMYFUNCTION("""COMPUTED_VALUE"""),"Anh ấy vận dụng máy tính để học tập.")</f>
        <v>Anh ấy vận dụng máy tính để học tập.</v>
      </c>
      <c r="K2001" s="13" t="str">
        <f ca="1">IFERROR(__xludf.DUMMYFUNCTION("""COMPUTED_VALUE"""),"H5_B17_BG-30.png")</f>
        <v>H5_B17_BG-30.png</v>
      </c>
      <c r="L2001" s="13" t="str">
        <f ca="1">IFERROR(__xludf.DUMMYFUNCTION("""COMPUTED_VALUE"""),"B17_30.mp3")</f>
        <v>B17_30.mp3</v>
      </c>
      <c r="M2001" s="13" t="str">
        <f ca="1">IFERROR(__xludf.DUMMYFUNCTION("""COMPUTED_VALUE"""),"B17_VD_30.mp3")</f>
        <v>B17_VD_30.mp3</v>
      </c>
    </row>
    <row r="2002" spans="1:13">
      <c r="A2002" s="13">
        <f ca="1">IFERROR(__xludf.DUMMYFUNCTION("""COMPUTED_VALUE"""),31)</f>
        <v>31</v>
      </c>
      <c r="B2002" s="13"/>
      <c r="C2002" s="13" t="str">
        <f ca="1">IFERROR(__xludf.DUMMYFUNCTION("""COMPUTED_VALUE"""),"争取")</f>
        <v>争取</v>
      </c>
      <c r="D2002" s="13" t="str">
        <f ca="1">IFERROR(__xludf.DUMMYFUNCTION("""COMPUTED_VALUE"""),"&lt;ruby&gt;争取&lt;rt&gt;zhēngqǔ&lt;/rt&gt;&lt;/ruby&gt;")</f>
        <v>&lt;ruby&gt;争取&lt;rt&gt;zhēngqǔ&lt;/rt&gt;&lt;/ruby&gt;</v>
      </c>
      <c r="E2002" s="13" t="str">
        <f ca="1">IFERROR(__xludf.DUMMYFUNCTION("""COMPUTED_VALUE"""),"zhēngqǔ")</f>
        <v>zhēngqǔ</v>
      </c>
      <c r="F2002" s="13" t="str">
        <f ca="1">IFERROR(__xludf.DUMMYFUNCTION("""COMPUTED_VALUE"""),"Động từ")</f>
        <v>Động từ</v>
      </c>
      <c r="G2002" s="13" t="str">
        <f ca="1">IFERROR(__xludf.DUMMYFUNCTION("""COMPUTED_VALUE"""),"cố gắng, tranh thủ, giành")</f>
        <v>cố gắng, tranh thủ, giành</v>
      </c>
      <c r="H2002" s="13" t="str">
        <f ca="1">IFERROR(__xludf.DUMMYFUNCTION("""COMPUTED_VALUE"""),"为了争取更好的成绩，他每天都练习到很晚。")</f>
        <v>为了争取更好的成绩，他每天都练习到很晚。</v>
      </c>
      <c r="I2002" s="13"/>
      <c r="J2002" s="13" t="str">
        <f ca="1">IFERROR(__xludf.DUMMYFUNCTION("""COMPUTED_VALUE"""),"Để đạt được thành tích tốt hơn, anh ấy luyện tập đến rất khuya mỗi ngày.")</f>
        <v>Để đạt được thành tích tốt hơn, anh ấy luyện tập đến rất khuya mỗi ngày.</v>
      </c>
      <c r="K2002" s="13" t="str">
        <f ca="1">IFERROR(__xludf.DUMMYFUNCTION("""COMPUTED_VALUE"""),"H5_B17_BG-31.png")</f>
        <v>H5_B17_BG-31.png</v>
      </c>
      <c r="L2002" s="13" t="str">
        <f ca="1">IFERROR(__xludf.DUMMYFUNCTION("""COMPUTED_VALUE"""),"B17_31.mp3")</f>
        <v>B17_31.mp3</v>
      </c>
      <c r="M2002" s="13" t="str">
        <f ca="1">IFERROR(__xludf.DUMMYFUNCTION("""COMPUTED_VALUE"""),"B17_VD_31.mp3")</f>
        <v>B17_VD_31.mp3</v>
      </c>
    </row>
    <row r="2003" spans="1:13">
      <c r="A2003" s="13">
        <f ca="1">IFERROR(__xludf.DUMMYFUNCTION("""COMPUTED_VALUE"""),32)</f>
        <v>32</v>
      </c>
      <c r="B2003" s="13"/>
      <c r="C2003" s="13" t="str">
        <f ca="1">IFERROR(__xludf.DUMMYFUNCTION("""COMPUTED_VALUE"""),"终点")</f>
        <v>终点</v>
      </c>
      <c r="D2003" s="13" t="str">
        <f ca="1">IFERROR(__xludf.DUMMYFUNCTION("""COMPUTED_VALUE"""),"&lt;ruby&gt;终点&lt;rt&gt;zhōngdiǎn&lt;/rt&gt;&lt;/ruby&gt;")</f>
        <v>&lt;ruby&gt;终点&lt;rt&gt;zhōngdiǎn&lt;/rt&gt;&lt;/ruby&gt;</v>
      </c>
      <c r="E2003" s="13" t="str">
        <f ca="1">IFERROR(__xludf.DUMMYFUNCTION("""COMPUTED_VALUE"""),"zhōngdiǎn")</f>
        <v>zhōngdiǎn</v>
      </c>
      <c r="F2003" s="13" t="str">
        <f ca="1">IFERROR(__xludf.DUMMYFUNCTION("""COMPUTED_VALUE"""),"Danh từ")</f>
        <v>Danh từ</v>
      </c>
      <c r="G2003" s="13" t="str">
        <f ca="1">IFERROR(__xludf.DUMMYFUNCTION("""COMPUTED_VALUE"""),"điểm cuối cùng, điểm kết thúc")</f>
        <v>điểm cuối cùng, điểm kết thúc</v>
      </c>
      <c r="H2003" s="13" t="str">
        <f ca="1">IFERROR(__xludf.DUMMYFUNCTION("""COMPUTED_VALUE"""),"跑步比赛的终点就在山脚下。")</f>
        <v>跑步比赛的终点就在山脚下。</v>
      </c>
      <c r="I2003" s="13"/>
      <c r="J2003" s="13" t="str">
        <f ca="1">IFERROR(__xludf.DUMMYFUNCTION("""COMPUTED_VALUE"""),"Điểm kết thúc của cuộc thi chạy nằm dưới chân núi.")</f>
        <v>Điểm kết thúc của cuộc thi chạy nằm dưới chân núi.</v>
      </c>
      <c r="K2003" s="13" t="str">
        <f ca="1">IFERROR(__xludf.DUMMYFUNCTION("""COMPUTED_VALUE"""),"H5_B17_BG-32.png")</f>
        <v>H5_B17_BG-32.png</v>
      </c>
      <c r="L2003" s="13" t="str">
        <f ca="1">IFERROR(__xludf.DUMMYFUNCTION("""COMPUTED_VALUE"""),"B17_32.mp3")</f>
        <v>B17_32.mp3</v>
      </c>
      <c r="M2003" s="13" t="str">
        <f ca="1">IFERROR(__xludf.DUMMYFUNCTION("""COMPUTED_VALUE"""),"B17_VD_32.mp3")</f>
        <v>B17_VD_32.mp3</v>
      </c>
    </row>
    <row r="2004" spans="1:13">
      <c r="A2004" s="13">
        <f ca="1">IFERROR(__xludf.DUMMYFUNCTION("""COMPUTED_VALUE"""),33)</f>
        <v>33</v>
      </c>
      <c r="B2004" s="13"/>
      <c r="C2004" s="13" t="str">
        <f ca="1">IFERROR(__xludf.DUMMYFUNCTION("""COMPUTED_VALUE"""),"淋漓尽致")</f>
        <v>淋漓尽致</v>
      </c>
      <c r="D2004" s="13" t="str">
        <f ca="1">IFERROR(__xludf.DUMMYFUNCTION("""COMPUTED_VALUE"""),"&lt;ruby&gt;淋漓尽致&lt;rt&gt;línlíjìnzhì&lt;/rt&gt;&lt;/ruby&gt;")</f>
        <v>&lt;ruby&gt;淋漓尽致&lt;rt&gt;línlíjìnzhì&lt;/rt&gt;&lt;/ruby&gt;</v>
      </c>
      <c r="E2004" s="13" t="str">
        <f ca="1">IFERROR(__xludf.DUMMYFUNCTION("""COMPUTED_VALUE"""),"línlíjìnzhì")</f>
        <v>línlíjìnzhì</v>
      </c>
      <c r="F2004" s="13"/>
      <c r="G2004" s="13" t="str">
        <f ca="1">IFERROR(__xludf.DUMMYFUNCTION("""COMPUTED_VALUE"""),"tinh tế, triệt để ")</f>
        <v xml:space="preserve">tinh tế, triệt để </v>
      </c>
      <c r="H2004" s="13" t="str">
        <f ca="1">IFERROR(__xludf.DUMMYFUNCTION("""COMPUTED_VALUE"""),"他画得淋漓尽致。")</f>
        <v>他画得淋漓尽致。</v>
      </c>
      <c r="I2004" s="13"/>
      <c r="J2004" s="13" t="str">
        <f ca="1">IFERROR(__xludf.DUMMYFUNCTION("""COMPUTED_VALUE"""),"Anh ấy vẽ rất tinh tế và chi tiết.")</f>
        <v>Anh ấy vẽ rất tinh tế và chi tiết.</v>
      </c>
      <c r="K2004" s="13" t="str">
        <f ca="1">IFERROR(__xludf.DUMMYFUNCTION("""COMPUTED_VALUE"""),"H5_B17_BG-33.png")</f>
        <v>H5_B17_BG-33.png</v>
      </c>
      <c r="L2004" s="13" t="str">
        <f ca="1">IFERROR(__xludf.DUMMYFUNCTION("""COMPUTED_VALUE"""),"B17_33.mp3")</f>
        <v>B17_33.mp3</v>
      </c>
      <c r="M2004" s="13" t="str">
        <f ca="1">IFERROR(__xludf.DUMMYFUNCTION("""COMPUTED_VALUE"""),"B17_VD_33.mp3")</f>
        <v>B17_VD_33.mp3</v>
      </c>
    </row>
    <row r="2005" spans="1:13">
      <c r="A2005" s="13">
        <f ca="1">IFERROR(__xludf.DUMMYFUNCTION("""COMPUTED_VALUE"""),1)</f>
        <v>1</v>
      </c>
      <c r="B2005" s="13"/>
      <c r="C2005" s="13" t="str">
        <f ca="1">IFERROR(__xludf.DUMMYFUNCTION("""COMPUTED_VALUE"""),"布")</f>
        <v>布</v>
      </c>
      <c r="D2005" s="13" t="str">
        <f ca="1">IFERROR(__xludf.DUMMYFUNCTION("""COMPUTED_VALUE"""),"&lt;ruby&gt;布&lt;rt&gt;bù&lt;/rt&gt;&lt;/ruby&gt;")</f>
        <v>&lt;ruby&gt;布&lt;rt&gt;bù&lt;/rt&gt;&lt;/ruby&gt;</v>
      </c>
      <c r="E2005" s="13" t="str">
        <f ca="1">IFERROR(__xludf.DUMMYFUNCTION("""COMPUTED_VALUE"""),"bù")</f>
        <v>bù</v>
      </c>
      <c r="F2005" s="13" t="str">
        <f ca="1">IFERROR(__xludf.DUMMYFUNCTION("""COMPUTED_VALUE"""),"Danh từ")</f>
        <v>Danh từ</v>
      </c>
      <c r="G2005" s="13" t="str">
        <f ca="1">IFERROR(__xludf.DUMMYFUNCTION("""COMPUTED_VALUE"""),"vải")</f>
        <v>vải</v>
      </c>
      <c r="H2005" s="13" t="str">
        <f ca="1">IFERROR(__xludf.DUMMYFUNCTION("""COMPUTED_VALUE"""),"这种布料非常适合用来做衬衫。")</f>
        <v>这种布料非常适合用来做衬衫。</v>
      </c>
      <c r="I2005" s="13"/>
      <c r="J2005" s="13" t="str">
        <f ca="1">IFERROR(__xludf.DUMMYFUNCTION("""COMPUTED_VALUE"""),"Loại vải bố này thích hợp làm áo sơ mi.")</f>
        <v>Loại vải bố này thích hợp làm áo sơ mi.</v>
      </c>
      <c r="K2005" s="13" t="str">
        <f ca="1">IFERROR(__xludf.DUMMYFUNCTION("""COMPUTED_VALUE"""),"H5_B18_BG-01.png")</f>
        <v>H5_B18_BG-01.png</v>
      </c>
      <c r="L2005" s="13" t="str">
        <f ca="1">IFERROR(__xludf.DUMMYFUNCTION("""COMPUTED_VALUE"""),"B18_1.mp3")</f>
        <v>B18_1.mp3</v>
      </c>
      <c r="M2005" s="13" t="str">
        <f ca="1">IFERROR(__xludf.DUMMYFUNCTION("""COMPUTED_VALUE"""),"B18_VD_1.mp3")</f>
        <v>B18_VD_1.mp3</v>
      </c>
    </row>
    <row r="2006" spans="1:13">
      <c r="A2006" s="13">
        <f ca="1">IFERROR(__xludf.DUMMYFUNCTION("""COMPUTED_VALUE"""),2)</f>
        <v>2</v>
      </c>
      <c r="B2006" s="13"/>
      <c r="C2006" s="13" t="str">
        <f ca="1">IFERROR(__xludf.DUMMYFUNCTION("""COMPUTED_VALUE"""),"抽象")</f>
        <v>抽象</v>
      </c>
      <c r="D2006" s="13" t="str">
        <f ca="1">IFERROR(__xludf.DUMMYFUNCTION("""COMPUTED_VALUE"""),"&lt;ruby&gt;抽象&lt;rt&gt;chōuxiàng&lt;/rt&gt;&lt;/ruby&gt;")</f>
        <v>&lt;ruby&gt;抽象&lt;rt&gt;chōuxiàng&lt;/rt&gt;&lt;/ruby&gt;</v>
      </c>
      <c r="E2006" s="13" t="str">
        <f ca="1">IFERROR(__xludf.DUMMYFUNCTION("""COMPUTED_VALUE"""),"chōuxiàng")</f>
        <v>chōuxiàng</v>
      </c>
      <c r="F2006" s="13" t="str">
        <f ca="1">IFERROR(__xludf.DUMMYFUNCTION("""COMPUTED_VALUE"""),"Tính từ/Động từ ")</f>
        <v xml:space="preserve">Tính từ/Động từ </v>
      </c>
      <c r="G2006" s="13" t="str">
        <f ca="1">IFERROR(__xludf.DUMMYFUNCTION("""COMPUTED_VALUE"""),"trừu tượng, trừu tượng hóa ")</f>
        <v xml:space="preserve">trừu tượng, trừu tượng hóa </v>
      </c>
      <c r="H2006" s="13" t="str">
        <f ca="1">IFERROR(__xludf.DUMMYFUNCTION("""COMPUTED_VALUE"""),"我很喜欢这幅画，它非常抽象。")</f>
        <v>我很喜欢这幅画，它非常抽象。</v>
      </c>
      <c r="I2006" s="13"/>
      <c r="J2006" s="13" t="str">
        <f ca="1">IFERROR(__xludf.DUMMYFUNCTION("""COMPUTED_VALUE"""),"Tôi rất thích bức tranh này, nó rất trừu tượng.")</f>
        <v>Tôi rất thích bức tranh này, nó rất trừu tượng.</v>
      </c>
      <c r="K2006" s="13" t="str">
        <f ca="1">IFERROR(__xludf.DUMMYFUNCTION("""COMPUTED_VALUE"""),"H5_B18_BG-02.png")</f>
        <v>H5_B18_BG-02.png</v>
      </c>
      <c r="L2006" s="13" t="str">
        <f ca="1">IFERROR(__xludf.DUMMYFUNCTION("""COMPUTED_VALUE"""),"B18_2.mp3")</f>
        <v>B18_2.mp3</v>
      </c>
      <c r="M2006" s="13" t="str">
        <f ca="1">IFERROR(__xludf.DUMMYFUNCTION("""COMPUTED_VALUE"""),"B18_VD_2.mp3")</f>
        <v>B18_VD_2.mp3</v>
      </c>
    </row>
    <row r="2007" spans="1:13">
      <c r="A2007" s="13">
        <f ca="1">IFERROR(__xludf.DUMMYFUNCTION("""COMPUTED_VALUE"""),3)</f>
        <v>3</v>
      </c>
      <c r="B2007" s="13"/>
      <c r="C2007" s="13" t="str">
        <f ca="1">IFERROR(__xludf.DUMMYFUNCTION("""COMPUTED_VALUE"""),"幅")</f>
        <v>幅</v>
      </c>
      <c r="D2007" s="13" t="str">
        <f ca="1">IFERROR(__xludf.DUMMYFUNCTION("""COMPUTED_VALUE"""),"&lt;ruby&gt;幅&lt;rt&gt;fú&lt;/rt&gt;&lt;/ruby&gt;")</f>
        <v>&lt;ruby&gt;幅&lt;rt&gt;fú&lt;/rt&gt;&lt;/ruby&gt;</v>
      </c>
      <c r="E2007" s="13" t="str">
        <f ca="1">IFERROR(__xludf.DUMMYFUNCTION("""COMPUTED_VALUE"""),"fú")</f>
        <v>fú</v>
      </c>
      <c r="F2007" s="13" t="str">
        <f ca="1">IFERROR(__xludf.DUMMYFUNCTION("""COMPUTED_VALUE"""),"Lượng từ ")</f>
        <v xml:space="preserve">Lượng từ </v>
      </c>
      <c r="G2007" s="13" t="str">
        <f ca="1">IFERROR(__xludf.DUMMYFUNCTION("""COMPUTED_VALUE"""),"(được dùng cho bức tranh và vải vóc...) búc, tấm, miếng")</f>
        <v>(được dùng cho bức tranh và vải vóc...) búc, tấm, miếng</v>
      </c>
      <c r="H2007" s="13" t="str">
        <f ca="1">IFERROR(__xludf.DUMMYFUNCTION("""COMPUTED_VALUE"""),"这幅画是我最喜欢的一幅，画法很独特。")</f>
        <v>这幅画是我最喜欢的一幅，画法很独特。</v>
      </c>
      <c r="I2007" s="13"/>
      <c r="J2007" s="13" t="str">
        <f ca="1">IFERROR(__xludf.DUMMYFUNCTION("""COMPUTED_VALUE"""),"Bức tranh này là bức tôi yêu thích nhất, những nét vẽ rất độc đáo.")</f>
        <v>Bức tranh này là bức tôi yêu thích nhất, những nét vẽ rất độc đáo.</v>
      </c>
      <c r="K2007" s="13" t="str">
        <f ca="1">IFERROR(__xludf.DUMMYFUNCTION("""COMPUTED_VALUE"""),"H5_B18_BG-03.png")</f>
        <v>H5_B18_BG-03.png</v>
      </c>
      <c r="L2007" s="13" t="str">
        <f ca="1">IFERROR(__xludf.DUMMYFUNCTION("""COMPUTED_VALUE"""),"B18_3.mp3")</f>
        <v>B18_3.mp3</v>
      </c>
      <c r="M2007" s="13" t="str">
        <f ca="1">IFERROR(__xludf.DUMMYFUNCTION("""COMPUTED_VALUE"""),"B18_VD_3.mp3")</f>
        <v>B18_VD_3.mp3</v>
      </c>
    </row>
    <row r="2008" spans="1:13">
      <c r="A2008" s="13">
        <f ca="1">IFERROR(__xludf.DUMMYFUNCTION("""COMPUTED_VALUE"""),4)</f>
        <v>4</v>
      </c>
      <c r="B2008" s="13"/>
      <c r="C2008" s="13" t="str">
        <f ca="1">IFERROR(__xludf.DUMMYFUNCTION("""COMPUTED_VALUE"""),"古典")</f>
        <v>古典</v>
      </c>
      <c r="D2008" s="13" t="str">
        <f ca="1">IFERROR(__xludf.DUMMYFUNCTION("""COMPUTED_VALUE"""),"&lt;ruby&gt;古典&lt;rt&gt;gǔdiǎn&lt;/rt&gt;&lt;/ruby&gt;")</f>
        <v>&lt;ruby&gt;古典&lt;rt&gt;gǔdiǎn&lt;/rt&gt;&lt;/ruby&gt;</v>
      </c>
      <c r="E2008" s="13" t="str">
        <f ca="1">IFERROR(__xludf.DUMMYFUNCTION("""COMPUTED_VALUE"""),"gǔdiǎn")</f>
        <v>gǔdiǎn</v>
      </c>
      <c r="F2008" s="13" t="str">
        <f ca="1">IFERROR(__xludf.DUMMYFUNCTION("""COMPUTED_VALUE"""),"Tính từ")</f>
        <v>Tính từ</v>
      </c>
      <c r="G2008" s="13" t="str">
        <f ca="1">IFERROR(__xludf.DUMMYFUNCTION("""COMPUTED_VALUE"""),"cổ điển")</f>
        <v>cổ điển</v>
      </c>
      <c r="H2008" s="13" t="str">
        <f ca="1">IFERROR(__xludf.DUMMYFUNCTION("""COMPUTED_VALUE"""),"这是一部非常有名的古典小说。")</f>
        <v>这是一部非常有名的古典小说。</v>
      </c>
      <c r="I2008" s="13"/>
      <c r="J2008" s="13" t="str">
        <f ca="1">IFERROR(__xludf.DUMMYFUNCTION("""COMPUTED_VALUE"""),"Đây là một tiểu thuyết cổ điển rất nổi tiếng.")</f>
        <v>Đây là một tiểu thuyết cổ điển rất nổi tiếng.</v>
      </c>
      <c r="K2008" s="13" t="str">
        <f ca="1">IFERROR(__xludf.DUMMYFUNCTION("""COMPUTED_VALUE"""),"H5_B18_BG-04.png")</f>
        <v>H5_B18_BG-04.png</v>
      </c>
      <c r="L2008" s="13" t="str">
        <f ca="1">IFERROR(__xludf.DUMMYFUNCTION("""COMPUTED_VALUE"""),"B18_4.mp3")</f>
        <v>B18_4.mp3</v>
      </c>
      <c r="M2008" s="13" t="str">
        <f ca="1">IFERROR(__xludf.DUMMYFUNCTION("""COMPUTED_VALUE"""),"B18_VD_4.mp3")</f>
        <v>B18_VD_4.mp3</v>
      </c>
    </row>
    <row r="2009" spans="1:13">
      <c r="A2009" s="13">
        <f ca="1">IFERROR(__xludf.DUMMYFUNCTION("""COMPUTED_VALUE"""),5)</f>
        <v>5</v>
      </c>
      <c r="B2009" s="13"/>
      <c r="C2009" s="13" t="str">
        <f ca="1">IFERROR(__xludf.DUMMYFUNCTION("""COMPUTED_VALUE"""),"挥")</f>
        <v>挥</v>
      </c>
      <c r="D2009" s="13" t="str">
        <f ca="1">IFERROR(__xludf.DUMMYFUNCTION("""COMPUTED_VALUE"""),"&lt;ruby&gt;挥&lt;rt&gt;huī&lt;/rt&gt;&lt;/ruby&gt;")</f>
        <v>&lt;ruby&gt;挥&lt;rt&gt;huī&lt;/rt&gt;&lt;/ruby&gt;</v>
      </c>
      <c r="E2009" s="13" t="str">
        <f ca="1">IFERROR(__xludf.DUMMYFUNCTION("""COMPUTED_VALUE"""),"huī")</f>
        <v>huī</v>
      </c>
      <c r="F2009" s="13" t="str">
        <f ca="1">IFERROR(__xludf.DUMMYFUNCTION("""COMPUTED_VALUE"""),"Động từ")</f>
        <v>Động từ</v>
      </c>
      <c r="G2009" s="13" t="str">
        <f ca="1">IFERROR(__xludf.DUMMYFUNCTION("""COMPUTED_VALUE"""),"vẫy, múa, vung")</f>
        <v>vẫy, múa, vung</v>
      </c>
      <c r="H2009" s="13" t="str">
        <f ca="1">IFERROR(__xludf.DUMMYFUNCTION("""COMPUTED_VALUE"""),"他挥动着手臂，向我打招呼。")</f>
        <v>他挥动着手臂，向我打招呼。</v>
      </c>
      <c r="I2009" s="13"/>
      <c r="J2009" s="13" t="str">
        <f ca="1">IFERROR(__xludf.DUMMYFUNCTION("""COMPUTED_VALUE"""),"Anh ấy vẫy tay chào tôi.")</f>
        <v>Anh ấy vẫy tay chào tôi.</v>
      </c>
      <c r="K2009" s="13" t="str">
        <f ca="1">IFERROR(__xludf.DUMMYFUNCTION("""COMPUTED_VALUE"""),"H5_B18_BG-05.png")</f>
        <v>H5_B18_BG-05.png</v>
      </c>
      <c r="L2009" s="13" t="str">
        <f ca="1">IFERROR(__xludf.DUMMYFUNCTION("""COMPUTED_VALUE"""),"B18_5.mp3")</f>
        <v>B18_5.mp3</v>
      </c>
      <c r="M2009" s="13" t="str">
        <f ca="1">IFERROR(__xludf.DUMMYFUNCTION("""COMPUTED_VALUE"""),"B18_VD_5.mp3")</f>
        <v>B18_VD_5.mp3</v>
      </c>
    </row>
    <row r="2010" spans="1:13">
      <c r="A2010" s="13">
        <f ca="1">IFERROR(__xludf.DUMMYFUNCTION("""COMPUTED_VALUE"""),6)</f>
        <v>6</v>
      </c>
      <c r="B2010" s="13"/>
      <c r="C2010" s="13" t="str">
        <f ca="1">IFERROR(__xludf.DUMMYFUNCTION("""COMPUTED_VALUE"""),"活跃")</f>
        <v>活跃</v>
      </c>
      <c r="D2010" s="13" t="str">
        <f ca="1">IFERROR(__xludf.DUMMYFUNCTION("""COMPUTED_VALUE"""),"&lt;ruby&gt;活跃&lt;rt&gt;huóyuè&lt;/rt&gt;&lt;/ruby&gt;")</f>
        <v>&lt;ruby&gt;活跃&lt;rt&gt;huóyuè&lt;/rt&gt;&lt;/ruby&gt;</v>
      </c>
      <c r="E2010" s="13" t="str">
        <f ca="1">IFERROR(__xludf.DUMMYFUNCTION("""COMPUTED_VALUE"""),"huóyuè")</f>
        <v>huóyuè</v>
      </c>
      <c r="F2010" s="13" t="str">
        <f ca="1">IFERROR(__xludf.DUMMYFUNCTION("""COMPUTED_VALUE"""),"Tính từ/ Động từ")</f>
        <v>Tính từ/ Động từ</v>
      </c>
      <c r="G2010" s="13" t="str">
        <f ca="1">IFERROR(__xludf.DUMMYFUNCTION("""COMPUTED_VALUE"""),"sinh động, sôi nổi; làm sôi nổi, đẩy mạnh")</f>
        <v>sinh động, sôi nổi; làm sôi nổi, đẩy mạnh</v>
      </c>
      <c r="H2010" s="13" t="str">
        <f ca="1">IFERROR(__xludf.DUMMYFUNCTION("""COMPUTED_VALUE"""),"他的演讲让全场气氛变得活跃起来。")</f>
        <v>他的演讲让全场气氛变得活跃起来。</v>
      </c>
      <c r="I2010" s="13"/>
      <c r="J2010" s="13" t="str">
        <f ca="1">IFERROR(__xludf.DUMMYFUNCTION("""COMPUTED_VALUE"""),"Bài thuyết trình của anh ấy rất sinh động, thu hút sự chú ý của rất nhiều khán giả.")</f>
        <v>Bài thuyết trình của anh ấy rất sinh động, thu hút sự chú ý của rất nhiều khán giả.</v>
      </c>
      <c r="K2010" s="13" t="str">
        <f ca="1">IFERROR(__xludf.DUMMYFUNCTION("""COMPUTED_VALUE"""),"H5_B18_BG-06.png")</f>
        <v>H5_B18_BG-06.png</v>
      </c>
      <c r="L2010" s="13" t="str">
        <f ca="1">IFERROR(__xludf.DUMMYFUNCTION("""COMPUTED_VALUE"""),"B18_6.mp3")</f>
        <v>B18_6.mp3</v>
      </c>
      <c r="M2010" s="13" t="str">
        <f ca="1">IFERROR(__xludf.DUMMYFUNCTION("""COMPUTED_VALUE"""),"B18_VD_6.mp3")</f>
        <v>B18_VD_6.mp3</v>
      </c>
    </row>
    <row r="2011" spans="1:13">
      <c r="A2011" s="13">
        <f ca="1">IFERROR(__xludf.DUMMYFUNCTION("""COMPUTED_VALUE"""),7)</f>
        <v>7</v>
      </c>
      <c r="B2011" s="13"/>
      <c r="C2011" s="13" t="str">
        <f ca="1">IFERROR(__xludf.DUMMYFUNCTION("""COMPUTED_VALUE"""),"极其")</f>
        <v>极其</v>
      </c>
      <c r="D2011" s="13" t="str">
        <f ca="1">IFERROR(__xludf.DUMMYFUNCTION("""COMPUTED_VALUE"""),"&lt;ruby&gt;极其&lt;rt&gt;jíqí&lt;/rt&gt;&lt;/ruby&gt;")</f>
        <v>&lt;ruby&gt;极其&lt;rt&gt;jíqí&lt;/rt&gt;&lt;/ruby&gt;</v>
      </c>
      <c r="E2011" s="13" t="str">
        <f ca="1">IFERROR(__xludf.DUMMYFUNCTION("""COMPUTED_VALUE"""),"jíqí")</f>
        <v>jíqí</v>
      </c>
      <c r="F2011" s="13" t="str">
        <f ca="1">IFERROR(__xludf.DUMMYFUNCTION("""COMPUTED_VALUE"""),"Phó từ ")</f>
        <v xml:space="preserve">Phó từ </v>
      </c>
      <c r="G2011" s="13" t="str">
        <f ca="1">IFERROR(__xludf.DUMMYFUNCTION("""COMPUTED_VALUE"""),"vô cùng, hết súc")</f>
        <v>vô cùng, hết súc</v>
      </c>
      <c r="H2011" s="13" t="str">
        <f ca="1">IFERROR(__xludf.DUMMYFUNCTION("""COMPUTED_VALUE"""),"这道菜极其美味，大家都吃得津津有味。")</f>
        <v>这道菜极其美味，大家都吃得津津有味。</v>
      </c>
      <c r="I2011" s="13"/>
      <c r="J2011" s="13" t="str">
        <f ca="1">IFERROR(__xludf.DUMMYFUNCTION("""COMPUTED_VALUE"""),"Món ăn này vô cùng ngon, mọi người đều ăn rất ngon miệng.")</f>
        <v>Món ăn này vô cùng ngon, mọi người đều ăn rất ngon miệng.</v>
      </c>
      <c r="K2011" s="13" t="str">
        <f ca="1">IFERROR(__xludf.DUMMYFUNCTION("""COMPUTED_VALUE"""),"H5_B18_BG-07.png")</f>
        <v>H5_B18_BG-07.png</v>
      </c>
      <c r="L2011" s="13" t="str">
        <f ca="1">IFERROR(__xludf.DUMMYFUNCTION("""COMPUTED_VALUE"""),"B18_7.mp3")</f>
        <v>B18_7.mp3</v>
      </c>
      <c r="M2011" s="13" t="str">
        <f ca="1">IFERROR(__xludf.DUMMYFUNCTION("""COMPUTED_VALUE"""),"B18_VD_7.mp3")</f>
        <v>B18_VD_7.mp3</v>
      </c>
    </row>
    <row r="2012" spans="1:13">
      <c r="A2012" s="13">
        <f ca="1">IFERROR(__xludf.DUMMYFUNCTION("""COMPUTED_VALUE"""),8)</f>
        <v>8</v>
      </c>
      <c r="B2012" s="13"/>
      <c r="C2012" s="13" t="str">
        <f ca="1">IFERROR(__xludf.DUMMYFUNCTION("""COMPUTED_VALUE"""),"洒")</f>
        <v>洒</v>
      </c>
      <c r="D2012" s="13" t="str">
        <f ca="1">IFERROR(__xludf.DUMMYFUNCTION("""COMPUTED_VALUE"""),"&lt;ruby&gt;洒&lt;rt&gt;să&lt;/rt&gt;&lt;/ruby&gt;")</f>
        <v>&lt;ruby&gt;洒&lt;rt&gt;să&lt;/rt&gt;&lt;/ruby&gt;</v>
      </c>
      <c r="E2012" s="13" t="str">
        <f ca="1">IFERROR(__xludf.DUMMYFUNCTION("""COMPUTED_VALUE"""),"să")</f>
        <v>să</v>
      </c>
      <c r="F2012" s="13" t="str">
        <f ca="1">IFERROR(__xludf.DUMMYFUNCTION("""COMPUTED_VALUE"""),"Động từ")</f>
        <v>Động từ</v>
      </c>
      <c r="G2012" s="13" t="str">
        <f ca="1">IFERROR(__xludf.DUMMYFUNCTION("""COMPUTED_VALUE"""),"rắc, rải")</f>
        <v>rắc, rải</v>
      </c>
      <c r="H2012" s="13" t="str">
        <f ca="1">IFERROR(__xludf.DUMMYFUNCTION("""COMPUTED_VALUE"""),"雨水洒在窗户上，发出滴答声。")</f>
        <v>雨水洒在窗户上，发出滴答声。</v>
      </c>
      <c r="I2012" s="13"/>
      <c r="J2012" s="13" t="str">
        <f ca="1">IFERROR(__xludf.DUMMYFUNCTION("""COMPUTED_VALUE"""),"Mưa rơi lên cửa sổ, phát ra tiếng tí tách.")</f>
        <v>Mưa rơi lên cửa sổ, phát ra tiếng tí tách.</v>
      </c>
      <c r="K2012" s="13" t="str">
        <f ca="1">IFERROR(__xludf.DUMMYFUNCTION("""COMPUTED_VALUE"""),"H5_B18_BG-08.png")</f>
        <v>H5_B18_BG-08.png</v>
      </c>
      <c r="L2012" s="13" t="str">
        <f ca="1">IFERROR(__xludf.DUMMYFUNCTION("""COMPUTED_VALUE"""),"B18_8.mp3")</f>
        <v>B18_8.mp3</v>
      </c>
      <c r="M2012" s="13" t="str">
        <f ca="1">IFERROR(__xludf.DUMMYFUNCTION("""COMPUTED_VALUE"""),"B18_VD_8.mp3")</f>
        <v>B18_VD_8.mp3</v>
      </c>
    </row>
    <row r="2013" spans="1:13">
      <c r="A2013" s="13">
        <f ca="1">IFERROR(__xludf.DUMMYFUNCTION("""COMPUTED_VALUE"""),9)</f>
        <v>9</v>
      </c>
      <c r="B2013" s="13"/>
      <c r="C2013" s="13" t="str">
        <f ca="1">IFERROR(__xludf.DUMMYFUNCTION("""COMPUTED_VALUE"""),"设计")</f>
        <v>设计</v>
      </c>
      <c r="D2013" s="13" t="str">
        <f ca="1">IFERROR(__xludf.DUMMYFUNCTION("""COMPUTED_VALUE"""),"&lt;ruby&gt;设计&lt;rt&gt;shèjì&lt;/rt&gt;&lt;/ruby&gt;")</f>
        <v>&lt;ruby&gt;设计&lt;rt&gt;shèjì&lt;/rt&gt;&lt;/ruby&gt;</v>
      </c>
      <c r="E2013" s="13" t="str">
        <f ca="1">IFERROR(__xludf.DUMMYFUNCTION("""COMPUTED_VALUE"""),"shèjì")</f>
        <v>shèjì</v>
      </c>
      <c r="F2013" s="13" t="str">
        <f ca="1">IFERROR(__xludf.DUMMYFUNCTION("""COMPUTED_VALUE"""),"Động từ/Danh từ")</f>
        <v>Động từ/Danh từ</v>
      </c>
      <c r="G2013" s="13" t="str">
        <f ca="1">IFERROR(__xludf.DUMMYFUNCTION("""COMPUTED_VALUE"""),"thiết kế; bản thiết kế")</f>
        <v>thiết kế; bản thiết kế</v>
      </c>
      <c r="H2013" s="13" t="str">
        <f ca="1">IFERROR(__xludf.DUMMYFUNCTION("""COMPUTED_VALUE"""),"这座房子的设计图非常清晰且详细。")</f>
        <v>这座房子的设计图非常清晰且详细。</v>
      </c>
      <c r="I2013" s="13"/>
      <c r="J2013" s="13" t="str">
        <f ca="1">IFERROR(__xludf.DUMMYFUNCTION("""COMPUTED_VALUE"""),"Bản thiết kế nhà này khá rõ ràng và chi tiết.")</f>
        <v>Bản thiết kế nhà này khá rõ ràng và chi tiết.</v>
      </c>
      <c r="K2013" s="13" t="str">
        <f ca="1">IFERROR(__xludf.DUMMYFUNCTION("""COMPUTED_VALUE"""),"H5_B18_BG-09.png")</f>
        <v>H5_B18_BG-09.png</v>
      </c>
      <c r="L2013" s="13" t="str">
        <f ca="1">IFERROR(__xludf.DUMMYFUNCTION("""COMPUTED_VALUE"""),"B18_9.mp3")</f>
        <v>B18_9.mp3</v>
      </c>
      <c r="M2013" s="13" t="str">
        <f ca="1">IFERROR(__xludf.DUMMYFUNCTION("""COMPUTED_VALUE"""),"B18_VD_9.mp3")</f>
        <v>B18_VD_9.mp3</v>
      </c>
    </row>
    <row r="2014" spans="1:13">
      <c r="A2014" s="13">
        <f ca="1">IFERROR(__xludf.DUMMYFUNCTION("""COMPUTED_VALUE"""),10)</f>
        <v>10</v>
      </c>
      <c r="B2014" s="13"/>
      <c r="C2014" s="13" t="str">
        <f ca="1">IFERROR(__xludf.DUMMYFUNCTION("""COMPUTED_VALUE"""),"欣赏")</f>
        <v>欣赏</v>
      </c>
      <c r="D2014" s="13" t="str">
        <f ca="1">IFERROR(__xludf.DUMMYFUNCTION("""COMPUTED_VALUE"""),"&lt;ruby&gt;欣赏&lt;rt&gt;xīnshǎng&lt;/rt&gt;&lt;/ruby&gt;")</f>
        <v>&lt;ruby&gt;欣赏&lt;rt&gt;xīnshǎng&lt;/rt&gt;&lt;/ruby&gt;</v>
      </c>
      <c r="E2014" s="13" t="str">
        <f ca="1">IFERROR(__xludf.DUMMYFUNCTION("""COMPUTED_VALUE"""),"xīnshǎng")</f>
        <v>xīnshǎng</v>
      </c>
      <c r="F2014" s="13" t="str">
        <f ca="1">IFERROR(__xludf.DUMMYFUNCTION("""COMPUTED_VALUE"""),"Động từ")</f>
        <v>Động từ</v>
      </c>
      <c r="G2014" s="13" t="str">
        <f ca="1">IFERROR(__xludf.DUMMYFUNCTION("""COMPUTED_VALUE"""),"thưởng thức")</f>
        <v>thưởng thức</v>
      </c>
      <c r="H2014" s="13" t="str">
        <f ca="1">IFERROR(__xludf.DUMMYFUNCTION("""COMPUTED_VALUE"""),"我们在博物馆欣赏了许多有趣的艺术作品。")</f>
        <v>我们在博物馆欣赏了许多有趣的艺术作品。</v>
      </c>
      <c r="I2014" s="13"/>
      <c r="J2014" s="13" t="str">
        <f ca="1">IFERROR(__xludf.DUMMYFUNCTION("""COMPUTED_VALUE"""),"Chúng tôi đã thưởng thức rất nhiều tác phẩm nghệ thuật thú vị tại bảo tàng.")</f>
        <v>Chúng tôi đã thưởng thức rất nhiều tác phẩm nghệ thuật thú vị tại bảo tàng.</v>
      </c>
      <c r="K2014" s="13" t="str">
        <f ca="1">IFERROR(__xludf.DUMMYFUNCTION("""COMPUTED_VALUE"""),"H5_B18_BG-10.png")</f>
        <v>H5_B18_BG-10.png</v>
      </c>
      <c r="L2014" s="13" t="str">
        <f ca="1">IFERROR(__xludf.DUMMYFUNCTION("""COMPUTED_VALUE"""),"B18_10.mp3")</f>
        <v>B18_10.mp3</v>
      </c>
      <c r="M2014" s="13" t="str">
        <f ca="1">IFERROR(__xludf.DUMMYFUNCTION("""COMPUTED_VALUE"""),"B18_VD_10.mp3")</f>
        <v>B18_VD_10.mp3</v>
      </c>
    </row>
    <row r="2015" spans="1:13">
      <c r="A2015" s="13">
        <f ca="1">IFERROR(__xludf.DUMMYFUNCTION("""COMPUTED_VALUE"""),11)</f>
        <v>11</v>
      </c>
      <c r="B2015" s="13"/>
      <c r="C2015" s="13" t="str">
        <f ca="1">IFERROR(__xludf.DUMMYFUNCTION("""COMPUTED_VALUE"""),"作品")</f>
        <v>作品</v>
      </c>
      <c r="D2015" s="13" t="str">
        <f ca="1">IFERROR(__xludf.DUMMYFUNCTION("""COMPUTED_VALUE"""),"&lt;ruby&gt;作品&lt;rt&gt;zuòpǐn&lt;/rt&gt;&lt;/ruby&gt;")</f>
        <v>&lt;ruby&gt;作品&lt;rt&gt;zuòpǐn&lt;/rt&gt;&lt;/ruby&gt;</v>
      </c>
      <c r="E2015" s="13" t="str">
        <f ca="1">IFERROR(__xludf.DUMMYFUNCTION("""COMPUTED_VALUE"""),"zuòpǐn")</f>
        <v>zuòpǐn</v>
      </c>
      <c r="F2015" s="13" t="str">
        <f ca="1">IFERROR(__xludf.DUMMYFUNCTION("""COMPUTED_VALUE"""),"Danh từ")</f>
        <v>Danh từ</v>
      </c>
      <c r="G2015" s="13" t="str">
        <f ca="1">IFERROR(__xludf.DUMMYFUNCTION("""COMPUTED_VALUE"""),"tác phẩm")</f>
        <v>tác phẩm</v>
      </c>
      <c r="H2015" s="13" t="str">
        <f ca="1">IFERROR(__xludf.DUMMYFUNCTION("""COMPUTED_VALUE"""),"这幅画是他的代表作品，深受艺术爱好者的喜爱。")</f>
        <v>这幅画是他的代表作品，深受艺术爱好者的喜爱。</v>
      </c>
      <c r="I2015" s="13"/>
      <c r="J2015" s="13" t="str">
        <f ca="1">IFERROR(__xludf.DUMMYFUNCTION("""COMPUTED_VALUE"""),"Bức tranh này là tác phẩm tiêu biểu của anh ấy, được rất nhiều người yêu nghệ thuật yêu thích.")</f>
        <v>Bức tranh này là tác phẩm tiêu biểu của anh ấy, được rất nhiều người yêu nghệ thuật yêu thích.</v>
      </c>
      <c r="K2015" s="13" t="str">
        <f ca="1">IFERROR(__xludf.DUMMYFUNCTION("""COMPUTED_VALUE"""),"H5_B18_BG-11.png")</f>
        <v>H5_B18_BG-11.png</v>
      </c>
      <c r="L2015" s="13" t="str">
        <f ca="1">IFERROR(__xludf.DUMMYFUNCTION("""COMPUTED_VALUE"""),"B18_11.mp3")</f>
        <v>B18_11.mp3</v>
      </c>
      <c r="M2015" s="13" t="str">
        <f ca="1">IFERROR(__xludf.DUMMYFUNCTION("""COMPUTED_VALUE"""),"B18_VD_11.mp3")</f>
        <v>B18_VD_11.mp3</v>
      </c>
    </row>
    <row r="2016" spans="1:13">
      <c r="A2016" s="13">
        <f ca="1">IFERROR(__xludf.DUMMYFUNCTION("""COMPUTED_VALUE"""),12)</f>
        <v>12</v>
      </c>
      <c r="B2016" s="13"/>
      <c r="C2016" s="13" t="str">
        <f ca="1">IFERROR(__xludf.DUMMYFUNCTION("""COMPUTED_VALUE"""),"涂鸦")</f>
        <v>涂鸦</v>
      </c>
      <c r="D2016" s="13" t="str">
        <f ca="1">IFERROR(__xludf.DUMMYFUNCTION("""COMPUTED_VALUE"""),"&lt;ruby&gt;涂鸦&lt;rt&gt;túyā&lt;/rt&gt;&lt;/ruby&gt;")</f>
        <v>&lt;ruby&gt;涂鸦&lt;rt&gt;túyā&lt;/rt&gt;&lt;/ruby&gt;</v>
      </c>
      <c r="E2016" s="13" t="str">
        <f ca="1">IFERROR(__xludf.DUMMYFUNCTION("""COMPUTED_VALUE"""),"túyā")</f>
        <v>túyā</v>
      </c>
      <c r="F2016" s="13" t="str">
        <f ca="1">IFERROR(__xludf.DUMMYFUNCTION("""COMPUTED_VALUE"""),"Động từ")</f>
        <v>Động từ</v>
      </c>
      <c r="G2016" s="13" t="str">
        <f ca="1">IFERROR(__xludf.DUMMYFUNCTION("""COMPUTED_VALUE"""),"vẽ/ viết nguệch ngoạc")</f>
        <v>vẽ/ viết nguệch ngoạc</v>
      </c>
      <c r="H2016" s="13" t="str">
        <f ca="1">IFERROR(__xludf.DUMMYFUNCTION("""COMPUTED_VALUE"""),"我们经常在纸上随意涂鸦。")</f>
        <v>我们经常在纸上随意涂鸦。</v>
      </c>
      <c r="I2016" s="13"/>
      <c r="J2016" s="13" t="str">
        <f ca="1">IFERROR(__xludf.DUMMYFUNCTION("""COMPUTED_VALUE"""),"Chúng tôi thường vẽ nguệch ngoạc trên giấy.")</f>
        <v>Chúng tôi thường vẽ nguệch ngoạc trên giấy.</v>
      </c>
      <c r="K2016" s="13" t="str">
        <f ca="1">IFERROR(__xludf.DUMMYFUNCTION("""COMPUTED_VALUE"""),"H5_B18_BG-12.png")</f>
        <v>H5_B18_BG-12.png</v>
      </c>
      <c r="L2016" s="13" t="str">
        <f ca="1">IFERROR(__xludf.DUMMYFUNCTION("""COMPUTED_VALUE"""),"B18_12.mp3")</f>
        <v>B18_12.mp3</v>
      </c>
      <c r="M2016" s="13" t="str">
        <f ca="1">IFERROR(__xludf.DUMMYFUNCTION("""COMPUTED_VALUE"""),"B18_VD_12.mp3")</f>
        <v>B18_VD_12.mp3</v>
      </c>
    </row>
    <row r="2017" spans="1:13">
      <c r="A2017" s="13">
        <f ca="1">IFERROR(__xludf.DUMMYFUNCTION("""COMPUTED_VALUE"""),13)</f>
        <v>13</v>
      </c>
      <c r="B2017" s="13"/>
      <c r="C2017" s="13" t="str">
        <f ca="1">IFERROR(__xludf.DUMMYFUNCTION("""COMPUTED_VALUE"""),"布局")</f>
        <v>布局</v>
      </c>
      <c r="D2017" s="13" t="str">
        <f ca="1">IFERROR(__xludf.DUMMYFUNCTION("""COMPUTED_VALUE"""),"&lt;ruby&gt;布局&lt;rt&gt;bùjú&lt;/rt&gt;&lt;/ruby&gt;")</f>
        <v>&lt;ruby&gt;布局&lt;rt&gt;bùjú&lt;/rt&gt;&lt;/ruby&gt;</v>
      </c>
      <c r="E2017" s="13" t="str">
        <f ca="1">IFERROR(__xludf.DUMMYFUNCTION("""COMPUTED_VALUE"""),"bùjú")</f>
        <v>bùjú</v>
      </c>
      <c r="F2017" s="13" t="str">
        <f ca="1">IFERROR(__xludf.DUMMYFUNCTION("""COMPUTED_VALUE"""),"Danh từ")</f>
        <v>Danh từ</v>
      </c>
      <c r="G2017" s="13" t="str">
        <f ca="1">IFERROR(__xludf.DUMMYFUNCTION("""COMPUTED_VALUE"""),"bố cục ")</f>
        <v xml:space="preserve">bố cục </v>
      </c>
      <c r="H2017" s="13" t="str">
        <f ca="1">IFERROR(__xludf.DUMMYFUNCTION("""COMPUTED_VALUE"""),"设计师根据客户的要求调整了房间的布局。")</f>
        <v>设计师根据客户的要求调整了房间的布局。</v>
      </c>
      <c r="I2017" s="13"/>
      <c r="J2017" s="13" t="str">
        <f ca="1">IFERROR(__xludf.DUMMYFUNCTION("""COMPUTED_VALUE"""),"Nhà thiết kế đã điều chỉnh bố cục phòng dựa trên yêu cầu của khách hàng.")</f>
        <v>Nhà thiết kế đã điều chỉnh bố cục phòng dựa trên yêu cầu của khách hàng.</v>
      </c>
      <c r="K2017" s="13" t="str">
        <f ca="1">IFERROR(__xludf.DUMMYFUNCTION("""COMPUTED_VALUE"""),"H5_B18_BG-13.png")</f>
        <v>H5_B18_BG-13.png</v>
      </c>
      <c r="L2017" s="13" t="str">
        <f ca="1">IFERROR(__xludf.DUMMYFUNCTION("""COMPUTED_VALUE"""),"B18_13.mp3")</f>
        <v>B18_13.mp3</v>
      </c>
      <c r="M2017" s="13" t="str">
        <f ca="1">IFERROR(__xludf.DUMMYFUNCTION("""COMPUTED_VALUE"""),"B18_VD_13.mp3")</f>
        <v>B18_VD_13.mp3</v>
      </c>
    </row>
    <row r="2018" spans="1:13">
      <c r="A2018" s="13">
        <f ca="1">IFERROR(__xludf.DUMMYFUNCTION("""COMPUTED_VALUE"""),14)</f>
        <v>14</v>
      </c>
      <c r="B2018" s="13"/>
      <c r="C2018" s="13" t="str">
        <f ca="1">IFERROR(__xludf.DUMMYFUNCTION("""COMPUTED_VALUE"""),"出自")</f>
        <v>出自</v>
      </c>
      <c r="D2018" s="13" t="str">
        <f ca="1">IFERROR(__xludf.DUMMYFUNCTION("""COMPUTED_VALUE"""),"&lt;ruby&gt;出自&lt;rt&gt;chūzì&lt;/rt&gt;&lt;/ruby&gt;")</f>
        <v>&lt;ruby&gt;出自&lt;rt&gt;chūzì&lt;/rt&gt;&lt;/ruby&gt;</v>
      </c>
      <c r="E2018" s="13" t="str">
        <f ca="1">IFERROR(__xludf.DUMMYFUNCTION("""COMPUTED_VALUE"""),"chūzì")</f>
        <v>chūzì</v>
      </c>
      <c r="F2018" s="13" t="str">
        <f ca="1">IFERROR(__xludf.DUMMYFUNCTION("""COMPUTED_VALUE"""),"Động từ")</f>
        <v>Động từ</v>
      </c>
      <c r="G2018" s="13" t="str">
        <f ca="1">IFERROR(__xludf.DUMMYFUNCTION("""COMPUTED_VALUE"""),"xuất phát từ, đến từ")</f>
        <v>xuất phát từ, đến từ</v>
      </c>
      <c r="H2018" s="13" t="str">
        <f ca="1">IFERROR(__xludf.DUMMYFUNCTION("""COMPUTED_VALUE"""),"这道菜出自一家著名的米其林餐厅。")</f>
        <v>这道菜出自一家著名的米其林餐厅。</v>
      </c>
      <c r="I2018" s="13"/>
      <c r="J2018" s="13" t="str">
        <f ca="1">IFERROR(__xludf.DUMMYFUNCTION("""COMPUTED_VALUE"""),"Món ăn này xuất phát từ một nhà hàng Michelin nổi tiếng.")</f>
        <v>Món ăn này xuất phát từ một nhà hàng Michelin nổi tiếng.</v>
      </c>
      <c r="K2018" s="13" t="str">
        <f ca="1">IFERROR(__xludf.DUMMYFUNCTION("""COMPUTED_VALUE"""),"H5_B18_BG-14.png")</f>
        <v>H5_B18_BG-14.png</v>
      </c>
      <c r="L2018" s="13" t="str">
        <f ca="1">IFERROR(__xludf.DUMMYFUNCTION("""COMPUTED_VALUE"""),"B18_14.mp3")</f>
        <v>B18_14.mp3</v>
      </c>
      <c r="M2018" s="13" t="str">
        <f ca="1">IFERROR(__xludf.DUMMYFUNCTION("""COMPUTED_VALUE"""),"B18_VD_14.mp3")</f>
        <v>B18_VD_14.mp3</v>
      </c>
    </row>
    <row r="2019" spans="1:13">
      <c r="A2019" s="13">
        <f ca="1">IFERROR(__xludf.DUMMYFUNCTION("""COMPUTED_VALUE"""),15)</f>
        <v>15</v>
      </c>
      <c r="B2019" s="13"/>
      <c r="C2019" s="13" t="str">
        <f ca="1">IFERROR(__xludf.DUMMYFUNCTION("""COMPUTED_VALUE"""),"规则")</f>
        <v>规则</v>
      </c>
      <c r="D2019" s="13" t="str">
        <f ca="1">IFERROR(__xludf.DUMMYFUNCTION("""COMPUTED_VALUE"""),"&lt;ruby&gt;规则&lt;rt&gt;guīzé&lt;/rt&gt;&lt;/ruby&gt;")</f>
        <v>&lt;ruby&gt;规则&lt;rt&gt;guīzé&lt;/rt&gt;&lt;/ruby&gt;</v>
      </c>
      <c r="E2019" s="13" t="str">
        <f ca="1">IFERROR(__xludf.DUMMYFUNCTION("""COMPUTED_VALUE"""),"guīzé")</f>
        <v>guīzé</v>
      </c>
      <c r="F2019" s="13" t="str">
        <f ca="1">IFERROR(__xludf.DUMMYFUNCTION("""COMPUTED_VALUE"""),"Tính từ/Danh từ")</f>
        <v>Tính từ/Danh từ</v>
      </c>
      <c r="G2019" s="13" t="str">
        <f ca="1">IFERROR(__xludf.DUMMYFUNCTION("""COMPUTED_VALUE"""),"đúng quy tắc, ngay ngắn; quy tắc")</f>
        <v>đúng quy tắc, ngay ngắn; quy tắc</v>
      </c>
      <c r="H2019" s="13" t="str">
        <f ca="1">IFERROR(__xludf.DUMMYFUNCTION("""COMPUTED_VALUE"""),"这里的商品在货架上摆放得非常规则。")</f>
        <v>这里的商品在货架上摆放得非常规则。</v>
      </c>
      <c r="I2019" s="13"/>
      <c r="J2019" s="13" t="str">
        <f ca="1">IFERROR(__xludf.DUMMYFUNCTION("""COMPUTED_VALUE"""),"Sản phẩm ở đây được sắp xếp ngay ngắn trên kệ.")</f>
        <v>Sản phẩm ở đây được sắp xếp ngay ngắn trên kệ.</v>
      </c>
      <c r="K2019" s="13" t="str">
        <f ca="1">IFERROR(__xludf.DUMMYFUNCTION("""COMPUTED_VALUE"""),"H5_B18_BG-15.png")</f>
        <v>H5_B18_BG-15.png</v>
      </c>
      <c r="L2019" s="13" t="str">
        <f ca="1">IFERROR(__xludf.DUMMYFUNCTION("""COMPUTED_VALUE"""),"B18_15.mp3")</f>
        <v>B18_15.mp3</v>
      </c>
      <c r="M2019" s="13" t="str">
        <f ca="1">IFERROR(__xludf.DUMMYFUNCTION("""COMPUTED_VALUE"""),"B18_VD_15.mp3")</f>
        <v>B18_VD_15.mp3</v>
      </c>
    </row>
    <row r="2020" spans="1:13">
      <c r="A2020" s="13">
        <f ca="1">IFERROR(__xludf.DUMMYFUNCTION("""COMPUTED_VALUE"""),16)</f>
        <v>16</v>
      </c>
      <c r="B2020" s="13"/>
      <c r="C2020" s="13" t="str">
        <f ca="1">IFERROR(__xludf.DUMMYFUNCTION("""COMPUTED_VALUE"""),"话题")</f>
        <v>话题</v>
      </c>
      <c r="D2020" s="13" t="str">
        <f ca="1">IFERROR(__xludf.DUMMYFUNCTION("""COMPUTED_VALUE"""),"&lt;ruby&gt;话题&lt;rt&gt;huàtí&lt;/rt&gt;&lt;/ruby&gt;")</f>
        <v>&lt;ruby&gt;话题&lt;rt&gt;huàtí&lt;/rt&gt;&lt;/ruby&gt;</v>
      </c>
      <c r="E2020" s="13" t="str">
        <f ca="1">IFERROR(__xludf.DUMMYFUNCTION("""COMPUTED_VALUE"""),"huàtí")</f>
        <v>huàtí</v>
      </c>
      <c r="F2020" s="13" t="str">
        <f ca="1">IFERROR(__xludf.DUMMYFUNCTION("""COMPUTED_VALUE"""),"Danh từ")</f>
        <v>Danh từ</v>
      </c>
      <c r="G2020" s="13" t="str">
        <f ca="1">IFERROR(__xludf.DUMMYFUNCTION("""COMPUTED_VALUE"""),"chủ đề, đề tài")</f>
        <v>chủ đề, đề tài</v>
      </c>
      <c r="H2020" s="13" t="str">
        <f ca="1">IFERROR(__xludf.DUMMYFUNCTION("""COMPUTED_VALUE"""),"今天会议的主要话题是公司未来的发展。")</f>
        <v>今天会议的主要话题是公司未来的发展。</v>
      </c>
      <c r="I2020" s="13"/>
      <c r="J2020" s="13" t="str">
        <f ca="1">IFERROR(__xludf.DUMMYFUNCTION("""COMPUTED_VALUE"""),"Chủ đề chính trong cuộc họp hôm nay là sự phát triển tương lai của công ty.")</f>
        <v>Chủ đề chính trong cuộc họp hôm nay là sự phát triển tương lai của công ty.</v>
      </c>
      <c r="K2020" s="13" t="str">
        <f ca="1">IFERROR(__xludf.DUMMYFUNCTION("""COMPUTED_VALUE"""),"H5_B18_BG-16.png")</f>
        <v>H5_B18_BG-16.png</v>
      </c>
      <c r="L2020" s="13" t="str">
        <f ca="1">IFERROR(__xludf.DUMMYFUNCTION("""COMPUTED_VALUE"""),"B18_16.mp3")</f>
        <v>B18_16.mp3</v>
      </c>
      <c r="M2020" s="13" t="str">
        <f ca="1">IFERROR(__xludf.DUMMYFUNCTION("""COMPUTED_VALUE"""),"B18_VD_16.mp3")</f>
        <v>B18_VD_16.mp3</v>
      </c>
    </row>
    <row r="2021" spans="1:13">
      <c r="A2021" s="13">
        <f ca="1">IFERROR(__xludf.DUMMYFUNCTION("""COMPUTED_VALUE"""),17)</f>
        <v>17</v>
      </c>
      <c r="B2021" s="13"/>
      <c r="C2021" s="13" t="str">
        <f ca="1">IFERROR(__xludf.DUMMYFUNCTION("""COMPUTED_VALUE"""),"目前")</f>
        <v>目前</v>
      </c>
      <c r="D2021" s="13" t="str">
        <f ca="1">IFERROR(__xludf.DUMMYFUNCTION("""COMPUTED_VALUE"""),"&lt;ruby&gt;目前&lt;rt&gt;mùqián&lt;/rt&gt;&lt;/ruby&gt;")</f>
        <v>&lt;ruby&gt;目前&lt;rt&gt;mùqián&lt;/rt&gt;&lt;/ruby&gt;</v>
      </c>
      <c r="E2021" s="13" t="str">
        <f ca="1">IFERROR(__xludf.DUMMYFUNCTION("""COMPUTED_VALUE"""),"mùqián")</f>
        <v>mùqián</v>
      </c>
      <c r="F2021" s="13" t="str">
        <f ca="1">IFERROR(__xludf.DUMMYFUNCTION("""COMPUTED_VALUE"""),"Danh từ")</f>
        <v>Danh từ</v>
      </c>
      <c r="G2021" s="13" t="str">
        <f ca="1">IFERROR(__xludf.DUMMYFUNCTION("""COMPUTED_VALUE"""),"hiện nay")</f>
        <v>hiện nay</v>
      </c>
      <c r="H2021" s="13" t="str">
        <f ca="1">IFERROR(__xludf.DUMMYFUNCTION("""COMPUTED_VALUE"""),"目前，水污染问题非常严重。")</f>
        <v>目前，水污染问题非常严重。</v>
      </c>
      <c r="I2021" s="13"/>
      <c r="J2021" s="13" t="str">
        <f ca="1">IFERROR(__xludf.DUMMYFUNCTION("""COMPUTED_VALUE"""),"Hiện nay, vấn đề ô nhiễm nguồn nước xảy ra rất nghiệm trọng")</f>
        <v>Hiện nay, vấn đề ô nhiễm nguồn nước xảy ra rất nghiệm trọng</v>
      </c>
      <c r="K2021" s="13" t="str">
        <f ca="1">IFERROR(__xludf.DUMMYFUNCTION("""COMPUTED_VALUE"""),"H5_B18_BG-17.png")</f>
        <v>H5_B18_BG-17.png</v>
      </c>
      <c r="L2021" s="13" t="str">
        <f ca="1">IFERROR(__xludf.DUMMYFUNCTION("""COMPUTED_VALUE"""),"B18_17.mp3")</f>
        <v>B18_17.mp3</v>
      </c>
      <c r="M2021" s="13" t="str">
        <f ca="1">IFERROR(__xludf.DUMMYFUNCTION("""COMPUTED_VALUE"""),"B18_VD_17.mp3")</f>
        <v>B18_VD_17.mp3</v>
      </c>
    </row>
    <row r="2022" spans="1:13">
      <c r="A2022" s="13">
        <f ca="1">IFERROR(__xludf.DUMMYFUNCTION("""COMPUTED_VALUE"""),18)</f>
        <v>18</v>
      </c>
      <c r="B2022" s="13"/>
      <c r="C2022" s="13" t="str">
        <f ca="1">IFERROR(__xludf.DUMMYFUNCTION("""COMPUTED_VALUE"""),"确认")</f>
        <v>确认</v>
      </c>
      <c r="D2022" s="13" t="str">
        <f ca="1">IFERROR(__xludf.DUMMYFUNCTION("""COMPUTED_VALUE"""),"&lt;ruby&gt;确认&lt;rt&gt;quèrèn&lt;/rt&gt;&lt;/ruby&gt;")</f>
        <v>&lt;ruby&gt;确认&lt;rt&gt;quèrèn&lt;/rt&gt;&lt;/ruby&gt;</v>
      </c>
      <c r="E2022" s="13" t="str">
        <f ca="1">IFERROR(__xludf.DUMMYFUNCTION("""COMPUTED_VALUE"""),"quèrèn")</f>
        <v>quèrèn</v>
      </c>
      <c r="F2022" s="13" t="str">
        <f ca="1">IFERROR(__xludf.DUMMYFUNCTION("""COMPUTED_VALUE"""),"Động từ")</f>
        <v>Động từ</v>
      </c>
      <c r="G2022" s="13" t="str">
        <f ca="1">IFERROR(__xludf.DUMMYFUNCTION("""COMPUTED_VALUE"""),"xác nhận")</f>
        <v>xác nhận</v>
      </c>
      <c r="H2022" s="13" t="str">
        <f ca="1">IFERROR(__xludf.DUMMYFUNCTION("""COMPUTED_VALUE"""),"我已经通过电话确认了我的航班信息。")</f>
        <v>我已经通过电话确认了我的航班信息。</v>
      </c>
      <c r="I2022" s="13"/>
      <c r="J2022" s="13" t="str">
        <f ca="1">IFERROR(__xludf.DUMMYFUNCTION("""COMPUTED_VALUE"""),"Tôi đã xác nhận thông tin chuyến bay của mình qua điện thoại.")</f>
        <v>Tôi đã xác nhận thông tin chuyến bay của mình qua điện thoại.</v>
      </c>
      <c r="K2022" s="13" t="str">
        <f ca="1">IFERROR(__xludf.DUMMYFUNCTION("""COMPUTED_VALUE"""),"H5_B18_BG-18.png")</f>
        <v>H5_B18_BG-18.png</v>
      </c>
      <c r="L2022" s="13" t="str">
        <f ca="1">IFERROR(__xludf.DUMMYFUNCTION("""COMPUTED_VALUE"""),"B18_18.mp3")</f>
        <v>B18_18.mp3</v>
      </c>
      <c r="M2022" s="13" t="str">
        <f ca="1">IFERROR(__xludf.DUMMYFUNCTION("""COMPUTED_VALUE"""),"B18_VD_18.mp3")</f>
        <v>B18_VD_18.mp3</v>
      </c>
    </row>
    <row r="2023" spans="1:13">
      <c r="A2023" s="13">
        <f ca="1">IFERROR(__xludf.DUMMYFUNCTION("""COMPUTED_VALUE"""),19)</f>
        <v>19</v>
      </c>
      <c r="B2023" s="13"/>
      <c r="C2023" s="13" t="str">
        <f ca="1">IFERROR(__xludf.DUMMYFUNCTION("""COMPUTED_VALUE"""),"神秘")</f>
        <v>神秘</v>
      </c>
      <c r="D2023" s="13" t="str">
        <f ca="1">IFERROR(__xludf.DUMMYFUNCTION("""COMPUTED_VALUE"""),"&lt;ruby&gt;神秘&lt;rt&gt;shénmì&lt;/rt&gt;&lt;/ruby&gt;")</f>
        <v>&lt;ruby&gt;神秘&lt;rt&gt;shénmì&lt;/rt&gt;&lt;/ruby&gt;</v>
      </c>
      <c r="E2023" s="13" t="str">
        <f ca="1">IFERROR(__xludf.DUMMYFUNCTION("""COMPUTED_VALUE"""),"shénmì")</f>
        <v>shénmì</v>
      </c>
      <c r="F2023" s="13" t="str">
        <f ca="1">IFERROR(__xludf.DUMMYFUNCTION("""COMPUTED_VALUE"""),"Tính từ")</f>
        <v>Tính từ</v>
      </c>
      <c r="G2023" s="13" t="str">
        <f ca="1">IFERROR(__xludf.DUMMYFUNCTION("""COMPUTED_VALUE"""),"thần bí, huyền bí ")</f>
        <v xml:space="preserve">thần bí, huyền bí </v>
      </c>
      <c r="H2023" s="13" t="str">
        <f ca="1">IFERROR(__xludf.DUMMYFUNCTION("""COMPUTED_VALUE"""),"这座古老的寺庙有一种神秘的氛围。")</f>
        <v>这座古老的寺庙有一种神秘的氛围。</v>
      </c>
      <c r="I2023" s="13"/>
      <c r="J2023" s="13" t="str">
        <f ca="1">IFERROR(__xludf.DUMMYFUNCTION("""COMPUTED_VALUE"""),"Ngôi chùa cổ kính này có một bầu không khí thần bí.")</f>
        <v>Ngôi chùa cổ kính này có một bầu không khí thần bí.</v>
      </c>
      <c r="K2023" s="13" t="str">
        <f ca="1">IFERROR(__xludf.DUMMYFUNCTION("""COMPUTED_VALUE"""),"H5_B18_BG-19.png")</f>
        <v>H5_B18_BG-19.png</v>
      </c>
      <c r="L2023" s="13" t="str">
        <f ca="1">IFERROR(__xludf.DUMMYFUNCTION("""COMPUTED_VALUE"""),"B18_19.mp3")</f>
        <v>B18_19.mp3</v>
      </c>
      <c r="M2023" s="13" t="str">
        <f ca="1">IFERROR(__xludf.DUMMYFUNCTION("""COMPUTED_VALUE"""),"B18_VD_19.mp3")</f>
        <v>B18_VD_19.mp3</v>
      </c>
    </row>
    <row r="2024" spans="1:13">
      <c r="A2024" s="13">
        <f ca="1">IFERROR(__xludf.DUMMYFUNCTION("""COMPUTED_VALUE"""),20)</f>
        <v>20</v>
      </c>
      <c r="B2024" s="13"/>
      <c r="C2024" s="13" t="str">
        <f ca="1">IFERROR(__xludf.DUMMYFUNCTION("""COMPUTED_VALUE"""),"随手")</f>
        <v>随手</v>
      </c>
      <c r="D2024" s="13" t="str">
        <f ca="1">IFERROR(__xludf.DUMMYFUNCTION("""COMPUTED_VALUE"""),"&lt;ruby&gt;随手&lt;rt&gt;suíshǒu&lt;/rt&gt;&lt;/ruby&gt;")</f>
        <v>&lt;ruby&gt;随手&lt;rt&gt;suíshǒu&lt;/rt&gt;&lt;/ruby&gt;</v>
      </c>
      <c r="E2024" s="13" t="str">
        <f ca="1">IFERROR(__xludf.DUMMYFUNCTION("""COMPUTED_VALUE"""),"suíshǒu")</f>
        <v>suíshǒu</v>
      </c>
      <c r="F2024" s="13" t="str">
        <f ca="1">IFERROR(__xludf.DUMMYFUNCTION("""COMPUTED_VALUE"""),"Phó từ ")</f>
        <v xml:space="preserve">Phó từ </v>
      </c>
      <c r="G2024" s="13" t="str">
        <f ca="1">IFERROR(__xludf.DUMMYFUNCTION("""COMPUTED_VALUE"""),"tiện tay, thuận tay")</f>
        <v>tiện tay, thuận tay</v>
      </c>
      <c r="H2024" s="13" t="str">
        <f ca="1">IFERROR(__xludf.DUMMYFUNCTION("""COMPUTED_VALUE"""),"他随手关了灯。")</f>
        <v>他随手关了灯。</v>
      </c>
      <c r="I2024" s="13"/>
      <c r="J2024" s="13" t="str">
        <f ca="1">IFERROR(__xludf.DUMMYFUNCTION("""COMPUTED_VALUE"""),"Anh ấy tiện tay tắt đèn.")</f>
        <v>Anh ấy tiện tay tắt đèn.</v>
      </c>
      <c r="K2024" s="13" t="str">
        <f ca="1">IFERROR(__xludf.DUMMYFUNCTION("""COMPUTED_VALUE"""),"H5_B18_BG-20.png")</f>
        <v>H5_B18_BG-20.png</v>
      </c>
      <c r="L2024" s="13" t="str">
        <f ca="1">IFERROR(__xludf.DUMMYFUNCTION("""COMPUTED_VALUE"""),"B18_20.mp3")</f>
        <v>B18_20.mp3</v>
      </c>
      <c r="M2024" s="13" t="str">
        <f ca="1">IFERROR(__xludf.DUMMYFUNCTION("""COMPUTED_VALUE"""),"B18_VD_20.mp3")</f>
        <v>B18_VD_20.mp3</v>
      </c>
    </row>
    <row r="2025" spans="1:13">
      <c r="A2025" s="13">
        <f ca="1">IFERROR(__xludf.DUMMYFUNCTION("""COMPUTED_VALUE"""),21)</f>
        <v>21</v>
      </c>
      <c r="B2025" s="13"/>
      <c r="C2025" s="13" t="str">
        <f ca="1">IFERROR(__xludf.DUMMYFUNCTION("""COMPUTED_VALUE"""),"位置")</f>
        <v>位置</v>
      </c>
      <c r="D2025" s="13" t="str">
        <f ca="1">IFERROR(__xludf.DUMMYFUNCTION("""COMPUTED_VALUE"""),"&lt;ruby&gt;位置&lt;rt&gt;wèizhì&lt;/rt&gt;&lt;/ruby&gt;")</f>
        <v>&lt;ruby&gt;位置&lt;rt&gt;wèizhì&lt;/rt&gt;&lt;/ruby&gt;</v>
      </c>
      <c r="E2025" s="13" t="str">
        <f ca="1">IFERROR(__xludf.DUMMYFUNCTION("""COMPUTED_VALUE"""),"wèizhì")</f>
        <v>wèizhì</v>
      </c>
      <c r="F2025" s="13" t="str">
        <f ca="1">IFERROR(__xludf.DUMMYFUNCTION("""COMPUTED_VALUE"""),"Danh từ")</f>
        <v>Danh từ</v>
      </c>
      <c r="G2025" s="13" t="str">
        <f ca="1">IFERROR(__xludf.DUMMYFUNCTION("""COMPUTED_VALUE"""),"vị trí")</f>
        <v>vị trí</v>
      </c>
      <c r="H2025" s="13" t="str">
        <f ca="1">IFERROR(__xludf.DUMMYFUNCTION("""COMPUTED_VALUE"""),"这家餐厅的位置非常好，就在主干道上。")</f>
        <v>这家餐厅的位置非常好，就在主干道上。</v>
      </c>
      <c r="I2025" s="13"/>
      <c r="J2025" s="13" t="str">
        <f ca="1">IFERROR(__xludf.DUMMYFUNCTION("""COMPUTED_VALUE"""),"Vị trí của nhà hàng này rất tốt, nằm ngay trên đường chính.")</f>
        <v>Vị trí của nhà hàng này rất tốt, nằm ngay trên đường chính.</v>
      </c>
      <c r="K2025" s="13" t="str">
        <f ca="1">IFERROR(__xludf.DUMMYFUNCTION("""COMPUTED_VALUE"""),"H5_B18_BG-21.png")</f>
        <v>H5_B18_BG-21.png</v>
      </c>
      <c r="L2025" s="13" t="str">
        <f ca="1">IFERROR(__xludf.DUMMYFUNCTION("""COMPUTED_VALUE"""),"B18_21.mp3")</f>
        <v>B18_21.mp3</v>
      </c>
      <c r="M2025" s="13" t="str">
        <f ca="1">IFERROR(__xludf.DUMMYFUNCTION("""COMPUTED_VALUE"""),"B18_VD_21.mp3")</f>
        <v>B18_VD_21.mp3</v>
      </c>
    </row>
    <row r="2026" spans="1:13">
      <c r="A2026" s="13">
        <f ca="1">IFERROR(__xludf.DUMMYFUNCTION("""COMPUTED_VALUE"""),22)</f>
        <v>22</v>
      </c>
      <c r="B2026" s="13"/>
      <c r="C2026" s="13" t="str">
        <f ca="1">IFERROR(__xludf.DUMMYFUNCTION("""COMPUTED_VALUE"""),"分辨")</f>
        <v>分辨</v>
      </c>
      <c r="D2026" s="13" t="str">
        <f ca="1">IFERROR(__xludf.DUMMYFUNCTION("""COMPUTED_VALUE"""),"&lt;ruby&gt;分辨&lt;rt&gt;fēnbiàn&lt;/rt&gt;&lt;/ruby&gt;")</f>
        <v>&lt;ruby&gt;分辨&lt;rt&gt;fēnbiàn&lt;/rt&gt;&lt;/ruby&gt;</v>
      </c>
      <c r="E2026" s="13" t="str">
        <f ca="1">IFERROR(__xludf.DUMMYFUNCTION("""COMPUTED_VALUE"""),"fēnbiàn")</f>
        <v>fēnbiàn</v>
      </c>
      <c r="F2026" s="13" t="str">
        <f ca="1">IFERROR(__xludf.DUMMYFUNCTION("""COMPUTED_VALUE"""),"Động từ")</f>
        <v>Động từ</v>
      </c>
      <c r="G2026" s="13" t="str">
        <f ca="1">IFERROR(__xludf.DUMMYFUNCTION("""COMPUTED_VALUE"""),"phân biệt ")</f>
        <v xml:space="preserve">phân biệt </v>
      </c>
      <c r="H2026" s="13" t="str">
        <f ca="1">IFERROR(__xludf.DUMMYFUNCTION("""COMPUTED_VALUE"""),"她能分辨出真珠宝和假珠宝。")</f>
        <v>她能分辨出真珠宝和假珠宝。</v>
      </c>
      <c r="I2026" s="13"/>
      <c r="J2026" s="13" t="str">
        <f ca="1">IFERROR(__xludf.DUMMYFUNCTION("""COMPUTED_VALUE"""),"Cô ấy có thể phân biệt được đồ trang sức thật và giả.")</f>
        <v>Cô ấy có thể phân biệt được đồ trang sức thật và giả.</v>
      </c>
      <c r="K2026" s="13" t="str">
        <f ca="1">IFERROR(__xludf.DUMMYFUNCTION("""COMPUTED_VALUE"""),"H5_B18_BG-22.png")</f>
        <v>H5_B18_BG-22.png</v>
      </c>
      <c r="L2026" s="13" t="str">
        <f ca="1">IFERROR(__xludf.DUMMYFUNCTION("""COMPUTED_VALUE"""),"B18_22.mp3")</f>
        <v>B18_22.mp3</v>
      </c>
      <c r="M2026" s="13" t="str">
        <f ca="1">IFERROR(__xludf.DUMMYFUNCTION("""COMPUTED_VALUE"""),"B18_VD_22.mp3")</f>
        <v>B18_VD_22.mp3</v>
      </c>
    </row>
    <row r="2027" spans="1:13">
      <c r="A2027" s="13">
        <f ca="1">IFERROR(__xludf.DUMMYFUNCTION("""COMPUTED_VALUE"""),23)</f>
        <v>23</v>
      </c>
      <c r="B2027" s="13"/>
      <c r="C2027" s="13" t="str">
        <f ca="1">IFERROR(__xludf.DUMMYFUNCTION("""COMPUTED_VALUE"""),"可见")</f>
        <v>可见</v>
      </c>
      <c r="D2027" s="13" t="str">
        <f ca="1">IFERROR(__xludf.DUMMYFUNCTION("""COMPUTED_VALUE"""),"&lt;ruby&gt;可见&lt;rt&gt;kějiàn&lt;/rt&gt;&lt;/ruby&gt;")</f>
        <v>&lt;ruby&gt;可见&lt;rt&gt;kějiàn&lt;/rt&gt;&lt;/ruby&gt;</v>
      </c>
      <c r="E2027" s="13" t="str">
        <f ca="1">IFERROR(__xludf.DUMMYFUNCTION("""COMPUTED_VALUE"""),"kějiàn")</f>
        <v>kějiàn</v>
      </c>
      <c r="F2027" s="13" t="str">
        <f ca="1">IFERROR(__xludf.DUMMYFUNCTION("""COMPUTED_VALUE"""),"Liên từ ")</f>
        <v xml:space="preserve">Liên từ </v>
      </c>
      <c r="G2027" s="13" t="str">
        <f ca="1">IFERROR(__xludf.DUMMYFUNCTION("""COMPUTED_VALUE"""),"có thể thấy rõ ")</f>
        <v xml:space="preserve">có thể thấy rõ </v>
      </c>
      <c r="H2027" s="13" t="str">
        <f ca="1">IFERROR(__xludf.DUMMYFUNCTION("""COMPUTED_VALUE"""),"这里的河水污染严重，可见环保工作还不够到位。")</f>
        <v>这里的河水污染严重，可见环保工作还不够到位。</v>
      </c>
      <c r="I2027" s="13"/>
      <c r="J2027" s="13" t="str">
        <f ca="1">IFERROR(__xludf.DUMMYFUNCTION("""COMPUTED_VALUE"""),"Nước sông ở đây bị ô nhiễm nghiêm trọng, có thể thấy rõ công tác bảo vệ môi trường vẫn chưa đủ.")</f>
        <v>Nước sông ở đây bị ô nhiễm nghiêm trọng, có thể thấy rõ công tác bảo vệ môi trường vẫn chưa đủ.</v>
      </c>
      <c r="K2027" s="13" t="str">
        <f ca="1">IFERROR(__xludf.DUMMYFUNCTION("""COMPUTED_VALUE"""),"H5_B18_BG-23.png")</f>
        <v>H5_B18_BG-23.png</v>
      </c>
      <c r="L2027" s="13" t="str">
        <f ca="1">IFERROR(__xludf.DUMMYFUNCTION("""COMPUTED_VALUE"""),"B18_23.mp3")</f>
        <v>B18_23.mp3</v>
      </c>
      <c r="M2027" s="13" t="str">
        <f ca="1">IFERROR(__xludf.DUMMYFUNCTION("""COMPUTED_VALUE"""),"B18_VD_23.mp3")</f>
        <v>B18_VD_23.mp3</v>
      </c>
    </row>
    <row r="2028" spans="1:13">
      <c r="A2028" s="13">
        <f ca="1">IFERROR(__xludf.DUMMYFUNCTION("""COMPUTED_VALUE"""),24)</f>
        <v>24</v>
      </c>
      <c r="B2028" s="13"/>
      <c r="C2028" s="13" t="str">
        <f ca="1">IFERROR(__xludf.DUMMYFUNCTION("""COMPUTED_VALUE"""),"元素")</f>
        <v>元素</v>
      </c>
      <c r="D2028" s="13" t="str">
        <f ca="1">IFERROR(__xludf.DUMMYFUNCTION("""COMPUTED_VALUE"""),"&lt;ruby&gt;元素&lt;rt&gt;yuánsù&lt;/rt&gt;&lt;/ruby&gt;")</f>
        <v>&lt;ruby&gt;元素&lt;rt&gt;yuánsù&lt;/rt&gt;&lt;/ruby&gt;</v>
      </c>
      <c r="E2028" s="13" t="str">
        <f ca="1">IFERROR(__xludf.DUMMYFUNCTION("""COMPUTED_VALUE"""),"yuánsù")</f>
        <v>yuánsù</v>
      </c>
      <c r="F2028" s="13" t="str">
        <f ca="1">IFERROR(__xludf.DUMMYFUNCTION("""COMPUTED_VALUE"""),"Danh từ")</f>
        <v>Danh từ</v>
      </c>
      <c r="G2028" s="13" t="str">
        <f ca="1">IFERROR(__xludf.DUMMYFUNCTION("""COMPUTED_VALUE"""),"yếu tố, nguyên tố ")</f>
        <v xml:space="preserve">yếu tố, nguyên tố </v>
      </c>
      <c r="H2028" s="13" t="str">
        <f ca="1">IFERROR(__xludf.DUMMYFUNCTION("""COMPUTED_VALUE"""),"水是生命的重要元素。")</f>
        <v>水是生命的重要元素。</v>
      </c>
      <c r="I2028" s="13"/>
      <c r="J2028" s="13" t="str">
        <f ca="1">IFERROR(__xludf.DUMMYFUNCTION("""COMPUTED_VALUE"""),"Nước là yếu tố cơ bản của sự sống.")</f>
        <v>Nước là yếu tố cơ bản của sự sống.</v>
      </c>
      <c r="K2028" s="13" t="str">
        <f ca="1">IFERROR(__xludf.DUMMYFUNCTION("""COMPUTED_VALUE"""),"H5_B18_BG-24.png")</f>
        <v>H5_B18_BG-24.png</v>
      </c>
      <c r="L2028" s="13" t="str">
        <f ca="1">IFERROR(__xludf.DUMMYFUNCTION("""COMPUTED_VALUE"""),"B18_24.mp3")</f>
        <v>B18_24.mp3</v>
      </c>
      <c r="M2028" s="13" t="str">
        <f ca="1">IFERROR(__xludf.DUMMYFUNCTION("""COMPUTED_VALUE"""),"B18_VD_24.mp3")</f>
        <v>B18_VD_24.mp3</v>
      </c>
    </row>
    <row r="2029" spans="1:13">
      <c r="A2029" s="13">
        <f ca="1">IFERROR(__xludf.DUMMYFUNCTION("""COMPUTED_VALUE"""),25)</f>
        <v>25</v>
      </c>
      <c r="B2029" s="13"/>
      <c r="C2029" s="13" t="str">
        <f ca="1">IFERROR(__xludf.DUMMYFUNCTION("""COMPUTED_VALUE"""),"含意")</f>
        <v>含意</v>
      </c>
      <c r="D2029" s="13" t="str">
        <f ca="1">IFERROR(__xludf.DUMMYFUNCTION("""COMPUTED_VALUE"""),"&lt;ruby&gt;含意&lt;rt&gt;hányì&lt;/rt&gt;&lt;/ruby&gt;")</f>
        <v>&lt;ruby&gt;含意&lt;rt&gt;hányì&lt;/rt&gt;&lt;/ruby&gt;</v>
      </c>
      <c r="E2029" s="13" t="str">
        <f ca="1">IFERROR(__xludf.DUMMYFUNCTION("""COMPUTED_VALUE"""),"hányì")</f>
        <v>hányì</v>
      </c>
      <c r="F2029" s="13" t="str">
        <f ca="1">IFERROR(__xludf.DUMMYFUNCTION("""COMPUTED_VALUE"""),"Danh từ")</f>
        <v>Danh từ</v>
      </c>
      <c r="G2029" s="13" t="str">
        <f ca="1">IFERROR(__xludf.DUMMYFUNCTION("""COMPUTED_VALUE"""),"hàm ý, ẩn ý ")</f>
        <v xml:space="preserve">hàm ý, ẩn ý </v>
      </c>
      <c r="H2029" s="13" t="str">
        <f ca="1">IFERROR(__xludf.DUMMYFUNCTION("""COMPUTED_VALUE"""),"他的话有着深刻的含意。")</f>
        <v>他的话有着深刻的含意。</v>
      </c>
      <c r="I2029" s="13"/>
      <c r="J2029" s="13" t="str">
        <f ca="1">IFERROR(__xludf.DUMMYFUNCTION("""COMPUTED_VALUE"""),"Lời anh ấy nói có hàm ý sâu sắc.")</f>
        <v>Lời anh ấy nói có hàm ý sâu sắc.</v>
      </c>
      <c r="K2029" s="13" t="str">
        <f ca="1">IFERROR(__xludf.DUMMYFUNCTION("""COMPUTED_VALUE"""),"H5_B18_BG-25.png")</f>
        <v>H5_B18_BG-25.png</v>
      </c>
      <c r="L2029" s="13" t="str">
        <f ca="1">IFERROR(__xludf.DUMMYFUNCTION("""COMPUTED_VALUE"""),"B18_25.mp3")</f>
        <v>B18_25.mp3</v>
      </c>
      <c r="M2029" s="13" t="str">
        <f ca="1">IFERROR(__xludf.DUMMYFUNCTION("""COMPUTED_VALUE"""),"B18_VD_25.mp3")</f>
        <v>B18_VD_25.mp3</v>
      </c>
    </row>
    <row r="2030" spans="1:13">
      <c r="A2030" s="13">
        <f ca="1">IFERROR(__xludf.DUMMYFUNCTION("""COMPUTED_VALUE"""),26)</f>
        <v>26</v>
      </c>
      <c r="B2030" s="13"/>
      <c r="C2030" s="13" t="str">
        <f ca="1">IFERROR(__xludf.DUMMYFUNCTION("""COMPUTED_VALUE"""),"丑（陋）")</f>
        <v>丑（陋）</v>
      </c>
      <c r="D2030" s="13" t="str">
        <f ca="1">IFERROR(__xludf.DUMMYFUNCTION("""COMPUTED_VALUE"""),"&lt;ruby&gt;丑（陋）&lt;rt&gt;chǒu (lòu)&lt;/rt&gt;&lt;/ruby&gt;")</f>
        <v>&lt;ruby&gt;丑（陋）&lt;rt&gt;chǒu (lòu)&lt;/rt&gt;&lt;/ruby&gt;</v>
      </c>
      <c r="E2030" s="13" t="str">
        <f ca="1">IFERROR(__xludf.DUMMYFUNCTION("""COMPUTED_VALUE"""),"chǒu (lòu)")</f>
        <v>chǒu (lòu)</v>
      </c>
      <c r="F2030" s="13" t="str">
        <f ca="1">IFERROR(__xludf.DUMMYFUNCTION("""COMPUTED_VALUE"""),"Tính từ")</f>
        <v>Tính từ</v>
      </c>
      <c r="G2030" s="13" t="str">
        <f ca="1">IFERROR(__xludf.DUMMYFUNCTION("""COMPUTED_VALUE"""),"xấu xí")</f>
        <v>xấu xí</v>
      </c>
      <c r="H2030" s="13" t="str">
        <f ca="1">IFERROR(__xludf.DUMMYFUNCTION("""COMPUTED_VALUE"""),"这只狗的外形很丑，但它非常友好。")</f>
        <v>这只狗的外形很丑，但它非常友好。</v>
      </c>
      <c r="I2030" s="13"/>
      <c r="J2030" s="13" t="str">
        <f ca="1">IFERROR(__xludf.DUMMYFUNCTION("""COMPUTED_VALUE"""),"Con chó này có hình dạng rất xấu, nhưng nó rất thân thiện.")</f>
        <v>Con chó này có hình dạng rất xấu, nhưng nó rất thân thiện.</v>
      </c>
      <c r="K2030" s="13" t="str">
        <f ca="1">IFERROR(__xludf.DUMMYFUNCTION("""COMPUTED_VALUE"""),"H5_B18_BG-26.png")</f>
        <v>H5_B18_BG-26.png</v>
      </c>
      <c r="L2030" s="13" t="str">
        <f ca="1">IFERROR(__xludf.DUMMYFUNCTION("""COMPUTED_VALUE"""),"B18_26.mp3")</f>
        <v>B18_26.mp3</v>
      </c>
      <c r="M2030" s="13" t="str">
        <f ca="1">IFERROR(__xludf.DUMMYFUNCTION("""COMPUTED_VALUE"""),"B18_VD_26.mp3")</f>
        <v>B18_VD_26.mp3</v>
      </c>
    </row>
    <row r="2031" spans="1:13">
      <c r="A2031" s="13">
        <f ca="1">IFERROR(__xludf.DUMMYFUNCTION("""COMPUTED_VALUE"""),27)</f>
        <v>27</v>
      </c>
      <c r="B2031" s="13"/>
      <c r="C2031" s="13" t="str">
        <f ca="1">IFERROR(__xludf.DUMMYFUNCTION("""COMPUTED_VALUE"""),"哪怕")</f>
        <v>哪怕</v>
      </c>
      <c r="D2031" s="13" t="str">
        <f ca="1">IFERROR(__xludf.DUMMYFUNCTION("""COMPUTED_VALUE"""),"&lt;ruby&gt;哪怕&lt;rt&gt;nǎpà&lt;/rt&gt;&lt;/ruby&gt;")</f>
        <v>&lt;ruby&gt;哪怕&lt;rt&gt;nǎpà&lt;/rt&gt;&lt;/ruby&gt;</v>
      </c>
      <c r="E2031" s="13" t="str">
        <f ca="1">IFERROR(__xludf.DUMMYFUNCTION("""COMPUTED_VALUE"""),"nǎpà")</f>
        <v>nǎpà</v>
      </c>
      <c r="F2031" s="13" t="str">
        <f ca="1">IFERROR(__xludf.DUMMYFUNCTION("""COMPUTED_VALUE"""),"Liên từ ")</f>
        <v xml:space="preserve">Liên từ </v>
      </c>
      <c r="G2031" s="13" t="str">
        <f ca="1">IFERROR(__xludf.DUMMYFUNCTION("""COMPUTED_VALUE"""),"dù cho, cho dù")</f>
        <v>dù cho, cho dù</v>
      </c>
      <c r="H2031" s="13" t="str">
        <f ca="1">IFERROR(__xludf.DUMMYFUNCTION("""COMPUTED_VALUE"""),"哪怕下大雨，我也会去上课。")</f>
        <v>哪怕下大雨，我也会去上课。</v>
      </c>
      <c r="I2031" s="13"/>
      <c r="J2031" s="13" t="str">
        <f ca="1">IFERROR(__xludf.DUMMYFUNCTION("""COMPUTED_VALUE"""),"Dù có mưa lớn, tôi cũng sẽ đi học")</f>
        <v>Dù có mưa lớn, tôi cũng sẽ đi học</v>
      </c>
      <c r="K2031" s="13" t="str">
        <f ca="1">IFERROR(__xludf.DUMMYFUNCTION("""COMPUTED_VALUE"""),"H5_B18_BG-27.png")</f>
        <v>H5_B18_BG-27.png</v>
      </c>
      <c r="L2031" s="13" t="str">
        <f ca="1">IFERROR(__xludf.DUMMYFUNCTION("""COMPUTED_VALUE"""),"B18_27.mp3")</f>
        <v>B18_27.mp3</v>
      </c>
      <c r="M2031" s="13" t="str">
        <f ca="1">IFERROR(__xludf.DUMMYFUNCTION("""COMPUTED_VALUE"""),"B18_VD_27.mp3")</f>
        <v>B18_VD_27.mp3</v>
      </c>
    </row>
    <row r="2032" spans="1:13">
      <c r="A2032" s="13">
        <f ca="1">IFERROR(__xludf.DUMMYFUNCTION("""COMPUTED_VALUE"""),28)</f>
        <v>28</v>
      </c>
      <c r="B2032" s="13"/>
      <c r="C2032" s="13" t="str">
        <f ca="1">IFERROR(__xludf.DUMMYFUNCTION("""COMPUTED_VALUE"""),"派")</f>
        <v>派</v>
      </c>
      <c r="D2032" s="13" t="str">
        <f ca="1">IFERROR(__xludf.DUMMYFUNCTION("""COMPUTED_VALUE"""),"&lt;ruby&gt;派&lt;rt&gt;pài&lt;/rt&gt;&lt;/ruby&gt;")</f>
        <v>&lt;ruby&gt;派&lt;rt&gt;pài&lt;/rt&gt;&lt;/ruby&gt;</v>
      </c>
      <c r="E2032" s="13" t="str">
        <f ca="1">IFERROR(__xludf.DUMMYFUNCTION("""COMPUTED_VALUE"""),"pài")</f>
        <v>pài</v>
      </c>
      <c r="F2032" s="13" t="str">
        <f ca="1">IFERROR(__xludf.DUMMYFUNCTION("""COMPUTED_VALUE"""),"Danh từ")</f>
        <v>Danh từ</v>
      </c>
      <c r="G2032" s="13" t="str">
        <f ca="1">IFERROR(__xludf.DUMMYFUNCTION("""COMPUTED_VALUE"""),"phái, bè cánh")</f>
        <v>phái, bè cánh</v>
      </c>
      <c r="H2032" s="13" t="str">
        <f ca="1">IFERROR(__xludf.DUMMYFUNCTION("""COMPUTED_VALUE"""),"在这个问题上，我是独立的一派。")</f>
        <v>在这个问题上，我是独立的一派。</v>
      </c>
      <c r="I2032" s="13"/>
      <c r="J2032" s="13" t="str">
        <f ca="1">IFERROR(__xludf.DUMMYFUNCTION("""COMPUTED_VALUE"""),"Một mình tôi một phe.")</f>
        <v>Một mình tôi một phe.</v>
      </c>
      <c r="K2032" s="13" t="str">
        <f ca="1">IFERROR(__xludf.DUMMYFUNCTION("""COMPUTED_VALUE"""),"H5_B18_BG-28.png")</f>
        <v>H5_B18_BG-28.png</v>
      </c>
      <c r="L2032" s="13" t="str">
        <f ca="1">IFERROR(__xludf.DUMMYFUNCTION("""COMPUTED_VALUE"""),"B18_28.mp3")</f>
        <v>B18_28.mp3</v>
      </c>
      <c r="M2032" s="13" t="str">
        <f ca="1">IFERROR(__xludf.DUMMYFUNCTION("""COMPUTED_VALUE"""),"B18_VD_28.mp3")</f>
        <v>B18_VD_28.mp3</v>
      </c>
    </row>
    <row r="2033" spans="1:13">
      <c r="A2033" s="13">
        <f ca="1">IFERROR(__xludf.DUMMYFUNCTION("""COMPUTED_VALUE"""),29)</f>
        <v>29</v>
      </c>
      <c r="B2033" s="13"/>
      <c r="C2033" s="13" t="str">
        <f ca="1">IFERROR(__xludf.DUMMYFUNCTION("""COMPUTED_VALUE"""),"其余")</f>
        <v>其余</v>
      </c>
      <c r="D2033" s="13" t="str">
        <f ca="1">IFERROR(__xludf.DUMMYFUNCTION("""COMPUTED_VALUE"""),"&lt;ruby&gt;其余&lt;rt&gt;qíyú&lt;/rt&gt;&lt;/ruby&gt;")</f>
        <v>&lt;ruby&gt;其余&lt;rt&gt;qíyú&lt;/rt&gt;&lt;/ruby&gt;</v>
      </c>
      <c r="E2033" s="13" t="str">
        <f ca="1">IFERROR(__xludf.DUMMYFUNCTION("""COMPUTED_VALUE"""),"qíyú")</f>
        <v>qíyú</v>
      </c>
      <c r="F2033" s="13" t="str">
        <f ca="1">IFERROR(__xludf.DUMMYFUNCTION("""COMPUTED_VALUE"""),"Đại từ ")</f>
        <v xml:space="preserve">Đại từ </v>
      </c>
      <c r="G2033" s="13" t="str">
        <f ca="1">IFERROR(__xludf.DUMMYFUNCTION("""COMPUTED_VALUE"""),"cái còn lại, nhũng cái khác")</f>
        <v>cái còn lại, nhũng cái khác</v>
      </c>
      <c r="H2033" s="13" t="str">
        <f ca="1">IFERROR(__xludf.DUMMYFUNCTION("""COMPUTED_VALUE"""),"我会吃一颗糖，其余的留给你。")</f>
        <v>我会吃一颗糖，其余的留给你。</v>
      </c>
      <c r="I2033" s="13"/>
      <c r="J2033" s="13" t="str">
        <f ca="1">IFERROR(__xludf.DUMMYFUNCTION("""COMPUTED_VALUE"""),"Tôi sẽ ăn 1 cái kẹo, cái còn lại dành cho bạn.")</f>
        <v>Tôi sẽ ăn 1 cái kẹo, cái còn lại dành cho bạn.</v>
      </c>
      <c r="K2033" s="13" t="str">
        <f ca="1">IFERROR(__xludf.DUMMYFUNCTION("""COMPUTED_VALUE"""),"H5_B18_BG-29.png")</f>
        <v>H5_B18_BG-29.png</v>
      </c>
      <c r="L2033" s="13" t="str">
        <f ca="1">IFERROR(__xludf.DUMMYFUNCTION("""COMPUTED_VALUE"""),"B18_29.mp3")</f>
        <v>B18_29.mp3</v>
      </c>
      <c r="M2033" s="13" t="str">
        <f ca="1">IFERROR(__xludf.DUMMYFUNCTION("""COMPUTED_VALUE"""),"B18_VD_29.mp3")</f>
        <v>B18_VD_29.mp3</v>
      </c>
    </row>
    <row r="2034" spans="1:13">
      <c r="A2034" s="13">
        <f ca="1">IFERROR(__xludf.DUMMYFUNCTION("""COMPUTED_VALUE"""),30)</f>
        <v>30</v>
      </c>
      <c r="B2034" s="13"/>
      <c r="C2034" s="13" t="str">
        <f ca="1">IFERROR(__xludf.DUMMYFUNCTION("""COMPUTED_VALUE"""),"签")</f>
        <v>签</v>
      </c>
      <c r="D2034" s="13" t="str">
        <f ca="1">IFERROR(__xludf.DUMMYFUNCTION("""COMPUTED_VALUE"""),"&lt;ruby&gt;签&lt;rt&gt;qiān&lt;/rt&gt;&lt;/ruby&gt;")</f>
        <v>&lt;ruby&gt;签&lt;rt&gt;qiān&lt;/rt&gt;&lt;/ruby&gt;</v>
      </c>
      <c r="E2034" s="13" t="str">
        <f ca="1">IFERROR(__xludf.DUMMYFUNCTION("""COMPUTED_VALUE"""),"qiān")</f>
        <v>qiān</v>
      </c>
      <c r="F2034" s="13" t="str">
        <f ca="1">IFERROR(__xludf.DUMMYFUNCTION("""COMPUTED_VALUE"""),"Động từ")</f>
        <v>Động từ</v>
      </c>
      <c r="G2034" s="13" t="str">
        <f ca="1">IFERROR(__xludf.DUMMYFUNCTION("""COMPUTED_VALUE"""),"ký tên ")</f>
        <v xml:space="preserve">ký tên </v>
      </c>
      <c r="H2034" s="13" t="str">
        <f ca="1">IFERROR(__xludf.DUMMYFUNCTION("""COMPUTED_VALUE"""),"他已经在合同上签了名字。")</f>
        <v>他已经在合同上签了名字。</v>
      </c>
      <c r="I2034" s="13"/>
      <c r="J2034" s="13" t="str">
        <f ca="1">IFERROR(__xludf.DUMMYFUNCTION("""COMPUTED_VALUE"""),"Anh ấy đã ký tên vào hợp đồng.")</f>
        <v>Anh ấy đã ký tên vào hợp đồng.</v>
      </c>
      <c r="K2034" s="13" t="str">
        <f ca="1">IFERROR(__xludf.DUMMYFUNCTION("""COMPUTED_VALUE"""),"H5_B18_BG-30.png")</f>
        <v>H5_B18_BG-30.png</v>
      </c>
      <c r="L2034" s="13" t="str">
        <f ca="1">IFERROR(__xludf.DUMMYFUNCTION("""COMPUTED_VALUE"""),"B18_30.mp3")</f>
        <v>B18_30.mp3</v>
      </c>
      <c r="M2034" s="13" t="str">
        <f ca="1">IFERROR(__xludf.DUMMYFUNCTION("""COMPUTED_VALUE"""),"B18_VD_30.mp3")</f>
        <v>B18_VD_30.mp3</v>
      </c>
    </row>
    <row r="2035" spans="1:13">
      <c r="A2035" s="13">
        <f ca="1">IFERROR(__xludf.DUMMYFUNCTION("""COMPUTED_VALUE"""),31)</f>
        <v>31</v>
      </c>
      <c r="B2035" s="13"/>
      <c r="C2035" s="13" t="str">
        <f ca="1">IFERROR(__xludf.DUMMYFUNCTION("""COMPUTED_VALUE"""),"身份")</f>
        <v>身份</v>
      </c>
      <c r="D2035" s="13" t="str">
        <f ca="1">IFERROR(__xludf.DUMMYFUNCTION("""COMPUTED_VALUE"""),"&lt;ruby&gt;身份&lt;rt&gt;shēnfèn&lt;/rt&gt;&lt;/ruby&gt;")</f>
        <v>&lt;ruby&gt;身份&lt;rt&gt;shēnfèn&lt;/rt&gt;&lt;/ruby&gt;</v>
      </c>
      <c r="E2035" s="13" t="str">
        <f ca="1">IFERROR(__xludf.DUMMYFUNCTION("""COMPUTED_VALUE"""),"shēnfèn")</f>
        <v>shēnfèn</v>
      </c>
      <c r="F2035" s="13" t="str">
        <f ca="1">IFERROR(__xludf.DUMMYFUNCTION("""COMPUTED_VALUE"""),"Danh từ")</f>
        <v>Danh từ</v>
      </c>
      <c r="G2035" s="13" t="str">
        <f ca="1">IFERROR(__xludf.DUMMYFUNCTION("""COMPUTED_VALUE"""),"thân phận, địa vị")</f>
        <v>thân phận, địa vị</v>
      </c>
      <c r="H2035" s="13" t="str">
        <f ca="1">IFERROR(__xludf.DUMMYFUNCTION("""COMPUTED_VALUE"""),"他的身份很特别，他是公司的执行总裁。")</f>
        <v>他的身份很特别，他是公司的执行总裁。</v>
      </c>
      <c r="I2035" s="13"/>
      <c r="J2035" s="13" t="str">
        <f ca="1">IFERROR(__xludf.DUMMYFUNCTION("""COMPUTED_VALUE"""),"Thân phận của anh ấy rất đặc biệt, anh là giám đốc điều hành của công ty.")</f>
        <v>Thân phận của anh ấy rất đặc biệt, anh là giám đốc điều hành của công ty.</v>
      </c>
      <c r="K2035" s="13" t="str">
        <f ca="1">IFERROR(__xludf.DUMMYFUNCTION("""COMPUTED_VALUE"""),"H5_B18_BG-31.png")</f>
        <v>H5_B18_BG-31.png</v>
      </c>
      <c r="L2035" s="13" t="str">
        <f ca="1">IFERROR(__xludf.DUMMYFUNCTION("""COMPUTED_VALUE"""),"B18_31.mp3")</f>
        <v>B18_31.mp3</v>
      </c>
      <c r="M2035" s="13" t="str">
        <f ca="1">IFERROR(__xludf.DUMMYFUNCTION("""COMPUTED_VALUE"""),"B18_VD_31.mp3")</f>
        <v>B18_VD_31.mp3</v>
      </c>
    </row>
    <row r="2036" spans="1:13">
      <c r="A2036" s="13">
        <f ca="1">IFERROR(__xludf.DUMMYFUNCTION("""COMPUTED_VALUE"""),32)</f>
        <v>32</v>
      </c>
      <c r="B2036" s="13"/>
      <c r="C2036" s="13" t="str">
        <f ca="1">IFERROR(__xludf.DUMMYFUNCTION("""COMPUTED_VALUE"""),"事实")</f>
        <v>事实</v>
      </c>
      <c r="D2036" s="13" t="str">
        <f ca="1">IFERROR(__xludf.DUMMYFUNCTION("""COMPUTED_VALUE"""),"&lt;ruby&gt;事实&lt;rt&gt;shìshí&lt;/rt&gt;&lt;/ruby&gt;")</f>
        <v>&lt;ruby&gt;事实&lt;rt&gt;shìshí&lt;/rt&gt;&lt;/ruby&gt;</v>
      </c>
      <c r="E2036" s="13" t="str">
        <f ca="1">IFERROR(__xludf.DUMMYFUNCTION("""COMPUTED_VALUE"""),"shìshí")</f>
        <v>shìshí</v>
      </c>
      <c r="F2036" s="13" t="str">
        <f ca="1">IFERROR(__xludf.DUMMYFUNCTION("""COMPUTED_VALUE"""),"Danh từ")</f>
        <v>Danh từ</v>
      </c>
      <c r="G2036" s="13" t="str">
        <f ca="1">IFERROR(__xludf.DUMMYFUNCTION("""COMPUTED_VALUE"""),"sự thật ")</f>
        <v xml:space="preserve">sự thật </v>
      </c>
      <c r="H2036" s="13" t="str">
        <f ca="1">IFERROR(__xludf.DUMMYFUNCTION("""COMPUTED_VALUE"""),"以前，警察经常用放大镜寻找案件现场背后的事实。")</f>
        <v>以前，警察经常用放大镜寻找案件现场背后的事实。</v>
      </c>
      <c r="I2036" s="13"/>
      <c r="J2036" s="13" t="str">
        <f ca="1">IFERROR(__xludf.DUMMYFUNCTION("""COMPUTED_VALUE"""),"Ngày xưa, cảnh sát hay dùng kính lúp để tìm sự thật đằng sau hiện trường vụ án.")</f>
        <v>Ngày xưa, cảnh sát hay dùng kính lúp để tìm sự thật đằng sau hiện trường vụ án.</v>
      </c>
      <c r="K2036" s="13" t="str">
        <f ca="1">IFERROR(__xludf.DUMMYFUNCTION("""COMPUTED_VALUE"""),"H5_B18_BG-32.png")</f>
        <v>H5_B18_BG-32.png</v>
      </c>
      <c r="L2036" s="13" t="str">
        <f ca="1">IFERROR(__xludf.DUMMYFUNCTION("""COMPUTED_VALUE"""),"B18_32.mp3")</f>
        <v>B18_32.mp3</v>
      </c>
      <c r="M2036" s="13" t="str">
        <f ca="1">IFERROR(__xludf.DUMMYFUNCTION("""COMPUTED_VALUE"""),"B18_VD_32.mp3")</f>
        <v>B18_VD_32.mp3</v>
      </c>
    </row>
    <row r="2037" spans="1:13">
      <c r="A2037" s="13">
        <f ca="1">IFERROR(__xludf.DUMMYFUNCTION("""COMPUTED_VALUE"""),33)</f>
        <v>33</v>
      </c>
      <c r="B2037" s="13"/>
      <c r="C2037" s="13" t="str">
        <f ca="1">IFERROR(__xludf.DUMMYFUNCTION("""COMPUTED_VALUE"""),"调整")</f>
        <v>调整</v>
      </c>
      <c r="D2037" s="13" t="str">
        <f ca="1">IFERROR(__xludf.DUMMYFUNCTION("""COMPUTED_VALUE"""),"&lt;ruby&gt;调整&lt;rt&gt;tiáozhěng&lt;/rt&gt;&lt;/ruby&gt;")</f>
        <v>&lt;ruby&gt;调整&lt;rt&gt;tiáozhěng&lt;/rt&gt;&lt;/ruby&gt;</v>
      </c>
      <c r="E2037" s="13" t="str">
        <f ca="1">IFERROR(__xludf.DUMMYFUNCTION("""COMPUTED_VALUE"""),"tiáozhěng")</f>
        <v>tiáozhěng</v>
      </c>
      <c r="F2037" s="13" t="str">
        <f ca="1">IFERROR(__xludf.DUMMYFUNCTION("""COMPUTED_VALUE"""),"Động từ/Danh từ")</f>
        <v>Động từ/Danh từ</v>
      </c>
      <c r="G2037" s="13" t="str">
        <f ca="1">IFERROR(__xludf.DUMMYFUNCTION("""COMPUTED_VALUE"""),"điều chỉnh, sự điều chỉnh")</f>
        <v>điều chỉnh, sự điều chỉnh</v>
      </c>
      <c r="H2037" s="13" t="str">
        <f ca="1">IFERROR(__xludf.DUMMYFUNCTION("""COMPUTED_VALUE"""),"医生建议我调整饮食习惯以保持健康。")</f>
        <v>医生建议我调整饮食习惯以保持健康。</v>
      </c>
      <c r="I2037" s="13"/>
      <c r="J2037" s="13" t="str">
        <f ca="1">IFERROR(__xludf.DUMMYFUNCTION("""COMPUTED_VALUE"""),"Bác sĩ khuyên tôi điều chỉnh thói quen ăn uống để giữ gìn sức khỏe.")</f>
        <v>Bác sĩ khuyên tôi điều chỉnh thói quen ăn uống để giữ gìn sức khỏe.</v>
      </c>
      <c r="K2037" s="13" t="str">
        <f ca="1">IFERROR(__xludf.DUMMYFUNCTION("""COMPUTED_VALUE"""),"H5_B18_BG-33.png")</f>
        <v>H5_B18_BG-33.png</v>
      </c>
      <c r="L2037" s="13" t="str">
        <f ca="1">IFERROR(__xludf.DUMMYFUNCTION("""COMPUTED_VALUE"""),"B18_33.mp3")</f>
        <v>B18_33.mp3</v>
      </c>
      <c r="M2037" s="13" t="str">
        <f ca="1">IFERROR(__xludf.DUMMYFUNCTION("""COMPUTED_VALUE"""),"B18_VD_33.mp3")</f>
        <v>B18_VD_33.mp3</v>
      </c>
    </row>
    <row r="2038" spans="1:13">
      <c r="A2038" s="13">
        <f ca="1">IFERROR(__xludf.DUMMYFUNCTION("""COMPUTED_VALUE"""),34)</f>
        <v>34</v>
      </c>
      <c r="B2038" s="13"/>
      <c r="C2038" s="13" t="str">
        <f ca="1">IFERROR(__xludf.DUMMYFUNCTION("""COMPUTED_VALUE"""),"业余")</f>
        <v>业余</v>
      </c>
      <c r="D2038" s="13" t="str">
        <f ca="1">IFERROR(__xludf.DUMMYFUNCTION("""COMPUTED_VALUE"""),"&lt;ruby&gt;业余&lt;rt&gt;yèyú&lt;/rt&gt;&lt;/ruby&gt;")</f>
        <v>&lt;ruby&gt;业余&lt;rt&gt;yèyú&lt;/rt&gt;&lt;/ruby&gt;</v>
      </c>
      <c r="E2038" s="13" t="str">
        <f ca="1">IFERROR(__xludf.DUMMYFUNCTION("""COMPUTED_VALUE"""),"yèyú")</f>
        <v>yèyú</v>
      </c>
      <c r="F2038" s="13" t="str">
        <f ca="1">IFERROR(__xludf.DUMMYFUNCTION("""COMPUTED_VALUE"""),"Tính từ")</f>
        <v>Tính từ</v>
      </c>
      <c r="G2038" s="13" t="str">
        <f ca="1">IFERROR(__xludf.DUMMYFUNCTION("""COMPUTED_VALUE"""),"nghiệp dư")</f>
        <v>nghiệp dư</v>
      </c>
      <c r="H2038" s="13" t="str">
        <f ca="1">IFERROR(__xludf.DUMMYFUNCTION("""COMPUTED_VALUE"""),"他是一位业余摄影师，常常在空闲时外出拍照。")</f>
        <v>他是一位业余摄影师，常常在空闲时外出拍照。</v>
      </c>
      <c r="I2038" s="13"/>
      <c r="J2038" s="13" t="str">
        <f ca="1">IFERROR(__xludf.DUMMYFUNCTION("""COMPUTED_VALUE"""),"Anh ấy là một nhiếp ảnh gia nghiệp dư, thường đi chụp ảnh mỗi khi rảnh.")</f>
        <v>Anh ấy là một nhiếp ảnh gia nghiệp dư, thường đi chụp ảnh mỗi khi rảnh.</v>
      </c>
      <c r="K2038" s="13" t="str">
        <f ca="1">IFERROR(__xludf.DUMMYFUNCTION("""COMPUTED_VALUE"""),"H5_B18_BG-34.png")</f>
        <v>H5_B18_BG-34.png</v>
      </c>
      <c r="L2038" s="13" t="str">
        <f ca="1">IFERROR(__xludf.DUMMYFUNCTION("""COMPUTED_VALUE"""),"B18_34.mp3")</f>
        <v>B18_34.mp3</v>
      </c>
      <c r="M2038" s="13" t="str">
        <f ca="1">IFERROR(__xludf.DUMMYFUNCTION("""COMPUTED_VALUE"""),"B18_VD_34.mp3")</f>
        <v>B18_VD_34.mp3</v>
      </c>
    </row>
    <row r="2039" spans="1:13">
      <c r="A2039" s="13">
        <f ca="1">IFERROR(__xludf.DUMMYFUNCTION("""COMPUTED_VALUE"""),35)</f>
        <v>35</v>
      </c>
      <c r="B2039" s="13"/>
      <c r="C2039" s="13" t="str">
        <f ca="1">IFERROR(__xludf.DUMMYFUNCTION("""COMPUTED_VALUE"""),"证据")</f>
        <v>证据</v>
      </c>
      <c r="D2039" s="13" t="str">
        <f ca="1">IFERROR(__xludf.DUMMYFUNCTION("""COMPUTED_VALUE"""),"&lt;ruby&gt;证据&lt;rt&gt;zhèngjù&lt;/rt&gt;&lt;/ruby&gt;")</f>
        <v>&lt;ruby&gt;证据&lt;rt&gt;zhèngjù&lt;/rt&gt;&lt;/ruby&gt;</v>
      </c>
      <c r="E2039" s="13" t="str">
        <f ca="1">IFERROR(__xludf.DUMMYFUNCTION("""COMPUTED_VALUE"""),"zhèngjù")</f>
        <v>zhèngjù</v>
      </c>
      <c r="F2039" s="13" t="str">
        <f ca="1">IFERROR(__xludf.DUMMYFUNCTION("""COMPUTED_VALUE"""),"Danh từ")</f>
        <v>Danh từ</v>
      </c>
      <c r="G2039" s="13" t="str">
        <f ca="1">IFERROR(__xludf.DUMMYFUNCTION("""COMPUTED_VALUE"""),"chứng cứ, bằng chứng")</f>
        <v>chứng cứ, bằng chứng</v>
      </c>
      <c r="H2039" s="13" t="str">
        <f ca="1">IFERROR(__xludf.DUMMYFUNCTION("""COMPUTED_VALUE"""),"这把枪就是犯罪的证据。")</f>
        <v>这把枪就是犯罪的证据。</v>
      </c>
      <c r="I2039" s="13"/>
      <c r="J2039" s="13" t="str">
        <f ca="1">IFERROR(__xludf.DUMMYFUNCTION("""COMPUTED_VALUE"""),"Khẩu súng này chính là bằng chứng phạm tội.")</f>
        <v>Khẩu súng này chính là bằng chứng phạm tội.</v>
      </c>
      <c r="K2039" s="13" t="str">
        <f ca="1">IFERROR(__xludf.DUMMYFUNCTION("""COMPUTED_VALUE"""),"H5_B18_BG-35.png")</f>
        <v>H5_B18_BG-35.png</v>
      </c>
      <c r="L2039" s="13" t="str">
        <f ca="1">IFERROR(__xludf.DUMMYFUNCTION("""COMPUTED_VALUE"""),"B18_35.mp3")</f>
        <v>B18_35.mp3</v>
      </c>
      <c r="M2039" s="13" t="str">
        <f ca="1">IFERROR(__xludf.DUMMYFUNCTION("""COMPUTED_VALUE"""),"B18_VD_35.mp3")</f>
        <v>B18_VD_35.mp3</v>
      </c>
    </row>
    <row r="2040" spans="1:13">
      <c r="A2040" s="13">
        <f ca="1">IFERROR(__xludf.DUMMYFUNCTION("""COMPUTED_VALUE"""),36)</f>
        <v>36</v>
      </c>
      <c r="B2040" s="13"/>
      <c r="C2040" s="13" t="str">
        <f ca="1">IFERROR(__xludf.DUMMYFUNCTION("""COMPUTED_VALUE"""),"自由")</f>
        <v>自由</v>
      </c>
      <c r="D2040" s="13" t="str">
        <f ca="1">IFERROR(__xludf.DUMMYFUNCTION("""COMPUTED_VALUE"""),"&lt;ruby&gt;自由&lt;rt&gt;zìyóu&lt;/rt&gt;&lt;/ruby&gt;")</f>
        <v>&lt;ruby&gt;自由&lt;rt&gt;zìyóu&lt;/rt&gt;&lt;/ruby&gt;</v>
      </c>
      <c r="E2040" s="13" t="str">
        <f ca="1">IFERROR(__xludf.DUMMYFUNCTION("""COMPUTED_VALUE"""),"zìyóu")</f>
        <v>zìyóu</v>
      </c>
      <c r="F2040" s="13" t="str">
        <f ca="1">IFERROR(__xludf.DUMMYFUNCTION("""COMPUTED_VALUE"""),"Danh từ/Tính từ")</f>
        <v>Danh từ/Tính từ</v>
      </c>
      <c r="G2040" s="13" t="str">
        <f ca="1">IFERROR(__xludf.DUMMYFUNCTION("""COMPUTED_VALUE"""),"sự tự do, tự do")</f>
        <v>sự tự do, tự do</v>
      </c>
      <c r="H2040" s="13" t="str">
        <f ca="1">IFERROR(__xludf.DUMMYFUNCTION("""COMPUTED_VALUE"""),"在公园里，人们可以自由地散步和跑步。")</f>
        <v>在公园里，人们可以自由地散步和跑步。</v>
      </c>
      <c r="I2040" s="13"/>
      <c r="J2040" s="13" t="str">
        <f ca="1">IFERROR(__xludf.DUMMYFUNCTION("""COMPUTED_VALUE"""),"Ở trong công viên, mọi người có thể tự do đi dạo và chạy bộ.")</f>
        <v>Ở trong công viên, mọi người có thể tự do đi dạo và chạy bộ.</v>
      </c>
      <c r="K2040" s="13" t="str">
        <f ca="1">IFERROR(__xludf.DUMMYFUNCTION("""COMPUTED_VALUE"""),"H5_B18_BG-36.png")</f>
        <v>H5_B18_BG-36.png</v>
      </c>
      <c r="L2040" s="13" t="str">
        <f ca="1">IFERROR(__xludf.DUMMYFUNCTION("""COMPUTED_VALUE"""),"B18_36.mp3")</f>
        <v>B18_36.mp3</v>
      </c>
      <c r="M2040" s="13" t="str">
        <f ca="1">IFERROR(__xludf.DUMMYFUNCTION("""COMPUTED_VALUE"""),"B18_VD_36.mp3")</f>
        <v>B18_VD_36.mp3</v>
      </c>
    </row>
    <row r="2041" spans="1:13">
      <c r="A2041" s="13">
        <f ca="1">IFERROR(__xludf.DUMMYFUNCTION("""COMPUTED_VALUE"""),37)</f>
        <v>37</v>
      </c>
      <c r="B2041" s="13"/>
      <c r="C2041" s="13" t="str">
        <f ca="1">IFERROR(__xludf.DUMMYFUNCTION("""COMPUTED_VALUE"""),"组")</f>
        <v>组</v>
      </c>
      <c r="D2041" s="13" t="str">
        <f ca="1">IFERROR(__xludf.DUMMYFUNCTION("""COMPUTED_VALUE"""),"&lt;ruby&gt;组&lt;rt&gt;zŭ&lt;/rt&gt;&lt;/ruby&gt;")</f>
        <v>&lt;ruby&gt;组&lt;rt&gt;zŭ&lt;/rt&gt;&lt;/ruby&gt;</v>
      </c>
      <c r="E2041" s="13" t="str">
        <f ca="1">IFERROR(__xludf.DUMMYFUNCTION("""COMPUTED_VALUE"""),"zŭ")</f>
        <v>zŭ</v>
      </c>
      <c r="F2041" s="13" t="str">
        <f ca="1">IFERROR(__xludf.DUMMYFUNCTION("""COMPUTED_VALUE"""),"Danh từ/Lượng từ")</f>
        <v>Danh từ/Lượng từ</v>
      </c>
      <c r="G2041" s="13" t="str">
        <f ca="1">IFERROR(__xludf.DUMMYFUNCTION("""COMPUTED_VALUE"""),"tổ, nhóm ")</f>
        <v xml:space="preserve">tổ, nhóm </v>
      </c>
      <c r="H2041" s="13" t="str">
        <f ca="1">IFERROR(__xludf.DUMMYFUNCTION("""COMPUTED_VALUE"""),"我们组非常团结。")</f>
        <v>我们组非常团结。</v>
      </c>
      <c r="I2041" s="13"/>
      <c r="J2041" s="13" t="str">
        <f ca="1">IFERROR(__xludf.DUMMYFUNCTION("""COMPUTED_VALUE"""),"Nhóm của chúng tôi rất đoàn kết.")</f>
        <v>Nhóm của chúng tôi rất đoàn kết.</v>
      </c>
      <c r="K2041" s="13" t="str">
        <f ca="1">IFERROR(__xludf.DUMMYFUNCTION("""COMPUTED_VALUE"""),"H5_B18_BG-37.png")</f>
        <v>H5_B18_BG-37.png</v>
      </c>
      <c r="L2041" s="13" t="str">
        <f ca="1">IFERROR(__xludf.DUMMYFUNCTION("""COMPUTED_VALUE"""),"B18_37.mp3")</f>
        <v>B18_37.mp3</v>
      </c>
      <c r="M2041" s="13" t="str">
        <f ca="1">IFERROR(__xludf.DUMMYFUNCTION("""COMPUTED_VALUE"""),"B18_VD_37.mp3")</f>
        <v>B18_VD_37.mp3</v>
      </c>
    </row>
    <row r="2042" spans="1:13">
      <c r="A2042" s="13">
        <f ca="1">IFERROR(__xludf.DUMMYFUNCTION("""COMPUTED_VALUE"""),38)</f>
        <v>38</v>
      </c>
      <c r="B2042" s="13"/>
      <c r="C2042" s="13" t="str">
        <f ca="1">IFERROR(__xludf.DUMMYFUNCTION("""COMPUTED_VALUE"""),"婴儿")</f>
        <v>婴儿</v>
      </c>
      <c r="D2042" s="13" t="str">
        <f ca="1">IFERROR(__xludf.DUMMYFUNCTION("""COMPUTED_VALUE"""),"&lt;ruby&gt;婴儿&lt;rt&gt;yīng'ér&lt;/rt&gt;&lt;/ruby&gt;")</f>
        <v>&lt;ruby&gt;婴儿&lt;rt&gt;yīng'ér&lt;/rt&gt;&lt;/ruby&gt;</v>
      </c>
      <c r="E2042" s="13" t="str">
        <f ca="1">IFERROR(__xludf.DUMMYFUNCTION("""COMPUTED_VALUE"""),"yīng'ér")</f>
        <v>yīng'ér</v>
      </c>
      <c r="F2042" s="13" t="str">
        <f ca="1">IFERROR(__xludf.DUMMYFUNCTION("""COMPUTED_VALUE"""),"Danh từ")</f>
        <v>Danh từ</v>
      </c>
      <c r="G2042" s="13" t="str">
        <f ca="1">IFERROR(__xludf.DUMMYFUNCTION("""COMPUTED_VALUE"""),"trẻ sơ sinh ")</f>
        <v xml:space="preserve">trẻ sơ sinh </v>
      </c>
      <c r="H2042" s="13" t="str">
        <f ca="1">IFERROR(__xludf.DUMMYFUNCTION("""COMPUTED_VALUE"""),"婴儿的皮肤很娇嫩，需要细心护理。")</f>
        <v>婴儿的皮肤很娇嫩，需要细心护理。</v>
      </c>
      <c r="I2042" s="13"/>
      <c r="J2042" s="13" t="str">
        <f ca="1">IFERROR(__xludf.DUMMYFUNCTION("""COMPUTED_VALUE"""),"Làn da của trẻ sơ sinh rất mỏng manh, cần được chăm sóc cẩn thận.")</f>
        <v>Làn da của trẻ sơ sinh rất mỏng manh, cần được chăm sóc cẩn thận.</v>
      </c>
      <c r="K2042" s="13" t="str">
        <f ca="1">IFERROR(__xludf.DUMMYFUNCTION("""COMPUTED_VALUE"""),"H5_B18_BG-38.png")</f>
        <v>H5_B18_BG-38.png</v>
      </c>
      <c r="L2042" s="13" t="str">
        <f ca="1">IFERROR(__xludf.DUMMYFUNCTION("""COMPUTED_VALUE"""),"B18_38.mp3")</f>
        <v>B18_38.mp3</v>
      </c>
      <c r="M2042" s="13" t="str">
        <f ca="1">IFERROR(__xludf.DUMMYFUNCTION("""COMPUTED_VALUE"""),"B18_VD_38.mp3")</f>
        <v>B18_VD_38.mp3</v>
      </c>
    </row>
    <row r="2043" spans="1:13">
      <c r="A2043" s="13">
        <f ca="1">IFERROR(__xludf.DUMMYFUNCTION("""COMPUTED_VALUE"""),39)</f>
        <v>39</v>
      </c>
      <c r="B2043" s="13"/>
      <c r="C2043" s="13" t="str">
        <f ca="1">IFERROR(__xludf.DUMMYFUNCTION("""COMPUTED_VALUE"""),"猩猩")</f>
        <v>猩猩</v>
      </c>
      <c r="D2043" s="13" t="str">
        <f ca="1">IFERROR(__xludf.DUMMYFUNCTION("""COMPUTED_VALUE"""),"&lt;ruby&gt;猩猩&lt;rt&gt;xīngxīng&lt;/rt&gt;&lt;/ruby&gt;")</f>
        <v>&lt;ruby&gt;猩猩&lt;rt&gt;xīngxīng&lt;/rt&gt;&lt;/ruby&gt;</v>
      </c>
      <c r="E2043" s="13" t="str">
        <f ca="1">IFERROR(__xludf.DUMMYFUNCTION("""COMPUTED_VALUE"""),"xīngxīng")</f>
        <v>xīngxīng</v>
      </c>
      <c r="F2043" s="13" t="str">
        <f ca="1">IFERROR(__xludf.DUMMYFUNCTION("""COMPUTED_VALUE"""),"Danh từ")</f>
        <v>Danh từ</v>
      </c>
      <c r="G2043" s="13" t="str">
        <f ca="1">IFERROR(__xludf.DUMMYFUNCTION("""COMPUTED_VALUE"""),"đười ươi, tinh tinh ")</f>
        <v xml:space="preserve">đười ươi, tinh tinh </v>
      </c>
      <c r="H2043" s="13" t="str">
        <f ca="1">IFERROR(__xludf.DUMMYFUNCTION("""COMPUTED_VALUE"""),"动物园里有很多猩猩，游客们很喜欢看它们玩耍。")</f>
        <v>动物园里有很多猩猩，游客们很喜欢看它们玩耍。</v>
      </c>
      <c r="I2043" s="13"/>
      <c r="J2043" s="13" t="str">
        <f ca="1">IFERROR(__xludf.DUMMYFUNCTION("""COMPUTED_VALUE"""),"Vườn thú có nhiều đười ươi, du khách rất thích xem chúng chơi đùa.")</f>
        <v>Vườn thú có nhiều đười ươi, du khách rất thích xem chúng chơi đùa.</v>
      </c>
      <c r="K2043" s="13" t="str">
        <f ca="1">IFERROR(__xludf.DUMMYFUNCTION("""COMPUTED_VALUE"""),"H5_B18_BG-39.png")</f>
        <v>H5_B18_BG-39.png</v>
      </c>
      <c r="L2043" s="13" t="str">
        <f ca="1">IFERROR(__xludf.DUMMYFUNCTION("""COMPUTED_VALUE"""),"B18_39.mp3")</f>
        <v>B18_39.mp3</v>
      </c>
      <c r="M2043" s="13" t="str">
        <f ca="1">IFERROR(__xludf.DUMMYFUNCTION("""COMPUTED_VALUE"""),"B18_VD_39.mp3")</f>
        <v>B18_VD_39.mp3</v>
      </c>
    </row>
    <row r="2044" spans="1:13">
      <c r="A2044" s="13">
        <f ca="1">IFERROR(__xludf.DUMMYFUNCTION("""COMPUTED_VALUE"""),40)</f>
        <v>40</v>
      </c>
      <c r="B2044" s="13"/>
      <c r="C2044" s="13" t="str">
        <f ca="1">IFERROR(__xludf.DUMMYFUNCTION("""COMPUTED_VALUE"""),"区域")</f>
        <v>区域</v>
      </c>
      <c r="D2044" s="13" t="str">
        <f ca="1">IFERROR(__xludf.DUMMYFUNCTION("""COMPUTED_VALUE"""),"&lt;ruby&gt;区域&lt;rt&gt;qūyù&lt;/rt&gt;&lt;/ruby&gt;")</f>
        <v>&lt;ruby&gt;区域&lt;rt&gt;qūyù&lt;/rt&gt;&lt;/ruby&gt;</v>
      </c>
      <c r="E2044" s="13" t="str">
        <f ca="1">IFERROR(__xludf.DUMMYFUNCTION("""COMPUTED_VALUE"""),"qūyù")</f>
        <v>qūyù</v>
      </c>
      <c r="F2044" s="13" t="str">
        <f ca="1">IFERROR(__xludf.DUMMYFUNCTION("""COMPUTED_VALUE"""),"Danh từ")</f>
        <v>Danh từ</v>
      </c>
      <c r="G2044" s="13" t="str">
        <f ca="1">IFERROR(__xludf.DUMMYFUNCTION("""COMPUTED_VALUE"""),"khu vực")</f>
        <v>khu vực</v>
      </c>
      <c r="H2044" s="13" t="str">
        <f ca="1">IFERROR(__xludf.DUMMYFUNCTION("""COMPUTED_VALUE"""),"这个区域的交通经常出现拥堵情况。")</f>
        <v>这个区域的交通经常出现拥堵情况。</v>
      </c>
      <c r="I2044" s="13"/>
      <c r="J2044" s="13" t="str">
        <f ca="1">IFERROR(__xludf.DUMMYFUNCTION("""COMPUTED_VALUE"""),"Giao thông trong khu vực này thường xuyên xảy ra tình trạng tắc nghẽn.")</f>
        <v>Giao thông trong khu vực này thường xuyên xảy ra tình trạng tắc nghẽn.</v>
      </c>
      <c r="K2044" s="13" t="str">
        <f ca="1">IFERROR(__xludf.DUMMYFUNCTION("""COMPUTED_VALUE"""),"H5_B18_BG-40.png")</f>
        <v>H5_B18_BG-40.png</v>
      </c>
      <c r="L2044" s="13" t="str">
        <f ca="1">IFERROR(__xludf.DUMMYFUNCTION("""COMPUTED_VALUE"""),"B18_40.mp3")</f>
        <v>B18_40.mp3</v>
      </c>
      <c r="M2044" s="13" t="str">
        <f ca="1">IFERROR(__xludf.DUMMYFUNCTION("""COMPUTED_VALUE"""),"B18_VD_40.mp3")</f>
        <v>B18_VD_40.mp3</v>
      </c>
    </row>
    <row r="2045" spans="1:13">
      <c r="A2045" s="13">
        <f ca="1">IFERROR(__xludf.DUMMYFUNCTION("""COMPUTED_VALUE"""),1)</f>
        <v>1</v>
      </c>
      <c r="B2045" s="13"/>
      <c r="C2045" s="13" t="str">
        <f ca="1">IFERROR(__xludf.DUMMYFUNCTION("""COMPUTED_VALUE"""),"萝卜")</f>
        <v>萝卜</v>
      </c>
      <c r="D2045" s="13" t="str">
        <f ca="1">IFERROR(__xludf.DUMMYFUNCTION("""COMPUTED_VALUE"""),"&lt;ruby&gt;萝卜&lt;rt&gt;luóbo&lt;/rt&gt;&lt;/ruby&gt;")</f>
        <v>&lt;ruby&gt;萝卜&lt;rt&gt;luóbo&lt;/rt&gt;&lt;/ruby&gt;</v>
      </c>
      <c r="E2045" s="13" t="str">
        <f ca="1">IFERROR(__xludf.DUMMYFUNCTION("""COMPUTED_VALUE"""),"luóbo")</f>
        <v>luóbo</v>
      </c>
      <c r="F2045" s="13" t="str">
        <f ca="1">IFERROR(__xludf.DUMMYFUNCTION("""COMPUTED_VALUE"""),"Danh từ")</f>
        <v>Danh từ</v>
      </c>
      <c r="G2045" s="13" t="str">
        <f ca="1">IFERROR(__xludf.DUMMYFUNCTION("""COMPUTED_VALUE"""),"cây củ cải, củ cải")</f>
        <v>cây củ cải, củ cải</v>
      </c>
      <c r="H2045" s="13" t="str">
        <f ca="1">IFERROR(__xludf.DUMMYFUNCTION("""COMPUTED_VALUE"""),"我喜欢吃萝卜，它非常好吃。")</f>
        <v>我喜欢吃萝卜，它非常好吃。</v>
      </c>
      <c r="I2045" s="13"/>
      <c r="J2045" s="13" t="str">
        <f ca="1">IFERROR(__xludf.DUMMYFUNCTION("""COMPUTED_VALUE"""),"Tôi thích ăn củ cải,nó rất ngon")</f>
        <v>Tôi thích ăn củ cải,nó rất ngon</v>
      </c>
      <c r="K2045" s="13" t="str">
        <f ca="1">IFERROR(__xludf.DUMMYFUNCTION("""COMPUTED_VALUE"""),"H5_B19_BG-01.png")</f>
        <v>H5_B19_BG-01.png</v>
      </c>
      <c r="L2045" s="13" t="str">
        <f ca="1">IFERROR(__xludf.DUMMYFUNCTION("""COMPUTED_VALUE"""),"B19_1.mp3")</f>
        <v>B19_1.mp3</v>
      </c>
      <c r="M2045" s="13" t="str">
        <f ca="1">IFERROR(__xludf.DUMMYFUNCTION("""COMPUTED_VALUE"""),"B19_VD_1.mp3")</f>
        <v>B19_VD_1.mp3</v>
      </c>
    </row>
    <row r="2046" spans="1:13">
      <c r="A2046" s="13">
        <f ca="1">IFERROR(__xludf.DUMMYFUNCTION("""COMPUTED_VALUE"""),2)</f>
        <v>2</v>
      </c>
      <c r="B2046" s="13"/>
      <c r="C2046" s="13" t="str">
        <f ca="1">IFERROR(__xludf.DUMMYFUNCTION("""COMPUTED_VALUE"""),"清淡")</f>
        <v>清淡</v>
      </c>
      <c r="D2046" s="13" t="str">
        <f ca="1">IFERROR(__xludf.DUMMYFUNCTION("""COMPUTED_VALUE"""),"&lt;ruby&gt;清淡&lt;rt&gt;qīngdàn&lt;/rt&gt;&lt;/ruby&gt;")</f>
        <v>&lt;ruby&gt;清淡&lt;rt&gt;qīngdàn&lt;/rt&gt;&lt;/ruby&gt;</v>
      </c>
      <c r="E2046" s="13" t="str">
        <f ca="1">IFERROR(__xludf.DUMMYFUNCTION("""COMPUTED_VALUE"""),"qīngdàn")</f>
        <v>qīngdàn</v>
      </c>
      <c r="F2046" s="13" t="str">
        <f ca="1">IFERROR(__xludf.DUMMYFUNCTION("""COMPUTED_VALUE"""),"Tính từ")</f>
        <v>Tính từ</v>
      </c>
      <c r="G2046" s="13" t="str">
        <f ca="1">IFERROR(__xludf.DUMMYFUNCTION("""COMPUTED_VALUE"""),"nhẹ, dễ tiêu")</f>
        <v>nhẹ, dễ tiêu</v>
      </c>
      <c r="H2046" s="13" t="str">
        <f ca="1">IFERROR(__xludf.DUMMYFUNCTION("""COMPUTED_VALUE"""),"最近我经常肚子疼，所以我吃得比较清淡。")</f>
        <v>最近我经常肚子疼，所以我吃得比较清淡。</v>
      </c>
      <c r="I2046" s="13"/>
      <c r="J2046" s="13" t="str">
        <f ca="1">IFERROR(__xludf.DUMMYFUNCTION("""COMPUTED_VALUE"""),"Dạo này tôi hay bị đau bụng nên sẽ ăn những món thanh đạm một chút.")</f>
        <v>Dạo này tôi hay bị đau bụng nên sẽ ăn những món thanh đạm một chút.</v>
      </c>
      <c r="K2046" s="13" t="str">
        <f ca="1">IFERROR(__xludf.DUMMYFUNCTION("""COMPUTED_VALUE"""),"H5_B19_BG-02.png")</f>
        <v>H5_B19_BG-02.png</v>
      </c>
      <c r="L2046" s="13" t="str">
        <f ca="1">IFERROR(__xludf.DUMMYFUNCTION("""COMPUTED_VALUE"""),"B19_2.mp3")</f>
        <v>B19_2.mp3</v>
      </c>
      <c r="M2046" s="13" t="str">
        <f ca="1">IFERROR(__xludf.DUMMYFUNCTION("""COMPUTED_VALUE"""),"B19_VD_2.mp3")</f>
        <v>B19_VD_2.mp3</v>
      </c>
    </row>
    <row r="2047" spans="1:13">
      <c r="A2047" s="13">
        <f ca="1">IFERROR(__xludf.DUMMYFUNCTION("""COMPUTED_VALUE"""),3)</f>
        <v>3</v>
      </c>
      <c r="B2047" s="13"/>
      <c r="C2047" s="13" t="str">
        <f ca="1">IFERROR(__xludf.DUMMYFUNCTION("""COMPUTED_VALUE"""),"可口")</f>
        <v>可口</v>
      </c>
      <c r="D2047" s="13" t="str">
        <f ca="1">IFERROR(__xludf.DUMMYFUNCTION("""COMPUTED_VALUE"""),"&lt;ruby&gt;可口&lt;rt&gt;kěkǒu&lt;/rt&gt;&lt;/ruby&gt;")</f>
        <v>&lt;ruby&gt;可口&lt;rt&gt;kěkǒu&lt;/rt&gt;&lt;/ruby&gt;</v>
      </c>
      <c r="E2047" s="13" t="str">
        <f ca="1">IFERROR(__xludf.DUMMYFUNCTION("""COMPUTED_VALUE"""),"kěkǒu")</f>
        <v>kěkǒu</v>
      </c>
      <c r="F2047" s="13" t="str">
        <f ca="1">IFERROR(__xludf.DUMMYFUNCTION("""COMPUTED_VALUE"""),"Tính từ")</f>
        <v>Tính từ</v>
      </c>
      <c r="G2047" s="13" t="str">
        <f ca="1">IFERROR(__xludf.DUMMYFUNCTION("""COMPUTED_VALUE"""),"ngon")</f>
        <v>ngon</v>
      </c>
      <c r="H2047" s="13" t="str">
        <f ca="1">IFERROR(__xludf.DUMMYFUNCTION("""COMPUTED_VALUE"""),"这些饼干非常可口。")</f>
        <v>这些饼干非常可口。</v>
      </c>
      <c r="I2047" s="13"/>
      <c r="J2047" s="13" t="str">
        <f ca="1">IFERROR(__xludf.DUMMYFUNCTION("""COMPUTED_VALUE"""),"Những chiếc bánh quy này rất ngon.")</f>
        <v>Những chiếc bánh quy này rất ngon.</v>
      </c>
      <c r="K2047" s="13" t="str">
        <f ca="1">IFERROR(__xludf.DUMMYFUNCTION("""COMPUTED_VALUE"""),"H5_B19_BG-03.png")</f>
        <v>H5_B19_BG-03.png</v>
      </c>
      <c r="L2047" s="13" t="str">
        <f ca="1">IFERROR(__xludf.DUMMYFUNCTION("""COMPUTED_VALUE"""),"B19_3.mp3")</f>
        <v>B19_3.mp3</v>
      </c>
      <c r="M2047" s="13" t="str">
        <f ca="1">IFERROR(__xludf.DUMMYFUNCTION("""COMPUTED_VALUE"""),"B19_VD_3.mp3")</f>
        <v>B19_VD_3.mp3</v>
      </c>
    </row>
    <row r="2048" spans="1:13">
      <c r="A2048" s="13">
        <f ca="1">IFERROR(__xludf.DUMMYFUNCTION("""COMPUTED_VALUE"""),4)</f>
        <v>4</v>
      </c>
      <c r="B2048" s="13"/>
      <c r="C2048" s="13" t="str">
        <f ca="1">IFERROR(__xludf.DUMMYFUNCTION("""COMPUTED_VALUE"""),"橘子")</f>
        <v>橘子</v>
      </c>
      <c r="D2048" s="13" t="str">
        <f ca="1">IFERROR(__xludf.DUMMYFUNCTION("""COMPUTED_VALUE"""),"&lt;ruby&gt;橘子&lt;rt&gt;júzi&lt;/rt&gt;&lt;/ruby&gt;")</f>
        <v>&lt;ruby&gt;橘子&lt;rt&gt;júzi&lt;/rt&gt;&lt;/ruby&gt;</v>
      </c>
      <c r="E2048" s="13" t="str">
        <f ca="1">IFERROR(__xludf.DUMMYFUNCTION("""COMPUTED_VALUE"""),"júzi")</f>
        <v>júzi</v>
      </c>
      <c r="F2048" s="13" t="str">
        <f ca="1">IFERROR(__xludf.DUMMYFUNCTION("""COMPUTED_VALUE"""),"Danh từ")</f>
        <v>Danh từ</v>
      </c>
      <c r="G2048" s="13" t="str">
        <f ca="1">IFERROR(__xludf.DUMMYFUNCTION("""COMPUTED_VALUE"""),"quả quýt")</f>
        <v>quả quýt</v>
      </c>
      <c r="H2048" s="13" t="str">
        <f ca="1">IFERROR(__xludf.DUMMYFUNCTION("""COMPUTED_VALUE"""),"这个橘子又大又甜，真好吃。")</f>
        <v>这个橘子又大又甜，真好吃。</v>
      </c>
      <c r="I2048" s="13"/>
      <c r="J2048" s="13" t="str">
        <f ca="1">IFERROR(__xludf.DUMMYFUNCTION("""COMPUTED_VALUE"""),"Quả quýt này vừa to vừa ngọt, thật là ngon.")</f>
        <v>Quả quýt này vừa to vừa ngọt, thật là ngon.</v>
      </c>
      <c r="K2048" s="13" t="str">
        <f ca="1">IFERROR(__xludf.DUMMYFUNCTION("""COMPUTED_VALUE"""),"H5_B19_BG-04.png")</f>
        <v>H5_B19_BG-04.png</v>
      </c>
      <c r="L2048" s="13" t="str">
        <f ca="1">IFERROR(__xludf.DUMMYFUNCTION("""COMPUTED_VALUE"""),"B19_4.mp3")</f>
        <v>B19_4.mp3</v>
      </c>
      <c r="M2048" s="13" t="str">
        <f ca="1">IFERROR(__xludf.DUMMYFUNCTION("""COMPUTED_VALUE"""),"B19_VD_4.mp3")</f>
        <v>B19_VD_4.mp3</v>
      </c>
    </row>
    <row r="2049" spans="1:13">
      <c r="A2049" s="13">
        <f ca="1">IFERROR(__xludf.DUMMYFUNCTION("""COMPUTED_VALUE"""),5)</f>
        <v>5</v>
      </c>
      <c r="B2049" s="13"/>
      <c r="C2049" s="13" t="str">
        <f ca="1">IFERROR(__xludf.DUMMYFUNCTION("""COMPUTED_VALUE"""),"梨")</f>
        <v>梨</v>
      </c>
      <c r="D2049" s="13" t="str">
        <f ca="1">IFERROR(__xludf.DUMMYFUNCTION("""COMPUTED_VALUE"""),"&lt;ruby&gt;梨&lt;rt&gt;lí&lt;/rt&gt;&lt;/ruby&gt;")</f>
        <v>&lt;ruby&gt;梨&lt;rt&gt;lí&lt;/rt&gt;&lt;/ruby&gt;</v>
      </c>
      <c r="E2049" s="13" t="str">
        <f ca="1">IFERROR(__xludf.DUMMYFUNCTION("""COMPUTED_VALUE"""),"lí")</f>
        <v>lí</v>
      </c>
      <c r="F2049" s="13" t="str">
        <f ca="1">IFERROR(__xludf.DUMMYFUNCTION("""COMPUTED_VALUE"""),"Danh từ")</f>
        <v>Danh từ</v>
      </c>
      <c r="G2049" s="13" t="str">
        <f ca="1">IFERROR(__xludf.DUMMYFUNCTION("""COMPUTED_VALUE"""),"quả lê")</f>
        <v>quả lê</v>
      </c>
      <c r="H2049" s="13" t="str">
        <f ca="1">IFERROR(__xludf.DUMMYFUNCTION("""COMPUTED_VALUE"""),"屋子近旁种着许多梨树。")</f>
        <v>屋子近旁种着许多梨树。</v>
      </c>
      <c r="I2049" s="13"/>
      <c r="J2049" s="13" t="str">
        <f ca="1">IFERROR(__xludf.DUMMYFUNCTION("""COMPUTED_VALUE"""),"Bên cạnh nhà trồng rất nhiều lê.")</f>
        <v>Bên cạnh nhà trồng rất nhiều lê.</v>
      </c>
      <c r="K2049" s="13" t="str">
        <f ca="1">IFERROR(__xludf.DUMMYFUNCTION("""COMPUTED_VALUE"""),"H5_B19_BG-05.png")</f>
        <v>H5_B19_BG-05.png</v>
      </c>
      <c r="L2049" s="13" t="str">
        <f ca="1">IFERROR(__xludf.DUMMYFUNCTION("""COMPUTED_VALUE"""),"B19_5.mp3")</f>
        <v>B19_5.mp3</v>
      </c>
      <c r="M2049" s="13" t="str">
        <f ca="1">IFERROR(__xludf.DUMMYFUNCTION("""COMPUTED_VALUE"""),"B19_VD_5.mp3")</f>
        <v>B19_VD_5.mp3</v>
      </c>
    </row>
    <row r="2050" spans="1:13">
      <c r="A2050" s="13">
        <f ca="1">IFERROR(__xludf.DUMMYFUNCTION("""COMPUTED_VALUE"""),6)</f>
        <v>6</v>
      </c>
      <c r="B2050" s="13"/>
      <c r="C2050" s="13" t="str">
        <f ca="1">IFERROR(__xludf.DUMMYFUNCTION("""COMPUTED_VALUE"""),"炒")</f>
        <v>炒</v>
      </c>
      <c r="D2050" s="13" t="str">
        <f ca="1">IFERROR(__xludf.DUMMYFUNCTION("""COMPUTED_VALUE"""),"&lt;ruby&gt;炒&lt;rt&gt;chǎo&lt;/rt&gt;&lt;/ruby&gt;")</f>
        <v>&lt;ruby&gt;炒&lt;rt&gt;chǎo&lt;/rt&gt;&lt;/ruby&gt;</v>
      </c>
      <c r="E2050" s="13" t="str">
        <f ca="1">IFERROR(__xludf.DUMMYFUNCTION("""COMPUTED_VALUE"""),"chǎo")</f>
        <v>chǎo</v>
      </c>
      <c r="F2050" s="13" t="str">
        <f ca="1">IFERROR(__xludf.DUMMYFUNCTION("""COMPUTED_VALUE"""),"Động từ")</f>
        <v>Động từ</v>
      </c>
      <c r="G2050" s="13" t="str">
        <f ca="1">IFERROR(__xludf.DUMMYFUNCTION("""COMPUTED_VALUE"""),"xào, rang")</f>
        <v>xào, rang</v>
      </c>
      <c r="H2050" s="13" t="str">
        <f ca="1">IFERROR(__xludf.DUMMYFUNCTION("""COMPUTED_VALUE"""),"妈妈在厨房炒青菜。")</f>
        <v>妈妈在厨房炒青菜。</v>
      </c>
      <c r="I2050" s="13"/>
      <c r="J2050" s="13" t="str">
        <f ca="1">IFERROR(__xludf.DUMMYFUNCTION("""COMPUTED_VALUE"""),"Mẹ đang xào rau xanh trong bếp.")</f>
        <v>Mẹ đang xào rau xanh trong bếp.</v>
      </c>
      <c r="K2050" s="13" t="str">
        <f ca="1">IFERROR(__xludf.DUMMYFUNCTION("""COMPUTED_VALUE"""),"H5_B19_BG-06.png")</f>
        <v>H5_B19_BG-06.png</v>
      </c>
      <c r="L2050" s="13" t="str">
        <f ca="1">IFERROR(__xludf.DUMMYFUNCTION("""COMPUTED_VALUE"""),"B19_6.mp3")</f>
        <v>B19_6.mp3</v>
      </c>
      <c r="M2050" s="13" t="str">
        <f ca="1">IFERROR(__xludf.DUMMYFUNCTION("""COMPUTED_VALUE"""),"B19_VD_6.mp3")</f>
        <v>B19_VD_6.mp3</v>
      </c>
    </row>
    <row r="2051" spans="1:13">
      <c r="A2051" s="13">
        <f ca="1">IFERROR(__xludf.DUMMYFUNCTION("""COMPUTED_VALUE"""),7)</f>
        <v>7</v>
      </c>
      <c r="B2051" s="13"/>
      <c r="C2051" s="13" t="str">
        <f ca="1">IFERROR(__xludf.DUMMYFUNCTION("""COMPUTED_VALUE"""),"煮")</f>
        <v>煮</v>
      </c>
      <c r="D2051" s="13" t="str">
        <f ca="1">IFERROR(__xludf.DUMMYFUNCTION("""COMPUTED_VALUE"""),"&lt;ruby&gt;煮&lt;rt&gt;zhǔ&lt;/rt&gt;&lt;/ruby&gt;")</f>
        <v>&lt;ruby&gt;煮&lt;rt&gt;zhǔ&lt;/rt&gt;&lt;/ruby&gt;</v>
      </c>
      <c r="E2051" s="13" t="str">
        <f ca="1">IFERROR(__xludf.DUMMYFUNCTION("""COMPUTED_VALUE"""),"zhǔ")</f>
        <v>zhǔ</v>
      </c>
      <c r="F2051" s="13" t="str">
        <f ca="1">IFERROR(__xludf.DUMMYFUNCTION("""COMPUTED_VALUE"""),"Động từ")</f>
        <v>Động từ</v>
      </c>
      <c r="G2051" s="13" t="str">
        <f ca="1">IFERROR(__xludf.DUMMYFUNCTION("""COMPUTED_VALUE"""),"nấu, đun, luộc")</f>
        <v>nấu, đun, luộc</v>
      </c>
      <c r="H2051" s="13" t="str">
        <f ca="1">IFERROR(__xludf.DUMMYFUNCTION("""COMPUTED_VALUE"""),"爸爸正在煮水。")</f>
        <v>爸爸正在煮水。</v>
      </c>
      <c r="I2051" s="13"/>
      <c r="J2051" s="13" t="str">
        <f ca="1">IFERROR(__xludf.DUMMYFUNCTION("""COMPUTED_VALUE"""),"Bố đang đun nước.")</f>
        <v>Bố đang đun nước.</v>
      </c>
      <c r="K2051" s="13" t="str">
        <f ca="1">IFERROR(__xludf.DUMMYFUNCTION("""COMPUTED_VALUE"""),"H5_B19_BG-07.png")</f>
        <v>H5_B19_BG-07.png</v>
      </c>
      <c r="L2051" s="13" t="str">
        <f ca="1">IFERROR(__xludf.DUMMYFUNCTION("""COMPUTED_VALUE"""),"B19_7.mp3")</f>
        <v>B19_7.mp3</v>
      </c>
      <c r="M2051" s="13" t="str">
        <f ca="1">IFERROR(__xludf.DUMMYFUNCTION("""COMPUTED_VALUE"""),"B19_VD_7.mp3")</f>
        <v>B19_VD_7.mp3</v>
      </c>
    </row>
    <row r="2052" spans="1:13">
      <c r="A2052" s="13">
        <f ca="1">IFERROR(__xludf.DUMMYFUNCTION("""COMPUTED_VALUE"""),8)</f>
        <v>8</v>
      </c>
      <c r="B2052" s="13"/>
      <c r="C2052" s="13" t="str">
        <f ca="1">IFERROR(__xludf.DUMMYFUNCTION("""COMPUTED_VALUE"""),"油炸")</f>
        <v>油炸</v>
      </c>
      <c r="D2052" s="13" t="str">
        <f ca="1">IFERROR(__xludf.DUMMYFUNCTION("""COMPUTED_VALUE"""),"&lt;ruby&gt;油炸&lt;rt&gt;yóuzhá&lt;/rt&gt;&lt;/ruby&gt;")</f>
        <v>&lt;ruby&gt;油炸&lt;rt&gt;yóuzhá&lt;/rt&gt;&lt;/ruby&gt;</v>
      </c>
      <c r="E2052" s="13" t="str">
        <f ca="1">IFERROR(__xludf.DUMMYFUNCTION("""COMPUTED_VALUE"""),"yóuzhá")</f>
        <v>yóuzhá</v>
      </c>
      <c r="F2052" s="13" t="str">
        <f ca="1">IFERROR(__xludf.DUMMYFUNCTION("""COMPUTED_VALUE"""),"Động từ")</f>
        <v>Động từ</v>
      </c>
      <c r="G2052" s="13" t="str">
        <f ca="1">IFERROR(__xludf.DUMMYFUNCTION("""COMPUTED_VALUE"""),"chiên bằng cách cho nhiều dầu")</f>
        <v>chiên bằng cách cho nhiều dầu</v>
      </c>
      <c r="H2052" s="13" t="str">
        <f ca="1">IFERROR(__xludf.DUMMYFUNCTION("""COMPUTED_VALUE"""),"她不喜欢油炸食品，觉得对健康不好。")</f>
        <v>她不喜欢油炸食品，觉得对健康不好。</v>
      </c>
      <c r="I2052" s="13"/>
      <c r="J2052" s="13" t="str">
        <f ca="1">IFERROR(__xludf.DUMMYFUNCTION("""COMPUTED_VALUE"""),"Cô ấy không thích đồ ăn chiên, cảm thấy không tốt cho sức khỏe.")</f>
        <v>Cô ấy không thích đồ ăn chiên, cảm thấy không tốt cho sức khỏe.</v>
      </c>
      <c r="K2052" s="13" t="str">
        <f ca="1">IFERROR(__xludf.DUMMYFUNCTION("""COMPUTED_VALUE"""),"H5_B19_BG-08.png")</f>
        <v>H5_B19_BG-08.png</v>
      </c>
      <c r="L2052" s="13" t="str">
        <f ca="1">IFERROR(__xludf.DUMMYFUNCTION("""COMPUTED_VALUE"""),"B19_8.mp3")</f>
        <v>B19_8.mp3</v>
      </c>
      <c r="M2052" s="13" t="str">
        <f ca="1">IFERROR(__xludf.DUMMYFUNCTION("""COMPUTED_VALUE"""),"B19_VD_8.mp3")</f>
        <v>B19_VD_8.mp3</v>
      </c>
    </row>
    <row r="2053" spans="1:13">
      <c r="A2053" s="13">
        <f ca="1">IFERROR(__xludf.DUMMYFUNCTION("""COMPUTED_VALUE"""),9)</f>
        <v>9</v>
      </c>
      <c r="B2053" s="13"/>
      <c r="C2053" s="13" t="str">
        <f ca="1">IFERROR(__xludf.DUMMYFUNCTION("""COMPUTED_VALUE"""),"切")</f>
        <v>切</v>
      </c>
      <c r="D2053" s="13" t="str">
        <f ca="1">IFERROR(__xludf.DUMMYFUNCTION("""COMPUTED_VALUE"""),"&lt;ruby&gt;切&lt;rt&gt;qiē&lt;/rt&gt;&lt;/ruby&gt;")</f>
        <v>&lt;ruby&gt;切&lt;rt&gt;qiē&lt;/rt&gt;&lt;/ruby&gt;</v>
      </c>
      <c r="E2053" s="13" t="str">
        <f ca="1">IFERROR(__xludf.DUMMYFUNCTION("""COMPUTED_VALUE"""),"qiē")</f>
        <v>qiē</v>
      </c>
      <c r="F2053" s="13" t="str">
        <f ca="1">IFERROR(__xludf.DUMMYFUNCTION("""COMPUTED_VALUE"""),"Động từ")</f>
        <v>Động từ</v>
      </c>
      <c r="G2053" s="13" t="str">
        <f ca="1">IFERROR(__xludf.DUMMYFUNCTION("""COMPUTED_VALUE"""),"cắt, xắt")</f>
        <v>cắt, xắt</v>
      </c>
      <c r="H2053" s="13" t="str">
        <f ca="1">IFERROR(__xludf.DUMMYFUNCTION("""COMPUTED_VALUE"""),"他正在切蔬菜做沙拉。")</f>
        <v>他正在切蔬菜做沙拉。</v>
      </c>
      <c r="I2053" s="13"/>
      <c r="J2053" s="13" t="str">
        <f ca="1">IFERROR(__xludf.DUMMYFUNCTION("""COMPUTED_VALUE"""),"Anh ấy đang cắt rau củ quả để làm salad")</f>
        <v>Anh ấy đang cắt rau củ quả để làm salad</v>
      </c>
      <c r="K2053" s="13" t="str">
        <f ca="1">IFERROR(__xludf.DUMMYFUNCTION("""COMPUTED_VALUE"""),"H5_B19_BG-09.png")</f>
        <v>H5_B19_BG-09.png</v>
      </c>
      <c r="L2053" s="13" t="str">
        <f ca="1">IFERROR(__xludf.DUMMYFUNCTION("""COMPUTED_VALUE"""),"B19_9.mp3")</f>
        <v>B19_9.mp3</v>
      </c>
      <c r="M2053" s="13" t="str">
        <f ca="1">IFERROR(__xludf.DUMMYFUNCTION("""COMPUTED_VALUE"""),"B19_VD_9.mp3")</f>
        <v>B19_VD_9.mp3</v>
      </c>
    </row>
    <row r="2054" spans="1:13">
      <c r="A2054" s="13">
        <f ca="1">IFERROR(__xludf.DUMMYFUNCTION("""COMPUTED_VALUE"""),10)</f>
        <v>10</v>
      </c>
      <c r="B2054" s="13"/>
      <c r="C2054" s="13" t="str">
        <f ca="1">IFERROR(__xludf.DUMMYFUNCTION("""COMPUTED_VALUE"""),"丝")</f>
        <v>丝</v>
      </c>
      <c r="D2054" s="13" t="str">
        <f ca="1">IFERROR(__xludf.DUMMYFUNCTION("""COMPUTED_VALUE"""),"&lt;ruby&gt;丝&lt;rt&gt;sī&lt;/rt&gt;&lt;/ruby&gt;")</f>
        <v>&lt;ruby&gt;丝&lt;rt&gt;sī&lt;/rt&gt;&lt;/ruby&gt;</v>
      </c>
      <c r="E2054" s="13" t="str">
        <f ca="1">IFERROR(__xludf.DUMMYFUNCTION("""COMPUTED_VALUE"""),"sī")</f>
        <v>sī</v>
      </c>
      <c r="F2054" s="13" t="str">
        <f ca="1">IFERROR(__xludf.DUMMYFUNCTION("""COMPUTED_VALUE"""),"Danh từ")</f>
        <v>Danh từ</v>
      </c>
      <c r="G2054" s="13" t="str">
        <f ca="1">IFERROR(__xludf.DUMMYFUNCTION("""COMPUTED_VALUE"""),"sợi")</f>
        <v>sợi</v>
      </c>
      <c r="H2054" s="13" t="str">
        <f ca="1">IFERROR(__xludf.DUMMYFUNCTION("""COMPUTED_VALUE"""),"碗里有很多面条丝。")</f>
        <v>碗里有很多面条丝。</v>
      </c>
      <c r="I2054" s="13"/>
      <c r="J2054" s="13" t="str">
        <f ca="1">IFERROR(__xludf.DUMMYFUNCTION("""COMPUTED_VALUE"""),"Trong bát này có rất nhiều sợi mì.")</f>
        <v>Trong bát này có rất nhiều sợi mì.</v>
      </c>
      <c r="K2054" s="13" t="str">
        <f ca="1">IFERROR(__xludf.DUMMYFUNCTION("""COMPUTED_VALUE"""),"H5_B19_BG-10.png")</f>
        <v>H5_B19_BG-10.png</v>
      </c>
      <c r="L2054" s="13" t="str">
        <f ca="1">IFERROR(__xludf.DUMMYFUNCTION("""COMPUTED_VALUE"""),"B19_10.mp3")</f>
        <v>B19_10.mp3</v>
      </c>
      <c r="M2054" s="13" t="str">
        <f ca="1">IFERROR(__xludf.DUMMYFUNCTION("""COMPUTED_VALUE"""),"B19_VD_10.mp3")</f>
        <v>B19_VD_10.mp3</v>
      </c>
    </row>
    <row r="2055" spans="1:13">
      <c r="A2055" s="13">
        <f ca="1">IFERROR(__xludf.DUMMYFUNCTION("""COMPUTED_VALUE"""),11)</f>
        <v>11</v>
      </c>
      <c r="B2055" s="13"/>
      <c r="C2055" s="13" t="str">
        <f ca="1">IFERROR(__xludf.DUMMYFUNCTION("""COMPUTED_VALUE"""),"搅拌")</f>
        <v>搅拌</v>
      </c>
      <c r="D2055" s="13" t="str">
        <f ca="1">IFERROR(__xludf.DUMMYFUNCTION("""COMPUTED_VALUE"""),"&lt;ruby&gt;搅拌&lt;rt&gt;jiǎobàn&lt;/rt&gt;&lt;/ruby&gt;")</f>
        <v>&lt;ruby&gt;搅拌&lt;rt&gt;jiǎobàn&lt;/rt&gt;&lt;/ruby&gt;</v>
      </c>
      <c r="E2055" s="13" t="str">
        <f ca="1">IFERROR(__xludf.DUMMYFUNCTION("""COMPUTED_VALUE"""),"jiǎobàn")</f>
        <v>jiǎobàn</v>
      </c>
      <c r="F2055" s="13" t="str">
        <f ca="1">IFERROR(__xludf.DUMMYFUNCTION("""COMPUTED_VALUE"""),"Động từ")</f>
        <v>Động từ</v>
      </c>
      <c r="G2055" s="13" t="str">
        <f ca="1">IFERROR(__xludf.DUMMYFUNCTION("""COMPUTED_VALUE"""),"khuấy, trộn")</f>
        <v>khuấy, trộn</v>
      </c>
      <c r="H2055" s="13" t="str">
        <f ca="1">IFERROR(__xludf.DUMMYFUNCTION("""COMPUTED_VALUE"""),"他正在锅里搅拌汤。")</f>
        <v>他正在锅里搅拌汤。</v>
      </c>
      <c r="I2055" s="13"/>
      <c r="J2055" s="13" t="str">
        <f ca="1">IFERROR(__xludf.DUMMYFUNCTION("""COMPUTED_VALUE"""),"Anh ấy đang khuấy súp trong nồi.")</f>
        <v>Anh ấy đang khuấy súp trong nồi.</v>
      </c>
      <c r="K2055" s="13" t="str">
        <f ca="1">IFERROR(__xludf.DUMMYFUNCTION("""COMPUTED_VALUE"""),"H5_B19_BG-11.png")</f>
        <v>H5_B19_BG-11.png</v>
      </c>
      <c r="L2055" s="13" t="str">
        <f ca="1">IFERROR(__xludf.DUMMYFUNCTION("""COMPUTED_VALUE"""),"B19_11.mp3")</f>
        <v>B19_11.mp3</v>
      </c>
      <c r="M2055" s="13" t="str">
        <f ca="1">IFERROR(__xludf.DUMMYFUNCTION("""COMPUTED_VALUE"""),"B19_VD_11.mp3")</f>
        <v>B19_VD_11.mp3</v>
      </c>
    </row>
    <row r="2056" spans="1:13">
      <c r="A2056" s="13">
        <f ca="1">IFERROR(__xludf.DUMMYFUNCTION("""COMPUTED_VALUE"""),12)</f>
        <v>12</v>
      </c>
      <c r="B2056" s="13"/>
      <c r="C2056" s="13" t="str">
        <f ca="1">IFERROR(__xludf.DUMMYFUNCTION("""COMPUTED_VALUE"""),"均匀")</f>
        <v>均匀</v>
      </c>
      <c r="D2056" s="13" t="str">
        <f ca="1">IFERROR(__xludf.DUMMYFUNCTION("""COMPUTED_VALUE"""),"&lt;ruby&gt;均匀&lt;rt&gt;jūnyún&lt;/rt&gt;&lt;/ruby&gt;")</f>
        <v>&lt;ruby&gt;均匀&lt;rt&gt;jūnyún&lt;/rt&gt;&lt;/ruby&gt;</v>
      </c>
      <c r="E2056" s="13" t="str">
        <f ca="1">IFERROR(__xludf.DUMMYFUNCTION("""COMPUTED_VALUE"""),"jūnyún")</f>
        <v>jūnyún</v>
      </c>
      <c r="F2056" s="13" t="str">
        <f ca="1">IFERROR(__xludf.DUMMYFUNCTION("""COMPUTED_VALUE"""),"Tính từ")</f>
        <v>Tính từ</v>
      </c>
      <c r="G2056" s="13" t="str">
        <f ca="1">IFERROR(__xludf.DUMMYFUNCTION("""COMPUTED_VALUE"""),"đều đặn, đều")</f>
        <v>đều đặn, đều</v>
      </c>
      <c r="H2056" s="13" t="str">
        <f ca="1">IFERROR(__xludf.DUMMYFUNCTION("""COMPUTED_VALUE"""),"挂钟发出的声音非常均匀。")</f>
        <v>挂钟发出的声音非常均匀。</v>
      </c>
      <c r="I2056" s="13"/>
      <c r="J2056" s="13" t="str">
        <f ca="1">IFERROR(__xludf.DUMMYFUNCTION("""COMPUTED_VALUE"""),"Đồng hồ quả lắc phát ra tiếng kêu đều đặn.")</f>
        <v>Đồng hồ quả lắc phát ra tiếng kêu đều đặn.</v>
      </c>
      <c r="K2056" s="13" t="str">
        <f ca="1">IFERROR(__xludf.DUMMYFUNCTION("""COMPUTED_VALUE"""),"H5_B19_BG-12.png")</f>
        <v>H5_B19_BG-12.png</v>
      </c>
      <c r="L2056" s="13" t="str">
        <f ca="1">IFERROR(__xludf.DUMMYFUNCTION("""COMPUTED_VALUE"""),"B19_12.mp3")</f>
        <v>B19_12.mp3</v>
      </c>
      <c r="M2056" s="13" t="str">
        <f ca="1">IFERROR(__xludf.DUMMYFUNCTION("""COMPUTED_VALUE"""),"B19_VD_12.mp3")</f>
        <v>B19_VD_12.mp3</v>
      </c>
    </row>
    <row r="2057" spans="1:13">
      <c r="A2057" s="13">
        <f ca="1">IFERROR(__xludf.DUMMYFUNCTION("""COMPUTED_VALUE"""),13)</f>
        <v>13</v>
      </c>
      <c r="B2057" s="13"/>
      <c r="C2057" s="13" t="str">
        <f ca="1">IFERROR(__xludf.DUMMYFUNCTION("""COMPUTED_VALUE"""),"擀")</f>
        <v>擀</v>
      </c>
      <c r="D2057" s="13" t="str">
        <f ca="1">IFERROR(__xludf.DUMMYFUNCTION("""COMPUTED_VALUE"""),"&lt;ruby&gt;擀&lt;rt&gt;gǎn&lt;/rt&gt;&lt;/ruby&gt;")</f>
        <v>&lt;ruby&gt;擀&lt;rt&gt;gǎn&lt;/rt&gt;&lt;/ruby&gt;</v>
      </c>
      <c r="E2057" s="13" t="str">
        <f ca="1">IFERROR(__xludf.DUMMYFUNCTION("""COMPUTED_VALUE"""),"gǎn")</f>
        <v>gǎn</v>
      </c>
      <c r="F2057" s="13" t="str">
        <f ca="1">IFERROR(__xludf.DUMMYFUNCTION("""COMPUTED_VALUE"""),"Động từ")</f>
        <v>Động từ</v>
      </c>
      <c r="G2057" s="13" t="str">
        <f ca="1">IFERROR(__xludf.DUMMYFUNCTION("""COMPUTED_VALUE"""),"cán, nghiền")</f>
        <v>cán, nghiền</v>
      </c>
      <c r="H2057" s="13" t="str">
        <f ca="1">IFERROR(__xludf.DUMMYFUNCTION("""COMPUTED_VALUE"""),"妈妈正在擀包子皮。")</f>
        <v>妈妈正在擀包子皮。</v>
      </c>
      <c r="I2057" s="13"/>
      <c r="J2057" s="13" t="str">
        <f ca="1">IFERROR(__xludf.DUMMYFUNCTION("""COMPUTED_VALUE"""),"Mẹ đang cán bột bánh bao")</f>
        <v>Mẹ đang cán bột bánh bao</v>
      </c>
      <c r="K2057" s="13" t="str">
        <f ca="1">IFERROR(__xludf.DUMMYFUNCTION("""COMPUTED_VALUE"""),"H5_B19_BG-13.png")</f>
        <v>H5_B19_BG-13.png</v>
      </c>
      <c r="L2057" s="13" t="str">
        <f ca="1">IFERROR(__xludf.DUMMYFUNCTION("""COMPUTED_VALUE"""),"B19_13.mp3")</f>
        <v>B19_13.mp3</v>
      </c>
      <c r="M2057" s="13" t="str">
        <f ca="1">IFERROR(__xludf.DUMMYFUNCTION("""COMPUTED_VALUE"""),"B19_VD_13.mp3")</f>
        <v>B19_VD_13.mp3</v>
      </c>
    </row>
    <row r="2058" spans="1:13">
      <c r="A2058" s="13">
        <f ca="1">IFERROR(__xludf.DUMMYFUNCTION("""COMPUTED_VALUE"""),14)</f>
        <v>14</v>
      </c>
      <c r="B2058" s="13"/>
      <c r="C2058" s="13" t="str">
        <f ca="1">IFERROR(__xludf.DUMMYFUNCTION("""COMPUTED_VALUE"""),"薄")</f>
        <v>薄</v>
      </c>
      <c r="D2058" s="13" t="str">
        <f ca="1">IFERROR(__xludf.DUMMYFUNCTION("""COMPUTED_VALUE"""),"&lt;ruby&gt;薄&lt;rt&gt;báo&lt;/rt&gt;&lt;/ruby&gt;")</f>
        <v>&lt;ruby&gt;薄&lt;rt&gt;báo&lt;/rt&gt;&lt;/ruby&gt;</v>
      </c>
      <c r="E2058" s="13" t="str">
        <f ca="1">IFERROR(__xludf.DUMMYFUNCTION("""COMPUTED_VALUE"""),"báo")</f>
        <v>báo</v>
      </c>
      <c r="F2058" s="13" t="str">
        <f ca="1">IFERROR(__xludf.DUMMYFUNCTION("""COMPUTED_VALUE"""),"Tính từ")</f>
        <v>Tính từ</v>
      </c>
      <c r="G2058" s="13" t="str">
        <f ca="1">IFERROR(__xludf.DUMMYFUNCTION("""COMPUTED_VALUE"""),"mỏng")</f>
        <v>mỏng</v>
      </c>
      <c r="H2058" s="13" t="str">
        <f ca="1">IFERROR(__xludf.DUMMYFUNCTION("""COMPUTED_VALUE"""),"这种纸非常薄。")</f>
        <v>这种纸非常薄。</v>
      </c>
      <c r="I2058" s="13"/>
      <c r="J2058" s="13" t="str">
        <f ca="1">IFERROR(__xludf.DUMMYFUNCTION("""COMPUTED_VALUE"""),"Loại giấy này rất mỏng.")</f>
        <v>Loại giấy này rất mỏng.</v>
      </c>
      <c r="K2058" s="13" t="str">
        <f ca="1">IFERROR(__xludf.DUMMYFUNCTION("""COMPUTED_VALUE"""),"H5_B19_BG-14.png")</f>
        <v>H5_B19_BG-14.png</v>
      </c>
      <c r="L2058" s="13" t="str">
        <f ca="1">IFERROR(__xludf.DUMMYFUNCTION("""COMPUTED_VALUE"""),"B19_14.mp3")</f>
        <v>B19_14.mp3</v>
      </c>
      <c r="M2058" s="13" t="str">
        <f ca="1">IFERROR(__xludf.DUMMYFUNCTION("""COMPUTED_VALUE"""),"B19_VD_14.mp3")</f>
        <v>B19_VD_14.mp3</v>
      </c>
    </row>
    <row r="2059" spans="1:13">
      <c r="A2059" s="13">
        <f ca="1">IFERROR(__xludf.DUMMYFUNCTION("""COMPUTED_VALUE"""),15)</f>
        <v>15</v>
      </c>
      <c r="B2059" s="13"/>
      <c r="C2059" s="13" t="str">
        <f ca="1">IFERROR(__xludf.DUMMYFUNCTION("""COMPUTED_VALUE"""),"淋")</f>
        <v>淋</v>
      </c>
      <c r="D2059" s="13" t="str">
        <f ca="1">IFERROR(__xludf.DUMMYFUNCTION("""COMPUTED_VALUE"""),"&lt;ruby&gt;淋&lt;rt&gt;lín&lt;/rt&gt;&lt;/ruby&gt;")</f>
        <v>&lt;ruby&gt;淋&lt;rt&gt;lín&lt;/rt&gt;&lt;/ruby&gt;</v>
      </c>
      <c r="E2059" s="13" t="str">
        <f ca="1">IFERROR(__xludf.DUMMYFUNCTION("""COMPUTED_VALUE"""),"lín")</f>
        <v>lín</v>
      </c>
      <c r="F2059" s="13" t="str">
        <f ca="1">IFERROR(__xludf.DUMMYFUNCTION("""COMPUTED_VALUE"""),"Động từ")</f>
        <v>Động từ</v>
      </c>
      <c r="G2059" s="13" t="str">
        <f ca="1">IFERROR(__xludf.DUMMYFUNCTION("""COMPUTED_VALUE"""),"rải, rưới, đổ vào")</f>
        <v>rải, rưới, đổ vào</v>
      </c>
      <c r="H2059" s="13" t="str">
        <f ca="1">IFERROR(__xludf.DUMMYFUNCTION("""COMPUTED_VALUE"""),"服务员把巧克力酱淋在冰淇淋上。")</f>
        <v>服务员把巧克力酱淋在冰淇淋上。</v>
      </c>
      <c r="I2059" s="13"/>
      <c r="J2059" s="13" t="str">
        <f ca="1">IFERROR(__xludf.DUMMYFUNCTION("""COMPUTED_VALUE"""),"Nhân viên phục vụ rưới sốt sô-cô-la lên kem.")</f>
        <v>Nhân viên phục vụ rưới sốt sô-cô-la lên kem.</v>
      </c>
      <c r="K2059" s="13" t="str">
        <f ca="1">IFERROR(__xludf.DUMMYFUNCTION("""COMPUTED_VALUE"""),"H5_B19_BG-15.png")</f>
        <v>H5_B19_BG-15.png</v>
      </c>
      <c r="L2059" s="13" t="str">
        <f ca="1">IFERROR(__xludf.DUMMYFUNCTION("""COMPUTED_VALUE"""),"B19_15.mp3")</f>
        <v>B19_15.mp3</v>
      </c>
      <c r="M2059" s="13" t="str">
        <f ca="1">IFERROR(__xludf.DUMMYFUNCTION("""COMPUTED_VALUE"""),"B19_VD_15.mp3")</f>
        <v>B19_VD_15.mp3</v>
      </c>
    </row>
    <row r="2060" spans="1:13">
      <c r="A2060" s="13">
        <f ca="1">IFERROR(__xludf.DUMMYFUNCTION("""COMPUTED_VALUE"""),16)</f>
        <v>16</v>
      </c>
      <c r="B2060" s="13"/>
      <c r="C2060" s="13" t="str">
        <f ca="1">IFERROR(__xludf.DUMMYFUNCTION("""COMPUTED_VALUE"""),"烫")</f>
        <v>烫</v>
      </c>
      <c r="D2060" s="13" t="str">
        <f ca="1">IFERROR(__xludf.DUMMYFUNCTION("""COMPUTED_VALUE"""),"&lt;ruby&gt;烫&lt;rt&gt;tàng&lt;/rt&gt;&lt;/ruby&gt;")</f>
        <v>&lt;ruby&gt;烫&lt;rt&gt;tàng&lt;/rt&gt;&lt;/ruby&gt;</v>
      </c>
      <c r="E2060" s="13" t="str">
        <f ca="1">IFERROR(__xludf.DUMMYFUNCTION("""COMPUTED_VALUE"""),"tàng")</f>
        <v>tàng</v>
      </c>
      <c r="F2060" s="13" t="str">
        <f ca="1">IFERROR(__xludf.DUMMYFUNCTION("""COMPUTED_VALUE"""),"Động từ/Tính từ")</f>
        <v>Động từ/Tính từ</v>
      </c>
      <c r="G2060" s="13" t="str">
        <f ca="1">IFERROR(__xludf.DUMMYFUNCTION("""COMPUTED_VALUE"""),"làm bỏng; hâm, ủi, nóng")</f>
        <v>làm bỏng; hâm, ủi, nóng</v>
      </c>
      <c r="H2060" s="13" t="str">
        <f ca="1">IFERROR(__xludf.DUMMYFUNCTION("""COMPUTED_VALUE"""),"小心，这碗汤很烫，别烫到手了。")</f>
        <v>小心，这碗汤很烫，别烫到手了。</v>
      </c>
      <c r="I2060" s="13"/>
      <c r="J2060" s="13" t="str">
        <f ca="1">IFERROR(__xludf.DUMMYFUNCTION("""COMPUTED_VALUE"""),"Cẩn thận, bát canh này rất nóng, đừng để bị bỏng tay.")</f>
        <v>Cẩn thận, bát canh này rất nóng, đừng để bị bỏng tay.</v>
      </c>
      <c r="K2060" s="13" t="str">
        <f ca="1">IFERROR(__xludf.DUMMYFUNCTION("""COMPUTED_VALUE"""),"H5_B19_BG-16.png")</f>
        <v>H5_B19_BG-16.png</v>
      </c>
      <c r="L2060" s="13" t="str">
        <f ca="1">IFERROR(__xludf.DUMMYFUNCTION("""COMPUTED_VALUE"""),"B19_16.mp3")</f>
        <v>B19_16.mp3</v>
      </c>
      <c r="M2060" s="13" t="str">
        <f ca="1">IFERROR(__xludf.DUMMYFUNCTION("""COMPUTED_VALUE"""),"B19_VD_16.mp3")</f>
        <v>B19_VD_16.mp3</v>
      </c>
    </row>
    <row r="2061" spans="1:13">
      <c r="A2061" s="13">
        <f ca="1">IFERROR(__xludf.DUMMYFUNCTION("""COMPUTED_VALUE"""),17)</f>
        <v>17</v>
      </c>
      <c r="B2061" s="13"/>
      <c r="C2061" s="13" t="str">
        <f ca="1">IFERROR(__xludf.DUMMYFUNCTION("""COMPUTED_VALUE"""),"盖")</f>
        <v>盖</v>
      </c>
      <c r="D2061" s="13" t="str">
        <f ca="1">IFERROR(__xludf.DUMMYFUNCTION("""COMPUTED_VALUE"""),"&lt;ruby&gt;盖&lt;rt&gt;gài&lt;/rt&gt;&lt;/ruby&gt;")</f>
        <v>&lt;ruby&gt;盖&lt;rt&gt;gài&lt;/rt&gt;&lt;/ruby&gt;</v>
      </c>
      <c r="E2061" s="13" t="str">
        <f ca="1">IFERROR(__xludf.DUMMYFUNCTION("""COMPUTED_VALUE"""),"gài")</f>
        <v>gài</v>
      </c>
      <c r="F2061" s="13" t="str">
        <f ca="1">IFERROR(__xludf.DUMMYFUNCTION("""COMPUTED_VALUE"""),"Động từ/Danh từ")</f>
        <v>Động từ/Danh từ</v>
      </c>
      <c r="G2061" s="13" t="str">
        <f ca="1">IFERROR(__xludf.DUMMYFUNCTION("""COMPUTED_VALUE"""),"đậy; nắp")</f>
        <v>đậy; nắp</v>
      </c>
      <c r="H2061" s="13" t="str">
        <f ca="1">IFERROR(__xludf.DUMMYFUNCTION("""COMPUTED_VALUE"""),"这个锅盖太重了。")</f>
        <v>这个锅盖太重了。</v>
      </c>
      <c r="I2061" s="13"/>
      <c r="J2061" s="13" t="str">
        <f ca="1">IFERROR(__xludf.DUMMYFUNCTION("""COMPUTED_VALUE"""),"Cái vung nồi đó nặng quá.")</f>
        <v>Cái vung nồi đó nặng quá.</v>
      </c>
      <c r="K2061" s="13" t="str">
        <f ca="1">IFERROR(__xludf.DUMMYFUNCTION("""COMPUTED_VALUE"""),"H5_B19_BG-17.png")</f>
        <v>H5_B19_BG-17.png</v>
      </c>
      <c r="L2061" s="13" t="str">
        <f ca="1">IFERROR(__xludf.DUMMYFUNCTION("""COMPUTED_VALUE"""),"B19_17.mp3")</f>
        <v>B19_17.mp3</v>
      </c>
      <c r="M2061" s="13" t="str">
        <f ca="1">IFERROR(__xludf.DUMMYFUNCTION("""COMPUTED_VALUE"""),"B19_VD_17.mp3")</f>
        <v>B19_VD_17.mp3</v>
      </c>
    </row>
    <row r="2062" spans="1:13">
      <c r="A2062" s="13">
        <f ca="1">IFERROR(__xludf.DUMMYFUNCTION("""COMPUTED_VALUE"""),18)</f>
        <v>18</v>
      </c>
      <c r="B2062" s="13"/>
      <c r="C2062" s="13" t="str">
        <f ca="1">IFERROR(__xludf.DUMMYFUNCTION("""COMPUTED_VALUE"""),"糊")</f>
        <v>糊</v>
      </c>
      <c r="D2062" s="13" t="str">
        <f ca="1">IFERROR(__xludf.DUMMYFUNCTION("""COMPUTED_VALUE"""),"&lt;ruby&gt;糊&lt;rt&gt;hú&lt;/rt&gt;&lt;/ruby&gt;")</f>
        <v>&lt;ruby&gt;糊&lt;rt&gt;hú&lt;/rt&gt;&lt;/ruby&gt;</v>
      </c>
      <c r="E2062" s="13" t="str">
        <f ca="1">IFERROR(__xludf.DUMMYFUNCTION("""COMPUTED_VALUE"""),"hú")</f>
        <v>hú</v>
      </c>
      <c r="F2062" s="13" t="str">
        <f ca="1">IFERROR(__xludf.DUMMYFUNCTION("""COMPUTED_VALUE"""),"Động từ")</f>
        <v>Động từ</v>
      </c>
      <c r="G2062" s="13" t="str">
        <f ca="1">IFERROR(__xludf.DUMMYFUNCTION("""COMPUTED_VALUE"""),"khét, cháy")</f>
        <v>khét, cháy</v>
      </c>
      <c r="H2062" s="13" t="str">
        <f ca="1">IFERROR(__xludf.DUMMYFUNCTION("""COMPUTED_VALUE"""),"我闻到糊味了。")</f>
        <v>我闻到糊味了。</v>
      </c>
      <c r="I2062" s="13"/>
      <c r="J2062" s="13" t="str">
        <f ca="1">IFERROR(__xludf.DUMMYFUNCTION("""COMPUTED_VALUE"""),"Tôi ngửi thấy mùi khét rồi.")</f>
        <v>Tôi ngửi thấy mùi khét rồi.</v>
      </c>
      <c r="K2062" s="13" t="str">
        <f ca="1">IFERROR(__xludf.DUMMYFUNCTION("""COMPUTED_VALUE"""),"H5_B19_BG-18.png")</f>
        <v>H5_B19_BG-18.png</v>
      </c>
      <c r="L2062" s="13" t="str">
        <f ca="1">IFERROR(__xludf.DUMMYFUNCTION("""COMPUTED_VALUE"""),"B19_18.mp3")</f>
        <v>B19_18.mp3</v>
      </c>
      <c r="M2062" s="13" t="str">
        <f ca="1">IFERROR(__xludf.DUMMYFUNCTION("""COMPUTED_VALUE"""),"B19_VD_18.mp3")</f>
        <v>B19_VD_18.mp3</v>
      </c>
    </row>
    <row r="2063" spans="1:13">
      <c r="A2063" s="13">
        <f ca="1">IFERROR(__xludf.DUMMYFUNCTION("""COMPUTED_VALUE"""),19)</f>
        <v>19</v>
      </c>
      <c r="B2063" s="13"/>
      <c r="C2063" s="13" t="str">
        <f ca="1">IFERROR(__xludf.DUMMYFUNCTION("""COMPUTED_VALUE"""),"文火")</f>
        <v>文火</v>
      </c>
      <c r="D2063" s="13" t="str">
        <f ca="1">IFERROR(__xludf.DUMMYFUNCTION("""COMPUTED_VALUE"""),"&lt;ruby&gt;文火&lt;rt&gt;wénhuǒ&lt;/rt&gt;&lt;/ruby&gt;")</f>
        <v>&lt;ruby&gt;文火&lt;rt&gt;wénhuǒ&lt;/rt&gt;&lt;/ruby&gt;</v>
      </c>
      <c r="E2063" s="13" t="str">
        <f ca="1">IFERROR(__xludf.DUMMYFUNCTION("""COMPUTED_VALUE"""),"wénhuǒ")</f>
        <v>wénhuǒ</v>
      </c>
      <c r="F2063" s="13" t="str">
        <f ca="1">IFERROR(__xludf.DUMMYFUNCTION("""COMPUTED_VALUE"""),"Danh từ")</f>
        <v>Danh từ</v>
      </c>
      <c r="G2063" s="13" t="str">
        <f ca="1">IFERROR(__xludf.DUMMYFUNCTION("""COMPUTED_VALUE"""),"lửa nhỏ, lửa liu riu")</f>
        <v>lửa nhỏ, lửa liu riu</v>
      </c>
      <c r="H2063" s="13" t="str">
        <f ca="1">IFERROR(__xludf.DUMMYFUNCTION("""COMPUTED_VALUE"""),"煮汤的时候要用文火慢慢煮。")</f>
        <v>煮汤的时候要用文火慢慢煮。</v>
      </c>
      <c r="I2063" s="13"/>
      <c r="J2063" s="13" t="str">
        <f ca="1">IFERROR(__xludf.DUMMYFUNCTION("""COMPUTED_VALUE"""),"Khi nấu canh, phải nấu trên lửa nhỏ liu riu.")</f>
        <v>Khi nấu canh, phải nấu trên lửa nhỏ liu riu.</v>
      </c>
      <c r="K2063" s="13" t="str">
        <f ca="1">IFERROR(__xludf.DUMMYFUNCTION("""COMPUTED_VALUE"""),"H5_B19_BG-19.png")</f>
        <v>H5_B19_BG-19.png</v>
      </c>
      <c r="L2063" s="13" t="str">
        <f ca="1">IFERROR(__xludf.DUMMYFUNCTION("""COMPUTED_VALUE"""),"B19_19.mp3")</f>
        <v>B19_19.mp3</v>
      </c>
      <c r="M2063" s="13" t="str">
        <f ca="1">IFERROR(__xludf.DUMMYFUNCTION("""COMPUTED_VALUE"""),"B19_VD_19.mp3")</f>
        <v>B19_VD_19.mp3</v>
      </c>
    </row>
    <row r="2064" spans="1:13">
      <c r="A2064" s="13">
        <f ca="1">IFERROR(__xludf.DUMMYFUNCTION("""COMPUTED_VALUE"""),20)</f>
        <v>20</v>
      </c>
      <c r="B2064" s="13"/>
      <c r="C2064" s="13" t="str">
        <f ca="1">IFERROR(__xludf.DUMMYFUNCTION("""COMPUTED_VALUE"""),"口味")</f>
        <v>口味</v>
      </c>
      <c r="D2064" s="13" t="str">
        <f ca="1">IFERROR(__xludf.DUMMYFUNCTION("""COMPUTED_VALUE"""),"&lt;ruby&gt;口味&lt;rt&gt;kǒuwèi&lt;/rt&gt;&lt;/ruby&gt;")</f>
        <v>&lt;ruby&gt;口味&lt;rt&gt;kǒuwèi&lt;/rt&gt;&lt;/ruby&gt;</v>
      </c>
      <c r="E2064" s="13" t="str">
        <f ca="1">IFERROR(__xludf.DUMMYFUNCTION("""COMPUTED_VALUE"""),"kǒuwèi")</f>
        <v>kǒuwèi</v>
      </c>
      <c r="F2064" s="13" t="str">
        <f ca="1">IFERROR(__xludf.DUMMYFUNCTION("""COMPUTED_VALUE"""),"Danh từ")</f>
        <v>Danh từ</v>
      </c>
      <c r="G2064" s="13" t="str">
        <f ca="1">IFERROR(__xludf.DUMMYFUNCTION("""COMPUTED_VALUE"""),"mùi vị, hương vị")</f>
        <v>mùi vị, hương vị</v>
      </c>
      <c r="H2064" s="13" t="str">
        <f ca="1">IFERROR(__xludf.DUMMYFUNCTION("""COMPUTED_VALUE"""),"这道菜的口味很特别，又酸又甜。")</f>
        <v>这道菜的口味很特别，又酸又甜。</v>
      </c>
      <c r="I2064" s="13"/>
      <c r="J2064" s="13" t="str">
        <f ca="1">IFERROR(__xludf.DUMMYFUNCTION("""COMPUTED_VALUE"""),"Hương vị của món ăn này rất đặc biệt, chua chua ngọt ngọt.")</f>
        <v>Hương vị của món ăn này rất đặc biệt, chua chua ngọt ngọt.</v>
      </c>
      <c r="K2064" s="13" t="str">
        <f ca="1">IFERROR(__xludf.DUMMYFUNCTION("""COMPUTED_VALUE"""),"H5_B19_BG-20.png")</f>
        <v>H5_B19_BG-20.png</v>
      </c>
      <c r="L2064" s="13" t="str">
        <f ca="1">IFERROR(__xludf.DUMMYFUNCTION("""COMPUTED_VALUE"""),"B19_20.mp3")</f>
        <v>B19_20.mp3</v>
      </c>
      <c r="M2064" s="13" t="str">
        <f ca="1">IFERROR(__xludf.DUMMYFUNCTION("""COMPUTED_VALUE"""),"B19_VD_20.mp3")</f>
        <v>B19_VD_20.mp3</v>
      </c>
    </row>
    <row r="2065" spans="1:13">
      <c r="A2065" s="13">
        <f ca="1">IFERROR(__xludf.DUMMYFUNCTION("""COMPUTED_VALUE"""),21)</f>
        <v>21</v>
      </c>
      <c r="B2065" s="13"/>
      <c r="C2065" s="13" t="str">
        <f ca="1">IFERROR(__xludf.DUMMYFUNCTION("""COMPUTED_VALUE"""),"少许")</f>
        <v>少许</v>
      </c>
      <c r="D2065" s="13" t="str">
        <f ca="1">IFERROR(__xludf.DUMMYFUNCTION("""COMPUTED_VALUE"""),"&lt;ruby&gt;少许&lt;rt&gt;shǎoxǔ&lt;/rt&gt;&lt;/ruby&gt;")</f>
        <v>&lt;ruby&gt;少许&lt;rt&gt;shǎoxǔ&lt;/rt&gt;&lt;/ruby&gt;</v>
      </c>
      <c r="E2065" s="13" t="str">
        <f ca="1">IFERROR(__xludf.DUMMYFUNCTION("""COMPUTED_VALUE"""),"shǎoxǔ")</f>
        <v>shǎoxǔ</v>
      </c>
      <c r="F2065" s="13" t="str">
        <f ca="1">IFERROR(__xludf.DUMMYFUNCTION("""COMPUTED_VALUE"""),"Tính từ")</f>
        <v>Tính từ</v>
      </c>
      <c r="G2065" s="13" t="str">
        <f ca="1">IFERROR(__xludf.DUMMYFUNCTION("""COMPUTED_VALUE"""),"một chút")</f>
        <v>một chút</v>
      </c>
      <c r="H2065" s="13" t="str">
        <f ca="1">IFERROR(__xludf.DUMMYFUNCTION("""COMPUTED_VALUE"""),"这道菜只需要加少许辣椒就够了。")</f>
        <v>这道菜只需要加少许辣椒就够了。</v>
      </c>
      <c r="I2065" s="13"/>
      <c r="J2065" s="13" t="str">
        <f ca="1">IFERROR(__xludf.DUMMYFUNCTION("""COMPUTED_VALUE"""),"Món ăn này chỉ cần một chút ớt là đủ.")</f>
        <v>Món ăn này chỉ cần một chút ớt là đủ.</v>
      </c>
      <c r="K2065" s="13" t="str">
        <f ca="1">IFERROR(__xludf.DUMMYFUNCTION("""COMPUTED_VALUE"""),"H5_B19_BG-21.png")</f>
        <v>H5_B19_BG-21.png</v>
      </c>
      <c r="L2065" s="13" t="str">
        <f ca="1">IFERROR(__xludf.DUMMYFUNCTION("""COMPUTED_VALUE"""),"B19_21.mp3")</f>
        <v>B19_21.mp3</v>
      </c>
      <c r="M2065" s="13" t="str">
        <f ca="1">IFERROR(__xludf.DUMMYFUNCTION("""COMPUTED_VALUE"""),"B19_VD_21.mp3")</f>
        <v>B19_VD_21.mp3</v>
      </c>
    </row>
    <row r="2066" spans="1:13">
      <c r="A2066" s="13">
        <f ca="1">IFERROR(__xludf.DUMMYFUNCTION("""COMPUTED_VALUE"""),22)</f>
        <v>22</v>
      </c>
      <c r="B2066" s="13"/>
      <c r="C2066" s="13" t="str">
        <f ca="1">IFERROR(__xludf.DUMMYFUNCTION("""COMPUTED_VALUE"""),"酱油")</f>
        <v>酱油</v>
      </c>
      <c r="D2066" s="13" t="str">
        <f ca="1">IFERROR(__xludf.DUMMYFUNCTION("""COMPUTED_VALUE"""),"&lt;ruby&gt;酱油&lt;rt&gt;jiàngyóu&lt;/rt&gt;&lt;/ruby&gt;")</f>
        <v>&lt;ruby&gt;酱油&lt;rt&gt;jiàngyóu&lt;/rt&gt;&lt;/ruby&gt;</v>
      </c>
      <c r="E2066" s="13" t="str">
        <f ca="1">IFERROR(__xludf.DUMMYFUNCTION("""COMPUTED_VALUE"""),"jiàngyóu")</f>
        <v>jiàngyóu</v>
      </c>
      <c r="F2066" s="13" t="str">
        <f ca="1">IFERROR(__xludf.DUMMYFUNCTION("""COMPUTED_VALUE"""),"Danh từ")</f>
        <v>Danh từ</v>
      </c>
      <c r="G2066" s="13" t="str">
        <f ca="1">IFERROR(__xludf.DUMMYFUNCTION("""COMPUTED_VALUE"""),"nước tương")</f>
        <v>nước tương</v>
      </c>
      <c r="H2066" s="13" t="str">
        <f ca="1">IFERROR(__xludf.DUMMYFUNCTION("""COMPUTED_VALUE"""),"这道菜用了很多酱油，味道很浓。")</f>
        <v>这道菜用了很多酱油，味道很浓。</v>
      </c>
      <c r="I2066" s="13"/>
      <c r="J2066" s="13" t="str">
        <f ca="1">IFERROR(__xludf.DUMMYFUNCTION("""COMPUTED_VALUE"""),"Món ăn này dùng rất nhiều nước tương, hương vị rất đậm.")</f>
        <v>Món ăn này dùng rất nhiều nước tương, hương vị rất đậm.</v>
      </c>
      <c r="K2066" s="13" t="str">
        <f ca="1">IFERROR(__xludf.DUMMYFUNCTION("""COMPUTED_VALUE"""),"H5_B19_BG-22.png")</f>
        <v>H5_B19_BG-22.png</v>
      </c>
      <c r="L2066" s="13" t="str">
        <f ca="1">IFERROR(__xludf.DUMMYFUNCTION("""COMPUTED_VALUE"""),"B19_22.mp3")</f>
        <v>B19_22.mp3</v>
      </c>
      <c r="M2066" s="13" t="str">
        <f ca="1">IFERROR(__xludf.DUMMYFUNCTION("""COMPUTED_VALUE"""),"B19_VD_22.mp3")</f>
        <v>B19_VD_22.mp3</v>
      </c>
    </row>
    <row r="2067" spans="1:13">
      <c r="A2067" s="13">
        <f ca="1">IFERROR(__xludf.DUMMYFUNCTION("""COMPUTED_VALUE"""),23)</f>
        <v>23</v>
      </c>
      <c r="B2067" s="13"/>
      <c r="C2067" s="13" t="str">
        <f ca="1">IFERROR(__xludf.DUMMYFUNCTION("""COMPUTED_VALUE"""),"醋")</f>
        <v>醋</v>
      </c>
      <c r="D2067" s="13" t="str">
        <f ca="1">IFERROR(__xludf.DUMMYFUNCTION("""COMPUTED_VALUE"""),"&lt;ruby&gt;醋&lt;rt&gt;cù&lt;/rt&gt;&lt;/ruby&gt;")</f>
        <v>&lt;ruby&gt;醋&lt;rt&gt;cù&lt;/rt&gt;&lt;/ruby&gt;</v>
      </c>
      <c r="E2067" s="13" t="str">
        <f ca="1">IFERROR(__xludf.DUMMYFUNCTION("""COMPUTED_VALUE"""),"cù")</f>
        <v>cù</v>
      </c>
      <c r="F2067" s="13" t="str">
        <f ca="1">IFERROR(__xludf.DUMMYFUNCTION("""COMPUTED_VALUE"""),"Danh từ")</f>
        <v>Danh từ</v>
      </c>
      <c r="G2067" s="13" t="str">
        <f ca="1">IFERROR(__xludf.DUMMYFUNCTION("""COMPUTED_VALUE"""),"giấm")</f>
        <v>giấm</v>
      </c>
      <c r="H2067" s="13" t="str">
        <f ca="1">IFERROR(__xludf.DUMMYFUNCTION("""COMPUTED_VALUE"""),"他喜欢炒菜时加点醋，这样味道会更浓郁。")</f>
        <v>他喜欢炒菜时加点醋，这样味道会更浓郁。</v>
      </c>
      <c r="I2067" s="13"/>
      <c r="J2067" s="13" t="str">
        <f ca="1">IFERROR(__xludf.DUMMYFUNCTION("""COMPUTED_VALUE"""),"Anh ấy thích thêm giấm khi xào món ăn, như vậy món ăn sẽ có hương vị đậm đà hơn.")</f>
        <v>Anh ấy thích thêm giấm khi xào món ăn, như vậy món ăn sẽ có hương vị đậm đà hơn.</v>
      </c>
      <c r="K2067" s="13" t="str">
        <f ca="1">IFERROR(__xludf.DUMMYFUNCTION("""COMPUTED_VALUE"""),"H5_B19_BG-23.png")</f>
        <v>H5_B19_BG-23.png</v>
      </c>
      <c r="L2067" s="13" t="str">
        <f ca="1">IFERROR(__xludf.DUMMYFUNCTION("""COMPUTED_VALUE"""),"B19_23.mp3")</f>
        <v>B19_23.mp3</v>
      </c>
      <c r="M2067" s="13" t="str">
        <f ca="1">IFERROR(__xludf.DUMMYFUNCTION("""COMPUTED_VALUE"""),"B19_VD_23.mp3")</f>
        <v>B19_VD_23.mp3</v>
      </c>
    </row>
    <row r="2068" spans="1:13">
      <c r="A2068" s="13">
        <f ca="1">IFERROR(__xludf.DUMMYFUNCTION("""COMPUTED_VALUE"""),24)</f>
        <v>24</v>
      </c>
      <c r="B2068" s="13"/>
      <c r="C2068" s="13" t="str">
        <f ca="1">IFERROR(__xludf.DUMMYFUNCTION("""COMPUTED_VALUE"""),"焦")</f>
        <v>焦</v>
      </c>
      <c r="D2068" s="13" t="str">
        <f ca="1">IFERROR(__xludf.DUMMYFUNCTION("""COMPUTED_VALUE"""),"&lt;ruby&gt;焦&lt;rt&gt;jiāo&lt;/rt&gt;&lt;/ruby&gt;")</f>
        <v>&lt;ruby&gt;焦&lt;rt&gt;jiāo&lt;/rt&gt;&lt;/ruby&gt;</v>
      </c>
      <c r="E2068" s="13" t="str">
        <f ca="1">IFERROR(__xludf.DUMMYFUNCTION("""COMPUTED_VALUE"""),"jiāo")</f>
        <v>jiāo</v>
      </c>
      <c r="F2068" s="13" t="str">
        <f ca="1">IFERROR(__xludf.DUMMYFUNCTION("""COMPUTED_VALUE"""),"Tính từ")</f>
        <v>Tính từ</v>
      </c>
      <c r="G2068" s="13" t="str">
        <f ca="1">IFERROR(__xludf.DUMMYFUNCTION("""COMPUTED_VALUE"""),"bị cháy")</f>
        <v>bị cháy</v>
      </c>
      <c r="H2068" s="13" t="str">
        <f ca="1">IFERROR(__xludf.DUMMYFUNCTION("""COMPUTED_VALUE"""),"这块面包烤得有点焦了，但还是能吃。")</f>
        <v>这块面包烤得有点焦了，但还是能吃。</v>
      </c>
      <c r="I2068" s="13"/>
      <c r="J2068" s="13" t="str">
        <f ca="1">IFERROR(__xludf.DUMMYFUNCTION("""COMPUTED_VALUE"""),"Chiếc bánh mì này nướng hơi bị cháy, nhưng vẫn có thể ăn được.")</f>
        <v>Chiếc bánh mì này nướng hơi bị cháy, nhưng vẫn có thể ăn được.</v>
      </c>
      <c r="K2068" s="13" t="str">
        <f ca="1">IFERROR(__xludf.DUMMYFUNCTION("""COMPUTED_VALUE"""),"H5_B19_BG-24.png")</f>
        <v>H5_B19_BG-24.png</v>
      </c>
      <c r="L2068" s="13" t="str">
        <f ca="1">IFERROR(__xludf.DUMMYFUNCTION("""COMPUTED_VALUE"""),"B19_24.mp3")</f>
        <v>B19_24.mp3</v>
      </c>
      <c r="M2068" s="13" t="str">
        <f ca="1">IFERROR(__xludf.DUMMYFUNCTION("""COMPUTED_VALUE"""),"B19_VD_24.mp3")</f>
        <v>B19_VD_24.mp3</v>
      </c>
    </row>
    <row r="2069" spans="1:13">
      <c r="A2069" s="13">
        <f ca="1">IFERROR(__xludf.DUMMYFUNCTION("""COMPUTED_VALUE"""),25)</f>
        <v>25</v>
      </c>
      <c r="B2069" s="13"/>
      <c r="C2069" s="13" t="str">
        <f ca="1">IFERROR(__xludf.DUMMYFUNCTION("""COMPUTED_VALUE"""),"嫩")</f>
        <v>嫩</v>
      </c>
      <c r="D2069" s="13" t="str">
        <f ca="1">IFERROR(__xludf.DUMMYFUNCTION("""COMPUTED_VALUE"""),"&lt;ruby&gt;嫩&lt;rt&gt;nèn&lt;/rt&gt;&lt;/ruby&gt;")</f>
        <v>&lt;ruby&gt;嫩&lt;rt&gt;nèn&lt;/rt&gt;&lt;/ruby&gt;</v>
      </c>
      <c r="E2069" s="13" t="str">
        <f ca="1">IFERROR(__xludf.DUMMYFUNCTION("""COMPUTED_VALUE"""),"nèn")</f>
        <v>nèn</v>
      </c>
      <c r="F2069" s="13" t="str">
        <f ca="1">IFERROR(__xludf.DUMMYFUNCTION("""COMPUTED_VALUE"""),"Tính từ")</f>
        <v>Tính từ</v>
      </c>
      <c r="G2069" s="13" t="str">
        <f ca="1">IFERROR(__xludf.DUMMYFUNCTION("""COMPUTED_VALUE"""),"mềm")</f>
        <v>mềm</v>
      </c>
      <c r="H2069" s="13" t="str">
        <f ca="1">IFERROR(__xludf.DUMMYFUNCTION("""COMPUTED_VALUE"""),"这块牛肉非常嫩，吃起来很香。")</f>
        <v>这块牛肉非常嫩，吃起来很香。</v>
      </c>
      <c r="I2069" s="13"/>
      <c r="J2069" s="13" t="str">
        <f ca="1">IFERROR(__xludf.DUMMYFUNCTION("""COMPUTED_VALUE"""),"Miếng thịt bò này rất mềm, ăn rất ngon.")</f>
        <v>Miếng thịt bò này rất mềm, ăn rất ngon.</v>
      </c>
      <c r="K2069" s="13" t="str">
        <f ca="1">IFERROR(__xludf.DUMMYFUNCTION("""COMPUTED_VALUE"""),"H5_B19_BG-25.png")</f>
        <v>H5_B19_BG-25.png</v>
      </c>
      <c r="L2069" s="13" t="str">
        <f ca="1">IFERROR(__xludf.DUMMYFUNCTION("""COMPUTED_VALUE"""),"B19_25.mp3")</f>
        <v>B19_25.mp3</v>
      </c>
      <c r="M2069" s="13" t="str">
        <f ca="1">IFERROR(__xludf.DUMMYFUNCTION("""COMPUTED_VALUE"""),"B19_VD_25.mp3")</f>
        <v>B19_VD_25.mp3</v>
      </c>
    </row>
    <row r="2070" spans="1:13">
      <c r="A2070" s="13">
        <f ca="1">IFERROR(__xludf.DUMMYFUNCTION("""COMPUTED_VALUE"""),26)</f>
        <v>26</v>
      </c>
      <c r="B2070" s="13"/>
      <c r="C2070" s="13" t="str">
        <f ca="1">IFERROR(__xludf.DUMMYFUNCTION("""COMPUTED_VALUE"""),"原料")</f>
        <v>原料</v>
      </c>
      <c r="D2070" s="13" t="str">
        <f ca="1">IFERROR(__xludf.DUMMYFUNCTION("""COMPUTED_VALUE"""),"&lt;ruby&gt;原料&lt;rt&gt;yuánliào&lt;/rt&gt;&lt;/ruby&gt;")</f>
        <v>&lt;ruby&gt;原料&lt;rt&gt;yuánliào&lt;/rt&gt;&lt;/ruby&gt;</v>
      </c>
      <c r="E2070" s="13" t="str">
        <f ca="1">IFERROR(__xludf.DUMMYFUNCTION("""COMPUTED_VALUE"""),"yuánliào")</f>
        <v>yuánliào</v>
      </c>
      <c r="F2070" s="13" t="str">
        <f ca="1">IFERROR(__xludf.DUMMYFUNCTION("""COMPUTED_VALUE"""),"Danh từ")</f>
        <v>Danh từ</v>
      </c>
      <c r="G2070" s="13" t="str">
        <f ca="1">IFERROR(__xludf.DUMMYFUNCTION("""COMPUTED_VALUE"""),"nguyên liệu")</f>
        <v>nguyên liệu</v>
      </c>
      <c r="H2070" s="13" t="str">
        <f ca="1">IFERROR(__xludf.DUMMYFUNCTION("""COMPUTED_VALUE"""),"这道菜的原料非常丰富。")</f>
        <v>这道菜的原料非常丰富。</v>
      </c>
      <c r="I2070" s="13"/>
      <c r="J2070" s="13" t="str">
        <f ca="1">IFERROR(__xludf.DUMMYFUNCTION("""COMPUTED_VALUE"""),"Nguyên liệu của món ăn này rất phong phú.")</f>
        <v>Nguyên liệu của món ăn này rất phong phú.</v>
      </c>
      <c r="K2070" s="13" t="str">
        <f ca="1">IFERROR(__xludf.DUMMYFUNCTION("""COMPUTED_VALUE"""),"H5_B19_BG-26.png")</f>
        <v>H5_B19_BG-26.png</v>
      </c>
      <c r="L2070" s="13" t="str">
        <f ca="1">IFERROR(__xludf.DUMMYFUNCTION("""COMPUTED_VALUE"""),"B19_26.mp3")</f>
        <v>B19_26.mp3</v>
      </c>
      <c r="M2070" s="13" t="str">
        <f ca="1">IFERROR(__xludf.DUMMYFUNCTION("""COMPUTED_VALUE"""),"B19_VD_26.mp3")</f>
        <v>B19_VD_26.mp3</v>
      </c>
    </row>
    <row r="2071" spans="1:13">
      <c r="A2071" s="13">
        <f ca="1">IFERROR(__xludf.DUMMYFUNCTION("""COMPUTED_VALUE"""),27)</f>
        <v>27</v>
      </c>
      <c r="B2071" s="13"/>
      <c r="C2071" s="13" t="str">
        <f ca="1">IFERROR(__xludf.DUMMYFUNCTION("""COMPUTED_VALUE"""),"家乡")</f>
        <v>家乡</v>
      </c>
      <c r="D2071" s="13" t="str">
        <f ca="1">IFERROR(__xludf.DUMMYFUNCTION("""COMPUTED_VALUE"""),"&lt;ruby&gt;家乡&lt;rt&gt;jiāxiāng&lt;/rt&gt;&lt;/ruby&gt;")</f>
        <v>&lt;ruby&gt;家乡&lt;rt&gt;jiāxiāng&lt;/rt&gt;&lt;/ruby&gt;</v>
      </c>
      <c r="E2071" s="13" t="str">
        <f ca="1">IFERROR(__xludf.DUMMYFUNCTION("""COMPUTED_VALUE"""),"jiāxiāng")</f>
        <v>jiāxiāng</v>
      </c>
      <c r="F2071" s="13" t="str">
        <f ca="1">IFERROR(__xludf.DUMMYFUNCTION("""COMPUTED_VALUE"""),"Danh từ")</f>
        <v>Danh từ</v>
      </c>
      <c r="G2071" s="13" t="str">
        <f ca="1">IFERROR(__xludf.DUMMYFUNCTION("""COMPUTED_VALUE"""),"quê nhà, quê hương")</f>
        <v>quê nhà, quê hương</v>
      </c>
      <c r="H2071" s="13" t="str">
        <f ca="1">IFERROR(__xludf.DUMMYFUNCTION("""COMPUTED_VALUE"""),"我很想念我的家乡，那里的美食是我最喜欢的。")</f>
        <v>我很想念我的家乡，那里的美食是我最喜欢的。</v>
      </c>
      <c r="I2071" s="13"/>
      <c r="J2071" s="13" t="str">
        <f ca="1">IFERROR(__xludf.DUMMYFUNCTION("""COMPUTED_VALUE"""),"Tôi rất nhớ quê hương của mình, nơi đó có những món ăn tôi yêu thích nhất.")</f>
        <v>Tôi rất nhớ quê hương của mình, nơi đó có những món ăn tôi yêu thích nhất.</v>
      </c>
      <c r="K2071" s="13" t="str">
        <f ca="1">IFERROR(__xludf.DUMMYFUNCTION("""COMPUTED_VALUE"""),"H5_B19_BG-27.png")</f>
        <v>H5_B19_BG-27.png</v>
      </c>
      <c r="L2071" s="13" t="str">
        <f ca="1">IFERROR(__xludf.DUMMYFUNCTION("""COMPUTED_VALUE"""),"B19_27.mp3")</f>
        <v>B19_27.mp3</v>
      </c>
      <c r="M2071" s="13" t="str">
        <f ca="1">IFERROR(__xludf.DUMMYFUNCTION("""COMPUTED_VALUE"""),"B19_VD_27.mp3")</f>
        <v>B19_VD_27.mp3</v>
      </c>
    </row>
    <row r="2072" spans="1:13">
      <c r="A2072" s="13">
        <f ca="1">IFERROR(__xludf.DUMMYFUNCTION("""COMPUTED_VALUE"""),28)</f>
        <v>28</v>
      </c>
      <c r="B2072" s="13"/>
      <c r="C2072" s="13" t="str">
        <f ca="1">IFERROR(__xludf.DUMMYFUNCTION("""COMPUTED_VALUE"""),"怀念")</f>
        <v>怀念</v>
      </c>
      <c r="D2072" s="13" t="str">
        <f ca="1">IFERROR(__xludf.DUMMYFUNCTION("""COMPUTED_VALUE"""),"&lt;ruby&gt;怀念&lt;rt&gt;huáiniàn&lt;/rt&gt;&lt;/ruby&gt;")</f>
        <v>&lt;ruby&gt;怀念&lt;rt&gt;huáiniàn&lt;/rt&gt;&lt;/ruby&gt;</v>
      </c>
      <c r="E2072" s="13" t="str">
        <f ca="1">IFERROR(__xludf.DUMMYFUNCTION("""COMPUTED_VALUE"""),"huáiniàn")</f>
        <v>huáiniàn</v>
      </c>
      <c r="F2072" s="13" t="str">
        <f ca="1">IFERROR(__xludf.DUMMYFUNCTION("""COMPUTED_VALUE"""),"Động từ")</f>
        <v>Động từ</v>
      </c>
      <c r="G2072" s="13" t="str">
        <f ca="1">IFERROR(__xludf.DUMMYFUNCTION("""COMPUTED_VALUE"""),"tưởng nhớ, nhớ")</f>
        <v>tưởng nhớ, nhớ</v>
      </c>
      <c r="H2072" s="13" t="str">
        <f ca="1">IFERROR(__xludf.DUMMYFUNCTION("""COMPUTED_VALUE"""),"他经常怀念和朋友们一起旅行的日子。")</f>
        <v>他经常怀念和朋友们一起旅行的日子。</v>
      </c>
      <c r="I2072" s="13"/>
      <c r="J2072" s="13" t="str">
        <f ca="1">IFERROR(__xludf.DUMMYFUNCTION("""COMPUTED_VALUE"""),"Anh ấy thường nhớ về chuyến du lịch đã cùng bạn bè trải qua.")</f>
        <v>Anh ấy thường nhớ về chuyến du lịch đã cùng bạn bè trải qua.</v>
      </c>
      <c r="K2072" s="13" t="str">
        <f ca="1">IFERROR(__xludf.DUMMYFUNCTION("""COMPUTED_VALUE"""),"H5_B19_BG-28.png")</f>
        <v>H5_B19_BG-28.png</v>
      </c>
      <c r="L2072" s="13" t="str">
        <f ca="1">IFERROR(__xludf.DUMMYFUNCTION("""COMPUTED_VALUE"""),"B19_28.mp3")</f>
        <v>B19_28.mp3</v>
      </c>
      <c r="M2072" s="13" t="str">
        <f ca="1">IFERROR(__xludf.DUMMYFUNCTION("""COMPUTED_VALUE"""),"B19_VD_28.mp3")</f>
        <v>B19_VD_28.mp3</v>
      </c>
    </row>
    <row r="2073" spans="1:13">
      <c r="A2073" s="13">
        <f ca="1">IFERROR(__xludf.DUMMYFUNCTION("""COMPUTED_VALUE"""),29)</f>
        <v>29</v>
      </c>
      <c r="B2073" s="13"/>
      <c r="C2073" s="13" t="str">
        <f ca="1">IFERROR(__xludf.DUMMYFUNCTION("""COMPUTED_VALUE"""),"色彩")</f>
        <v>色彩</v>
      </c>
      <c r="D2073" s="13" t="str">
        <f ca="1">IFERROR(__xludf.DUMMYFUNCTION("""COMPUTED_VALUE"""),"&lt;ruby&gt;色彩&lt;rt&gt;sècǎi&lt;/rt&gt;&lt;/ruby&gt;")</f>
        <v>&lt;ruby&gt;色彩&lt;rt&gt;sècǎi&lt;/rt&gt;&lt;/ruby&gt;</v>
      </c>
      <c r="E2073" s="13" t="str">
        <f ca="1">IFERROR(__xludf.DUMMYFUNCTION("""COMPUTED_VALUE"""),"sècǎi")</f>
        <v>sècǎi</v>
      </c>
      <c r="F2073" s="13" t="str">
        <f ca="1">IFERROR(__xludf.DUMMYFUNCTION("""COMPUTED_VALUE"""),"Danh từ")</f>
        <v>Danh từ</v>
      </c>
      <c r="G2073" s="13" t="str">
        <f ca="1">IFERROR(__xludf.DUMMYFUNCTION("""COMPUTED_VALUE"""),"màu sắc, trạng thái")</f>
        <v>màu sắc, trạng thái</v>
      </c>
      <c r="H2073" s="13" t="str">
        <f ca="1">IFERROR(__xludf.DUMMYFUNCTION("""COMPUTED_VALUE"""),"这幅画的色彩非常鲜艳，让人感觉愉快。")</f>
        <v>这幅画的色彩非常鲜艳，让人感觉愉快。</v>
      </c>
      <c r="I2073" s="13"/>
      <c r="J2073" s="13" t="str">
        <f ca="1">IFERROR(__xludf.DUMMYFUNCTION("""COMPUTED_VALUE"""),"Màu sắc của bức tranh này rất tươi tắn, mang lại cho người xem một cảm giác vui vẻ.")</f>
        <v>Màu sắc của bức tranh này rất tươi tắn, mang lại cho người xem một cảm giác vui vẻ.</v>
      </c>
      <c r="K2073" s="13" t="str">
        <f ca="1">IFERROR(__xludf.DUMMYFUNCTION("""COMPUTED_VALUE"""),"H5_B19_BG-29.png")</f>
        <v>H5_B19_BG-29.png</v>
      </c>
      <c r="L2073" s="13" t="str">
        <f ca="1">IFERROR(__xludf.DUMMYFUNCTION("""COMPUTED_VALUE"""),"B19_29.mp3")</f>
        <v>B19_29.mp3</v>
      </c>
      <c r="M2073" s="13" t="str">
        <f ca="1">IFERROR(__xludf.DUMMYFUNCTION("""COMPUTED_VALUE"""),"B19_VD_29.mp3")</f>
        <v>B19_VD_29.mp3</v>
      </c>
    </row>
    <row r="2074" spans="1:13">
      <c r="A2074" s="13">
        <f ca="1">IFERROR(__xludf.DUMMYFUNCTION("""COMPUTED_VALUE"""),30)</f>
        <v>30</v>
      </c>
      <c r="B2074" s="13"/>
      <c r="C2074" s="13" t="str">
        <f ca="1">IFERROR(__xludf.DUMMYFUNCTION("""COMPUTED_VALUE"""),"想念")</f>
        <v>想念</v>
      </c>
      <c r="D2074" s="13" t="str">
        <f ca="1">IFERROR(__xludf.DUMMYFUNCTION("""COMPUTED_VALUE"""),"&lt;ruby&gt;想念&lt;rt&gt;xiǎngniàn&lt;/rt&gt;&lt;/ruby&gt;")</f>
        <v>&lt;ruby&gt;想念&lt;rt&gt;xiǎngniàn&lt;/rt&gt;&lt;/ruby&gt;</v>
      </c>
      <c r="E2074" s="13" t="str">
        <f ca="1">IFERROR(__xludf.DUMMYFUNCTION("""COMPUTED_VALUE"""),"xiǎngniàn")</f>
        <v>xiǎngniàn</v>
      </c>
      <c r="F2074" s="13" t="str">
        <f ca="1">IFERROR(__xludf.DUMMYFUNCTION("""COMPUTED_VALUE"""),"Động từ")</f>
        <v>Động từ</v>
      </c>
      <c r="G2074" s="13" t="str">
        <f ca="1">IFERROR(__xludf.DUMMYFUNCTION("""COMPUTED_VALUE"""),"nhớ")</f>
        <v>nhớ</v>
      </c>
      <c r="H2074" s="13" t="str">
        <f ca="1">IFERROR(__xludf.DUMMYFUNCTION("""COMPUTED_VALUE"""),"我非常想念我的朋友，希望能早点见到她。")</f>
        <v>我非常想念我的朋友，希望能早点见到她。</v>
      </c>
      <c r="I2074" s="13"/>
      <c r="J2074" s="13" t="str">
        <f ca="1">IFERROR(__xludf.DUMMYFUNCTION("""COMPUTED_VALUE"""),"Tôi rất nhớ bạn của mình, hy vọng có thể gặp cô ấy sớm.")</f>
        <v>Tôi rất nhớ bạn của mình, hy vọng có thể gặp cô ấy sớm.</v>
      </c>
      <c r="K2074" s="13" t="str">
        <f ca="1">IFERROR(__xludf.DUMMYFUNCTION("""COMPUTED_VALUE"""),"H5_B19_BG-30.png")</f>
        <v>H5_B19_BG-30.png</v>
      </c>
      <c r="L2074" s="13" t="str">
        <f ca="1">IFERROR(__xludf.DUMMYFUNCTION("""COMPUTED_VALUE"""),"B19_30.mp3")</f>
        <v>B19_30.mp3</v>
      </c>
      <c r="M2074" s="13" t="str">
        <f ca="1">IFERROR(__xludf.DUMMYFUNCTION("""COMPUTED_VALUE"""),"B19_VD_30.mp3")</f>
        <v>B19_VD_30.mp3</v>
      </c>
    </row>
    <row r="2075" spans="1:13">
      <c r="A2075" s="13">
        <f ca="1">IFERROR(__xludf.DUMMYFUNCTION("""COMPUTED_VALUE"""),31)</f>
        <v>31</v>
      </c>
      <c r="B2075" s="13"/>
      <c r="C2075" s="13" t="str">
        <f ca="1">IFERROR(__xludf.DUMMYFUNCTION("""COMPUTED_VALUE"""),"青")</f>
        <v>青</v>
      </c>
      <c r="D2075" s="13" t="str">
        <f ca="1">IFERROR(__xludf.DUMMYFUNCTION("""COMPUTED_VALUE"""),"&lt;ruby&gt;青&lt;rt&gt;qīng&lt;/rt&gt;&lt;/ruby&gt;")</f>
        <v>&lt;ruby&gt;青&lt;rt&gt;qīng&lt;/rt&gt;&lt;/ruby&gt;</v>
      </c>
      <c r="E2075" s="13" t="str">
        <f ca="1">IFERROR(__xludf.DUMMYFUNCTION("""COMPUTED_VALUE"""),"qīng")</f>
        <v>qīng</v>
      </c>
      <c r="F2075" s="13" t="str">
        <f ca="1">IFERROR(__xludf.DUMMYFUNCTION("""COMPUTED_VALUE"""),"Tính từ")</f>
        <v>Tính từ</v>
      </c>
      <c r="G2075" s="13" t="str">
        <f ca="1">IFERROR(__xludf.DUMMYFUNCTION("""COMPUTED_VALUE"""),"xanh")</f>
        <v>xanh</v>
      </c>
      <c r="H2075" s="13" t="str">
        <f ca="1">IFERROR(__xludf.DUMMYFUNCTION("""COMPUTED_VALUE"""),"青椒富含维生素C。")</f>
        <v>青椒富含维生素C。</v>
      </c>
      <c r="I2075" s="13"/>
      <c r="J2075" s="13" t="str">
        <f ca="1">IFERROR(__xludf.DUMMYFUNCTION("""COMPUTED_VALUE"""),"Ớt xanh rất giàu vitamin C.")</f>
        <v>Ớt xanh rất giàu vitamin C.</v>
      </c>
      <c r="K2075" s="13" t="str">
        <f ca="1">IFERROR(__xludf.DUMMYFUNCTION("""COMPUTED_VALUE"""),"H5_B19_BG-31.png")</f>
        <v>H5_B19_BG-31.png</v>
      </c>
      <c r="L2075" s="13" t="str">
        <f ca="1">IFERROR(__xludf.DUMMYFUNCTION("""COMPUTED_VALUE"""),"B19_31.mp3")</f>
        <v>B19_31.mp3</v>
      </c>
      <c r="M2075" s="13" t="str">
        <f ca="1">IFERROR(__xludf.DUMMYFUNCTION("""COMPUTED_VALUE"""),"B19_VD_31.mp3")</f>
        <v>B19_VD_31.mp3</v>
      </c>
    </row>
    <row r="2076" spans="1:13">
      <c r="A2076" s="13">
        <f ca="1">IFERROR(__xludf.DUMMYFUNCTION("""COMPUTED_VALUE"""),32)</f>
        <v>32</v>
      </c>
      <c r="B2076" s="13"/>
      <c r="C2076" s="13" t="str">
        <f ca="1">IFERROR(__xludf.DUMMYFUNCTION("""COMPUTED_VALUE"""),"紫")</f>
        <v>紫</v>
      </c>
      <c r="D2076" s="13" t="str">
        <f ca="1">IFERROR(__xludf.DUMMYFUNCTION("""COMPUTED_VALUE"""),"&lt;ruby&gt;紫&lt;rt&gt;zǐ&lt;/rt&gt;&lt;/ruby&gt;")</f>
        <v>&lt;ruby&gt;紫&lt;rt&gt;zǐ&lt;/rt&gt;&lt;/ruby&gt;</v>
      </c>
      <c r="E2076" s="13" t="str">
        <f ca="1">IFERROR(__xludf.DUMMYFUNCTION("""COMPUTED_VALUE"""),"zǐ")</f>
        <v>zǐ</v>
      </c>
      <c r="F2076" s="13" t="str">
        <f ca="1">IFERROR(__xludf.DUMMYFUNCTION("""COMPUTED_VALUE"""),"Tính từ")</f>
        <v>Tính từ</v>
      </c>
      <c r="G2076" s="13" t="str">
        <f ca="1">IFERROR(__xludf.DUMMYFUNCTION("""COMPUTED_VALUE"""),"tím")</f>
        <v>tím</v>
      </c>
      <c r="H2076" s="13" t="str">
        <f ca="1">IFERROR(__xludf.DUMMYFUNCTION("""COMPUTED_VALUE"""),"她穿了一条紫色的裙子，看起来很漂亮。")</f>
        <v>她穿了一条紫色的裙子，看起来很漂亮。</v>
      </c>
      <c r="I2076" s="13"/>
      <c r="J2076" s="13" t="str">
        <f ca="1">IFERROR(__xludf.DUMMYFUNCTION("""COMPUTED_VALUE"""),"Cô ấy mặc một chiếc váy màu tím, trông rất đẹp.")</f>
        <v>Cô ấy mặc một chiếc váy màu tím, trông rất đẹp.</v>
      </c>
      <c r="K2076" s="13" t="str">
        <f ca="1">IFERROR(__xludf.DUMMYFUNCTION("""COMPUTED_VALUE"""),"H5_B19_BG-32.png")</f>
        <v>H5_B19_BG-32.png</v>
      </c>
      <c r="L2076" s="13" t="str">
        <f ca="1">IFERROR(__xludf.DUMMYFUNCTION("""COMPUTED_VALUE"""),"B19_32.mp3")</f>
        <v>B19_32.mp3</v>
      </c>
      <c r="M2076" s="13" t="str">
        <f ca="1">IFERROR(__xludf.DUMMYFUNCTION("""COMPUTED_VALUE"""),"B19_VD_32.mp3")</f>
        <v>B19_VD_32.mp3</v>
      </c>
    </row>
    <row r="2077" spans="1:13">
      <c r="A2077" s="13">
        <f ca="1">IFERROR(__xludf.DUMMYFUNCTION("""COMPUTED_VALUE"""),33)</f>
        <v>33</v>
      </c>
      <c r="B2077" s="13"/>
      <c r="C2077" s="13" t="str">
        <f ca="1">IFERROR(__xludf.DUMMYFUNCTION("""COMPUTED_VALUE"""),"赏心悦目")</f>
        <v>赏心悦目</v>
      </c>
      <c r="D2077" s="13" t="str">
        <f ca="1">IFERROR(__xludf.DUMMYFUNCTION("""COMPUTED_VALUE"""),"&lt;ruby&gt;赏心悦目&lt;rt&gt;shǎngxīn-yuèmù&lt;/rt&gt;&lt;/ruby&gt;")</f>
        <v>&lt;ruby&gt;赏心悦目&lt;rt&gt;shǎngxīn-yuèmù&lt;/rt&gt;&lt;/ruby&gt;</v>
      </c>
      <c r="E2077" s="13" t="str">
        <f ca="1">IFERROR(__xludf.DUMMYFUNCTION("""COMPUTED_VALUE"""),"shǎngxīn-yuèmù")</f>
        <v>shǎngxīn-yuèmù</v>
      </c>
      <c r="F2077" s="13"/>
      <c r="G2077" s="13" t="str">
        <f ca="1">IFERROR(__xludf.DUMMYFUNCTION("""COMPUTED_VALUE"""),"sướng mắt đẹp lòng")</f>
        <v>sướng mắt đẹp lòng</v>
      </c>
      <c r="H2077" s="13" t="str">
        <f ca="1">IFERROR(__xludf.DUMMYFUNCTION("""COMPUTED_VALUE"""),"她的笑容让人赏心悦目。")</f>
        <v>她的笑容让人赏心悦目。</v>
      </c>
      <c r="I2077" s="13"/>
      <c r="J2077" s="13" t="str">
        <f ca="1">IFERROR(__xludf.DUMMYFUNCTION("""COMPUTED_VALUE"""),"Nụ cười của cô ấy thật bắt mắt.")</f>
        <v>Nụ cười của cô ấy thật bắt mắt.</v>
      </c>
      <c r="K2077" s="13" t="str">
        <f ca="1">IFERROR(__xludf.DUMMYFUNCTION("""COMPUTED_VALUE"""),"H5_B19_BG-33.png")</f>
        <v>H5_B19_BG-33.png</v>
      </c>
      <c r="L2077" s="13" t="str">
        <f ca="1">IFERROR(__xludf.DUMMYFUNCTION("""COMPUTED_VALUE"""),"B19_33.mp3")</f>
        <v>B19_33.mp3</v>
      </c>
      <c r="M2077" s="13" t="str">
        <f ca="1">IFERROR(__xludf.DUMMYFUNCTION("""COMPUTED_VALUE"""),"B19_VD_33.mp3")</f>
        <v>B19_VD_33.mp3</v>
      </c>
    </row>
    <row r="2078" spans="1:13">
      <c r="A2078" s="13">
        <f ca="1">IFERROR(__xludf.DUMMYFUNCTION("""COMPUTED_VALUE"""),34)</f>
        <v>34</v>
      </c>
      <c r="B2078" s="13"/>
      <c r="C2078" s="13" t="str">
        <f ca="1">IFERROR(__xludf.DUMMYFUNCTION("""COMPUTED_VALUE"""),"般")</f>
        <v>般</v>
      </c>
      <c r="D2078" s="13" t="str">
        <f ca="1">IFERROR(__xludf.DUMMYFUNCTION("""COMPUTED_VALUE"""),"&lt;ruby&gt;般&lt;rt&gt;bān&lt;/rt&gt;&lt;/ruby&gt;")</f>
        <v>&lt;ruby&gt;般&lt;rt&gt;bān&lt;/rt&gt;&lt;/ruby&gt;</v>
      </c>
      <c r="E2078" s="13" t="str">
        <f ca="1">IFERROR(__xludf.DUMMYFUNCTION("""COMPUTED_VALUE"""),"bān")</f>
        <v>bān</v>
      </c>
      <c r="F2078" s="13" t="str">
        <f ca="1">IFERROR(__xludf.DUMMYFUNCTION("""COMPUTED_VALUE"""),"Trợ từ")</f>
        <v>Trợ từ</v>
      </c>
      <c r="G2078" s="13" t="str">
        <f ca="1">IFERROR(__xludf.DUMMYFUNCTION("""COMPUTED_VALUE"""),"giống nhau, tựa như")</f>
        <v>giống nhau, tựa như</v>
      </c>
      <c r="H2078" s="13" t="str">
        <f ca="1">IFERROR(__xludf.DUMMYFUNCTION("""COMPUTED_VALUE"""),"他跑得像风一般快。")</f>
        <v>他跑得像风一般快。</v>
      </c>
      <c r="I2078" s="13"/>
      <c r="J2078" s="13" t="str">
        <f ca="1">IFERROR(__xludf.DUMMYFUNCTION("""COMPUTED_VALUE"""),"Cậu ấy chạy nhanh như gió.")</f>
        <v>Cậu ấy chạy nhanh như gió.</v>
      </c>
      <c r="K2078" s="13" t="str">
        <f ca="1">IFERROR(__xludf.DUMMYFUNCTION("""COMPUTED_VALUE"""),"H5_B19_BG-34.png")</f>
        <v>H5_B19_BG-34.png</v>
      </c>
      <c r="L2078" s="13" t="str">
        <f ca="1">IFERROR(__xludf.DUMMYFUNCTION("""COMPUTED_VALUE"""),"B19_34.mp3")</f>
        <v>B19_34.mp3</v>
      </c>
      <c r="M2078" s="13" t="str">
        <f ca="1">IFERROR(__xludf.DUMMYFUNCTION("""COMPUTED_VALUE"""),"B19_VD_34.mp3")</f>
        <v>B19_VD_34.mp3</v>
      </c>
    </row>
    <row r="2079" spans="1:13">
      <c r="A2079" s="13">
        <f ca="1">IFERROR(__xludf.DUMMYFUNCTION("""COMPUTED_VALUE"""),35)</f>
        <v>35</v>
      </c>
      <c r="B2079" s="13"/>
      <c r="C2079" s="13" t="str">
        <f ca="1">IFERROR(__xludf.DUMMYFUNCTION("""COMPUTED_VALUE"""),"夸")</f>
        <v>夸</v>
      </c>
      <c r="D2079" s="13" t="str">
        <f ca="1">IFERROR(__xludf.DUMMYFUNCTION("""COMPUTED_VALUE"""),"&lt;ruby&gt;夸&lt;rt&gt;kuā&lt;/rt&gt;&lt;/ruby&gt;")</f>
        <v>&lt;ruby&gt;夸&lt;rt&gt;kuā&lt;/rt&gt;&lt;/ruby&gt;</v>
      </c>
      <c r="E2079" s="13" t="str">
        <f ca="1">IFERROR(__xludf.DUMMYFUNCTION("""COMPUTED_VALUE"""),"kuā")</f>
        <v>kuā</v>
      </c>
      <c r="F2079" s="13" t="str">
        <f ca="1">IFERROR(__xludf.DUMMYFUNCTION("""COMPUTED_VALUE"""),"Động từ")</f>
        <v>Động từ</v>
      </c>
      <c r="G2079" s="13" t="str">
        <f ca="1">IFERROR(__xludf.DUMMYFUNCTION("""COMPUTED_VALUE"""),"khen ngợi")</f>
        <v>khen ngợi</v>
      </c>
      <c r="H2079" s="13" t="str">
        <f ca="1">IFERROR(__xludf.DUMMYFUNCTION("""COMPUTED_VALUE"""),"他夸奖了团队成员的表现。")</f>
        <v>他夸奖了团队成员的表现。</v>
      </c>
      <c r="I2079" s="13"/>
      <c r="J2079" s="13" t="str">
        <f ca="1">IFERROR(__xludf.DUMMYFUNCTION("""COMPUTED_VALUE"""),"Anh ấy khen ngợi sự thể hiện của các thành viên.")</f>
        <v>Anh ấy khen ngợi sự thể hiện của các thành viên.</v>
      </c>
      <c r="K2079" s="13" t="str">
        <f ca="1">IFERROR(__xludf.DUMMYFUNCTION("""COMPUTED_VALUE"""),"H5_B19_BG-35.png")</f>
        <v>H5_B19_BG-35.png</v>
      </c>
      <c r="L2079" s="13" t="str">
        <f ca="1">IFERROR(__xludf.DUMMYFUNCTION("""COMPUTED_VALUE"""),"B19_35.mp3")</f>
        <v>B19_35.mp3</v>
      </c>
      <c r="M2079" s="13" t="str">
        <f ca="1">IFERROR(__xludf.DUMMYFUNCTION("""COMPUTED_VALUE"""),"B19_VD_35.mp3")</f>
        <v>B19_VD_35.mp3</v>
      </c>
    </row>
    <row r="2080" spans="1:13">
      <c r="A2080" s="13">
        <f ca="1">IFERROR(__xludf.DUMMYFUNCTION("""COMPUTED_VALUE"""),36)</f>
        <v>36</v>
      </c>
      <c r="B2080" s="13"/>
      <c r="C2080" s="13" t="str">
        <f ca="1">IFERROR(__xludf.DUMMYFUNCTION("""COMPUTED_VALUE"""),"折叠")</f>
        <v>折叠</v>
      </c>
      <c r="D2080" s="13" t="str">
        <f ca="1">IFERROR(__xludf.DUMMYFUNCTION("""COMPUTED_VALUE"""),"&lt;ruby&gt;折叠&lt;rt&gt;zhédié&lt;/rt&gt;&lt;/ruby&gt;")</f>
        <v>&lt;ruby&gt;折叠&lt;rt&gt;zhédié&lt;/rt&gt;&lt;/ruby&gt;</v>
      </c>
      <c r="E2080" s="13" t="str">
        <f ca="1">IFERROR(__xludf.DUMMYFUNCTION("""COMPUTED_VALUE"""),"zhédié")</f>
        <v>zhédié</v>
      </c>
      <c r="F2080" s="13" t="str">
        <f ca="1">IFERROR(__xludf.DUMMYFUNCTION("""COMPUTED_VALUE"""),"Động từ")</f>
        <v>Động từ</v>
      </c>
      <c r="G2080" s="13" t="str">
        <f ca="1">IFERROR(__xludf.DUMMYFUNCTION("""COMPUTED_VALUE"""),"gấp, xếp")</f>
        <v>gấp, xếp</v>
      </c>
      <c r="H2080" s="13" t="str">
        <f ca="1">IFERROR(__xludf.DUMMYFUNCTION("""COMPUTED_VALUE"""),"衣服已经被我折叠得很整齐了。")</f>
        <v>衣服已经被我折叠得很整齐了。</v>
      </c>
      <c r="I2080" s="13"/>
      <c r="J2080" s="13" t="str">
        <f ca="1">IFERROR(__xludf.DUMMYFUNCTION("""COMPUTED_VALUE"""),"Quần áo đã được tôi gấp rất gọn gàng.")</f>
        <v>Quần áo đã được tôi gấp rất gọn gàng.</v>
      </c>
      <c r="K2080" s="13" t="str">
        <f ca="1">IFERROR(__xludf.DUMMYFUNCTION("""COMPUTED_VALUE"""),"H5_B19_BG-36.png")</f>
        <v>H5_B19_BG-36.png</v>
      </c>
      <c r="L2080" s="13" t="str">
        <f ca="1">IFERROR(__xludf.DUMMYFUNCTION("""COMPUTED_VALUE"""),"B19_36.mp3")</f>
        <v>B19_36.mp3</v>
      </c>
      <c r="M2080" s="13" t="str">
        <f ca="1">IFERROR(__xludf.DUMMYFUNCTION("""COMPUTED_VALUE"""),"B19_VD_36.mp3")</f>
        <v>B19_VD_36.mp3</v>
      </c>
    </row>
    <row r="2081" spans="1:13">
      <c r="A2081" s="13">
        <f ca="1">IFERROR(__xludf.DUMMYFUNCTION("""COMPUTED_VALUE"""),37)</f>
        <v>37</v>
      </c>
      <c r="B2081" s="13"/>
      <c r="C2081" s="13" t="str">
        <f ca="1">IFERROR(__xludf.DUMMYFUNCTION("""COMPUTED_VALUE"""),"透明")</f>
        <v>透明</v>
      </c>
      <c r="D2081" s="13" t="str">
        <f ca="1">IFERROR(__xludf.DUMMYFUNCTION("""COMPUTED_VALUE"""),"&lt;ruby&gt;透明&lt;rt&gt;tòumíng&lt;/rt&gt;&lt;/ruby&gt;")</f>
        <v>&lt;ruby&gt;透明&lt;rt&gt;tòumíng&lt;/rt&gt;&lt;/ruby&gt;</v>
      </c>
      <c r="E2081" s="13" t="str">
        <f ca="1">IFERROR(__xludf.DUMMYFUNCTION("""COMPUTED_VALUE"""),"tòumíng")</f>
        <v>tòumíng</v>
      </c>
      <c r="F2081" s="13" t="str">
        <f ca="1">IFERROR(__xludf.DUMMYFUNCTION("""COMPUTED_VALUE"""),"Tính từ")</f>
        <v>Tính từ</v>
      </c>
      <c r="G2081" s="13" t="str">
        <f ca="1">IFERROR(__xludf.DUMMYFUNCTION("""COMPUTED_VALUE"""),"trong suốt")</f>
        <v>trong suốt</v>
      </c>
      <c r="H2081" s="13" t="str">
        <f ca="1">IFERROR(__xludf.DUMMYFUNCTION("""COMPUTED_VALUE"""),"这杯水很透明，可以看到里面的冰块。")</f>
        <v>这杯水很透明，可以看到里面的冰块。</v>
      </c>
      <c r="I2081" s="13"/>
      <c r="J2081" s="13" t="str">
        <f ca="1">IFERROR(__xludf.DUMMYFUNCTION("""COMPUTED_VALUE"""),"Cốc nước này rất trong suốt, có thể nhìn thấy các viên đá bên trong.")</f>
        <v>Cốc nước này rất trong suốt, có thể nhìn thấy các viên đá bên trong.</v>
      </c>
      <c r="K2081" s="13" t="str">
        <f ca="1">IFERROR(__xludf.DUMMYFUNCTION("""COMPUTED_VALUE"""),"H5_B19_BG-37.png")</f>
        <v>H5_B19_BG-37.png</v>
      </c>
      <c r="L2081" s="13" t="str">
        <f ca="1">IFERROR(__xludf.DUMMYFUNCTION("""COMPUTED_VALUE"""),"B19_37.mp3")</f>
        <v>B19_37.mp3</v>
      </c>
      <c r="M2081" s="13" t="str">
        <f ca="1">IFERROR(__xludf.DUMMYFUNCTION("""COMPUTED_VALUE"""),"B19_VD_37.mp3")</f>
        <v>B19_VD_37.mp3</v>
      </c>
    </row>
    <row r="2082" spans="1:13">
      <c r="A2082" s="13">
        <f ca="1">IFERROR(__xludf.DUMMYFUNCTION("""COMPUTED_VALUE"""),38)</f>
        <v>38</v>
      </c>
      <c r="B2082" s="13"/>
      <c r="C2082" s="13" t="str">
        <f ca="1">IFERROR(__xludf.DUMMYFUNCTION("""COMPUTED_VALUE"""),"圈")</f>
        <v>圈</v>
      </c>
      <c r="D2082" s="13" t="str">
        <f ca="1">IFERROR(__xludf.DUMMYFUNCTION("""COMPUTED_VALUE"""),"&lt;ruby&gt;圈&lt;rt&gt;quān&lt;/rt&gt;&lt;/ruby&gt;")</f>
        <v>&lt;ruby&gt;圈&lt;rt&gt;quān&lt;/rt&gt;&lt;/ruby&gt;</v>
      </c>
      <c r="E2082" s="13" t="str">
        <f ca="1">IFERROR(__xludf.DUMMYFUNCTION("""COMPUTED_VALUE"""),"quān")</f>
        <v>quān</v>
      </c>
      <c r="F2082" s="13" t="str">
        <f ca="1">IFERROR(__xludf.DUMMYFUNCTION("""COMPUTED_VALUE"""),"Danh từ")</f>
        <v>Danh từ</v>
      </c>
      <c r="G2082" s="13" t="str">
        <f ca="1">IFERROR(__xludf.DUMMYFUNCTION("""COMPUTED_VALUE"""),"vòng")</f>
        <v>vòng</v>
      </c>
      <c r="H2082" s="13" t="str">
        <f ca="1">IFERROR(__xludf.DUMMYFUNCTION("""COMPUTED_VALUE"""),"他画了一个大圆圈。")</f>
        <v>他画了一个大圆圈。</v>
      </c>
      <c r="I2082" s="13"/>
      <c r="J2082" s="13" t="str">
        <f ca="1">IFERROR(__xludf.DUMMYFUNCTION("""COMPUTED_VALUE"""),"Anh ấy vẽ một vòng tròn lớn.")</f>
        <v>Anh ấy vẽ một vòng tròn lớn.</v>
      </c>
      <c r="K2082" s="13" t="str">
        <f ca="1">IFERROR(__xludf.DUMMYFUNCTION("""COMPUTED_VALUE"""),"H5_B19_BG-38.png")</f>
        <v>H5_B19_BG-38.png</v>
      </c>
      <c r="L2082" s="13" t="str">
        <f ca="1">IFERROR(__xludf.DUMMYFUNCTION("""COMPUTED_VALUE"""),"B19_38.mp3")</f>
        <v>B19_38.mp3</v>
      </c>
      <c r="M2082" s="13" t="str">
        <f ca="1">IFERROR(__xludf.DUMMYFUNCTION("""COMPUTED_VALUE"""),"B19_VD_38.mp3")</f>
        <v>B19_VD_38.mp3</v>
      </c>
    </row>
    <row r="2083" spans="1:13">
      <c r="A2083" s="13">
        <f ca="1">IFERROR(__xludf.DUMMYFUNCTION("""COMPUTED_VALUE"""),39)</f>
        <v>39</v>
      </c>
      <c r="B2083" s="13"/>
      <c r="C2083" s="13" t="str">
        <f ca="1">IFERROR(__xludf.DUMMYFUNCTION("""COMPUTED_VALUE"""),"预防")</f>
        <v>预防</v>
      </c>
      <c r="D2083" s="13" t="str">
        <f ca="1">IFERROR(__xludf.DUMMYFUNCTION("""COMPUTED_VALUE"""),"&lt;ruby&gt;预防&lt;rt&gt;yùfáng&lt;/rt&gt;&lt;/ruby&gt;")</f>
        <v>&lt;ruby&gt;预防&lt;rt&gt;yùfáng&lt;/rt&gt;&lt;/ruby&gt;</v>
      </c>
      <c r="E2083" s="13" t="str">
        <f ca="1">IFERROR(__xludf.DUMMYFUNCTION("""COMPUTED_VALUE"""),"yùfáng")</f>
        <v>yùfáng</v>
      </c>
      <c r="F2083" s="13" t="str">
        <f ca="1">IFERROR(__xludf.DUMMYFUNCTION("""COMPUTED_VALUE"""),"Động từ")</f>
        <v>Động từ</v>
      </c>
      <c r="G2083" s="13" t="str">
        <f ca="1">IFERROR(__xludf.DUMMYFUNCTION("""COMPUTED_VALUE"""),"đề phòng, ngăn ngừa")</f>
        <v>đề phòng, ngăn ngừa</v>
      </c>
      <c r="H2083" s="13" t="str">
        <f ca="1">IFERROR(__xludf.DUMMYFUNCTION("""COMPUTED_VALUE"""),"常洗手可以预防传染病。")</f>
        <v>常洗手可以预防传染病。</v>
      </c>
      <c r="I2083" s="13"/>
      <c r="J2083" s="13" t="str">
        <f ca="1">IFERROR(__xludf.DUMMYFUNCTION("""COMPUTED_VALUE"""),"Rửa tay thường xuyên ngừa bệnh truyền nhiễm.")</f>
        <v>Rửa tay thường xuyên ngừa bệnh truyền nhiễm.</v>
      </c>
      <c r="K2083" s="13" t="str">
        <f ca="1">IFERROR(__xludf.DUMMYFUNCTION("""COMPUTED_VALUE"""),"H5_B19_BG-39.png")</f>
        <v>H5_B19_BG-39.png</v>
      </c>
      <c r="L2083" s="13" t="str">
        <f ca="1">IFERROR(__xludf.DUMMYFUNCTION("""COMPUTED_VALUE"""),"B19_39.mp3")</f>
        <v>B19_39.mp3</v>
      </c>
      <c r="M2083" s="13" t="str">
        <f ca="1">IFERROR(__xludf.DUMMYFUNCTION("""COMPUTED_VALUE"""),"B19_VD_39.mp3")</f>
        <v>B19_VD_39.mp3</v>
      </c>
    </row>
    <row r="2084" spans="1:13">
      <c r="A2084" s="13">
        <f ca="1">IFERROR(__xludf.DUMMYFUNCTION("""COMPUTED_VALUE"""),40)</f>
        <v>40</v>
      </c>
      <c r="B2084" s="13"/>
      <c r="C2084" s="13" t="str">
        <f ca="1">IFERROR(__xludf.DUMMYFUNCTION("""COMPUTED_VALUE"""),"闻")</f>
        <v>闻</v>
      </c>
      <c r="D2084" s="13" t="str">
        <f ca="1">IFERROR(__xludf.DUMMYFUNCTION("""COMPUTED_VALUE"""),"&lt;ruby&gt;闻&lt;rt&gt;wén&lt;/rt&gt;&lt;/ruby&gt;")</f>
        <v>&lt;ruby&gt;闻&lt;rt&gt;wén&lt;/rt&gt;&lt;/ruby&gt;</v>
      </c>
      <c r="E2084" s="13" t="str">
        <f ca="1">IFERROR(__xludf.DUMMYFUNCTION("""COMPUTED_VALUE"""),"wén")</f>
        <v>wén</v>
      </c>
      <c r="F2084" s="13" t="str">
        <f ca="1">IFERROR(__xludf.DUMMYFUNCTION("""COMPUTED_VALUE"""),"Động từ")</f>
        <v>Động từ</v>
      </c>
      <c r="G2084" s="13" t="str">
        <f ca="1">IFERROR(__xludf.DUMMYFUNCTION("""COMPUTED_VALUE"""),"ngửi")</f>
        <v>ngửi</v>
      </c>
      <c r="H2084" s="13" t="str">
        <f ca="1">IFERROR(__xludf.DUMMYFUNCTION("""COMPUTED_VALUE"""),"我闻到了咖啡的香味。")</f>
        <v>我闻到了咖啡的香味。</v>
      </c>
      <c r="I2084" s="13"/>
      <c r="J2084" s="13" t="str">
        <f ca="1">IFERROR(__xludf.DUMMYFUNCTION("""COMPUTED_VALUE"""),"Tôi ngửi thấy hương cà phê.")</f>
        <v>Tôi ngửi thấy hương cà phê.</v>
      </c>
      <c r="K2084" s="13" t="str">
        <f ca="1">IFERROR(__xludf.DUMMYFUNCTION("""COMPUTED_VALUE"""),"H5_B19_BG-40.png")</f>
        <v>H5_B19_BG-40.png</v>
      </c>
      <c r="L2084" s="13" t="str">
        <f ca="1">IFERROR(__xludf.DUMMYFUNCTION("""COMPUTED_VALUE"""),"B19_40.mp3")</f>
        <v>B19_40.mp3</v>
      </c>
      <c r="M2084" s="13" t="str">
        <f ca="1">IFERROR(__xludf.DUMMYFUNCTION("""COMPUTED_VALUE"""),"B19_VD_40.mp3")</f>
        <v>B19_VD_40.mp3</v>
      </c>
    </row>
    <row r="2085" spans="1:13">
      <c r="A2085" s="13">
        <f ca="1">IFERROR(__xludf.DUMMYFUNCTION("""COMPUTED_VALUE"""),41)</f>
        <v>41</v>
      </c>
      <c r="B2085" s="13"/>
      <c r="C2085" s="13" t="str">
        <f ca="1">IFERROR(__xludf.DUMMYFUNCTION("""COMPUTED_VALUE"""),"趁")</f>
        <v>趁</v>
      </c>
      <c r="D2085" s="13" t="str">
        <f ca="1">IFERROR(__xludf.DUMMYFUNCTION("""COMPUTED_VALUE"""),"&lt;ruby&gt;趁&lt;rt&gt;chèn&lt;/rt&gt;&lt;/ruby&gt;")</f>
        <v>&lt;ruby&gt;趁&lt;rt&gt;chèn&lt;/rt&gt;&lt;/ruby&gt;</v>
      </c>
      <c r="E2085" s="13" t="str">
        <f ca="1">IFERROR(__xludf.DUMMYFUNCTION("""COMPUTED_VALUE"""),"chèn")</f>
        <v>chèn</v>
      </c>
      <c r="F2085" s="13" t="str">
        <f ca="1">IFERROR(__xludf.DUMMYFUNCTION("""COMPUTED_VALUE"""),"Giới từ")</f>
        <v>Giới từ</v>
      </c>
      <c r="G2085" s="13" t="str">
        <f ca="1">IFERROR(__xludf.DUMMYFUNCTION("""COMPUTED_VALUE"""),"nhân (lúc), thừa (dịp)")</f>
        <v>nhân (lúc), thừa (dịp)</v>
      </c>
      <c r="H2085" s="13" t="str">
        <f ca="1">IFERROR(__xludf.DUMMYFUNCTION("""COMPUTED_VALUE"""),"趁年轻，我们应该多学习，增加自己的知识。")</f>
        <v>趁年轻，我们应该多学习，增加自己的知识。</v>
      </c>
      <c r="I2085" s="13"/>
      <c r="J2085" s="13" t="str">
        <f ca="1">IFERROR(__xludf.DUMMYFUNCTION("""COMPUTED_VALUE"""),"Nhân lúc còn trẻ, chúng ta nên học hỏi nhiều hơn để tăng cường kiến thức của bản thân.")</f>
        <v>Nhân lúc còn trẻ, chúng ta nên học hỏi nhiều hơn để tăng cường kiến thức của bản thân.</v>
      </c>
      <c r="K2085" s="13" t="str">
        <f ca="1">IFERROR(__xludf.DUMMYFUNCTION("""COMPUTED_VALUE"""),"H5_B19_BG-41.png")</f>
        <v>H5_B19_BG-41.png</v>
      </c>
      <c r="L2085" s="13" t="str">
        <f ca="1">IFERROR(__xludf.DUMMYFUNCTION("""COMPUTED_VALUE"""),"B19_41.mp3")</f>
        <v>B19_41.mp3</v>
      </c>
      <c r="M2085" s="13" t="str">
        <f ca="1">IFERROR(__xludf.DUMMYFUNCTION("""COMPUTED_VALUE"""),"B19_VD_41.mp3")</f>
        <v>B19_VD_41.mp3</v>
      </c>
    </row>
    <row r="2086" spans="1:13">
      <c r="A2086" s="13">
        <f ca="1">IFERROR(__xludf.DUMMYFUNCTION("""COMPUTED_VALUE"""),42)</f>
        <v>42</v>
      </c>
      <c r="B2086" s="13"/>
      <c r="C2086" s="13" t="str">
        <f ca="1">IFERROR(__xludf.DUMMYFUNCTION("""COMPUTED_VALUE"""),"特色")</f>
        <v>特色</v>
      </c>
      <c r="D2086" s="13" t="str">
        <f ca="1">IFERROR(__xludf.DUMMYFUNCTION("""COMPUTED_VALUE"""),"&lt;ruby&gt;特色&lt;rt&gt;tèsè&lt;/rt&gt;&lt;/ruby&gt;")</f>
        <v>&lt;ruby&gt;特色&lt;rt&gt;tèsè&lt;/rt&gt;&lt;/ruby&gt;</v>
      </c>
      <c r="E2086" s="13" t="str">
        <f ca="1">IFERROR(__xludf.DUMMYFUNCTION("""COMPUTED_VALUE"""),"tèsè")</f>
        <v>tèsè</v>
      </c>
      <c r="F2086" s="13" t="str">
        <f ca="1">IFERROR(__xludf.DUMMYFUNCTION("""COMPUTED_VALUE"""),"Danh từ")</f>
        <v>Danh từ</v>
      </c>
      <c r="G2086" s="13" t="str">
        <f ca="1">IFERROR(__xludf.DUMMYFUNCTION("""COMPUTED_VALUE"""),"đặc điểm, đặc trưng")</f>
        <v>đặc điểm, đặc trưng</v>
      </c>
      <c r="H2086" s="13" t="str">
        <f ca="1">IFERROR(__xludf.DUMMYFUNCTION("""COMPUTED_VALUE"""),"这家餐馆的特色是紫菜包饭。")</f>
        <v>这家餐馆的特色是紫菜包饭。</v>
      </c>
      <c r="I2086" s="13"/>
      <c r="J2086" s="13" t="str">
        <f ca="1">IFERROR(__xludf.DUMMYFUNCTION("""COMPUTED_VALUE"""),"Đặc trưng của nhà hàng này là kimbap")</f>
        <v>Đặc trưng của nhà hàng này là kimbap</v>
      </c>
      <c r="K2086" s="13" t="str">
        <f ca="1">IFERROR(__xludf.DUMMYFUNCTION("""COMPUTED_VALUE"""),"H5_B19_BG-42.png")</f>
        <v>H5_B19_BG-42.png</v>
      </c>
      <c r="L2086" s="13" t="str">
        <f ca="1">IFERROR(__xludf.DUMMYFUNCTION("""COMPUTED_VALUE"""),"B19_42.mp3")</f>
        <v>B19_42.mp3</v>
      </c>
      <c r="M2086" s="13" t="str">
        <f ca="1">IFERROR(__xludf.DUMMYFUNCTION("""COMPUTED_VALUE"""),"B19_VD_42.mp3")</f>
        <v>B19_VD_42.mp3</v>
      </c>
    </row>
    <row r="2087" spans="1:13">
      <c r="A2087" s="13">
        <f ca="1">IFERROR(__xludf.DUMMYFUNCTION("""COMPUTED_VALUE"""),43)</f>
        <v>43</v>
      </c>
      <c r="B2087" s="13"/>
      <c r="C2087" s="13" t="str">
        <f ca="1">IFERROR(__xludf.DUMMYFUNCTION("""COMPUTED_VALUE"""),"痰")</f>
        <v>痰</v>
      </c>
      <c r="D2087" s="13" t="str">
        <f ca="1">IFERROR(__xludf.DUMMYFUNCTION("""COMPUTED_VALUE"""),"&lt;ruby&gt;痰&lt;rt&gt;tán&lt;/rt&gt;&lt;/ruby&gt;")</f>
        <v>&lt;ruby&gt;痰&lt;rt&gt;tán&lt;/rt&gt;&lt;/ruby&gt;</v>
      </c>
      <c r="E2087" s="13" t="str">
        <f ca="1">IFERROR(__xludf.DUMMYFUNCTION("""COMPUTED_VALUE"""),"tán")</f>
        <v>tán</v>
      </c>
      <c r="F2087" s="13" t="str">
        <f ca="1">IFERROR(__xludf.DUMMYFUNCTION("""COMPUTED_VALUE"""),"Danh từ")</f>
        <v>Danh từ</v>
      </c>
      <c r="G2087" s="13" t="str">
        <f ca="1">IFERROR(__xludf.DUMMYFUNCTION("""COMPUTED_VALUE"""),"đàm, đờm")</f>
        <v>đàm, đờm</v>
      </c>
      <c r="H2087" s="13" t="str">
        <f ca="1">IFERROR(__xludf.DUMMYFUNCTION("""COMPUTED_VALUE"""),"喉咙里有痰让人感觉很不舒服。")</f>
        <v>喉咙里有痰让人感觉很不舒服。</v>
      </c>
      <c r="I2087" s="13"/>
      <c r="J2087" s="13" t="str">
        <f ca="1">IFERROR(__xludf.DUMMYFUNCTION("""COMPUTED_VALUE"""),"Đờm mắc trong cổ họng rất khó chịu.")</f>
        <v>Đờm mắc trong cổ họng rất khó chịu.</v>
      </c>
      <c r="K2087" s="13" t="str">
        <f ca="1">IFERROR(__xludf.DUMMYFUNCTION("""COMPUTED_VALUE"""),"H5_B19_BG-43.png")</f>
        <v>H5_B19_BG-43.png</v>
      </c>
      <c r="L2087" s="13" t="str">
        <f ca="1">IFERROR(__xludf.DUMMYFUNCTION("""COMPUTED_VALUE"""),"B19_43.mp3")</f>
        <v>B19_43.mp3</v>
      </c>
      <c r="M2087" s="13" t="str">
        <f ca="1">IFERROR(__xludf.DUMMYFUNCTION("""COMPUTED_VALUE"""),"B19_VD_43.mp3")</f>
        <v>B19_VD_43.mp3</v>
      </c>
    </row>
    <row r="2088" spans="1:13">
      <c r="A2088" s="13">
        <f ca="1">IFERROR(__xludf.DUMMYFUNCTION("""COMPUTED_VALUE"""),44)</f>
        <v>44</v>
      </c>
      <c r="B2088" s="13"/>
      <c r="C2088" s="13" t="str">
        <f ca="1">IFERROR(__xludf.DUMMYFUNCTION("""COMPUTED_VALUE"""),"平安")</f>
        <v>平安</v>
      </c>
      <c r="D2088" s="13" t="str">
        <f ca="1">IFERROR(__xludf.DUMMYFUNCTION("""COMPUTED_VALUE"""),"&lt;ruby&gt;平安&lt;rt&gt;píng'ān&lt;/rt&gt;&lt;/ruby&gt;")</f>
        <v>&lt;ruby&gt;平安&lt;rt&gt;píng'ān&lt;/rt&gt;&lt;/ruby&gt;</v>
      </c>
      <c r="E2088" s="13" t="str">
        <f ca="1">IFERROR(__xludf.DUMMYFUNCTION("""COMPUTED_VALUE"""),"píng'ān")</f>
        <v>píng'ān</v>
      </c>
      <c r="F2088" s="13" t="str">
        <f ca="1">IFERROR(__xludf.DUMMYFUNCTION("""COMPUTED_VALUE"""),"Tính từ")</f>
        <v>Tính từ</v>
      </c>
      <c r="G2088" s="13" t="str">
        <f ca="1">IFERROR(__xludf.DUMMYFUNCTION("""COMPUTED_VALUE"""),"bình an, an toàn")</f>
        <v>bình an, an toàn</v>
      </c>
      <c r="H2088" s="13" t="str">
        <f ca="1">IFERROR(__xludf.DUMMYFUNCTION("""COMPUTED_VALUE"""),"发个短信告诉他你平安无事。")</f>
        <v>发个短信告诉他你平安无事。</v>
      </c>
      <c r="I2088" s="13"/>
      <c r="J2088" s="13" t="str">
        <f ca="1">IFERROR(__xludf.DUMMYFUNCTION("""COMPUTED_VALUE"""),"Nhắn tin báo bình an cho anh ấy")</f>
        <v>Nhắn tin báo bình an cho anh ấy</v>
      </c>
      <c r="K2088" s="13" t="str">
        <f ca="1">IFERROR(__xludf.DUMMYFUNCTION("""COMPUTED_VALUE"""),"H5_B19_BG-44.png")</f>
        <v>H5_B19_BG-44.png</v>
      </c>
      <c r="L2088" s="13" t="str">
        <f ca="1">IFERROR(__xludf.DUMMYFUNCTION("""COMPUTED_VALUE"""),"B19_44.mp3")</f>
        <v>B19_44.mp3</v>
      </c>
      <c r="M2088" s="13" t="str">
        <f ca="1">IFERROR(__xludf.DUMMYFUNCTION("""COMPUTED_VALUE"""),"B19_VD_44.mp3")</f>
        <v>B19_VD_44.mp3</v>
      </c>
    </row>
    <row r="2089" spans="1:13">
      <c r="A2089" s="13">
        <f ca="1">IFERROR(__xludf.DUMMYFUNCTION("""COMPUTED_VALUE"""),1)</f>
        <v>1</v>
      </c>
      <c r="B2089" s="13"/>
      <c r="C2089" s="13" t="str">
        <f ca="1">IFERROR(__xludf.DUMMYFUNCTION("""COMPUTED_VALUE"""),"无数")</f>
        <v>无数</v>
      </c>
      <c r="D2089" s="13" t="str">
        <f ca="1">IFERROR(__xludf.DUMMYFUNCTION("""COMPUTED_VALUE"""),"&lt;ruby&gt;无数&lt;rt&gt;wúshù&lt;/rt&gt;&lt;/ruby&gt;")</f>
        <v>&lt;ruby&gt;无数&lt;rt&gt;wúshù&lt;/rt&gt;&lt;/ruby&gt;</v>
      </c>
      <c r="E2089" s="13" t="str">
        <f ca="1">IFERROR(__xludf.DUMMYFUNCTION("""COMPUTED_VALUE"""),"wúshù")</f>
        <v>wúshù</v>
      </c>
      <c r="F2089" s="13" t="str">
        <f ca="1">IFERROR(__xludf.DUMMYFUNCTION("""COMPUTED_VALUE"""),"Tính từ")</f>
        <v>Tính từ</v>
      </c>
      <c r="G2089" s="13" t="str">
        <f ca="1">IFERROR(__xludf.DUMMYFUNCTION("""COMPUTED_VALUE"""),"vô số")</f>
        <v>vô số</v>
      </c>
      <c r="H2089" s="13" t="str">
        <f ca="1">IFERROR(__xludf.DUMMYFUNCTION("""COMPUTED_VALUE"""),"夜空中有无数颗星星，像钻石一样闪耀。")</f>
        <v>夜空中有无数颗星星，像钻石一样闪耀。</v>
      </c>
      <c r="I2089" s="13"/>
      <c r="J2089" s="13" t="str">
        <f ca="1">IFERROR(__xludf.DUMMYFUNCTION("""COMPUTED_VALUE"""),"Trên bầu trời đêm có vô số ngôi sao, chúng sáng lấp lánh như những viên kim cương.")</f>
        <v>Trên bầu trời đêm có vô số ngôi sao, chúng sáng lấp lánh như những viên kim cương.</v>
      </c>
      <c r="K2089" s="13" t="str">
        <f ca="1">IFERROR(__xludf.DUMMYFUNCTION("""COMPUTED_VALUE"""),"H5_B20_BG-01.png")</f>
        <v>H5_B20_BG-01.png</v>
      </c>
      <c r="L2089" s="13" t="str">
        <f ca="1">IFERROR(__xludf.DUMMYFUNCTION("""COMPUTED_VALUE"""),"B20_1.mp3")</f>
        <v>B20_1.mp3</v>
      </c>
      <c r="M2089" s="13" t="str">
        <f ca="1">IFERROR(__xludf.DUMMYFUNCTION("""COMPUTED_VALUE"""),"B20_VD_1.mp3")</f>
        <v>B20_VD_1.mp3</v>
      </c>
    </row>
    <row r="2090" spans="1:13">
      <c r="A2090" s="13">
        <f ca="1">IFERROR(__xludf.DUMMYFUNCTION("""COMPUTED_VALUE"""),2)</f>
        <v>2</v>
      </c>
      <c r="B2090" s="13"/>
      <c r="C2090" s="13" t="str">
        <f ca="1">IFERROR(__xludf.DUMMYFUNCTION("""COMPUTED_VALUE"""),"毫无")</f>
        <v>毫无</v>
      </c>
      <c r="D2090" s="13" t="str">
        <f ca="1">IFERROR(__xludf.DUMMYFUNCTION("""COMPUTED_VALUE"""),"&lt;ruby&gt;毫无&lt;rt&gt;háowú&lt;/rt&gt;&lt;/ruby&gt;")</f>
        <v>&lt;ruby&gt;毫无&lt;rt&gt;háowú&lt;/rt&gt;&lt;/ruby&gt;</v>
      </c>
      <c r="E2090" s="13" t="str">
        <f ca="1">IFERROR(__xludf.DUMMYFUNCTION("""COMPUTED_VALUE"""),"háowú")</f>
        <v>háowú</v>
      </c>
      <c r="F2090" s="13"/>
      <c r="G2090" s="13" t="str">
        <f ca="1">IFERROR(__xludf.DUMMYFUNCTION("""COMPUTED_VALUE"""),"không chút")</f>
        <v>không chút</v>
      </c>
      <c r="H2090" s="13" t="str">
        <f ca="1">IFERROR(__xludf.DUMMYFUNCTION("""COMPUTED_VALUE"""),"这件衣服我毫无兴趣，完全不想买。")</f>
        <v>这件衣服我毫无兴趣，完全不想买。</v>
      </c>
      <c r="I2090" s="13"/>
      <c r="J2090" s="13" t="str">
        <f ca="1">IFERROR(__xludf.DUMMYFUNCTION("""COMPUTED_VALUE"""),"Chiếc váy này tôi không chút hứng thú, hoàn toàn không muốn mua.")</f>
        <v>Chiếc váy này tôi không chút hứng thú, hoàn toàn không muốn mua.</v>
      </c>
      <c r="K2090" s="13" t="str">
        <f ca="1">IFERROR(__xludf.DUMMYFUNCTION("""COMPUTED_VALUE"""),"H5_B20_BG-02.png")</f>
        <v>H5_B20_BG-02.png</v>
      </c>
      <c r="L2090" s="13" t="str">
        <f ca="1">IFERROR(__xludf.DUMMYFUNCTION("""COMPUTED_VALUE"""),"B20_2.mp3")</f>
        <v>B20_2.mp3</v>
      </c>
      <c r="M2090" s="13" t="str">
        <f ca="1">IFERROR(__xludf.DUMMYFUNCTION("""COMPUTED_VALUE"""),"B20_VD_2.mp3")</f>
        <v>B20_VD_2.mp3</v>
      </c>
    </row>
    <row r="2091" spans="1:13">
      <c r="A2091" s="13">
        <f ca="1">IFERROR(__xludf.DUMMYFUNCTION("""COMPUTED_VALUE"""),3)</f>
        <v>3</v>
      </c>
      <c r="B2091" s="13"/>
      <c r="C2091" s="13" t="str">
        <f ca="1">IFERROR(__xludf.DUMMYFUNCTION("""COMPUTED_VALUE"""),"疑问")</f>
        <v>疑问</v>
      </c>
      <c r="D2091" s="13" t="str">
        <f ca="1">IFERROR(__xludf.DUMMYFUNCTION("""COMPUTED_VALUE"""),"&lt;ruby&gt;疑问&lt;rt&gt;yíwèn&lt;/rt&gt;&lt;/ruby&gt;")</f>
        <v>&lt;ruby&gt;疑问&lt;rt&gt;yíwèn&lt;/rt&gt;&lt;/ruby&gt;</v>
      </c>
      <c r="E2091" s="13" t="str">
        <f ca="1">IFERROR(__xludf.DUMMYFUNCTION("""COMPUTED_VALUE"""),"yíwèn")</f>
        <v>yíwèn</v>
      </c>
      <c r="F2091" s="13" t="str">
        <f ca="1">IFERROR(__xludf.DUMMYFUNCTION("""COMPUTED_VALUE"""),"Danh từ")</f>
        <v>Danh từ</v>
      </c>
      <c r="G2091" s="13" t="str">
        <f ca="1">IFERROR(__xludf.DUMMYFUNCTION("""COMPUTED_VALUE"""),"sự nghi ngờ")</f>
        <v>sự nghi ngờ</v>
      </c>
      <c r="H2091" s="13" t="str">
        <f ca="1">IFERROR(__xludf.DUMMYFUNCTION("""COMPUTED_VALUE"""),"她对这份文件有很多疑问。")</f>
        <v>她对这份文件有很多疑问。</v>
      </c>
      <c r="I2091" s="13"/>
      <c r="J2091" s="13" t="str">
        <f ca="1">IFERROR(__xludf.DUMMYFUNCTION("""COMPUTED_VALUE""")," Cô ấy có rất nhiều sự nghi vấn về tài liệu này.")</f>
        <v xml:space="preserve"> Cô ấy có rất nhiều sự nghi vấn về tài liệu này.</v>
      </c>
      <c r="K2091" s="13" t="str">
        <f ca="1">IFERROR(__xludf.DUMMYFUNCTION("""COMPUTED_VALUE"""),"H5_B20_BG-03.png")</f>
        <v>H5_B20_BG-03.png</v>
      </c>
      <c r="L2091" s="13" t="str">
        <f ca="1">IFERROR(__xludf.DUMMYFUNCTION("""COMPUTED_VALUE"""),"B20_3.mp3")</f>
        <v>B20_3.mp3</v>
      </c>
      <c r="M2091" s="13" t="str">
        <f ca="1">IFERROR(__xludf.DUMMYFUNCTION("""COMPUTED_VALUE"""),"B20_VD_3.mp3")</f>
        <v>B20_VD_3.mp3</v>
      </c>
    </row>
    <row r="2092" spans="1:13">
      <c r="A2092" s="13">
        <f ca="1">IFERROR(__xludf.DUMMYFUNCTION("""COMPUTED_VALUE"""),4)</f>
        <v>4</v>
      </c>
      <c r="B2092" s="13"/>
      <c r="C2092" s="13" t="str">
        <f ca="1">IFERROR(__xludf.DUMMYFUNCTION("""COMPUTED_VALUE"""),"棚子")</f>
        <v>棚子</v>
      </c>
      <c r="D2092" s="13" t="str">
        <f ca="1">IFERROR(__xludf.DUMMYFUNCTION("""COMPUTED_VALUE"""),"&lt;ruby&gt;棚子&lt;rt&gt;péngzi&lt;/rt&gt;&lt;/ruby&gt;")</f>
        <v>&lt;ruby&gt;棚子&lt;rt&gt;péngzi&lt;/rt&gt;&lt;/ruby&gt;</v>
      </c>
      <c r="E2092" s="13" t="str">
        <f ca="1">IFERROR(__xludf.DUMMYFUNCTION("""COMPUTED_VALUE"""),"péngzi")</f>
        <v>péngzi</v>
      </c>
      <c r="F2092" s="13" t="str">
        <f ca="1">IFERROR(__xludf.DUMMYFUNCTION("""COMPUTED_VALUE"""),"Danh từ")</f>
        <v>Danh từ</v>
      </c>
      <c r="G2092" s="13" t="str">
        <f ca="1">IFERROR(__xludf.DUMMYFUNCTION("""COMPUTED_VALUE"""),"lều, chuồng")</f>
        <v>lều, chuồng</v>
      </c>
      <c r="H2092" s="13" t="str">
        <f ca="1">IFERROR(__xludf.DUMMYFUNCTION("""COMPUTED_VALUE"""),"他们在院子里搭了一个棚子来放工具。")</f>
        <v>他们在院子里搭了一个棚子来放工具。</v>
      </c>
      <c r="I2092" s="13"/>
      <c r="J2092" s="13" t="str">
        <f ca="1">IFERROR(__xludf.DUMMYFUNCTION("""COMPUTED_VALUE"""),"Họ đã dựng một cái lều trong sân để đựng công cụ.")</f>
        <v>Họ đã dựng một cái lều trong sân để đựng công cụ.</v>
      </c>
      <c r="K2092" s="13" t="str">
        <f ca="1">IFERROR(__xludf.DUMMYFUNCTION("""COMPUTED_VALUE"""),"H5_B20_BG-04.png")</f>
        <v>H5_B20_BG-04.png</v>
      </c>
      <c r="L2092" s="13" t="str">
        <f ca="1">IFERROR(__xludf.DUMMYFUNCTION("""COMPUTED_VALUE"""),"B20_4.mp3")</f>
        <v>B20_4.mp3</v>
      </c>
      <c r="M2092" s="13" t="str">
        <f ca="1">IFERROR(__xludf.DUMMYFUNCTION("""COMPUTED_VALUE"""),"B20_VD_4.mp3")</f>
        <v>B20_VD_4.mp3</v>
      </c>
    </row>
    <row r="2093" spans="1:13">
      <c r="A2093" s="13">
        <f ca="1">IFERROR(__xludf.DUMMYFUNCTION("""COMPUTED_VALUE"""),5)</f>
        <v>5</v>
      </c>
      <c r="B2093" s="13"/>
      <c r="C2093" s="13" t="str">
        <f ca="1">IFERROR(__xludf.DUMMYFUNCTION("""COMPUTED_VALUE"""),"砖头")</f>
        <v>砖头</v>
      </c>
      <c r="D2093" s="13" t="str">
        <f ca="1">IFERROR(__xludf.DUMMYFUNCTION("""COMPUTED_VALUE"""),"&lt;ruby&gt;砖头&lt;rt&gt;zhuāntóu&lt;/rt&gt;&lt;/ruby&gt;")</f>
        <v>&lt;ruby&gt;砖头&lt;rt&gt;zhuāntóu&lt;/rt&gt;&lt;/ruby&gt;</v>
      </c>
      <c r="E2093" s="13" t="str">
        <f ca="1">IFERROR(__xludf.DUMMYFUNCTION("""COMPUTED_VALUE"""),"zhuāntóu")</f>
        <v>zhuāntóu</v>
      </c>
      <c r="F2093" s="13" t="str">
        <f ca="1">IFERROR(__xludf.DUMMYFUNCTION("""COMPUTED_VALUE"""),"Danh từ")</f>
        <v>Danh từ</v>
      </c>
      <c r="G2093" s="13" t="str">
        <f ca="1">IFERROR(__xludf.DUMMYFUNCTION("""COMPUTED_VALUE"""),"gạch")</f>
        <v>gạch</v>
      </c>
      <c r="H2093" s="13" t="str">
        <f ca="1">IFERROR(__xludf.DUMMYFUNCTION("""COMPUTED_VALUE"""),"他用砖头建了一座小房子。")</f>
        <v>他用砖头建了一座小房子。</v>
      </c>
      <c r="I2093" s="13"/>
      <c r="J2093" s="13" t="str">
        <f ca="1">IFERROR(__xludf.DUMMYFUNCTION("""COMPUTED_VALUE"""),"Anh ấy đã dùng gạch để xây một ngôi nhà nhỏ.")</f>
        <v>Anh ấy đã dùng gạch để xây một ngôi nhà nhỏ.</v>
      </c>
      <c r="K2093" s="13" t="str">
        <f ca="1">IFERROR(__xludf.DUMMYFUNCTION("""COMPUTED_VALUE"""),"H5_B20_BG-05.png")</f>
        <v>H5_B20_BG-05.png</v>
      </c>
      <c r="L2093" s="13" t="str">
        <f ca="1">IFERROR(__xludf.DUMMYFUNCTION("""COMPUTED_VALUE"""),"B20_5.mp3")</f>
        <v>B20_5.mp3</v>
      </c>
      <c r="M2093" s="13" t="str">
        <f ca="1">IFERROR(__xludf.DUMMYFUNCTION("""COMPUTED_VALUE"""),"B20_VD_5.mp3")</f>
        <v>B20_VD_5.mp3</v>
      </c>
    </row>
    <row r="2094" spans="1:13">
      <c r="A2094" s="13">
        <f ca="1">IFERROR(__xludf.DUMMYFUNCTION("""COMPUTED_VALUE"""),6)</f>
        <v>6</v>
      </c>
      <c r="B2094" s="13"/>
      <c r="C2094" s="13" t="str">
        <f ca="1">IFERROR(__xludf.DUMMYFUNCTION("""COMPUTED_VALUE"""),"支")</f>
        <v>支</v>
      </c>
      <c r="D2094" s="13" t="str">
        <f ca="1">IFERROR(__xludf.DUMMYFUNCTION("""COMPUTED_VALUE"""),"&lt;ruby&gt;支&lt;rt&gt;zhī&lt;/rt&gt;&lt;/ruby&gt;")</f>
        <v>&lt;ruby&gt;支&lt;rt&gt;zhī&lt;/rt&gt;&lt;/ruby&gt;</v>
      </c>
      <c r="E2094" s="13" t="str">
        <f ca="1">IFERROR(__xludf.DUMMYFUNCTION("""COMPUTED_VALUE"""),"zhī")</f>
        <v>zhī</v>
      </c>
      <c r="F2094" s="13" t="str">
        <f ca="1">IFERROR(__xludf.DUMMYFUNCTION("""COMPUTED_VALUE"""),"Động từ")</f>
        <v>Động từ</v>
      </c>
      <c r="G2094" s="13" t="str">
        <f ca="1">IFERROR(__xludf.DUMMYFUNCTION("""COMPUTED_VALUE"""),"chống, đỡ")</f>
        <v>chống, đỡ</v>
      </c>
      <c r="H2094" s="13" t="str">
        <f ca="1">IFERROR(__xludf.DUMMYFUNCTION("""COMPUTED_VALUE"""),"我外公需要支着拐杖慢慢走路。")</f>
        <v>我外公需要支着拐杖慢慢走路。</v>
      </c>
      <c r="I2094" s="13"/>
      <c r="J2094" s="13" t="str">
        <f ca="1">IFERROR(__xludf.DUMMYFUNCTION("""COMPUTED_VALUE"""),"Ông ngoại tôi phải chống gậy đi bộ, bước đi rất chậm.")</f>
        <v>Ông ngoại tôi phải chống gậy đi bộ, bước đi rất chậm.</v>
      </c>
      <c r="K2094" s="13" t="str">
        <f ca="1">IFERROR(__xludf.DUMMYFUNCTION("""COMPUTED_VALUE"""),"H5_B20_BG-06.png")</f>
        <v>H5_B20_BG-06.png</v>
      </c>
      <c r="L2094" s="13" t="str">
        <f ca="1">IFERROR(__xludf.DUMMYFUNCTION("""COMPUTED_VALUE"""),"B20_6.mp3")</f>
        <v>B20_6.mp3</v>
      </c>
      <c r="M2094" s="13" t="str">
        <f ca="1">IFERROR(__xludf.DUMMYFUNCTION("""COMPUTED_VALUE"""),"B20_VD_6.mp3")</f>
        <v>B20_VD_6.mp3</v>
      </c>
    </row>
    <row r="2095" spans="1:13">
      <c r="A2095" s="13">
        <f ca="1">IFERROR(__xludf.DUMMYFUNCTION("""COMPUTED_VALUE"""),7)</f>
        <v>7</v>
      </c>
      <c r="B2095" s="13"/>
      <c r="C2095" s="13" t="str">
        <f ca="1">IFERROR(__xludf.DUMMYFUNCTION("""COMPUTED_VALUE"""),"粗糙")</f>
        <v>粗糙</v>
      </c>
      <c r="D2095" s="13" t="str">
        <f ca="1">IFERROR(__xludf.DUMMYFUNCTION("""COMPUTED_VALUE"""),"&lt;ruby&gt;粗糙&lt;rt&gt;cūcāo&lt;/rt&gt;&lt;/ruby&gt;")</f>
        <v>&lt;ruby&gt;粗糙&lt;rt&gt;cūcāo&lt;/rt&gt;&lt;/ruby&gt;</v>
      </c>
      <c r="E2095" s="13" t="str">
        <f ca="1">IFERROR(__xludf.DUMMYFUNCTION("""COMPUTED_VALUE"""),"cūcāo")</f>
        <v>cūcāo</v>
      </c>
      <c r="F2095" s="13" t="str">
        <f ca="1">IFERROR(__xludf.DUMMYFUNCTION("""COMPUTED_VALUE"""),"Tính từ")</f>
        <v>Tính từ</v>
      </c>
      <c r="G2095" s="13" t="str">
        <f ca="1">IFERROR(__xludf.DUMMYFUNCTION("""COMPUTED_VALUE"""),"sần sùi, thô, gồ ghề")</f>
        <v>sần sùi, thô, gồ ghề</v>
      </c>
      <c r="H2095" s="13" t="str">
        <f ca="1">IFERROR(__xludf.DUMMYFUNCTION("""COMPUTED_VALUE"""),"这些石头很粗糙，不适合用来雕刻。")</f>
        <v>这些石头很粗糙，不适合用来雕刻。</v>
      </c>
      <c r="I2095" s="13"/>
      <c r="J2095" s="13" t="str">
        <f ca="1">IFERROR(__xludf.DUMMYFUNCTION("""COMPUTED_VALUE"""),"Những viên đá này rất thô, không thích hợp để điêu khắc.")</f>
        <v>Những viên đá này rất thô, không thích hợp để điêu khắc.</v>
      </c>
      <c r="K2095" s="13" t="str">
        <f ca="1">IFERROR(__xludf.DUMMYFUNCTION("""COMPUTED_VALUE"""),"H5_B20_BG-07.png")</f>
        <v>H5_B20_BG-07.png</v>
      </c>
      <c r="L2095" s="13" t="str">
        <f ca="1">IFERROR(__xludf.DUMMYFUNCTION("""COMPUTED_VALUE"""),"B20_7.mp3")</f>
        <v>B20_7.mp3</v>
      </c>
      <c r="M2095" s="13" t="str">
        <f ca="1">IFERROR(__xludf.DUMMYFUNCTION("""COMPUTED_VALUE"""),"B20_VD_7.mp3")</f>
        <v>B20_VD_7.mp3</v>
      </c>
    </row>
    <row r="2096" spans="1:13">
      <c r="A2096" s="13">
        <f ca="1">IFERROR(__xludf.DUMMYFUNCTION("""COMPUTED_VALUE"""),8)</f>
        <v>8</v>
      </c>
      <c r="B2096" s="13"/>
      <c r="C2096" s="13" t="str">
        <f ca="1">IFERROR(__xludf.DUMMYFUNCTION("""COMPUTED_VALUE"""),"木头")</f>
        <v>木头</v>
      </c>
      <c r="D2096" s="13" t="str">
        <f ca="1">IFERROR(__xludf.DUMMYFUNCTION("""COMPUTED_VALUE"""),"&lt;ruby&gt;木头&lt;rt&gt;mùtou&lt;/rt&gt;&lt;/ruby&gt;")</f>
        <v>&lt;ruby&gt;木头&lt;rt&gt;mùtou&lt;/rt&gt;&lt;/ruby&gt;</v>
      </c>
      <c r="E2096" s="13" t="str">
        <f ca="1">IFERROR(__xludf.DUMMYFUNCTION("""COMPUTED_VALUE"""),"mùtou")</f>
        <v>mùtou</v>
      </c>
      <c r="F2096" s="13" t="str">
        <f ca="1">IFERROR(__xludf.DUMMYFUNCTION("""COMPUTED_VALUE"""),"Danh từ")</f>
        <v>Danh từ</v>
      </c>
      <c r="G2096" s="13" t="str">
        <f ca="1">IFERROR(__xludf.DUMMYFUNCTION("""COMPUTED_VALUE"""),"gỗ")</f>
        <v>gỗ</v>
      </c>
      <c r="H2096" s="13" t="str">
        <f ca="1">IFERROR(__xludf.DUMMYFUNCTION("""COMPUTED_VALUE"""),"这把椅子是用木头做的，非常结实。")</f>
        <v>这把椅子是用木头做的，非常结实。</v>
      </c>
      <c r="I2096" s="13"/>
      <c r="J2096" s="13" t="str">
        <f ca="1">IFERROR(__xludf.DUMMYFUNCTION("""COMPUTED_VALUE"""),"Chiếc ghế này được làm bằng gỗ, rất chắc chắn.")</f>
        <v>Chiếc ghế này được làm bằng gỗ, rất chắc chắn.</v>
      </c>
      <c r="K2096" s="13" t="str">
        <f ca="1">IFERROR(__xludf.DUMMYFUNCTION("""COMPUTED_VALUE"""),"H5_B20_BG-08.png")</f>
        <v>H5_B20_BG-08.png</v>
      </c>
      <c r="L2096" s="13" t="str">
        <f ca="1">IFERROR(__xludf.DUMMYFUNCTION("""COMPUTED_VALUE"""),"B20_8.mp3")</f>
        <v>B20_8.mp3</v>
      </c>
      <c r="M2096" s="13" t="str">
        <f ca="1">IFERROR(__xludf.DUMMYFUNCTION("""COMPUTED_VALUE"""),"B20_VD_8.mp3")</f>
        <v>B20_VD_8.mp3</v>
      </c>
    </row>
    <row r="2097" spans="1:13">
      <c r="A2097" s="13">
        <f ca="1">IFERROR(__xludf.DUMMYFUNCTION("""COMPUTED_VALUE"""),9)</f>
        <v>9</v>
      </c>
      <c r="B2097" s="13"/>
      <c r="C2097" s="13" t="str">
        <f ca="1">IFERROR(__xludf.DUMMYFUNCTION("""COMPUTED_VALUE"""),"整齐")</f>
        <v>整齐</v>
      </c>
      <c r="D2097" s="13" t="str">
        <f ca="1">IFERROR(__xludf.DUMMYFUNCTION("""COMPUTED_VALUE"""),"&lt;ruby&gt;整齐&lt;rt&gt;zhěngqí&lt;/rt&gt;&lt;/ruby&gt;")</f>
        <v>&lt;ruby&gt;整齐&lt;rt&gt;zhěngqí&lt;/rt&gt;&lt;/ruby&gt;</v>
      </c>
      <c r="E2097" s="13" t="str">
        <f ca="1">IFERROR(__xludf.DUMMYFUNCTION("""COMPUTED_VALUE"""),"zhěngqí")</f>
        <v>zhěngqí</v>
      </c>
      <c r="F2097" s="13" t="str">
        <f ca="1">IFERROR(__xludf.DUMMYFUNCTION("""COMPUTED_VALUE"""),"Tính từ")</f>
        <v>Tính từ</v>
      </c>
      <c r="G2097" s="13" t="str">
        <f ca="1">IFERROR(__xludf.DUMMYFUNCTION("""COMPUTED_VALUE"""),"ngay ngắn, đều đặn, ngăn nắp")</f>
        <v>ngay ngắn, đều đặn, ngăn nắp</v>
      </c>
      <c r="H2097" s="13" t="str">
        <f ca="1">IFERROR(__xludf.DUMMYFUNCTION("""COMPUTED_VALUE"""),"他的房间很整齐，所有东西都摆放得很有条理。")</f>
        <v>他的房间很整齐，所有东西都摆放得很有条理。</v>
      </c>
      <c r="I2097" s="13"/>
      <c r="J2097" s="13" t="str">
        <f ca="1">IFERROR(__xludf.DUMMYFUNCTION("""COMPUTED_VALUE"""),"Phòng của anh ấy rất ngăn nắp, mọi thứ đều được sắp xếp gọn gàng.")</f>
        <v>Phòng của anh ấy rất ngăn nắp, mọi thứ đều được sắp xếp gọn gàng.</v>
      </c>
      <c r="K2097" s="13" t="str">
        <f ca="1">IFERROR(__xludf.DUMMYFUNCTION("""COMPUTED_VALUE"""),"H5_B20_BG-09.png")</f>
        <v>H5_B20_BG-09.png</v>
      </c>
      <c r="L2097" s="13" t="str">
        <f ca="1">IFERROR(__xludf.DUMMYFUNCTION("""COMPUTED_VALUE"""),"B20_9.mp3")</f>
        <v>B20_9.mp3</v>
      </c>
      <c r="M2097" s="13" t="str">
        <f ca="1">IFERROR(__xludf.DUMMYFUNCTION("""COMPUTED_VALUE"""),"B20_VD_9.mp3")</f>
        <v>B20_VD_9.mp3</v>
      </c>
    </row>
    <row r="2098" spans="1:13">
      <c r="A2098" s="13">
        <f ca="1">IFERROR(__xludf.DUMMYFUNCTION("""COMPUTED_VALUE"""),10)</f>
        <v>10</v>
      </c>
      <c r="B2098" s="13"/>
      <c r="C2098" s="13" t="str">
        <f ca="1">IFERROR(__xludf.DUMMYFUNCTION("""COMPUTED_VALUE"""),"从事")</f>
        <v>从事</v>
      </c>
      <c r="D2098" s="13" t="str">
        <f ca="1">IFERROR(__xludf.DUMMYFUNCTION("""COMPUTED_VALUE"""),"&lt;ruby&gt;从事&lt;rt&gt;cóngshì&lt;/rt&gt;&lt;/ruby&gt;")</f>
        <v>&lt;ruby&gt;从事&lt;rt&gt;cóngshì&lt;/rt&gt;&lt;/ruby&gt;</v>
      </c>
      <c r="E2098" s="13" t="str">
        <f ca="1">IFERROR(__xludf.DUMMYFUNCTION("""COMPUTED_VALUE"""),"cóngshì")</f>
        <v>cóngshì</v>
      </c>
      <c r="F2098" s="13" t="str">
        <f ca="1">IFERROR(__xludf.DUMMYFUNCTION("""COMPUTED_VALUE"""),"Động từ")</f>
        <v>Động từ</v>
      </c>
      <c r="G2098" s="13" t="str">
        <f ca="1">IFERROR(__xludf.DUMMYFUNCTION("""COMPUTED_VALUE"""),"làm, tham gia")</f>
        <v>làm, tham gia</v>
      </c>
      <c r="H2098" s="13" t="str">
        <f ca="1">IFERROR(__xludf.DUMMYFUNCTION("""COMPUTED_VALUE"""),"她从事医生工作已经超过十年了。")</f>
        <v>她从事医生工作已经超过十年了。</v>
      </c>
      <c r="I2098" s="13"/>
      <c r="J2098" s="13" t="str">
        <f ca="1">IFERROR(__xludf.DUMMYFUNCTION("""COMPUTED_VALUE"""),"Cô ấy đã làm bác sĩ hơn mười năm rồi.")</f>
        <v>Cô ấy đã làm bác sĩ hơn mười năm rồi.</v>
      </c>
      <c r="K2098" s="13" t="str">
        <f ca="1">IFERROR(__xludf.DUMMYFUNCTION("""COMPUTED_VALUE"""),"H5_B20_BG-10.png")</f>
        <v>H5_B20_BG-10.png</v>
      </c>
      <c r="L2098" s="13" t="str">
        <f ca="1">IFERROR(__xludf.DUMMYFUNCTION("""COMPUTED_VALUE"""),"B20_10.mp3")</f>
        <v>B20_10.mp3</v>
      </c>
      <c r="M2098" s="13" t="str">
        <f ca="1">IFERROR(__xludf.DUMMYFUNCTION("""COMPUTED_VALUE"""),"B20_VD_10.mp3")</f>
        <v>B20_VD_10.mp3</v>
      </c>
    </row>
    <row r="2099" spans="1:13">
      <c r="A2099" s="13">
        <f ca="1">IFERROR(__xludf.DUMMYFUNCTION("""COMPUTED_VALUE"""),11)</f>
        <v>11</v>
      </c>
      <c r="B2099" s="13"/>
      <c r="C2099" s="13" t="str">
        <f ca="1">IFERROR(__xludf.DUMMYFUNCTION("""COMPUTED_VALUE"""),"假如")</f>
        <v>假如</v>
      </c>
      <c r="D2099" s="13" t="str">
        <f ca="1">IFERROR(__xludf.DUMMYFUNCTION("""COMPUTED_VALUE"""),"&lt;ruby&gt;假如&lt;rt&gt;jiǎrú&lt;/rt&gt;&lt;/ruby&gt;")</f>
        <v>&lt;ruby&gt;假如&lt;rt&gt;jiǎrú&lt;/rt&gt;&lt;/ruby&gt;</v>
      </c>
      <c r="E2099" s="13" t="str">
        <f ca="1">IFERROR(__xludf.DUMMYFUNCTION("""COMPUTED_VALUE"""),"jiǎrú")</f>
        <v>jiǎrú</v>
      </c>
      <c r="F2099" s="13" t="str">
        <f ca="1">IFERROR(__xludf.DUMMYFUNCTION("""COMPUTED_VALUE"""),"Liên từ")</f>
        <v>Liên từ</v>
      </c>
      <c r="G2099" s="13" t="str">
        <f ca="1">IFERROR(__xludf.DUMMYFUNCTION("""COMPUTED_VALUE"""),"nếu")</f>
        <v>nếu</v>
      </c>
      <c r="H2099" s="13" t="str">
        <f ca="1">IFERROR(__xludf.DUMMYFUNCTION("""COMPUTED_VALUE"""),"假如你努力学习，你一定会取得好成绩。")</f>
        <v>假如你努力学习，你一定会取得好成绩。</v>
      </c>
      <c r="I2099" s="13"/>
      <c r="J2099" s="13" t="str">
        <f ca="1">IFERROR(__xludf.DUMMYFUNCTION("""COMPUTED_VALUE"""),"Nếu bạn cố gắng học tập, bạn chắc chắn sẽ đạt được kết quả tốt.")</f>
        <v>Nếu bạn cố gắng học tập, bạn chắc chắn sẽ đạt được kết quả tốt.</v>
      </c>
      <c r="K2099" s="13" t="str">
        <f ca="1">IFERROR(__xludf.DUMMYFUNCTION("""COMPUTED_VALUE"""),"H5_B20_BG-11.png")</f>
        <v>H5_B20_BG-11.png</v>
      </c>
      <c r="L2099" s="13" t="str">
        <f ca="1">IFERROR(__xludf.DUMMYFUNCTION("""COMPUTED_VALUE"""),"B20_11.mp3")</f>
        <v>B20_11.mp3</v>
      </c>
      <c r="M2099" s="13" t="str">
        <f ca="1">IFERROR(__xludf.DUMMYFUNCTION("""COMPUTED_VALUE"""),"B20_VD_11.mp3")</f>
        <v>B20_VD_11.mp3</v>
      </c>
    </row>
    <row r="2100" spans="1:13">
      <c r="A2100" s="13">
        <f ca="1">IFERROR(__xludf.DUMMYFUNCTION("""COMPUTED_VALUE"""),12)</f>
        <v>12</v>
      </c>
      <c r="B2100" s="13"/>
      <c r="C2100" s="13" t="str">
        <f ca="1">IFERROR(__xludf.DUMMYFUNCTION("""COMPUTED_VALUE"""),"登记")</f>
        <v>登记</v>
      </c>
      <c r="D2100" s="13" t="str">
        <f ca="1">IFERROR(__xludf.DUMMYFUNCTION("""COMPUTED_VALUE"""),"&lt;ruby&gt;登记&lt;rt&gt;dēngjì&lt;/rt&gt;&lt;/ruby&gt;")</f>
        <v>&lt;ruby&gt;登记&lt;rt&gt;dēngjì&lt;/rt&gt;&lt;/ruby&gt;</v>
      </c>
      <c r="E2100" s="13" t="str">
        <f ca="1">IFERROR(__xludf.DUMMYFUNCTION("""COMPUTED_VALUE"""),"dēngjì")</f>
        <v>dēngjì</v>
      </c>
      <c r="F2100" s="13" t="str">
        <f ca="1">IFERROR(__xludf.DUMMYFUNCTION("""COMPUTED_VALUE"""),"Động từ")</f>
        <v>Động từ</v>
      </c>
      <c r="G2100" s="13" t="str">
        <f ca="1">IFERROR(__xludf.DUMMYFUNCTION("""COMPUTED_VALUE"""),"đăng ký, ghi vào sổ")</f>
        <v>đăng ký, ghi vào sổ</v>
      </c>
      <c r="H2100" s="13" t="str">
        <f ca="1">IFERROR(__xludf.DUMMYFUNCTION("""COMPUTED_VALUE"""),"要参加今晚的活动，请先在网站上登记。")</f>
        <v>要参加今晚的活动，请先在网站上登记。</v>
      </c>
      <c r="I2100" s="13"/>
      <c r="J2100" s="13" t="str">
        <f ca="1">IFERROR(__xludf.DUMMYFUNCTION("""COMPUTED_VALUE"""),"Để tham gia sự kiện tối nay, xin vui lòng đăng ký trước trên website.")</f>
        <v>Để tham gia sự kiện tối nay, xin vui lòng đăng ký trước trên website.</v>
      </c>
      <c r="K2100" s="13" t="str">
        <f ca="1">IFERROR(__xludf.DUMMYFUNCTION("""COMPUTED_VALUE"""),"H5_B20_BG-12.png")</f>
        <v>H5_B20_BG-12.png</v>
      </c>
      <c r="L2100" s="13" t="str">
        <f ca="1">IFERROR(__xludf.DUMMYFUNCTION("""COMPUTED_VALUE"""),"B20_12.mp3")</f>
        <v>B20_12.mp3</v>
      </c>
      <c r="M2100" s="13" t="str">
        <f ca="1">IFERROR(__xludf.DUMMYFUNCTION("""COMPUTED_VALUE"""),"B20_VD_12.mp3")</f>
        <v>B20_VD_12.mp3</v>
      </c>
    </row>
    <row r="2101" spans="1:13">
      <c r="A2101" s="13">
        <f ca="1">IFERROR(__xludf.DUMMYFUNCTION("""COMPUTED_VALUE"""),13)</f>
        <v>13</v>
      </c>
      <c r="B2101" s="13"/>
      <c r="C2101" s="13" t="str">
        <f ca="1">IFERROR(__xludf.DUMMYFUNCTION("""COMPUTED_VALUE"""),"记录")</f>
        <v>记录</v>
      </c>
      <c r="D2101" s="13" t="str">
        <f ca="1">IFERROR(__xludf.DUMMYFUNCTION("""COMPUTED_VALUE"""),"&lt;ruby&gt;记录&lt;rt&gt;jìlù&lt;/rt&gt;&lt;/ruby&gt;")</f>
        <v>&lt;ruby&gt;记录&lt;rt&gt;jìlù&lt;/rt&gt;&lt;/ruby&gt;</v>
      </c>
      <c r="E2101" s="13" t="str">
        <f ca="1">IFERROR(__xludf.DUMMYFUNCTION("""COMPUTED_VALUE"""),"jìlù")</f>
        <v>jìlù</v>
      </c>
      <c r="F2101" s="13" t="str">
        <f ca="1">IFERROR(__xludf.DUMMYFUNCTION("""COMPUTED_VALUE"""),"Danh từ/Động từ")</f>
        <v>Danh từ/Động từ</v>
      </c>
      <c r="G2101" s="13" t="str">
        <f ca="1">IFERROR(__xludf.DUMMYFUNCTION("""COMPUTED_VALUE"""),"kỷ lục, lời ghi; ghi chép")</f>
        <v>kỷ lục, lời ghi; ghi chép</v>
      </c>
      <c r="H2101" s="13" t="str">
        <f ca="1">IFERROR(__xludf.DUMMYFUNCTION("""COMPUTED_VALUE"""),"他的日记记录了他每天的生活和感受。")</f>
        <v>他的日记记录了他每天的生活和感受。</v>
      </c>
      <c r="I2101" s="13"/>
      <c r="J2101" s="13" t="str">
        <f ca="1">IFERROR(__xludf.DUMMYFUNCTION("""COMPUTED_VALUE"""),"Cuốn nhật ký của anh ấy ghi lại cuộc sống và cảm xúc của anh ấy mỗi ngày.")</f>
        <v>Cuốn nhật ký của anh ấy ghi lại cuộc sống và cảm xúc của anh ấy mỗi ngày.</v>
      </c>
      <c r="K2101" s="13" t="str">
        <f ca="1">IFERROR(__xludf.DUMMYFUNCTION("""COMPUTED_VALUE"""),"H5_B20_BG-13.png")</f>
        <v>H5_B20_BG-13.png</v>
      </c>
      <c r="L2101" s="13" t="str">
        <f ca="1">IFERROR(__xludf.DUMMYFUNCTION("""COMPUTED_VALUE"""),"B20_13.mp3")</f>
        <v>B20_13.mp3</v>
      </c>
      <c r="M2101" s="13" t="str">
        <f ca="1">IFERROR(__xludf.DUMMYFUNCTION("""COMPUTED_VALUE"""),"B20_VD_13.mp3")</f>
        <v>B20_VD_13.mp3</v>
      </c>
    </row>
    <row r="2102" spans="1:13">
      <c r="A2102" s="13">
        <f ca="1">IFERROR(__xludf.DUMMYFUNCTION("""COMPUTED_VALUE"""),14)</f>
        <v>14</v>
      </c>
      <c r="B2102" s="13"/>
      <c r="C2102" s="13" t="str">
        <f ca="1">IFERROR(__xludf.DUMMYFUNCTION("""COMPUTED_VALUE"""),"手续")</f>
        <v>手续</v>
      </c>
      <c r="D2102" s="13" t="str">
        <f ca="1">IFERROR(__xludf.DUMMYFUNCTION("""COMPUTED_VALUE"""),"&lt;ruby&gt;手续&lt;rt&gt;shǒuxù&lt;/rt&gt;&lt;/ruby&gt;")</f>
        <v>&lt;ruby&gt;手续&lt;rt&gt;shǒuxù&lt;/rt&gt;&lt;/ruby&gt;</v>
      </c>
      <c r="E2102" s="13" t="str">
        <f ca="1">IFERROR(__xludf.DUMMYFUNCTION("""COMPUTED_VALUE"""),"shǒuxù")</f>
        <v>shǒuxù</v>
      </c>
      <c r="F2102" s="13" t="str">
        <f ca="1">IFERROR(__xludf.DUMMYFUNCTION("""COMPUTED_VALUE"""),"Danh từ")</f>
        <v>Danh từ</v>
      </c>
      <c r="G2102" s="13" t="str">
        <f ca="1">IFERROR(__xludf.DUMMYFUNCTION("""COMPUTED_VALUE"""),"thủ tục")</f>
        <v>thủ tục</v>
      </c>
      <c r="H2102" s="13" t="str">
        <f ca="1">IFERROR(__xludf.DUMMYFUNCTION("""COMPUTED_VALUE"""),"办理护照手续需要提供身份证明和照片。")</f>
        <v>办理护照手续需要提供身份证明和照片。</v>
      </c>
      <c r="I2102" s="13"/>
      <c r="J2102" s="13" t="str">
        <f ca="1">IFERROR(__xludf.DUMMYFUNCTION("""COMPUTED_VALUE"""),"Thủ tục làm hộ chiếu cần cung cấp giấy tờ tùy thân và ảnh.")</f>
        <v>Thủ tục làm hộ chiếu cần cung cấp giấy tờ tùy thân và ảnh.</v>
      </c>
      <c r="K2102" s="13" t="str">
        <f ca="1">IFERROR(__xludf.DUMMYFUNCTION("""COMPUTED_VALUE"""),"H5_B20_BG-14.png")</f>
        <v>H5_B20_BG-14.png</v>
      </c>
      <c r="L2102" s="13" t="str">
        <f ca="1">IFERROR(__xludf.DUMMYFUNCTION("""COMPUTED_VALUE"""),"B20_14.mp3")</f>
        <v>B20_14.mp3</v>
      </c>
      <c r="M2102" s="13" t="str">
        <f ca="1">IFERROR(__xludf.DUMMYFUNCTION("""COMPUTED_VALUE"""),"B20_VD_14.mp3")</f>
        <v>B20_VD_14.mp3</v>
      </c>
    </row>
    <row r="2103" spans="1:13">
      <c r="A2103" s="13">
        <f ca="1">IFERROR(__xludf.DUMMYFUNCTION("""COMPUTED_VALUE"""),15)</f>
        <v>15</v>
      </c>
      <c r="B2103" s="13"/>
      <c r="C2103" s="13" t="str">
        <f ca="1">IFERROR(__xludf.DUMMYFUNCTION("""COMPUTED_VALUE"""),"办理")</f>
        <v>办理</v>
      </c>
      <c r="D2103" s="13" t="str">
        <f ca="1">IFERROR(__xludf.DUMMYFUNCTION("""COMPUTED_VALUE"""),"&lt;ruby&gt;办理&lt;rt&gt;bànlǐ&lt;/rt&gt;&lt;/ruby&gt;")</f>
        <v>&lt;ruby&gt;办理&lt;rt&gt;bànlǐ&lt;/rt&gt;&lt;/ruby&gt;</v>
      </c>
      <c r="E2103" s="13" t="str">
        <f ca="1">IFERROR(__xludf.DUMMYFUNCTION("""COMPUTED_VALUE"""),"bànlǐ")</f>
        <v>bànlǐ</v>
      </c>
      <c r="F2103" s="13" t="str">
        <f ca="1">IFERROR(__xludf.DUMMYFUNCTION("""COMPUTED_VALUE"""),"Động từ")</f>
        <v>Động từ</v>
      </c>
      <c r="G2103" s="13" t="str">
        <f ca="1">IFERROR(__xludf.DUMMYFUNCTION("""COMPUTED_VALUE"""),"giải quyết, làm")</f>
        <v>giải quyết, làm</v>
      </c>
      <c r="H2103" s="13" t="str">
        <f ca="1">IFERROR(__xludf.DUMMYFUNCTION("""COMPUTED_VALUE"""),"你可以通过网络办理注册手续。")</f>
        <v>你可以通过网络办理注册手续。</v>
      </c>
      <c r="I2103" s="13"/>
      <c r="J2103" s="13" t="str">
        <f ca="1">IFERROR(__xludf.DUMMYFUNCTION("""COMPUTED_VALUE"""),"Bạn có thể giải quyết thủ tục đăng ký qua mạng.")</f>
        <v>Bạn có thể giải quyết thủ tục đăng ký qua mạng.</v>
      </c>
      <c r="K2103" s="13" t="str">
        <f ca="1">IFERROR(__xludf.DUMMYFUNCTION("""COMPUTED_VALUE"""),"H5_B20_BG-15.png")</f>
        <v>H5_B20_BG-15.png</v>
      </c>
      <c r="L2103" s="13" t="str">
        <f ca="1">IFERROR(__xludf.DUMMYFUNCTION("""COMPUTED_VALUE"""),"B20_15.mp3")</f>
        <v>B20_15.mp3</v>
      </c>
      <c r="M2103" s="13" t="str">
        <f ca="1">IFERROR(__xludf.DUMMYFUNCTION("""COMPUTED_VALUE"""),"B20_VD_15.mp3")</f>
        <v>B20_VD_15.mp3</v>
      </c>
    </row>
    <row r="2104" spans="1:13">
      <c r="A2104" s="13">
        <f ca="1">IFERROR(__xludf.DUMMYFUNCTION("""COMPUTED_VALUE"""),16)</f>
        <v>16</v>
      </c>
      <c r="B2104" s="13"/>
      <c r="C2104" s="13" t="str">
        <f ca="1">IFERROR(__xludf.DUMMYFUNCTION("""COMPUTED_VALUE"""),"押金")</f>
        <v>押金</v>
      </c>
      <c r="D2104" s="13" t="str">
        <f ca="1">IFERROR(__xludf.DUMMYFUNCTION("""COMPUTED_VALUE"""),"&lt;ruby&gt;押金&lt;rt&gt;yājīn&lt;/rt&gt;&lt;/ruby&gt;")</f>
        <v>&lt;ruby&gt;押金&lt;rt&gt;yājīn&lt;/rt&gt;&lt;/ruby&gt;</v>
      </c>
      <c r="E2104" s="13" t="str">
        <f ca="1">IFERROR(__xludf.DUMMYFUNCTION("""COMPUTED_VALUE"""),"yājīn")</f>
        <v>yājīn</v>
      </c>
      <c r="F2104" s="13" t="str">
        <f ca="1">IFERROR(__xludf.DUMMYFUNCTION("""COMPUTED_VALUE"""),"Danh từ")</f>
        <v>Danh từ</v>
      </c>
      <c r="G2104" s="13" t="str">
        <f ca="1">IFERROR(__xludf.DUMMYFUNCTION("""COMPUTED_VALUE"""),"tiền thế chấp, tiền đặt cọc")</f>
        <v>tiền thế chấp, tiền đặt cọc</v>
      </c>
      <c r="H2104" s="13" t="str">
        <f ca="1">IFERROR(__xludf.DUMMYFUNCTION("""COMPUTED_VALUE"""),"租房时需要支付一个月的押金。")</f>
        <v>租房时需要支付一个月的押金。</v>
      </c>
      <c r="I2104" s="13"/>
      <c r="J2104" s="13" t="str">
        <f ca="1">IFERROR(__xludf.DUMMYFUNCTION("""COMPUTED_VALUE"""),"Khi thuê căn hộ, bạn phải trả tiền đặt cọc một tháng.")</f>
        <v>Khi thuê căn hộ, bạn phải trả tiền đặt cọc một tháng.</v>
      </c>
      <c r="K2104" s="13" t="str">
        <f ca="1">IFERROR(__xludf.DUMMYFUNCTION("""COMPUTED_VALUE"""),"H5_B20_BG-16.png")</f>
        <v>H5_B20_BG-16.png</v>
      </c>
      <c r="L2104" s="13" t="str">
        <f ca="1">IFERROR(__xludf.DUMMYFUNCTION("""COMPUTED_VALUE"""),"B20_16.mp3")</f>
        <v>B20_16.mp3</v>
      </c>
      <c r="M2104" s="13" t="str">
        <f ca="1">IFERROR(__xludf.DUMMYFUNCTION("""COMPUTED_VALUE"""),"B20_VD_16.mp3")</f>
        <v>B20_VD_16.mp3</v>
      </c>
    </row>
    <row r="2105" spans="1:13">
      <c r="A2105" s="13">
        <f ca="1">IFERROR(__xludf.DUMMYFUNCTION("""COMPUTED_VALUE"""),17)</f>
        <v>17</v>
      </c>
      <c r="B2105" s="13"/>
      <c r="C2105" s="13" t="str">
        <f ca="1">IFERROR(__xludf.DUMMYFUNCTION("""COMPUTED_VALUE"""),"凭")</f>
        <v>凭</v>
      </c>
      <c r="D2105" s="13" t="str">
        <f ca="1">IFERROR(__xludf.DUMMYFUNCTION("""COMPUTED_VALUE"""),"&lt;ruby&gt;凭&lt;rt&gt;píng&lt;/rt&gt;&lt;/ruby&gt;")</f>
        <v>&lt;ruby&gt;凭&lt;rt&gt;píng&lt;/rt&gt;&lt;/ruby&gt;</v>
      </c>
      <c r="E2105" s="13" t="str">
        <f ca="1">IFERROR(__xludf.DUMMYFUNCTION("""COMPUTED_VALUE"""),"píng")</f>
        <v>píng</v>
      </c>
      <c r="F2105" s="13" t="str">
        <f ca="1">IFERROR(__xludf.DUMMYFUNCTION("""COMPUTED_VALUE"""),"Động từ/Giới từ")</f>
        <v>Động từ/Giới từ</v>
      </c>
      <c r="G2105" s="13" t="str">
        <f ca="1">IFERROR(__xludf.DUMMYFUNCTION("""COMPUTED_VALUE"""),"dựa vào; căn cứ")</f>
        <v>dựa vào; căn cứ</v>
      </c>
      <c r="H2105" s="13" t="str">
        <f ca="1">IFERROR(__xludf.DUMMYFUNCTION("""COMPUTED_VALUE"""),"凭学生证，你可以享受学生票优惠。")</f>
        <v>凭学生证，你可以享受学生票优惠。</v>
      </c>
      <c r="I2105" s="13"/>
      <c r="J2105" s="13" t="str">
        <f ca="1">IFERROR(__xludf.DUMMYFUNCTION("""COMPUTED_VALUE"""),"Dựa vào thẻ học sinh, bạn có thể hưởng giá vé dành cho học sinh.")</f>
        <v>Dựa vào thẻ học sinh, bạn có thể hưởng giá vé dành cho học sinh.</v>
      </c>
      <c r="K2105" s="13" t="str">
        <f ca="1">IFERROR(__xludf.DUMMYFUNCTION("""COMPUTED_VALUE"""),"H5_B20_BG-17.png")</f>
        <v>H5_B20_BG-17.png</v>
      </c>
      <c r="L2105" s="13" t="str">
        <f ca="1">IFERROR(__xludf.DUMMYFUNCTION("""COMPUTED_VALUE"""),"B20_17.mp3")</f>
        <v>B20_17.mp3</v>
      </c>
      <c r="M2105" s="13" t="str">
        <f ca="1">IFERROR(__xludf.DUMMYFUNCTION("""COMPUTED_VALUE"""),"B20_VD_17.mp3")</f>
        <v>B20_VD_17.mp3</v>
      </c>
    </row>
    <row r="2106" spans="1:13">
      <c r="A2106" s="13">
        <f ca="1">IFERROR(__xludf.DUMMYFUNCTION("""COMPUTED_VALUE"""),18)</f>
        <v>18</v>
      </c>
      <c r="B2106" s="13"/>
      <c r="C2106" s="13" t="str">
        <f ca="1">IFERROR(__xludf.DUMMYFUNCTION("""COMPUTED_VALUE"""),"涨")</f>
        <v>涨</v>
      </c>
      <c r="D2106" s="13" t="str">
        <f ca="1">IFERROR(__xludf.DUMMYFUNCTION("""COMPUTED_VALUE"""),"&lt;ruby&gt;涨&lt;rt&gt;zhǎng&lt;/rt&gt;&lt;/ruby&gt;")</f>
        <v>&lt;ruby&gt;涨&lt;rt&gt;zhǎng&lt;/rt&gt;&lt;/ruby&gt;</v>
      </c>
      <c r="E2106" s="13" t="str">
        <f ca="1">IFERROR(__xludf.DUMMYFUNCTION("""COMPUTED_VALUE"""),"zhǎng")</f>
        <v>zhǎng</v>
      </c>
      <c r="F2106" s="13" t="str">
        <f ca="1">IFERROR(__xludf.DUMMYFUNCTION("""COMPUTED_VALUE"""),"Động từ")</f>
        <v>Động từ</v>
      </c>
      <c r="G2106" s="13" t="str">
        <f ca="1">IFERROR(__xludf.DUMMYFUNCTION("""COMPUTED_VALUE"""),"lên cao, tăng")</f>
        <v>lên cao, tăng</v>
      </c>
      <c r="H2106" s="13" t="str">
        <f ca="1">IFERROR(__xludf.DUMMYFUNCTION("""COMPUTED_VALUE"""),"最近金价涨了很多。")</f>
        <v>最近金价涨了很多。</v>
      </c>
      <c r="I2106" s="13"/>
      <c r="J2106" s="13" t="str">
        <f ca="1">IFERROR(__xludf.DUMMYFUNCTION("""COMPUTED_VALUE"""),"Giá vàng gần đây tăng rất nhiều so với trước.")</f>
        <v>Giá vàng gần đây tăng rất nhiều so với trước.</v>
      </c>
      <c r="K2106" s="13" t="str">
        <f ca="1">IFERROR(__xludf.DUMMYFUNCTION("""COMPUTED_VALUE"""),"H5_B20_BG-18.png")</f>
        <v>H5_B20_BG-18.png</v>
      </c>
      <c r="L2106" s="13" t="str">
        <f ca="1">IFERROR(__xludf.DUMMYFUNCTION("""COMPUTED_VALUE"""),"B20_18.mp3")</f>
        <v>B20_18.mp3</v>
      </c>
      <c r="M2106" s="13" t="str">
        <f ca="1">IFERROR(__xludf.DUMMYFUNCTION("""COMPUTED_VALUE"""),"B20_VD_18.mp3")</f>
        <v>B20_VD_18.mp3</v>
      </c>
    </row>
    <row r="2107" spans="1:13">
      <c r="A2107" s="13">
        <f ca="1">IFERROR(__xludf.DUMMYFUNCTION("""COMPUTED_VALUE"""),19)</f>
        <v>19</v>
      </c>
      <c r="B2107" s="13"/>
      <c r="C2107" s="13" t="str">
        <f ca="1">IFERROR(__xludf.DUMMYFUNCTION("""COMPUTED_VALUE"""),"搭")</f>
        <v>搭</v>
      </c>
      <c r="D2107" s="13" t="str">
        <f ca="1">IFERROR(__xludf.DUMMYFUNCTION("""COMPUTED_VALUE"""),"&lt;ruby&gt;搭&lt;rt&gt;dā&lt;/rt&gt;&lt;/ruby&gt;")</f>
        <v>&lt;ruby&gt;搭&lt;rt&gt;dā&lt;/rt&gt;&lt;/ruby&gt;</v>
      </c>
      <c r="E2107" s="13" t="str">
        <f ca="1">IFERROR(__xludf.DUMMYFUNCTION("""COMPUTED_VALUE"""),"dā")</f>
        <v>dā</v>
      </c>
      <c r="F2107" s="13" t="str">
        <f ca="1">IFERROR(__xludf.DUMMYFUNCTION("""COMPUTED_VALUE"""),"Động từ")</f>
        <v>Động từ</v>
      </c>
      <c r="G2107" s="13" t="str">
        <f ca="1">IFERROR(__xludf.DUMMYFUNCTION("""COMPUTED_VALUE"""),"vắt, mắc")</f>
        <v>vắt, mắc</v>
      </c>
      <c r="H2107" s="13" t="str">
        <f ca="1">IFERROR(__xludf.DUMMYFUNCTION("""COMPUTED_VALUE"""),"把衣服搭在晾衣绳上。")</f>
        <v>把衣服搭在晾衣绳上。</v>
      </c>
      <c r="I2107" s="13"/>
      <c r="J2107" s="13" t="str">
        <f ca="1">IFERROR(__xludf.DUMMYFUNCTION("""COMPUTED_VALUE"""),"Vắt quần áo lên dây phơi.")</f>
        <v>Vắt quần áo lên dây phơi.</v>
      </c>
      <c r="K2107" s="13" t="str">
        <f ca="1">IFERROR(__xludf.DUMMYFUNCTION("""COMPUTED_VALUE"""),"H5_B20_BG-19.png")</f>
        <v>H5_B20_BG-19.png</v>
      </c>
      <c r="L2107" s="13" t="str">
        <f ca="1">IFERROR(__xludf.DUMMYFUNCTION("""COMPUTED_VALUE"""),"B20_19.mp3")</f>
        <v>B20_19.mp3</v>
      </c>
      <c r="M2107" s="13" t="str">
        <f ca="1">IFERROR(__xludf.DUMMYFUNCTION("""COMPUTED_VALUE"""),"B20_VD_19.mp3")</f>
        <v>B20_VD_19.mp3</v>
      </c>
    </row>
    <row r="2108" spans="1:13">
      <c r="A2108" s="13">
        <f ca="1">IFERROR(__xludf.DUMMYFUNCTION("""COMPUTED_VALUE"""),20)</f>
        <v>20</v>
      </c>
      <c r="B2108" s="13"/>
      <c r="C2108" s="13" t="str">
        <f ca="1">IFERROR(__xludf.DUMMYFUNCTION("""COMPUTED_VALUE"""),"摊")</f>
        <v>摊</v>
      </c>
      <c r="D2108" s="13" t="str">
        <f ca="1">IFERROR(__xludf.DUMMYFUNCTION("""COMPUTED_VALUE"""),"&lt;ruby&gt;摊&lt;rt&gt;tān&lt;/rt&gt;&lt;/ruby&gt;")</f>
        <v>&lt;ruby&gt;摊&lt;rt&gt;tān&lt;/rt&gt;&lt;/ruby&gt;</v>
      </c>
      <c r="E2108" s="13" t="str">
        <f ca="1">IFERROR(__xludf.DUMMYFUNCTION("""COMPUTED_VALUE"""),"tān")</f>
        <v>tān</v>
      </c>
      <c r="F2108" s="13" t="str">
        <f ca="1">IFERROR(__xludf.DUMMYFUNCTION("""COMPUTED_VALUE"""),"Danh từ")</f>
        <v>Danh từ</v>
      </c>
      <c r="G2108" s="13" t="str">
        <f ca="1">IFERROR(__xludf.DUMMYFUNCTION("""COMPUTED_VALUE"""),"quầy, sạp")</f>
        <v>quầy, sạp</v>
      </c>
      <c r="H2108" s="13" t="str">
        <f ca="1">IFERROR(__xludf.DUMMYFUNCTION("""COMPUTED_VALUE"""),"市场里有很多摊。")</f>
        <v>市场里有很多摊。</v>
      </c>
      <c r="I2108" s="13"/>
      <c r="J2108" s="13" t="str">
        <f ca="1">IFERROR(__xludf.DUMMYFUNCTION("""COMPUTED_VALUE"""),"Trong chợ có rất nhiều quầy hàng.")</f>
        <v>Trong chợ có rất nhiều quầy hàng.</v>
      </c>
      <c r="K2108" s="13" t="str">
        <f ca="1">IFERROR(__xludf.DUMMYFUNCTION("""COMPUTED_VALUE"""),"H5_B20_BG-20.png")</f>
        <v>H5_B20_BG-20.png</v>
      </c>
      <c r="L2108" s="13" t="str">
        <f ca="1">IFERROR(__xludf.DUMMYFUNCTION("""COMPUTED_VALUE"""),"B20_20.mp3")</f>
        <v>B20_20.mp3</v>
      </c>
      <c r="M2108" s="13" t="str">
        <f ca="1">IFERROR(__xludf.DUMMYFUNCTION("""COMPUTED_VALUE"""),"B20_VD_20.mp3")</f>
        <v>B20_VD_20.mp3</v>
      </c>
    </row>
    <row r="2109" spans="1:13">
      <c r="A2109" s="13">
        <f ca="1">IFERROR(__xludf.DUMMYFUNCTION("""COMPUTED_VALUE"""),21)</f>
        <v>21</v>
      </c>
      <c r="B2109" s="13"/>
      <c r="C2109" s="13" t="str">
        <f ca="1">IFERROR(__xludf.DUMMYFUNCTION("""COMPUTED_VALUE"""),"出版")</f>
        <v>出版</v>
      </c>
      <c r="D2109" s="13" t="str">
        <f ca="1">IFERROR(__xludf.DUMMYFUNCTION("""COMPUTED_VALUE"""),"&lt;ruby&gt;出版&lt;rt&gt;chūbǎn&lt;/rt&gt;&lt;/ruby&gt;")</f>
        <v>&lt;ruby&gt;出版&lt;rt&gt;chūbǎn&lt;/rt&gt;&lt;/ruby&gt;</v>
      </c>
      <c r="E2109" s="13" t="str">
        <f ca="1">IFERROR(__xludf.DUMMYFUNCTION("""COMPUTED_VALUE"""),"chūbǎn")</f>
        <v>chūbǎn</v>
      </c>
      <c r="F2109" s="13" t="str">
        <f ca="1">IFERROR(__xludf.DUMMYFUNCTION("""COMPUTED_VALUE"""),"Động từ")</f>
        <v>Động từ</v>
      </c>
      <c r="G2109" s="13" t="str">
        <f ca="1">IFERROR(__xludf.DUMMYFUNCTION("""COMPUTED_VALUE"""),"xuất bản")</f>
        <v>xuất bản</v>
      </c>
      <c r="H2109" s="13" t="str">
        <f ca="1">IFERROR(__xludf.DUMMYFUNCTION("""COMPUTED_VALUE"""),"这份报纸是我们报社出版的。")</f>
        <v>这份报纸是我们报社出版的。</v>
      </c>
      <c r="I2109" s="13"/>
      <c r="J2109" s="13" t="str">
        <f ca="1">IFERROR(__xludf.DUMMYFUNCTION("""COMPUTED_VALUE"""),"Tờ báo này là do tòa soạn tôi xuất bản.")</f>
        <v>Tờ báo này là do tòa soạn tôi xuất bản.</v>
      </c>
      <c r="K2109" s="13" t="str">
        <f ca="1">IFERROR(__xludf.DUMMYFUNCTION("""COMPUTED_VALUE"""),"H5_B20_BG-21.png")</f>
        <v>H5_B20_BG-21.png</v>
      </c>
      <c r="L2109" s="13" t="str">
        <f ca="1">IFERROR(__xludf.DUMMYFUNCTION("""COMPUTED_VALUE"""),"B20_21.mp3")</f>
        <v>B20_21.mp3</v>
      </c>
      <c r="M2109" s="13" t="str">
        <f ca="1">IFERROR(__xludf.DUMMYFUNCTION("""COMPUTED_VALUE"""),"B20_VD_21.mp3")</f>
        <v>B20_VD_21.mp3</v>
      </c>
    </row>
    <row r="2110" spans="1:13">
      <c r="A2110" s="13">
        <f ca="1">IFERROR(__xludf.DUMMYFUNCTION("""COMPUTED_VALUE"""),22)</f>
        <v>22</v>
      </c>
      <c r="B2110" s="13"/>
      <c r="C2110" s="13" t="str">
        <f ca="1">IFERROR(__xludf.DUMMYFUNCTION("""COMPUTED_VALUE"""),"连环画")</f>
        <v>连环画</v>
      </c>
      <c r="D2110" s="13" t="str">
        <f ca="1">IFERROR(__xludf.DUMMYFUNCTION("""COMPUTED_VALUE"""),"&lt;ruby&gt;连环画&lt;rt&gt;liánhuánhuà&lt;/rt&gt;&lt;/ruby&gt;")</f>
        <v>&lt;ruby&gt;连环画&lt;rt&gt;liánhuánhuà&lt;/rt&gt;&lt;/ruby&gt;</v>
      </c>
      <c r="E2110" s="13" t="str">
        <f ca="1">IFERROR(__xludf.DUMMYFUNCTION("""COMPUTED_VALUE"""),"liánhuánhuà")</f>
        <v>liánhuánhuà</v>
      </c>
      <c r="F2110" s="13" t="str">
        <f ca="1">IFERROR(__xludf.DUMMYFUNCTION("""COMPUTED_VALUE"""),"Danh từ")</f>
        <v>Danh từ</v>
      </c>
      <c r="G2110" s="13" t="str">
        <f ca="1">IFERROR(__xludf.DUMMYFUNCTION("""COMPUTED_VALUE"""),"sách truyện tranh")</f>
        <v>sách truyện tranh</v>
      </c>
      <c r="H2110" s="13" t="str">
        <f ca="1">IFERROR(__xludf.DUMMYFUNCTION("""COMPUTED_VALUE"""),"小时候我很喜欢看连环画。")</f>
        <v>小时候我很喜欢看连环画。</v>
      </c>
      <c r="I2110" s="13"/>
      <c r="J2110" s="13" t="str">
        <f ca="1">IFERROR(__xludf.DUMMYFUNCTION("""COMPUTED_VALUE"""),"Khi tôi còn nhỏ, tôi rất thích xem truyện tranh.")</f>
        <v>Khi tôi còn nhỏ, tôi rất thích xem truyện tranh.</v>
      </c>
      <c r="K2110" s="13" t="str">
        <f ca="1">IFERROR(__xludf.DUMMYFUNCTION("""COMPUTED_VALUE"""),"H5_B20_BG-22.png")</f>
        <v>H5_B20_BG-22.png</v>
      </c>
      <c r="L2110" s="13" t="str">
        <f ca="1">IFERROR(__xludf.DUMMYFUNCTION("""COMPUTED_VALUE"""),"B20_22.mp3")</f>
        <v>B20_22.mp3</v>
      </c>
      <c r="M2110" s="13" t="str">
        <f ca="1">IFERROR(__xludf.DUMMYFUNCTION("""COMPUTED_VALUE"""),"B20_VD_22.mp3")</f>
        <v>B20_VD_22.mp3</v>
      </c>
    </row>
    <row r="2111" spans="1:13">
      <c r="A2111" s="13">
        <f ca="1">IFERROR(__xludf.DUMMYFUNCTION("""COMPUTED_VALUE"""),23)</f>
        <v>23</v>
      </c>
      <c r="B2111" s="13"/>
      <c r="C2111" s="13" t="str">
        <f ca="1">IFERROR(__xludf.DUMMYFUNCTION("""COMPUTED_VALUE"""),"年代")</f>
        <v>年代</v>
      </c>
      <c r="D2111" s="13" t="str">
        <f ca="1">IFERROR(__xludf.DUMMYFUNCTION("""COMPUTED_VALUE"""),"&lt;ruby&gt;年代&lt;rt&gt;niándài&lt;/rt&gt;&lt;/ruby&gt;")</f>
        <v>&lt;ruby&gt;年代&lt;rt&gt;niándài&lt;/rt&gt;&lt;/ruby&gt;</v>
      </c>
      <c r="E2111" s="13" t="str">
        <f ca="1">IFERROR(__xludf.DUMMYFUNCTION("""COMPUTED_VALUE"""),"niándài")</f>
        <v>niándài</v>
      </c>
      <c r="F2111" s="13" t="str">
        <f ca="1">IFERROR(__xludf.DUMMYFUNCTION("""COMPUTED_VALUE"""),"Danh từ")</f>
        <v>Danh từ</v>
      </c>
      <c r="G2111" s="13" t="str">
        <f ca="1">IFERROR(__xludf.DUMMYFUNCTION("""COMPUTED_VALUE"""),"thập kỷ")</f>
        <v>thập kỷ</v>
      </c>
      <c r="H2111" s="13" t="str">
        <f ca="1">IFERROR(__xludf.DUMMYFUNCTION("""COMPUTED_VALUE"""),"这辆古董车是上个年代生产的。")</f>
        <v>这辆古董车是上个年代生产的。</v>
      </c>
      <c r="I2111" s="13"/>
      <c r="J2111" s="13" t="str">
        <f ca="1">IFERROR(__xludf.DUMMYFUNCTION("""COMPUTED_VALUE"""),"Chiếc ô tô cổ điển này được sản xuất vào những thập kỷ trước.")</f>
        <v>Chiếc ô tô cổ điển này được sản xuất vào những thập kỷ trước.</v>
      </c>
      <c r="K2111" s="13" t="str">
        <f ca="1">IFERROR(__xludf.DUMMYFUNCTION("""COMPUTED_VALUE"""),"H5_B20_BG-23.png")</f>
        <v>H5_B20_BG-23.png</v>
      </c>
      <c r="L2111" s="13" t="str">
        <f ca="1">IFERROR(__xludf.DUMMYFUNCTION("""COMPUTED_VALUE"""),"B20_23.mp3")</f>
        <v>B20_23.mp3</v>
      </c>
      <c r="M2111" s="13" t="str">
        <f ca="1">IFERROR(__xludf.DUMMYFUNCTION("""COMPUTED_VALUE"""),"B20_VD_23.mp3")</f>
        <v>B20_VD_23.mp3</v>
      </c>
    </row>
    <row r="2112" spans="1:13">
      <c r="A2112" s="13">
        <f ca="1">IFERROR(__xludf.DUMMYFUNCTION("""COMPUTED_VALUE"""),24)</f>
        <v>24</v>
      </c>
      <c r="B2112" s="13"/>
      <c r="C2112" s="13" t="str">
        <f ca="1">IFERROR(__xludf.DUMMYFUNCTION("""COMPUTED_VALUE"""),"单调")</f>
        <v>单调</v>
      </c>
      <c r="D2112" s="13" t="str">
        <f ca="1">IFERROR(__xludf.DUMMYFUNCTION("""COMPUTED_VALUE"""),"&lt;ruby&gt;单调&lt;rt&gt;dāndiào&lt;/rt&gt;&lt;/ruby&gt;")</f>
        <v>&lt;ruby&gt;单调&lt;rt&gt;dāndiào&lt;/rt&gt;&lt;/ruby&gt;</v>
      </c>
      <c r="E2112" s="13" t="str">
        <f ca="1">IFERROR(__xludf.DUMMYFUNCTION("""COMPUTED_VALUE"""),"dāndiào")</f>
        <v>dāndiào</v>
      </c>
      <c r="F2112" s="13" t="str">
        <f ca="1">IFERROR(__xludf.DUMMYFUNCTION("""COMPUTED_VALUE"""),"Tính từ")</f>
        <v>Tính từ</v>
      </c>
      <c r="G2112" s="13" t="str">
        <f ca="1">IFERROR(__xludf.DUMMYFUNCTION("""COMPUTED_VALUE"""),"đơn điệu, nhàm chán")</f>
        <v>đơn điệu, nhàm chán</v>
      </c>
      <c r="H2112" s="13" t="str">
        <f ca="1">IFERROR(__xludf.DUMMYFUNCTION("""COMPUTED_VALUE"""),"他的工作很单调，每天都做同样的事情。")</f>
        <v>他的工作很单调，每天都做同样的事情。</v>
      </c>
      <c r="I2112" s="13"/>
      <c r="J2112" s="13" t="str">
        <f ca="1">IFERROR(__xludf.DUMMYFUNCTION("""COMPUTED_VALUE"""),"Công việc của anh ấy rất nhàm chán, mỗi ngày đều làm những việc giống nhau.")</f>
        <v>Công việc của anh ấy rất nhàm chán, mỗi ngày đều làm những việc giống nhau.</v>
      </c>
      <c r="K2112" s="13" t="str">
        <f ca="1">IFERROR(__xludf.DUMMYFUNCTION("""COMPUTED_VALUE"""),"H5_B20_BG-24.png")</f>
        <v>H5_B20_BG-24.png</v>
      </c>
      <c r="L2112" s="13" t="str">
        <f ca="1">IFERROR(__xludf.DUMMYFUNCTION("""COMPUTED_VALUE"""),"B20_24.mp3")</f>
        <v>B20_24.mp3</v>
      </c>
      <c r="M2112" s="13" t="str">
        <f ca="1">IFERROR(__xludf.DUMMYFUNCTION("""COMPUTED_VALUE"""),"B20_VD_24.mp3")</f>
        <v>B20_VD_24.mp3</v>
      </c>
    </row>
    <row r="2113" spans="1:13">
      <c r="A2113" s="13">
        <f ca="1">IFERROR(__xludf.DUMMYFUNCTION("""COMPUTED_VALUE"""),25)</f>
        <v>25</v>
      </c>
      <c r="B2113" s="13"/>
      <c r="C2113" s="13" t="str">
        <f ca="1">IFERROR(__xludf.DUMMYFUNCTION("""COMPUTED_VALUE"""),"网络")</f>
        <v>网络</v>
      </c>
      <c r="D2113" s="13" t="str">
        <f ca="1">IFERROR(__xludf.DUMMYFUNCTION("""COMPUTED_VALUE"""),"&lt;ruby&gt;网络&lt;rt&gt;wǎngluò&lt;/rt&gt;&lt;/ruby&gt;")</f>
        <v>&lt;ruby&gt;网络&lt;rt&gt;wǎngluò&lt;/rt&gt;&lt;/ruby&gt;</v>
      </c>
      <c r="E2113" s="13" t="str">
        <f ca="1">IFERROR(__xludf.DUMMYFUNCTION("""COMPUTED_VALUE"""),"wǎngluò")</f>
        <v>wǎngluò</v>
      </c>
      <c r="F2113" s="13" t="str">
        <f ca="1">IFERROR(__xludf.DUMMYFUNCTION("""COMPUTED_VALUE"""),"Danh từ")</f>
        <v>Danh từ</v>
      </c>
      <c r="G2113" s="13" t="str">
        <f ca="1">IFERROR(__xludf.DUMMYFUNCTION("""COMPUTED_VALUE"""),"mạng (internet)")</f>
        <v>mạng (internet)</v>
      </c>
      <c r="H2113" s="13" t="str">
        <f ca="1">IFERROR(__xludf.DUMMYFUNCTION("""COMPUTED_VALUE"""),"如今，很多人通过网络购物，又方便又快捷。")</f>
        <v>如今，很多人通过网络购物，又方便又快捷。</v>
      </c>
      <c r="I2113" s="13"/>
      <c r="J2113" s="13" t="str">
        <f ca="1">IFERROR(__xludf.DUMMYFUNCTION("""COMPUTED_VALUE"""),"Hiện nay, rất nhiều người mua sắm qua mạng, vừa tiện lợi lại nhanh chóng.")</f>
        <v>Hiện nay, rất nhiều người mua sắm qua mạng, vừa tiện lợi lại nhanh chóng.</v>
      </c>
      <c r="K2113" s="13" t="str">
        <f ca="1">IFERROR(__xludf.DUMMYFUNCTION("""COMPUTED_VALUE"""),"H5_B20_BG-25.png")</f>
        <v>H5_B20_BG-25.png</v>
      </c>
      <c r="L2113" s="13" t="str">
        <f ca="1">IFERROR(__xludf.DUMMYFUNCTION("""COMPUTED_VALUE"""),"B20_25.mp3")</f>
        <v>B20_25.mp3</v>
      </c>
      <c r="M2113" s="13" t="str">
        <f ca="1">IFERROR(__xludf.DUMMYFUNCTION("""COMPUTED_VALUE"""),"B20_VD_25.mp3")</f>
        <v>B20_VD_25.mp3</v>
      </c>
    </row>
    <row r="2114" spans="1:13">
      <c r="A2114" s="13">
        <f ca="1">IFERROR(__xludf.DUMMYFUNCTION("""COMPUTED_VALUE"""),26)</f>
        <v>26</v>
      </c>
      <c r="B2114" s="13"/>
      <c r="C2114" s="13" t="str">
        <f ca="1">IFERROR(__xludf.DUMMYFUNCTION("""COMPUTED_VALUE"""),"动画片")</f>
        <v>动画片</v>
      </c>
      <c r="D2114" s="13" t="str">
        <f ca="1">IFERROR(__xludf.DUMMYFUNCTION("""COMPUTED_VALUE"""),"&lt;ruby&gt;动画片&lt;rt&gt;dònghuàpiàn&lt;/rt&gt;&lt;/ruby&gt;")</f>
        <v>&lt;ruby&gt;动画片&lt;rt&gt;dònghuàpiàn&lt;/rt&gt;&lt;/ruby&gt;</v>
      </c>
      <c r="E2114" s="13" t="str">
        <f ca="1">IFERROR(__xludf.DUMMYFUNCTION("""COMPUTED_VALUE"""),"dònghuàpiàn")</f>
        <v>dònghuàpiàn</v>
      </c>
      <c r="F2114" s="13" t="str">
        <f ca="1">IFERROR(__xludf.DUMMYFUNCTION("""COMPUTED_VALUE"""),"Danh từ")</f>
        <v>Danh từ</v>
      </c>
      <c r="G2114" s="13" t="str">
        <f ca="1">IFERROR(__xludf.DUMMYFUNCTION("""COMPUTED_VALUE"""),"phim hoạt hình")</f>
        <v>phim hoạt hình</v>
      </c>
      <c r="H2114" s="13" t="str">
        <f ca="1">IFERROR(__xludf.DUMMYFUNCTION("""COMPUTED_VALUE"""),"孩子们每晚都喜欢看动画片。")</f>
        <v>孩子们每晚都喜欢看动画片。</v>
      </c>
      <c r="I2114" s="13"/>
      <c r="J2114" s="13" t="str">
        <f ca="1">IFERROR(__xludf.DUMMYFUNCTION("""COMPUTED_VALUE"""),"Bọn trẻ rất thích xem phim hoạt hình vào mỗi tối.")</f>
        <v>Bọn trẻ rất thích xem phim hoạt hình vào mỗi tối.</v>
      </c>
      <c r="K2114" s="13" t="str">
        <f ca="1">IFERROR(__xludf.DUMMYFUNCTION("""COMPUTED_VALUE"""),"H5_B20_BG-26.png")</f>
        <v>H5_B20_BG-26.png</v>
      </c>
      <c r="L2114" s="13" t="str">
        <f ca="1">IFERROR(__xludf.DUMMYFUNCTION("""COMPUTED_VALUE"""),"B20_26.mp3")</f>
        <v>B20_26.mp3</v>
      </c>
      <c r="M2114" s="13" t="str">
        <f ca="1">IFERROR(__xludf.DUMMYFUNCTION("""COMPUTED_VALUE"""),"B20_VD_26.mp3")</f>
        <v>B20_VD_26.mp3</v>
      </c>
    </row>
    <row r="2115" spans="1:13">
      <c r="A2115" s="13">
        <f ca="1">IFERROR(__xludf.DUMMYFUNCTION("""COMPUTED_VALUE"""),27)</f>
        <v>27</v>
      </c>
      <c r="B2115" s="13"/>
      <c r="C2115" s="13" t="str">
        <f ca="1">IFERROR(__xludf.DUMMYFUNCTION("""COMPUTED_VALUE"""),"娱乐")</f>
        <v>娱乐</v>
      </c>
      <c r="D2115" s="13" t="str">
        <f ca="1">IFERROR(__xludf.DUMMYFUNCTION("""COMPUTED_VALUE"""),"&lt;ruby&gt;娱乐&lt;rt&gt;yúlè&lt;/rt&gt;&lt;/ruby&gt;")</f>
        <v>&lt;ruby&gt;娱乐&lt;rt&gt;yúlè&lt;/rt&gt;&lt;/ruby&gt;</v>
      </c>
      <c r="E2115" s="13" t="str">
        <f ca="1">IFERROR(__xludf.DUMMYFUNCTION("""COMPUTED_VALUE"""),"yúlè")</f>
        <v>yúlè</v>
      </c>
      <c r="F2115" s="13" t="str">
        <f ca="1">IFERROR(__xludf.DUMMYFUNCTION("""COMPUTED_VALUE"""),"Danh từ/Động từ")</f>
        <v>Danh từ/Động từ</v>
      </c>
      <c r="G2115" s="13" t="str">
        <f ca="1">IFERROR(__xludf.DUMMYFUNCTION("""COMPUTED_VALUE"""),"thú tiêu khiển; giải trí")</f>
        <v>thú tiêu khiển; giải trí</v>
      </c>
      <c r="H2115" s="13" t="str">
        <f ca="1">IFERROR(__xludf.DUMMYFUNCTION("""COMPUTED_VALUE"""),"忙碌一天后，我喜欢通过玩游戏来娱乐。")</f>
        <v>忙碌一天后，我喜欢通过玩游戏来娱乐。</v>
      </c>
      <c r="I2115" s="13"/>
      <c r="J2115" s="13" t="str">
        <f ca="1">IFERROR(__xludf.DUMMYFUNCTION("""COMPUTED_VALUE"""),"Sau một ngày làm việc bận rộn, tôi thích giải trí bằng cách chơi game")</f>
        <v>Sau một ngày làm việc bận rộn, tôi thích giải trí bằng cách chơi game</v>
      </c>
      <c r="K2115" s="13" t="str">
        <f ca="1">IFERROR(__xludf.DUMMYFUNCTION("""COMPUTED_VALUE"""),"H5_B20_BG-27.png")</f>
        <v>H5_B20_BG-27.png</v>
      </c>
      <c r="L2115" s="13" t="str">
        <f ca="1">IFERROR(__xludf.DUMMYFUNCTION("""COMPUTED_VALUE"""),"B20_27.mp3")</f>
        <v>B20_27.mp3</v>
      </c>
      <c r="M2115" s="13" t="str">
        <f ca="1">IFERROR(__xludf.DUMMYFUNCTION("""COMPUTED_VALUE"""),"B20_VD_27.mp3")</f>
        <v>B20_VD_27.mp3</v>
      </c>
    </row>
    <row r="2116" spans="1:13">
      <c r="A2116" s="13">
        <f ca="1">IFERROR(__xludf.DUMMYFUNCTION("""COMPUTED_VALUE"""),28)</f>
        <v>28</v>
      </c>
      <c r="B2116" s="13"/>
      <c r="C2116" s="13" t="str">
        <f ca="1">IFERROR(__xludf.DUMMYFUNCTION("""COMPUTED_VALUE"""),"青少年")</f>
        <v>青少年</v>
      </c>
      <c r="D2116" s="13" t="str">
        <f ca="1">IFERROR(__xludf.DUMMYFUNCTION("""COMPUTED_VALUE"""),"&lt;ruby&gt;青少年&lt;rt&gt;qīng-shàonián&lt;/rt&gt;&lt;/ruby&gt;")</f>
        <v>&lt;ruby&gt;青少年&lt;rt&gt;qīng-shàonián&lt;/rt&gt;&lt;/ruby&gt;</v>
      </c>
      <c r="E2116" s="13" t="str">
        <f ca="1">IFERROR(__xludf.DUMMYFUNCTION("""COMPUTED_VALUE"""),"qīng-shàonián")</f>
        <v>qīng-shàonián</v>
      </c>
      <c r="F2116" s="13" t="str">
        <f ca="1">IFERROR(__xludf.DUMMYFUNCTION("""COMPUTED_VALUE"""),"Danh từ")</f>
        <v>Danh từ</v>
      </c>
      <c r="G2116" s="13" t="str">
        <f ca="1">IFERROR(__xludf.DUMMYFUNCTION("""COMPUTED_VALUE"""),"thanh thiếu niên")</f>
        <v>thanh thiếu niên</v>
      </c>
      <c r="H2116" s="13" t="str">
        <f ca="1">IFERROR(__xludf.DUMMYFUNCTION("""COMPUTED_VALUE"""),"青少年应该多参加体育活动，保持健康。")</f>
        <v>青少年应该多参加体育活动，保持健康。</v>
      </c>
      <c r="I2116" s="13"/>
      <c r="J2116" s="13" t="str">
        <f ca="1">IFERROR(__xludf.DUMMYFUNCTION("""COMPUTED_VALUE"""),"Thanh thiếu niên nên tham gia nhiều hoạt động thể thao để giữ gìn sức khỏe.")</f>
        <v>Thanh thiếu niên nên tham gia nhiều hoạt động thể thao để giữ gìn sức khỏe.</v>
      </c>
      <c r="K2116" s="13" t="str">
        <f ca="1">IFERROR(__xludf.DUMMYFUNCTION("""COMPUTED_VALUE"""),"H5_B20_BG-28.png")</f>
        <v>H5_B20_BG-28.png</v>
      </c>
      <c r="L2116" s="13" t="str">
        <f ca="1">IFERROR(__xludf.DUMMYFUNCTION("""COMPUTED_VALUE"""),"B20_28.mp3")</f>
        <v>B20_28.mp3</v>
      </c>
      <c r="M2116" s="13" t="str">
        <f ca="1">IFERROR(__xludf.DUMMYFUNCTION("""COMPUTED_VALUE"""),"B20_VD_28.mp3")</f>
        <v>B20_VD_28.mp3</v>
      </c>
    </row>
    <row r="2117" spans="1:13">
      <c r="A2117" s="13">
        <f ca="1">IFERROR(__xludf.DUMMYFUNCTION("""COMPUTED_VALUE"""),29)</f>
        <v>29</v>
      </c>
      <c r="B2117" s="13"/>
      <c r="C2117" s="13" t="str">
        <f ca="1">IFERROR(__xludf.DUMMYFUNCTION("""COMPUTED_VALUE"""),"题材")</f>
        <v>题材</v>
      </c>
      <c r="D2117" s="13" t="str">
        <f ca="1">IFERROR(__xludf.DUMMYFUNCTION("""COMPUTED_VALUE"""),"&lt;ruby&gt;题材&lt;rt&gt;tí cái&lt;/rt&gt;&lt;/ruby&gt;")</f>
        <v>&lt;ruby&gt;题材&lt;rt&gt;tí cái&lt;/rt&gt;&lt;/ruby&gt;</v>
      </c>
      <c r="E2117" s="13" t="str">
        <f ca="1">IFERROR(__xludf.DUMMYFUNCTION("""COMPUTED_VALUE"""),"tí cái")</f>
        <v>tí cái</v>
      </c>
      <c r="F2117" s="13" t="str">
        <f ca="1">IFERROR(__xludf.DUMMYFUNCTION("""COMPUTED_VALUE"""),"Danh từ")</f>
        <v>Danh từ</v>
      </c>
      <c r="G2117" s="13" t="str">
        <f ca="1">IFERROR(__xludf.DUMMYFUNCTION("""COMPUTED_VALUE"""),"đề tài, chủ đề")</f>
        <v>đề tài, chủ đề</v>
      </c>
      <c r="H2117" s="13" t="str">
        <f ca="1">IFERROR(__xludf.DUMMYFUNCTION("""COMPUTED_VALUE"""),"这本书的题材是科幻小说。")</f>
        <v>这本书的题材是科幻小说。</v>
      </c>
      <c r="I2117" s="13"/>
      <c r="J2117" s="13" t="str">
        <f ca="1">IFERROR(__xludf.DUMMYFUNCTION("""COMPUTED_VALUE"""),"Đề tài của cuốn sách này là khoa học viễn tưởng")</f>
        <v>Đề tài của cuốn sách này là khoa học viễn tưởng</v>
      </c>
      <c r="K2117" s="13" t="str">
        <f ca="1">IFERROR(__xludf.DUMMYFUNCTION("""COMPUTED_VALUE"""),"H5_B20_BG-29.png")</f>
        <v>H5_B20_BG-29.png</v>
      </c>
      <c r="L2117" s="13" t="str">
        <f ca="1">IFERROR(__xludf.DUMMYFUNCTION("""COMPUTED_VALUE"""),"B20_29.mp3")</f>
        <v>B20_29.mp3</v>
      </c>
      <c r="M2117" s="13" t="str">
        <f ca="1">IFERROR(__xludf.DUMMYFUNCTION("""COMPUTED_VALUE"""),"B20_VD_29.mp3")</f>
        <v>B20_VD_29.mp3</v>
      </c>
    </row>
    <row r="2118" spans="1:13">
      <c r="A2118" s="13">
        <f ca="1">IFERROR(__xludf.DUMMYFUNCTION("""COMPUTED_VALUE"""),30)</f>
        <v>30</v>
      </c>
      <c r="B2118" s="13"/>
      <c r="C2118" s="13" t="str">
        <f ca="1">IFERROR(__xludf.DUMMYFUNCTION("""COMPUTED_VALUE"""),"翻")</f>
        <v>翻</v>
      </c>
      <c r="D2118" s="13" t="str">
        <f ca="1">IFERROR(__xludf.DUMMYFUNCTION("""COMPUTED_VALUE"""),"&lt;ruby&gt;翻&lt;rt&gt;fān&lt;/rt&gt;&lt;/ruby&gt;")</f>
        <v>&lt;ruby&gt;翻&lt;rt&gt;fān&lt;/rt&gt;&lt;/ruby&gt;</v>
      </c>
      <c r="E2118" s="13" t="str">
        <f ca="1">IFERROR(__xludf.DUMMYFUNCTION("""COMPUTED_VALUE"""),"fān")</f>
        <v>fān</v>
      </c>
      <c r="F2118" s="13" t="str">
        <f ca="1">IFERROR(__xludf.DUMMYFUNCTION("""COMPUTED_VALUE"""),"Động từ")</f>
        <v>Động từ</v>
      </c>
      <c r="G2118" s="13" t="str">
        <f ca="1">IFERROR(__xludf.DUMMYFUNCTION("""COMPUTED_VALUE"""),"lật, giở")</f>
        <v>lật, giở</v>
      </c>
      <c r="H2118" s="13" t="str">
        <f ca="1">IFERROR(__xludf.DUMMYFUNCTION("""COMPUTED_VALUE"""),"翻开书查找信息。")</f>
        <v>翻开书查找信息。</v>
      </c>
      <c r="I2118" s="13"/>
      <c r="J2118" s="13" t="str">
        <f ca="1">IFERROR(__xludf.DUMMYFUNCTION("""COMPUTED_VALUE"""),"Lật sách tìm kiếm thông tin.")</f>
        <v>Lật sách tìm kiếm thông tin.</v>
      </c>
      <c r="K2118" s="13" t="str">
        <f ca="1">IFERROR(__xludf.DUMMYFUNCTION("""COMPUTED_VALUE"""),"H5_B20_BG-30.png")</f>
        <v>H5_B20_BG-30.png</v>
      </c>
      <c r="L2118" s="13" t="str">
        <f ca="1">IFERROR(__xludf.DUMMYFUNCTION("""COMPUTED_VALUE"""),"B20_30.mp3")</f>
        <v>B20_30.mp3</v>
      </c>
      <c r="M2118" s="13" t="str">
        <f ca="1">IFERROR(__xludf.DUMMYFUNCTION("""COMPUTED_VALUE"""),"B20_VD_30.mp3")</f>
        <v>B20_VD_30.mp3</v>
      </c>
    </row>
    <row r="2119" spans="1:13">
      <c r="A2119" s="13">
        <f ca="1">IFERROR(__xludf.DUMMYFUNCTION("""COMPUTED_VALUE"""),31)</f>
        <v>31</v>
      </c>
      <c r="B2119" s="13"/>
      <c r="C2119" s="13" t="str">
        <f ca="1">IFERROR(__xludf.DUMMYFUNCTION("""COMPUTED_VALUE"""),"册")</f>
        <v>册</v>
      </c>
      <c r="D2119" s="13" t="str">
        <f ca="1">IFERROR(__xludf.DUMMYFUNCTION("""COMPUTED_VALUE"""),"&lt;ruby&gt;册&lt;rt&gt;cè&lt;/rt&gt;&lt;/ruby&gt;")</f>
        <v>&lt;ruby&gt;册&lt;rt&gt;cè&lt;/rt&gt;&lt;/ruby&gt;</v>
      </c>
      <c r="E2119" s="13" t="str">
        <f ca="1">IFERROR(__xludf.DUMMYFUNCTION("""COMPUTED_VALUE"""),"cè")</f>
        <v>cè</v>
      </c>
      <c r="F2119" s="13" t="str">
        <f ca="1">IFERROR(__xludf.DUMMYFUNCTION("""COMPUTED_VALUE"""),"Lượng từ")</f>
        <v>Lượng từ</v>
      </c>
      <c r="G2119" s="13" t="str">
        <f ca="1">IFERROR(__xludf.DUMMYFUNCTION("""COMPUTED_VALUE"""),"cuốn, quyển, tập")</f>
        <v>cuốn, quyển, tập</v>
      </c>
      <c r="H2119" s="13" t="str">
        <f ca="1">IFERROR(__xludf.DUMMYFUNCTION("""COMPUTED_VALUE"""),"这套书共有三册，非常适合年轻人阅读。")</f>
        <v>这套书共有三册，非常适合年轻人阅读。</v>
      </c>
      <c r="I2119" s="13"/>
      <c r="J2119" s="13" t="str">
        <f ca="1">IFERROR(__xludf.DUMMYFUNCTION("""COMPUTED_VALUE"""),"Bộ sách này gồm 3 quyển, rất phù hợp với các bạn trẻ.")</f>
        <v>Bộ sách này gồm 3 quyển, rất phù hợp với các bạn trẻ.</v>
      </c>
      <c r="K2119" s="13" t="str">
        <f ca="1">IFERROR(__xludf.DUMMYFUNCTION("""COMPUTED_VALUE"""),"H5_B20_BG-31.png")</f>
        <v>H5_B20_BG-31.png</v>
      </c>
      <c r="L2119" s="13" t="str">
        <f ca="1">IFERROR(__xludf.DUMMYFUNCTION("""COMPUTED_VALUE"""),"B20_31.mp3")</f>
        <v>B20_31.mp3</v>
      </c>
      <c r="M2119" s="13" t="str">
        <f ca="1">IFERROR(__xludf.DUMMYFUNCTION("""COMPUTED_VALUE"""),"B20_VD_31.mp3")</f>
        <v>B20_VD_31.mp3</v>
      </c>
    </row>
    <row r="2120" spans="1:13">
      <c r="A2120" s="13">
        <f ca="1">IFERROR(__xludf.DUMMYFUNCTION("""COMPUTED_VALUE"""),32)</f>
        <v>32</v>
      </c>
      <c r="B2120" s="13"/>
      <c r="C2120" s="13" t="str">
        <f ca="1">IFERROR(__xludf.DUMMYFUNCTION("""COMPUTED_VALUE"""),"印刷")</f>
        <v>印刷</v>
      </c>
      <c r="D2120" s="13" t="str">
        <f ca="1">IFERROR(__xludf.DUMMYFUNCTION("""COMPUTED_VALUE"""),"&lt;ruby&gt;印刷&lt;rt&gt;yìnshuā&lt;/rt&gt;&lt;/ruby&gt;")</f>
        <v>&lt;ruby&gt;印刷&lt;rt&gt;yìnshuā&lt;/rt&gt;&lt;/ruby&gt;</v>
      </c>
      <c r="E2120" s="13" t="str">
        <f ca="1">IFERROR(__xludf.DUMMYFUNCTION("""COMPUTED_VALUE"""),"yìnshuā")</f>
        <v>yìnshuā</v>
      </c>
      <c r="F2120" s="13" t="str">
        <f ca="1">IFERROR(__xludf.DUMMYFUNCTION("""COMPUTED_VALUE"""),"Động từ")</f>
        <v>Động từ</v>
      </c>
      <c r="G2120" s="13" t="str">
        <f ca="1">IFERROR(__xludf.DUMMYFUNCTION("""COMPUTED_VALUE"""),"in (sách, báo...)")</f>
        <v>in (sách, báo...)</v>
      </c>
      <c r="H2120" s="13" t="str">
        <f ca="1">IFERROR(__xludf.DUMMYFUNCTION("""COMPUTED_VALUE"""),"这本书已经印刷完成，明天就会发行。")</f>
        <v>这本书已经印刷完成，明天就会发行。</v>
      </c>
      <c r="I2120" s="13"/>
      <c r="J2120" s="13" t="str">
        <f ca="1">IFERROR(__xludf.DUMMYFUNCTION("""COMPUTED_VALUE"""),"Cuốn sách này đã được in xong, ngày mai sẽ được phát hành.")</f>
        <v>Cuốn sách này đã được in xong, ngày mai sẽ được phát hành.</v>
      </c>
      <c r="K2120" s="13" t="str">
        <f ca="1">IFERROR(__xludf.DUMMYFUNCTION("""COMPUTED_VALUE"""),"H5_B20_BG-32.png")</f>
        <v>H5_B20_BG-32.png</v>
      </c>
      <c r="L2120" s="13" t="str">
        <f ca="1">IFERROR(__xludf.DUMMYFUNCTION("""COMPUTED_VALUE"""),"B20_32.mp3")</f>
        <v>B20_32.mp3</v>
      </c>
      <c r="M2120" s="13" t="str">
        <f ca="1">IFERROR(__xludf.DUMMYFUNCTION("""COMPUTED_VALUE"""),"B20_VD_32.mp3")</f>
        <v>B20_VD_32.mp3</v>
      </c>
    </row>
    <row r="2121" spans="1:13">
      <c r="A2121" s="13">
        <f ca="1">IFERROR(__xludf.DUMMYFUNCTION("""COMPUTED_VALUE"""),33)</f>
        <v>33</v>
      </c>
      <c r="B2121" s="13"/>
      <c r="C2121" s="13" t="str">
        <f ca="1">IFERROR(__xludf.DUMMYFUNCTION("""COMPUTED_VALUE"""),"收藏")</f>
        <v>收藏</v>
      </c>
      <c r="D2121" s="13" t="str">
        <f ca="1">IFERROR(__xludf.DUMMYFUNCTION("""COMPUTED_VALUE"""),"&lt;ruby&gt;收藏&lt;rt&gt;shōucáng&lt;/rt&gt;&lt;/ruby&gt;")</f>
        <v>&lt;ruby&gt;收藏&lt;rt&gt;shōucáng&lt;/rt&gt;&lt;/ruby&gt;</v>
      </c>
      <c r="E2121" s="13" t="str">
        <f ca="1">IFERROR(__xludf.DUMMYFUNCTION("""COMPUTED_VALUE"""),"shōucáng")</f>
        <v>shōucáng</v>
      </c>
      <c r="F2121" s="13" t="str">
        <f ca="1">IFERROR(__xludf.DUMMYFUNCTION("""COMPUTED_VALUE"""),"Động từ")</f>
        <v>Động từ</v>
      </c>
      <c r="G2121" s="13" t="str">
        <f ca="1">IFERROR(__xludf.DUMMYFUNCTION("""COMPUTED_VALUE"""),"sưu tầm, thu thập")</f>
        <v>sưu tầm, thu thập</v>
      </c>
      <c r="H2121" s="13" t="str">
        <f ca="1">IFERROR(__xludf.DUMMYFUNCTION("""COMPUTED_VALUE"""),"他一直在收藏稀有硬币，现在已经有一个完整的收藏。")</f>
        <v>他一直在收藏稀有硬币，现在已经有一个完整的收藏。</v>
      </c>
      <c r="I2121" s="13"/>
      <c r="J2121" s="13" t="str">
        <f ca="1">IFERROR(__xludf.DUMMYFUNCTION("""COMPUTED_VALUE"""),"Anh ấy luôn sưu tầm những đồng xu hiếm, và đã có một bộ sưu tập hoàn chỉnh.")</f>
        <v>Anh ấy luôn sưu tầm những đồng xu hiếm, và đã có một bộ sưu tập hoàn chỉnh.</v>
      </c>
      <c r="K2121" s="13" t="str">
        <f ca="1">IFERROR(__xludf.DUMMYFUNCTION("""COMPUTED_VALUE"""),"H5_B20_BG-33.png")</f>
        <v>H5_B20_BG-33.png</v>
      </c>
      <c r="L2121" s="13" t="str">
        <f ca="1">IFERROR(__xludf.DUMMYFUNCTION("""COMPUTED_VALUE"""),"B20_33.mp3")</f>
        <v>B20_33.mp3</v>
      </c>
      <c r="M2121" s="13" t="str">
        <f ca="1">IFERROR(__xludf.DUMMYFUNCTION("""COMPUTED_VALUE"""),"B20_VD_33.mp3")</f>
        <v>B20_VD_33.mp3</v>
      </c>
    </row>
    <row r="2122" spans="1:13">
      <c r="A2122" s="13">
        <f ca="1">IFERROR(__xludf.DUMMYFUNCTION("""COMPUTED_VALUE"""),34)</f>
        <v>34</v>
      </c>
      <c r="B2122" s="13"/>
      <c r="C2122" s="13" t="str">
        <f ca="1">IFERROR(__xludf.DUMMYFUNCTION("""COMPUTED_VALUE"""),"年纪")</f>
        <v>年纪</v>
      </c>
      <c r="D2122" s="13" t="str">
        <f ca="1">IFERROR(__xludf.DUMMYFUNCTION("""COMPUTED_VALUE"""),"&lt;ruby&gt;年纪&lt;rt&gt;niánjì&lt;/rt&gt;&lt;/ruby&gt;")</f>
        <v>&lt;ruby&gt;年纪&lt;rt&gt;niánjì&lt;/rt&gt;&lt;/ruby&gt;</v>
      </c>
      <c r="E2122" s="13" t="str">
        <f ca="1">IFERROR(__xludf.DUMMYFUNCTION("""COMPUTED_VALUE"""),"niánjì")</f>
        <v>niánjì</v>
      </c>
      <c r="F2122" s="13" t="str">
        <f ca="1">IFERROR(__xludf.DUMMYFUNCTION("""COMPUTED_VALUE"""),"Danh từ")</f>
        <v>Danh từ</v>
      </c>
      <c r="G2122" s="13" t="str">
        <f ca="1">IFERROR(__xludf.DUMMYFUNCTION("""COMPUTED_VALUE"""),"tuổi")</f>
        <v>tuổi</v>
      </c>
      <c r="H2122" s="13" t="str">
        <f ca="1">IFERROR(__xludf.DUMMYFUNCTION("""COMPUTED_VALUE"""),"他今年才十岁，年纪小但很聪明。")</f>
        <v>他今年才十岁，年纪小但很聪明。</v>
      </c>
      <c r="I2122" s="13"/>
      <c r="J2122" s="13" t="str">
        <f ca="1">IFERROR(__xludf.DUMMYFUNCTION("""COMPUTED_VALUE"""),"Năm nay anh ấy đã 10 tuổi, tuổi còn nhỏ nhưng vẫn rất khỏe.")</f>
        <v>Năm nay anh ấy đã 10 tuổi, tuổi còn nhỏ nhưng vẫn rất khỏe.</v>
      </c>
      <c r="K2122" s="13" t="str">
        <f ca="1">IFERROR(__xludf.DUMMYFUNCTION("""COMPUTED_VALUE"""),"H5_B20_BG-34.png")</f>
        <v>H5_B20_BG-34.png</v>
      </c>
      <c r="L2122" s="13" t="str">
        <f ca="1">IFERROR(__xludf.DUMMYFUNCTION("""COMPUTED_VALUE"""),"B20_34.mp3")</f>
        <v>B20_34.mp3</v>
      </c>
      <c r="M2122" s="13" t="str">
        <f ca="1">IFERROR(__xludf.DUMMYFUNCTION("""COMPUTED_VALUE"""),"B20_VD_34.mp3")</f>
        <v>B20_VD_34.mp3</v>
      </c>
    </row>
    <row r="2123" spans="1:13">
      <c r="A2123" s="13">
        <f ca="1">IFERROR(__xludf.DUMMYFUNCTION("""COMPUTED_VALUE"""),35)</f>
        <v>35</v>
      </c>
      <c r="B2123" s="13"/>
      <c r="C2123" s="13" t="str">
        <f ca="1">IFERROR(__xludf.DUMMYFUNCTION("""COMPUTED_VALUE"""),"身材")</f>
        <v>身材</v>
      </c>
      <c r="D2123" s="13" t="str">
        <f ca="1">IFERROR(__xludf.DUMMYFUNCTION("""COMPUTED_VALUE"""),"&lt;ruby&gt;身材&lt;rt&gt;shēncái&lt;/rt&gt;&lt;/ruby&gt;")</f>
        <v>&lt;ruby&gt;身材&lt;rt&gt;shēncái&lt;/rt&gt;&lt;/ruby&gt;</v>
      </c>
      <c r="E2123" s="13" t="str">
        <f ca="1">IFERROR(__xludf.DUMMYFUNCTION("""COMPUTED_VALUE"""),"shēncái")</f>
        <v>shēncái</v>
      </c>
      <c r="F2123" s="13" t="str">
        <f ca="1">IFERROR(__xludf.DUMMYFUNCTION("""COMPUTED_VALUE"""),"Danh từ")</f>
        <v>Danh từ</v>
      </c>
      <c r="G2123" s="13" t="str">
        <f ca="1">IFERROR(__xludf.DUMMYFUNCTION("""COMPUTED_VALUE"""),"vóc dáng, dáng người")</f>
        <v>vóc dáng, dáng người</v>
      </c>
      <c r="H2123" s="13" t="str">
        <f ca="1">IFERROR(__xludf.DUMMYFUNCTION("""COMPUTED_VALUE"""),"她的身材很苗条。")</f>
        <v>她的身材很苗条。</v>
      </c>
      <c r="I2123" s="13"/>
      <c r="J2123" s="13" t="str">
        <f ca="1">IFERROR(__xludf.DUMMYFUNCTION("""COMPUTED_VALUE"""),"Vóc dáng của cô ấy mảnh mai")</f>
        <v>Vóc dáng của cô ấy mảnh mai</v>
      </c>
      <c r="K2123" s="13" t="str">
        <f ca="1">IFERROR(__xludf.DUMMYFUNCTION("""COMPUTED_VALUE"""),"H5_B20_BG-35.png")</f>
        <v>H5_B20_BG-35.png</v>
      </c>
      <c r="L2123" s="13" t="str">
        <f ca="1">IFERROR(__xludf.DUMMYFUNCTION("""COMPUTED_VALUE"""),"B20_35.mp3")</f>
        <v>B20_35.mp3</v>
      </c>
      <c r="M2123" s="13" t="str">
        <f ca="1">IFERROR(__xludf.DUMMYFUNCTION("""COMPUTED_VALUE"""),"B20_VD_35.mp3")</f>
        <v>B20_VD_35.mp3</v>
      </c>
    </row>
    <row r="2124" spans="1:13">
      <c r="A2124" s="13">
        <f ca="1">IFERROR(__xludf.DUMMYFUNCTION("""COMPUTED_VALUE"""),36)</f>
        <v>36</v>
      </c>
      <c r="B2124" s="13"/>
      <c r="C2124" s="13" t="str">
        <f ca="1">IFERROR(__xludf.DUMMYFUNCTION("""COMPUTED_VALUE"""),"成人")</f>
        <v>成人</v>
      </c>
      <c r="D2124" s="13" t="str">
        <f ca="1">IFERROR(__xludf.DUMMYFUNCTION("""COMPUTED_VALUE"""),"&lt;ruby&gt;成人&lt;rt&gt;chéngrén&lt;/rt&gt;&lt;/ruby&gt;")</f>
        <v>&lt;ruby&gt;成人&lt;rt&gt;chéngrén&lt;/rt&gt;&lt;/ruby&gt;</v>
      </c>
      <c r="E2124" s="13" t="str">
        <f ca="1">IFERROR(__xludf.DUMMYFUNCTION("""COMPUTED_VALUE"""),"chéngrén")</f>
        <v>chéngrén</v>
      </c>
      <c r="F2124" s="13" t="str">
        <f ca="1">IFERROR(__xludf.DUMMYFUNCTION("""COMPUTED_VALUE"""),"Danh từ")</f>
        <v>Danh từ</v>
      </c>
      <c r="G2124" s="13" t="str">
        <f ca="1">IFERROR(__xludf.DUMMYFUNCTION("""COMPUTED_VALUE"""),"người lớn")</f>
        <v>người lớn</v>
      </c>
      <c r="H2124" s="13" t="str">
        <f ca="1">IFERROR(__xludf.DUMMYFUNCTION("""COMPUTED_VALUE"""),"成人旅游可以选择更多的活动，比如爬山。")</f>
        <v>成人旅游可以选择更多的活动，比如爬山。</v>
      </c>
      <c r="I2124" s="13"/>
      <c r="J2124" s="13" t="str">
        <f ca="1">IFERROR(__xludf.DUMMYFUNCTION("""COMPUTED_VALUE"""),"Người lớn khi đi du lịch có thể chọn nhiều loại hoạt động hơn, chẳng hạn như leo núi.")</f>
        <v>Người lớn khi đi du lịch có thể chọn nhiều loại hoạt động hơn, chẳng hạn như leo núi.</v>
      </c>
      <c r="K2124" s="13" t="str">
        <f ca="1">IFERROR(__xludf.DUMMYFUNCTION("""COMPUTED_VALUE"""),"H5_B20_BG-36.png")</f>
        <v>H5_B20_BG-36.png</v>
      </c>
      <c r="L2124" s="13" t="str">
        <f ca="1">IFERROR(__xludf.DUMMYFUNCTION("""COMPUTED_VALUE"""),"B20_36.mp3")</f>
        <v>B20_36.mp3</v>
      </c>
      <c r="M2124" s="13" t="str">
        <f ca="1">IFERROR(__xludf.DUMMYFUNCTION("""COMPUTED_VALUE"""),"B20_VD_36.mp3")</f>
        <v>B20_VD_36.mp3</v>
      </c>
    </row>
    <row r="2125" spans="1:13">
      <c r="A2125" s="13">
        <f ca="1">IFERROR(__xludf.DUMMYFUNCTION("""COMPUTED_VALUE"""),1)</f>
        <v>1</v>
      </c>
      <c r="B2125" s="13"/>
      <c r="C2125" s="13" t="str">
        <f ca="1">IFERROR(__xludf.DUMMYFUNCTION("""COMPUTED_VALUE"""),"逻辑")</f>
        <v>逻辑</v>
      </c>
      <c r="D2125" s="13" t="str">
        <f ca="1">IFERROR(__xludf.DUMMYFUNCTION("""COMPUTED_VALUE"""),"&lt;ruby&gt;逻辑&lt;rt&gt;luójí&lt;/rt&gt;&lt;/ruby&gt;")</f>
        <v>&lt;ruby&gt;逻辑&lt;rt&gt;luójí&lt;/rt&gt;&lt;/ruby&gt;</v>
      </c>
      <c r="E2125" s="13" t="str">
        <f ca="1">IFERROR(__xludf.DUMMYFUNCTION("""COMPUTED_VALUE"""),"luójí")</f>
        <v>luójí</v>
      </c>
      <c r="F2125" s="13" t="str">
        <f ca="1">IFERROR(__xludf.DUMMYFUNCTION("""COMPUTED_VALUE"""),"Danh từ")</f>
        <v>Danh từ</v>
      </c>
      <c r="G2125" s="13" t="str">
        <f ca="1">IFERROR(__xludf.DUMMYFUNCTION("""COMPUTED_VALUE"""),"lô-gích")</f>
        <v>lô-gích</v>
      </c>
      <c r="H2125" s="13" t="str">
        <f ca="1">IFERROR(__xludf.DUMMYFUNCTION("""COMPUTED_VALUE"""),"在会议上，他的演讲非常有逻辑，大家都感到信服。")</f>
        <v>在会议上，他的演讲非常有逻辑，大家都感到信服。</v>
      </c>
      <c r="I2125" s="13"/>
      <c r="J2125" s="13" t="str">
        <f ca="1">IFERROR(__xludf.DUMMYFUNCTION("""COMPUTED_VALUE"""),"Trong cuộc họp anh ấy thuyết trình rất logic mọi người đều thấy thuyết phục.")</f>
        <v>Trong cuộc họp anh ấy thuyết trình rất logic mọi người đều thấy thuyết phục.</v>
      </c>
      <c r="K2125" s="13" t="str">
        <f ca="1">IFERROR(__xludf.DUMMYFUNCTION("""COMPUTED_VALUE"""),"H5_B21_BG-01.png")</f>
        <v>H5_B21_BG-01.png</v>
      </c>
      <c r="L2125" s="13" t="str">
        <f ca="1">IFERROR(__xludf.DUMMYFUNCTION("""COMPUTED_VALUE"""),"B21_1.mp3")</f>
        <v>B21_1.mp3</v>
      </c>
      <c r="M2125" s="13" t="str">
        <f ca="1">IFERROR(__xludf.DUMMYFUNCTION("""COMPUTED_VALUE"""),"B21_VD_1.mp3")</f>
        <v>B21_VD_1.mp3</v>
      </c>
    </row>
    <row r="2126" spans="1:13">
      <c r="A2126" s="13">
        <f ca="1">IFERROR(__xludf.DUMMYFUNCTION("""COMPUTED_VALUE"""),2)</f>
        <v>2</v>
      </c>
      <c r="B2126" s="13"/>
      <c r="C2126" s="13" t="str">
        <f ca="1">IFERROR(__xludf.DUMMYFUNCTION("""COMPUTED_VALUE"""),"硬")</f>
        <v>硬</v>
      </c>
      <c r="D2126" s="13" t="str">
        <f ca="1">IFERROR(__xludf.DUMMYFUNCTION("""COMPUTED_VALUE"""),"&lt;ruby&gt;硬&lt;rt&gt;yìng&lt;/rt&gt;&lt;/ruby&gt;")</f>
        <v>&lt;ruby&gt;硬&lt;rt&gt;yìng&lt;/rt&gt;&lt;/ruby&gt;</v>
      </c>
      <c r="E2126" s="13" t="str">
        <f ca="1">IFERROR(__xludf.DUMMYFUNCTION("""COMPUTED_VALUE"""),"yìng")</f>
        <v>yìng</v>
      </c>
      <c r="F2126" s="13" t="str">
        <f ca="1">IFERROR(__xludf.DUMMYFUNCTION("""COMPUTED_VALUE"""),"Phó từ")</f>
        <v>Phó từ</v>
      </c>
      <c r="G2126" s="13" t="str">
        <f ca="1">IFERROR(__xludf.DUMMYFUNCTION("""COMPUTED_VALUE"""),"kiên quyết, (một cách) máy móc, cố gắng")</f>
        <v>kiên quyết, (một cách) máy móc, cố gắng</v>
      </c>
      <c r="H2126" s="13" t="str">
        <f ca="1">IFERROR(__xludf.DUMMYFUNCTION("""COMPUTED_VALUE"""),"他硬要每天坚持跑步，尽管天气很糟糕。")</f>
        <v>他硬要每天坚持跑步，尽管天气很糟糕。</v>
      </c>
      <c r="I2126" s="13"/>
      <c r="J2126" s="13" t="str">
        <f ca="1">IFERROR(__xludf.DUMMYFUNCTION("""COMPUTED_VALUE"""),"Anh ấy kiên quyết duy trì chạy bộ mỗi ngày, mặc dù thời tiết rất xấu.")</f>
        <v>Anh ấy kiên quyết duy trì chạy bộ mỗi ngày, mặc dù thời tiết rất xấu.</v>
      </c>
      <c r="K2126" s="13" t="str">
        <f ca="1">IFERROR(__xludf.DUMMYFUNCTION("""COMPUTED_VALUE"""),"H5_B21_BG-02.png")</f>
        <v>H5_B21_BG-02.png</v>
      </c>
      <c r="L2126" s="13" t="str">
        <f ca="1">IFERROR(__xludf.DUMMYFUNCTION("""COMPUTED_VALUE"""),"B21_2.mp3")</f>
        <v>B21_2.mp3</v>
      </c>
      <c r="M2126" s="13" t="str">
        <f ca="1">IFERROR(__xludf.DUMMYFUNCTION("""COMPUTED_VALUE"""),"B21_VD_2.mp3")</f>
        <v>B21_VD_2.mp3</v>
      </c>
    </row>
    <row r="2127" spans="1:13">
      <c r="A2127" s="13">
        <f ca="1">IFERROR(__xludf.DUMMYFUNCTION("""COMPUTED_VALUE"""),3)</f>
        <v>3</v>
      </c>
      <c r="B2127" s="13"/>
      <c r="C2127" s="13" t="str">
        <f ca="1">IFERROR(__xludf.DUMMYFUNCTION("""COMPUTED_VALUE"""),"死记硬背")</f>
        <v>死记硬背</v>
      </c>
      <c r="D2127" s="13" t="str">
        <f ca="1">IFERROR(__xludf.DUMMYFUNCTION("""COMPUTED_VALUE"""),"&lt;ruby&gt;死记硬背&lt;rt&gt;sǐjì-yìngbèi&lt;/rt&gt;&lt;/ruby&gt;")</f>
        <v>&lt;ruby&gt;死记硬背&lt;rt&gt;sǐjì-yìngbèi&lt;/rt&gt;&lt;/ruby&gt;</v>
      </c>
      <c r="E2127" s="13" t="str">
        <f ca="1">IFERROR(__xludf.DUMMYFUNCTION("""COMPUTED_VALUE"""),"sǐjì-yìngbèi")</f>
        <v>sǐjì-yìngbèi</v>
      </c>
      <c r="F2127" s="13"/>
      <c r="G2127" s="13" t="str">
        <f ca="1">IFERROR(__xludf.DUMMYFUNCTION("""COMPUTED_VALUE"""),"học thuộc lòng một cách máy móc")</f>
        <v>học thuộc lòng một cách máy móc</v>
      </c>
      <c r="H2127" s="13" t="str">
        <f ca="1">IFERROR(__xludf.DUMMYFUNCTION("""COMPUTED_VALUE"""),"他总是死记硬背，考试时却什么都想不起来。")</f>
        <v>他总是死记硬背，考试时却什么都想不起来。</v>
      </c>
      <c r="I2127" s="13"/>
      <c r="J2127" s="13" t="str">
        <f ca="1">IFERROR(__xludf.DUMMYFUNCTION("""COMPUTED_VALUE"""),"Anh ấy lúc nào cũng học thuộc lòng một cách máy móc, đến khi thi cử lại chẳng nhớ được gì.")</f>
        <v>Anh ấy lúc nào cũng học thuộc lòng một cách máy móc, đến khi thi cử lại chẳng nhớ được gì.</v>
      </c>
      <c r="K2127" s="13" t="str">
        <f ca="1">IFERROR(__xludf.DUMMYFUNCTION("""COMPUTED_VALUE"""),"H5_B21_BG-03.png")</f>
        <v>H5_B21_BG-03.png</v>
      </c>
      <c r="L2127" s="13" t="str">
        <f ca="1">IFERROR(__xludf.DUMMYFUNCTION("""COMPUTED_VALUE"""),"B21_3.mp3")</f>
        <v>B21_3.mp3</v>
      </c>
      <c r="M2127" s="13" t="str">
        <f ca="1">IFERROR(__xludf.DUMMYFUNCTION("""COMPUTED_VALUE"""),"B21_VD_3.mp3")</f>
        <v>B21_VD_3.mp3</v>
      </c>
    </row>
    <row r="2128" spans="1:13">
      <c r="A2128" s="13">
        <f ca="1">IFERROR(__xludf.DUMMYFUNCTION("""COMPUTED_VALUE"""),4)</f>
        <v>4</v>
      </c>
      <c r="B2128" s="13"/>
      <c r="C2128" s="13" t="str">
        <f ca="1">IFERROR(__xludf.DUMMYFUNCTION("""COMPUTED_VALUE"""),"演变")</f>
        <v>演变</v>
      </c>
      <c r="D2128" s="13" t="str">
        <f ca="1">IFERROR(__xludf.DUMMYFUNCTION("""COMPUTED_VALUE"""),"&lt;ruby&gt;演变&lt;rt&gt;yǎnbiàn&lt;/rt&gt;&lt;/ruby&gt;")</f>
        <v>&lt;ruby&gt;演变&lt;rt&gt;yǎnbiàn&lt;/rt&gt;&lt;/ruby&gt;</v>
      </c>
      <c r="E2128" s="13" t="str">
        <f ca="1">IFERROR(__xludf.DUMMYFUNCTION("""COMPUTED_VALUE"""),"yǎnbiàn")</f>
        <v>yǎnbiàn</v>
      </c>
      <c r="F2128" s="13" t="str">
        <f ca="1">IFERROR(__xludf.DUMMYFUNCTION("""COMPUTED_VALUE"""),"Động từ")</f>
        <v>Động từ</v>
      </c>
      <c r="G2128" s="13" t="str">
        <f ca="1">IFERROR(__xludf.DUMMYFUNCTION("""COMPUTED_VALUE"""),"biến đổi, tiến hóa")</f>
        <v>biến đổi, tiến hóa</v>
      </c>
      <c r="H2128" s="13" t="str">
        <f ca="1">IFERROR(__xludf.DUMMYFUNCTION("""COMPUTED_VALUE"""),"人类的演变是一个漫长而复杂的过程。")</f>
        <v>人类的演变是一个漫长而复杂的过程。</v>
      </c>
      <c r="I2128" s="13"/>
      <c r="J2128" s="13" t="str">
        <f ca="1">IFERROR(__xludf.DUMMYFUNCTION("""COMPUTED_VALUE"""),"Sự tiến hóa của loài người là một quá trình dài và phức tạp.")</f>
        <v>Sự tiến hóa của loài người là một quá trình dài và phức tạp.</v>
      </c>
      <c r="K2128" s="13" t="str">
        <f ca="1">IFERROR(__xludf.DUMMYFUNCTION("""COMPUTED_VALUE"""),"H5_B21_BG-04.png")</f>
        <v>H5_B21_BG-04.png</v>
      </c>
      <c r="L2128" s="13" t="str">
        <f ca="1">IFERROR(__xludf.DUMMYFUNCTION("""COMPUTED_VALUE"""),"B21_4.mp3")</f>
        <v>B21_4.mp3</v>
      </c>
      <c r="M2128" s="13" t="str">
        <f ca="1">IFERROR(__xludf.DUMMYFUNCTION("""COMPUTED_VALUE"""),"B21_VD_4.mp3")</f>
        <v>B21_VD_4.mp3</v>
      </c>
    </row>
    <row r="2129" spans="1:13">
      <c r="A2129" s="13">
        <f ca="1">IFERROR(__xludf.DUMMYFUNCTION("""COMPUTED_VALUE"""),5)</f>
        <v>5</v>
      </c>
      <c r="B2129" s="13"/>
      <c r="C2129" s="13" t="str">
        <f ca="1">IFERROR(__xludf.DUMMYFUNCTION("""COMPUTED_VALUE"""),"库")</f>
        <v>库</v>
      </c>
      <c r="D2129" s="13" t="str">
        <f ca="1">IFERROR(__xludf.DUMMYFUNCTION("""COMPUTED_VALUE"""),"&lt;ruby&gt;库&lt;rt&gt;kù&lt;/rt&gt;&lt;/ruby&gt;")</f>
        <v>&lt;ruby&gt;库&lt;rt&gt;kù&lt;/rt&gt;&lt;/ruby&gt;</v>
      </c>
      <c r="E2129" s="13" t="str">
        <f ca="1">IFERROR(__xludf.DUMMYFUNCTION("""COMPUTED_VALUE"""),"kù")</f>
        <v>kù</v>
      </c>
      <c r="F2129" s="13" t="str">
        <f ca="1">IFERROR(__xludf.DUMMYFUNCTION("""COMPUTED_VALUE"""),"Danh từ")</f>
        <v>Danh từ</v>
      </c>
      <c r="G2129" s="13" t="str">
        <f ca="1">IFERROR(__xludf.DUMMYFUNCTION("""COMPUTED_VALUE"""),"kho")</f>
        <v>kho</v>
      </c>
      <c r="H2129" s="13" t="str">
        <f ca="1">IFERROR(__xludf.DUMMYFUNCTION("""COMPUTED_VALUE"""),"公司有一个很大的仓库用来存放货物。")</f>
        <v>公司有一个很大的仓库用来存放货物。</v>
      </c>
      <c r="I2129" s="13"/>
      <c r="J2129" s="13" t="str">
        <f ca="1">IFERROR(__xludf.DUMMYFUNCTION("""COMPUTED_VALUE"""),"Công ty có một kho hàng lớn dùng để lưu trữ hàng hóa.")</f>
        <v>Công ty có một kho hàng lớn dùng để lưu trữ hàng hóa.</v>
      </c>
      <c r="K2129" s="13" t="str">
        <f ca="1">IFERROR(__xludf.DUMMYFUNCTION("""COMPUTED_VALUE"""),"H5_B21_BG-05.png")</f>
        <v>H5_B21_BG-05.png</v>
      </c>
      <c r="L2129" s="13" t="str">
        <f ca="1">IFERROR(__xludf.DUMMYFUNCTION("""COMPUTED_VALUE"""),"B21_5.mp3")</f>
        <v>B21_5.mp3</v>
      </c>
      <c r="M2129" s="13" t="str">
        <f ca="1">IFERROR(__xludf.DUMMYFUNCTION("""COMPUTED_VALUE"""),"B21_VD_5.mp3")</f>
        <v>B21_VD_5.mp3</v>
      </c>
    </row>
    <row r="2130" spans="1:13">
      <c r="A2130" s="13">
        <f ca="1">IFERROR(__xludf.DUMMYFUNCTION("""COMPUTED_VALUE"""),6)</f>
        <v>6</v>
      </c>
      <c r="B2130" s="13"/>
      <c r="C2130" s="13" t="str">
        <f ca="1">IFERROR(__xludf.DUMMYFUNCTION("""COMPUTED_VALUE"""),"输入")</f>
        <v>输入</v>
      </c>
      <c r="D2130" s="13" t="str">
        <f ca="1">IFERROR(__xludf.DUMMYFUNCTION("""COMPUTED_VALUE"""),"&lt;ruby&gt;输入&lt;rt&gt;shūrù&lt;/rt&gt;&lt;/ruby&gt;")</f>
        <v>&lt;ruby&gt;输入&lt;rt&gt;shūrù&lt;/rt&gt;&lt;/ruby&gt;</v>
      </c>
      <c r="E2130" s="13" t="str">
        <f ca="1">IFERROR(__xludf.DUMMYFUNCTION("""COMPUTED_VALUE"""),"shūrù")</f>
        <v>shūrù</v>
      </c>
      <c r="F2130" s="13" t="str">
        <f ca="1">IFERROR(__xludf.DUMMYFUNCTION("""COMPUTED_VALUE"""),"Động từ")</f>
        <v>Động từ</v>
      </c>
      <c r="G2130" s="13" t="str">
        <f ca="1">IFERROR(__xludf.DUMMYFUNCTION("""COMPUTED_VALUE"""),"đưa (dữ liệu) vào máy tính")</f>
        <v>đưa (dữ liệu) vào máy tính</v>
      </c>
      <c r="H2130" s="13" t="str">
        <f ca="1">IFERROR(__xludf.DUMMYFUNCTION("""COMPUTED_VALUE"""),"请输入密码解锁电脑。")</f>
        <v>请输入密码解锁电脑。</v>
      </c>
      <c r="I2130" s="13"/>
      <c r="J2130" s="13" t="str">
        <f ca="1">IFERROR(__xludf.DUMMYFUNCTION("""COMPUTED_VALUE"""),"Hãy nhập mật khẩu để mở khóa máy tính.")</f>
        <v>Hãy nhập mật khẩu để mở khóa máy tính.</v>
      </c>
      <c r="K2130" s="13" t="str">
        <f ca="1">IFERROR(__xludf.DUMMYFUNCTION("""COMPUTED_VALUE"""),"H5_B21_BG-06.png")</f>
        <v>H5_B21_BG-06.png</v>
      </c>
      <c r="L2130" s="13" t="str">
        <f ca="1">IFERROR(__xludf.DUMMYFUNCTION("""COMPUTED_VALUE"""),"B21_6.mp3")</f>
        <v>B21_6.mp3</v>
      </c>
      <c r="M2130" s="13" t="str">
        <f ca="1">IFERROR(__xludf.DUMMYFUNCTION("""COMPUTED_VALUE"""),"B21_VD_6.mp3")</f>
        <v>B21_VD_6.mp3</v>
      </c>
    </row>
    <row r="2131" spans="1:13">
      <c r="A2131" s="13">
        <f ca="1">IFERROR(__xludf.DUMMYFUNCTION("""COMPUTED_VALUE"""),7)</f>
        <v>7</v>
      </c>
      <c r="B2131" s="13"/>
      <c r="C2131" s="13" t="str">
        <f ca="1">IFERROR(__xludf.DUMMYFUNCTION("""COMPUTED_VALUE"""),"下载")</f>
        <v>下载</v>
      </c>
      <c r="D2131" s="13" t="str">
        <f ca="1">IFERROR(__xludf.DUMMYFUNCTION("""COMPUTED_VALUE"""),"&lt;ruby&gt;下载&lt;rt&gt;xiàzài&lt;/rt&gt;&lt;/ruby&gt;")</f>
        <v>&lt;ruby&gt;下载&lt;rt&gt;xiàzài&lt;/rt&gt;&lt;/ruby&gt;</v>
      </c>
      <c r="E2131" s="13" t="str">
        <f ca="1">IFERROR(__xludf.DUMMYFUNCTION("""COMPUTED_VALUE"""),"xiàzài")</f>
        <v>xiàzài</v>
      </c>
      <c r="F2131" s="13" t="str">
        <f ca="1">IFERROR(__xludf.DUMMYFUNCTION("""COMPUTED_VALUE"""),"Động từ")</f>
        <v>Động từ</v>
      </c>
      <c r="G2131" s="13" t="str">
        <f ca="1">IFERROR(__xludf.DUMMYFUNCTION("""COMPUTED_VALUE"""),"tải xuống")</f>
        <v>tải xuống</v>
      </c>
      <c r="H2131" s="13" t="str">
        <f ca="1">IFERROR(__xludf.DUMMYFUNCTION("""COMPUTED_VALUE"""),"我已经下载了这款游戏的最新版本。")</f>
        <v>我已经下载了这款游戏的最新版本。</v>
      </c>
      <c r="I2131" s="13"/>
      <c r="J2131" s="13" t="str">
        <f ca="1">IFERROR(__xludf.DUMMYFUNCTION("""COMPUTED_VALUE"""),"Tôi đã tải xuống phiên bản mới nhất của trò chơi.")</f>
        <v>Tôi đã tải xuống phiên bản mới nhất của trò chơi.</v>
      </c>
      <c r="K2131" s="13" t="str">
        <f ca="1">IFERROR(__xludf.DUMMYFUNCTION("""COMPUTED_VALUE"""),"H5_B21_BG-07.png")</f>
        <v>H5_B21_BG-07.png</v>
      </c>
      <c r="L2131" s="13" t="str">
        <f ca="1">IFERROR(__xludf.DUMMYFUNCTION("""COMPUTED_VALUE"""),"B21_7.mp3")</f>
        <v>B21_7.mp3</v>
      </c>
      <c r="M2131" s="13" t="str">
        <f ca="1">IFERROR(__xludf.DUMMYFUNCTION("""COMPUTED_VALUE"""),"B21_VD_7.mp3")</f>
        <v>B21_VD_7.mp3</v>
      </c>
    </row>
    <row r="2132" spans="1:13">
      <c r="A2132" s="13">
        <f ca="1">IFERROR(__xludf.DUMMYFUNCTION("""COMPUTED_VALUE"""),8)</f>
        <v>8</v>
      </c>
      <c r="B2132" s="13"/>
      <c r="C2132" s="13" t="str">
        <f ca="1">IFERROR(__xludf.DUMMYFUNCTION("""COMPUTED_VALUE"""),"识别")</f>
        <v>识别</v>
      </c>
      <c r="D2132" s="13" t="str">
        <f ca="1">IFERROR(__xludf.DUMMYFUNCTION("""COMPUTED_VALUE"""),"&lt;ruby&gt;识别&lt;rt&gt;shíbié&lt;/rt&gt;&lt;/ruby&gt;")</f>
        <v>&lt;ruby&gt;识别&lt;rt&gt;shíbié&lt;/rt&gt;&lt;/ruby&gt;</v>
      </c>
      <c r="E2132" s="13" t="str">
        <f ca="1">IFERROR(__xludf.DUMMYFUNCTION("""COMPUTED_VALUE"""),"shíbié")</f>
        <v>shíbié</v>
      </c>
      <c r="F2132" s="13" t="str">
        <f ca="1">IFERROR(__xludf.DUMMYFUNCTION("""COMPUTED_VALUE"""),"Động từ")</f>
        <v>Động từ</v>
      </c>
      <c r="G2132" s="13" t="str">
        <f ca="1">IFERROR(__xludf.DUMMYFUNCTION("""COMPUTED_VALUE"""),"phân biệt, nhận dạng")</f>
        <v>phân biệt, nhận dạng</v>
      </c>
      <c r="H2132" s="13" t="str">
        <f ca="1">IFERROR(__xludf.DUMMYFUNCTION("""COMPUTED_VALUE"""),"这个系统可以识别人脸特征。")</f>
        <v>这个系统可以识别人脸特征。</v>
      </c>
      <c r="I2132" s="13"/>
      <c r="J2132" s="13" t="str">
        <f ca="1">IFERROR(__xludf.DUMMYFUNCTION("""COMPUTED_VALUE"""),"Hệ thống này có thể nhận dạng đặc điểm khuôn mặt của con người.")</f>
        <v>Hệ thống này có thể nhận dạng đặc điểm khuôn mặt của con người.</v>
      </c>
      <c r="K2132" s="13" t="str">
        <f ca="1">IFERROR(__xludf.DUMMYFUNCTION("""COMPUTED_VALUE"""),"H5_B21_BG-08.png")</f>
        <v>H5_B21_BG-08.png</v>
      </c>
      <c r="L2132" s="13" t="str">
        <f ca="1">IFERROR(__xludf.DUMMYFUNCTION("""COMPUTED_VALUE"""),"B21_8.mp3")</f>
        <v>B21_8.mp3</v>
      </c>
      <c r="M2132" s="13" t="str">
        <f ca="1">IFERROR(__xludf.DUMMYFUNCTION("""COMPUTED_VALUE"""),"B21_VD_8.mp3")</f>
        <v>B21_VD_8.mp3</v>
      </c>
    </row>
    <row r="2133" spans="1:13">
      <c r="A2133" s="13">
        <f ca="1">IFERROR(__xludf.DUMMYFUNCTION("""COMPUTED_VALUE"""),9)</f>
        <v>9</v>
      </c>
      <c r="B2133" s="13"/>
      <c r="C2133" s="13" t="str">
        <f ca="1">IFERROR(__xludf.DUMMYFUNCTION("""COMPUTED_VALUE"""),"查询")</f>
        <v>查询</v>
      </c>
      <c r="D2133" s="13" t="str">
        <f ca="1">IFERROR(__xludf.DUMMYFUNCTION("""COMPUTED_VALUE"""),"&lt;ruby&gt;查询&lt;rt&gt;cháxún&lt;/rt&gt;&lt;/ruby&gt;")</f>
        <v>&lt;ruby&gt;查询&lt;rt&gt;cháxún&lt;/rt&gt;&lt;/ruby&gt;</v>
      </c>
      <c r="E2133" s="13" t="str">
        <f ca="1">IFERROR(__xludf.DUMMYFUNCTION("""COMPUTED_VALUE"""),"cháxún")</f>
        <v>cháxún</v>
      </c>
      <c r="F2133" s="13" t="str">
        <f ca="1">IFERROR(__xludf.DUMMYFUNCTION("""COMPUTED_VALUE"""),"Động từ")</f>
        <v>Động từ</v>
      </c>
      <c r="G2133" s="13" t="str">
        <f ca="1">IFERROR(__xludf.DUMMYFUNCTION("""COMPUTED_VALUE"""),"tìm kiếm, tra cứu")</f>
        <v>tìm kiếm, tra cứu</v>
      </c>
      <c r="H2133" s="13" t="str">
        <f ca="1">IFERROR(__xludf.DUMMYFUNCTION("""COMPUTED_VALUE"""),"你可以在网站上查询商品的价格。")</f>
        <v>你可以在网站上查询商品的价格。</v>
      </c>
      <c r="I2133" s="13"/>
      <c r="J2133" s="13" t="str">
        <f ca="1">IFERROR(__xludf.DUMMYFUNCTION("""COMPUTED_VALUE"""),"Bạn có thể tra cứu giá của sản phẩm trên website.")</f>
        <v>Bạn có thể tra cứu giá của sản phẩm trên website.</v>
      </c>
      <c r="K2133" s="13" t="str">
        <f ca="1">IFERROR(__xludf.DUMMYFUNCTION("""COMPUTED_VALUE"""),"H5_B21_BG-09.png")</f>
        <v>H5_B21_BG-09.png</v>
      </c>
      <c r="L2133" s="13" t="str">
        <f ca="1">IFERROR(__xludf.DUMMYFUNCTION("""COMPUTED_VALUE"""),"B21_9.mp3")</f>
        <v>B21_9.mp3</v>
      </c>
      <c r="M2133" s="13" t="str">
        <f ca="1">IFERROR(__xludf.DUMMYFUNCTION("""COMPUTED_VALUE"""),"B21_VD_9.mp3")</f>
        <v>B21_VD_9.mp3</v>
      </c>
    </row>
    <row r="2134" spans="1:13">
      <c r="A2134" s="13">
        <f ca="1">IFERROR(__xludf.DUMMYFUNCTION("""COMPUTED_VALUE"""),10)</f>
        <v>10</v>
      </c>
      <c r="B2134" s="13"/>
      <c r="C2134" s="13" t="str">
        <f ca="1">IFERROR(__xludf.DUMMYFUNCTION("""COMPUTED_VALUE"""),"创办")</f>
        <v>创办</v>
      </c>
      <c r="D2134" s="13" t="str">
        <f ca="1">IFERROR(__xludf.DUMMYFUNCTION("""COMPUTED_VALUE"""),"&lt;ruby&gt;创办&lt;rt&gt;chuàngbàn&lt;/rt&gt;&lt;/ruby&gt;")</f>
        <v>&lt;ruby&gt;创办&lt;rt&gt;chuàngbàn&lt;/rt&gt;&lt;/ruby&gt;</v>
      </c>
      <c r="E2134" s="13" t="str">
        <f ca="1">IFERROR(__xludf.DUMMYFUNCTION("""COMPUTED_VALUE"""),"chuàngbàn")</f>
        <v>chuàngbàn</v>
      </c>
      <c r="F2134" s="13" t="str">
        <f ca="1">IFERROR(__xludf.DUMMYFUNCTION("""COMPUTED_VALUE"""),"Động từ")</f>
        <v>Động từ</v>
      </c>
      <c r="G2134" s="13" t="str">
        <f ca="1">IFERROR(__xludf.DUMMYFUNCTION("""COMPUTED_VALUE"""),"lập ra")</f>
        <v>lập ra</v>
      </c>
      <c r="H2134" s="13" t="str">
        <f ca="1">IFERROR(__xludf.DUMMYFUNCTION("""COMPUTED_VALUE"""),"他创办了一家在线教育平台，帮助学生提高成绩。")</f>
        <v>他创办了一家在线教育平台，帮助学生提高成绩。</v>
      </c>
      <c r="I2134" s="13"/>
      <c r="J2134" s="13" t="str">
        <f ca="1">IFERROR(__xludf.DUMMYFUNCTION("""COMPUTED_VALUE"""),"Anh ấy đã lập một nền tảng giáo dục trực tuyến để giúp học sinh cải thiện kết quả học tập.")</f>
        <v>Anh ấy đã lập một nền tảng giáo dục trực tuyến để giúp học sinh cải thiện kết quả học tập.</v>
      </c>
      <c r="K2134" s="13" t="str">
        <f ca="1">IFERROR(__xludf.DUMMYFUNCTION("""COMPUTED_VALUE"""),"H5_B21_BG-10.png")</f>
        <v>H5_B21_BG-10.png</v>
      </c>
      <c r="L2134" s="13" t="str">
        <f ca="1">IFERROR(__xludf.DUMMYFUNCTION("""COMPUTED_VALUE"""),"B21_10.mp3")</f>
        <v>B21_10.mp3</v>
      </c>
      <c r="M2134" s="13" t="str">
        <f ca="1">IFERROR(__xludf.DUMMYFUNCTION("""COMPUTED_VALUE"""),"B21_VD_10.mp3")</f>
        <v>B21_VD_10.mp3</v>
      </c>
    </row>
    <row r="2135" spans="1:13">
      <c r="A2135" s="13">
        <f ca="1">IFERROR(__xludf.DUMMYFUNCTION("""COMPUTED_VALUE"""),11)</f>
        <v>11</v>
      </c>
      <c r="B2135" s="13"/>
      <c r="C2135" s="13" t="str">
        <f ca="1">IFERROR(__xludf.DUMMYFUNCTION("""COMPUTED_VALUE"""),"微博")</f>
        <v>微博</v>
      </c>
      <c r="D2135" s="13" t="str">
        <f ca="1">IFERROR(__xludf.DUMMYFUNCTION("""COMPUTED_VALUE"""),"&lt;ruby&gt;微博&lt;rt&gt;wēibó&lt;/rt&gt;&lt;/ruby&gt;")</f>
        <v>&lt;ruby&gt;微博&lt;rt&gt;wēibó&lt;/rt&gt;&lt;/ruby&gt;</v>
      </c>
      <c r="E2135" s="13" t="str">
        <f ca="1">IFERROR(__xludf.DUMMYFUNCTION("""COMPUTED_VALUE"""),"wēibó")</f>
        <v>wēibó</v>
      </c>
      <c r="F2135" s="13" t="str">
        <f ca="1">IFERROR(__xludf.DUMMYFUNCTION("""COMPUTED_VALUE"""),"Danh từ")</f>
        <v>Danh từ</v>
      </c>
      <c r="G2135" s="13" t="str">
        <f ca="1">IFERROR(__xludf.DUMMYFUNCTION("""COMPUTED_VALUE"""),"tiểu blog (weibo)")</f>
        <v>tiểu blog (weibo)</v>
      </c>
      <c r="H2135" s="13" t="str">
        <f ca="1">IFERROR(__xludf.DUMMYFUNCTION("""COMPUTED_VALUE"""),"她在旅行时拍了很多照片，分享到微博上。")</f>
        <v>她在旅行时拍了很多照片，分享到微博上。</v>
      </c>
      <c r="I2135" s="13"/>
      <c r="J2135" s="13" t="str">
        <f ca="1">IFERROR(__xludf.DUMMYFUNCTION("""COMPUTED_VALUE"""),"Cô ấy chụp rất nhiều ảnh khi đi du lịch để chia sẻ trên Weibo.")</f>
        <v>Cô ấy chụp rất nhiều ảnh khi đi du lịch để chia sẻ trên Weibo.</v>
      </c>
      <c r="K2135" s="13" t="str">
        <f ca="1">IFERROR(__xludf.DUMMYFUNCTION("""COMPUTED_VALUE"""),"H5_B21_BG-11.png")</f>
        <v>H5_B21_BG-11.png</v>
      </c>
      <c r="L2135" s="13" t="str">
        <f ca="1">IFERROR(__xludf.DUMMYFUNCTION("""COMPUTED_VALUE"""),"B21_11.mp3")</f>
        <v>B21_11.mp3</v>
      </c>
      <c r="M2135" s="13" t="str">
        <f ca="1">IFERROR(__xludf.DUMMYFUNCTION("""COMPUTED_VALUE"""),"B21_VD_11.mp3")</f>
        <v>B21_VD_11.mp3</v>
      </c>
    </row>
    <row r="2136" spans="1:13">
      <c r="A2136" s="13">
        <f ca="1">IFERROR(__xludf.DUMMYFUNCTION("""COMPUTED_VALUE"""),12)</f>
        <v>12</v>
      </c>
      <c r="B2136" s="13"/>
      <c r="C2136" s="13" t="str">
        <f ca="1">IFERROR(__xludf.DUMMYFUNCTION("""COMPUTED_VALUE"""),"日程")</f>
        <v>日程</v>
      </c>
      <c r="D2136" s="13" t="str">
        <f ca="1">IFERROR(__xludf.DUMMYFUNCTION("""COMPUTED_VALUE"""),"&lt;ruby&gt;日程&lt;rt&gt;rìchéng&lt;/rt&gt;&lt;/ruby&gt;")</f>
        <v>&lt;ruby&gt;日程&lt;rt&gt;rìchéng&lt;/rt&gt;&lt;/ruby&gt;</v>
      </c>
      <c r="E2136" s="13" t="str">
        <f ca="1">IFERROR(__xludf.DUMMYFUNCTION("""COMPUTED_VALUE"""),"rìchéng")</f>
        <v>rìchéng</v>
      </c>
      <c r="F2136" s="13" t="str">
        <f ca="1">IFERROR(__xludf.DUMMYFUNCTION("""COMPUTED_VALUE"""),"Danh từ")</f>
        <v>Danh từ</v>
      </c>
      <c r="G2136" s="13" t="str">
        <f ca="1">IFERROR(__xludf.DUMMYFUNCTION("""COMPUTED_VALUE"""),"chương trình trong ngày")</f>
        <v>chương trình trong ngày</v>
      </c>
      <c r="H2136" s="13" t="str">
        <f ca="1">IFERROR(__xludf.DUMMYFUNCTION("""COMPUTED_VALUE"""),"今天的日程包括一个重要的会议和一次客户拜访。")</f>
        <v>今天的日程包括一个重要的会议和一次客户拜访。</v>
      </c>
      <c r="I2136" s="13"/>
      <c r="J2136" s="13" t="str">
        <f ca="1">IFERROR(__xludf.DUMMYFUNCTION("""COMPUTED_VALUE"""),"Chương trình ngày hôm nay bao gồm một cuộc họp quan trọng và một buổi thăm khách hàng.")</f>
        <v>Chương trình ngày hôm nay bao gồm một cuộc họp quan trọng và một buổi thăm khách hàng.</v>
      </c>
      <c r="K2136" s="13" t="str">
        <f ca="1">IFERROR(__xludf.DUMMYFUNCTION("""COMPUTED_VALUE"""),"H5_B21_BG-12.png")</f>
        <v>H5_B21_BG-12.png</v>
      </c>
      <c r="L2136" s="13" t="str">
        <f ca="1">IFERROR(__xludf.DUMMYFUNCTION("""COMPUTED_VALUE"""),"B21_12.mp3")</f>
        <v>B21_12.mp3</v>
      </c>
      <c r="M2136" s="13" t="str">
        <f ca="1">IFERROR(__xludf.DUMMYFUNCTION("""COMPUTED_VALUE"""),"B21_VD_12.mp3")</f>
        <v>B21_VD_12.mp3</v>
      </c>
    </row>
    <row r="2137" spans="1:13">
      <c r="A2137" s="13">
        <f ca="1">IFERROR(__xludf.DUMMYFUNCTION("""COMPUTED_VALUE"""),13)</f>
        <v>13</v>
      </c>
      <c r="B2137" s="13"/>
      <c r="C2137" s="13" t="str">
        <f ca="1">IFERROR(__xludf.DUMMYFUNCTION("""COMPUTED_VALUE"""),"梦想")</f>
        <v>梦想</v>
      </c>
      <c r="D2137" s="13" t="str">
        <f ca="1">IFERROR(__xludf.DUMMYFUNCTION("""COMPUTED_VALUE"""),"&lt;ruby&gt;梦想&lt;rt&gt;mèngxiǎng&lt;/rt&gt;&lt;/ruby&gt;")</f>
        <v>&lt;ruby&gt;梦想&lt;rt&gt;mèngxiǎng&lt;/rt&gt;&lt;/ruby&gt;</v>
      </c>
      <c r="E2137" s="13" t="str">
        <f ca="1">IFERROR(__xludf.DUMMYFUNCTION("""COMPUTED_VALUE"""),"mèngxiǎng")</f>
        <v>mèngxiǎng</v>
      </c>
      <c r="F2137" s="13" t="str">
        <f ca="1">IFERROR(__xludf.DUMMYFUNCTION("""COMPUTED_VALUE"""),"Danh từ/Động từ")</f>
        <v>Danh từ/Động từ</v>
      </c>
      <c r="G2137" s="13" t="str">
        <f ca="1">IFERROR(__xludf.DUMMYFUNCTION("""COMPUTED_VALUE"""),"điều mơ ước; mơ tưởng")</f>
        <v>điều mơ ước; mơ tưởng</v>
      </c>
      <c r="H2137" s="13" t="str">
        <f ca="1">IFERROR(__xludf.DUMMYFUNCTION("""COMPUTED_VALUE"""),"她的梦想是成为一名医生，帮助有需要的人。")</f>
        <v>她的梦想是成为一名医生，帮助有需要的人。</v>
      </c>
      <c r="I2137" s="13"/>
      <c r="J2137" s="13" t="str">
        <f ca="1">IFERROR(__xludf.DUMMYFUNCTION("""COMPUTED_VALUE"""),"Ước mơ của cô ấy là trở thành bác sĩ, giúp đỡ những người cần.")</f>
        <v>Ước mơ của cô ấy là trở thành bác sĩ, giúp đỡ những người cần.</v>
      </c>
      <c r="K2137" s="13" t="str">
        <f ca="1">IFERROR(__xludf.DUMMYFUNCTION("""COMPUTED_VALUE"""),"H5_B21_BG-13.png")</f>
        <v>H5_B21_BG-13.png</v>
      </c>
      <c r="L2137" s="13" t="str">
        <f ca="1">IFERROR(__xludf.DUMMYFUNCTION("""COMPUTED_VALUE"""),"B21_13.mp3")</f>
        <v>B21_13.mp3</v>
      </c>
      <c r="M2137" s="13" t="str">
        <f ca="1">IFERROR(__xludf.DUMMYFUNCTION("""COMPUTED_VALUE"""),"B21_VD_13.mp3")</f>
        <v>B21_VD_13.mp3</v>
      </c>
    </row>
    <row r="2138" spans="1:13">
      <c r="A2138" s="13">
        <f ca="1">IFERROR(__xludf.DUMMYFUNCTION("""COMPUTED_VALUE"""),14)</f>
        <v>14</v>
      </c>
      <c r="B2138" s="13"/>
      <c r="C2138" s="13" t="str">
        <f ca="1">IFERROR(__xludf.DUMMYFUNCTION("""COMPUTED_VALUE"""),"元旦")</f>
        <v>元旦</v>
      </c>
      <c r="D2138" s="13" t="str">
        <f ca="1">IFERROR(__xludf.DUMMYFUNCTION("""COMPUTED_VALUE"""),"&lt;ruby&gt;元旦&lt;rt&gt;yuándàn&lt;/rt&gt;&lt;/ruby&gt;")</f>
        <v>&lt;ruby&gt;元旦&lt;rt&gt;yuándàn&lt;/rt&gt;&lt;/ruby&gt;</v>
      </c>
      <c r="E2138" s="13" t="str">
        <f ca="1">IFERROR(__xludf.DUMMYFUNCTION("""COMPUTED_VALUE"""),"yuándàn")</f>
        <v>yuándàn</v>
      </c>
      <c r="F2138" s="13" t="str">
        <f ca="1">IFERROR(__xludf.DUMMYFUNCTION("""COMPUTED_VALUE"""),"Danh từ")</f>
        <v>Danh từ</v>
      </c>
      <c r="G2138" s="13" t="str">
        <f ca="1">IFERROR(__xludf.DUMMYFUNCTION("""COMPUTED_VALUE"""),"tết tây, tết dương lịch")</f>
        <v>tết tây, tết dương lịch</v>
      </c>
      <c r="H2138" s="13" t="str">
        <f ca="1">IFERROR(__xludf.DUMMYFUNCTION("""COMPUTED_VALUE"""),"我们计划元旦期间去旅行。")</f>
        <v>我们计划元旦期间去旅行。</v>
      </c>
      <c r="I2138" s="13"/>
      <c r="J2138" s="13" t="str">
        <f ca="1">IFERROR(__xludf.DUMMYFUNCTION("""COMPUTED_VALUE"""),"Gia đình tôi dự định sẽ đi du lịch vào dịp Tết Dương lịch.")</f>
        <v>Gia đình tôi dự định sẽ đi du lịch vào dịp Tết Dương lịch.</v>
      </c>
      <c r="K2138" s="13" t="str">
        <f ca="1">IFERROR(__xludf.DUMMYFUNCTION("""COMPUTED_VALUE"""),"H5_B21_BG-14.png")</f>
        <v>H5_B21_BG-14.png</v>
      </c>
      <c r="L2138" s="13" t="str">
        <f ca="1">IFERROR(__xludf.DUMMYFUNCTION("""COMPUTED_VALUE"""),"B21_14.mp3")</f>
        <v>B21_14.mp3</v>
      </c>
      <c r="M2138" s="13" t="str">
        <f ca="1">IFERROR(__xludf.DUMMYFUNCTION("""COMPUTED_VALUE"""),"B21_VD_14.mp3")</f>
        <v>B21_VD_14.mp3</v>
      </c>
    </row>
    <row r="2139" spans="1:13">
      <c r="A2139" s="13">
        <f ca="1">IFERROR(__xludf.DUMMYFUNCTION("""COMPUTED_VALUE"""),15)</f>
        <v>15</v>
      </c>
      <c r="B2139" s="13"/>
      <c r="C2139" s="13" t="str">
        <f ca="1">IFERROR(__xludf.DUMMYFUNCTION("""COMPUTED_VALUE"""),"疾病")</f>
        <v>疾病</v>
      </c>
      <c r="D2139" s="13" t="str">
        <f ca="1">IFERROR(__xludf.DUMMYFUNCTION("""COMPUTED_VALUE"""),"&lt;ruby&gt;疾病&lt;rt&gt;jíbìng&lt;/rt&gt;&lt;/ruby&gt;")</f>
        <v>&lt;ruby&gt;疾病&lt;rt&gt;jíbìng&lt;/rt&gt;&lt;/ruby&gt;</v>
      </c>
      <c r="E2139" s="13" t="str">
        <f ca="1">IFERROR(__xludf.DUMMYFUNCTION("""COMPUTED_VALUE"""),"jíbìng")</f>
        <v>jíbìng</v>
      </c>
      <c r="F2139" s="13" t="str">
        <f ca="1">IFERROR(__xludf.DUMMYFUNCTION("""COMPUTED_VALUE"""),"Danh từ")</f>
        <v>Danh từ</v>
      </c>
      <c r="G2139" s="13" t="str">
        <f ca="1">IFERROR(__xludf.DUMMYFUNCTION("""COMPUTED_VALUE"""),"bệnh tật")</f>
        <v>bệnh tật</v>
      </c>
      <c r="H2139" s="13" t="str">
        <f ca="1">IFERROR(__xludf.DUMMYFUNCTION("""COMPUTED_VALUE"""),"疾病使他无法行走。")</f>
        <v>疾病使他无法行走。</v>
      </c>
      <c r="I2139" s="13"/>
      <c r="J2139" s="13" t="str">
        <f ca="1">IFERROR(__xludf.DUMMYFUNCTION("""COMPUTED_VALUE"""),"Bệnh tật khiến anh ấy không thể đi lại.")</f>
        <v>Bệnh tật khiến anh ấy không thể đi lại.</v>
      </c>
      <c r="K2139" s="13" t="str">
        <f ca="1">IFERROR(__xludf.DUMMYFUNCTION("""COMPUTED_VALUE"""),"H5_B21_BG-15.png")</f>
        <v>H5_B21_BG-15.png</v>
      </c>
      <c r="L2139" s="13" t="str">
        <f ca="1">IFERROR(__xludf.DUMMYFUNCTION("""COMPUTED_VALUE"""),"B21_15.mp3")</f>
        <v>B21_15.mp3</v>
      </c>
      <c r="M2139" s="13" t="str">
        <f ca="1">IFERROR(__xludf.DUMMYFUNCTION("""COMPUTED_VALUE"""),"B21_VD_15.mp3")</f>
        <v>B21_VD_15.mp3</v>
      </c>
    </row>
    <row r="2140" spans="1:13">
      <c r="A2140" s="13">
        <f ca="1">IFERROR(__xludf.DUMMYFUNCTION("""COMPUTED_VALUE"""),16)</f>
        <v>16</v>
      </c>
      <c r="B2140" s="13"/>
      <c r="C2140" s="13" t="str">
        <f ca="1">IFERROR(__xludf.DUMMYFUNCTION("""COMPUTED_VALUE"""),"公开")</f>
        <v>公开</v>
      </c>
      <c r="D2140" s="13" t="str">
        <f ca="1">IFERROR(__xludf.DUMMYFUNCTION("""COMPUTED_VALUE"""),"&lt;ruby&gt;公开&lt;rt&gt;gōngkāi&lt;/rt&gt;&lt;/ruby&gt;")</f>
        <v>&lt;ruby&gt;公开&lt;rt&gt;gōngkāi&lt;/rt&gt;&lt;/ruby&gt;</v>
      </c>
      <c r="E2140" s="13" t="str">
        <f ca="1">IFERROR(__xludf.DUMMYFUNCTION("""COMPUTED_VALUE"""),"gōngkāi")</f>
        <v>gōngkāi</v>
      </c>
      <c r="F2140" s="13" t="str">
        <f ca="1">IFERROR(__xludf.DUMMYFUNCTION("""COMPUTED_VALUE"""),"Động từ/Tính từ")</f>
        <v>Động từ/Tính từ</v>
      </c>
      <c r="G2140" s="13" t="str">
        <f ca="1">IFERROR(__xludf.DUMMYFUNCTION("""COMPUTED_VALUE"""),"công bố; công khai")</f>
        <v>công bố; công khai</v>
      </c>
      <c r="H2140" s="13" t="str">
        <f ca="1">IFERROR(__xludf.DUMMYFUNCTION("""COMPUTED_VALUE"""),"这次比赛的所有信息都会在官网上公开。")</f>
        <v>这次比赛的所有信息都会在官网上公开。</v>
      </c>
      <c r="I2140" s="13"/>
      <c r="J2140" s="13" t="str">
        <f ca="1">IFERROR(__xludf.DUMMYFUNCTION("""COMPUTED_VALUE"""),"Mọi thông tin của cuộc thi này sẽ được công khai trên trang web chính thức.")</f>
        <v>Mọi thông tin của cuộc thi này sẽ được công khai trên trang web chính thức.</v>
      </c>
      <c r="K2140" s="13" t="str">
        <f ca="1">IFERROR(__xludf.DUMMYFUNCTION("""COMPUTED_VALUE"""),"H5_B21_BG-16.png")</f>
        <v>H5_B21_BG-16.png</v>
      </c>
      <c r="L2140" s="13" t="str">
        <f ca="1">IFERROR(__xludf.DUMMYFUNCTION("""COMPUTED_VALUE"""),"B21_16.mp3")</f>
        <v>B21_16.mp3</v>
      </c>
      <c r="M2140" s="13" t="str">
        <f ca="1">IFERROR(__xludf.DUMMYFUNCTION("""COMPUTED_VALUE"""),"B21_VD_16.mp3")</f>
        <v>B21_VD_16.mp3</v>
      </c>
    </row>
    <row r="2141" spans="1:13">
      <c r="A2141" s="13">
        <f ca="1">IFERROR(__xludf.DUMMYFUNCTION("""COMPUTED_VALUE"""),17)</f>
        <v>17</v>
      </c>
      <c r="B2141" s="13"/>
      <c r="C2141" s="13" t="str">
        <f ca="1">IFERROR(__xludf.DUMMYFUNCTION("""COMPUTED_VALUE"""),"最初")</f>
        <v>最初</v>
      </c>
      <c r="D2141" s="13" t="str">
        <f ca="1">IFERROR(__xludf.DUMMYFUNCTION("""COMPUTED_VALUE"""),"&lt;ruby&gt;最初&lt;rt&gt;zuìchū&lt;/rt&gt;&lt;/ruby&gt;")</f>
        <v>&lt;ruby&gt;最初&lt;rt&gt;zuìchū&lt;/rt&gt;&lt;/ruby&gt;</v>
      </c>
      <c r="E2141" s="13" t="str">
        <f ca="1">IFERROR(__xludf.DUMMYFUNCTION("""COMPUTED_VALUE"""),"zuìchū")</f>
        <v>zuìchū</v>
      </c>
      <c r="F2141" s="13" t="str">
        <f ca="1">IFERROR(__xludf.DUMMYFUNCTION("""COMPUTED_VALUE"""),"Danh từ")</f>
        <v>Danh từ</v>
      </c>
      <c r="G2141" s="13" t="str">
        <f ca="1">IFERROR(__xludf.DUMMYFUNCTION("""COMPUTED_VALUE"""),"lúc đầu, ban đầu")</f>
        <v>lúc đầu, ban đầu</v>
      </c>
      <c r="H2141" s="13" t="str">
        <f ca="1">IFERROR(__xludf.DUMMYFUNCTION("""COMPUTED_VALUE"""),"最初我不喜欢这个工作，但现在我已经适应了。")</f>
        <v>最初我不喜欢这个工作，但现在我已经适应了。</v>
      </c>
      <c r="I2141" s="13"/>
      <c r="J2141" s="13" t="str">
        <f ca="1">IFERROR(__xludf.DUMMYFUNCTION("""COMPUTED_VALUE"""),"Lúc đầu, tôi không thích công việc này, nhưng bây giờ tôi đã thích nghi với nó.")</f>
        <v>Lúc đầu, tôi không thích công việc này, nhưng bây giờ tôi đã thích nghi với nó.</v>
      </c>
      <c r="K2141" s="13" t="str">
        <f ca="1">IFERROR(__xludf.DUMMYFUNCTION("""COMPUTED_VALUE"""),"H5_B21_BG-17.png")</f>
        <v>H5_B21_BG-17.png</v>
      </c>
      <c r="L2141" s="13" t="str">
        <f ca="1">IFERROR(__xludf.DUMMYFUNCTION("""COMPUTED_VALUE"""),"B21_17.mp3")</f>
        <v>B21_17.mp3</v>
      </c>
      <c r="M2141" s="13" t="str">
        <f ca="1">IFERROR(__xludf.DUMMYFUNCTION("""COMPUTED_VALUE"""),"B21_VD_17.mp3")</f>
        <v>B21_VD_17.mp3</v>
      </c>
    </row>
    <row r="2142" spans="1:13">
      <c r="A2142" s="13">
        <f ca="1">IFERROR(__xludf.DUMMYFUNCTION("""COMPUTED_VALUE"""),18)</f>
        <v>18</v>
      </c>
      <c r="B2142" s="13"/>
      <c r="C2142" s="13" t="str">
        <f ca="1">IFERROR(__xludf.DUMMYFUNCTION("""COMPUTED_VALUE"""),"称呼")</f>
        <v>称呼</v>
      </c>
      <c r="D2142" s="13" t="str">
        <f ca="1">IFERROR(__xludf.DUMMYFUNCTION("""COMPUTED_VALUE"""),"&lt;ruby&gt;称呼&lt;rt&gt;chēnghu&lt;/rt&gt;&lt;/ruby&gt;")</f>
        <v>&lt;ruby&gt;称呼&lt;rt&gt;chēnghu&lt;/rt&gt;&lt;/ruby&gt;</v>
      </c>
      <c r="E2142" s="13" t="str">
        <f ca="1">IFERROR(__xludf.DUMMYFUNCTION("""COMPUTED_VALUE"""),"chēnghu")</f>
        <v>chēnghu</v>
      </c>
      <c r="F2142" s="13" t="str">
        <f ca="1">IFERROR(__xludf.DUMMYFUNCTION("""COMPUTED_VALUE"""),"Động từ/Danh từ")</f>
        <v>Động từ/Danh từ</v>
      </c>
      <c r="G2142" s="13" t="str">
        <f ca="1">IFERROR(__xludf.DUMMYFUNCTION("""COMPUTED_VALUE"""),"gọi, xưng hô; tên gọi")</f>
        <v>gọi, xưng hô; tên gọi</v>
      </c>
      <c r="H2142" s="13" t="str">
        <f ca="1">IFERROR(__xludf.DUMMYFUNCTION("""COMPUTED_VALUE"""),"老师要求我们用礼貌的称呼和朋友交流。")</f>
        <v>老师要求我们用礼貌的称呼和朋友交流。</v>
      </c>
      <c r="I2142" s="13"/>
      <c r="J2142" s="13" t="str">
        <f ca="1">IFERROR(__xludf.DUMMYFUNCTION("""COMPUTED_VALUE"""),"Giáo viên yêu cầu chúng tôi sử dụng cách xưng hô lịch sự với bạn bè.")</f>
        <v>Giáo viên yêu cầu chúng tôi sử dụng cách xưng hô lịch sự với bạn bè.</v>
      </c>
      <c r="K2142" s="13" t="str">
        <f ca="1">IFERROR(__xludf.DUMMYFUNCTION("""COMPUTED_VALUE"""),"H5_B21_BG-18.png")</f>
        <v>H5_B21_BG-18.png</v>
      </c>
      <c r="L2142" s="13" t="str">
        <f ca="1">IFERROR(__xludf.DUMMYFUNCTION("""COMPUTED_VALUE"""),"B21_18.mp3")</f>
        <v>B21_18.mp3</v>
      </c>
      <c r="M2142" s="13" t="str">
        <f ca="1">IFERROR(__xludf.DUMMYFUNCTION("""COMPUTED_VALUE"""),"B21_VD_18.mp3")</f>
        <v>B21_VD_18.mp3</v>
      </c>
    </row>
    <row r="2143" spans="1:13">
      <c r="A2143" s="13">
        <f ca="1">IFERROR(__xludf.DUMMYFUNCTION("""COMPUTED_VALUE"""),19)</f>
        <v>19</v>
      </c>
      <c r="B2143" s="13"/>
      <c r="C2143" s="13" t="str">
        <f ca="1">IFERROR(__xludf.DUMMYFUNCTION("""COMPUTED_VALUE"""),"客服")</f>
        <v>客服</v>
      </c>
      <c r="D2143" s="13" t="str">
        <f ca="1">IFERROR(__xludf.DUMMYFUNCTION("""COMPUTED_VALUE"""),"&lt;ruby&gt;客服&lt;rt&gt;kèfú&lt;/rt&gt;&lt;/ruby&gt;")</f>
        <v>&lt;ruby&gt;客服&lt;rt&gt;kèfú&lt;/rt&gt;&lt;/ruby&gt;</v>
      </c>
      <c r="E2143" s="13" t="str">
        <f ca="1">IFERROR(__xludf.DUMMYFUNCTION("""COMPUTED_VALUE"""),"kèfú")</f>
        <v>kèfú</v>
      </c>
      <c r="F2143" s="13" t="str">
        <f ca="1">IFERROR(__xludf.DUMMYFUNCTION("""COMPUTED_VALUE"""),"Động từ")</f>
        <v>Động từ</v>
      </c>
      <c r="G2143" s="13" t="str">
        <f ca="1">IFERROR(__xludf.DUMMYFUNCTION("""COMPUTED_VALUE"""),"khắc phục, chinh phục")</f>
        <v>khắc phục, chinh phục</v>
      </c>
      <c r="H2143" s="13" t="str">
        <f ca="1">IFERROR(__xludf.DUMMYFUNCTION("""COMPUTED_VALUE"""),"客服人员耐心地回答了我的问题。")</f>
        <v>客服人员耐心地回答了我的问题。</v>
      </c>
      <c r="I2143" s="13"/>
      <c r="J2143" s="13" t="str">
        <f ca="1">IFERROR(__xludf.DUMMYFUNCTION("""COMPUTED_VALUE"""),"Nhân viên chăm sóc khách hàng đã kiên nhẫn giải đáp thắc mắc của tôi.")</f>
        <v>Nhân viên chăm sóc khách hàng đã kiên nhẫn giải đáp thắc mắc của tôi.</v>
      </c>
      <c r="K2143" s="13" t="str">
        <f ca="1">IFERROR(__xludf.DUMMYFUNCTION("""COMPUTED_VALUE"""),"H5_B21_BG-19.png")</f>
        <v>H5_B21_BG-19.png</v>
      </c>
      <c r="L2143" s="13" t="str">
        <f ca="1">IFERROR(__xludf.DUMMYFUNCTION("""COMPUTED_VALUE"""),"B21_19.mp3")</f>
        <v>B21_19.mp3</v>
      </c>
      <c r="M2143" s="13" t="str">
        <f ca="1">IFERROR(__xludf.DUMMYFUNCTION("""COMPUTED_VALUE"""),"B21_VD_19.mp3")</f>
        <v>B21_VD_19.mp3</v>
      </c>
    </row>
    <row r="2144" spans="1:13">
      <c r="A2144" s="13">
        <f ca="1">IFERROR(__xludf.DUMMYFUNCTION("""COMPUTED_VALUE"""),20)</f>
        <v>20</v>
      </c>
      <c r="B2144" s="13"/>
      <c r="C2144" s="13" t="str">
        <f ca="1">IFERROR(__xludf.DUMMYFUNCTION("""COMPUTED_VALUE"""),"收集")</f>
        <v>收集</v>
      </c>
      <c r="D2144" s="13" t="str">
        <f ca="1">IFERROR(__xludf.DUMMYFUNCTION("""COMPUTED_VALUE"""),"&lt;ruby&gt;收集&lt;rt&gt;shōují&lt;/rt&gt;&lt;/ruby&gt;")</f>
        <v>&lt;ruby&gt;收集&lt;rt&gt;shōují&lt;/rt&gt;&lt;/ruby&gt;</v>
      </c>
      <c r="E2144" s="13" t="str">
        <f ca="1">IFERROR(__xludf.DUMMYFUNCTION("""COMPUTED_VALUE"""),"shōují")</f>
        <v>shōují</v>
      </c>
      <c r="F2144" s="13" t="str">
        <f ca="1">IFERROR(__xludf.DUMMYFUNCTION("""COMPUTED_VALUE"""),"Động từ")</f>
        <v>Động từ</v>
      </c>
      <c r="G2144" s="13" t="str">
        <f ca="1">IFERROR(__xludf.DUMMYFUNCTION("""COMPUTED_VALUE"""),"thu thập, thu gom")</f>
        <v>thu thập, thu gom</v>
      </c>
      <c r="H2144" s="13" t="str">
        <f ca="1">IFERROR(__xludf.DUMMYFUNCTION("""COMPUTED_VALUE"""),"他喜欢收集邮票。")</f>
        <v>他喜欢收集邮票。</v>
      </c>
      <c r="I2144" s="13"/>
      <c r="J2144" s="13" t="str">
        <f ca="1">IFERROR(__xludf.DUMMYFUNCTION("""COMPUTED_VALUE"""),"Anh ấy thích thu thập tem.")</f>
        <v>Anh ấy thích thu thập tem.</v>
      </c>
      <c r="K2144" s="13" t="str">
        <f ca="1">IFERROR(__xludf.DUMMYFUNCTION("""COMPUTED_VALUE"""),"H5_B21_BG-20.png")</f>
        <v>H5_B21_BG-20.png</v>
      </c>
      <c r="L2144" s="13" t="str">
        <f ca="1">IFERROR(__xludf.DUMMYFUNCTION("""COMPUTED_VALUE"""),"B21_20.mp3")</f>
        <v>B21_20.mp3</v>
      </c>
      <c r="M2144" s="13" t="str">
        <f ca="1">IFERROR(__xludf.DUMMYFUNCTION("""COMPUTED_VALUE"""),"B21_VD_20.mp3")</f>
        <v>B21_VD_20.mp3</v>
      </c>
    </row>
    <row r="2145" spans="1:13">
      <c r="A2145" s="13">
        <f ca="1">IFERROR(__xludf.DUMMYFUNCTION("""COMPUTED_VALUE"""),21)</f>
        <v>21</v>
      </c>
      <c r="B2145" s="13"/>
      <c r="C2145" s="13" t="str">
        <f ca="1">IFERROR(__xludf.DUMMYFUNCTION("""COMPUTED_VALUE"""),"包含")</f>
        <v>包含</v>
      </c>
      <c r="D2145" s="13" t="str">
        <f ca="1">IFERROR(__xludf.DUMMYFUNCTION("""COMPUTED_VALUE"""),"&lt;ruby&gt;包含&lt;rt&gt;bāohán&lt;/rt&gt;&lt;/ruby&gt;")</f>
        <v>&lt;ruby&gt;包含&lt;rt&gt;bāohán&lt;/rt&gt;&lt;/ruby&gt;</v>
      </c>
      <c r="E2145" s="13" t="str">
        <f ca="1">IFERROR(__xludf.DUMMYFUNCTION("""COMPUTED_VALUE"""),"bāohán")</f>
        <v>bāohán</v>
      </c>
      <c r="F2145" s="13" t="str">
        <f ca="1">IFERROR(__xludf.DUMMYFUNCTION("""COMPUTED_VALUE"""),"Động từ")</f>
        <v>Động từ</v>
      </c>
      <c r="G2145" s="13" t="str">
        <f ca="1">IFERROR(__xludf.DUMMYFUNCTION("""COMPUTED_VALUE"""),"có, bao gồm")</f>
        <v>có, bao gồm</v>
      </c>
      <c r="H2145" s="13" t="str">
        <f ca="1">IFERROR(__xludf.DUMMYFUNCTION("""COMPUTED_VALUE"""),"这份报告包含了所有的研究数据和结论。")</f>
        <v>这份报告包含了所有的研究数据和结论。</v>
      </c>
      <c r="I2145" s="13"/>
      <c r="J2145" s="13" t="str">
        <f ca="1">IFERROR(__xludf.DUMMYFUNCTION("""COMPUTED_VALUE"""),"Báo cáo này bao gồm tất cả dữ liệu nghiên cứu và kết luận.")</f>
        <v>Báo cáo này bao gồm tất cả dữ liệu nghiên cứu và kết luận.</v>
      </c>
      <c r="K2145" s="13" t="str">
        <f ca="1">IFERROR(__xludf.DUMMYFUNCTION("""COMPUTED_VALUE"""),"H5_B21_BG-21.png")</f>
        <v>H5_B21_BG-21.png</v>
      </c>
      <c r="L2145" s="13" t="str">
        <f ca="1">IFERROR(__xludf.DUMMYFUNCTION("""COMPUTED_VALUE"""),"B21_21.mp3")</f>
        <v>B21_21.mp3</v>
      </c>
      <c r="M2145" s="13" t="str">
        <f ca="1">IFERROR(__xludf.DUMMYFUNCTION("""COMPUTED_VALUE"""),"B21_VD_21.mp3")</f>
        <v>B21_VD_21.mp3</v>
      </c>
    </row>
    <row r="2146" spans="1:13">
      <c r="A2146" s="13">
        <f ca="1">IFERROR(__xludf.DUMMYFUNCTION("""COMPUTED_VALUE"""),22)</f>
        <v>22</v>
      </c>
      <c r="B2146" s="13"/>
      <c r="C2146" s="13" t="str">
        <f ca="1">IFERROR(__xludf.DUMMYFUNCTION("""COMPUTED_VALUE"""),"繁体")</f>
        <v>繁体</v>
      </c>
      <c r="D2146" s="13" t="str">
        <f ca="1">IFERROR(__xludf.DUMMYFUNCTION("""COMPUTED_VALUE"""),"&lt;ruby&gt;繁体&lt;rt&gt;fántǐ&lt;/rt&gt;&lt;/ruby&gt;")</f>
        <v>&lt;ruby&gt;繁体&lt;rt&gt;fántǐ&lt;/rt&gt;&lt;/ruby&gt;</v>
      </c>
      <c r="E2146" s="13" t="str">
        <f ca="1">IFERROR(__xludf.DUMMYFUNCTION("""COMPUTED_VALUE"""),"fántǐ")</f>
        <v>fántǐ</v>
      </c>
      <c r="F2146" s="13" t="str">
        <f ca="1">IFERROR(__xludf.DUMMYFUNCTION("""COMPUTED_VALUE"""),"Danh từ")</f>
        <v>Danh từ</v>
      </c>
      <c r="G2146" s="13" t="str">
        <f ca="1">IFERROR(__xludf.DUMMYFUNCTION("""COMPUTED_VALUE"""),"(chữ) phồn thể")</f>
        <v>(chữ) phồn thể</v>
      </c>
      <c r="H2146" s="13" t="str">
        <f ca="1">IFERROR(__xludf.DUMMYFUNCTION("""COMPUTED_VALUE"""),"繁体字在台湾仍然广泛使用。")</f>
        <v>繁体字在台湾仍然广泛使用。</v>
      </c>
      <c r="I2146" s="13"/>
      <c r="J2146" s="13" t="str">
        <f ca="1">IFERROR(__xludf.DUMMYFUNCTION("""COMPUTED_VALUE"""),"Chữ phồn thể được sử dụng ở Đài Loan.")</f>
        <v>Chữ phồn thể được sử dụng ở Đài Loan.</v>
      </c>
      <c r="K2146" s="13" t="str">
        <f ca="1">IFERROR(__xludf.DUMMYFUNCTION("""COMPUTED_VALUE"""),"H5_B21_BG-22.png")</f>
        <v>H5_B21_BG-22.png</v>
      </c>
      <c r="L2146" s="13" t="str">
        <f ca="1">IFERROR(__xludf.DUMMYFUNCTION("""COMPUTED_VALUE"""),"B21_22.mp3")</f>
        <v>B21_22.mp3</v>
      </c>
      <c r="M2146" s="13" t="str">
        <f ca="1">IFERROR(__xludf.DUMMYFUNCTION("""COMPUTED_VALUE"""),"B21_VD_22.mp3")</f>
        <v>B21_VD_22.mp3</v>
      </c>
    </row>
    <row r="2147" spans="1:13">
      <c r="A2147" s="13">
        <f ca="1">IFERROR(__xludf.DUMMYFUNCTION("""COMPUTED_VALUE"""),23)</f>
        <v>23</v>
      </c>
      <c r="B2147" s="13"/>
      <c r="C2147" s="13" t="str">
        <f ca="1">IFERROR(__xludf.DUMMYFUNCTION("""COMPUTED_VALUE"""),"简体")</f>
        <v>简体</v>
      </c>
      <c r="D2147" s="13" t="str">
        <f ca="1">IFERROR(__xludf.DUMMYFUNCTION("""COMPUTED_VALUE"""),"&lt;ruby&gt;简体&lt;rt&gt;jiǎntǐ&lt;/rt&gt;&lt;/ruby&gt;")</f>
        <v>&lt;ruby&gt;简体&lt;rt&gt;jiǎntǐ&lt;/rt&gt;&lt;/ruby&gt;</v>
      </c>
      <c r="E2147" s="13" t="str">
        <f ca="1">IFERROR(__xludf.DUMMYFUNCTION("""COMPUTED_VALUE"""),"jiǎntǐ")</f>
        <v>jiǎntǐ</v>
      </c>
      <c r="F2147" s="13" t="str">
        <f ca="1">IFERROR(__xludf.DUMMYFUNCTION("""COMPUTED_VALUE"""),"Danh từ")</f>
        <v>Danh từ</v>
      </c>
      <c r="G2147" s="13" t="str">
        <f ca="1">IFERROR(__xludf.DUMMYFUNCTION("""COMPUTED_VALUE"""),"(chữ) giản thể")</f>
        <v>(chữ) giản thể</v>
      </c>
      <c r="H2147" s="13" t="str">
        <f ca="1">IFERROR(__xludf.DUMMYFUNCTION("""COMPUTED_VALUE"""),"简体字比繁体字更容易书写。")</f>
        <v>简体字比繁体字更容易书写。</v>
      </c>
      <c r="I2147" s="13"/>
      <c r="J2147" s="13" t="str">
        <f ca="1">IFERROR(__xludf.DUMMYFUNCTION("""COMPUTED_VALUE"""),"Chữ Hán giản thể viết dễ hơn.")</f>
        <v>Chữ Hán giản thể viết dễ hơn.</v>
      </c>
      <c r="K2147" s="13" t="str">
        <f ca="1">IFERROR(__xludf.DUMMYFUNCTION("""COMPUTED_VALUE"""),"H5_B21_BG-23.png")</f>
        <v>H5_B21_BG-23.png</v>
      </c>
      <c r="L2147" s="13" t="str">
        <f ca="1">IFERROR(__xludf.DUMMYFUNCTION("""COMPUTED_VALUE"""),"B21_23.mp3")</f>
        <v>B21_23.mp3</v>
      </c>
      <c r="M2147" s="13" t="str">
        <f ca="1">IFERROR(__xludf.DUMMYFUNCTION("""COMPUTED_VALUE"""),"B21_VD_23.mp3")</f>
        <v>B21_VD_23.mp3</v>
      </c>
    </row>
    <row r="2148" spans="1:13">
      <c r="A2148" s="13">
        <f ca="1">IFERROR(__xludf.DUMMYFUNCTION("""COMPUTED_VALUE"""),24)</f>
        <v>24</v>
      </c>
      <c r="B2148" s="13"/>
      <c r="C2148" s="13" t="str">
        <f ca="1">IFERROR(__xludf.DUMMYFUNCTION("""COMPUTED_VALUE"""),"方言")</f>
        <v>方言</v>
      </c>
      <c r="D2148" s="13" t="str">
        <f ca="1">IFERROR(__xludf.DUMMYFUNCTION("""COMPUTED_VALUE"""),"&lt;ruby&gt;方言&lt;rt&gt;fāngyán&lt;/rt&gt;&lt;/ruby&gt;")</f>
        <v>&lt;ruby&gt;方言&lt;rt&gt;fāngyán&lt;/rt&gt;&lt;/ruby&gt;</v>
      </c>
      <c r="E2148" s="13" t="str">
        <f ca="1">IFERROR(__xludf.DUMMYFUNCTION("""COMPUTED_VALUE"""),"fāngyán")</f>
        <v>fāngyán</v>
      </c>
      <c r="F2148" s="13" t="str">
        <f ca="1">IFERROR(__xludf.DUMMYFUNCTION("""COMPUTED_VALUE"""),"Danh từ")</f>
        <v>Danh từ</v>
      </c>
      <c r="G2148" s="13" t="str">
        <f ca="1">IFERROR(__xludf.DUMMYFUNCTION("""COMPUTED_VALUE"""),"tiếng địa phương")</f>
        <v>tiếng địa phương</v>
      </c>
      <c r="H2148" s="13" t="str">
        <f ca="1">IFERROR(__xludf.DUMMYFUNCTION("""COMPUTED_VALUE"""),"回到家乡时，人们通常用方言交流。")</f>
        <v>回到家乡时，人们通常用方言交流。</v>
      </c>
      <c r="I2148" s="13"/>
      <c r="J2148" s="13" t="str">
        <f ca="1">IFERROR(__xludf.DUMMYFUNCTION("""COMPUTED_VALUE"""),"Khi về quê mọi người thường giao tiếp với nhau bằng tiếng địa phương.")</f>
        <v>Khi về quê mọi người thường giao tiếp với nhau bằng tiếng địa phương.</v>
      </c>
      <c r="K2148" s="13" t="str">
        <f ca="1">IFERROR(__xludf.DUMMYFUNCTION("""COMPUTED_VALUE"""),"H5_B21_BG-24.png")</f>
        <v>H5_B21_BG-24.png</v>
      </c>
      <c r="L2148" s="13" t="str">
        <f ca="1">IFERROR(__xludf.DUMMYFUNCTION("""COMPUTED_VALUE"""),"B21_24.mp3")</f>
        <v>B21_24.mp3</v>
      </c>
      <c r="M2148" s="13" t="str">
        <f ca="1">IFERROR(__xludf.DUMMYFUNCTION("""COMPUTED_VALUE"""),"B21_VD_24.mp3")</f>
        <v>B21_VD_24.mp3</v>
      </c>
    </row>
    <row r="2149" spans="1:13">
      <c r="A2149" s="13">
        <f ca="1">IFERROR(__xludf.DUMMYFUNCTION("""COMPUTED_VALUE"""),25)</f>
        <v>25</v>
      </c>
      <c r="B2149" s="13"/>
      <c r="C2149" s="13" t="str">
        <f ca="1">IFERROR(__xludf.DUMMYFUNCTION("""COMPUTED_VALUE"""),"称赞")</f>
        <v>称赞</v>
      </c>
      <c r="D2149" s="13" t="str">
        <f ca="1">IFERROR(__xludf.DUMMYFUNCTION("""COMPUTED_VALUE"""),"&lt;ruby&gt;称赞&lt;rt&gt;chēngzàn&lt;/rt&gt;&lt;/ruby&gt;")</f>
        <v>&lt;ruby&gt;称赞&lt;rt&gt;chēngzàn&lt;/rt&gt;&lt;/ruby&gt;</v>
      </c>
      <c r="E2149" s="13" t="str">
        <f ca="1">IFERROR(__xludf.DUMMYFUNCTION("""COMPUTED_VALUE"""),"chēngzàn")</f>
        <v>chēngzàn</v>
      </c>
      <c r="F2149" s="13" t="str">
        <f ca="1">IFERROR(__xludf.DUMMYFUNCTION("""COMPUTED_VALUE"""),"Động từ")</f>
        <v>Động từ</v>
      </c>
      <c r="G2149" s="13" t="str">
        <f ca="1">IFERROR(__xludf.DUMMYFUNCTION("""COMPUTED_VALUE"""),"khen ngợi, tán thưởng")</f>
        <v>khen ngợi, tán thưởng</v>
      </c>
      <c r="H2149" s="13" t="str">
        <f ca="1">IFERROR(__xludf.DUMMYFUNCTION("""COMPUTED_VALUE"""),"老师称赞了她的努力和进步。")</f>
        <v>老师称赞了她的努力和进步。</v>
      </c>
      <c r="I2149" s="13"/>
      <c r="J2149" s="13" t="str">
        <f ca="1">IFERROR(__xludf.DUMMYFUNCTION("""COMPUTED_VALUE"""),"Giáo viên đã khen ngợi nỗ lực và sự tiến bộ của cô ấy.")</f>
        <v>Giáo viên đã khen ngợi nỗ lực và sự tiến bộ của cô ấy.</v>
      </c>
      <c r="K2149" s="13" t="str">
        <f ca="1">IFERROR(__xludf.DUMMYFUNCTION("""COMPUTED_VALUE"""),"H5_B21_BG-25.png")</f>
        <v>H5_B21_BG-25.png</v>
      </c>
      <c r="L2149" s="13" t="str">
        <f ca="1">IFERROR(__xludf.DUMMYFUNCTION("""COMPUTED_VALUE"""),"B21_25.mp3")</f>
        <v>B21_25.mp3</v>
      </c>
      <c r="M2149" s="13" t="str">
        <f ca="1">IFERROR(__xludf.DUMMYFUNCTION("""COMPUTED_VALUE"""),"B21_VD_25.mp3")</f>
        <v>B21_VD_25.mp3</v>
      </c>
    </row>
    <row r="2150" spans="1:13">
      <c r="A2150" s="13">
        <f ca="1">IFERROR(__xludf.DUMMYFUNCTION("""COMPUTED_VALUE"""),26)</f>
        <v>26</v>
      </c>
      <c r="B2150" s="13"/>
      <c r="C2150" s="13" t="str">
        <f ca="1">IFERROR(__xludf.DUMMYFUNCTION("""COMPUTED_VALUE"""),"开放")</f>
        <v>开放</v>
      </c>
      <c r="D2150" s="13" t="str">
        <f ca="1">IFERROR(__xludf.DUMMYFUNCTION("""COMPUTED_VALUE"""),"&lt;ruby&gt;开放&lt;rt&gt;kāifàng&lt;/rt&gt;&lt;/ruby&gt;")</f>
        <v>&lt;ruby&gt;开放&lt;rt&gt;kāifàng&lt;/rt&gt;&lt;/ruby&gt;</v>
      </c>
      <c r="E2150" s="13" t="str">
        <f ca="1">IFERROR(__xludf.DUMMYFUNCTION("""COMPUTED_VALUE"""),"kāifàng")</f>
        <v>kāifàng</v>
      </c>
      <c r="F2150" s="13" t="str">
        <f ca="1">IFERROR(__xludf.DUMMYFUNCTION("""COMPUTED_VALUE"""),"Động từ")</f>
        <v>Động từ</v>
      </c>
      <c r="G2150" s="13" t="str">
        <f ca="1">IFERROR(__xludf.DUMMYFUNCTION("""COMPUTED_VALUE"""),"mở cửa, mở công khai")</f>
        <v>mở cửa, mở công khai</v>
      </c>
      <c r="H2150" s="13" t="str">
        <f ca="1">IFERROR(__xludf.DUMMYFUNCTION("""COMPUTED_VALUE"""),"这个公园已经对公众开放了。")</f>
        <v>这个公园已经对公众开放了。</v>
      </c>
      <c r="I2150" s="13"/>
      <c r="J2150" s="13" t="str">
        <f ca="1">IFERROR(__xludf.DUMMYFUNCTION("""COMPUTED_VALUE"""),"Công viên này mở cửa cho công chúng.")</f>
        <v>Công viên này mở cửa cho công chúng.</v>
      </c>
      <c r="K2150" s="13" t="str">
        <f ca="1">IFERROR(__xludf.DUMMYFUNCTION("""COMPUTED_VALUE"""),"H5_B21_BG-26.png")</f>
        <v>H5_B21_BG-26.png</v>
      </c>
      <c r="L2150" s="13" t="str">
        <f ca="1">IFERROR(__xludf.DUMMYFUNCTION("""COMPUTED_VALUE"""),"B21_26.mp3")</f>
        <v>B21_26.mp3</v>
      </c>
      <c r="M2150" s="13" t="str">
        <f ca="1">IFERROR(__xludf.DUMMYFUNCTION("""COMPUTED_VALUE"""),"B21_VD_26.mp3")</f>
        <v>B21_VD_26.mp3</v>
      </c>
    </row>
    <row r="2151" spans="1:13">
      <c r="A2151" s="13">
        <f ca="1">IFERROR(__xludf.DUMMYFUNCTION("""COMPUTED_VALUE"""),27)</f>
        <v>27</v>
      </c>
      <c r="B2151" s="13"/>
      <c r="C2151" s="13" t="str">
        <f ca="1">IFERROR(__xludf.DUMMYFUNCTION("""COMPUTED_VALUE"""),"单位")</f>
        <v>单位</v>
      </c>
      <c r="D2151" s="13" t="str">
        <f ca="1">IFERROR(__xludf.DUMMYFUNCTION("""COMPUTED_VALUE"""),"&lt;ruby&gt;单位&lt;rt&gt;dānwèi&lt;/rt&gt;&lt;/ruby&gt;")</f>
        <v>&lt;ruby&gt;单位&lt;rt&gt;dānwèi&lt;/rt&gt;&lt;/ruby&gt;</v>
      </c>
      <c r="E2151" s="13" t="str">
        <f ca="1">IFERROR(__xludf.DUMMYFUNCTION("""COMPUTED_VALUE"""),"dānwèi")</f>
        <v>dānwèi</v>
      </c>
      <c r="F2151" s="13" t="str">
        <f ca="1">IFERROR(__xludf.DUMMYFUNCTION("""COMPUTED_VALUE"""),"Danh từ")</f>
        <v>Danh từ</v>
      </c>
      <c r="G2151" s="13" t="str">
        <f ca="1">IFERROR(__xludf.DUMMYFUNCTION("""COMPUTED_VALUE"""),"đơn vị")</f>
        <v>đơn vị</v>
      </c>
      <c r="H2151" s="13" t="str">
        <f ca="1">IFERROR(__xludf.DUMMYFUNCTION("""COMPUTED_VALUE"""),"我们单位最近正在施工这个项目。")</f>
        <v>我们单位最近正在施工这个项目。</v>
      </c>
      <c r="I2151" s="13"/>
      <c r="J2151" s="13" t="str">
        <f ca="1">IFERROR(__xludf.DUMMYFUNCTION("""COMPUTED_VALUE"""),"Đơn vị của chúng tôi gần đây đang thi công dự án này.")</f>
        <v>Đơn vị của chúng tôi gần đây đang thi công dự án này.</v>
      </c>
      <c r="K2151" s="13" t="str">
        <f ca="1">IFERROR(__xludf.DUMMYFUNCTION("""COMPUTED_VALUE"""),"H5_B21_BG-27.png")</f>
        <v>H5_B21_BG-27.png</v>
      </c>
      <c r="L2151" s="13" t="str">
        <f ca="1">IFERROR(__xludf.DUMMYFUNCTION("""COMPUTED_VALUE"""),"B21_27.mp3")</f>
        <v>B21_27.mp3</v>
      </c>
      <c r="M2151" s="13" t="str">
        <f ca="1">IFERROR(__xludf.DUMMYFUNCTION("""COMPUTED_VALUE"""),"B21_VD_27.mp3")</f>
        <v>B21_VD_27.mp3</v>
      </c>
    </row>
    <row r="2152" spans="1:13">
      <c r="A2152" s="13">
        <f ca="1">IFERROR(__xludf.DUMMYFUNCTION("""COMPUTED_VALUE"""),28)</f>
        <v>28</v>
      </c>
      <c r="B2152" s="13"/>
      <c r="C2152" s="13" t="str">
        <f ca="1">IFERROR(__xludf.DUMMYFUNCTION("""COMPUTED_VALUE"""),"完善")</f>
        <v>完善</v>
      </c>
      <c r="D2152" s="13" t="str">
        <f ca="1">IFERROR(__xludf.DUMMYFUNCTION("""COMPUTED_VALUE"""),"&lt;ruby&gt;完善&lt;rt&gt;wánshàn&lt;/rt&gt;&lt;/ruby&gt;")</f>
        <v>&lt;ruby&gt;完善&lt;rt&gt;wánshàn&lt;/rt&gt;&lt;/ruby&gt;</v>
      </c>
      <c r="E2152" s="13" t="str">
        <f ca="1">IFERROR(__xludf.DUMMYFUNCTION("""COMPUTED_VALUE"""),"wánshàn")</f>
        <v>wánshàn</v>
      </c>
      <c r="F2152" s="13" t="str">
        <f ca="1">IFERROR(__xludf.DUMMYFUNCTION("""COMPUTED_VALUE"""),"Động từ/Tính từ")</f>
        <v>Động từ/Tính từ</v>
      </c>
      <c r="G2152" s="13" t="str">
        <f ca="1">IFERROR(__xludf.DUMMYFUNCTION("""COMPUTED_VALUE"""),"hoàn thiện; trọn vẹn, đầy đủ")</f>
        <v>hoàn thiện; trọn vẹn, đầy đủ</v>
      </c>
      <c r="H2152" s="13" t="str">
        <f ca="1">IFERROR(__xludf.DUMMYFUNCTION("""COMPUTED_VALUE"""),"政府正在完善交通网络以减少拥堵。")</f>
        <v>政府正在完善交通网络以减少拥堵。</v>
      </c>
      <c r="I2152" s="13"/>
      <c r="J2152" s="13" t="str">
        <f ca="1">IFERROR(__xludf.DUMMYFUNCTION("""COMPUTED_VALUE"""),"Chính phủ đang hoàn thiện mạng lưới giao thông để giảm bớt tình trạng tắc nghẽn giao thông.")</f>
        <v>Chính phủ đang hoàn thiện mạng lưới giao thông để giảm bớt tình trạng tắc nghẽn giao thông.</v>
      </c>
      <c r="K2152" s="13" t="str">
        <f ca="1">IFERROR(__xludf.DUMMYFUNCTION("""COMPUTED_VALUE"""),"H5_B21_BG-28.png")</f>
        <v>H5_B21_BG-28.png</v>
      </c>
      <c r="L2152" s="13" t="str">
        <f ca="1">IFERROR(__xludf.DUMMYFUNCTION("""COMPUTED_VALUE"""),"B21_28.mp3")</f>
        <v>B21_28.mp3</v>
      </c>
      <c r="M2152" s="13" t="str">
        <f ca="1">IFERROR(__xludf.DUMMYFUNCTION("""COMPUTED_VALUE"""),"B21_VD_28.mp3")</f>
        <v>B21_VD_28.mp3</v>
      </c>
    </row>
    <row r="2153" spans="1:13">
      <c r="A2153" s="13">
        <f ca="1">IFERROR(__xludf.DUMMYFUNCTION("""COMPUTED_VALUE"""),29)</f>
        <v>29</v>
      </c>
      <c r="B2153" s="13"/>
      <c r="C2153" s="13" t="str">
        <f ca="1">IFERROR(__xludf.DUMMYFUNCTION("""COMPUTED_VALUE"""),"退休")</f>
        <v>退休</v>
      </c>
      <c r="D2153" s="13" t="str">
        <f ca="1">IFERROR(__xludf.DUMMYFUNCTION("""COMPUTED_VALUE"""),"&lt;ruby&gt;退休&lt;rt&gt;tuìxiū&lt;/rt&gt;&lt;/ruby&gt;")</f>
        <v>&lt;ruby&gt;退休&lt;rt&gt;tuìxiū&lt;/rt&gt;&lt;/ruby&gt;</v>
      </c>
      <c r="E2153" s="13" t="str">
        <f ca="1">IFERROR(__xludf.DUMMYFUNCTION("""COMPUTED_VALUE"""),"tuìxiū")</f>
        <v>tuìxiū</v>
      </c>
      <c r="F2153" s="13" t="str">
        <f ca="1">IFERROR(__xludf.DUMMYFUNCTION("""COMPUTED_VALUE"""),"Động từ")</f>
        <v>Động từ</v>
      </c>
      <c r="G2153" s="13" t="str">
        <f ca="1">IFERROR(__xludf.DUMMYFUNCTION("""COMPUTED_VALUE"""),"về hưu")</f>
        <v>về hưu</v>
      </c>
      <c r="H2153" s="13" t="str">
        <f ca="1">IFERROR(__xludf.DUMMYFUNCTION("""COMPUTED_VALUE"""),"我的祖父母都已经退休了。")</f>
        <v>我的祖父母都已经退休了。</v>
      </c>
      <c r="I2153" s="13"/>
      <c r="J2153" s="13" t="str">
        <f ca="1">IFERROR(__xludf.DUMMYFUNCTION("""COMPUTED_VALUE"""),"Ông bà tôi đều đã về hưu.")</f>
        <v>Ông bà tôi đều đã về hưu.</v>
      </c>
      <c r="K2153" s="13" t="str">
        <f ca="1">IFERROR(__xludf.DUMMYFUNCTION("""COMPUTED_VALUE"""),"H5_B21_BG-29.png")</f>
        <v>H5_B21_BG-29.png</v>
      </c>
      <c r="L2153" s="13" t="str">
        <f ca="1">IFERROR(__xludf.DUMMYFUNCTION("""COMPUTED_VALUE"""),"B21_29.mp3")</f>
        <v>B21_29.mp3</v>
      </c>
      <c r="M2153" s="13" t="str">
        <f ca="1">IFERROR(__xludf.DUMMYFUNCTION("""COMPUTED_VALUE"""),"B21_VD_29.mp3")</f>
        <v>B21_VD_29.mp3</v>
      </c>
    </row>
    <row r="2154" spans="1:13">
      <c r="A2154" s="13">
        <f ca="1">IFERROR(__xludf.DUMMYFUNCTION("""COMPUTED_VALUE"""),30)</f>
        <v>30</v>
      </c>
      <c r="B2154" s="13"/>
      <c r="C2154" s="13" t="str">
        <f ca="1">IFERROR(__xludf.DUMMYFUNCTION("""COMPUTED_VALUE"""),"情缘")</f>
        <v>情缘</v>
      </c>
      <c r="D2154" s="13" t="str">
        <f ca="1">IFERROR(__xludf.DUMMYFUNCTION("""COMPUTED_VALUE"""),"&lt;ruby&gt;情缘&lt;rt&gt;qíngyuán&lt;/rt&gt;&lt;/ruby&gt;")</f>
        <v>&lt;ruby&gt;情缘&lt;rt&gt;qíngyuán&lt;/rt&gt;&lt;/ruby&gt;</v>
      </c>
      <c r="E2154" s="13" t="str">
        <f ca="1">IFERROR(__xludf.DUMMYFUNCTION("""COMPUTED_VALUE"""),"qíngyuán")</f>
        <v>qíngyuán</v>
      </c>
      <c r="F2154" s="13" t="str">
        <f ca="1">IFERROR(__xludf.DUMMYFUNCTION("""COMPUTED_VALUE"""),"Danh từ")</f>
        <v>Danh từ</v>
      </c>
      <c r="G2154" s="13" t="str">
        <f ca="1">IFERROR(__xludf.DUMMYFUNCTION("""COMPUTED_VALUE"""),"tình duyên")</f>
        <v>tình duyên</v>
      </c>
      <c r="H2154" s="13" t="str">
        <f ca="1">IFERROR(__xludf.DUMMYFUNCTION("""COMPUTED_VALUE"""),"他们的情缘从大学时代就开始了。")</f>
        <v>他们的情缘从大学时代就开始了。</v>
      </c>
      <c r="I2154" s="13"/>
      <c r="J2154" s="13" t="str">
        <f ca="1">IFERROR(__xludf.DUMMYFUNCTION("""COMPUTED_VALUE"""),"Tình duyên của họ bắt đầu từ thời đại học.")</f>
        <v>Tình duyên của họ bắt đầu từ thời đại học.</v>
      </c>
      <c r="K2154" s="13" t="str">
        <f ca="1">IFERROR(__xludf.DUMMYFUNCTION("""COMPUTED_VALUE"""),"H5_B21_BG-30.png")</f>
        <v>H5_B21_BG-30.png</v>
      </c>
      <c r="L2154" s="13" t="str">
        <f ca="1">IFERROR(__xludf.DUMMYFUNCTION("""COMPUTED_VALUE"""),"B21_30.mp3")</f>
        <v>B21_30.mp3</v>
      </c>
      <c r="M2154" s="13" t="str">
        <f ca="1">IFERROR(__xludf.DUMMYFUNCTION("""COMPUTED_VALUE"""),"B21_VD_30.mp3")</f>
        <v>B21_VD_30.mp3</v>
      </c>
    </row>
    <row r="2155" spans="1:13">
      <c r="A2155" s="13">
        <f ca="1">IFERROR(__xludf.DUMMYFUNCTION("""COMPUTED_VALUE"""),31)</f>
        <v>31</v>
      </c>
      <c r="B2155" s="13"/>
      <c r="C2155" s="13" t="str">
        <f ca="1">IFERROR(__xludf.DUMMYFUNCTION("""COMPUTED_VALUE"""),"偶然")</f>
        <v>偶然</v>
      </c>
      <c r="D2155" s="13" t="str">
        <f ca="1">IFERROR(__xludf.DUMMYFUNCTION("""COMPUTED_VALUE"""),"&lt;ruby&gt;偶然&lt;rt&gt;ǒurán&lt;/rt&gt;&lt;/ruby&gt;")</f>
        <v>&lt;ruby&gt;偶然&lt;rt&gt;ǒurán&lt;/rt&gt;&lt;/ruby&gt;</v>
      </c>
      <c r="E2155" s="13" t="str">
        <f ca="1">IFERROR(__xludf.DUMMYFUNCTION("""COMPUTED_VALUE"""),"ǒurán")</f>
        <v>ǒurán</v>
      </c>
      <c r="F2155" s="13" t="str">
        <f ca="1">IFERROR(__xludf.DUMMYFUNCTION("""COMPUTED_VALUE"""),"Tính từ/Phó từ")</f>
        <v>Tính từ/Phó từ</v>
      </c>
      <c r="G2155" s="13" t="str">
        <f ca="1">IFERROR(__xludf.DUMMYFUNCTION("""COMPUTED_VALUE"""),"tình cờ; thỉnh thoảng")</f>
        <v>tình cờ; thỉnh thoảng</v>
      </c>
      <c r="H2155" s="13" t="str">
        <f ca="1">IFERROR(__xludf.DUMMYFUNCTION("""COMPUTED_VALUE"""),"我在咖啡馆偶然遇到了多年未见的老朋友。")</f>
        <v>我在咖啡馆偶然遇到了多年未见的老朋友。</v>
      </c>
      <c r="I2155" s="13"/>
      <c r="J2155" s="13" t="str">
        <f ca="1">IFERROR(__xludf.DUMMYFUNCTION("""COMPUTED_VALUE"""),"Tôi tình cờ gặp lại người bạn cũ sau nhiều năm không gặp ở quán cà phê.")</f>
        <v>Tôi tình cờ gặp lại người bạn cũ sau nhiều năm không gặp ở quán cà phê.</v>
      </c>
      <c r="K2155" s="13" t="str">
        <f ca="1">IFERROR(__xludf.DUMMYFUNCTION("""COMPUTED_VALUE"""),"H5_B21_BG-31.png")</f>
        <v>H5_B21_BG-31.png</v>
      </c>
      <c r="L2155" s="13" t="str">
        <f ca="1">IFERROR(__xludf.DUMMYFUNCTION("""COMPUTED_VALUE"""),"B21_31.mp3")</f>
        <v>B21_31.mp3</v>
      </c>
      <c r="M2155" s="13" t="str">
        <f ca="1">IFERROR(__xludf.DUMMYFUNCTION("""COMPUTED_VALUE"""),"B21_VD_31.mp3")</f>
        <v>B21_VD_31.mp3</v>
      </c>
    </row>
    <row r="2156" spans="1:13">
      <c r="A2156" s="13">
        <f ca="1">IFERROR(__xludf.DUMMYFUNCTION("""COMPUTED_VALUE"""),32)</f>
        <v>32</v>
      </c>
      <c r="B2156" s="13"/>
      <c r="C2156" s="13" t="str">
        <f ca="1">IFERROR(__xludf.DUMMYFUNCTION("""COMPUTED_VALUE"""),"遗憾")</f>
        <v>遗憾</v>
      </c>
      <c r="D2156" s="13" t="str">
        <f ca="1">IFERROR(__xludf.DUMMYFUNCTION("""COMPUTED_VALUE"""),"&lt;ruby&gt;遗憾&lt;rt&gt;yíhàn&lt;/rt&gt;&lt;/ruby&gt;")</f>
        <v>&lt;ruby&gt;遗憾&lt;rt&gt;yíhàn&lt;/rt&gt;&lt;/ruby&gt;</v>
      </c>
      <c r="E2156" s="13" t="str">
        <f ca="1">IFERROR(__xludf.DUMMYFUNCTION("""COMPUTED_VALUE"""),"yíhàn")</f>
        <v>yíhàn</v>
      </c>
      <c r="F2156" s="13" t="str">
        <f ca="1">IFERROR(__xludf.DUMMYFUNCTION("""COMPUTED_VALUE"""),"Tính từ/Danh từ")</f>
        <v>Tính từ/Danh từ</v>
      </c>
      <c r="G2156" s="13" t="str">
        <f ca="1">IFERROR(__xludf.DUMMYFUNCTION("""COMPUTED_VALUE"""),"cảm thấy hối tiếc; nỗi ân hận")</f>
        <v>cảm thấy hối tiếc; nỗi ân hận</v>
      </c>
      <c r="H2156" s="13" t="str">
        <f ca="1">IFERROR(__xludf.DUMMYFUNCTION("""COMPUTED_VALUE"""),"对于错过这次机会，我感到非常遗憾。")</f>
        <v>对于错过这次机会，我感到非常遗憾。</v>
      </c>
      <c r="I2156" s="13"/>
      <c r="J2156" s="13" t="str">
        <f ca="1">IFERROR(__xludf.DUMMYFUNCTION("""COMPUTED_VALUE"""),"Tôi cảm thấy có chút tiếc nuối.")</f>
        <v>Tôi cảm thấy có chút tiếc nuối.</v>
      </c>
      <c r="K2156" s="13" t="str">
        <f ca="1">IFERROR(__xludf.DUMMYFUNCTION("""COMPUTED_VALUE"""),"H5_B21_BG-32.png")</f>
        <v>H5_B21_BG-32.png</v>
      </c>
      <c r="L2156" s="13" t="str">
        <f ca="1">IFERROR(__xludf.DUMMYFUNCTION("""COMPUTED_VALUE"""),"B21_32.mp3")</f>
        <v>B21_32.mp3</v>
      </c>
      <c r="M2156" s="13" t="str">
        <f ca="1">IFERROR(__xludf.DUMMYFUNCTION("""COMPUTED_VALUE"""),"B21_VD_32.mp3")</f>
        <v>B21_VD_32.mp3</v>
      </c>
    </row>
    <row r="2157" spans="1:13">
      <c r="A2157" s="13">
        <f ca="1">IFERROR(__xludf.DUMMYFUNCTION("""COMPUTED_VALUE"""),33)</f>
        <v>33</v>
      </c>
      <c r="B2157" s="13"/>
      <c r="C2157" s="13" t="str">
        <f ca="1">IFERROR(__xludf.DUMMYFUNCTION("""COMPUTED_VALUE"""),"心脏")</f>
        <v>心脏</v>
      </c>
      <c r="D2157" s="13" t="str">
        <f ca="1">IFERROR(__xludf.DUMMYFUNCTION("""COMPUTED_VALUE"""),"&lt;ruby&gt;心脏&lt;rt&gt;xīnzàng&lt;/rt&gt;&lt;/ruby&gt;")</f>
        <v>&lt;ruby&gt;心脏&lt;rt&gt;xīnzàng&lt;/rt&gt;&lt;/ruby&gt;</v>
      </c>
      <c r="E2157" s="13" t="str">
        <f ca="1">IFERROR(__xludf.DUMMYFUNCTION("""COMPUTED_VALUE"""),"xīnzàng")</f>
        <v>xīnzàng</v>
      </c>
      <c r="F2157" s="13" t="str">
        <f ca="1">IFERROR(__xludf.DUMMYFUNCTION("""COMPUTED_VALUE"""),"Danh từ")</f>
        <v>Danh từ</v>
      </c>
      <c r="G2157" s="13" t="str">
        <f ca="1">IFERROR(__xludf.DUMMYFUNCTION("""COMPUTED_VALUE"""),"(trái) tim")</f>
        <v>(trái) tim</v>
      </c>
      <c r="H2157" s="13" t="str">
        <f ca="1">IFERROR(__xludf.DUMMYFUNCTION("""COMPUTED_VALUE"""),"他因为心脏病住院并接受了手术。")</f>
        <v>他因为心脏病住院并接受了手术。</v>
      </c>
      <c r="I2157" s="13"/>
      <c r="J2157" s="13" t="str">
        <f ca="1">IFERROR(__xludf.DUMMYFUNCTION("""COMPUTED_VALUE"""),"Anh ấy phải nhập viện vì bệnh tim và cần phải phẫu thuật.")</f>
        <v>Anh ấy phải nhập viện vì bệnh tim và cần phải phẫu thuật.</v>
      </c>
      <c r="K2157" s="13" t="str">
        <f ca="1">IFERROR(__xludf.DUMMYFUNCTION("""COMPUTED_VALUE"""),"H5_B21_BG-33.png")</f>
        <v>H5_B21_BG-33.png</v>
      </c>
      <c r="L2157" s="13" t="str">
        <f ca="1">IFERROR(__xludf.DUMMYFUNCTION("""COMPUTED_VALUE"""),"B21_33.mp3")</f>
        <v>B21_33.mp3</v>
      </c>
      <c r="M2157" s="13" t="str">
        <f ca="1">IFERROR(__xludf.DUMMYFUNCTION("""COMPUTED_VALUE"""),"B21_VD_33.mp3")</f>
        <v>B21_VD_33.mp3</v>
      </c>
    </row>
    <row r="2158" spans="1:13">
      <c r="A2158" s="13">
        <f ca="1">IFERROR(__xludf.DUMMYFUNCTION("""COMPUTED_VALUE"""),34)</f>
        <v>34</v>
      </c>
      <c r="B2158" s="13"/>
      <c r="C2158" s="13" t="str">
        <f ca="1">IFERROR(__xludf.DUMMYFUNCTION("""COMPUTED_VALUE"""),"思考")</f>
        <v>思考</v>
      </c>
      <c r="D2158" s="13" t="str">
        <f ca="1">IFERROR(__xludf.DUMMYFUNCTION("""COMPUTED_VALUE"""),"&lt;ruby&gt;思考&lt;rt&gt;sīkǎo&lt;/rt&gt;&lt;/ruby&gt;")</f>
        <v>&lt;ruby&gt;思考&lt;rt&gt;sīkǎo&lt;/rt&gt;&lt;/ruby&gt;</v>
      </c>
      <c r="E2158" s="13" t="str">
        <f ca="1">IFERROR(__xludf.DUMMYFUNCTION("""COMPUTED_VALUE"""),"sīkǎo")</f>
        <v>sīkǎo</v>
      </c>
      <c r="F2158" s="13" t="str">
        <f ca="1">IFERROR(__xludf.DUMMYFUNCTION("""COMPUTED_VALUE"""),"Động từ")</f>
        <v>Động từ</v>
      </c>
      <c r="G2158" s="13" t="str">
        <f ca="1">IFERROR(__xludf.DUMMYFUNCTION("""COMPUTED_VALUE"""),"suy nghĩ, suy ngẫm")</f>
        <v>suy nghĩ, suy ngẫm</v>
      </c>
      <c r="H2158" s="13" t="str">
        <f ca="1">IFERROR(__xludf.DUMMYFUNCTION("""COMPUTED_VALUE"""),"她正在思考是否接受这份新的工作机会。")</f>
        <v>她正在思考是否接受这份新的工作机会。</v>
      </c>
      <c r="I2158" s="13"/>
      <c r="J2158" s="13" t="str">
        <f ca="1">IFERROR(__xludf.DUMMYFUNCTION("""COMPUTED_VALUE"""),"Cô ấy đang suy nghĩ xem có nên chấp nhận cơ hội công việc mới này hay không.")</f>
        <v>Cô ấy đang suy nghĩ xem có nên chấp nhận cơ hội công việc mới này hay không.</v>
      </c>
      <c r="K2158" s="13" t="str">
        <f ca="1">IFERROR(__xludf.DUMMYFUNCTION("""COMPUTED_VALUE"""),"H5_B21_BG-34.png")</f>
        <v>H5_B21_BG-34.png</v>
      </c>
      <c r="L2158" s="13" t="str">
        <f ca="1">IFERROR(__xludf.DUMMYFUNCTION("""COMPUTED_VALUE"""),"B21_34.mp3")</f>
        <v>B21_34.mp3</v>
      </c>
      <c r="M2158" s="13" t="str">
        <f ca="1">IFERROR(__xludf.DUMMYFUNCTION("""COMPUTED_VALUE"""),"B21_VD_34.mp3")</f>
        <v>B21_VD_34.mp3</v>
      </c>
    </row>
    <row r="2159" spans="1:13">
      <c r="A2159" s="13">
        <f ca="1">IFERROR(__xludf.DUMMYFUNCTION("""COMPUTED_VALUE"""),35)</f>
        <v>35</v>
      </c>
      <c r="B2159" s="13"/>
      <c r="C2159" s="13" t="str">
        <f ca="1">IFERROR(__xludf.DUMMYFUNCTION("""COMPUTED_VALUE"""),"抓紧")</f>
        <v>抓紧</v>
      </c>
      <c r="D2159" s="13" t="str">
        <f ca="1">IFERROR(__xludf.DUMMYFUNCTION("""COMPUTED_VALUE"""),"&lt;ruby&gt;抓紧&lt;rt&gt;zhuā jǐn&lt;/rt&gt;&lt;/ruby&gt;")</f>
        <v>&lt;ruby&gt;抓紧&lt;rt&gt;zhuā jǐn&lt;/rt&gt;&lt;/ruby&gt;</v>
      </c>
      <c r="E2159" s="13" t="str">
        <f ca="1">IFERROR(__xludf.DUMMYFUNCTION("""COMPUTED_VALUE"""),"zhuā jǐn")</f>
        <v>zhuā jǐn</v>
      </c>
      <c r="F2159" s="13" t="str">
        <f ca="1">IFERROR(__xludf.DUMMYFUNCTION("""COMPUTED_VALUE"""),"Động từ")</f>
        <v>Động từ</v>
      </c>
      <c r="G2159" s="13" t="str">
        <f ca="1">IFERROR(__xludf.DUMMYFUNCTION("""COMPUTED_VALUE"""),"nắm chắc, nắm vững")</f>
        <v>nắm chắc, nắm vững</v>
      </c>
      <c r="H2159" s="13" t="str">
        <f ca="1">IFERROR(__xludf.DUMMYFUNCTION("""COMPUTED_VALUE"""),"这次考试很重要，你必须抓紧时间复习。")</f>
        <v>这次考试很重要，你必须抓紧时间复习。</v>
      </c>
      <c r="I2159" s="13"/>
      <c r="J2159" s="13" t="str">
        <f ca="1">IFERROR(__xludf.DUMMYFUNCTION("""COMPUTED_VALUE"""),"Kỳ thi lần này rất quan trọng, bạn phải nắm chắc thời gian ôn tập và cố gắng đạt thành tích tốt.")</f>
        <v>Kỳ thi lần này rất quan trọng, bạn phải nắm chắc thời gian ôn tập và cố gắng đạt thành tích tốt.</v>
      </c>
      <c r="K2159" s="13" t="str">
        <f ca="1">IFERROR(__xludf.DUMMYFUNCTION("""COMPUTED_VALUE"""),"H5_B21_BG-35.png")</f>
        <v>H5_B21_BG-35.png</v>
      </c>
      <c r="L2159" s="13" t="str">
        <f ca="1">IFERROR(__xludf.DUMMYFUNCTION("""COMPUTED_VALUE"""),"B21_35.mp3")</f>
        <v>B21_35.mp3</v>
      </c>
      <c r="M2159" s="13" t="str">
        <f ca="1">IFERROR(__xludf.DUMMYFUNCTION("""COMPUTED_VALUE"""),"B21_VD_35.mp3")</f>
        <v>B21_VD_35.mp3</v>
      </c>
    </row>
    <row r="2160" spans="1:13">
      <c r="A2160" s="13">
        <f ca="1">IFERROR(__xludf.DUMMYFUNCTION("""COMPUTED_VALUE"""),36)</f>
        <v>36</v>
      </c>
      <c r="B2160" s="13"/>
      <c r="C2160" s="13" t="str">
        <f ca="1">IFERROR(__xludf.DUMMYFUNCTION("""COMPUTED_VALUE"""),"尽快")</f>
        <v>尽快</v>
      </c>
      <c r="D2160" s="13" t="str">
        <f ca="1">IFERROR(__xludf.DUMMYFUNCTION("""COMPUTED_VALUE"""),"&lt;ruby&gt;尽快&lt;rt&gt;jǐnkuài&lt;/rt&gt;&lt;/ruby&gt;")</f>
        <v>&lt;ruby&gt;尽快&lt;rt&gt;jǐnkuài&lt;/rt&gt;&lt;/ruby&gt;</v>
      </c>
      <c r="E2160" s="13" t="str">
        <f ca="1">IFERROR(__xludf.DUMMYFUNCTION("""COMPUTED_VALUE"""),"jǐnkuài")</f>
        <v>jǐnkuài</v>
      </c>
      <c r="F2160" s="13" t="str">
        <f ca="1">IFERROR(__xludf.DUMMYFUNCTION("""COMPUTED_VALUE"""),"Phó từ")</f>
        <v>Phó từ</v>
      </c>
      <c r="G2160" s="13" t="str">
        <f ca="1">IFERROR(__xludf.DUMMYFUNCTION("""COMPUTED_VALUE"""),"càng sớm càng tốt")</f>
        <v>càng sớm càng tốt</v>
      </c>
      <c r="H2160" s="13" t="str">
        <f ca="1">IFERROR(__xludf.DUMMYFUNCTION("""COMPUTED_VALUE"""),"请尽快回复我的电子邮件。")</f>
        <v>请尽快回复我的电子邮件。</v>
      </c>
      <c r="I2160" s="13"/>
      <c r="J2160" s="13" t="str">
        <f ca="1">IFERROR(__xludf.DUMMYFUNCTION("""COMPUTED_VALUE"""),"Xin vui lòng trả lời email của tôi càng sớm càng tốt.")</f>
        <v>Xin vui lòng trả lời email của tôi càng sớm càng tốt.</v>
      </c>
      <c r="K2160" s="13" t="str">
        <f ca="1">IFERROR(__xludf.DUMMYFUNCTION("""COMPUTED_VALUE"""),"H5_B21_BG-36.png")</f>
        <v>H5_B21_BG-36.png</v>
      </c>
      <c r="L2160" s="13" t="str">
        <f ca="1">IFERROR(__xludf.DUMMYFUNCTION("""COMPUTED_VALUE"""),"B21_36.mp3")</f>
        <v>B21_36.mp3</v>
      </c>
      <c r="M2160" s="13" t="str">
        <f ca="1">IFERROR(__xludf.DUMMYFUNCTION("""COMPUTED_VALUE"""),"B21_VD_36.mp3")</f>
        <v>B21_VD_36.mp3</v>
      </c>
    </row>
    <row r="2161" spans="1:13">
      <c r="A2161" s="13">
        <f ca="1">IFERROR(__xludf.DUMMYFUNCTION("""COMPUTED_VALUE"""),37)</f>
        <v>37</v>
      </c>
      <c r="B2161" s="13"/>
      <c r="C2161" s="13" t="str">
        <f ca="1">IFERROR(__xludf.DUMMYFUNCTION("""COMPUTED_VALUE"""),"经典")</f>
        <v>经典</v>
      </c>
      <c r="D2161" s="13" t="str">
        <f ca="1">IFERROR(__xludf.DUMMYFUNCTION("""COMPUTED_VALUE"""),"&lt;ruby&gt;经典&lt;rt&gt;jīngdiǎn&lt;/rt&gt;&lt;/ruby&gt;")</f>
        <v>&lt;ruby&gt;经典&lt;rt&gt;jīngdiǎn&lt;/rt&gt;&lt;/ruby&gt;</v>
      </c>
      <c r="E2161" s="13" t="str">
        <f ca="1">IFERROR(__xludf.DUMMYFUNCTION("""COMPUTED_VALUE"""),"jīngdiǎn")</f>
        <v>jīngdiǎn</v>
      </c>
      <c r="F2161" s="13" t="str">
        <f ca="1">IFERROR(__xludf.DUMMYFUNCTION("""COMPUTED_VALUE"""),"Danh từ/Tính từ")</f>
        <v>Danh từ/Tính từ</v>
      </c>
      <c r="G2161" s="13" t="str">
        <f ca="1">IFERROR(__xludf.DUMMYFUNCTION("""COMPUTED_VALUE"""),"tác phẩm kinh điển; kinh điển")</f>
        <v>tác phẩm kinh điển; kinh điển</v>
      </c>
      <c r="H2161" s="13" t="str">
        <f ca="1">IFERROR(__xludf.DUMMYFUNCTION("""COMPUTED_VALUE"""),"这首歌已经成为经典，小孩子都会哼唱。")</f>
        <v>这首歌已经成为经典，小孩子都会哼唱。</v>
      </c>
      <c r="I2161" s="13"/>
      <c r="J2161" s="13" t="str">
        <f ca="1">IFERROR(__xludf.DUMMYFUNCTION("""COMPUTED_VALUE"""),"Bài hát này đã trở thành kinh điển, trẻ em cũng có thể ngân nga theo.")</f>
        <v>Bài hát này đã trở thành kinh điển, trẻ em cũng có thể ngân nga theo.</v>
      </c>
      <c r="K2161" s="13" t="str">
        <f ca="1">IFERROR(__xludf.DUMMYFUNCTION("""COMPUTED_VALUE"""),"H5_B21_BG-37.png")</f>
        <v>H5_B21_BG-37.png</v>
      </c>
      <c r="L2161" s="13" t="str">
        <f ca="1">IFERROR(__xludf.DUMMYFUNCTION("""COMPUTED_VALUE"""),"B21_37.mp3")</f>
        <v>B21_37.mp3</v>
      </c>
      <c r="M2161" s="13" t="str">
        <f ca="1">IFERROR(__xludf.DUMMYFUNCTION("""COMPUTED_VALUE"""),"B21_VD_37.mp3")</f>
        <v>B21_VD_37.mp3</v>
      </c>
    </row>
    <row r="2162" spans="1:13">
      <c r="A2162" s="13">
        <f ca="1">IFERROR(__xludf.DUMMYFUNCTION("""COMPUTED_VALUE"""),38)</f>
        <v>38</v>
      </c>
      <c r="B2162" s="13"/>
      <c r="C2162" s="13" t="str">
        <f ca="1">IFERROR(__xludf.DUMMYFUNCTION("""COMPUTED_VALUE"""),"痛苦")</f>
        <v>痛苦</v>
      </c>
      <c r="D2162" s="13" t="str">
        <f ca="1">IFERROR(__xludf.DUMMYFUNCTION("""COMPUTED_VALUE"""),"&lt;ruby&gt;痛苦&lt;rt&gt;tòngkǔ&lt;/rt&gt;&lt;/ruby&gt;")</f>
        <v>&lt;ruby&gt;痛苦&lt;rt&gt;tòngkǔ&lt;/rt&gt;&lt;/ruby&gt;</v>
      </c>
      <c r="E2162" s="13" t="str">
        <f ca="1">IFERROR(__xludf.DUMMYFUNCTION("""COMPUTED_VALUE"""),"tòngkǔ")</f>
        <v>tòngkǔ</v>
      </c>
      <c r="F2162" s="13" t="str">
        <f ca="1">IFERROR(__xludf.DUMMYFUNCTION("""COMPUTED_VALUE"""),"Tính từ")</f>
        <v>Tính từ</v>
      </c>
      <c r="G2162" s="13" t="str">
        <f ca="1">IFERROR(__xludf.DUMMYFUNCTION("""COMPUTED_VALUE"""),"đau khổ, đau đớn")</f>
        <v>đau khổ, đau đớn</v>
      </c>
      <c r="H2162" s="13" t="str">
        <f ca="1">IFERROR(__xludf.DUMMYFUNCTION("""COMPUTED_VALUE"""),"失去好朋友让她感到很痛苦。")</f>
        <v>失去好朋友让她感到很痛苦。</v>
      </c>
      <c r="I2162" s="13"/>
      <c r="J2162" s="13" t="str">
        <f ca="1">IFERROR(__xludf.DUMMYFUNCTION("""COMPUTED_VALUE"""),"Cô ấy đã mất người bạn tốt nhất, trong lòng đầy đau khổ.")</f>
        <v>Cô ấy đã mất người bạn tốt nhất, trong lòng đầy đau khổ.</v>
      </c>
      <c r="K2162" s="13" t="str">
        <f ca="1">IFERROR(__xludf.DUMMYFUNCTION("""COMPUTED_VALUE"""),"H5_B21_BG-38.png")</f>
        <v>H5_B21_BG-38.png</v>
      </c>
      <c r="L2162" s="13" t="str">
        <f ca="1">IFERROR(__xludf.DUMMYFUNCTION("""COMPUTED_VALUE"""),"B21_38.mp3")</f>
        <v>B21_38.mp3</v>
      </c>
      <c r="M2162" s="13" t="str">
        <f ca="1">IFERROR(__xludf.DUMMYFUNCTION("""COMPUTED_VALUE"""),"B21_VD_38.mp3")</f>
        <v>B21_VD_38.mp3</v>
      </c>
    </row>
    <row r="2163" spans="1:13">
      <c r="A2163" s="13">
        <f ca="1">IFERROR(__xludf.DUMMYFUNCTION("""COMPUTED_VALUE"""),39)</f>
        <v>39</v>
      </c>
      <c r="B2163" s="13"/>
      <c r="C2163" s="13" t="str">
        <f ca="1">IFERROR(__xludf.DUMMYFUNCTION("""COMPUTED_VALUE"""),"真相")</f>
        <v>真相</v>
      </c>
      <c r="D2163" s="13" t="str">
        <f ca="1">IFERROR(__xludf.DUMMYFUNCTION("""COMPUTED_VALUE"""),"&lt;ruby&gt;真相&lt;rt&gt;zhēnxiàng&lt;/rt&gt;&lt;/ruby&gt;")</f>
        <v>&lt;ruby&gt;真相&lt;rt&gt;zhēnxiàng&lt;/rt&gt;&lt;/ruby&gt;</v>
      </c>
      <c r="E2163" s="13" t="str">
        <f ca="1">IFERROR(__xludf.DUMMYFUNCTION("""COMPUTED_VALUE"""),"zhēnxiàng")</f>
        <v>zhēnxiàng</v>
      </c>
      <c r="F2163" s="13" t="str">
        <f ca="1">IFERROR(__xludf.DUMMYFUNCTION("""COMPUTED_VALUE"""),"Danh từ")</f>
        <v>Danh từ</v>
      </c>
      <c r="G2163" s="13" t="str">
        <f ca="1">IFERROR(__xludf.DUMMYFUNCTION("""COMPUTED_VALUE"""),"sự thật")</f>
        <v>sự thật</v>
      </c>
      <c r="H2163" s="13" t="str">
        <f ca="1">IFERROR(__xludf.DUMMYFUNCTION("""COMPUTED_VALUE"""),"经过几个月的调查，真相终于浮出水面。")</f>
        <v>经过几个月的调查，真相终于浮出水面。</v>
      </c>
      <c r="I2163" s="13"/>
      <c r="J2163" s="13" t="str">
        <f ca="1">IFERROR(__xludf.DUMMYFUNCTION("""COMPUTED_VALUE"""),"Sau vài tháng điều tra, sự thật cuối cùng đã được phơi bày.")</f>
        <v>Sau vài tháng điều tra, sự thật cuối cùng đã được phơi bày.</v>
      </c>
      <c r="K2163" s="13" t="str">
        <f ca="1">IFERROR(__xludf.DUMMYFUNCTION("""COMPUTED_VALUE"""),"H5_B21_BG-39.png")</f>
        <v>H5_B21_BG-39.png</v>
      </c>
      <c r="L2163" s="13" t="str">
        <f ca="1">IFERROR(__xludf.DUMMYFUNCTION("""COMPUTED_VALUE"""),"B21_39.mp3")</f>
        <v>B21_39.mp3</v>
      </c>
      <c r="M2163" s="13" t="str">
        <f ca="1">IFERROR(__xludf.DUMMYFUNCTION("""COMPUTED_VALUE"""),"B21_VD_39.mp3")</f>
        <v>B21_VD_39.mp3</v>
      </c>
    </row>
    <row r="2164" spans="1:13">
      <c r="A2164" s="13">
        <f ca="1">IFERROR(__xludf.DUMMYFUNCTION("""COMPUTED_VALUE"""),40)</f>
        <v>40</v>
      </c>
      <c r="B2164" s="13"/>
      <c r="C2164" s="13" t="str">
        <f ca="1">IFERROR(__xludf.DUMMYFUNCTION("""COMPUTED_VALUE"""),"佩服")</f>
        <v>佩服</v>
      </c>
      <c r="D2164" s="13" t="str">
        <f ca="1">IFERROR(__xludf.DUMMYFUNCTION("""COMPUTED_VALUE"""),"&lt;ruby&gt;佩服&lt;rt&gt;pèifú&lt;/rt&gt;&lt;/ruby&gt;")</f>
        <v>&lt;ruby&gt;佩服&lt;rt&gt;pèifú&lt;/rt&gt;&lt;/ruby&gt;</v>
      </c>
      <c r="E2164" s="13" t="str">
        <f ca="1">IFERROR(__xludf.DUMMYFUNCTION("""COMPUTED_VALUE"""),"pèifú")</f>
        <v>pèifú</v>
      </c>
      <c r="F2164" s="13" t="str">
        <f ca="1">IFERROR(__xludf.DUMMYFUNCTION("""COMPUTED_VALUE"""),"Động từ")</f>
        <v>Động từ</v>
      </c>
      <c r="G2164" s="13" t="str">
        <f ca="1">IFERROR(__xludf.DUMMYFUNCTION("""COMPUTED_VALUE"""),"khâm phục, bái phục")</f>
        <v>khâm phục, bái phục</v>
      </c>
      <c r="H2164" s="13" t="str">
        <f ca="1">IFERROR(__xludf.DUMMYFUNCTION("""COMPUTED_VALUE"""),"他不仅非常有才华，而且对人很谦逊，我非常佩服他。")</f>
        <v>他不仅非常有才华，而且对人很谦逊，我非常佩服他。</v>
      </c>
      <c r="I2164" s="13"/>
      <c r="J2164" s="13" t="str">
        <f ca="1">IFERROR(__xludf.DUMMYFUNCTION("""COMPUTED_VALUE"""),"Anh ấy không chỉ tài năng xuất chúng mà còn rất khiêm tốn với mọi người, tôi rất khâm phục anh ấy.")</f>
        <v>Anh ấy không chỉ tài năng xuất chúng mà còn rất khiêm tốn với mọi người, tôi rất khâm phục anh ấy.</v>
      </c>
      <c r="K2164" s="13" t="str">
        <f ca="1">IFERROR(__xludf.DUMMYFUNCTION("""COMPUTED_VALUE"""),"H5_B21_BG-40.png")</f>
        <v>H5_B21_BG-40.png</v>
      </c>
      <c r="L2164" s="13" t="str">
        <f ca="1">IFERROR(__xludf.DUMMYFUNCTION("""COMPUTED_VALUE"""),"B21_40.mp3")</f>
        <v>B21_40.mp3</v>
      </c>
      <c r="M2164" s="13" t="str">
        <f ca="1">IFERROR(__xludf.DUMMYFUNCTION("""COMPUTED_VALUE"""),"B21_VD_40.mp3")</f>
        <v>B21_VD_40.mp3</v>
      </c>
    </row>
    <row r="2165" spans="1:13">
      <c r="A2165" s="13">
        <f ca="1">IFERROR(__xludf.DUMMYFUNCTION("""COMPUTED_VALUE"""),41)</f>
        <v>41</v>
      </c>
      <c r="B2165" s="13"/>
      <c r="C2165" s="13" t="str">
        <f ca="1">IFERROR(__xludf.DUMMYFUNCTION("""COMPUTED_VALUE"""),"物理")</f>
        <v>物理</v>
      </c>
      <c r="D2165" s="13" t="str">
        <f ca="1">IFERROR(__xludf.DUMMYFUNCTION("""COMPUTED_VALUE"""),"&lt;ruby&gt;物理&lt;rt&gt;wùlǐ&lt;/rt&gt;&lt;/ruby&gt;")</f>
        <v>&lt;ruby&gt;物理&lt;rt&gt;wùlǐ&lt;/rt&gt;&lt;/ruby&gt;</v>
      </c>
      <c r="E2165" s="13" t="str">
        <f ca="1">IFERROR(__xludf.DUMMYFUNCTION("""COMPUTED_VALUE"""),"wùlǐ")</f>
        <v>wùlǐ</v>
      </c>
      <c r="F2165" s="13" t="str">
        <f ca="1">IFERROR(__xludf.DUMMYFUNCTION("""COMPUTED_VALUE"""),"Danh từ")</f>
        <v>Danh từ</v>
      </c>
      <c r="G2165" s="13" t="str">
        <f ca="1">IFERROR(__xludf.DUMMYFUNCTION("""COMPUTED_VALUE"""),"vật lý")</f>
        <v>vật lý</v>
      </c>
      <c r="H2165" s="13" t="str">
        <f ca="1">IFERROR(__xludf.DUMMYFUNCTION("""COMPUTED_VALUE"""),"他从小就对物理产生了浓厚的兴趣。")</f>
        <v>他从小就对物理产生了浓厚的兴趣。</v>
      </c>
      <c r="I2165" s="13"/>
      <c r="J2165" s="13" t="str">
        <f ca="1">IFERROR(__xludf.DUMMYFUNCTION("""COMPUTED_VALUE"""),"Anh ấy đã bắt đầu quan tâm đến vật lý từ khi còn nhỏ.")</f>
        <v>Anh ấy đã bắt đầu quan tâm đến vật lý từ khi còn nhỏ.</v>
      </c>
      <c r="K2165" s="13" t="str">
        <f ca="1">IFERROR(__xludf.DUMMYFUNCTION("""COMPUTED_VALUE"""),"H5_B21_BG-41.png")</f>
        <v>H5_B21_BG-41.png</v>
      </c>
      <c r="L2165" s="13" t="str">
        <f ca="1">IFERROR(__xludf.DUMMYFUNCTION("""COMPUTED_VALUE"""),"B21_41.mp3")</f>
        <v>B21_41.mp3</v>
      </c>
      <c r="M2165" s="13" t="str">
        <f ca="1">IFERROR(__xludf.DUMMYFUNCTION("""COMPUTED_VALUE"""),"B21_VD_41.mp3")</f>
        <v>B21_VD_41.mp3</v>
      </c>
    </row>
    <row r="2166" spans="1:13">
      <c r="A2166" s="13">
        <f ca="1">IFERROR(__xludf.DUMMYFUNCTION("""COMPUTED_VALUE"""),42)</f>
        <v>42</v>
      </c>
      <c r="B2166" s="13"/>
      <c r="C2166" s="13" t="str">
        <f ca="1">IFERROR(__xludf.DUMMYFUNCTION("""COMPUTED_VALUE"""),"追求")</f>
        <v>追求</v>
      </c>
      <c r="D2166" s="13" t="str">
        <f ca="1">IFERROR(__xludf.DUMMYFUNCTION("""COMPUTED_VALUE"""),"&lt;ruby&gt;追求&lt;rt&gt;zhuīqiú&lt;/rt&gt;&lt;/ruby&gt;")</f>
        <v>&lt;ruby&gt;追求&lt;rt&gt;zhuīqiú&lt;/rt&gt;&lt;/ruby&gt;</v>
      </c>
      <c r="E2166" s="13" t="str">
        <f ca="1">IFERROR(__xludf.DUMMYFUNCTION("""COMPUTED_VALUE"""),"zhuīqiú")</f>
        <v>zhuīqiú</v>
      </c>
      <c r="F2166" s="13" t="str">
        <f ca="1">IFERROR(__xludf.DUMMYFUNCTION("""COMPUTED_VALUE"""),"Động từ")</f>
        <v>Động từ</v>
      </c>
      <c r="G2166" s="13" t="str">
        <f ca="1">IFERROR(__xludf.DUMMYFUNCTION("""COMPUTED_VALUE"""),"theo đuổi")</f>
        <v>theo đuổi</v>
      </c>
      <c r="H2166" s="13" t="str">
        <f ca="1">IFERROR(__xludf.DUMMYFUNCTION("""COMPUTED_VALUE"""),"他一直在追求自己的梦想。")</f>
        <v>他一直在追求自己的梦想。</v>
      </c>
      <c r="I2166" s="13"/>
      <c r="J2166" s="13" t="str">
        <f ca="1">IFERROR(__xludf.DUMMYFUNCTION("""COMPUTED_VALUE"""),"Anh ấy luôn theo đuổi ước mơ của mình.")</f>
        <v>Anh ấy luôn theo đuổi ước mơ của mình.</v>
      </c>
      <c r="K2166" s="13" t="str">
        <f ca="1">IFERROR(__xludf.DUMMYFUNCTION("""COMPUTED_VALUE"""),"H5_B21_BG-42.png")</f>
        <v>H5_B21_BG-42.png</v>
      </c>
      <c r="L2166" s="13" t="str">
        <f ca="1">IFERROR(__xludf.DUMMYFUNCTION("""COMPUTED_VALUE"""),"B21_42.mp3")</f>
        <v>B21_42.mp3</v>
      </c>
      <c r="M2166" s="13" t="str">
        <f ca="1">IFERROR(__xludf.DUMMYFUNCTION("""COMPUTED_VALUE"""),"B21_VD_42.mp3")</f>
        <v>B21_VD_42.mp3</v>
      </c>
    </row>
    <row r="2167" spans="1:13">
      <c r="A2167" s="13">
        <f ca="1">IFERROR(__xludf.DUMMYFUNCTION("""COMPUTED_VALUE"""),1)</f>
        <v>1</v>
      </c>
      <c r="B2167" s="13"/>
      <c r="C2167" s="13" t="str">
        <f ca="1">IFERROR(__xludf.DUMMYFUNCTION("""COMPUTED_VALUE"""),"过分")</f>
        <v>过分</v>
      </c>
      <c r="D2167" s="13" t="str">
        <f ca="1">IFERROR(__xludf.DUMMYFUNCTION("""COMPUTED_VALUE"""),"&lt;ruby&gt;过分&lt;rt&gt;guòfèn&lt;/rt&gt;&lt;/ruby&gt;")</f>
        <v>&lt;ruby&gt;过分&lt;rt&gt;guòfèn&lt;/rt&gt;&lt;/ruby&gt;</v>
      </c>
      <c r="E2167" s="13" t="str">
        <f ca="1">IFERROR(__xludf.DUMMYFUNCTION("""COMPUTED_VALUE"""),"guòfèn")</f>
        <v>guòfèn</v>
      </c>
      <c r="F2167" s="13" t="str">
        <f ca="1">IFERROR(__xludf.DUMMYFUNCTION("""COMPUTED_VALUE"""),"Tính từ")</f>
        <v>Tính từ</v>
      </c>
      <c r="G2167" s="13" t="str">
        <f ca="1">IFERROR(__xludf.DUMMYFUNCTION("""COMPUTED_VALUE"""),"quá đáng, quá mức")</f>
        <v>quá đáng, quá mức</v>
      </c>
      <c r="H2167" s="13" t="str">
        <f ca="1">IFERROR(__xludf.DUMMYFUNCTION("""COMPUTED_VALUE"""),"她因为工作过分劳累而感到疲惫。")</f>
        <v>她因为工作过分劳累而感到疲惫。</v>
      </c>
      <c r="I2167" s="13"/>
      <c r="J2167" s="13" t="str">
        <f ca="1">IFERROR(__xludf.DUMMYFUNCTION("""COMPUTED_VALUE"""),"Cố ấy mệt mỏi vì làm việc quá mức.")</f>
        <v>Cố ấy mệt mỏi vì làm việc quá mức.</v>
      </c>
      <c r="K2167" s="13" t="str">
        <f ca="1">IFERROR(__xludf.DUMMYFUNCTION("""COMPUTED_VALUE"""),"H5_B22_BG1.png")</f>
        <v>H5_B22_BG1.png</v>
      </c>
      <c r="L2167" s="13" t="str">
        <f ca="1">IFERROR(__xludf.DUMMYFUNCTION("""COMPUTED_VALUE"""),"B22_1.mp3")</f>
        <v>B22_1.mp3</v>
      </c>
      <c r="M2167" s="13" t="str">
        <f ca="1">IFERROR(__xludf.DUMMYFUNCTION("""COMPUTED_VALUE"""),"B22_VD_1.mp3")</f>
        <v>B22_VD_1.mp3</v>
      </c>
    </row>
    <row r="2168" spans="1:13">
      <c r="A2168" s="13">
        <f ca="1">IFERROR(__xludf.DUMMYFUNCTION("""COMPUTED_VALUE"""),2)</f>
        <v>2</v>
      </c>
      <c r="B2168" s="13"/>
      <c r="C2168" s="13" t="str">
        <f ca="1">IFERROR(__xludf.DUMMYFUNCTION("""COMPUTED_VALUE"""),"强调")</f>
        <v>强调</v>
      </c>
      <c r="D2168" s="13" t="str">
        <f ca="1">IFERROR(__xludf.DUMMYFUNCTION("""COMPUTED_VALUE"""),"&lt;ruby&gt;强调&lt;rt&gt;qiángdiào&lt;/rt&gt;&lt;/ruby&gt;")</f>
        <v>&lt;ruby&gt;强调&lt;rt&gt;qiángdiào&lt;/rt&gt;&lt;/ruby&gt;</v>
      </c>
      <c r="E2168" s="13" t="str">
        <f ca="1">IFERROR(__xludf.DUMMYFUNCTION("""COMPUTED_VALUE"""),"qiángdiào")</f>
        <v>qiángdiào</v>
      </c>
      <c r="F2168" s="13" t="str">
        <f ca="1">IFERROR(__xludf.DUMMYFUNCTION("""COMPUTED_VALUE"""),"Động từ")</f>
        <v>Động từ</v>
      </c>
      <c r="G2168" s="13" t="str">
        <f ca="1">IFERROR(__xludf.DUMMYFUNCTION("""COMPUTED_VALUE"""),"nhấn mạnh")</f>
        <v>nhấn mạnh</v>
      </c>
      <c r="H2168" s="13" t="str">
        <f ca="1">IFERROR(__xludf.DUMMYFUNCTION("""COMPUTED_VALUE"""),"老师强调了英语的重要性。")</f>
        <v>老师强调了英语的重要性。</v>
      </c>
      <c r="I2168" s="13"/>
      <c r="J2168" s="13" t="str">
        <f ca="1">IFERROR(__xludf.DUMMYFUNCTION("""COMPUTED_VALUE"""),"Thầy giáo nhấn mạnh tầm quan trọng của tiếng Anh.")</f>
        <v>Thầy giáo nhấn mạnh tầm quan trọng của tiếng Anh.</v>
      </c>
      <c r="K2168" s="13" t="str">
        <f ca="1">IFERROR(__xludf.DUMMYFUNCTION("""COMPUTED_VALUE"""),"H5_B22_BG2.png")</f>
        <v>H5_B22_BG2.png</v>
      </c>
      <c r="L2168" s="13" t="str">
        <f ca="1">IFERROR(__xludf.DUMMYFUNCTION("""COMPUTED_VALUE"""),"B22_2.mp3")</f>
        <v>B22_2.mp3</v>
      </c>
      <c r="M2168" s="13" t="str">
        <f ca="1">IFERROR(__xludf.DUMMYFUNCTION("""COMPUTED_VALUE"""),"B22_VD_2.mp3")</f>
        <v>B22_VD_2.mp3</v>
      </c>
    </row>
    <row r="2169" spans="1:13">
      <c r="A2169" s="13">
        <f ca="1">IFERROR(__xludf.DUMMYFUNCTION("""COMPUTED_VALUE"""),3)</f>
        <v>3</v>
      </c>
      <c r="B2169" s="13"/>
      <c r="C2169" s="13" t="str">
        <f ca="1">IFERROR(__xludf.DUMMYFUNCTION("""COMPUTED_VALUE"""),"作文")</f>
        <v>作文</v>
      </c>
      <c r="D2169" s="13" t="str">
        <f ca="1">IFERROR(__xludf.DUMMYFUNCTION("""COMPUTED_VALUE"""),"&lt;ruby&gt;作文&lt;rt&gt;zuòwén&lt;/rt&gt;&lt;/ruby&gt;")</f>
        <v>&lt;ruby&gt;作文&lt;rt&gt;zuòwén&lt;/rt&gt;&lt;/ruby&gt;</v>
      </c>
      <c r="E2169" s="13" t="str">
        <f ca="1">IFERROR(__xludf.DUMMYFUNCTION("""COMPUTED_VALUE"""),"zuòwén")</f>
        <v>zuòwén</v>
      </c>
      <c r="F2169" s="13" t="str">
        <f ca="1">IFERROR(__xludf.DUMMYFUNCTION("""COMPUTED_VALUE"""),"Danh từ")</f>
        <v>Danh từ</v>
      </c>
      <c r="G2169" s="13" t="str">
        <f ca="1">IFERROR(__xludf.DUMMYFUNCTION("""COMPUTED_VALUE"""),"bài làm văn")</f>
        <v>bài làm văn</v>
      </c>
      <c r="H2169" s="13" t="str">
        <f ca="1">IFERROR(__xludf.DUMMYFUNCTION("""COMPUTED_VALUE"""),"我们今天的作业是写一篇作文。")</f>
        <v>我们今天的作业是写一篇作文。</v>
      </c>
      <c r="I2169" s="13"/>
      <c r="J2169" s="13" t="str">
        <f ca="1">IFERROR(__xludf.DUMMYFUNCTION("""COMPUTED_VALUE"""),"Bài tập hôm nay của chúng tôi là viết một bài văn.")</f>
        <v>Bài tập hôm nay của chúng tôi là viết một bài văn.</v>
      </c>
      <c r="K2169" s="13" t="str">
        <f ca="1">IFERROR(__xludf.DUMMYFUNCTION("""COMPUTED_VALUE"""),"H5_B22_BG3.png")</f>
        <v>H5_B22_BG3.png</v>
      </c>
      <c r="L2169" s="13" t="str">
        <f ca="1">IFERROR(__xludf.DUMMYFUNCTION("""COMPUTED_VALUE"""),"B22_3.mp3")</f>
        <v>B22_3.mp3</v>
      </c>
      <c r="M2169" s="13" t="str">
        <f ca="1">IFERROR(__xludf.DUMMYFUNCTION("""COMPUTED_VALUE"""),"B22_VD_3.mp3")</f>
        <v>B22_VD_3.mp3</v>
      </c>
    </row>
    <row r="2170" spans="1:13">
      <c r="A2170" s="13">
        <f ca="1">IFERROR(__xludf.DUMMYFUNCTION("""COMPUTED_VALUE"""),4)</f>
        <v>4</v>
      </c>
      <c r="B2170" s="13"/>
      <c r="C2170" s="13" t="str">
        <f ca="1">IFERROR(__xludf.DUMMYFUNCTION("""COMPUTED_VALUE"""),"属于")</f>
        <v>属于</v>
      </c>
      <c r="D2170" s="13" t="str">
        <f ca="1">IFERROR(__xludf.DUMMYFUNCTION("""COMPUTED_VALUE"""),"&lt;ruby&gt;属于&lt;rt&gt;shǔyú&lt;/rt&gt;&lt;/ruby&gt;")</f>
        <v>&lt;ruby&gt;属于&lt;rt&gt;shǔyú&lt;/rt&gt;&lt;/ruby&gt;</v>
      </c>
      <c r="E2170" s="13" t="str">
        <f ca="1">IFERROR(__xludf.DUMMYFUNCTION("""COMPUTED_VALUE"""),"shǔyú")</f>
        <v>shǔyú</v>
      </c>
      <c r="F2170" s="13" t="str">
        <f ca="1">IFERROR(__xludf.DUMMYFUNCTION("""COMPUTED_VALUE"""),"Động từ")</f>
        <v>Động từ</v>
      </c>
      <c r="G2170" s="13" t="str">
        <f ca="1">IFERROR(__xludf.DUMMYFUNCTION("""COMPUTED_VALUE"""),"thuộc về")</f>
        <v>thuộc về</v>
      </c>
      <c r="H2170" s="13" t="str">
        <f ca="1">IFERROR(__xludf.DUMMYFUNCTION("""COMPUTED_VALUE"""),"这幅画属于博物馆，不属于个人收藏。")</f>
        <v>这幅画属于博物馆，不属于个人收藏。</v>
      </c>
      <c r="I2170" s="13"/>
      <c r="J2170" s="13" t="str">
        <f ca="1">IFERROR(__xludf.DUMMYFUNCTION("""COMPUTED_VALUE"""),"Bức tranh này thuộc về bảo tàng, không thuộc bộ sưu tập cá nhân.")</f>
        <v>Bức tranh này thuộc về bảo tàng, không thuộc bộ sưu tập cá nhân.</v>
      </c>
      <c r="K2170" s="13" t="str">
        <f ca="1">IFERROR(__xludf.DUMMYFUNCTION("""COMPUTED_VALUE"""),"H5_B22_BG4.png")</f>
        <v>H5_B22_BG4.png</v>
      </c>
      <c r="L2170" s="13" t="str">
        <f ca="1">IFERROR(__xludf.DUMMYFUNCTION("""COMPUTED_VALUE"""),"B22_4.mp3")</f>
        <v>B22_4.mp3</v>
      </c>
      <c r="M2170" s="13" t="str">
        <f ca="1">IFERROR(__xludf.DUMMYFUNCTION("""COMPUTED_VALUE"""),"B22_VD_4.mp3")</f>
        <v>B22_VD_4.mp3</v>
      </c>
    </row>
    <row r="2171" spans="1:13">
      <c r="A2171" s="13">
        <f ca="1">IFERROR(__xludf.DUMMYFUNCTION("""COMPUTED_VALUE"""),5)</f>
        <v>5</v>
      </c>
      <c r="B2171" s="13"/>
      <c r="C2171" s="13" t="str">
        <f ca="1">IFERROR(__xludf.DUMMYFUNCTION("""COMPUTED_VALUE"""),"交换")</f>
        <v>交换</v>
      </c>
      <c r="D2171" s="13" t="str">
        <f ca="1">IFERROR(__xludf.DUMMYFUNCTION("""COMPUTED_VALUE"""),"&lt;ruby&gt;交换&lt;rt&gt;jiāohuàn&lt;/rt&gt;&lt;/ruby&gt;")</f>
        <v>&lt;ruby&gt;交换&lt;rt&gt;jiāohuàn&lt;/rt&gt;&lt;/ruby&gt;</v>
      </c>
      <c r="E2171" s="13" t="str">
        <f ca="1">IFERROR(__xludf.DUMMYFUNCTION("""COMPUTED_VALUE"""),"jiāohuàn")</f>
        <v>jiāohuàn</v>
      </c>
      <c r="F2171" s="13" t="str">
        <f ca="1">IFERROR(__xludf.DUMMYFUNCTION("""COMPUTED_VALUE"""),"Động từ")</f>
        <v>Động từ</v>
      </c>
      <c r="G2171" s="13" t="str">
        <f ca="1">IFERROR(__xludf.DUMMYFUNCTION("""COMPUTED_VALUE"""),"trao đổi")</f>
        <v>trao đổi</v>
      </c>
      <c r="H2171" s="13" t="str">
        <f ca="1">IFERROR(__xludf.DUMMYFUNCTION("""COMPUTED_VALUE"""),"学生们在新课中交换知识。")</f>
        <v>学生们在新课中交换知识。</v>
      </c>
      <c r="I2171" s="13"/>
      <c r="J2171" s="13" t="str">
        <f ca="1">IFERROR(__xludf.DUMMYFUNCTION("""COMPUTED_VALUE"""),"Học sinh trao đổi kiến thức trong bài học mới.")</f>
        <v>Học sinh trao đổi kiến thức trong bài học mới.</v>
      </c>
      <c r="K2171" s="13" t="str">
        <f ca="1">IFERROR(__xludf.DUMMYFUNCTION("""COMPUTED_VALUE"""),"H5_B22_BG5.png")</f>
        <v>H5_B22_BG5.png</v>
      </c>
      <c r="L2171" s="13" t="str">
        <f ca="1">IFERROR(__xludf.DUMMYFUNCTION("""COMPUTED_VALUE"""),"B22_5.mp3")</f>
        <v>B22_5.mp3</v>
      </c>
      <c r="M2171" s="13" t="str">
        <f ca="1">IFERROR(__xludf.DUMMYFUNCTION("""COMPUTED_VALUE"""),"B22_VD_5.mp3")</f>
        <v>B22_VD_5.mp3</v>
      </c>
    </row>
    <row r="2172" spans="1:13">
      <c r="A2172" s="13">
        <f ca="1">IFERROR(__xludf.DUMMYFUNCTION("""COMPUTED_VALUE"""),6)</f>
        <v>6</v>
      </c>
      <c r="B2172" s="13"/>
      <c r="C2172" s="13" t="str">
        <f ca="1">IFERROR(__xludf.DUMMYFUNCTION("""COMPUTED_VALUE"""),"拥有")</f>
        <v>拥有</v>
      </c>
      <c r="D2172" s="13" t="str">
        <f ca="1">IFERROR(__xludf.DUMMYFUNCTION("""COMPUTED_VALUE"""),"&lt;ruby&gt;拥有&lt;rt&gt;yōngyǒu&lt;/rt&gt;&lt;/ruby&gt;")</f>
        <v>&lt;ruby&gt;拥有&lt;rt&gt;yōngyǒu&lt;/rt&gt;&lt;/ruby&gt;</v>
      </c>
      <c r="E2172" s="13" t="str">
        <f ca="1">IFERROR(__xludf.DUMMYFUNCTION("""COMPUTED_VALUE"""),"yōngyǒu")</f>
        <v>yōngyǒu</v>
      </c>
      <c r="F2172" s="13" t="str">
        <f ca="1">IFERROR(__xludf.DUMMYFUNCTION("""COMPUTED_VALUE"""),"Động từ")</f>
        <v>Động từ</v>
      </c>
      <c r="G2172" s="13" t="str">
        <f ca="1">IFERROR(__xludf.DUMMYFUNCTION("""COMPUTED_VALUE"""),"có")</f>
        <v>có</v>
      </c>
      <c r="H2172" s="13" t="str">
        <f ca="1">IFERROR(__xludf.DUMMYFUNCTION("""COMPUTED_VALUE"""),"他拥有一辆漂亮的汽车。")</f>
        <v>他拥有一辆漂亮的汽车。</v>
      </c>
      <c r="I2172" s="13"/>
      <c r="J2172" s="13" t="str">
        <f ca="1">IFERROR(__xludf.DUMMYFUNCTION("""COMPUTED_VALUE"""),"Anh ấy sở hữu một chiếc xe hơi đẹp.")</f>
        <v>Anh ấy sở hữu một chiếc xe hơi đẹp.</v>
      </c>
      <c r="K2172" s="13" t="str">
        <f ca="1">IFERROR(__xludf.DUMMYFUNCTION("""COMPUTED_VALUE"""),"H5_B22_BG6.png")</f>
        <v>H5_B22_BG6.png</v>
      </c>
      <c r="L2172" s="13" t="str">
        <f ca="1">IFERROR(__xludf.DUMMYFUNCTION("""COMPUTED_VALUE"""),"B22_6.mp3")</f>
        <v>B22_6.mp3</v>
      </c>
      <c r="M2172" s="13" t="str">
        <f ca="1">IFERROR(__xludf.DUMMYFUNCTION("""COMPUTED_VALUE"""),"B22_VD_6.mp3")</f>
        <v>B22_VD_6.mp3</v>
      </c>
    </row>
    <row r="2173" spans="1:13">
      <c r="A2173" s="13">
        <f ca="1">IFERROR(__xludf.DUMMYFUNCTION("""COMPUTED_VALUE"""),7)</f>
        <v>7</v>
      </c>
      <c r="B2173" s="13"/>
      <c r="C2173" s="13" t="str">
        <f ca="1">IFERROR(__xludf.DUMMYFUNCTION("""COMPUTED_VALUE"""),"巨大")</f>
        <v>巨大</v>
      </c>
      <c r="D2173" s="13" t="str">
        <f ca="1">IFERROR(__xludf.DUMMYFUNCTION("""COMPUTED_VALUE"""),"&lt;ruby&gt;巨大&lt;rt&gt;jùdà&lt;/rt&gt;&lt;/ruby&gt;")</f>
        <v>&lt;ruby&gt;巨大&lt;rt&gt;jùdà&lt;/rt&gt;&lt;/ruby&gt;</v>
      </c>
      <c r="E2173" s="13" t="str">
        <f ca="1">IFERROR(__xludf.DUMMYFUNCTION("""COMPUTED_VALUE"""),"jùdà")</f>
        <v>jùdà</v>
      </c>
      <c r="F2173" s="13" t="str">
        <f ca="1">IFERROR(__xludf.DUMMYFUNCTION("""COMPUTED_VALUE"""),"Tính từ")</f>
        <v>Tính từ</v>
      </c>
      <c r="G2173" s="13" t="str">
        <f ca="1">IFERROR(__xludf.DUMMYFUNCTION("""COMPUTED_VALUE"""),"to lớn")</f>
        <v>to lớn</v>
      </c>
      <c r="H2173" s="13" t="str">
        <f ca="1">IFERROR(__xludf.DUMMYFUNCTION("""COMPUTED_VALUE"""),"他一天内钓到了巨大的鱼。")</f>
        <v>他一天内钓到了巨大的鱼。</v>
      </c>
      <c r="I2173" s="13"/>
      <c r="J2173" s="13" t="str">
        <f ca="1">IFERROR(__xludf.DUMMYFUNCTION("""COMPUTED_VALUE"""),"Anh ấy câu được lượng lớn cá trong 1 ngày.")</f>
        <v>Anh ấy câu được lượng lớn cá trong 1 ngày.</v>
      </c>
      <c r="K2173" s="13" t="str">
        <f ca="1">IFERROR(__xludf.DUMMYFUNCTION("""COMPUTED_VALUE"""),"H5_B22_BG7.png")</f>
        <v>H5_B22_BG7.png</v>
      </c>
      <c r="L2173" s="13" t="str">
        <f ca="1">IFERROR(__xludf.DUMMYFUNCTION("""COMPUTED_VALUE"""),"B22_7.mp3")</f>
        <v>B22_7.mp3</v>
      </c>
      <c r="M2173" s="13" t="str">
        <f ca="1">IFERROR(__xludf.DUMMYFUNCTION("""COMPUTED_VALUE"""),"B22_VD_7.mp3")</f>
        <v>B22_VD_7.mp3</v>
      </c>
    </row>
    <row r="2174" spans="1:13">
      <c r="A2174" s="13">
        <f ca="1">IFERROR(__xludf.DUMMYFUNCTION("""COMPUTED_VALUE"""),8)</f>
        <v>8</v>
      </c>
      <c r="B2174" s="13"/>
      <c r="C2174" s="13" t="str">
        <f ca="1">IFERROR(__xludf.DUMMYFUNCTION("""COMPUTED_VALUE"""),"难免")</f>
        <v>难免</v>
      </c>
      <c r="D2174" s="13" t="str">
        <f ca="1">IFERROR(__xludf.DUMMYFUNCTION("""COMPUTED_VALUE"""),"&lt;ruby&gt;难免&lt;rt&gt;nánmiǎn&lt;/rt&gt;&lt;/ruby&gt;")</f>
        <v>&lt;ruby&gt;难免&lt;rt&gt;nánmiǎn&lt;/rt&gt;&lt;/ruby&gt;</v>
      </c>
      <c r="E2174" s="13" t="str">
        <f ca="1">IFERROR(__xludf.DUMMYFUNCTION("""COMPUTED_VALUE"""),"nánmiǎn")</f>
        <v>nánmiǎn</v>
      </c>
      <c r="F2174" s="13" t="str">
        <f ca="1">IFERROR(__xludf.DUMMYFUNCTION("""COMPUTED_VALUE"""),"Tính từ")</f>
        <v>Tính từ</v>
      </c>
      <c r="G2174" s="13" t="str">
        <f ca="1">IFERROR(__xludf.DUMMYFUNCTION("""COMPUTED_VALUE"""),"khó tránh")</f>
        <v>khó tránh</v>
      </c>
      <c r="H2174" s="13" t="str">
        <f ca="1">IFERROR(__xludf.DUMMYFUNCTION("""COMPUTED_VALUE"""),"她安慰他说：“生病了难免会难受，休息一下就好了。”")</f>
        <v>她安慰他说：“生病了难免会难受，休息一下就好了。”</v>
      </c>
      <c r="I2174" s="13"/>
      <c r="J2174" s="13" t="str">
        <f ca="1">IFERROR(__xludf.DUMMYFUNCTION("""COMPUTED_VALUE"""),"Cô ấy an ủi anh ta: “Bị bệnh thì khó tránh khỏi cảm thấy khó chịu, nghỉ ngơi một chút là sẽ ổn thôi.”")</f>
        <v>Cô ấy an ủi anh ta: “Bị bệnh thì khó tránh khỏi cảm thấy khó chịu, nghỉ ngơi một chút là sẽ ổn thôi.”</v>
      </c>
      <c r="K2174" s="13" t="str">
        <f ca="1">IFERROR(__xludf.DUMMYFUNCTION("""COMPUTED_VALUE"""),"H5_B22_BG8.png")</f>
        <v>H5_B22_BG8.png</v>
      </c>
      <c r="L2174" s="13" t="str">
        <f ca="1">IFERROR(__xludf.DUMMYFUNCTION("""COMPUTED_VALUE"""),"B22_8.mp3")</f>
        <v>B22_8.mp3</v>
      </c>
      <c r="M2174" s="13" t="str">
        <f ca="1">IFERROR(__xludf.DUMMYFUNCTION("""COMPUTED_VALUE"""),"B22_VD_8.mp3")</f>
        <v>B22_VD_8.mp3</v>
      </c>
    </row>
    <row r="2175" spans="1:13">
      <c r="A2175" s="13">
        <f ca="1">IFERROR(__xludf.DUMMYFUNCTION("""COMPUTED_VALUE"""),9)</f>
        <v>9</v>
      </c>
      <c r="B2175" s="13"/>
      <c r="C2175" s="13" t="str">
        <f ca="1">IFERROR(__xludf.DUMMYFUNCTION("""COMPUTED_VALUE"""),"疼爱")</f>
        <v>疼爱</v>
      </c>
      <c r="D2175" s="13" t="str">
        <f ca="1">IFERROR(__xludf.DUMMYFUNCTION("""COMPUTED_VALUE"""),"&lt;ruby&gt;疼爱&lt;rt&gt;téng'ài&lt;/rt&gt;&lt;/ruby&gt;")</f>
        <v>&lt;ruby&gt;疼爱&lt;rt&gt;téng'ài&lt;/rt&gt;&lt;/ruby&gt;</v>
      </c>
      <c r="E2175" s="13" t="str">
        <f ca="1">IFERROR(__xludf.DUMMYFUNCTION("""COMPUTED_VALUE"""),"téng'ài")</f>
        <v>téng'ài</v>
      </c>
      <c r="F2175" s="13" t="str">
        <f ca="1">IFERROR(__xludf.DUMMYFUNCTION("""COMPUTED_VALUE"""),"Động từ")</f>
        <v>Động từ</v>
      </c>
      <c r="G2175" s="13" t="str">
        <f ca="1">IFERROR(__xludf.DUMMYFUNCTION("""COMPUTED_VALUE"""),"thương yêu")</f>
        <v>thương yêu</v>
      </c>
      <c r="H2175" s="13" t="str">
        <f ca="1">IFERROR(__xludf.DUMMYFUNCTION("""COMPUTED_VALUE"""),"父母总是疼爱自己的孩子。")</f>
        <v>父母总是疼爱自己的孩子。</v>
      </c>
      <c r="I2175" s="13"/>
      <c r="J2175" s="13" t="str">
        <f ca="1">IFERROR(__xludf.DUMMYFUNCTION("""COMPUTED_VALUE"""),"Cha mẹ luôn thương yêu con cái của mình.")</f>
        <v>Cha mẹ luôn thương yêu con cái của mình.</v>
      </c>
      <c r="K2175" s="13" t="str">
        <f ca="1">IFERROR(__xludf.DUMMYFUNCTION("""COMPUTED_VALUE"""),"H5_B22_BG9.png")</f>
        <v>H5_B22_BG9.png</v>
      </c>
      <c r="L2175" s="13" t="str">
        <f ca="1">IFERROR(__xludf.DUMMYFUNCTION("""COMPUTED_VALUE"""),"B22_9.mp3")</f>
        <v>B22_9.mp3</v>
      </c>
      <c r="M2175" s="13" t="str">
        <f ca="1">IFERROR(__xludf.DUMMYFUNCTION("""COMPUTED_VALUE"""),"B22_VD_9.mp3")</f>
        <v>B22_VD_9.mp3</v>
      </c>
    </row>
    <row r="2176" spans="1:13">
      <c r="A2176" s="13">
        <f ca="1">IFERROR(__xludf.DUMMYFUNCTION("""COMPUTED_VALUE"""),10)</f>
        <v>10</v>
      </c>
      <c r="B2176" s="13"/>
      <c r="C2176" s="13" t="str">
        <f ca="1">IFERROR(__xludf.DUMMYFUNCTION("""COMPUTED_VALUE"""),"自从")</f>
        <v>自从</v>
      </c>
      <c r="D2176" s="13" t="str">
        <f ca="1">IFERROR(__xludf.DUMMYFUNCTION("""COMPUTED_VALUE"""),"&lt;ruby&gt;自从&lt;rt&gt;zìcóng&lt;/rt&gt;&lt;/ruby&gt;")</f>
        <v>&lt;ruby&gt;自从&lt;rt&gt;zìcóng&lt;/rt&gt;&lt;/ruby&gt;</v>
      </c>
      <c r="E2176" s="13" t="str">
        <f ca="1">IFERROR(__xludf.DUMMYFUNCTION("""COMPUTED_VALUE"""),"zìcóng")</f>
        <v>zìcóng</v>
      </c>
      <c r="F2176" s="13" t="str">
        <f ca="1">IFERROR(__xludf.DUMMYFUNCTION("""COMPUTED_VALUE"""),"Giới từ")</f>
        <v>Giới từ</v>
      </c>
      <c r="G2176" s="13" t="str">
        <f ca="1">IFERROR(__xludf.DUMMYFUNCTION("""COMPUTED_VALUE"""),"từ lúc")</f>
        <v>từ lúc</v>
      </c>
      <c r="H2176" s="13" t="str">
        <f ca="1">IFERROR(__xludf.DUMMYFUNCTION("""COMPUTED_VALUE"""),"自从搬到城市，他很少见到父母。")</f>
        <v>自从搬到城市，他很少见到父母。</v>
      </c>
      <c r="I2176" s="13"/>
      <c r="J2176" s="13" t="str">
        <f ca="1">IFERROR(__xludf.DUMMYFUNCTION("""COMPUTED_VALUE"""),"Từ lúc chuyển lên thành phố, anh ấy rất ít gặp cha mẹ.")</f>
        <v>Từ lúc chuyển lên thành phố, anh ấy rất ít gặp cha mẹ.</v>
      </c>
      <c r="K2176" s="13" t="str">
        <f ca="1">IFERROR(__xludf.DUMMYFUNCTION("""COMPUTED_VALUE"""),"H5_B22_BG10.png")</f>
        <v>H5_B22_BG10.png</v>
      </c>
      <c r="L2176" s="13" t="str">
        <f ca="1">IFERROR(__xludf.DUMMYFUNCTION("""COMPUTED_VALUE"""),"B22_10.mp3")</f>
        <v>B22_10.mp3</v>
      </c>
      <c r="M2176" s="13" t="str">
        <f ca="1">IFERROR(__xludf.DUMMYFUNCTION("""COMPUTED_VALUE"""),"B22_VD_10.mp3")</f>
        <v>B22_VD_10.mp3</v>
      </c>
    </row>
    <row r="2177" spans="1:13">
      <c r="A2177" s="13">
        <f ca="1">IFERROR(__xludf.DUMMYFUNCTION("""COMPUTED_VALUE"""),11)</f>
        <v>11</v>
      </c>
      <c r="B2177" s="13"/>
      <c r="C2177" s="13" t="str">
        <f ca="1">IFERROR(__xludf.DUMMYFUNCTION("""COMPUTED_VALUE"""),"知感")</f>
        <v>知感</v>
      </c>
      <c r="D2177" s="13" t="str">
        <f ca="1">IFERROR(__xludf.DUMMYFUNCTION("""COMPUTED_VALUE"""),"&lt;ruby&gt;知感&lt;rt&gt;zhīgǎn&lt;/rt&gt;&lt;/ruby&gt;")</f>
        <v>&lt;ruby&gt;知感&lt;rt&gt;zhīgǎn&lt;/rt&gt;&lt;/ruby&gt;</v>
      </c>
      <c r="E2177" s="13" t="str">
        <f ca="1">IFERROR(__xludf.DUMMYFUNCTION("""COMPUTED_VALUE"""),"zhīgǎn")</f>
        <v>zhīgǎn</v>
      </c>
      <c r="F2177" s="13" t="str">
        <f ca="1">IFERROR(__xludf.DUMMYFUNCTION("""COMPUTED_VALUE"""),"Danh từ")</f>
        <v>Danh từ</v>
      </c>
      <c r="G2177" s="13" t="str">
        <f ca="1">IFERROR(__xludf.DUMMYFUNCTION("""COMPUTED_VALUE"""),"tri giác")</f>
        <v>tri giác</v>
      </c>
      <c r="H2177" s="13" t="str">
        <f ca="1">IFERROR(__xludf.DUMMYFUNCTION("""COMPUTED_VALUE"""),"参观博物馆让我产生了对艺术的知感。")</f>
        <v>参观博物馆让我产生了对艺术的知感。</v>
      </c>
      <c r="I2177" s="13"/>
      <c r="J2177" s="13" t="str">
        <f ca="1">IFERROR(__xludf.DUMMYFUNCTION("""COMPUTED_VALUE"""),"Tham quan bảo tàng khiến tôi có cảm nhận về nghệ thuật.")</f>
        <v>Tham quan bảo tàng khiến tôi có cảm nhận về nghệ thuật.</v>
      </c>
      <c r="K2177" s="13" t="str">
        <f ca="1">IFERROR(__xludf.DUMMYFUNCTION("""COMPUTED_VALUE"""),"H5_B22_BG11.png")</f>
        <v>H5_B22_BG11.png</v>
      </c>
      <c r="L2177" s="13" t="str">
        <f ca="1">IFERROR(__xludf.DUMMYFUNCTION("""COMPUTED_VALUE"""),"B22_11.mp3")</f>
        <v>B22_11.mp3</v>
      </c>
      <c r="M2177" s="13" t="str">
        <f ca="1">IFERROR(__xludf.DUMMYFUNCTION("""COMPUTED_VALUE"""),"B22_VD_11.mp3")</f>
        <v>B22_VD_11.mp3</v>
      </c>
    </row>
    <row r="2178" spans="1:13">
      <c r="A2178" s="13">
        <f ca="1">IFERROR(__xludf.DUMMYFUNCTION("""COMPUTED_VALUE"""),12)</f>
        <v>12</v>
      </c>
      <c r="B2178" s="13"/>
      <c r="C2178" s="13" t="str">
        <f ca="1">IFERROR(__xludf.DUMMYFUNCTION("""COMPUTED_VALUE"""),"观点")</f>
        <v>观点</v>
      </c>
      <c r="D2178" s="13" t="str">
        <f ca="1">IFERROR(__xludf.DUMMYFUNCTION("""COMPUTED_VALUE"""),"&lt;ruby&gt;观点&lt;rt&gt;guāndiǎn&lt;/rt&gt;&lt;/ruby&gt;")</f>
        <v>&lt;ruby&gt;观点&lt;rt&gt;guāndiǎn&lt;/rt&gt;&lt;/ruby&gt;</v>
      </c>
      <c r="E2178" s="13" t="str">
        <f ca="1">IFERROR(__xludf.DUMMYFUNCTION("""COMPUTED_VALUE"""),"guāndiǎn")</f>
        <v>guāndiǎn</v>
      </c>
      <c r="F2178" s="13" t="str">
        <f ca="1">IFERROR(__xludf.DUMMYFUNCTION("""COMPUTED_VALUE"""),"Danh từ")</f>
        <v>Danh từ</v>
      </c>
      <c r="G2178" s="13" t="str">
        <f ca="1">IFERROR(__xludf.DUMMYFUNCTION("""COMPUTED_VALUE"""),"quan điểm")</f>
        <v>quan điểm</v>
      </c>
      <c r="H2178" s="13" t="str">
        <f ca="1">IFERROR(__xludf.DUMMYFUNCTION("""COMPUTED_VALUE"""),"每个人的观点都不同。")</f>
        <v>每个人的观点都不同。</v>
      </c>
      <c r="I2178" s="13"/>
      <c r="J2178" s="13" t="str">
        <f ca="1">IFERROR(__xludf.DUMMYFUNCTION("""COMPUTED_VALUE"""),"Mỗi người đều có quan điểm khác nhau.")</f>
        <v>Mỗi người đều có quan điểm khác nhau.</v>
      </c>
      <c r="K2178" s="13" t="str">
        <f ca="1">IFERROR(__xludf.DUMMYFUNCTION("""COMPUTED_VALUE"""),"H5_B22_BG12.png")</f>
        <v>H5_B22_BG12.png</v>
      </c>
      <c r="L2178" s="13" t="str">
        <f ca="1">IFERROR(__xludf.DUMMYFUNCTION("""COMPUTED_VALUE"""),"B22_12.mp3")</f>
        <v>B22_12.mp3</v>
      </c>
      <c r="M2178" s="13" t="str">
        <f ca="1">IFERROR(__xludf.DUMMYFUNCTION("""COMPUTED_VALUE"""),"B22_VD_12.mp3")</f>
        <v>B22_VD_12.mp3</v>
      </c>
    </row>
    <row r="2179" spans="1:13">
      <c r="A2179" s="13">
        <f ca="1">IFERROR(__xludf.DUMMYFUNCTION("""COMPUTED_VALUE"""),13)</f>
        <v>13</v>
      </c>
      <c r="B2179" s="13"/>
      <c r="C2179" s="13" t="str">
        <f ca="1">IFERROR(__xludf.DUMMYFUNCTION("""COMPUTED_VALUE"""),"客观")</f>
        <v>客观</v>
      </c>
      <c r="D2179" s="13" t="str">
        <f ca="1">IFERROR(__xludf.DUMMYFUNCTION("""COMPUTED_VALUE"""),"&lt;ruby&gt;客观&lt;rt&gt;kèguān&lt;/rt&gt;&lt;/ruby&gt;")</f>
        <v>&lt;ruby&gt;客观&lt;rt&gt;kèguān&lt;/rt&gt;&lt;/ruby&gt;</v>
      </c>
      <c r="E2179" s="13" t="str">
        <f ca="1">IFERROR(__xludf.DUMMYFUNCTION("""COMPUTED_VALUE"""),"kèguān")</f>
        <v>kèguān</v>
      </c>
      <c r="F2179" s="13" t="str">
        <f ca="1">IFERROR(__xludf.DUMMYFUNCTION("""COMPUTED_VALUE"""),"Tính từ")</f>
        <v>Tính từ</v>
      </c>
      <c r="G2179" s="13" t="str">
        <f ca="1">IFERROR(__xludf.DUMMYFUNCTION("""COMPUTED_VALUE"""),"khách quan")</f>
        <v>khách quan</v>
      </c>
      <c r="H2179" s="13" t="str">
        <f ca="1">IFERROR(__xludf.DUMMYFUNCTION("""COMPUTED_VALUE"""),"我们应该客观地看待问题。")</f>
        <v>我们应该客观地看待问题。</v>
      </c>
      <c r="I2179" s="13"/>
      <c r="J2179" s="13" t="str">
        <f ca="1">IFERROR(__xludf.DUMMYFUNCTION("""COMPUTED_VALUE"""),"Chúng ta nên nhìn nhận vấn đề một cách khách quan.")</f>
        <v>Chúng ta nên nhìn nhận vấn đề một cách khách quan.</v>
      </c>
      <c r="K2179" s="13" t="str">
        <f ca="1">IFERROR(__xludf.DUMMYFUNCTION("""COMPUTED_VALUE"""),"H5_B22_BG13.png")</f>
        <v>H5_B22_BG13.png</v>
      </c>
      <c r="L2179" s="13" t="str">
        <f ca="1">IFERROR(__xludf.DUMMYFUNCTION("""COMPUTED_VALUE"""),"B22_13.mp3")</f>
        <v>B22_13.mp3</v>
      </c>
      <c r="M2179" s="13" t="str">
        <f ca="1">IFERROR(__xludf.DUMMYFUNCTION("""COMPUTED_VALUE"""),"B22_VD_13.mp3")</f>
        <v>B22_VD_13.mp3</v>
      </c>
    </row>
    <row r="2180" spans="1:13">
      <c r="A2180" s="13">
        <f ca="1">IFERROR(__xludf.DUMMYFUNCTION("""COMPUTED_VALUE"""),14)</f>
        <v>14</v>
      </c>
      <c r="B2180" s="13"/>
      <c r="C2180" s="13" t="str">
        <f ca="1">IFERROR(__xludf.DUMMYFUNCTION("""COMPUTED_VALUE"""),"全面")</f>
        <v>全面</v>
      </c>
      <c r="D2180" s="13" t="str">
        <f ca="1">IFERROR(__xludf.DUMMYFUNCTION("""COMPUTED_VALUE"""),"&lt;ruby&gt;全面&lt;rt&gt;quánmiàn&lt;/rt&gt;&lt;/ruby&gt;")</f>
        <v>&lt;ruby&gt;全面&lt;rt&gt;quánmiàn&lt;/rt&gt;&lt;/ruby&gt;</v>
      </c>
      <c r="E2180" s="13" t="str">
        <f ca="1">IFERROR(__xludf.DUMMYFUNCTION("""COMPUTED_VALUE"""),"quánmiàn")</f>
        <v>quánmiàn</v>
      </c>
      <c r="F2180" s="13" t="str">
        <f ca="1">IFERROR(__xludf.DUMMYFUNCTION("""COMPUTED_VALUE"""),"Tính từ")</f>
        <v>Tính từ</v>
      </c>
      <c r="G2180" s="13" t="str">
        <f ca="1">IFERROR(__xludf.DUMMYFUNCTION("""COMPUTED_VALUE"""),"toàn diện, mọi mặt")</f>
        <v>toàn diện, mọi mặt</v>
      </c>
      <c r="H2180" s="13" t="str">
        <f ca="1">IFERROR(__xludf.DUMMYFUNCTION("""COMPUTED_VALUE"""),"我们全面分析这个问题。")</f>
        <v>我们全面分析这个问题。</v>
      </c>
      <c r="I2180" s="13"/>
      <c r="J2180" s="13" t="str">
        <f ca="1">IFERROR(__xludf.DUMMYFUNCTION("""COMPUTED_VALUE"""),"Chúng ta phân tích toàn diện vấn đề này. ")</f>
        <v xml:space="preserve">Chúng ta phân tích toàn diện vấn đề này. </v>
      </c>
      <c r="K2180" s="13" t="str">
        <f ca="1">IFERROR(__xludf.DUMMYFUNCTION("""COMPUTED_VALUE"""),"H5_B22_BG14.png")</f>
        <v>H5_B22_BG14.png</v>
      </c>
      <c r="L2180" s="13" t="str">
        <f ca="1">IFERROR(__xludf.DUMMYFUNCTION("""COMPUTED_VALUE"""),"B22_14.mp3")</f>
        <v>B22_14.mp3</v>
      </c>
      <c r="M2180" s="13" t="str">
        <f ca="1">IFERROR(__xludf.DUMMYFUNCTION("""COMPUTED_VALUE"""),"B22_VD_14.mp3")</f>
        <v>B22_VD_14.mp3</v>
      </c>
    </row>
    <row r="2181" spans="1:13">
      <c r="A2181" s="13">
        <f ca="1">IFERROR(__xludf.DUMMYFUNCTION("""COMPUTED_VALUE"""),15)</f>
        <v>15</v>
      </c>
      <c r="B2181" s="13"/>
      <c r="C2181" s="13" t="str">
        <f ca="1">IFERROR(__xludf.DUMMYFUNCTION("""COMPUTED_VALUE"""),"转变")</f>
        <v>转变</v>
      </c>
      <c r="D2181" s="13" t="str">
        <f ca="1">IFERROR(__xludf.DUMMYFUNCTION("""COMPUTED_VALUE"""),"&lt;ruby&gt;转变&lt;rt&gt;zhuǎnbiàn&lt;/rt&gt;&lt;/ruby&gt;")</f>
        <v>&lt;ruby&gt;转变&lt;rt&gt;zhuǎnbiàn&lt;/rt&gt;&lt;/ruby&gt;</v>
      </c>
      <c r="E2181" s="13" t="str">
        <f ca="1">IFERROR(__xludf.DUMMYFUNCTION("""COMPUTED_VALUE"""),"zhuǎnbiàn")</f>
        <v>zhuǎnbiàn</v>
      </c>
      <c r="F2181" s="13" t="str">
        <f ca="1">IFERROR(__xludf.DUMMYFUNCTION("""COMPUTED_VALUE"""),"Động từ")</f>
        <v>Động từ</v>
      </c>
      <c r="G2181" s="13" t="str">
        <f ca="1">IFERROR(__xludf.DUMMYFUNCTION("""COMPUTED_VALUE"""),"thay đổi")</f>
        <v>thay đổi</v>
      </c>
      <c r="H2181" s="13" t="str">
        <f ca="1">IFERROR(__xludf.DUMMYFUNCTION("""COMPUTED_VALUE"""),"自从减肥后，她有了很大转变。")</f>
        <v>自从减肥后，她有了很大转变。</v>
      </c>
      <c r="I2181" s="13"/>
      <c r="J2181" s="13" t="str">
        <f ca="1">IFERROR(__xludf.DUMMYFUNCTION("""COMPUTED_VALUE"""),"Cô ấy đã thay đổi từ lúc giảm cân.")</f>
        <v>Cô ấy đã thay đổi từ lúc giảm cân.</v>
      </c>
      <c r="K2181" s="13" t="str">
        <f ca="1">IFERROR(__xludf.DUMMYFUNCTION("""COMPUTED_VALUE"""),"H5_B22_BG15.png")</f>
        <v>H5_B22_BG15.png</v>
      </c>
      <c r="L2181" s="13" t="str">
        <f ca="1">IFERROR(__xludf.DUMMYFUNCTION("""COMPUTED_VALUE"""),"B22_15.mp3")</f>
        <v>B22_15.mp3</v>
      </c>
      <c r="M2181" s="13" t="str">
        <f ca="1">IFERROR(__xludf.DUMMYFUNCTION("""COMPUTED_VALUE"""),"B22_VD_15.mp3")</f>
        <v>B22_VD_15.mp3</v>
      </c>
    </row>
    <row r="2182" spans="1:13">
      <c r="A2182" s="13">
        <f ca="1">IFERROR(__xludf.DUMMYFUNCTION("""COMPUTED_VALUE"""),16)</f>
        <v>16</v>
      </c>
      <c r="B2182" s="13"/>
      <c r="C2182" s="13" t="str">
        <f ca="1">IFERROR(__xludf.DUMMYFUNCTION("""COMPUTED_VALUE"""),"观念")</f>
        <v>观念</v>
      </c>
      <c r="D2182" s="13" t="str">
        <f ca="1">IFERROR(__xludf.DUMMYFUNCTION("""COMPUTED_VALUE"""),"&lt;ruby&gt;观念&lt;rt&gt;guānniàn&lt;/rt&gt;&lt;/ruby&gt;")</f>
        <v>&lt;ruby&gt;观念&lt;rt&gt;guānniàn&lt;/rt&gt;&lt;/ruby&gt;</v>
      </c>
      <c r="E2182" s="13" t="str">
        <f ca="1">IFERROR(__xludf.DUMMYFUNCTION("""COMPUTED_VALUE"""),"guānniàn")</f>
        <v>guānniàn</v>
      </c>
      <c r="F2182" s="13" t="str">
        <f ca="1">IFERROR(__xludf.DUMMYFUNCTION("""COMPUTED_VALUE"""),"Danh từ")</f>
        <v>Danh từ</v>
      </c>
      <c r="G2182" s="13" t="str">
        <f ca="1">IFERROR(__xludf.DUMMYFUNCTION("""COMPUTED_VALUE"""),"quan niệm, tư tưởng")</f>
        <v>quan niệm, tư tưởng</v>
      </c>
      <c r="H2182" s="13" t="str">
        <f ca="1">IFERROR(__xludf.DUMMYFUNCTION("""COMPUTED_VALUE"""),"我们需要改变旧的观念。")</f>
        <v>我们需要改变旧的观念。</v>
      </c>
      <c r="I2182" s="13"/>
      <c r="J2182" s="13" t="str">
        <f ca="1">IFERROR(__xludf.DUMMYFUNCTION("""COMPUTED_VALUE"""),"Chúng ta cần thay đổi quan niệm cũ.")</f>
        <v>Chúng ta cần thay đổi quan niệm cũ.</v>
      </c>
      <c r="K2182" s="13" t="str">
        <f ca="1">IFERROR(__xludf.DUMMYFUNCTION("""COMPUTED_VALUE"""),"H5_B22_BG16.png")</f>
        <v>H5_B22_BG16.png</v>
      </c>
      <c r="L2182" s="13" t="str">
        <f ca="1">IFERROR(__xludf.DUMMYFUNCTION("""COMPUTED_VALUE"""),"B22_16.mp3")</f>
        <v>B22_16.mp3</v>
      </c>
      <c r="M2182" s="13" t="str">
        <f ca="1">IFERROR(__xludf.DUMMYFUNCTION("""COMPUTED_VALUE"""),"B22_VD_16.mp3")</f>
        <v>B22_VD_16.mp3</v>
      </c>
    </row>
    <row r="2183" spans="1:13">
      <c r="A2183" s="13">
        <f ca="1">IFERROR(__xludf.DUMMYFUNCTION("""COMPUTED_VALUE"""),17)</f>
        <v>17</v>
      </c>
      <c r="B2183" s="13"/>
      <c r="C2183" s="13" t="str">
        <f ca="1">IFERROR(__xludf.DUMMYFUNCTION("""COMPUTED_VALUE"""),"对待")</f>
        <v>对待</v>
      </c>
      <c r="D2183" s="13" t="str">
        <f ca="1">IFERROR(__xludf.DUMMYFUNCTION("""COMPUTED_VALUE"""),"&lt;ruby&gt;对待&lt;rt&gt;duìdài&lt;/rt&gt;&lt;/ruby&gt;")</f>
        <v>&lt;ruby&gt;对待&lt;rt&gt;duìdài&lt;/rt&gt;&lt;/ruby&gt;</v>
      </c>
      <c r="E2183" s="13" t="str">
        <f ca="1">IFERROR(__xludf.DUMMYFUNCTION("""COMPUTED_VALUE"""),"duìdài")</f>
        <v>duìdài</v>
      </c>
      <c r="F2183" s="13" t="str">
        <f ca="1">IFERROR(__xludf.DUMMYFUNCTION("""COMPUTED_VALUE"""),"Động từ")</f>
        <v>Động từ</v>
      </c>
      <c r="G2183" s="13" t="str">
        <f ca="1">IFERROR(__xludf.DUMMYFUNCTION("""COMPUTED_VALUE"""),"đối xử")</f>
        <v>đối xử</v>
      </c>
      <c r="H2183" s="13" t="str">
        <f ca="1">IFERROR(__xludf.DUMMYFUNCTION("""COMPUTED_VALUE"""),"她对朋友的对待非常真诚。")</f>
        <v>她对朋友的对待非常真诚。</v>
      </c>
      <c r="I2183" s="13"/>
      <c r="J2183" s="13" t="str">
        <f ca="1">IFERROR(__xludf.DUMMYFUNCTION("""COMPUTED_VALUE"""),"Cô ấy đối xử với bạn bè rất chân thành.")</f>
        <v>Cô ấy đối xử với bạn bè rất chân thành.</v>
      </c>
      <c r="K2183" s="13" t="str">
        <f ca="1">IFERROR(__xludf.DUMMYFUNCTION("""COMPUTED_VALUE"""),"H5_B22_BG17.png")</f>
        <v>H5_B22_BG17.png</v>
      </c>
      <c r="L2183" s="13" t="str">
        <f ca="1">IFERROR(__xludf.DUMMYFUNCTION("""COMPUTED_VALUE"""),"B22_17.mp3")</f>
        <v>B22_17.mp3</v>
      </c>
      <c r="M2183" s="13" t="str">
        <f ca="1">IFERROR(__xludf.DUMMYFUNCTION("""COMPUTED_VALUE"""),"B22_VD_17.mp3")</f>
        <v>B22_VD_17.mp3</v>
      </c>
    </row>
    <row r="2184" spans="1:13">
      <c r="A2184" s="13">
        <f ca="1">IFERROR(__xludf.DUMMYFUNCTION("""COMPUTED_VALUE"""),18)</f>
        <v>18</v>
      </c>
      <c r="B2184" s="13"/>
      <c r="C2184" s="13" t="str">
        <f ca="1">IFERROR(__xludf.DUMMYFUNCTION("""COMPUTED_VALUE"""),"承认")</f>
        <v>承认</v>
      </c>
      <c r="D2184" s="13" t="str">
        <f ca="1">IFERROR(__xludf.DUMMYFUNCTION("""COMPUTED_VALUE"""),"&lt;ruby&gt;承认&lt;rt&gt;chéngrèn&lt;/rt&gt;&lt;/ruby&gt;")</f>
        <v>&lt;ruby&gt;承认&lt;rt&gt;chéngrèn&lt;/rt&gt;&lt;/ruby&gt;</v>
      </c>
      <c r="E2184" s="13" t="str">
        <f ca="1">IFERROR(__xludf.DUMMYFUNCTION("""COMPUTED_VALUE"""),"chéngrèn")</f>
        <v>chéngrèn</v>
      </c>
      <c r="F2184" s="13" t="str">
        <f ca="1">IFERROR(__xludf.DUMMYFUNCTION("""COMPUTED_VALUE"""),"Động từ")</f>
        <v>Động từ</v>
      </c>
      <c r="G2184" s="13" t="str">
        <f ca="1">IFERROR(__xludf.DUMMYFUNCTION("""COMPUTED_VALUE"""),"thừa nhận, chấp nhận")</f>
        <v>thừa nhận, chấp nhận</v>
      </c>
      <c r="H2184" s="13" t="str">
        <f ca="1">IFERROR(__xludf.DUMMYFUNCTION("""COMPUTED_VALUE"""),"最终他承认了自己的错误。")</f>
        <v>最终他承认了自己的错误。</v>
      </c>
      <c r="I2184" s="13"/>
      <c r="J2184" s="13" t="str">
        <f ca="1">IFERROR(__xludf.DUMMYFUNCTION("""COMPUTED_VALUE"""),"Cuối cùng anh ấy đã thừa nhận lỗi của mình.")</f>
        <v>Cuối cùng anh ấy đã thừa nhận lỗi của mình.</v>
      </c>
      <c r="K2184" s="13" t="str">
        <f ca="1">IFERROR(__xludf.DUMMYFUNCTION("""COMPUTED_VALUE"""),"H5_B22_BG18.png")</f>
        <v>H5_B22_BG18.png</v>
      </c>
      <c r="L2184" s="13" t="str">
        <f ca="1">IFERROR(__xludf.DUMMYFUNCTION("""COMPUTED_VALUE"""),"B22_18.mp3")</f>
        <v>B22_18.mp3</v>
      </c>
      <c r="M2184" s="13" t="str">
        <f ca="1">IFERROR(__xludf.DUMMYFUNCTION("""COMPUTED_VALUE"""),"B22_VD_18.mp3")</f>
        <v>B22_VD_18.mp3</v>
      </c>
    </row>
    <row r="2185" spans="1:13">
      <c r="A2185" s="13">
        <f ca="1">IFERROR(__xludf.DUMMYFUNCTION("""COMPUTED_VALUE"""),19)</f>
        <v>19</v>
      </c>
      <c r="B2185" s="13"/>
      <c r="C2185" s="13" t="str">
        <f ca="1">IFERROR(__xludf.DUMMYFUNCTION("""COMPUTED_VALUE"""),"人性")</f>
        <v>人性</v>
      </c>
      <c r="D2185" s="13" t="str">
        <f ca="1">IFERROR(__xludf.DUMMYFUNCTION("""COMPUTED_VALUE"""),"&lt;ruby&gt;人性&lt;rt&gt;rénxìng&lt;/rt&gt;&lt;/ruby&gt;")</f>
        <v>&lt;ruby&gt;人性&lt;rt&gt;rénxìng&lt;/rt&gt;&lt;/ruby&gt;</v>
      </c>
      <c r="E2185" s="13" t="str">
        <f ca="1">IFERROR(__xludf.DUMMYFUNCTION("""COMPUTED_VALUE"""),"rénxìng")</f>
        <v>rénxìng</v>
      </c>
      <c r="F2185" s="13" t="str">
        <f ca="1">IFERROR(__xludf.DUMMYFUNCTION("""COMPUTED_VALUE"""),"Danh từ")</f>
        <v>Danh từ</v>
      </c>
      <c r="G2185" s="13" t="str">
        <f ca="1">IFERROR(__xludf.DUMMYFUNCTION("""COMPUTED_VALUE"""),"bản tính của con người")</f>
        <v>bản tính của con người</v>
      </c>
      <c r="H2185" s="13" t="str">
        <f ca="1">IFERROR(__xludf.DUMMYFUNCTION("""COMPUTED_VALUE"""),"每个人的人性中都有善与恶。")</f>
        <v>每个人的人性中都有善与恶。</v>
      </c>
      <c r="I2185" s="13"/>
      <c r="J2185" s="13" t="str">
        <f ca="1">IFERROR(__xludf.DUMMYFUNCTION("""COMPUTED_VALUE"""),"Trong mỗi con người ai cũng có bản tính ác và thiện.")</f>
        <v>Trong mỗi con người ai cũng có bản tính ác và thiện.</v>
      </c>
      <c r="K2185" s="13" t="str">
        <f ca="1">IFERROR(__xludf.DUMMYFUNCTION("""COMPUTED_VALUE"""),"H5_B22_BG19.png")</f>
        <v>H5_B22_BG19.png</v>
      </c>
      <c r="L2185" s="13" t="str">
        <f ca="1">IFERROR(__xludf.DUMMYFUNCTION("""COMPUTED_VALUE"""),"B22_19.mp3")</f>
        <v>B22_19.mp3</v>
      </c>
      <c r="M2185" s="13" t="str">
        <f ca="1">IFERROR(__xludf.DUMMYFUNCTION("""COMPUTED_VALUE"""),"B22_VD_19.mp3")</f>
        <v>B22_VD_19.mp3</v>
      </c>
    </row>
    <row r="2186" spans="1:13">
      <c r="A2186" s="13">
        <f ca="1">IFERROR(__xludf.DUMMYFUNCTION("""COMPUTED_VALUE"""),20)</f>
        <v>20</v>
      </c>
      <c r="B2186" s="13"/>
      <c r="C2186" s="13" t="str">
        <f ca="1">IFERROR(__xludf.DUMMYFUNCTION("""COMPUTED_VALUE"""),"完美")</f>
        <v>完美</v>
      </c>
      <c r="D2186" s="13" t="str">
        <f ca="1">IFERROR(__xludf.DUMMYFUNCTION("""COMPUTED_VALUE"""),"&lt;ruby&gt;完美&lt;rt&gt;wánměi&lt;/rt&gt;&lt;/ruby&gt;")</f>
        <v>&lt;ruby&gt;完美&lt;rt&gt;wánměi&lt;/rt&gt;&lt;/ruby&gt;</v>
      </c>
      <c r="E2186" s="13" t="str">
        <f ca="1">IFERROR(__xludf.DUMMYFUNCTION("""COMPUTED_VALUE"""),"wánměi")</f>
        <v>wánměi</v>
      </c>
      <c r="F2186" s="13" t="str">
        <f ca="1">IFERROR(__xludf.DUMMYFUNCTION("""COMPUTED_VALUE"""),"Tính từ")</f>
        <v>Tính từ</v>
      </c>
      <c r="G2186" s="13" t="str">
        <f ca="1">IFERROR(__xludf.DUMMYFUNCTION("""COMPUTED_VALUE"""),"hoàn hảo, hoàn mỹ")</f>
        <v>hoàn hảo, hoàn mỹ</v>
      </c>
      <c r="H2186" s="13" t="str">
        <f ca="1">IFERROR(__xludf.DUMMYFUNCTION("""COMPUTED_VALUE"""),"她的表演几乎完美。")</f>
        <v>她的表演几乎完美。</v>
      </c>
      <c r="I2186" s="13"/>
      <c r="J2186" s="13" t="str">
        <f ca="1">IFERROR(__xludf.DUMMYFUNCTION("""COMPUTED_VALUE"""),"Buổi biểu diễn của cô ấy gần như hoàn hảo.")</f>
        <v>Buổi biểu diễn của cô ấy gần như hoàn hảo.</v>
      </c>
      <c r="K2186" s="13" t="str">
        <f ca="1">IFERROR(__xludf.DUMMYFUNCTION("""COMPUTED_VALUE"""),"H5_B22_BG20.png")</f>
        <v>H5_B22_BG20.png</v>
      </c>
      <c r="L2186" s="13" t="str">
        <f ca="1">IFERROR(__xludf.DUMMYFUNCTION("""COMPUTED_VALUE"""),"B22_20.mp3")</f>
        <v>B22_20.mp3</v>
      </c>
      <c r="M2186" s="13" t="str">
        <f ca="1">IFERROR(__xludf.DUMMYFUNCTION("""COMPUTED_VALUE"""),"B22_VD_20.mp3")</f>
        <v>B22_VD_20.mp3</v>
      </c>
    </row>
    <row r="2187" spans="1:13">
      <c r="A2187" s="13">
        <f ca="1">IFERROR(__xludf.DUMMYFUNCTION("""COMPUTED_VALUE"""),21)</f>
        <v>21</v>
      </c>
      <c r="B2187" s="13"/>
      <c r="C2187" s="13" t="str">
        <f ca="1">IFERROR(__xludf.DUMMYFUNCTION("""COMPUTED_VALUE"""),"平等")</f>
        <v>平等</v>
      </c>
      <c r="D2187" s="13" t="str">
        <f ca="1">IFERROR(__xludf.DUMMYFUNCTION("""COMPUTED_VALUE"""),"&lt;ruby&gt;平等&lt;rt&gt;píngděng&lt;/rt&gt;&lt;/ruby&gt;")</f>
        <v>&lt;ruby&gt;平等&lt;rt&gt;píngděng&lt;/rt&gt;&lt;/ruby&gt;</v>
      </c>
      <c r="E2187" s="13" t="str">
        <f ca="1">IFERROR(__xludf.DUMMYFUNCTION("""COMPUTED_VALUE"""),"píngděng")</f>
        <v>píngděng</v>
      </c>
      <c r="F2187" s="13" t="str">
        <f ca="1">IFERROR(__xludf.DUMMYFUNCTION("""COMPUTED_VALUE"""),"Tính từ")</f>
        <v>Tính từ</v>
      </c>
      <c r="G2187" s="13" t="str">
        <f ca="1">IFERROR(__xludf.DUMMYFUNCTION("""COMPUTED_VALUE"""),"bình đẳng, công bằng")</f>
        <v>bình đẳng, công bằng</v>
      </c>
      <c r="H2187" s="13" t="str">
        <f ca="1">IFERROR(__xludf.DUMMYFUNCTION("""COMPUTED_VALUE"""),"每个人在法律面前都是平等的。")</f>
        <v>每个人在法律面前都是平等的。</v>
      </c>
      <c r="I2187" s="13"/>
      <c r="J2187" s="13" t="str">
        <f ca="1">IFERROR(__xludf.DUMMYFUNCTION("""COMPUTED_VALUE"""),"Mỗi người đều bình đẳng trước pháp luật.")</f>
        <v>Mỗi người đều bình đẳng trước pháp luật.</v>
      </c>
      <c r="K2187" s="13" t="str">
        <f ca="1">IFERROR(__xludf.DUMMYFUNCTION("""COMPUTED_VALUE"""),"H5_B22_BG21.png")</f>
        <v>H5_B22_BG21.png</v>
      </c>
      <c r="L2187" s="13" t="str">
        <f ca="1">IFERROR(__xludf.DUMMYFUNCTION("""COMPUTED_VALUE"""),"B22_21.mp3")</f>
        <v>B22_21.mp3</v>
      </c>
      <c r="M2187" s="13" t="str">
        <f ca="1">IFERROR(__xludf.DUMMYFUNCTION("""COMPUTED_VALUE"""),"B22_VD_21.mp3")</f>
        <v>B22_VD_21.mp3</v>
      </c>
    </row>
    <row r="2188" spans="1:13">
      <c r="A2188" s="13">
        <f ca="1">IFERROR(__xludf.DUMMYFUNCTION("""COMPUTED_VALUE"""),22)</f>
        <v>22</v>
      </c>
      <c r="B2188" s="13"/>
      <c r="C2188" s="13" t="str">
        <f ca="1">IFERROR(__xludf.DUMMYFUNCTION("""COMPUTED_VALUE"""),"自私")</f>
        <v>自私</v>
      </c>
      <c r="D2188" s="13" t="str">
        <f ca="1">IFERROR(__xludf.DUMMYFUNCTION("""COMPUTED_VALUE"""),"&lt;ruby&gt;自私&lt;rt&gt;zìsī&lt;/rt&gt;&lt;/ruby&gt;")</f>
        <v>&lt;ruby&gt;自私&lt;rt&gt;zìsī&lt;/rt&gt;&lt;/ruby&gt;</v>
      </c>
      <c r="E2188" s="13" t="str">
        <f ca="1">IFERROR(__xludf.DUMMYFUNCTION("""COMPUTED_VALUE"""),"zìsī")</f>
        <v>zìsī</v>
      </c>
      <c r="F2188" s="13" t="str">
        <f ca="1">IFERROR(__xludf.DUMMYFUNCTION("""COMPUTED_VALUE"""),"Tính từ")</f>
        <v>Tính từ</v>
      </c>
      <c r="G2188" s="13" t="str">
        <f ca="1">IFERROR(__xludf.DUMMYFUNCTION("""COMPUTED_VALUE"""),"ích kỷ")</f>
        <v>ích kỷ</v>
      </c>
      <c r="H2188" s="13" t="str">
        <f ca="1">IFERROR(__xludf.DUMMYFUNCTION("""COMPUTED_VALUE"""),"他总是只考虑自己，看起来很自私。")</f>
        <v>他总是只考虑自己，看起来很自私。</v>
      </c>
      <c r="I2188" s="13"/>
      <c r="J2188" s="13" t="str">
        <f ca="1">IFERROR(__xludf.DUMMYFUNCTION("""COMPUTED_VALUE"""),"Anh ấy luôn chỉ nghĩ đến bản thân, trông rất ích kỷ.")</f>
        <v>Anh ấy luôn chỉ nghĩ đến bản thân, trông rất ích kỷ.</v>
      </c>
      <c r="K2188" s="13" t="str">
        <f ca="1">IFERROR(__xludf.DUMMYFUNCTION("""COMPUTED_VALUE"""),"H5_B22_BG22.png")</f>
        <v>H5_B22_BG22.png</v>
      </c>
      <c r="L2188" s="13" t="str">
        <f ca="1">IFERROR(__xludf.DUMMYFUNCTION("""COMPUTED_VALUE"""),"B22_22.mp3")</f>
        <v>B22_22.mp3</v>
      </c>
      <c r="M2188" s="13" t="str">
        <f ca="1">IFERROR(__xludf.DUMMYFUNCTION("""COMPUTED_VALUE"""),"B22_VD_22.mp3")</f>
        <v>B22_VD_22.mp3</v>
      </c>
    </row>
    <row r="2189" spans="1:13">
      <c r="A2189" s="13">
        <f ca="1">IFERROR(__xludf.DUMMYFUNCTION("""COMPUTED_VALUE"""),23)</f>
        <v>23</v>
      </c>
      <c r="B2189" s="13"/>
      <c r="C2189" s="13" t="str">
        <f ca="1">IFERROR(__xludf.DUMMYFUNCTION("""COMPUTED_VALUE"""),"倾向")</f>
        <v>倾向</v>
      </c>
      <c r="D2189" s="13" t="str">
        <f ca="1">IFERROR(__xludf.DUMMYFUNCTION("""COMPUTED_VALUE"""),"&lt;ruby&gt;倾向&lt;rt&gt;qīngxiàng&lt;/rt&gt;&lt;/ruby&gt;")</f>
        <v>&lt;ruby&gt;倾向&lt;rt&gt;qīngxiàng&lt;/rt&gt;&lt;/ruby&gt;</v>
      </c>
      <c r="E2189" s="13" t="str">
        <f ca="1">IFERROR(__xludf.DUMMYFUNCTION("""COMPUTED_VALUE"""),"qīngxiàng")</f>
        <v>qīngxiàng</v>
      </c>
      <c r="F2189" s="13" t="str">
        <f ca="1">IFERROR(__xludf.DUMMYFUNCTION("""COMPUTED_VALUE"""),"Động từ/Danh từ")</f>
        <v>Động từ/Danh từ</v>
      </c>
      <c r="G2189" s="13" t="str">
        <f ca="1">IFERROR(__xludf.DUMMYFUNCTION("""COMPUTED_VALUE"""),"nghiêng về; khuynh hướng")</f>
        <v>nghiêng về; khuynh hướng</v>
      </c>
      <c r="H2189" s="13" t="str">
        <f ca="1">IFERROR(__xludf.DUMMYFUNCTION("""COMPUTED_VALUE"""),"现在人们更倾向于使用电子支付。")</f>
        <v>现在人们更倾向于使用电子支付。</v>
      </c>
      <c r="I2189" s="13"/>
      <c r="J2189" s="13" t="str">
        <f ca="1">IFERROR(__xludf.DUMMYFUNCTION("""COMPUTED_VALUE"""),"Hiện nay mọi người có xu hướng sử dụng thanh toán điện tử hơn.")</f>
        <v>Hiện nay mọi người có xu hướng sử dụng thanh toán điện tử hơn.</v>
      </c>
      <c r="K2189" s="13" t="str">
        <f ca="1">IFERROR(__xludf.DUMMYFUNCTION("""COMPUTED_VALUE"""),"H5_B22_BG23.png")</f>
        <v>H5_B22_BG23.png</v>
      </c>
      <c r="L2189" s="13" t="str">
        <f ca="1">IFERROR(__xludf.DUMMYFUNCTION("""COMPUTED_VALUE"""),"B22_23.mp3")</f>
        <v>B22_23.mp3</v>
      </c>
      <c r="M2189" s="13" t="str">
        <f ca="1">IFERROR(__xludf.DUMMYFUNCTION("""COMPUTED_VALUE"""),"B22_VD_23.mp3")</f>
        <v>B22_VD_23.mp3</v>
      </c>
    </row>
    <row r="2190" spans="1:13">
      <c r="A2190" s="13">
        <f ca="1">IFERROR(__xludf.DUMMYFUNCTION("""COMPUTED_VALUE"""),24)</f>
        <v>24</v>
      </c>
      <c r="B2190" s="13"/>
      <c r="C2190" s="13" t="str">
        <f ca="1">IFERROR(__xludf.DUMMYFUNCTION("""COMPUTED_VALUE"""),"道德")</f>
        <v>道德</v>
      </c>
      <c r="D2190" s="13" t="str">
        <f ca="1">IFERROR(__xludf.DUMMYFUNCTION("""COMPUTED_VALUE"""),"&lt;ruby&gt;道德&lt;rt&gt;dàodé&lt;/rt&gt;&lt;/ruby&gt;")</f>
        <v>&lt;ruby&gt;道德&lt;rt&gt;dàodé&lt;/rt&gt;&lt;/ruby&gt;</v>
      </c>
      <c r="E2190" s="13" t="str">
        <f ca="1">IFERROR(__xludf.DUMMYFUNCTION("""COMPUTED_VALUE"""),"dàodé")</f>
        <v>dàodé</v>
      </c>
      <c r="F2190" s="13" t="str">
        <f ca="1">IFERROR(__xludf.DUMMYFUNCTION("""COMPUTED_VALUE"""),"Danh từ")</f>
        <v>Danh từ</v>
      </c>
      <c r="G2190" s="13" t="str">
        <f ca="1">IFERROR(__xludf.DUMMYFUNCTION("""COMPUTED_VALUE"""),"đạo đức")</f>
        <v>đạo đức</v>
      </c>
      <c r="H2190" s="13" t="str">
        <f ca="1">IFERROR(__xludf.DUMMYFUNCTION("""COMPUTED_VALUE"""),"每个人都应该遵守基本的道德准则。")</f>
        <v>每个人都应该遵守基本的道德准则。</v>
      </c>
      <c r="I2190" s="13"/>
      <c r="J2190" s="13" t="str">
        <f ca="1">IFERROR(__xludf.DUMMYFUNCTION("""COMPUTED_VALUE"""),"Mỗi người đều nên tuân thủ những quy tắc đạo đức cơ bản.")</f>
        <v>Mỗi người đều nên tuân thủ những quy tắc đạo đức cơ bản.</v>
      </c>
      <c r="K2190" s="13" t="str">
        <f ca="1">IFERROR(__xludf.DUMMYFUNCTION("""COMPUTED_VALUE"""),"H5_B22_BG24.png")</f>
        <v>H5_B22_BG24.png</v>
      </c>
      <c r="L2190" s="13" t="str">
        <f ca="1">IFERROR(__xludf.DUMMYFUNCTION("""COMPUTED_VALUE"""),"B22_24.mp3")</f>
        <v>B22_24.mp3</v>
      </c>
      <c r="M2190" s="13" t="str">
        <f ca="1">IFERROR(__xludf.DUMMYFUNCTION("""COMPUTED_VALUE"""),"B22_VD_24.mp3")</f>
        <v>B22_VD_24.mp3</v>
      </c>
    </row>
    <row r="2191" spans="1:13">
      <c r="A2191" s="13">
        <f ca="1">IFERROR(__xludf.DUMMYFUNCTION("""COMPUTED_VALUE"""),25)</f>
        <v>25</v>
      </c>
      <c r="B2191" s="13"/>
      <c r="C2191" s="13" t="str">
        <f ca="1">IFERROR(__xludf.DUMMYFUNCTION("""COMPUTED_VALUE"""),"价值")</f>
        <v>价值</v>
      </c>
      <c r="D2191" s="13" t="str">
        <f ca="1">IFERROR(__xludf.DUMMYFUNCTION("""COMPUTED_VALUE"""),"&lt;ruby&gt;价值&lt;rt&gt;jiàzhí&lt;/rt&gt;&lt;/ruby&gt;")</f>
        <v>&lt;ruby&gt;价值&lt;rt&gt;jiàzhí&lt;/rt&gt;&lt;/ruby&gt;</v>
      </c>
      <c r="E2191" s="13" t="str">
        <f ca="1">IFERROR(__xludf.DUMMYFUNCTION("""COMPUTED_VALUE"""),"jiàzhí")</f>
        <v>jiàzhí</v>
      </c>
      <c r="F2191" s="13" t="str">
        <f ca="1">IFERROR(__xludf.DUMMYFUNCTION("""COMPUTED_VALUE"""),"Danh từ")</f>
        <v>Danh từ</v>
      </c>
      <c r="G2191" s="13" t="str">
        <f ca="1">IFERROR(__xludf.DUMMYFUNCTION("""COMPUTED_VALUE"""),"giá trị")</f>
        <v>giá trị</v>
      </c>
      <c r="H2191" s="13" t="str">
        <f ca="1">IFERROR(__xludf.DUMMYFUNCTION("""COMPUTED_VALUE"""),"这幅画的价值超过一百万美元。")</f>
        <v>这幅画的价值超过一百万美元。</v>
      </c>
      <c r="I2191" s="13"/>
      <c r="J2191" s="13" t="str">
        <f ca="1">IFERROR(__xludf.DUMMYFUNCTION("""COMPUTED_VALUE"""),"Bức tranh này có giá trị vượt hơn một triệu đô la.")</f>
        <v>Bức tranh này có giá trị vượt hơn một triệu đô la.</v>
      </c>
      <c r="K2191" s="13" t="str">
        <f ca="1">IFERROR(__xludf.DUMMYFUNCTION("""COMPUTED_VALUE"""),"H5_B22_BG25.png")</f>
        <v>H5_B22_BG25.png</v>
      </c>
      <c r="L2191" s="13" t="str">
        <f ca="1">IFERROR(__xludf.DUMMYFUNCTION("""COMPUTED_VALUE"""),"B22_25.mp3")</f>
        <v>B22_25.mp3</v>
      </c>
      <c r="M2191" s="13" t="str">
        <f ca="1">IFERROR(__xludf.DUMMYFUNCTION("""COMPUTED_VALUE"""),"B22_VD_25.mp3")</f>
        <v>B22_VD_25.mp3</v>
      </c>
    </row>
    <row r="2192" spans="1:13">
      <c r="A2192" s="13">
        <f ca="1">IFERROR(__xludf.DUMMYFUNCTION("""COMPUTED_VALUE"""),26)</f>
        <v>26</v>
      </c>
      <c r="B2192" s="13"/>
      <c r="C2192" s="13" t="str">
        <f ca="1">IFERROR(__xludf.DUMMYFUNCTION("""COMPUTED_VALUE"""),"主张")</f>
        <v>主张</v>
      </c>
      <c r="D2192" s="13" t="str">
        <f ca="1">IFERROR(__xludf.DUMMYFUNCTION("""COMPUTED_VALUE"""),"&lt;ruby&gt;主张&lt;rt&gt;zhǔzhāng&lt;/rt&gt;&lt;/ruby&gt;")</f>
        <v>&lt;ruby&gt;主张&lt;rt&gt;zhǔzhāng&lt;/rt&gt;&lt;/ruby&gt;</v>
      </c>
      <c r="E2192" s="13" t="str">
        <f ca="1">IFERROR(__xludf.DUMMYFUNCTION("""COMPUTED_VALUE"""),"zhǔzhāng")</f>
        <v>zhǔzhāng</v>
      </c>
      <c r="F2192" s="13" t="str">
        <f ca="1">IFERROR(__xludf.DUMMYFUNCTION("""COMPUTED_VALUE"""),"Động từ/Danh từ")</f>
        <v>Động từ/Danh từ</v>
      </c>
      <c r="G2192" s="13" t="str">
        <f ca="1">IFERROR(__xludf.DUMMYFUNCTION("""COMPUTED_VALUE"""),"cho là, tán thành; chủ trương")</f>
        <v>cho là, tán thành; chủ trương</v>
      </c>
      <c r="H2192" s="13" t="str">
        <f ca="1">IFERROR(__xludf.DUMMYFUNCTION("""COMPUTED_VALUE"""),"他主张通过教育改变社会。
")</f>
        <v xml:space="preserve">他主张通过教育改变社会。
</v>
      </c>
      <c r="I2192" s="13"/>
      <c r="J2192" s="13" t="str">
        <f ca="1">IFERROR(__xludf.DUMMYFUNCTION("""COMPUTED_VALUE"""),"Anh ấy chủ trương thay đổi xã hội thông qua giáo dục.")</f>
        <v>Anh ấy chủ trương thay đổi xã hội thông qua giáo dục.</v>
      </c>
      <c r="K2192" s="13" t="str">
        <f ca="1">IFERROR(__xludf.DUMMYFUNCTION("""COMPUTED_VALUE"""),"H5_B22_BG26.png")</f>
        <v>H5_B22_BG26.png</v>
      </c>
      <c r="L2192" s="13" t="str">
        <f ca="1">IFERROR(__xludf.DUMMYFUNCTION("""COMPUTED_VALUE"""),"B22_26.mp3")</f>
        <v>B22_26.mp3</v>
      </c>
      <c r="M2192" s="13" t="str">
        <f ca="1">IFERROR(__xludf.DUMMYFUNCTION("""COMPUTED_VALUE"""),"B22_VD_26.mp3")</f>
        <v>B22_VD_26.mp3</v>
      </c>
    </row>
    <row r="2193" spans="1:13">
      <c r="A2193" s="13">
        <f ca="1">IFERROR(__xludf.DUMMYFUNCTION("""COMPUTED_VALUE"""),27)</f>
        <v>27</v>
      </c>
      <c r="B2193" s="13"/>
      <c r="C2193" s="13" t="str">
        <f ca="1">IFERROR(__xludf.DUMMYFUNCTION("""COMPUTED_VALUE"""),"火柴")</f>
        <v>火柴</v>
      </c>
      <c r="D2193" s="13" t="str">
        <f ca="1">IFERROR(__xludf.DUMMYFUNCTION("""COMPUTED_VALUE"""),"&lt;ruby&gt;火柴&lt;rt&gt;huǒchái&lt;/rt&gt;&lt;/ruby&gt;")</f>
        <v>&lt;ruby&gt;火柴&lt;rt&gt;huǒchái&lt;/rt&gt;&lt;/ruby&gt;</v>
      </c>
      <c r="E2193" s="13" t="str">
        <f ca="1">IFERROR(__xludf.DUMMYFUNCTION("""COMPUTED_VALUE"""),"huǒchái")</f>
        <v>huǒchái</v>
      </c>
      <c r="F2193" s="13" t="str">
        <f ca="1">IFERROR(__xludf.DUMMYFUNCTION("""COMPUTED_VALUE"""),"Danh từ")</f>
        <v>Danh từ</v>
      </c>
      <c r="G2193" s="13" t="str">
        <f ca="1">IFERROR(__xludf.DUMMYFUNCTION("""COMPUTED_VALUE"""),"diêm quẹt")</f>
        <v>diêm quẹt</v>
      </c>
      <c r="H2193" s="13" t="str">
        <f ca="1">IFERROR(__xludf.DUMMYFUNCTION("""COMPUTED_VALUE"""),"他用火柴点燃了蜡烛。")</f>
        <v>他用火柴点燃了蜡烛。</v>
      </c>
      <c r="I2193" s="13"/>
      <c r="J2193" s="13" t="str">
        <f ca="1">IFERROR(__xludf.DUMMYFUNCTION("""COMPUTED_VALUE"""),"Anh ấy dùng diêm quẹt để thắp nến.")</f>
        <v>Anh ấy dùng diêm quẹt để thắp nến.</v>
      </c>
      <c r="K2193" s="13" t="str">
        <f ca="1">IFERROR(__xludf.DUMMYFUNCTION("""COMPUTED_VALUE"""),"H5_B22_BG27.png")</f>
        <v>H5_B22_BG27.png</v>
      </c>
      <c r="L2193" s="13" t="str">
        <f ca="1">IFERROR(__xludf.DUMMYFUNCTION("""COMPUTED_VALUE"""),"B22_27.mp3")</f>
        <v>B22_27.mp3</v>
      </c>
      <c r="M2193" s="13" t="str">
        <f ca="1">IFERROR(__xludf.DUMMYFUNCTION("""COMPUTED_VALUE"""),"B22_VD_27.mp3")</f>
        <v>B22_VD_27.mp3</v>
      </c>
    </row>
    <row r="2194" spans="1:13">
      <c r="A2194" s="13">
        <f ca="1">IFERROR(__xludf.DUMMYFUNCTION("""COMPUTED_VALUE"""),28)</f>
        <v>28</v>
      </c>
      <c r="B2194" s="13"/>
      <c r="C2194" s="13" t="str">
        <f ca="1">IFERROR(__xludf.DUMMYFUNCTION("""COMPUTED_VALUE"""),"灰")</f>
        <v>灰</v>
      </c>
      <c r="D2194" s="13" t="str">
        <f ca="1">IFERROR(__xludf.DUMMYFUNCTION("""COMPUTED_VALUE"""),"&lt;ruby&gt;灰&lt;rt&gt;huī&lt;/rt&gt;&lt;/ruby&gt;")</f>
        <v>&lt;ruby&gt;灰&lt;rt&gt;huī&lt;/rt&gt;&lt;/ruby&gt;</v>
      </c>
      <c r="E2194" s="13" t="str">
        <f ca="1">IFERROR(__xludf.DUMMYFUNCTION("""COMPUTED_VALUE"""),"huī")</f>
        <v>huī</v>
      </c>
      <c r="F2194" s="13" t="str">
        <f ca="1">IFERROR(__xludf.DUMMYFUNCTION("""COMPUTED_VALUE"""),"Danh từ/Tính từ")</f>
        <v>Danh từ/Tính từ</v>
      </c>
      <c r="G2194" s="13" t="str">
        <f ca="1">IFERROR(__xludf.DUMMYFUNCTION("""COMPUTED_VALUE"""),"tro; xám")</f>
        <v>tro; xám</v>
      </c>
      <c r="H2194" s="13" t="str">
        <f ca="1">IFERROR(__xludf.DUMMYFUNCTION("""COMPUTED_VALUE"""),"木柴燃烧后变成了灰。")</f>
        <v>木柴燃烧后变成了灰。</v>
      </c>
      <c r="I2194" s="13"/>
      <c r="J2194" s="13" t="str">
        <f ca="1">IFERROR(__xludf.DUMMYFUNCTION("""COMPUTED_VALUE"""),"Thanh củi bị đốt cháy thành tro.")</f>
        <v>Thanh củi bị đốt cháy thành tro.</v>
      </c>
      <c r="K2194" s="13" t="str">
        <f ca="1">IFERROR(__xludf.DUMMYFUNCTION("""COMPUTED_VALUE"""),"H5_B22_BG28.png")</f>
        <v>H5_B22_BG28.png</v>
      </c>
      <c r="L2194" s="13" t="str">
        <f ca="1">IFERROR(__xludf.DUMMYFUNCTION("""COMPUTED_VALUE"""),"B22_28.mp3")</f>
        <v>B22_28.mp3</v>
      </c>
      <c r="M2194" s="13" t="str">
        <f ca="1">IFERROR(__xludf.DUMMYFUNCTION("""COMPUTED_VALUE"""),"B22_VD_28.mp3")</f>
        <v>B22_VD_28.mp3</v>
      </c>
    </row>
    <row r="2195" spans="1:13">
      <c r="A2195" s="13">
        <f ca="1">IFERROR(__xludf.DUMMYFUNCTION("""COMPUTED_VALUE"""),29)</f>
        <v>29</v>
      </c>
      <c r="B2195" s="13"/>
      <c r="C2195" s="13" t="str">
        <f ca="1">IFERROR(__xludf.DUMMYFUNCTION("""COMPUTED_VALUE"""),"一旦")</f>
        <v>一旦</v>
      </c>
      <c r="D2195" s="13" t="str">
        <f ca="1">IFERROR(__xludf.DUMMYFUNCTION("""COMPUTED_VALUE"""),"&lt;ruby&gt;一旦&lt;rt&gt;yídàn&lt;/rt&gt;&lt;/ruby&gt;")</f>
        <v>&lt;ruby&gt;一旦&lt;rt&gt;yídàn&lt;/rt&gt;&lt;/ruby&gt;</v>
      </c>
      <c r="E2195" s="13" t="str">
        <f ca="1">IFERROR(__xludf.DUMMYFUNCTION("""COMPUTED_VALUE"""),"yídàn")</f>
        <v>yídàn</v>
      </c>
      <c r="F2195" s="13" t="str">
        <f ca="1">IFERROR(__xludf.DUMMYFUNCTION("""COMPUTED_VALUE"""),"Phó từ")</f>
        <v>Phó từ</v>
      </c>
      <c r="G2195" s="13" t="str">
        <f ca="1">IFERROR(__xludf.DUMMYFUNCTION("""COMPUTED_VALUE"""),"một khi")</f>
        <v>một khi</v>
      </c>
      <c r="H2195" s="13" t="str">
        <f ca="1">IFERROR(__xludf.DUMMYFUNCTION("""COMPUTED_VALUE"""),"一旦下雨，比赛就会被取消。")</f>
        <v>一旦下雨，比赛就会被取消。</v>
      </c>
      <c r="I2195" s="13"/>
      <c r="J2195" s="13" t="str">
        <f ca="1">IFERROR(__xludf.DUMMYFUNCTION("""COMPUTED_VALUE"""),"Một khi trời mưa, trận đấu sẽ bị hủy.")</f>
        <v>Một khi trời mưa, trận đấu sẽ bị hủy.</v>
      </c>
      <c r="K2195" s="13" t="str">
        <f ca="1">IFERROR(__xludf.DUMMYFUNCTION("""COMPUTED_VALUE"""),"H5_B22_BG29.png")</f>
        <v>H5_B22_BG29.png</v>
      </c>
      <c r="L2195" s="13" t="str">
        <f ca="1">IFERROR(__xludf.DUMMYFUNCTION("""COMPUTED_VALUE"""),"B22_29.mp3")</f>
        <v>B22_29.mp3</v>
      </c>
      <c r="M2195" s="13" t="str">
        <f ca="1">IFERROR(__xludf.DUMMYFUNCTION("""COMPUTED_VALUE"""),"B22_VD_29.mp3")</f>
        <v>B22_VD_29.mp3</v>
      </c>
    </row>
    <row r="2196" spans="1:13">
      <c r="A2196" s="13">
        <f ca="1">IFERROR(__xludf.DUMMYFUNCTION("""COMPUTED_VALUE"""),30)</f>
        <v>30</v>
      </c>
      <c r="B2196" s="13"/>
      <c r="C2196" s="13" t="str">
        <f ca="1">IFERROR(__xludf.DUMMYFUNCTION("""COMPUTED_VALUE"""),"王宫")</f>
        <v>王宫</v>
      </c>
      <c r="D2196" s="13" t="str">
        <f ca="1">IFERROR(__xludf.DUMMYFUNCTION("""COMPUTED_VALUE"""),"&lt;ruby&gt;王宫&lt;rt&gt;wánggōng&lt;/rt&gt;&lt;/ruby&gt;")</f>
        <v>&lt;ruby&gt;王宫&lt;rt&gt;wánggōng&lt;/rt&gt;&lt;/ruby&gt;</v>
      </c>
      <c r="E2196" s="13" t="str">
        <f ca="1">IFERROR(__xludf.DUMMYFUNCTION("""COMPUTED_VALUE"""),"wánggōng")</f>
        <v>wánggōng</v>
      </c>
      <c r="F2196" s="13" t="str">
        <f ca="1">IFERROR(__xludf.DUMMYFUNCTION("""COMPUTED_VALUE"""),"Danh từ")</f>
        <v>Danh từ</v>
      </c>
      <c r="G2196" s="13" t="str">
        <f ca="1">IFERROR(__xludf.DUMMYFUNCTION("""COMPUTED_VALUE"""),"hoàng cung")</f>
        <v>hoàng cung</v>
      </c>
      <c r="H2196" s="13" t="str">
        <f ca="1">IFERROR(__xludf.DUMMYFUNCTION("""COMPUTED_VALUE"""),"王子住在一个华丽的王宫里。")</f>
        <v>王子住在一个华丽的王宫里。</v>
      </c>
      <c r="I2196" s="13"/>
      <c r="J2196" s="13" t="str">
        <f ca="1">IFERROR(__xludf.DUMMYFUNCTION("""COMPUTED_VALUE"""),"Hoàng tử sống trong một cung điện lộng lẫy.")</f>
        <v>Hoàng tử sống trong một cung điện lộng lẫy.</v>
      </c>
      <c r="K2196" s="13" t="str">
        <f ca="1">IFERROR(__xludf.DUMMYFUNCTION("""COMPUTED_VALUE"""),"H5_B22_BG30.png")</f>
        <v>H5_B22_BG30.png</v>
      </c>
      <c r="L2196" s="13" t="str">
        <f ca="1">IFERROR(__xludf.DUMMYFUNCTION("""COMPUTED_VALUE"""),"B22_30.mp3")</f>
        <v>B22_30.mp3</v>
      </c>
      <c r="M2196" s="13" t="str">
        <f ca="1">IFERROR(__xludf.DUMMYFUNCTION("""COMPUTED_VALUE"""),"B22_VD_30.mp3")</f>
        <v>B22_VD_30.mp3</v>
      </c>
    </row>
    <row r="2197" spans="1:13">
      <c r="A2197" s="13">
        <f ca="1">IFERROR(__xludf.DUMMYFUNCTION("""COMPUTED_VALUE"""),31)</f>
        <v>31</v>
      </c>
      <c r="B2197" s="13"/>
      <c r="C2197" s="13" t="str">
        <f ca="1">IFERROR(__xludf.DUMMYFUNCTION("""COMPUTED_VALUE"""),"王子")</f>
        <v>王子</v>
      </c>
      <c r="D2197" s="13" t="str">
        <f ca="1">IFERROR(__xludf.DUMMYFUNCTION("""COMPUTED_VALUE"""),"&lt;ruby&gt;王子&lt;rt&gt;wángzǐ&lt;/rt&gt;&lt;/ruby&gt;")</f>
        <v>&lt;ruby&gt;王子&lt;rt&gt;wángzǐ&lt;/rt&gt;&lt;/ruby&gt;</v>
      </c>
      <c r="E2197" s="13" t="str">
        <f ca="1">IFERROR(__xludf.DUMMYFUNCTION("""COMPUTED_VALUE"""),"wángzǐ")</f>
        <v>wángzǐ</v>
      </c>
      <c r="F2197" s="13" t="str">
        <f ca="1">IFERROR(__xludf.DUMMYFUNCTION("""COMPUTED_VALUE"""),"Danh từ")</f>
        <v>Danh từ</v>
      </c>
      <c r="G2197" s="13" t="str">
        <f ca="1">IFERROR(__xludf.DUMMYFUNCTION("""COMPUTED_VALUE"""),"hoàng tử")</f>
        <v>hoàng tử</v>
      </c>
      <c r="H2197" s="13" t="str">
        <f ca="1">IFERROR(__xludf.DUMMYFUNCTION("""COMPUTED_VALUE"""),"王子在舞会上遇见了公主。")</f>
        <v>王子在舞会上遇见了公主。</v>
      </c>
      <c r="I2197" s="13"/>
      <c r="J2197" s="13" t="str">
        <f ca="1">IFERROR(__xludf.DUMMYFUNCTION("""COMPUTED_VALUE"""),"Hoàng tử đã gặp công chúa trong buổi dạ hội.")</f>
        <v>Hoàng tử đã gặp công chúa trong buổi dạ hội.</v>
      </c>
      <c r="K2197" s="13" t="str">
        <f ca="1">IFERROR(__xludf.DUMMYFUNCTION("""COMPUTED_VALUE"""),"H5_B22_BG31.png")</f>
        <v>H5_B22_BG31.png</v>
      </c>
      <c r="L2197" s="13" t="str">
        <f ca="1">IFERROR(__xludf.DUMMYFUNCTION("""COMPUTED_VALUE"""),"B22_31.mp3")</f>
        <v>B22_31.mp3</v>
      </c>
      <c r="M2197" s="13" t="str">
        <f ca="1">IFERROR(__xludf.DUMMYFUNCTION("""COMPUTED_VALUE"""),"B22_VD_31.mp3")</f>
        <v>B22_VD_31.mp3</v>
      </c>
    </row>
    <row r="2198" spans="1:13">
      <c r="A2198" s="13">
        <f ca="1">IFERROR(__xludf.DUMMYFUNCTION("""COMPUTED_VALUE"""),32)</f>
        <v>32</v>
      </c>
      <c r="B2198" s="13"/>
      <c r="C2198" s="13" t="str">
        <f ca="1">IFERROR(__xludf.DUMMYFUNCTION("""COMPUTED_VALUE"""),"理由")</f>
        <v>理由</v>
      </c>
      <c r="D2198" s="13" t="str">
        <f ca="1">IFERROR(__xludf.DUMMYFUNCTION("""COMPUTED_VALUE"""),"&lt;ruby&gt;理由&lt;rt&gt;lǐyóu&lt;/rt&gt;&lt;/ruby&gt;")</f>
        <v>&lt;ruby&gt;理由&lt;rt&gt;lǐyóu&lt;/rt&gt;&lt;/ruby&gt;</v>
      </c>
      <c r="E2198" s="13" t="str">
        <f ca="1">IFERROR(__xludf.DUMMYFUNCTION("""COMPUTED_VALUE"""),"lǐyóu")</f>
        <v>lǐyóu</v>
      </c>
      <c r="F2198" s="13" t="str">
        <f ca="1">IFERROR(__xludf.DUMMYFUNCTION("""COMPUTED_VALUE"""),"Danh từ")</f>
        <v>Danh từ</v>
      </c>
      <c r="G2198" s="13" t="str">
        <f ca="1">IFERROR(__xludf.DUMMYFUNCTION("""COMPUTED_VALUE"""),"lý do")</f>
        <v>lý do</v>
      </c>
      <c r="H2198" s="13" t="str">
        <f ca="1">IFERROR(__xludf.DUMMYFUNCTION("""COMPUTED_VALUE"""),"他迟到的理由是堵车。")</f>
        <v>他迟到的理由是堵车。</v>
      </c>
      <c r="I2198" s="13"/>
      <c r="J2198" s="13" t="str">
        <f ca="1">IFERROR(__xludf.DUMMYFUNCTION("""COMPUTED_VALUE"""),"Lý do anh ấy đến muộn là bị kẹt xe.")</f>
        <v>Lý do anh ấy đến muộn là bị kẹt xe.</v>
      </c>
      <c r="K2198" s="13" t="str">
        <f ca="1">IFERROR(__xludf.DUMMYFUNCTION("""COMPUTED_VALUE"""),"H5_B22_BG32.png")</f>
        <v>H5_B22_BG32.png</v>
      </c>
      <c r="L2198" s="13" t="str">
        <f ca="1">IFERROR(__xludf.DUMMYFUNCTION("""COMPUTED_VALUE"""),"B22_32.mp3")</f>
        <v>B22_32.mp3</v>
      </c>
      <c r="M2198" s="13" t="str">
        <f ca="1">IFERROR(__xludf.DUMMYFUNCTION("""COMPUTED_VALUE"""),"B22_VD_32.mp3")</f>
        <v>B22_VD_32.mp3</v>
      </c>
    </row>
    <row r="2199" spans="1:13">
      <c r="A2199" s="13">
        <f ca="1">IFERROR(__xludf.DUMMYFUNCTION("""COMPUTED_VALUE"""),33)</f>
        <v>33</v>
      </c>
      <c r="B2199" s="13"/>
      <c r="C2199" s="13" t="str">
        <f ca="1">IFERROR(__xludf.DUMMYFUNCTION("""COMPUTED_VALUE"""),"童话")</f>
        <v>童话</v>
      </c>
      <c r="D2199" s="13" t="str">
        <f ca="1">IFERROR(__xludf.DUMMYFUNCTION("""COMPUTED_VALUE"""),"&lt;ruby&gt;童话&lt;rt&gt;tónghuà&lt;/rt&gt;&lt;/ruby&gt;")</f>
        <v>&lt;ruby&gt;童话&lt;rt&gt;tónghuà&lt;/rt&gt;&lt;/ruby&gt;</v>
      </c>
      <c r="E2199" s="13" t="str">
        <f ca="1">IFERROR(__xludf.DUMMYFUNCTION("""COMPUTED_VALUE"""),"tónghuà")</f>
        <v>tónghuà</v>
      </c>
      <c r="F2199" s="13" t="str">
        <f ca="1">IFERROR(__xludf.DUMMYFUNCTION("""COMPUTED_VALUE"""),"Danh từ")</f>
        <v>Danh từ</v>
      </c>
      <c r="G2199" s="13" t="str">
        <f ca="1">IFERROR(__xludf.DUMMYFUNCTION("""COMPUTED_VALUE"""),"truyện hư cấu")</f>
        <v>truyện hư cấu</v>
      </c>
      <c r="H2199" s="13" t="str">
        <f ca="1">IFERROR(__xludf.DUMMYFUNCTION("""COMPUTED_VALUE"""),"妈妈在睡前给女儿读童话故事。")</f>
        <v>妈妈在睡前给女儿读童话故事。</v>
      </c>
      <c r="I2199" s="13"/>
      <c r="J2199" s="13" t="str">
        <f ca="1">IFERROR(__xludf.DUMMYFUNCTION("""COMPUTED_VALUE"""),"Mẹ đọc truyện cổ tích cho con gái trước khi ngủ.")</f>
        <v>Mẹ đọc truyện cổ tích cho con gái trước khi ngủ.</v>
      </c>
      <c r="K2199" s="13" t="str">
        <f ca="1">IFERROR(__xludf.DUMMYFUNCTION("""COMPUTED_VALUE"""),"H5_B22_BG33.png")</f>
        <v>H5_B22_BG33.png</v>
      </c>
      <c r="L2199" s="13" t="str">
        <f ca="1">IFERROR(__xludf.DUMMYFUNCTION("""COMPUTED_VALUE"""),"B22_33.mp3")</f>
        <v>B22_33.mp3</v>
      </c>
      <c r="M2199" s="13" t="str">
        <f ca="1">IFERROR(__xludf.DUMMYFUNCTION("""COMPUTED_VALUE"""),"B22_VD_33.mp3")</f>
        <v>B22_VD_33.mp3</v>
      </c>
    </row>
    <row r="2200" spans="1:13">
      <c r="A2200" s="13">
        <f ca="1">IFERROR(__xludf.DUMMYFUNCTION("""COMPUTED_VALUE"""),34)</f>
        <v>34</v>
      </c>
      <c r="B2200" s="13"/>
      <c r="C2200" s="13" t="str">
        <f ca="1">IFERROR(__xludf.DUMMYFUNCTION("""COMPUTED_VALUE"""),"单纯")</f>
        <v>单纯</v>
      </c>
      <c r="D2200" s="13" t="str">
        <f ca="1">IFERROR(__xludf.DUMMYFUNCTION("""COMPUTED_VALUE"""),"&lt;ruby&gt;单纯&lt;rt&gt;dānchún&lt;/rt&gt;&lt;/ruby&gt;")</f>
        <v>&lt;ruby&gt;单纯&lt;rt&gt;dānchún&lt;/rt&gt;&lt;/ruby&gt;</v>
      </c>
      <c r="E2200" s="13" t="str">
        <f ca="1">IFERROR(__xludf.DUMMYFUNCTION("""COMPUTED_VALUE"""),"dānchún")</f>
        <v>dānchún</v>
      </c>
      <c r="F2200" s="13" t="str">
        <f ca="1">IFERROR(__xludf.DUMMYFUNCTION("""COMPUTED_VALUE"""),"Tính từ")</f>
        <v>Tính từ</v>
      </c>
      <c r="G2200" s="13" t="str">
        <f ca="1">IFERROR(__xludf.DUMMYFUNCTION("""COMPUTED_VALUE"""),"đơn thuần, đơn giản, chỉ")</f>
        <v>đơn thuần, đơn giản, chỉ</v>
      </c>
      <c r="H2200" s="13" t="str">
        <f ca="1">IFERROR(__xludf.DUMMYFUNCTION("""COMPUTED_VALUE"""),"孩子的世界非常单纯。")</f>
        <v>孩子的世界非常单纯。</v>
      </c>
      <c r="I2200" s="13"/>
      <c r="J2200" s="13" t="str">
        <f ca="1">IFERROR(__xludf.DUMMYFUNCTION("""COMPUTED_VALUE"""),"Thế giới của trẻ con thật đơn thuần.")</f>
        <v>Thế giới của trẻ con thật đơn thuần.</v>
      </c>
      <c r="K2200" s="13" t="str">
        <f ca="1">IFERROR(__xludf.DUMMYFUNCTION("""COMPUTED_VALUE"""),"H5_B22_BG34.png")</f>
        <v>H5_B22_BG34.png</v>
      </c>
      <c r="L2200" s="13" t="str">
        <f ca="1">IFERROR(__xludf.DUMMYFUNCTION("""COMPUTED_VALUE"""),"B22_34.mp3")</f>
        <v>B22_34.mp3</v>
      </c>
      <c r="M2200" s="13" t="str">
        <f ca="1">IFERROR(__xludf.DUMMYFUNCTION("""COMPUTED_VALUE"""),"B22_VD_34.mp3")</f>
        <v>B22_VD_34.mp3</v>
      </c>
    </row>
    <row r="2201" spans="1:13">
      <c r="A2201" s="13">
        <f ca="1">IFERROR(__xludf.DUMMYFUNCTION("""COMPUTED_VALUE"""),1)</f>
        <v>1</v>
      </c>
      <c r="B2201" s="13"/>
      <c r="C2201" s="13" t="str">
        <f ca="1">IFERROR(__xludf.DUMMYFUNCTION("""COMPUTED_VALUE"""),"乖")</f>
        <v>乖</v>
      </c>
      <c r="D2201" s="13" t="str">
        <f ca="1">IFERROR(__xludf.DUMMYFUNCTION("""COMPUTED_VALUE"""),"&lt;ruby&gt;乖&lt;rt&gt;guāi&lt;/rt&gt;&lt;/ruby&gt;")</f>
        <v>&lt;ruby&gt;乖&lt;rt&gt;guāi&lt;/rt&gt;&lt;/ruby&gt;</v>
      </c>
      <c r="E2201" s="13" t="str">
        <f ca="1">IFERROR(__xludf.DUMMYFUNCTION("""COMPUTED_VALUE"""),"guāi")</f>
        <v>guāi</v>
      </c>
      <c r="F2201" s="13" t="str">
        <f ca="1">IFERROR(__xludf.DUMMYFUNCTION("""COMPUTED_VALUE"""),"Tính từ")</f>
        <v>Tính từ</v>
      </c>
      <c r="G2201" s="13" t="str">
        <f ca="1">IFERROR(__xludf.DUMMYFUNCTION("""COMPUTED_VALUE"""),"ngoan ngoãn")</f>
        <v>ngoan ngoãn</v>
      </c>
      <c r="H2201" s="13" t="str">
        <f ca="1">IFERROR(__xludf.DUMMYFUNCTION("""COMPUTED_VALUE"""),"他是个乖孩子，总是听话并且非常努力。")</f>
        <v>他是个乖孩子，总是听话并且非常努力。</v>
      </c>
      <c r="I2201" s="13"/>
      <c r="J2201" s="13" t="str">
        <f ca="1">IFERROR(__xludf.DUMMYFUNCTION("""COMPUTED_VALUE"""),"Anh ấy là một đứa trẻ ngoan ngoãn, luôn nghe lời và làm việc rất chăm chỉ.")</f>
        <v>Anh ấy là một đứa trẻ ngoan ngoãn, luôn nghe lời và làm việc rất chăm chỉ.</v>
      </c>
      <c r="K2201" s="13" t="str">
        <f ca="1">IFERROR(__xludf.DUMMYFUNCTION("""COMPUTED_VALUE"""),"H5_B23_BG-01.png")</f>
        <v>H5_B23_BG-01.png</v>
      </c>
      <c r="L2201" s="13" t="str">
        <f ca="1">IFERROR(__xludf.DUMMYFUNCTION("""COMPUTED_VALUE"""),"B23_1.mp3")</f>
        <v>B23_1.mp3</v>
      </c>
      <c r="M2201" s="13" t="str">
        <f ca="1">IFERROR(__xludf.DUMMYFUNCTION("""COMPUTED_VALUE"""),"B23_VD_1.mp3")</f>
        <v>B23_VD_1.mp3</v>
      </c>
    </row>
    <row r="2202" spans="1:13">
      <c r="A2202" s="13">
        <f ca="1">IFERROR(__xludf.DUMMYFUNCTION("""COMPUTED_VALUE"""),2)</f>
        <v>2</v>
      </c>
      <c r="B2202" s="13"/>
      <c r="C2202" s="13" t="str">
        <f ca="1">IFERROR(__xludf.DUMMYFUNCTION("""COMPUTED_VALUE"""),"刻苦")</f>
        <v>刻苦</v>
      </c>
      <c r="D2202" s="13" t="str">
        <f ca="1">IFERROR(__xludf.DUMMYFUNCTION("""COMPUTED_VALUE"""),"&lt;ruby&gt;刻苦&lt;rt&gt;kèkǔ&lt;/rt&gt;&lt;/ruby&gt;")</f>
        <v>&lt;ruby&gt;刻苦&lt;rt&gt;kèkǔ&lt;/rt&gt;&lt;/ruby&gt;</v>
      </c>
      <c r="E2202" s="13" t="str">
        <f ca="1">IFERROR(__xludf.DUMMYFUNCTION("""COMPUTED_VALUE"""),"kèkǔ")</f>
        <v>kèkǔ</v>
      </c>
      <c r="F2202" s="13" t="str">
        <f ca="1">IFERROR(__xludf.DUMMYFUNCTION("""COMPUTED_VALUE"""),"Tính từ")</f>
        <v>Tính từ</v>
      </c>
      <c r="G2202" s="13" t="str">
        <f ca="1">IFERROR(__xludf.DUMMYFUNCTION("""COMPUTED_VALUE"""),"siêng năng, chịu khó")</f>
        <v>siêng năng, chịu khó</v>
      </c>
      <c r="H2202" s="13" t="str">
        <f ca="1">IFERROR(__xludf.DUMMYFUNCTION("""COMPUTED_VALUE"""),"她学习十分刻苦。")</f>
        <v>她学习十分刻苦。</v>
      </c>
      <c r="I2202" s="13"/>
      <c r="J2202" s="13" t="str">
        <f ca="1">IFERROR(__xludf.DUMMYFUNCTION("""COMPUTED_VALUE"""),"Cô ấy học hành siêng năng.")</f>
        <v>Cô ấy học hành siêng năng.</v>
      </c>
      <c r="K2202" s="13" t="str">
        <f ca="1">IFERROR(__xludf.DUMMYFUNCTION("""COMPUTED_VALUE"""),"H5_B23_BG-02.png")</f>
        <v>H5_B23_BG-02.png</v>
      </c>
      <c r="L2202" s="13" t="str">
        <f ca="1">IFERROR(__xludf.DUMMYFUNCTION("""COMPUTED_VALUE"""),"B23_2.mp3")</f>
        <v>B23_2.mp3</v>
      </c>
      <c r="M2202" s="13" t="str">
        <f ca="1">IFERROR(__xludf.DUMMYFUNCTION("""COMPUTED_VALUE"""),"B23_VD_2.mp3")</f>
        <v>B23_VD_2.mp3</v>
      </c>
    </row>
    <row r="2203" spans="1:13">
      <c r="A2203" s="13">
        <f ca="1">IFERROR(__xludf.DUMMYFUNCTION("""COMPUTED_VALUE"""),3)</f>
        <v>3</v>
      </c>
      <c r="B2203" s="13"/>
      <c r="C2203" s="13" t="str">
        <f ca="1">IFERROR(__xludf.DUMMYFUNCTION("""COMPUTED_VALUE"""),"遵守")</f>
        <v>遵守</v>
      </c>
      <c r="D2203" s="13" t="str">
        <f ca="1">IFERROR(__xludf.DUMMYFUNCTION("""COMPUTED_VALUE"""),"&lt;ruby&gt;遵守&lt;rt&gt;zūnshǒu&lt;/rt&gt;&lt;/ruby&gt;")</f>
        <v>&lt;ruby&gt;遵守&lt;rt&gt;zūnshǒu&lt;/rt&gt;&lt;/ruby&gt;</v>
      </c>
      <c r="E2203" s="13" t="str">
        <f ca="1">IFERROR(__xludf.DUMMYFUNCTION("""COMPUTED_VALUE"""),"zūnshǒu")</f>
        <v>zūnshǒu</v>
      </c>
      <c r="F2203" s="13" t="str">
        <f ca="1">IFERROR(__xludf.DUMMYFUNCTION("""COMPUTED_VALUE"""),"Động từ")</f>
        <v>Động từ</v>
      </c>
      <c r="G2203" s="13" t="str">
        <f ca="1">IFERROR(__xludf.DUMMYFUNCTION("""COMPUTED_VALUE"""),"tuân thủ, tôn trọng")</f>
        <v>tuân thủ, tôn trọng</v>
      </c>
      <c r="H2203" s="13" t="str">
        <f ca="1">IFERROR(__xludf.DUMMYFUNCTION("""COMPUTED_VALUE"""),"每个人都应该遵守交通规则，以确保安全。")</f>
        <v>每个人都应该遵守交通规则，以确保安全。</v>
      </c>
      <c r="I2203" s="13"/>
      <c r="J2203" s="13" t="str">
        <f ca="1">IFERROR(__xludf.DUMMYFUNCTION("""COMPUTED_VALUE"""),"Mọi người đều nên tuân thủ quy tắc giao thông để đảm bảo an toàn.")</f>
        <v>Mọi người đều nên tuân thủ quy tắc giao thông để đảm bảo an toàn.</v>
      </c>
      <c r="K2203" s="13" t="str">
        <f ca="1">IFERROR(__xludf.DUMMYFUNCTION("""COMPUTED_VALUE"""),"H5_B23_BG-03.png")</f>
        <v>H5_B23_BG-03.png</v>
      </c>
      <c r="L2203" s="13" t="str">
        <f ca="1">IFERROR(__xludf.DUMMYFUNCTION("""COMPUTED_VALUE"""),"B23_3.mp3")</f>
        <v>B23_3.mp3</v>
      </c>
      <c r="M2203" s="13" t="str">
        <f ca="1">IFERROR(__xludf.DUMMYFUNCTION("""COMPUTED_VALUE"""),"B23_VD_3.mp3")</f>
        <v>B23_VD_3.mp3</v>
      </c>
    </row>
    <row r="2204" spans="1:13">
      <c r="A2204" s="13">
        <f ca="1">IFERROR(__xludf.DUMMYFUNCTION("""COMPUTED_VALUE"""),4)</f>
        <v>4</v>
      </c>
      <c r="B2204" s="13"/>
      <c r="C2204" s="13" t="str">
        <f ca="1">IFERROR(__xludf.DUMMYFUNCTION("""COMPUTED_VALUE"""),"纪律")</f>
        <v>纪律</v>
      </c>
      <c r="D2204" s="13" t="str">
        <f ca="1">IFERROR(__xludf.DUMMYFUNCTION("""COMPUTED_VALUE"""),"&lt;ruby&gt;纪律&lt;rt&gt;jìlǜ&lt;/rt&gt;&lt;/ruby&gt;")</f>
        <v>&lt;ruby&gt;纪律&lt;rt&gt;jìlǜ&lt;/rt&gt;&lt;/ruby&gt;</v>
      </c>
      <c r="E2204" s="13" t="str">
        <f ca="1">IFERROR(__xludf.DUMMYFUNCTION("""COMPUTED_VALUE"""),"jìlǜ")</f>
        <v>jìlǜ</v>
      </c>
      <c r="F2204" s="13" t="str">
        <f ca="1">IFERROR(__xludf.DUMMYFUNCTION("""COMPUTED_VALUE"""),"Danh từ")</f>
        <v>Danh từ</v>
      </c>
      <c r="G2204" s="13" t="str">
        <f ca="1">IFERROR(__xludf.DUMMYFUNCTION("""COMPUTED_VALUE"""),"kỷ luật")</f>
        <v>kỷ luật</v>
      </c>
      <c r="H2204" s="13" t="str">
        <f ca="1">IFERROR(__xludf.DUMMYFUNCTION("""COMPUTED_VALUE"""),"在军队中，遵守纪律非常重要。")</f>
        <v>在军队中，遵守纪律非常重要。</v>
      </c>
      <c r="I2204" s="13"/>
      <c r="J2204" s="13" t="str">
        <f ca="1">IFERROR(__xludf.DUMMYFUNCTION("""COMPUTED_VALUE"""),"Trong quân đội, việc tuân thủ kỷ luật là rất quan trọng.")</f>
        <v>Trong quân đội, việc tuân thủ kỷ luật là rất quan trọng.</v>
      </c>
      <c r="K2204" s="13" t="str">
        <f ca="1">IFERROR(__xludf.DUMMYFUNCTION("""COMPUTED_VALUE"""),"H5_B23_BG-04.png")</f>
        <v>H5_B23_BG-04.png</v>
      </c>
      <c r="L2204" s="13" t="str">
        <f ca="1">IFERROR(__xludf.DUMMYFUNCTION("""COMPUTED_VALUE"""),"B23_4.mp3")</f>
        <v>B23_4.mp3</v>
      </c>
      <c r="M2204" s="13" t="str">
        <f ca="1">IFERROR(__xludf.DUMMYFUNCTION("""COMPUTED_VALUE"""),"B23_VD_4.mp3")</f>
        <v>B23_VD_4.mp3</v>
      </c>
    </row>
    <row r="2205" spans="1:13">
      <c r="A2205" s="13">
        <f ca="1">IFERROR(__xludf.DUMMYFUNCTION("""COMPUTED_VALUE"""),5)</f>
        <v>5</v>
      </c>
      <c r="B2205" s="13"/>
      <c r="C2205" s="13" t="str">
        <f ca="1">IFERROR(__xludf.DUMMYFUNCTION("""COMPUTED_VALUE"""),"违反")</f>
        <v>违反</v>
      </c>
      <c r="D2205" s="13" t="str">
        <f ca="1">IFERROR(__xludf.DUMMYFUNCTION("""COMPUTED_VALUE"""),"&lt;ruby&gt;违反&lt;rt&gt;wěifǎn&lt;/rt&gt;&lt;/ruby&gt;")</f>
        <v>&lt;ruby&gt;违反&lt;rt&gt;wěifǎn&lt;/rt&gt;&lt;/ruby&gt;</v>
      </c>
      <c r="E2205" s="13" t="str">
        <f ca="1">IFERROR(__xludf.DUMMYFUNCTION("""COMPUTED_VALUE"""),"wěifǎn")</f>
        <v>wěifǎn</v>
      </c>
      <c r="F2205" s="13" t="str">
        <f ca="1">IFERROR(__xludf.DUMMYFUNCTION("""COMPUTED_VALUE"""),"Động từ")</f>
        <v>Động từ</v>
      </c>
      <c r="G2205" s="13" t="str">
        <f ca="1">IFERROR(__xludf.DUMMYFUNCTION("""COMPUTED_VALUE"""),"làm trái")</f>
        <v>làm trái</v>
      </c>
      <c r="H2205" s="13" t="str">
        <f ca="1">IFERROR(__xludf.DUMMYFUNCTION("""COMPUTED_VALUE"""),"他违反了公司的规定，结果被解雇了。")</f>
        <v>他违反了公司的规定，结果被解雇了。</v>
      </c>
      <c r="I2205" s="13"/>
      <c r="J2205" s="13" t="str">
        <f ca="1">IFERROR(__xludf.DUMMYFUNCTION("""COMPUTED_VALUE"""),"Anh ấy đã làm trái quy định của công ty, kết quả là bị sa thải.")</f>
        <v>Anh ấy đã làm trái quy định của công ty, kết quả là bị sa thải.</v>
      </c>
      <c r="K2205" s="13" t="str">
        <f ca="1">IFERROR(__xludf.DUMMYFUNCTION("""COMPUTED_VALUE"""),"H5_B23_BG-05.png")</f>
        <v>H5_B23_BG-05.png</v>
      </c>
      <c r="L2205" s="13" t="str">
        <f ca="1">IFERROR(__xludf.DUMMYFUNCTION("""COMPUTED_VALUE"""),"B23_5.mp3")</f>
        <v>B23_5.mp3</v>
      </c>
      <c r="M2205" s="13" t="str">
        <f ca="1">IFERROR(__xludf.DUMMYFUNCTION("""COMPUTED_VALUE"""),"B23_VD_5.mp3")</f>
        <v>B23_VD_5.mp3</v>
      </c>
    </row>
    <row r="2206" spans="1:13">
      <c r="A2206" s="13">
        <f ca="1">IFERROR(__xludf.DUMMYFUNCTION("""COMPUTED_VALUE"""),6)</f>
        <v>6</v>
      </c>
      <c r="B2206" s="13"/>
      <c r="C2206" s="13" t="str">
        <f ca="1">IFERROR(__xludf.DUMMYFUNCTION("""COMPUTED_VALUE"""),"规矩")</f>
        <v>规矩</v>
      </c>
      <c r="D2206" s="13" t="str">
        <f ca="1">IFERROR(__xludf.DUMMYFUNCTION("""COMPUTED_VALUE"""),"&lt;ruby&gt;规矩&lt;rt&gt;guīju&lt;/rt&gt;&lt;/ruby&gt;")</f>
        <v>&lt;ruby&gt;规矩&lt;rt&gt;guīju&lt;/rt&gt;&lt;/ruby&gt;</v>
      </c>
      <c r="E2206" s="13" t="str">
        <f ca="1">IFERROR(__xludf.DUMMYFUNCTION("""COMPUTED_VALUE"""),"guīju")</f>
        <v>guīju</v>
      </c>
      <c r="F2206" s="13" t="str">
        <f ca="1">IFERROR(__xludf.DUMMYFUNCTION("""COMPUTED_VALUE"""),"Danh từ")</f>
        <v>Danh từ</v>
      </c>
      <c r="G2206" s="13" t="str">
        <f ca="1">IFERROR(__xludf.DUMMYFUNCTION("""COMPUTED_VALUE"""),"quy củ, khuôn phép")</f>
        <v>quy củ, khuôn phép</v>
      </c>
      <c r="H2206" s="13" t="str">
        <f ca="1">IFERROR(__xludf.DUMMYFUNCTION("""COMPUTED_VALUE"""),"他做事很有规矩。")</f>
        <v>他做事很有规矩。</v>
      </c>
      <c r="I2206" s="13"/>
      <c r="J2206" s="13" t="str">
        <f ca="1">IFERROR(__xludf.DUMMYFUNCTION("""COMPUTED_VALUE"""),"Anh ấy làm việc rất có nguyên tắc.")</f>
        <v>Anh ấy làm việc rất có nguyên tắc.</v>
      </c>
      <c r="K2206" s="13" t="str">
        <f ca="1">IFERROR(__xludf.DUMMYFUNCTION("""COMPUTED_VALUE"""),"H5_B23_BG-06.png")</f>
        <v>H5_B23_BG-06.png</v>
      </c>
      <c r="L2206" s="13" t="str">
        <f ca="1">IFERROR(__xludf.DUMMYFUNCTION("""COMPUTED_VALUE"""),"B23_6.mp3")</f>
        <v>B23_6.mp3</v>
      </c>
      <c r="M2206" s="13" t="str">
        <f ca="1">IFERROR(__xludf.DUMMYFUNCTION("""COMPUTED_VALUE"""),"B23_VD_6.mp3")</f>
        <v>B23_VD_6.mp3</v>
      </c>
    </row>
    <row r="2207" spans="1:13">
      <c r="A2207" s="13">
        <f ca="1">IFERROR(__xludf.DUMMYFUNCTION("""COMPUTED_VALUE"""),7)</f>
        <v>7</v>
      </c>
      <c r="B2207" s="13"/>
      <c r="C2207" s="13" t="str">
        <f ca="1">IFERROR(__xludf.DUMMYFUNCTION("""COMPUTED_VALUE"""),"基本")</f>
        <v>基本</v>
      </c>
      <c r="D2207" s="13" t="str">
        <f ca="1">IFERROR(__xludf.DUMMYFUNCTION("""COMPUTED_VALUE"""),"&lt;ruby&gt;基本&lt;rt&gt;jīběn&lt;/rt&gt;&lt;/ruby&gt;")</f>
        <v>&lt;ruby&gt;基本&lt;rt&gt;jīběn&lt;/rt&gt;&lt;/ruby&gt;</v>
      </c>
      <c r="E2207" s="13" t="str">
        <f ca="1">IFERROR(__xludf.DUMMYFUNCTION("""COMPUTED_VALUE"""),"jīběn")</f>
        <v>jīběn</v>
      </c>
      <c r="F2207" s="13" t="str">
        <f ca="1">IFERROR(__xludf.DUMMYFUNCTION("""COMPUTED_VALUE"""),"Phó từ")</f>
        <v>Phó từ</v>
      </c>
      <c r="G2207" s="13" t="str">
        <f ca="1">IFERROR(__xludf.DUMMYFUNCTION("""COMPUTED_VALUE"""),"về cơ bản")</f>
        <v>về cơ bản</v>
      </c>
      <c r="H2207" s="13" t="str">
        <f ca="1">IFERROR(__xludf.DUMMYFUNCTION("""COMPUTED_VALUE"""),"这份工作基本不需要出差，适合喜欢稳定的人。")</f>
        <v>这份工作基本不需要出差，适合喜欢稳定的人。</v>
      </c>
      <c r="I2207" s="13"/>
      <c r="J2207" s="13" t="str">
        <f ca="1">IFERROR(__xludf.DUMMYFUNCTION("""COMPUTED_VALUE"""),"Công việc này về cơ bản không cần đi công tác, phù hợp với những người thích sự ổn định.")</f>
        <v>Công việc này về cơ bản không cần đi công tác, phù hợp với những người thích sự ổn định.</v>
      </c>
      <c r="K2207" s="13" t="str">
        <f ca="1">IFERROR(__xludf.DUMMYFUNCTION("""COMPUTED_VALUE"""),"H5_B23_BG-07.png")</f>
        <v>H5_B23_BG-07.png</v>
      </c>
      <c r="L2207" s="13" t="str">
        <f ca="1">IFERROR(__xludf.DUMMYFUNCTION("""COMPUTED_VALUE"""),"B23_7.mp3")</f>
        <v>B23_7.mp3</v>
      </c>
      <c r="M2207" s="13" t="str">
        <f ca="1">IFERROR(__xludf.DUMMYFUNCTION("""COMPUTED_VALUE"""),"B23_VD_7.mp3")</f>
        <v>B23_VD_7.mp3</v>
      </c>
    </row>
    <row r="2208" spans="1:13">
      <c r="A2208" s="13">
        <f ca="1">IFERROR(__xludf.DUMMYFUNCTION("""COMPUTED_VALUE"""),8)</f>
        <v>8</v>
      </c>
      <c r="B2208" s="13"/>
      <c r="C2208" s="13" t="str">
        <f ca="1">IFERROR(__xludf.DUMMYFUNCTION("""COMPUTED_VALUE"""),"阶段")</f>
        <v>阶段</v>
      </c>
      <c r="D2208" s="13" t="str">
        <f ca="1">IFERROR(__xludf.DUMMYFUNCTION("""COMPUTED_VALUE"""),"&lt;ruby&gt;阶段&lt;rt&gt;jiēduàn&lt;/rt&gt;&lt;/ruby&gt;")</f>
        <v>&lt;ruby&gt;阶段&lt;rt&gt;jiēduàn&lt;/rt&gt;&lt;/ruby&gt;</v>
      </c>
      <c r="E2208" s="13" t="str">
        <f ca="1">IFERROR(__xludf.DUMMYFUNCTION("""COMPUTED_VALUE"""),"jiēduàn")</f>
        <v>jiēduàn</v>
      </c>
      <c r="F2208" s="13" t="str">
        <f ca="1">IFERROR(__xludf.DUMMYFUNCTION("""COMPUTED_VALUE"""),"Danh từ")</f>
        <v>Danh từ</v>
      </c>
      <c r="G2208" s="13" t="str">
        <f ca="1">IFERROR(__xludf.DUMMYFUNCTION("""COMPUTED_VALUE"""),"giai đoạn")</f>
        <v>giai đoạn</v>
      </c>
      <c r="H2208" s="13" t="str">
        <f ca="1">IFERROR(__xludf.DUMMYFUNCTION("""COMPUTED_VALUE"""),"儿童的身高发育有不同的阶段。")</f>
        <v>儿童的身高发育有不同的阶段。</v>
      </c>
      <c r="I2208" s="13"/>
      <c r="J2208" s="13" t="str">
        <f ca="1">IFERROR(__xludf.DUMMYFUNCTION("""COMPUTED_VALUE"""),"Sự phát triển chiều cao của trẻ em có các giai đoạn khác nhau.")</f>
        <v>Sự phát triển chiều cao của trẻ em có các giai đoạn khác nhau.</v>
      </c>
      <c r="K2208" s="13" t="str">
        <f ca="1">IFERROR(__xludf.DUMMYFUNCTION("""COMPUTED_VALUE"""),"H5_B23_BG-08.png")</f>
        <v>H5_B23_BG-08.png</v>
      </c>
      <c r="L2208" s="13" t="str">
        <f ca="1">IFERROR(__xludf.DUMMYFUNCTION("""COMPUTED_VALUE"""),"B23_8.mp3")</f>
        <v>B23_8.mp3</v>
      </c>
      <c r="M2208" s="13" t="str">
        <f ca="1">IFERROR(__xludf.DUMMYFUNCTION("""COMPUTED_VALUE"""),"B23_VD_8.mp3")</f>
        <v>B23_VD_8.mp3</v>
      </c>
    </row>
    <row r="2209" spans="1:13">
      <c r="A2209" s="13">
        <f ca="1">IFERROR(__xludf.DUMMYFUNCTION("""COMPUTED_VALUE"""),9)</f>
        <v>9</v>
      </c>
      <c r="B2209" s="13"/>
      <c r="C2209" s="13" t="str">
        <f ca="1">IFERROR(__xludf.DUMMYFUNCTION("""COMPUTED_VALUE"""),"录取")</f>
        <v>录取</v>
      </c>
      <c r="D2209" s="13" t="str">
        <f ca="1">IFERROR(__xludf.DUMMYFUNCTION("""COMPUTED_VALUE"""),"&lt;ruby&gt;录取&lt;rt&gt;lùqǔ&lt;/rt&gt;&lt;/ruby&gt;")</f>
        <v>&lt;ruby&gt;录取&lt;rt&gt;lùqǔ&lt;/rt&gt;&lt;/ruby&gt;</v>
      </c>
      <c r="E2209" s="13" t="str">
        <f ca="1">IFERROR(__xludf.DUMMYFUNCTION("""COMPUTED_VALUE"""),"lùqǔ")</f>
        <v>lùqǔ</v>
      </c>
      <c r="F2209" s="13" t="str">
        <f ca="1">IFERROR(__xludf.DUMMYFUNCTION("""COMPUTED_VALUE"""),"Động từ")</f>
        <v>Động từ</v>
      </c>
      <c r="G2209" s="13" t="str">
        <f ca="1">IFERROR(__xludf.DUMMYFUNCTION("""COMPUTED_VALUE"""),"tuyển chọn, nhận vào")</f>
        <v>tuyển chọn, nhận vào</v>
      </c>
      <c r="H2209" s="13" t="str">
        <f ca="1">IFERROR(__xludf.DUMMYFUNCTION("""COMPUTED_VALUE"""),"经过严格的面试，他最终被那家公司录取了。")</f>
        <v>经过严格的面试，他最终被那家公司录取了。</v>
      </c>
      <c r="I2209" s="13"/>
      <c r="J2209" s="13" t="str">
        <f ca="1">IFERROR(__xludf.DUMMYFUNCTION("""COMPUTED_VALUE"""),"Sau buổi phỏng vấn nghiêm ngặt, anh ấy cuối cùng đã được công ty đó nhận vào.")</f>
        <v>Sau buổi phỏng vấn nghiêm ngặt, anh ấy cuối cùng đã được công ty đó nhận vào.</v>
      </c>
      <c r="K2209" s="13" t="str">
        <f ca="1">IFERROR(__xludf.DUMMYFUNCTION("""COMPUTED_VALUE"""),"H5_B23_BG-09.png")</f>
        <v>H5_B23_BG-09.png</v>
      </c>
      <c r="L2209" s="13" t="str">
        <f ca="1">IFERROR(__xludf.DUMMYFUNCTION("""COMPUTED_VALUE"""),"B23_9.mp3")</f>
        <v>B23_9.mp3</v>
      </c>
      <c r="M2209" s="13" t="str">
        <f ca="1">IFERROR(__xludf.DUMMYFUNCTION("""COMPUTED_VALUE"""),"B23_VD_9.mp3")</f>
        <v>B23_VD_9.mp3</v>
      </c>
    </row>
    <row r="2210" spans="1:13">
      <c r="A2210" s="13">
        <f ca="1">IFERROR(__xludf.DUMMYFUNCTION("""COMPUTED_VALUE"""),10)</f>
        <v>10</v>
      </c>
      <c r="B2210" s="13"/>
      <c r="C2210" s="13" t="str">
        <f ca="1">IFERROR(__xludf.DUMMYFUNCTION("""COMPUTED_VALUE"""),"目标")</f>
        <v>目标</v>
      </c>
      <c r="D2210" s="13" t="str">
        <f ca="1">IFERROR(__xludf.DUMMYFUNCTION("""COMPUTED_VALUE"""),"&lt;ruby&gt;目标&lt;rt&gt;mùbiāo&lt;/rt&gt;&lt;/ruby&gt;")</f>
        <v>&lt;ruby&gt;目标&lt;rt&gt;mùbiāo&lt;/rt&gt;&lt;/ruby&gt;</v>
      </c>
      <c r="E2210" s="13" t="str">
        <f ca="1">IFERROR(__xludf.DUMMYFUNCTION("""COMPUTED_VALUE"""),"mùbiāo")</f>
        <v>mùbiāo</v>
      </c>
      <c r="F2210" s="13" t="str">
        <f ca="1">IFERROR(__xludf.DUMMYFUNCTION("""COMPUTED_VALUE"""),"Danh từ")</f>
        <v>Danh từ</v>
      </c>
      <c r="G2210" s="13" t="str">
        <f ca="1">IFERROR(__xludf.DUMMYFUNCTION("""COMPUTED_VALUE"""),"mục tiêu")</f>
        <v>mục tiêu</v>
      </c>
      <c r="H2210" s="13" t="str">
        <f ca="1">IFERROR(__xludf.DUMMYFUNCTION("""COMPUTED_VALUE"""),"她在这次比赛中完成了自己的目标。")</f>
        <v>她在这次比赛中完成了自己的目标。</v>
      </c>
      <c r="I2210" s="13"/>
      <c r="J2210" s="13" t="str">
        <f ca="1">IFERROR(__xludf.DUMMYFUNCTION("""COMPUTED_VALUE"""),"Cô ấy đã hoàn thành mục tiêu trong cuộc thi lần này.")</f>
        <v>Cô ấy đã hoàn thành mục tiêu trong cuộc thi lần này.</v>
      </c>
      <c r="K2210" s="13" t="str">
        <f ca="1">IFERROR(__xludf.DUMMYFUNCTION("""COMPUTED_VALUE"""),"H5_B23_BG-10.png")</f>
        <v>H5_B23_BG-10.png</v>
      </c>
      <c r="L2210" s="13" t="str">
        <f ca="1">IFERROR(__xludf.DUMMYFUNCTION("""COMPUTED_VALUE"""),"B23_10.mp3")</f>
        <v>B23_10.mp3</v>
      </c>
      <c r="M2210" s="13" t="str">
        <f ca="1">IFERROR(__xludf.DUMMYFUNCTION("""COMPUTED_VALUE"""),"B23_VD_10.mp3")</f>
        <v>B23_VD_10.mp3</v>
      </c>
    </row>
    <row r="2211" spans="1:13">
      <c r="A2211" s="13">
        <f ca="1">IFERROR(__xludf.DUMMYFUNCTION("""COMPUTED_VALUE"""),11)</f>
        <v>11</v>
      </c>
      <c r="B2211" s="13"/>
      <c r="C2211" s="13" t="str">
        <f ca="1">IFERROR(__xludf.DUMMYFUNCTION("""COMPUTED_VALUE"""),"系")</f>
        <v>系</v>
      </c>
      <c r="D2211" s="13" t="str">
        <f ca="1">IFERROR(__xludf.DUMMYFUNCTION("""COMPUTED_VALUE"""),"&lt;ruby&gt;系&lt;rt&gt;xì&lt;/rt&gt;&lt;/ruby&gt;")</f>
        <v>&lt;ruby&gt;系&lt;rt&gt;xì&lt;/rt&gt;&lt;/ruby&gt;</v>
      </c>
      <c r="E2211" s="13" t="str">
        <f ca="1">IFERROR(__xludf.DUMMYFUNCTION("""COMPUTED_VALUE"""),"xì")</f>
        <v>xì</v>
      </c>
      <c r="F2211" s="13" t="str">
        <f ca="1">IFERROR(__xludf.DUMMYFUNCTION("""COMPUTED_VALUE"""),"Danh từ")</f>
        <v>Danh từ</v>
      </c>
      <c r="G2211" s="13" t="str">
        <f ca="1">IFERROR(__xludf.DUMMYFUNCTION("""COMPUTED_VALUE"""),"khoa (của trường đại học)")</f>
        <v>khoa (của trường đại học)</v>
      </c>
      <c r="H2211" s="13" t="str">
        <f ca="1">IFERROR(__xludf.DUMMYFUNCTION("""COMPUTED_VALUE"""),"他学习的是系信息技术的课程。")</f>
        <v>他学习的是系信息技术的课程。</v>
      </c>
      <c r="I2211" s="13"/>
      <c r="J2211" s="13" t="str">
        <f ca="1">IFERROR(__xludf.DUMMYFUNCTION("""COMPUTED_VALUE"""),"Anh ấy đã học các môn thuộc khoa công nghệ thông tin.")</f>
        <v>Anh ấy đã học các môn thuộc khoa công nghệ thông tin.</v>
      </c>
      <c r="K2211" s="13" t="str">
        <f ca="1">IFERROR(__xludf.DUMMYFUNCTION("""COMPUTED_VALUE"""),"H5_B23_BG-11.png")</f>
        <v>H5_B23_BG-11.png</v>
      </c>
      <c r="L2211" s="13" t="str">
        <f ca="1">IFERROR(__xludf.DUMMYFUNCTION("""COMPUTED_VALUE"""),"B23_11.mp3")</f>
        <v>B23_11.mp3</v>
      </c>
      <c r="M2211" s="13" t="str">
        <f ca="1">IFERROR(__xludf.DUMMYFUNCTION("""COMPUTED_VALUE"""),"B23_VD_11.mp3")</f>
        <v>B23_VD_11.mp3</v>
      </c>
    </row>
    <row r="2212" spans="1:13">
      <c r="A2212" s="13">
        <f ca="1">IFERROR(__xludf.DUMMYFUNCTION("""COMPUTED_VALUE"""),12)</f>
        <v>12</v>
      </c>
      <c r="B2212" s="13"/>
      <c r="C2212" s="13" t="str">
        <f ca="1">IFERROR(__xludf.DUMMYFUNCTION("""COMPUTED_VALUE"""),"征求")</f>
        <v>征求</v>
      </c>
      <c r="D2212" s="13" t="str">
        <f ca="1">IFERROR(__xludf.DUMMYFUNCTION("""COMPUTED_VALUE"""),"&lt;ruby&gt;征求&lt;rt&gt;zhēngqiú&lt;/rt&gt;&lt;/ruby&gt;")</f>
        <v>&lt;ruby&gt;征求&lt;rt&gt;zhēngqiú&lt;/rt&gt;&lt;/ruby&gt;</v>
      </c>
      <c r="E2212" s="13" t="str">
        <f ca="1">IFERROR(__xludf.DUMMYFUNCTION("""COMPUTED_VALUE"""),"zhēngqiú")</f>
        <v>zhēngqiú</v>
      </c>
      <c r="F2212" s="13" t="str">
        <f ca="1">IFERROR(__xludf.DUMMYFUNCTION("""COMPUTED_VALUE"""),"Động từ")</f>
        <v>Động từ</v>
      </c>
      <c r="G2212" s="13" t="str">
        <f ca="1">IFERROR(__xludf.DUMMYFUNCTION("""COMPUTED_VALUE"""),"trưng cầu, xin")</f>
        <v>trưng cầu, xin</v>
      </c>
      <c r="H2212" s="13" t="str">
        <f ca="1">IFERROR(__xludf.DUMMYFUNCTION("""COMPUTED_VALUE"""),"在会议上，部门主管正在征求员工对新项目的意见，以改进工作流程。")</f>
        <v>在会议上，部门主管正在征求员工对新项目的意见，以改进工作流程。</v>
      </c>
      <c r="I2212" s="13"/>
      <c r="J2212" s="13" t="str">
        <f ca="1">IFERROR(__xludf.DUMMYFUNCTION("""COMPUTED_VALUE"""),"Trong buổi họp trưởng phòng đang trưng cầu ý kiến của nhân viên về dự án mới để cải thiện quy trình công việc.")</f>
        <v>Trong buổi họp trưởng phòng đang trưng cầu ý kiến của nhân viên về dự án mới để cải thiện quy trình công việc.</v>
      </c>
      <c r="K2212" s="13" t="str">
        <f ca="1">IFERROR(__xludf.DUMMYFUNCTION("""COMPUTED_VALUE"""),"H5_B23_BG-12.png")</f>
        <v>H5_B23_BG-12.png</v>
      </c>
      <c r="L2212" s="13" t="str">
        <f ca="1">IFERROR(__xludf.DUMMYFUNCTION("""COMPUTED_VALUE"""),"B23_12.mp3")</f>
        <v>B23_12.mp3</v>
      </c>
      <c r="M2212" s="13" t="str">
        <f ca="1">IFERROR(__xludf.DUMMYFUNCTION("""COMPUTED_VALUE"""),"B23_VD_12.mp3")</f>
        <v>B23_VD_12.mp3</v>
      </c>
    </row>
    <row r="2213" spans="1:13">
      <c r="A2213" s="13">
        <f ca="1">IFERROR(__xludf.DUMMYFUNCTION("""COMPUTED_VALUE"""),13)</f>
        <v>13</v>
      </c>
      <c r="B2213" s="13"/>
      <c r="C2213" s="13" t="str">
        <f ca="1">IFERROR(__xludf.DUMMYFUNCTION("""COMPUTED_VALUE"""),"担任")</f>
        <v>担任</v>
      </c>
      <c r="D2213" s="13" t="str">
        <f ca="1">IFERROR(__xludf.DUMMYFUNCTION("""COMPUTED_VALUE"""),"&lt;ruby&gt;担任&lt;rt&gt;dānrèn&lt;/rt&gt;&lt;/ruby&gt;")</f>
        <v>&lt;ruby&gt;担任&lt;rt&gt;dānrèn&lt;/rt&gt;&lt;/ruby&gt;</v>
      </c>
      <c r="E2213" s="13" t="str">
        <f ca="1">IFERROR(__xludf.DUMMYFUNCTION("""COMPUTED_VALUE"""),"dānrèn")</f>
        <v>dānrèn</v>
      </c>
      <c r="F2213" s="13" t="str">
        <f ca="1">IFERROR(__xludf.DUMMYFUNCTION("""COMPUTED_VALUE"""),"Động từ")</f>
        <v>Động từ</v>
      </c>
      <c r="G2213" s="13" t="str">
        <f ca="1">IFERROR(__xludf.DUMMYFUNCTION("""COMPUTED_VALUE"""),"đảm nhiệm, giữ chức")</f>
        <v>đảm nhiệm, giữ chức</v>
      </c>
      <c r="H2213" s="13" t="str">
        <f ca="1">IFERROR(__xludf.DUMMYFUNCTION("""COMPUTED_VALUE"""),"他担任公司项目经理，负责整个团队的工作。")</f>
        <v>他担任公司项目经理，负责整个团队的工作。</v>
      </c>
      <c r="I2213" s="13"/>
      <c r="J2213" s="13" t="str">
        <f ca="1">IFERROR(__xludf.DUMMYFUNCTION("""COMPUTED_VALUE"""),"Anh ấy đảm nhiệm chức vụ quản lý dự án của công ty, chịu trách nhiệm về công việc của toàn bộ nhóm.")</f>
        <v>Anh ấy đảm nhiệm chức vụ quản lý dự án của công ty, chịu trách nhiệm về công việc của toàn bộ nhóm.</v>
      </c>
      <c r="K2213" s="13" t="str">
        <f ca="1">IFERROR(__xludf.DUMMYFUNCTION("""COMPUTED_VALUE"""),"H5_B23_BG-13.png")</f>
        <v>H5_B23_BG-13.png</v>
      </c>
      <c r="L2213" s="13" t="str">
        <f ca="1">IFERROR(__xludf.DUMMYFUNCTION("""COMPUTED_VALUE"""),"B23_13.mp3")</f>
        <v>B23_13.mp3</v>
      </c>
      <c r="M2213" s="13" t="str">
        <f ca="1">IFERROR(__xludf.DUMMYFUNCTION("""COMPUTED_VALUE"""),"B23_VD_13.mp3")</f>
        <v>B23_VD_13.mp3</v>
      </c>
    </row>
    <row r="2214" spans="1:13">
      <c r="A2214" s="13">
        <f ca="1">IFERROR(__xludf.DUMMYFUNCTION("""COMPUTED_VALUE"""),14)</f>
        <v>14</v>
      </c>
      <c r="B2214" s="13"/>
      <c r="C2214" s="13" t="str">
        <f ca="1">IFERROR(__xludf.DUMMYFUNCTION("""COMPUTED_VALUE"""),"出席")</f>
        <v>出席</v>
      </c>
      <c r="D2214" s="13" t="str">
        <f ca="1">IFERROR(__xludf.DUMMYFUNCTION("""COMPUTED_VALUE"""),"&lt;ruby&gt;出席&lt;rt&gt;chūxí&lt;/rt&gt;&lt;/ruby&gt;")</f>
        <v>&lt;ruby&gt;出席&lt;rt&gt;chūxí&lt;/rt&gt;&lt;/ruby&gt;</v>
      </c>
      <c r="E2214" s="13" t="str">
        <f ca="1">IFERROR(__xludf.DUMMYFUNCTION("""COMPUTED_VALUE"""),"chūxí")</f>
        <v>chūxí</v>
      </c>
      <c r="F2214" s="13" t="str">
        <f ca="1">IFERROR(__xludf.DUMMYFUNCTION("""COMPUTED_VALUE"""),"Động từ")</f>
        <v>Động từ</v>
      </c>
      <c r="G2214" s="13" t="str">
        <f ca="1">IFERROR(__xludf.DUMMYFUNCTION("""COMPUTED_VALUE"""),"có mặt, hiện diện")</f>
        <v>có mặt, hiện diện</v>
      </c>
      <c r="H2214" s="13" t="str">
        <f ca="1">IFERROR(__xludf.DUMMYFUNCTION("""COMPUTED_VALUE"""),"她出席了今天的活动。")</f>
        <v>她出席了今天的活动。</v>
      </c>
      <c r="I2214" s="13"/>
      <c r="J2214" s="13" t="str">
        <f ca="1">IFERROR(__xludf.DUMMYFUNCTION("""COMPUTED_VALUE"""),"Cô ấy tham dự sự kiện hôm nay.")</f>
        <v>Cô ấy tham dự sự kiện hôm nay.</v>
      </c>
      <c r="K2214" s="13" t="str">
        <f ca="1">IFERROR(__xludf.DUMMYFUNCTION("""COMPUTED_VALUE"""),"H5_B23_BG-14.png")</f>
        <v>H5_B23_BG-14.png</v>
      </c>
      <c r="L2214" s="13" t="str">
        <f ca="1">IFERROR(__xludf.DUMMYFUNCTION("""COMPUTED_VALUE"""),"B23_14.mp3")</f>
        <v>B23_14.mp3</v>
      </c>
      <c r="M2214" s="13" t="str">
        <f ca="1">IFERROR(__xludf.DUMMYFUNCTION("""COMPUTED_VALUE"""),"B23_VD_14.mp3")</f>
        <v>B23_VD_14.mp3</v>
      </c>
    </row>
    <row r="2215" spans="1:13">
      <c r="A2215" s="13">
        <f ca="1">IFERROR(__xludf.DUMMYFUNCTION("""COMPUTED_VALUE"""),15)</f>
        <v>15</v>
      </c>
      <c r="B2215" s="13"/>
      <c r="C2215" s="13" t="str">
        <f ca="1">IFERROR(__xludf.DUMMYFUNCTION("""COMPUTED_VALUE"""),"主席")</f>
        <v>主席</v>
      </c>
      <c r="D2215" s="13" t="str">
        <f ca="1">IFERROR(__xludf.DUMMYFUNCTION("""COMPUTED_VALUE"""),"&lt;ruby&gt;主席&lt;rt&gt;zhǔxí&lt;/rt&gt;&lt;/ruby&gt;")</f>
        <v>&lt;ruby&gt;主席&lt;rt&gt;zhǔxí&lt;/rt&gt;&lt;/ruby&gt;</v>
      </c>
      <c r="E2215" s="13" t="str">
        <f ca="1">IFERROR(__xludf.DUMMYFUNCTION("""COMPUTED_VALUE"""),"zhǔxí")</f>
        <v>zhǔxí</v>
      </c>
      <c r="F2215" s="13" t="str">
        <f ca="1">IFERROR(__xludf.DUMMYFUNCTION("""COMPUTED_VALUE"""),"Danh từ")</f>
        <v>Danh từ</v>
      </c>
      <c r="G2215" s="13" t="str">
        <f ca="1">IFERROR(__xludf.DUMMYFUNCTION("""COMPUTED_VALUE"""),"chủ tịch")</f>
        <v>chủ tịch</v>
      </c>
      <c r="H2215" s="13" t="str">
        <f ca="1">IFERROR(__xludf.DUMMYFUNCTION("""COMPUTED_VALUE"""),"会议的主席在开幕式上宣布了重要决定。")</f>
        <v>会议的主席在开幕式上宣布了重要决定。</v>
      </c>
      <c r="I2215" s="13"/>
      <c r="J2215" s="13" t="str">
        <f ca="1">IFERROR(__xludf.DUMMYFUNCTION("""COMPUTED_VALUE"""),"Chủ tịch của hội nghị đã công bố những quyết định quan trọng tại lễ khai mạc.")</f>
        <v>Chủ tịch của hội nghị đã công bố những quyết định quan trọng tại lễ khai mạc.</v>
      </c>
      <c r="K2215" s="13" t="str">
        <f ca="1">IFERROR(__xludf.DUMMYFUNCTION("""COMPUTED_VALUE"""),"H5_B23_BG-15.png")</f>
        <v>H5_B23_BG-15.png</v>
      </c>
      <c r="L2215" s="13" t="str">
        <f ca="1">IFERROR(__xludf.DUMMYFUNCTION("""COMPUTED_VALUE"""),"B23_15.mp3")</f>
        <v>B23_15.mp3</v>
      </c>
      <c r="M2215" s="13" t="str">
        <f ca="1">IFERROR(__xludf.DUMMYFUNCTION("""COMPUTED_VALUE"""),"B23_VD_15.mp3")</f>
        <v>B23_VD_15.mp3</v>
      </c>
    </row>
    <row r="2216" spans="1:13">
      <c r="A2216" s="13">
        <f ca="1">IFERROR(__xludf.DUMMYFUNCTION("""COMPUTED_VALUE"""),16)</f>
        <v>16</v>
      </c>
      <c r="B2216" s="13"/>
      <c r="C2216" s="13" t="str">
        <f ca="1">IFERROR(__xludf.DUMMYFUNCTION("""COMPUTED_VALUE"""),"组织")</f>
        <v>组织</v>
      </c>
      <c r="D2216" s="13" t="str">
        <f ca="1">IFERROR(__xludf.DUMMYFUNCTION("""COMPUTED_VALUE"""),"&lt;ruby&gt;组织&lt;rt&gt;zǔzhī&lt;/rt&gt;&lt;/ruby&gt;")</f>
        <v>&lt;ruby&gt;组织&lt;rt&gt;zǔzhī&lt;/rt&gt;&lt;/ruby&gt;</v>
      </c>
      <c r="E2216" s="13" t="str">
        <f ca="1">IFERROR(__xludf.DUMMYFUNCTION("""COMPUTED_VALUE"""),"zǔzhī")</f>
        <v>zǔzhī</v>
      </c>
      <c r="F2216" s="13" t="str">
        <f ca="1">IFERROR(__xludf.DUMMYFUNCTION("""COMPUTED_VALUE"""),"Động từ")</f>
        <v>Động từ</v>
      </c>
      <c r="G2216" s="13" t="str">
        <f ca="1">IFERROR(__xludf.DUMMYFUNCTION("""COMPUTED_VALUE"""),"tổ chức")</f>
        <v>tổ chức</v>
      </c>
      <c r="H2216" s="13" t="str">
        <f ca="1">IFERROR(__xludf.DUMMYFUNCTION("""COMPUTED_VALUE"""),"他成功组织了一场大型音乐会，吸引了成千上万的人参加。")</f>
        <v>他成功组织了一场大型音乐会，吸引了成千上万的人参加。</v>
      </c>
      <c r="I2216" s="13"/>
      <c r="J2216" s="13" t="str">
        <f ca="1">IFERROR(__xludf.DUMMYFUNCTION("""COMPUTED_VALUE"""),"Anh ấy đã tổ chức thành công một buổi hòa nhạc lớn, thu hút hàng nghìn người tham gia.")</f>
        <v>Anh ấy đã tổ chức thành công một buổi hòa nhạc lớn, thu hút hàng nghìn người tham gia.</v>
      </c>
      <c r="K2216" s="13" t="str">
        <f ca="1">IFERROR(__xludf.DUMMYFUNCTION("""COMPUTED_VALUE"""),"H5_B23_BG-16.png")</f>
        <v>H5_B23_BG-16.png</v>
      </c>
      <c r="L2216" s="13" t="str">
        <f ca="1">IFERROR(__xludf.DUMMYFUNCTION("""COMPUTED_VALUE"""),"B23_16.mp3")</f>
        <v>B23_16.mp3</v>
      </c>
      <c r="M2216" s="13" t="str">
        <f ca="1">IFERROR(__xludf.DUMMYFUNCTION("""COMPUTED_VALUE"""),"B23_VD_16.mp3")</f>
        <v>B23_VD_16.mp3</v>
      </c>
    </row>
    <row r="2217" spans="1:13">
      <c r="A2217" s="13">
        <f ca="1">IFERROR(__xludf.DUMMYFUNCTION("""COMPUTED_VALUE"""),17)</f>
        <v>17</v>
      </c>
      <c r="B2217" s="13"/>
      <c r="C2217" s="13" t="str">
        <f ca="1">IFERROR(__xludf.DUMMYFUNCTION("""COMPUTED_VALUE"""),"外交")</f>
        <v>外交</v>
      </c>
      <c r="D2217" s="13" t="str">
        <f ca="1">IFERROR(__xludf.DUMMYFUNCTION("""COMPUTED_VALUE"""),"&lt;ruby&gt;外交&lt;rt&gt;wàijiāo&lt;/rt&gt;&lt;/ruby&gt;")</f>
        <v>&lt;ruby&gt;外交&lt;rt&gt;wàijiāo&lt;/rt&gt;&lt;/ruby&gt;</v>
      </c>
      <c r="E2217" s="13" t="str">
        <f ca="1">IFERROR(__xludf.DUMMYFUNCTION("""COMPUTED_VALUE"""),"wàijiāo")</f>
        <v>wàijiāo</v>
      </c>
      <c r="F2217" s="13" t="str">
        <f ca="1">IFERROR(__xludf.DUMMYFUNCTION("""COMPUTED_VALUE"""),"Danh từ")</f>
        <v>Danh từ</v>
      </c>
      <c r="G2217" s="13" t="str">
        <f ca="1">IFERROR(__xludf.DUMMYFUNCTION("""COMPUTED_VALUE"""),"ngoại giao")</f>
        <v>ngoại giao</v>
      </c>
      <c r="H2217" s="13" t="str">
        <f ca="1">IFERROR(__xludf.DUMMYFUNCTION("""COMPUTED_VALUE"""),"外交关系的改善将促进两国之间的经济合作。")</f>
        <v>外交关系的改善将促进两国之间的经济合作。</v>
      </c>
      <c r="I2217" s="13"/>
      <c r="J2217" s="13" t="str">
        <f ca="1">IFERROR(__xludf.DUMMYFUNCTION("""COMPUTED_VALUE"""),"Mối quan hệ ngoại giao được cải thiện sẽ giúp thúc đẩy hợp tác kinh tế giữa hai quốc gia.")</f>
        <v>Mối quan hệ ngoại giao được cải thiện sẽ giúp thúc đẩy hợp tác kinh tế giữa hai quốc gia.</v>
      </c>
      <c r="K2217" s="13" t="str">
        <f ca="1">IFERROR(__xludf.DUMMYFUNCTION("""COMPUTED_VALUE"""),"H5_B23_BG-17.png")</f>
        <v>H5_B23_BG-17.png</v>
      </c>
      <c r="L2217" s="13" t="str">
        <f ca="1">IFERROR(__xludf.DUMMYFUNCTION("""COMPUTED_VALUE"""),"B23_17.mp3")</f>
        <v>B23_17.mp3</v>
      </c>
      <c r="M2217" s="13" t="str">
        <f ca="1">IFERROR(__xludf.DUMMYFUNCTION("""COMPUTED_VALUE"""),"B23_VD_17.mp3")</f>
        <v>B23_VD_17.mp3</v>
      </c>
    </row>
    <row r="2218" spans="1:13">
      <c r="A2218" s="13">
        <f ca="1">IFERROR(__xludf.DUMMYFUNCTION("""COMPUTED_VALUE"""),18)</f>
        <v>18</v>
      </c>
      <c r="B2218" s="13"/>
      <c r="C2218" s="13" t="str">
        <f ca="1">IFERROR(__xludf.DUMMYFUNCTION("""COMPUTED_VALUE"""),"经商")</f>
        <v>经商</v>
      </c>
      <c r="D2218" s="13" t="str">
        <f ca="1">IFERROR(__xludf.DUMMYFUNCTION("""COMPUTED_VALUE"""),"&lt;ruby&gt;经商&lt;rt&gt;jīng shāng&lt;/rt&gt;&lt;/ruby&gt;")</f>
        <v>&lt;ruby&gt;经商&lt;rt&gt;jīng shāng&lt;/rt&gt;&lt;/ruby&gt;</v>
      </c>
      <c r="E2218" s="13" t="str">
        <f ca="1">IFERROR(__xludf.DUMMYFUNCTION("""COMPUTED_VALUE"""),"jīng shāng")</f>
        <v>jīng shāng</v>
      </c>
      <c r="F2218" s="13" t="str">
        <f ca="1">IFERROR(__xludf.DUMMYFUNCTION("""COMPUTED_VALUE"""),"Động từ")</f>
        <v>Động từ</v>
      </c>
      <c r="G2218" s="13" t="str">
        <f ca="1">IFERROR(__xludf.DUMMYFUNCTION("""COMPUTED_VALUE"""),"kinh doanh")</f>
        <v>kinh doanh</v>
      </c>
      <c r="H2218" s="13" t="str">
        <f ca="1">IFERROR(__xludf.DUMMYFUNCTION("""COMPUTED_VALUE"""),"经商需要聪明的策略和吸引人的促销活动。")</f>
        <v>经商需要聪明的策略和吸引人的促销活动。</v>
      </c>
      <c r="I2218" s="13"/>
      <c r="J2218" s="13" t="str">
        <f ca="1">IFERROR(__xludf.DUMMYFUNCTION("""COMPUTED_VALUE"""),"Kinh doanh cần có chiến lược thông minh và các chương trình khuyến mãi hấp dẫn.")</f>
        <v>Kinh doanh cần có chiến lược thông minh và các chương trình khuyến mãi hấp dẫn.</v>
      </c>
      <c r="K2218" s="13" t="str">
        <f ca="1">IFERROR(__xludf.DUMMYFUNCTION("""COMPUTED_VALUE"""),"H5_B23_BG-18.png")</f>
        <v>H5_B23_BG-18.png</v>
      </c>
      <c r="L2218" s="13" t="str">
        <f ca="1">IFERROR(__xludf.DUMMYFUNCTION("""COMPUTED_VALUE"""),"B23_18.mp3")</f>
        <v>B23_18.mp3</v>
      </c>
      <c r="M2218" s="13" t="str">
        <f ca="1">IFERROR(__xludf.DUMMYFUNCTION("""COMPUTED_VALUE"""),"B23_VD_18.mp3")</f>
        <v>B23_VD_18.mp3</v>
      </c>
    </row>
    <row r="2219" spans="1:13">
      <c r="A2219" s="13">
        <f ca="1">IFERROR(__xludf.DUMMYFUNCTION("""COMPUTED_VALUE"""),19)</f>
        <v>19</v>
      </c>
      <c r="B2219" s="13"/>
      <c r="C2219" s="13" t="str">
        <f ca="1">IFERROR(__xludf.DUMMYFUNCTION("""COMPUTED_VALUE"""),"讲座")</f>
        <v>讲座</v>
      </c>
      <c r="D2219" s="13" t="str">
        <f ca="1">IFERROR(__xludf.DUMMYFUNCTION("""COMPUTED_VALUE"""),"&lt;ruby&gt;讲座&lt;rt&gt;jiǎngzuò&lt;/rt&gt;&lt;/ruby&gt;")</f>
        <v>&lt;ruby&gt;讲座&lt;rt&gt;jiǎngzuò&lt;/rt&gt;&lt;/ruby&gt;</v>
      </c>
      <c r="E2219" s="13" t="str">
        <f ca="1">IFERROR(__xludf.DUMMYFUNCTION("""COMPUTED_VALUE"""),"jiǎngzuò")</f>
        <v>jiǎngzuò</v>
      </c>
      <c r="F2219" s="13" t="str">
        <f ca="1">IFERROR(__xludf.DUMMYFUNCTION("""COMPUTED_VALUE"""),"Danh từ")</f>
        <v>Danh từ</v>
      </c>
      <c r="G2219" s="13" t="str">
        <f ca="1">IFERROR(__xludf.DUMMYFUNCTION("""COMPUTED_VALUE"""),"bài thuyết trình")</f>
        <v>bài thuyết trình</v>
      </c>
      <c r="H2219" s="13" t="str">
        <f ca="1">IFERROR(__xludf.DUMMYFUNCTION("""COMPUTED_VALUE"""),"我熬夜准备了这个讲座。")</f>
        <v>我熬夜准备了这个讲座。</v>
      </c>
      <c r="I2219" s="13"/>
      <c r="J2219" s="13" t="str">
        <f ca="1">IFERROR(__xludf.DUMMYFUNCTION("""COMPUTED_VALUE"""),"Tôi đã thức cả đêm để làm bài thuyết trình này.")</f>
        <v>Tôi đã thức cả đêm để làm bài thuyết trình này.</v>
      </c>
      <c r="K2219" s="13" t="str">
        <f ca="1">IFERROR(__xludf.DUMMYFUNCTION("""COMPUTED_VALUE"""),"H5_B23_BG-19.png")</f>
        <v>H5_B23_BG-19.png</v>
      </c>
      <c r="L2219" s="13" t="str">
        <f ca="1">IFERROR(__xludf.DUMMYFUNCTION("""COMPUTED_VALUE"""),"B23_19.mp3")</f>
        <v>B23_19.mp3</v>
      </c>
      <c r="M2219" s="13" t="str">
        <f ca="1">IFERROR(__xludf.DUMMYFUNCTION("""COMPUTED_VALUE"""),"B23_VD_19.mp3")</f>
        <v>B23_VD_19.mp3</v>
      </c>
    </row>
    <row r="2220" spans="1:13">
      <c r="A2220" s="13">
        <f ca="1">IFERROR(__xludf.DUMMYFUNCTION("""COMPUTED_VALUE"""),20)</f>
        <v>20</v>
      </c>
      <c r="B2220" s="13"/>
      <c r="C2220" s="13" t="str">
        <f ca="1">IFERROR(__xludf.DUMMYFUNCTION("""COMPUTED_VALUE"""),"名牌")</f>
        <v>名牌</v>
      </c>
      <c r="D2220" s="13" t="str">
        <f ca="1">IFERROR(__xludf.DUMMYFUNCTION("""COMPUTED_VALUE"""),"&lt;ruby&gt;名牌&lt;rt&gt;míngpái&lt;/rt&gt;&lt;/ruby&gt;")</f>
        <v>&lt;ruby&gt;名牌&lt;rt&gt;míngpái&lt;/rt&gt;&lt;/ruby&gt;</v>
      </c>
      <c r="E2220" s="13" t="str">
        <f ca="1">IFERROR(__xludf.DUMMYFUNCTION("""COMPUTED_VALUE"""),"míngpái")</f>
        <v>míngpái</v>
      </c>
      <c r="F2220" s="13" t="str">
        <f ca="1">IFERROR(__xludf.DUMMYFUNCTION("""COMPUTED_VALUE"""),"Danh từ")</f>
        <v>Danh từ</v>
      </c>
      <c r="G2220" s="13" t="str">
        <f ca="1">IFERROR(__xludf.DUMMYFUNCTION("""COMPUTED_VALUE"""),"nhãn hiệu nổi tiếng")</f>
        <v>nhãn hiệu nổi tiếng</v>
      </c>
      <c r="H2220" s="13" t="str">
        <f ca="1">IFERROR(__xludf.DUMMYFUNCTION("""COMPUTED_VALUE"""),"这个包是美国的名牌。")</f>
        <v>这个包是美国的名牌。</v>
      </c>
      <c r="I2220" s="13"/>
      <c r="J2220" s="13" t="str">
        <f ca="1">IFERROR(__xludf.DUMMYFUNCTION("""COMPUTED_VALUE"""),"Chiếc túi này là nhãn hiệu nổi tiếng của Mỹ.")</f>
        <v>Chiếc túi này là nhãn hiệu nổi tiếng của Mỹ.</v>
      </c>
      <c r="K2220" s="13" t="str">
        <f ca="1">IFERROR(__xludf.DUMMYFUNCTION("""COMPUTED_VALUE"""),"H5_B23_BG-20.png")</f>
        <v>H5_B23_BG-20.png</v>
      </c>
      <c r="L2220" s="13" t="str">
        <f ca="1">IFERROR(__xludf.DUMMYFUNCTION("""COMPUTED_VALUE"""),"B23_20.mp3")</f>
        <v>B23_20.mp3</v>
      </c>
      <c r="M2220" s="13" t="str">
        <f ca="1">IFERROR(__xludf.DUMMYFUNCTION("""COMPUTED_VALUE"""),"B23_VD_20.mp3")</f>
        <v>B23_VD_20.mp3</v>
      </c>
    </row>
    <row r="2221" spans="1:13">
      <c r="A2221" s="13">
        <f ca="1">IFERROR(__xludf.DUMMYFUNCTION("""COMPUTED_VALUE"""),21)</f>
        <v>21</v>
      </c>
      <c r="B2221" s="13"/>
      <c r="C2221" s="13" t="str">
        <f ca="1">IFERROR(__xludf.DUMMYFUNCTION("""COMPUTED_VALUE"""),"一致")</f>
        <v>一致</v>
      </c>
      <c r="D2221" s="13" t="str">
        <f ca="1">IFERROR(__xludf.DUMMYFUNCTION("""COMPUTED_VALUE"""),"&lt;ruby&gt;一致&lt;rt&gt;yízhì&lt;/rt&gt;&lt;/ruby&gt;")</f>
        <v>&lt;ruby&gt;一致&lt;rt&gt;yízhì&lt;/rt&gt;&lt;/ruby&gt;</v>
      </c>
      <c r="E2221" s="13" t="str">
        <f ca="1">IFERROR(__xludf.DUMMYFUNCTION("""COMPUTED_VALUE"""),"yízhì")</f>
        <v>yízhì</v>
      </c>
      <c r="F2221" s="13" t="str">
        <f ca="1">IFERROR(__xludf.DUMMYFUNCTION("""COMPUTED_VALUE"""),"Tính từ")</f>
        <v>Tính từ</v>
      </c>
      <c r="G2221" s="13" t="str">
        <f ca="1">IFERROR(__xludf.DUMMYFUNCTION("""COMPUTED_VALUE"""),"nhất trí, giống nhau")</f>
        <v>nhất trí, giống nhau</v>
      </c>
      <c r="H2221" s="13" t="str">
        <f ca="1">IFERROR(__xludf.DUMMYFUNCTION("""COMPUTED_VALUE"""),"他们对这个问题的看法完全一致，都表示反对。")</f>
        <v>他们对这个问题的看法完全一致，都表示反对。</v>
      </c>
      <c r="I2221" s="13"/>
      <c r="J2221" s="13" t="str">
        <f ca="1">IFERROR(__xludf.DUMMYFUNCTION("""COMPUTED_VALUE"""),"Quan điểm của họ về vấn đề này hoàn toàn giống nhau, họ đều phản đối vấn đề này.")</f>
        <v>Quan điểm của họ về vấn đề này hoàn toàn giống nhau, họ đều phản đối vấn đề này.</v>
      </c>
      <c r="K2221" s="13" t="str">
        <f ca="1">IFERROR(__xludf.DUMMYFUNCTION("""COMPUTED_VALUE"""),"H5_B23_BG-21.png")</f>
        <v>H5_B23_BG-21.png</v>
      </c>
      <c r="L2221" s="13" t="str">
        <f ca="1">IFERROR(__xludf.DUMMYFUNCTION("""COMPUTED_VALUE"""),"B23_21.mp3")</f>
        <v>B23_21.mp3</v>
      </c>
      <c r="M2221" s="13" t="str">
        <f ca="1">IFERROR(__xludf.DUMMYFUNCTION("""COMPUTED_VALUE"""),"B23_VD_21.mp3")</f>
        <v>B23_VD_21.mp3</v>
      </c>
    </row>
    <row r="2222" spans="1:13">
      <c r="A2222" s="13">
        <f ca="1">IFERROR(__xludf.DUMMYFUNCTION("""COMPUTED_VALUE"""),22)</f>
        <v>22</v>
      </c>
      <c r="B2222" s="13"/>
      <c r="C2222" s="13" t="str">
        <f ca="1">IFERROR(__xludf.DUMMYFUNCTION("""COMPUTED_VALUE"""),"让步")</f>
        <v>让步</v>
      </c>
      <c r="D2222" s="13" t="str">
        <f ca="1">IFERROR(__xludf.DUMMYFUNCTION("""COMPUTED_VALUE"""),"&lt;ruby&gt;让步&lt;rt&gt;ràngbù&lt;/rt&gt;&lt;/ruby&gt;")</f>
        <v>&lt;ruby&gt;让步&lt;rt&gt;ràngbù&lt;/rt&gt;&lt;/ruby&gt;</v>
      </c>
      <c r="E2222" s="13" t="str">
        <f ca="1">IFERROR(__xludf.DUMMYFUNCTION("""COMPUTED_VALUE"""),"ràngbù")</f>
        <v>ràngbù</v>
      </c>
      <c r="F2222" s="13" t="str">
        <f ca="1">IFERROR(__xludf.DUMMYFUNCTION("""COMPUTED_VALUE"""),"Động từ")</f>
        <v>Động từ</v>
      </c>
      <c r="G2222" s="13" t="str">
        <f ca="1">IFERROR(__xludf.DUMMYFUNCTION("""COMPUTED_VALUE"""),"nhượng bộ, nhường bước")</f>
        <v>nhượng bộ, nhường bước</v>
      </c>
      <c r="H2222" s="13" t="str">
        <f ca="1">IFERROR(__xludf.DUMMYFUNCTION("""COMPUTED_VALUE"""),"为了避免争吵，他决定在小事上让步。")</f>
        <v>为了避免争吵，他决定在小事上让步。</v>
      </c>
      <c r="I2222" s="13"/>
      <c r="J2222" s="13" t="str">
        <f ca="1">IFERROR(__xludf.DUMMYFUNCTION("""COMPUTED_VALUE"""),"Để tránh cãi vã, anh ấy quyết định nhượng bộ trong những chuyện nhỏ.")</f>
        <v>Để tránh cãi vã, anh ấy quyết định nhượng bộ trong những chuyện nhỏ.</v>
      </c>
      <c r="K2222" s="13" t="str">
        <f ca="1">IFERROR(__xludf.DUMMYFUNCTION("""COMPUTED_VALUE"""),"H5_B23_BG-22.png")</f>
        <v>H5_B23_BG-22.png</v>
      </c>
      <c r="L2222" s="13" t="str">
        <f ca="1">IFERROR(__xludf.DUMMYFUNCTION("""COMPUTED_VALUE"""),"B23_22.mp3")</f>
        <v>B23_22.mp3</v>
      </c>
      <c r="M2222" s="13" t="str">
        <f ca="1">IFERROR(__xludf.DUMMYFUNCTION("""COMPUTED_VALUE"""),"B23_VD_22.mp3")</f>
        <v>B23_VD_22.mp3</v>
      </c>
    </row>
    <row r="2223" spans="1:13">
      <c r="A2223" s="13">
        <f ca="1">IFERROR(__xludf.DUMMYFUNCTION("""COMPUTED_VALUE"""),23)</f>
        <v>23</v>
      </c>
      <c r="B2223" s="13"/>
      <c r="C2223" s="13" t="str">
        <f ca="1">IFERROR(__xludf.DUMMYFUNCTION("""COMPUTED_VALUE"""),"沟通")</f>
        <v>沟通</v>
      </c>
      <c r="D2223" s="13" t="str">
        <f ca="1">IFERROR(__xludf.DUMMYFUNCTION("""COMPUTED_VALUE"""),"&lt;ruby&gt;沟通&lt;rt&gt;gōutōng&lt;/rt&gt;&lt;/ruby&gt;")</f>
        <v>&lt;ruby&gt;沟通&lt;rt&gt;gōutōng&lt;/rt&gt;&lt;/ruby&gt;</v>
      </c>
      <c r="E2223" s="13" t="str">
        <f ca="1">IFERROR(__xludf.DUMMYFUNCTION("""COMPUTED_VALUE"""),"gōutōng")</f>
        <v>gōutōng</v>
      </c>
      <c r="F2223" s="13" t="str">
        <f ca="1">IFERROR(__xludf.DUMMYFUNCTION("""COMPUTED_VALUE"""),"Động từ")</f>
        <v>Động từ</v>
      </c>
      <c r="G2223" s="13" t="str">
        <f ca="1">IFERROR(__xludf.DUMMYFUNCTION("""COMPUTED_VALUE"""),"giao tiếp, liên lạc")</f>
        <v>giao tiếp, liên lạc</v>
      </c>
      <c r="H2223" s="13" t="str">
        <f ca="1">IFERROR(__xludf.DUMMYFUNCTION("""COMPUTED_VALUE"""),"在家庭中，父母和孩子之间的沟通非常重要，有助于孩子更好地成长。")</f>
        <v>在家庭中，父母和孩子之间的沟通非常重要，有助于孩子更好地成长。</v>
      </c>
      <c r="I2223" s="13"/>
      <c r="J2223" s="13" t="str">
        <f ca="1">IFERROR(__xludf.DUMMYFUNCTION("""COMPUTED_VALUE"""),"Trong gia đình, giao tiếp giữa cha mẹ và con cái rất quan trọng, có thể giúp trẻ phát triển tốt hơn.")</f>
        <v>Trong gia đình, giao tiếp giữa cha mẹ và con cái rất quan trọng, có thể giúp trẻ phát triển tốt hơn.</v>
      </c>
      <c r="K2223" s="13" t="str">
        <f ca="1">IFERROR(__xludf.DUMMYFUNCTION("""COMPUTED_VALUE"""),"H5_B23_BG-23.png")</f>
        <v>H5_B23_BG-23.png</v>
      </c>
      <c r="L2223" s="13" t="str">
        <f ca="1">IFERROR(__xludf.DUMMYFUNCTION("""COMPUTED_VALUE"""),"B23_23.mp3")</f>
        <v>B23_23.mp3</v>
      </c>
      <c r="M2223" s="13" t="str">
        <f ca="1">IFERROR(__xludf.DUMMYFUNCTION("""COMPUTED_VALUE"""),"B23_VD_23.mp3")</f>
        <v>B23_VD_23.mp3</v>
      </c>
    </row>
    <row r="2224" spans="1:13">
      <c r="A2224" s="13">
        <f ca="1">IFERROR(__xludf.DUMMYFUNCTION("""COMPUTED_VALUE"""),24)</f>
        <v>24</v>
      </c>
      <c r="B2224" s="13"/>
      <c r="C2224" s="13" t="str">
        <f ca="1">IFERROR(__xludf.DUMMYFUNCTION("""COMPUTED_VALUE"""),"念")</f>
        <v>念</v>
      </c>
      <c r="D2224" s="13" t="str">
        <f ca="1">IFERROR(__xludf.DUMMYFUNCTION("""COMPUTED_VALUE"""),"&lt;ruby&gt;念&lt;rt&gt;niàn&lt;/rt&gt;&lt;/ruby&gt;")</f>
        <v>&lt;ruby&gt;念&lt;rt&gt;niàn&lt;/rt&gt;&lt;/ruby&gt;</v>
      </c>
      <c r="E2224" s="13" t="str">
        <f ca="1">IFERROR(__xludf.DUMMYFUNCTION("""COMPUTED_VALUE"""),"niàn")</f>
        <v>niàn</v>
      </c>
      <c r="F2224" s="13" t="str">
        <f ca="1">IFERROR(__xludf.DUMMYFUNCTION("""COMPUTED_VALUE"""),"Động từ")</f>
        <v>Động từ</v>
      </c>
      <c r="G2224" s="13" t="str">
        <f ca="1">IFERROR(__xludf.DUMMYFUNCTION("""COMPUTED_VALUE"""),"học")</f>
        <v>học</v>
      </c>
      <c r="H2224" s="13" t="str">
        <f ca="1">IFERROR(__xludf.DUMMYFUNCTION("""COMPUTED_VALUE"""),"他以前念过高中。")</f>
        <v>他以前念过高中。</v>
      </c>
      <c r="I2224" s="13"/>
      <c r="J2224" s="13" t="str">
        <f ca="1">IFERROR(__xludf.DUMMYFUNCTION("""COMPUTED_VALUE"""),"Anh ấy đã từng học trung học.")</f>
        <v>Anh ấy đã từng học trung học.</v>
      </c>
      <c r="K2224" s="13" t="str">
        <f ca="1">IFERROR(__xludf.DUMMYFUNCTION("""COMPUTED_VALUE"""),"H5_B23_BG-24.png")</f>
        <v>H5_B23_BG-24.png</v>
      </c>
      <c r="L2224" s="13" t="str">
        <f ca="1">IFERROR(__xludf.DUMMYFUNCTION("""COMPUTED_VALUE"""),"B23_24.mp3")</f>
        <v>B23_24.mp3</v>
      </c>
      <c r="M2224" s="13" t="str">
        <f ca="1">IFERROR(__xludf.DUMMYFUNCTION("""COMPUTED_VALUE"""),"B23_VD_24.mp3")</f>
        <v>B23_VD_24.mp3</v>
      </c>
    </row>
    <row r="2225" spans="1:13">
      <c r="A2225" s="13">
        <f ca="1">IFERROR(__xludf.DUMMYFUNCTION("""COMPUTED_VALUE"""),25)</f>
        <v>25</v>
      </c>
      <c r="B2225" s="13"/>
      <c r="C2225" s="13" t="str">
        <f ca="1">IFERROR(__xludf.DUMMYFUNCTION("""COMPUTED_VALUE"""),"亲爱")</f>
        <v>亲爱</v>
      </c>
      <c r="D2225" s="13" t="str">
        <f ca="1">IFERROR(__xludf.DUMMYFUNCTION("""COMPUTED_VALUE"""),"&lt;ruby&gt;亲爱&lt;rt&gt;qīn'ài&lt;/rt&gt;&lt;/ruby&gt;")</f>
        <v>&lt;ruby&gt;亲爱&lt;rt&gt;qīn'ài&lt;/rt&gt;&lt;/ruby&gt;</v>
      </c>
      <c r="E2225" s="13" t="str">
        <f ca="1">IFERROR(__xludf.DUMMYFUNCTION("""COMPUTED_VALUE"""),"qīn'ài")</f>
        <v>qīn'ài</v>
      </c>
      <c r="F2225" s="13" t="str">
        <f ca="1">IFERROR(__xludf.DUMMYFUNCTION("""COMPUTED_VALUE"""),"Tính từ")</f>
        <v>Tính từ</v>
      </c>
      <c r="G2225" s="13" t="str">
        <f ca="1">IFERROR(__xludf.DUMMYFUNCTION("""COMPUTED_VALUE"""),"(được) yêu quý")</f>
        <v>(được) yêu quý</v>
      </c>
      <c r="H2225" s="13" t="str">
        <f ca="1">IFERROR(__xludf.DUMMYFUNCTION("""COMPUTED_VALUE"""),"亲爱的朋友，生日快乐！
")</f>
        <v xml:space="preserve">亲爱的朋友，生日快乐！
</v>
      </c>
      <c r="I2225" s="13"/>
      <c r="J2225" s="13" t="str">
        <f ca="1">IFERROR(__xludf.DUMMYFUNCTION("""COMPUTED_VALUE"""),"Bạn thân yêu, chúc mừng sinh nhật!")</f>
        <v>Bạn thân yêu, chúc mừng sinh nhật!</v>
      </c>
      <c r="K2225" s="13" t="str">
        <f ca="1">IFERROR(__xludf.DUMMYFUNCTION("""COMPUTED_VALUE"""),"H5_B23_BG-25.png")</f>
        <v>H5_B23_BG-25.png</v>
      </c>
      <c r="L2225" s="13" t="str">
        <f ca="1">IFERROR(__xludf.DUMMYFUNCTION("""COMPUTED_VALUE"""),"B23_25.mp3")</f>
        <v>B23_25.mp3</v>
      </c>
      <c r="M2225" s="13" t="str">
        <f ca="1">IFERROR(__xludf.DUMMYFUNCTION("""COMPUTED_VALUE"""),"B23_VD_25.mp3")</f>
        <v>B23_VD_25.mp3</v>
      </c>
    </row>
    <row r="2226" spans="1:13">
      <c r="A2226" s="13">
        <f ca="1">IFERROR(__xludf.DUMMYFUNCTION("""COMPUTED_VALUE"""),26)</f>
        <v>26</v>
      </c>
      <c r="B2226" s="13"/>
      <c r="C2226" s="13" t="str">
        <f ca="1">IFERROR(__xludf.DUMMYFUNCTION("""COMPUTED_VALUE"""),"能干")</f>
        <v>能干</v>
      </c>
      <c r="D2226" s="13" t="str">
        <f ca="1">IFERROR(__xludf.DUMMYFUNCTION("""COMPUTED_VALUE"""),"&lt;ruby&gt;能干&lt;rt&gt;nénggàn&lt;/rt&gt;&lt;/ruby&gt;")</f>
        <v>&lt;ruby&gt;能干&lt;rt&gt;nénggàn&lt;/rt&gt;&lt;/ruby&gt;</v>
      </c>
      <c r="E2226" s="13" t="str">
        <f ca="1">IFERROR(__xludf.DUMMYFUNCTION("""COMPUTED_VALUE"""),"nénggàn")</f>
        <v>nénggàn</v>
      </c>
      <c r="F2226" s="13" t="str">
        <f ca="1">IFERROR(__xludf.DUMMYFUNCTION("""COMPUTED_VALUE"""),"Tính từ")</f>
        <v>Tính từ</v>
      </c>
      <c r="G2226" s="13" t="str">
        <f ca="1">IFERROR(__xludf.DUMMYFUNCTION("""COMPUTED_VALUE"""),"giỏi giang")</f>
        <v>giỏi giang</v>
      </c>
      <c r="H2226" s="13" t="str">
        <f ca="1">IFERROR(__xludf.DUMMYFUNCTION("""COMPUTED_VALUE"""),"虽然他还年轻，但非常能干，刚毕业就进入了广播电台工作。")</f>
        <v>虽然他还年轻，但非常能干，刚毕业就进入了广播电台工作。</v>
      </c>
      <c r="I2226" s="13"/>
      <c r="J2226" s="13" t="str">
        <f ca="1">IFERROR(__xludf.DUMMYFUNCTION("""COMPUTED_VALUE"""),"Mặc dù anh ấy còn trẻ, nhưng rất giỏi giang, mới ra trường đã làm việc ở đài phát thanh.")</f>
        <v>Mặc dù anh ấy còn trẻ, nhưng rất giỏi giang, mới ra trường đã làm việc ở đài phát thanh.</v>
      </c>
      <c r="K2226" s="13" t="str">
        <f ca="1">IFERROR(__xludf.DUMMYFUNCTION("""COMPUTED_VALUE"""),"H5_B23_BG-26.png")</f>
        <v>H5_B23_BG-26.png</v>
      </c>
      <c r="L2226" s="13" t="str">
        <f ca="1">IFERROR(__xludf.DUMMYFUNCTION("""COMPUTED_VALUE"""),"B23_26.mp3")</f>
        <v>B23_26.mp3</v>
      </c>
      <c r="M2226" s="13" t="str">
        <f ca="1">IFERROR(__xludf.DUMMYFUNCTION("""COMPUTED_VALUE"""),"B23_VD_26.mp3")</f>
        <v>B23_VD_26.mp3</v>
      </c>
    </row>
    <row r="2227" spans="1:13">
      <c r="A2227" s="13">
        <f ca="1">IFERROR(__xludf.DUMMYFUNCTION("""COMPUTED_VALUE"""),27)</f>
        <v>27</v>
      </c>
      <c r="B2227" s="13"/>
      <c r="C2227" s="13" t="str">
        <f ca="1">IFERROR(__xludf.DUMMYFUNCTION("""COMPUTED_VALUE"""),"酒吧")</f>
        <v>酒吧</v>
      </c>
      <c r="D2227" s="13" t="str">
        <f ca="1">IFERROR(__xludf.DUMMYFUNCTION("""COMPUTED_VALUE"""),"&lt;ruby&gt;酒吧&lt;rt&gt;jiǔbā&lt;/rt&gt;&lt;/ruby&gt;")</f>
        <v>&lt;ruby&gt;酒吧&lt;rt&gt;jiǔbā&lt;/rt&gt;&lt;/ruby&gt;</v>
      </c>
      <c r="E2227" s="13" t="str">
        <f ca="1">IFERROR(__xludf.DUMMYFUNCTION("""COMPUTED_VALUE"""),"jiǔbā")</f>
        <v>jiǔbā</v>
      </c>
      <c r="F2227" s="13" t="str">
        <f ca="1">IFERROR(__xludf.DUMMYFUNCTION("""COMPUTED_VALUE"""),"Danh từ")</f>
        <v>Danh từ</v>
      </c>
      <c r="G2227" s="13" t="str">
        <f ca="1">IFERROR(__xludf.DUMMYFUNCTION("""COMPUTED_VALUE"""),"quán bar")</f>
        <v>quán bar</v>
      </c>
      <c r="H2227" s="13" t="str">
        <f ca="1">IFERROR(__xludf.DUMMYFUNCTION("""COMPUTED_VALUE"""),"周末我们经常去酒吧放松一下，和朋友聊天。")</f>
        <v>周末我们经常去酒吧放松一下，和朋友聊天。</v>
      </c>
      <c r="I2227" s="13"/>
      <c r="J2227" s="13" t="str">
        <f ca="1">IFERROR(__xludf.DUMMYFUNCTION("""COMPUTED_VALUE"""),"Vào cuối tuần, chúng tôi thường xuyên đến quán bar để thư giãn và trò chuyện với bạn bè.")</f>
        <v>Vào cuối tuần, chúng tôi thường xuyên đến quán bar để thư giãn và trò chuyện với bạn bè.</v>
      </c>
      <c r="K2227" s="13" t="str">
        <f ca="1">IFERROR(__xludf.DUMMYFUNCTION("""COMPUTED_VALUE"""),"H5_B23_BG-27.png")</f>
        <v>H5_B23_BG-27.png</v>
      </c>
      <c r="L2227" s="13" t="str">
        <f ca="1">IFERROR(__xludf.DUMMYFUNCTION("""COMPUTED_VALUE"""),"B23_27.mp3")</f>
        <v>B23_27.mp3</v>
      </c>
      <c r="M2227" s="13" t="str">
        <f ca="1">IFERROR(__xludf.DUMMYFUNCTION("""COMPUTED_VALUE"""),"B23_VD_27.mp3")</f>
        <v>B23_VD_27.mp3</v>
      </c>
    </row>
    <row r="2228" spans="1:13">
      <c r="A2228" s="13">
        <f ca="1">IFERROR(__xludf.DUMMYFUNCTION("""COMPUTED_VALUE"""),28)</f>
        <v>28</v>
      </c>
      <c r="B2228" s="13"/>
      <c r="C2228" s="13" t="str">
        <f ca="1">IFERROR(__xludf.DUMMYFUNCTION("""COMPUTED_VALUE"""),"面临")</f>
        <v>面临</v>
      </c>
      <c r="D2228" s="13" t="str">
        <f ca="1">IFERROR(__xludf.DUMMYFUNCTION("""COMPUTED_VALUE"""),"&lt;ruby&gt;面临&lt;rt&gt;miànlín&lt;/rt&gt;&lt;/ruby&gt;")</f>
        <v>&lt;ruby&gt;面临&lt;rt&gt;miànlín&lt;/rt&gt;&lt;/ruby&gt;</v>
      </c>
      <c r="E2228" s="13" t="str">
        <f ca="1">IFERROR(__xludf.DUMMYFUNCTION("""COMPUTED_VALUE"""),"miànlín")</f>
        <v>miànlín</v>
      </c>
      <c r="F2228" s="13" t="str">
        <f ca="1">IFERROR(__xludf.DUMMYFUNCTION("""COMPUTED_VALUE"""),"Động từ")</f>
        <v>Động từ</v>
      </c>
      <c r="G2228" s="13" t="str">
        <f ca="1">IFERROR(__xludf.DUMMYFUNCTION("""COMPUTED_VALUE"""),"đối mặt, đứng trước")</f>
        <v>đối mặt, đứng trước</v>
      </c>
      <c r="H2228" s="13" t="str">
        <f ca="1">IFERROR(__xludf.DUMMYFUNCTION("""COMPUTED_VALUE"""),"她正面临一个重要的决定，需要仔细思考。")</f>
        <v>她正面临一个重要的决定，需要仔细思考。</v>
      </c>
      <c r="I2228" s="13"/>
      <c r="J2228" s="13" t="str">
        <f ca="1">IFERROR(__xludf.DUMMYFUNCTION("""COMPUTED_VALUE"""),"Cô ấy đang đối mặt với một quyết định quan trọng và cần phải suy nghĩ kỹ lưỡng.")</f>
        <v>Cô ấy đang đối mặt với một quyết định quan trọng và cần phải suy nghĩ kỹ lưỡng.</v>
      </c>
      <c r="K2228" s="13" t="str">
        <f ca="1">IFERROR(__xludf.DUMMYFUNCTION("""COMPUTED_VALUE"""),"H5_B23_BG-28.png")</f>
        <v>H5_B23_BG-28.png</v>
      </c>
      <c r="L2228" s="13" t="str">
        <f ca="1">IFERROR(__xludf.DUMMYFUNCTION("""COMPUTED_VALUE"""),"B23_28.mp3")</f>
        <v>B23_28.mp3</v>
      </c>
      <c r="M2228" s="13" t="str">
        <f ca="1">IFERROR(__xludf.DUMMYFUNCTION("""COMPUTED_VALUE"""),"B23_VD_28.mp3")</f>
        <v>B23_VD_28.mp3</v>
      </c>
    </row>
    <row r="2229" spans="1:13">
      <c r="A2229" s="13">
        <f ca="1">IFERROR(__xludf.DUMMYFUNCTION("""COMPUTED_VALUE"""),29)</f>
        <v>29</v>
      </c>
      <c r="B2229" s="13"/>
      <c r="C2229" s="13" t="str">
        <f ca="1">IFERROR(__xludf.DUMMYFUNCTION("""COMPUTED_VALUE"""),"隐约")</f>
        <v>隐约</v>
      </c>
      <c r="D2229" s="13" t="str">
        <f ca="1">IFERROR(__xludf.DUMMYFUNCTION("""COMPUTED_VALUE"""),"&lt;ruby&gt;隐约&lt;rt&gt;yǐnyuē&lt;/rt&gt;&lt;/ruby&gt;")</f>
        <v>&lt;ruby&gt;隐约&lt;rt&gt;yǐnyuē&lt;/rt&gt;&lt;/ruby&gt;</v>
      </c>
      <c r="E2229" s="13" t="str">
        <f ca="1">IFERROR(__xludf.DUMMYFUNCTION("""COMPUTED_VALUE"""),"yǐnyuē")</f>
        <v>yǐnyuē</v>
      </c>
      <c r="F2229" s="13" t="str">
        <f ca="1">IFERROR(__xludf.DUMMYFUNCTION("""COMPUTED_VALUE"""),"Tính từ")</f>
        <v>Tính từ</v>
      </c>
      <c r="G2229" s="13" t="str">
        <f ca="1">IFERROR(__xludf.DUMMYFUNCTION("""COMPUTED_VALUE"""),"mơ hồ, lờ mờ")</f>
        <v>mơ hồ, lờ mờ</v>
      </c>
      <c r="H2229" s="13" t="str">
        <f ca="1">IFERROR(__xludf.DUMMYFUNCTION("""COMPUTED_VALUE"""),"远处的山峰在雾气中显得隐约可见。")</f>
        <v>远处的山峰在雾气中显得隐约可见。</v>
      </c>
      <c r="I2229" s="13"/>
      <c r="J2229" s="13" t="str">
        <f ca="1">IFERROR(__xludf.DUMMYFUNCTION("""COMPUTED_VALUE"""),"Những đỉnh núi xa xa mơ hồ có thể nhìn thấy trong làn sương mù.")</f>
        <v>Những đỉnh núi xa xa mơ hồ có thể nhìn thấy trong làn sương mù.</v>
      </c>
      <c r="K2229" s="13" t="str">
        <f ca="1">IFERROR(__xludf.DUMMYFUNCTION("""COMPUTED_VALUE"""),"H5_B23_BG-29.png")</f>
        <v>H5_B23_BG-29.png</v>
      </c>
      <c r="L2229" s="13" t="str">
        <f ca="1">IFERROR(__xludf.DUMMYFUNCTION("""COMPUTED_VALUE"""),"B23_29.mp3")</f>
        <v>B23_29.mp3</v>
      </c>
      <c r="M2229" s="13" t="str">
        <f ca="1">IFERROR(__xludf.DUMMYFUNCTION("""COMPUTED_VALUE"""),"B23_VD_29.mp3")</f>
        <v>B23_VD_29.mp3</v>
      </c>
    </row>
    <row r="2230" spans="1:13">
      <c r="A2230" s="13">
        <f ca="1">IFERROR(__xludf.DUMMYFUNCTION("""COMPUTED_VALUE"""),30)</f>
        <v>30</v>
      </c>
      <c r="B2230" s="13"/>
      <c r="C2230" s="13" t="str">
        <f ca="1">IFERROR(__xludf.DUMMYFUNCTION("""COMPUTED_VALUE"""),"陌生")</f>
        <v>陌生</v>
      </c>
      <c r="D2230" s="13" t="str">
        <f ca="1">IFERROR(__xludf.DUMMYFUNCTION("""COMPUTED_VALUE"""),"&lt;ruby&gt;陌生&lt;rt&gt;mòshēng&lt;/rt&gt;&lt;/ruby&gt;")</f>
        <v>&lt;ruby&gt;陌生&lt;rt&gt;mòshēng&lt;/rt&gt;&lt;/ruby&gt;</v>
      </c>
      <c r="E2230" s="13" t="str">
        <f ca="1">IFERROR(__xludf.DUMMYFUNCTION("""COMPUTED_VALUE"""),"mòshēng")</f>
        <v>mòshēng</v>
      </c>
      <c r="F2230" s="13" t="str">
        <f ca="1">IFERROR(__xludf.DUMMYFUNCTION("""COMPUTED_VALUE"""),"Tính từ")</f>
        <v>Tính từ</v>
      </c>
      <c r="G2230" s="13" t="str">
        <f ca="1">IFERROR(__xludf.DUMMYFUNCTION("""COMPUTED_VALUE"""),"xa lạ")</f>
        <v>xa lạ</v>
      </c>
      <c r="H2230" s="13" t="str">
        <f ca="1">IFERROR(__xludf.DUMMYFUNCTION("""COMPUTED_VALUE"""),"这座华丽的城市对我来说很陌生。")</f>
        <v>这座华丽的城市对我来说很陌生。</v>
      </c>
      <c r="I2230" s="13"/>
      <c r="J2230" s="13" t="str">
        <f ca="1">IFERROR(__xludf.DUMMYFUNCTION("""COMPUTED_VALUE"""),"Thành phố hoa lệ này rất xa lạ đối với tôi.")</f>
        <v>Thành phố hoa lệ này rất xa lạ đối với tôi.</v>
      </c>
      <c r="K2230" s="13" t="str">
        <f ca="1">IFERROR(__xludf.DUMMYFUNCTION("""COMPUTED_VALUE"""),"H5_B23_BG-30.png")</f>
        <v>H5_B23_BG-30.png</v>
      </c>
      <c r="L2230" s="13" t="str">
        <f ca="1">IFERROR(__xludf.DUMMYFUNCTION("""COMPUTED_VALUE"""),"B23_30.mp3")</f>
        <v>B23_30.mp3</v>
      </c>
      <c r="M2230" s="13" t="str">
        <f ca="1">IFERROR(__xludf.DUMMYFUNCTION("""COMPUTED_VALUE"""),"B23_VD_30.mp3")</f>
        <v>B23_VD_30.mp3</v>
      </c>
    </row>
    <row r="2231" spans="1:13">
      <c r="A2231" s="13">
        <f ca="1">IFERROR(__xludf.DUMMYFUNCTION("""COMPUTED_VALUE"""),31)</f>
        <v>31</v>
      </c>
      <c r="B2231" s="13"/>
      <c r="C2231" s="13" t="str">
        <f ca="1">IFERROR(__xludf.DUMMYFUNCTION("""COMPUTED_VALUE"""),"某")</f>
        <v>某</v>
      </c>
      <c r="D2231" s="13" t="str">
        <f ca="1">IFERROR(__xludf.DUMMYFUNCTION("""COMPUTED_VALUE"""),"&lt;ruby&gt;某&lt;rt&gt;mǒu&lt;/rt&gt;&lt;/ruby&gt;")</f>
        <v>&lt;ruby&gt;某&lt;rt&gt;mǒu&lt;/rt&gt;&lt;/ruby&gt;</v>
      </c>
      <c r="E2231" s="13" t="str">
        <f ca="1">IFERROR(__xludf.DUMMYFUNCTION("""COMPUTED_VALUE"""),"mǒu")</f>
        <v>mǒu</v>
      </c>
      <c r="F2231" s="13" t="str">
        <f ca="1">IFERROR(__xludf.DUMMYFUNCTION("""COMPUTED_VALUE"""),"Đại từ")</f>
        <v>Đại từ</v>
      </c>
      <c r="G2231" s="13" t="str">
        <f ca="1">IFERROR(__xludf.DUMMYFUNCTION("""COMPUTED_VALUE"""),"nào đó")</f>
        <v>nào đó</v>
      </c>
      <c r="H2231" s="13" t="str">
        <f ca="1">IFERROR(__xludf.DUMMYFUNCTION("""COMPUTED_VALUE"""),"在某地发生了一起严重的交通事故。")</f>
        <v>在某地发生了一起严重的交通事故。</v>
      </c>
      <c r="I2231" s="13"/>
      <c r="J2231" s="13" t="str">
        <f ca="1">IFERROR(__xludf.DUMMYFUNCTION("""COMPUTED_VALUE"""),"Ở một nơi nào đó đã xảy ra một vụ tai nạn giao thông nghiêm trọng")</f>
        <v>Ở một nơi nào đó đã xảy ra một vụ tai nạn giao thông nghiêm trọng</v>
      </c>
      <c r="K2231" s="13" t="str">
        <f ca="1">IFERROR(__xludf.DUMMYFUNCTION("""COMPUTED_VALUE"""),"H5_B23_BG-31.png")</f>
        <v>H5_B23_BG-31.png</v>
      </c>
      <c r="L2231" s="13" t="str">
        <f ca="1">IFERROR(__xludf.DUMMYFUNCTION("""COMPUTED_VALUE"""),"B23_31.mp3")</f>
        <v>B23_31.mp3</v>
      </c>
      <c r="M2231" s="13" t="str">
        <f ca="1">IFERROR(__xludf.DUMMYFUNCTION("""COMPUTED_VALUE"""),"B23_VD_31.mp3")</f>
        <v>B23_VD_31.mp3</v>
      </c>
    </row>
    <row r="2232" spans="1:13">
      <c r="A2232" s="13">
        <f ca="1">IFERROR(__xludf.DUMMYFUNCTION("""COMPUTED_VALUE"""),32)</f>
        <v>32</v>
      </c>
      <c r="B2232" s="13"/>
      <c r="C2232" s="13" t="str">
        <f ca="1">IFERROR(__xludf.DUMMYFUNCTION("""COMPUTED_VALUE"""),"建立")</f>
        <v>建立</v>
      </c>
      <c r="D2232" s="13" t="str">
        <f ca="1">IFERROR(__xludf.DUMMYFUNCTION("""COMPUTED_VALUE"""),"&lt;ruby&gt;建立&lt;rt&gt;jiànlì&lt;/rt&gt;&lt;/ruby&gt;")</f>
        <v>&lt;ruby&gt;建立&lt;rt&gt;jiànlì&lt;/rt&gt;&lt;/ruby&gt;</v>
      </c>
      <c r="E2232" s="13" t="str">
        <f ca="1">IFERROR(__xludf.DUMMYFUNCTION("""COMPUTED_VALUE"""),"jiànlì")</f>
        <v>jiànlì</v>
      </c>
      <c r="F2232" s="13" t="str">
        <f ca="1">IFERROR(__xludf.DUMMYFUNCTION("""COMPUTED_VALUE"""),"Động từ")</f>
        <v>Động từ</v>
      </c>
      <c r="G2232" s="13" t="str">
        <f ca="1">IFERROR(__xludf.DUMMYFUNCTION("""COMPUTED_VALUE"""),"xây dựng, thiết lập")</f>
        <v>xây dựng, thiết lập</v>
      </c>
      <c r="H2232" s="13" t="str">
        <f ca="1">IFERROR(__xludf.DUMMYFUNCTION("""COMPUTED_VALUE"""),"政府决定建立新的交通系统，以避免交通堵塞。")</f>
        <v>政府决定建立新的交通系统，以避免交通堵塞。</v>
      </c>
      <c r="I2232" s="13"/>
      <c r="J2232" s="13" t="str">
        <f ca="1">IFERROR(__xludf.DUMMYFUNCTION("""COMPUTED_VALUE"""),"Chính phủ quyết định xây dựng một hệ thống giao thông mới, tránh ùn tắc giao thông.")</f>
        <v>Chính phủ quyết định xây dựng một hệ thống giao thông mới, tránh ùn tắc giao thông.</v>
      </c>
      <c r="K2232" s="13" t="str">
        <f ca="1">IFERROR(__xludf.DUMMYFUNCTION("""COMPUTED_VALUE"""),"H5_B23_BG-32.png")</f>
        <v>H5_B23_BG-32.png</v>
      </c>
      <c r="L2232" s="13" t="str">
        <f ca="1">IFERROR(__xludf.DUMMYFUNCTION("""COMPUTED_VALUE"""),"B23_32.mp3")</f>
        <v>B23_32.mp3</v>
      </c>
      <c r="M2232" s="13" t="str">
        <f ca="1">IFERROR(__xludf.DUMMYFUNCTION("""COMPUTED_VALUE"""),"B23_VD_32.mp3")</f>
        <v>B23_VD_32.mp3</v>
      </c>
    </row>
    <row r="2233" spans="1:13">
      <c r="A2233" s="13">
        <f ca="1">IFERROR(__xludf.DUMMYFUNCTION("""COMPUTED_VALUE"""),33)</f>
        <v>33</v>
      </c>
      <c r="B2233" s="13"/>
      <c r="C2233" s="13" t="str">
        <f ca="1">IFERROR(__xludf.DUMMYFUNCTION("""COMPUTED_VALUE"""),"单独")</f>
        <v>单独</v>
      </c>
      <c r="D2233" s="13" t="str">
        <f ca="1">IFERROR(__xludf.DUMMYFUNCTION("""COMPUTED_VALUE"""),"&lt;ruby&gt;单独&lt;rt&gt;dāndú&lt;/rt&gt;&lt;/ruby&gt;")</f>
        <v>&lt;ruby&gt;单独&lt;rt&gt;dāndú&lt;/rt&gt;&lt;/ruby&gt;</v>
      </c>
      <c r="E2233" s="13" t="str">
        <f ca="1">IFERROR(__xludf.DUMMYFUNCTION("""COMPUTED_VALUE"""),"dāndú")</f>
        <v>dāndú</v>
      </c>
      <c r="F2233" s="13" t="str">
        <f ca="1">IFERROR(__xludf.DUMMYFUNCTION("""COMPUTED_VALUE"""),"Phó từ")</f>
        <v>Phó từ</v>
      </c>
      <c r="G2233" s="13" t="str">
        <f ca="1">IFERROR(__xludf.DUMMYFUNCTION("""COMPUTED_VALUE"""),"một mình")</f>
        <v>một mình</v>
      </c>
      <c r="H2233" s="13" t="str">
        <f ca="1">IFERROR(__xludf.DUMMYFUNCTION("""COMPUTED_VALUE"""),"有时候我喜欢单独喝咖啡。")</f>
        <v>有时候我喜欢单独喝咖啡。</v>
      </c>
      <c r="I2233" s="13"/>
      <c r="J2233" s="13" t="str">
        <f ca="1">IFERROR(__xludf.DUMMYFUNCTION("""COMPUTED_VALUE"""),"Đôi khi tôi thích uống cà phê một mình.")</f>
        <v>Đôi khi tôi thích uống cà phê một mình.</v>
      </c>
      <c r="K2233" s="13" t="str">
        <f ca="1">IFERROR(__xludf.DUMMYFUNCTION("""COMPUTED_VALUE"""),"H5_B23_BG-33.png")</f>
        <v>H5_B23_BG-33.png</v>
      </c>
      <c r="L2233" s="13" t="str">
        <f ca="1">IFERROR(__xludf.DUMMYFUNCTION("""COMPUTED_VALUE"""),"B23_33.mp3")</f>
        <v>B23_33.mp3</v>
      </c>
      <c r="M2233" s="13" t="str">
        <f ca="1">IFERROR(__xludf.DUMMYFUNCTION("""COMPUTED_VALUE"""),"B23_VD_33.mp3")</f>
        <v>B23_VD_33.mp3</v>
      </c>
    </row>
    <row r="2234" spans="1:13">
      <c r="A2234" s="13">
        <f ca="1">IFERROR(__xludf.DUMMYFUNCTION("""COMPUTED_VALUE"""),34)</f>
        <v>34</v>
      </c>
      <c r="B2234" s="13"/>
      <c r="C2234" s="13" t="str">
        <f ca="1">IFERROR(__xludf.DUMMYFUNCTION("""COMPUTED_VALUE"""),"横")</f>
        <v>横</v>
      </c>
      <c r="D2234" s="13" t="str">
        <f ca="1">IFERROR(__xludf.DUMMYFUNCTION("""COMPUTED_VALUE"""),"&lt;ruby&gt;横&lt;rt&gt;héng&lt;/rt&gt;&lt;/ruby&gt;")</f>
        <v>&lt;ruby&gt;横&lt;rt&gt;héng&lt;/rt&gt;&lt;/ruby&gt;</v>
      </c>
      <c r="E2234" s="13" t="str">
        <f ca="1">IFERROR(__xludf.DUMMYFUNCTION("""COMPUTED_VALUE"""),"héng")</f>
        <v>héng</v>
      </c>
      <c r="F2234" s="13" t="str">
        <f ca="1">IFERROR(__xludf.DUMMYFUNCTION("""COMPUTED_VALUE"""),"Tính từ")</f>
        <v>Tính từ</v>
      </c>
      <c r="G2234" s="13" t="str">
        <f ca="1">IFERROR(__xludf.DUMMYFUNCTION("""COMPUTED_VALUE"""),"ngang, đi ngang qua")</f>
        <v>ngang, đi ngang qua</v>
      </c>
      <c r="H2234" s="13" t="str">
        <f ca="1">IFERROR(__xludf.DUMMYFUNCTION("""COMPUTED_VALUE"""),"刚才我横穿过了一家很大的书店。")</f>
        <v>刚才我横穿过了一家很大的书店。</v>
      </c>
      <c r="I2234" s="13"/>
      <c r="J2234" s="13" t="str">
        <f ca="1">IFERROR(__xludf.DUMMYFUNCTION("""COMPUTED_VALUE"""),"Lúc nãy tôi có đi ngang qua một của hiệu sách rất to.")</f>
        <v>Lúc nãy tôi có đi ngang qua một của hiệu sách rất to.</v>
      </c>
      <c r="K2234" s="13" t="str">
        <f ca="1">IFERROR(__xludf.DUMMYFUNCTION("""COMPUTED_VALUE"""),"H5_B23_BG-34.png")</f>
        <v>H5_B23_BG-34.png</v>
      </c>
      <c r="L2234" s="13" t="str">
        <f ca="1">IFERROR(__xludf.DUMMYFUNCTION("""COMPUTED_VALUE"""),"B23_34.mp3")</f>
        <v>B23_34.mp3</v>
      </c>
      <c r="M2234" s="13" t="str">
        <f ca="1">IFERROR(__xludf.DUMMYFUNCTION("""COMPUTED_VALUE"""),"B23_VD_34.mp3")</f>
        <v>B23_VD_34.mp3</v>
      </c>
    </row>
    <row r="2235" spans="1:13">
      <c r="A2235" s="13">
        <f ca="1">IFERROR(__xludf.DUMMYFUNCTION("""COMPUTED_VALUE"""),35)</f>
        <v>35</v>
      </c>
      <c r="B2235" s="13"/>
      <c r="C2235" s="13" t="str">
        <f ca="1">IFERROR(__xludf.DUMMYFUNCTION("""COMPUTED_VALUE"""),"沙滩")</f>
        <v>沙滩</v>
      </c>
      <c r="D2235" s="13" t="str">
        <f ca="1">IFERROR(__xludf.DUMMYFUNCTION("""COMPUTED_VALUE"""),"&lt;ruby&gt;沙滩&lt;rt&gt;shātān&lt;/rt&gt;&lt;/ruby&gt;")</f>
        <v>&lt;ruby&gt;沙滩&lt;rt&gt;shātān&lt;/rt&gt;&lt;/ruby&gt;</v>
      </c>
      <c r="E2235" s="13" t="str">
        <f ca="1">IFERROR(__xludf.DUMMYFUNCTION("""COMPUTED_VALUE"""),"shātān")</f>
        <v>shātān</v>
      </c>
      <c r="F2235" s="13" t="str">
        <f ca="1">IFERROR(__xludf.DUMMYFUNCTION("""COMPUTED_VALUE"""),"Danh từ")</f>
        <v>Danh từ</v>
      </c>
      <c r="G2235" s="13" t="str">
        <f ca="1">IFERROR(__xludf.DUMMYFUNCTION("""COMPUTED_VALUE"""),"bãi cát")</f>
        <v>bãi cát</v>
      </c>
      <c r="H2235" s="13" t="str">
        <f ca="1">IFERROR(__xludf.DUMMYFUNCTION("""COMPUTED_VALUE"""),"我们在沙滩上玩了一整天，享受阳光和海风。")</f>
        <v>我们在沙滩上玩了一整天，享受阳光和海风。</v>
      </c>
      <c r="I2235" s="13"/>
      <c r="J2235" s="13" t="str">
        <f ca="1">IFERROR(__xludf.DUMMYFUNCTION("""COMPUTED_VALUE"""),"Chúng tôi đã chơi cả ngày trên bãi cát, tận hưởng ánh nắng mặt trời và gió biển.")</f>
        <v>Chúng tôi đã chơi cả ngày trên bãi cát, tận hưởng ánh nắng mặt trời và gió biển.</v>
      </c>
      <c r="K2235" s="13" t="str">
        <f ca="1">IFERROR(__xludf.DUMMYFUNCTION("""COMPUTED_VALUE"""),"H5_B23_BG-35.png")</f>
        <v>H5_B23_BG-35.png</v>
      </c>
      <c r="L2235" s="13" t="str">
        <f ca="1">IFERROR(__xludf.DUMMYFUNCTION("""COMPUTED_VALUE"""),"B23_35.mp3")</f>
        <v>B23_35.mp3</v>
      </c>
      <c r="M2235" s="13" t="str">
        <f ca="1">IFERROR(__xludf.DUMMYFUNCTION("""COMPUTED_VALUE"""),"B23_VD_35.mp3")</f>
        <v>B23_VD_35.mp3</v>
      </c>
    </row>
    <row r="2236" spans="1:13">
      <c r="A2236" s="13">
        <f ca="1">IFERROR(__xludf.DUMMYFUNCTION("""COMPUTED_VALUE"""),36)</f>
        <v>36</v>
      </c>
      <c r="B2236" s="13"/>
      <c r="C2236" s="13" t="str">
        <f ca="1">IFERROR(__xludf.DUMMYFUNCTION("""COMPUTED_VALUE"""),"沉默")</f>
        <v>沉默</v>
      </c>
      <c r="D2236" s="13" t="str">
        <f ca="1">IFERROR(__xludf.DUMMYFUNCTION("""COMPUTED_VALUE"""),"&lt;ruby&gt;沉默&lt;rt&gt;chénmò&lt;/rt&gt;&lt;/ruby&gt;")</f>
        <v>&lt;ruby&gt;沉默&lt;rt&gt;chénmò&lt;/rt&gt;&lt;/ruby&gt;</v>
      </c>
      <c r="E2236" s="13" t="str">
        <f ca="1">IFERROR(__xludf.DUMMYFUNCTION("""COMPUTED_VALUE"""),"chénmò")</f>
        <v>chénmò</v>
      </c>
      <c r="F2236" s="13" t="str">
        <f ca="1">IFERROR(__xludf.DUMMYFUNCTION("""COMPUTED_VALUE"""),"Động từ")</f>
        <v>Động từ</v>
      </c>
      <c r="G2236" s="13" t="str">
        <f ca="1">IFERROR(__xludf.DUMMYFUNCTION("""COMPUTED_VALUE"""),"lặng im")</f>
        <v>lặng im</v>
      </c>
      <c r="H2236" s="13" t="str">
        <f ca="1">IFERROR(__xludf.DUMMYFUNCTION("""COMPUTED_VALUE"""),"在会议上，他总是沉默，不参与任何讨论。
")</f>
        <v xml:space="preserve">在会议上，他总是沉默，不参与任何讨论。
</v>
      </c>
      <c r="I2236" s="13"/>
      <c r="J2236" s="13" t="str">
        <f ca="1">IFERROR(__xludf.DUMMYFUNCTION("""COMPUTED_VALUE"""),"Trong cuộc họp, anh ấy luôn lặng im, không tham gia vào bất kỳ cuộc thảo luận nào.")</f>
        <v>Trong cuộc họp, anh ấy luôn lặng im, không tham gia vào bất kỳ cuộc thảo luận nào.</v>
      </c>
      <c r="K2236" s="13" t="str">
        <f ca="1">IFERROR(__xludf.DUMMYFUNCTION("""COMPUTED_VALUE"""),"H5_B23_BG-36.png")</f>
        <v>H5_B23_BG-36.png</v>
      </c>
      <c r="L2236" s="13" t="str">
        <f ca="1">IFERROR(__xludf.DUMMYFUNCTION("""COMPUTED_VALUE"""),"B23_36.mp3")</f>
        <v>B23_36.mp3</v>
      </c>
      <c r="M2236" s="13" t="str">
        <f ca="1">IFERROR(__xludf.DUMMYFUNCTION("""COMPUTED_VALUE"""),"B23_VD_36.mp3")</f>
        <v>B23_VD_36.mp3</v>
      </c>
    </row>
    <row r="2237" spans="1:13">
      <c r="A2237" s="13">
        <f ca="1">IFERROR(__xludf.DUMMYFUNCTION("""COMPUTED_VALUE"""),37)</f>
        <v>37</v>
      </c>
      <c r="B2237" s="13"/>
      <c r="C2237" s="13" t="str">
        <f ca="1">IFERROR(__xludf.DUMMYFUNCTION("""COMPUTED_VALUE"""),"吻")</f>
        <v>吻</v>
      </c>
      <c r="D2237" s="13" t="str">
        <f ca="1">IFERROR(__xludf.DUMMYFUNCTION("""COMPUTED_VALUE"""),"&lt;ruby&gt;吻&lt;rt&gt;wěn&lt;/rt&gt;&lt;/ruby&gt;")</f>
        <v>&lt;ruby&gt;吻&lt;rt&gt;wěn&lt;/rt&gt;&lt;/ruby&gt;</v>
      </c>
      <c r="E2237" s="13" t="str">
        <f ca="1">IFERROR(__xludf.DUMMYFUNCTION("""COMPUTED_VALUE"""),"wěn")</f>
        <v>wěn</v>
      </c>
      <c r="F2237" s="13" t="str">
        <f ca="1">IFERROR(__xludf.DUMMYFUNCTION("""COMPUTED_VALUE"""),"Động từ")</f>
        <v>Động từ</v>
      </c>
      <c r="G2237" s="13" t="str">
        <f ca="1">IFERROR(__xludf.DUMMYFUNCTION("""COMPUTED_VALUE"""),"hôn")</f>
        <v>hôn</v>
      </c>
      <c r="H2237" s="13" t="str">
        <f ca="1">IFERROR(__xludf.DUMMYFUNCTION("""COMPUTED_VALUE"""),"在机场分别时，他们轻轻地吻了对方。")</f>
        <v>在机场分别时，他们轻轻地吻了对方。</v>
      </c>
      <c r="I2237" s="13"/>
      <c r="J2237" s="13" t="str">
        <f ca="1">IFERROR(__xludf.DUMMYFUNCTION("""COMPUTED_VALUE"""),"Họ đã nhẹ nhàng hôn nhau khi chia tay ở sân bay.")</f>
        <v>Họ đã nhẹ nhàng hôn nhau khi chia tay ở sân bay.</v>
      </c>
      <c r="K2237" s="13" t="str">
        <f ca="1">IFERROR(__xludf.DUMMYFUNCTION("""COMPUTED_VALUE"""),"H5_B23_BG-37.png")</f>
        <v>H5_B23_BG-37.png</v>
      </c>
      <c r="L2237" s="13" t="str">
        <f ca="1">IFERROR(__xludf.DUMMYFUNCTION("""COMPUTED_VALUE"""),"B23_37.mp3")</f>
        <v>B23_37.mp3</v>
      </c>
      <c r="M2237" s="13" t="str">
        <f ca="1">IFERROR(__xludf.DUMMYFUNCTION("""COMPUTED_VALUE"""),"B23_VD_37.mp3")</f>
        <v>B23_VD_37.mp3</v>
      </c>
    </row>
    <row r="2238" spans="1:13">
      <c r="A2238" s="13">
        <f ca="1">IFERROR(__xludf.DUMMYFUNCTION("""COMPUTED_VALUE"""),38)</f>
        <v>38</v>
      </c>
      <c r="B2238" s="13"/>
      <c r="C2238" s="13" t="str">
        <f ca="1">IFERROR(__xludf.DUMMYFUNCTION("""COMPUTED_VALUE"""),"忍不住")</f>
        <v>忍不住</v>
      </c>
      <c r="D2238" s="13" t="str">
        <f ca="1">IFERROR(__xludf.DUMMYFUNCTION("""COMPUTED_VALUE"""),"&lt;ruby&gt;忍不住&lt;rt&gt;rěn bù zhù&lt;/rt&gt;&lt;/ruby&gt;")</f>
        <v>&lt;ruby&gt;忍不住&lt;rt&gt;rěn bù zhù&lt;/rt&gt;&lt;/ruby&gt;</v>
      </c>
      <c r="E2238" s="13" t="str">
        <f ca="1">IFERROR(__xludf.DUMMYFUNCTION("""COMPUTED_VALUE"""),"rěn bù zhù")</f>
        <v>rěn bù zhù</v>
      </c>
      <c r="F2238" s="13"/>
      <c r="G2238" s="13" t="str">
        <f ca="1">IFERROR(__xludf.DUMMYFUNCTION("""COMPUTED_VALUE"""),"không nhịn được, không thể không")</f>
        <v>không nhịn được, không thể không</v>
      </c>
      <c r="H2238" s="13" t="str">
        <f ca="1">IFERROR(__xludf.DUMMYFUNCTION("""COMPUTED_VALUE"""),"想到和家人一起的旅行，她忍不住笑了出来。")</f>
        <v>想到和家人一起的旅行，她忍不住笑了出来。</v>
      </c>
      <c r="I2238" s="13"/>
      <c r="J2238" s="13" t="str">
        <f ca="1">IFERROR(__xludf.DUMMYFUNCTION("""COMPUTED_VALUE"""),"Nghĩ tới chuyến đi du lịch cùng gia đính, cô ấy đã không nhìn được mà bật cười.")</f>
        <v>Nghĩ tới chuyến đi du lịch cùng gia đính, cô ấy đã không nhìn được mà bật cười.</v>
      </c>
      <c r="K2238" s="13" t="str">
        <f ca="1">IFERROR(__xludf.DUMMYFUNCTION("""COMPUTED_VALUE"""),"H5_B23_BG-38.png")</f>
        <v>H5_B23_BG-38.png</v>
      </c>
      <c r="L2238" s="13" t="str">
        <f ca="1">IFERROR(__xludf.DUMMYFUNCTION("""COMPUTED_VALUE"""),"B23_38.mp3")</f>
        <v>B23_38.mp3</v>
      </c>
      <c r="M2238" s="13" t="str">
        <f ca="1">IFERROR(__xludf.DUMMYFUNCTION("""COMPUTED_VALUE"""),"B23_VD_38.mp3")</f>
        <v>B23_VD_38.mp3</v>
      </c>
    </row>
    <row r="2239" spans="1:13">
      <c r="A2239" s="13">
        <f ca="1">IFERROR(__xludf.DUMMYFUNCTION("""COMPUTED_VALUE"""),39)</f>
        <v>39</v>
      </c>
      <c r="B2239" s="13"/>
      <c r="C2239" s="13" t="str">
        <f ca="1">IFERROR(__xludf.DUMMYFUNCTION("""COMPUTED_VALUE"""),"幸亏")</f>
        <v>幸亏</v>
      </c>
      <c r="D2239" s="13" t="str">
        <f ca="1">IFERROR(__xludf.DUMMYFUNCTION("""COMPUTED_VALUE"""),"&lt;ruby&gt;幸亏&lt;rt&gt;xìngkuī&lt;/rt&gt;&lt;/ruby&gt;")</f>
        <v>&lt;ruby&gt;幸亏&lt;rt&gt;xìngkuī&lt;/rt&gt;&lt;/ruby&gt;</v>
      </c>
      <c r="E2239" s="13" t="str">
        <f ca="1">IFERROR(__xludf.DUMMYFUNCTION("""COMPUTED_VALUE"""),"xìngkuī")</f>
        <v>xìngkuī</v>
      </c>
      <c r="F2239" s="13" t="str">
        <f ca="1">IFERROR(__xludf.DUMMYFUNCTION("""COMPUTED_VALUE"""),"Phó từ")</f>
        <v>Phó từ</v>
      </c>
      <c r="G2239" s="13" t="str">
        <f ca="1">IFERROR(__xludf.DUMMYFUNCTION("""COMPUTED_VALUE"""),"may mà")</f>
        <v>may mà</v>
      </c>
      <c r="H2239" s="13" t="str">
        <f ca="1">IFERROR(__xludf.DUMMYFUNCTION("""COMPUTED_VALUE"""),"幸亏我带了伞，不然我就淋湿了。")</f>
        <v>幸亏我带了伞，不然我就淋湿了。</v>
      </c>
      <c r="I2239" s="13"/>
      <c r="J2239" s="13" t="str">
        <f ca="1">IFERROR(__xludf.DUMMYFUNCTION("""COMPUTED_VALUE"""),"May mà tôi mang theo ô, nếu không tôi đã bị ướt rồi.")</f>
        <v>May mà tôi mang theo ô, nếu không tôi đã bị ướt rồi.</v>
      </c>
      <c r="K2239" s="13" t="str">
        <f ca="1">IFERROR(__xludf.DUMMYFUNCTION("""COMPUTED_VALUE"""),"H5_B23_BG-39.png")</f>
        <v>H5_B23_BG-39.png</v>
      </c>
      <c r="L2239" s="13" t="str">
        <f ca="1">IFERROR(__xludf.DUMMYFUNCTION("""COMPUTED_VALUE"""),"B23_39.mp3")</f>
        <v>B23_39.mp3</v>
      </c>
      <c r="M2239" s="13" t="str">
        <f ca="1">IFERROR(__xludf.DUMMYFUNCTION("""COMPUTED_VALUE"""),"B23_VD_39.mp3")</f>
        <v>B23_VD_39.mp3</v>
      </c>
    </row>
    <row r="2240" spans="1:13">
      <c r="A2240" s="13">
        <f ca="1">IFERROR(__xludf.DUMMYFUNCTION("""COMPUTED_VALUE"""),40)</f>
        <v>40</v>
      </c>
      <c r="B2240" s="13"/>
      <c r="C2240" s="13" t="str">
        <f ca="1">IFERROR(__xludf.DUMMYFUNCTION("""COMPUTED_VALUE"""),"暗")</f>
        <v>暗</v>
      </c>
      <c r="D2240" s="13" t="str">
        <f ca="1">IFERROR(__xludf.DUMMYFUNCTION("""COMPUTED_VALUE"""),"&lt;ruby&gt;暗&lt;rt&gt;àn&lt;/rt&gt;&lt;/ruby&gt;")</f>
        <v>&lt;ruby&gt;暗&lt;rt&gt;àn&lt;/rt&gt;&lt;/ruby&gt;</v>
      </c>
      <c r="E2240" s="13" t="str">
        <f ca="1">IFERROR(__xludf.DUMMYFUNCTION("""COMPUTED_VALUE"""),"àn")</f>
        <v>àn</v>
      </c>
      <c r="F2240" s="13" t="str">
        <f ca="1">IFERROR(__xludf.DUMMYFUNCTION("""COMPUTED_VALUE"""),"Tính từ")</f>
        <v>Tính từ</v>
      </c>
      <c r="G2240" s="13" t="str">
        <f ca="1">IFERROR(__xludf.DUMMYFUNCTION("""COMPUTED_VALUE"""),"tối, u ám")</f>
        <v>tối, u ám</v>
      </c>
      <c r="H2240" s="13" t="str">
        <f ca="1">IFERROR(__xludf.DUMMYFUNCTION("""COMPUTED_VALUE"""),"这个房间很暗，只有开灯后才变得明亮。")</f>
        <v>这个房间很暗，只有开灯后才变得明亮。</v>
      </c>
      <c r="I2240" s="13"/>
      <c r="J2240" s="13" t="str">
        <f ca="1">IFERROR(__xludf.DUMMYFUNCTION("""COMPUTED_VALUE"""),"Căn phòng này rất tối, chỉ sau khi bật đèn thì mới trở nên sáng sủa.")</f>
        <v>Căn phòng này rất tối, chỉ sau khi bật đèn thì mới trở nên sáng sủa.</v>
      </c>
      <c r="K2240" s="13" t="str">
        <f ca="1">IFERROR(__xludf.DUMMYFUNCTION("""COMPUTED_VALUE"""),"H5_B23_BG-40.png")</f>
        <v>H5_B23_BG-40.png</v>
      </c>
      <c r="L2240" s="13" t="str">
        <f ca="1">IFERROR(__xludf.DUMMYFUNCTION("""COMPUTED_VALUE"""),"B23_40.mp3")</f>
        <v>B23_40.mp3</v>
      </c>
      <c r="M2240" s="13" t="str">
        <f ca="1">IFERROR(__xludf.DUMMYFUNCTION("""COMPUTED_VALUE"""),"B23_VD_40.mp3")</f>
        <v>B23_VD_40.mp3</v>
      </c>
    </row>
    <row r="2241" spans="1:13">
      <c r="A2241" s="13">
        <f ca="1">IFERROR(__xludf.DUMMYFUNCTION("""COMPUTED_VALUE"""),1)</f>
        <v>1</v>
      </c>
      <c r="B2241" s="13"/>
      <c r="C2241" s="13" t="str">
        <f ca="1">IFERROR(__xludf.DUMMYFUNCTION("""COMPUTED_VALUE"""),"支教")</f>
        <v>支教</v>
      </c>
      <c r="D2241" s="13" t="str">
        <f ca="1">IFERROR(__xludf.DUMMYFUNCTION("""COMPUTED_VALUE"""),"&lt;ruby&gt;支教&lt;rt&gt;zhījiào&lt;/rt&gt;&lt;/ruby&gt;")</f>
        <v>&lt;ruby&gt;支教&lt;rt&gt;zhījiào&lt;/rt&gt;&lt;/ruby&gt;</v>
      </c>
      <c r="E2241" s="13" t="str">
        <f ca="1">IFERROR(__xludf.DUMMYFUNCTION("""COMPUTED_VALUE"""),"zhījiào")</f>
        <v>zhījiào</v>
      </c>
      <c r="F2241" s="13" t="str">
        <f ca="1">IFERROR(__xludf.DUMMYFUNCTION("""COMPUTED_VALUE"""),"Động từ")</f>
        <v>Động từ</v>
      </c>
      <c r="G2241" s="13" t="str">
        <f ca="1">IFERROR(__xludf.DUMMYFUNCTION("""COMPUTED_VALUE"""),"dạy học tình nguyện")</f>
        <v>dạy học tình nguyện</v>
      </c>
      <c r="H2241" s="13" t="str">
        <f ca="1">IFERROR(__xludf.DUMMYFUNCTION("""COMPUTED_VALUE"""),"她在这个地区支教已经三年了。")</f>
        <v>她在这个地区支教已经三年了。</v>
      </c>
      <c r="I2241" s="13"/>
      <c r="J2241" s="13" t="str">
        <f ca="1">IFERROR(__xludf.DUMMYFUNCTION("""COMPUTED_VALUE"""),"Cô ấy đã dạy học tình nguyện ở khu vực này được ba năm rồi.")</f>
        <v>Cô ấy đã dạy học tình nguyện ở khu vực này được ba năm rồi.</v>
      </c>
      <c r="K2241" s="13" t="str">
        <f ca="1">IFERROR(__xludf.DUMMYFUNCTION("""COMPUTED_VALUE"""),"H5_B24_BG-01.png")</f>
        <v>H5_B24_BG-01.png</v>
      </c>
      <c r="L2241" s="13" t="str">
        <f ca="1">IFERROR(__xludf.DUMMYFUNCTION("""COMPUTED_VALUE"""),"B24_1.mp3")</f>
        <v>B24_1.mp3</v>
      </c>
      <c r="M2241" s="13" t="str">
        <f ca="1">IFERROR(__xludf.DUMMYFUNCTION("""COMPUTED_VALUE"""),"B24_VD_1.mp3")</f>
        <v>B24_VD_1.mp3</v>
      </c>
    </row>
    <row r="2242" spans="1:13">
      <c r="A2242" s="13">
        <f ca="1">IFERROR(__xludf.DUMMYFUNCTION("""COMPUTED_VALUE"""),2)</f>
        <v>2</v>
      </c>
      <c r="B2242" s="13"/>
      <c r="C2242" s="13" t="str">
        <f ca="1">IFERROR(__xludf.DUMMYFUNCTION("""COMPUTED_VALUE"""),"发言")</f>
        <v>发言</v>
      </c>
      <c r="D2242" s="13" t="str">
        <f ca="1">IFERROR(__xludf.DUMMYFUNCTION("""COMPUTED_VALUE"""),"&lt;ruby&gt;发言&lt;rt&gt;fā yán&lt;/rt&gt;&lt;/ruby&gt;")</f>
        <v>&lt;ruby&gt;发言&lt;rt&gt;fā yán&lt;/rt&gt;&lt;/ruby&gt;</v>
      </c>
      <c r="E2242" s="13" t="str">
        <f ca="1">IFERROR(__xludf.DUMMYFUNCTION("""COMPUTED_VALUE"""),"fā yán")</f>
        <v>fā yán</v>
      </c>
      <c r="F2242" s="13" t="str">
        <f ca="1">IFERROR(__xludf.DUMMYFUNCTION("""COMPUTED_VALUE"""),"Động từ")</f>
        <v>Động từ</v>
      </c>
      <c r="G2242" s="13" t="str">
        <f ca="1">IFERROR(__xludf.DUMMYFUNCTION("""COMPUTED_VALUE"""),"phát biểu")</f>
        <v>phát biểu</v>
      </c>
      <c r="H2242" s="13" t="str">
        <f ca="1">IFERROR(__xludf.DUMMYFUNCTION("""COMPUTED_VALUE"""),"在大会上发言时，他提出了很多建设性的意见。")</f>
        <v>在大会上发言时，他提出了很多建设性的意见。</v>
      </c>
      <c r="I2242" s="13"/>
      <c r="J2242" s="13" t="str">
        <f ca="1">IFERROR(__xludf.DUMMYFUNCTION("""COMPUTED_VALUE"""),"Khi phát biểu tại đại hội, anh ấy đã đưa ra rất nhiều ý kiến xây dựng.")</f>
        <v>Khi phát biểu tại đại hội, anh ấy đã đưa ra rất nhiều ý kiến xây dựng.</v>
      </c>
      <c r="K2242" s="13" t="str">
        <f ca="1">IFERROR(__xludf.DUMMYFUNCTION("""COMPUTED_VALUE"""),"H5_B24_BG-02.png")</f>
        <v>H5_B24_BG-02.png</v>
      </c>
      <c r="L2242" s="13" t="str">
        <f ca="1">IFERROR(__xludf.DUMMYFUNCTION("""COMPUTED_VALUE"""),"B24_2.mp3")</f>
        <v>B24_2.mp3</v>
      </c>
      <c r="M2242" s="13" t="str">
        <f ca="1">IFERROR(__xludf.DUMMYFUNCTION("""COMPUTED_VALUE"""),"B24_VD_2.mp3")</f>
        <v>B24_VD_2.mp3</v>
      </c>
    </row>
    <row r="2243" spans="1:13">
      <c r="A2243" s="13">
        <f ca="1">IFERROR(__xludf.DUMMYFUNCTION("""COMPUTED_VALUE"""),3)</f>
        <v>3</v>
      </c>
      <c r="B2243" s="13"/>
      <c r="C2243" s="13" t="str">
        <f ca="1">IFERROR(__xludf.DUMMYFUNCTION("""COMPUTED_VALUE"""),"及格")</f>
        <v>及格</v>
      </c>
      <c r="D2243" s="13" t="str">
        <f ca="1">IFERROR(__xludf.DUMMYFUNCTION("""COMPUTED_VALUE"""),"&lt;ruby&gt;及格&lt;rt&gt;jí gé&lt;/rt&gt;&lt;/ruby&gt;")</f>
        <v>&lt;ruby&gt;及格&lt;rt&gt;jí gé&lt;/rt&gt;&lt;/ruby&gt;</v>
      </c>
      <c r="E2243" s="13" t="str">
        <f ca="1">IFERROR(__xludf.DUMMYFUNCTION("""COMPUTED_VALUE"""),"jí gé")</f>
        <v>jí gé</v>
      </c>
      <c r="F2243" s="13" t="str">
        <f ca="1">IFERROR(__xludf.DUMMYFUNCTION("""COMPUTED_VALUE"""),"Động từ")</f>
        <v>Động từ</v>
      </c>
      <c r="G2243" s="13" t="str">
        <f ca="1">IFERROR(__xludf.DUMMYFUNCTION("""COMPUTED_VALUE"""),"đạt yêu cầu")</f>
        <v>đạt yêu cầu</v>
      </c>
      <c r="H2243" s="13" t="str">
        <f ca="1">IFERROR(__xludf.DUMMYFUNCTION("""COMPUTED_VALUE"""),"虽然他没有拿到满分，但至少及格了。")</f>
        <v>虽然他没有拿到满分，但至少及格了。</v>
      </c>
      <c r="I2243" s="13"/>
      <c r="J2243" s="13" t="str">
        <f ca="1">IFERROR(__xludf.DUMMYFUNCTION("""COMPUTED_VALUE"""),"Mặc dù anh ấy không đạt điểm tối đa, nhưng ít nhất đã đạt yêu cầu.")</f>
        <v>Mặc dù anh ấy không đạt điểm tối đa, nhưng ít nhất đã đạt yêu cầu.</v>
      </c>
      <c r="K2243" s="13" t="str">
        <f ca="1">IFERROR(__xludf.DUMMYFUNCTION("""COMPUTED_VALUE"""),"H5_B24_BG-03.png")</f>
        <v>H5_B24_BG-03.png</v>
      </c>
      <c r="L2243" s="13" t="str">
        <f ca="1">IFERROR(__xludf.DUMMYFUNCTION("""COMPUTED_VALUE"""),"B24_3.mp3")</f>
        <v>B24_3.mp3</v>
      </c>
      <c r="M2243" s="13" t="str">
        <f ca="1">IFERROR(__xludf.DUMMYFUNCTION("""COMPUTED_VALUE"""),"B24_VD_3.mp3")</f>
        <v>B24_VD_3.mp3</v>
      </c>
    </row>
    <row r="2244" spans="1:13">
      <c r="A2244" s="13">
        <f ca="1">IFERROR(__xludf.DUMMYFUNCTION("""COMPUTED_VALUE"""),4)</f>
        <v>4</v>
      </c>
      <c r="B2244" s="13"/>
      <c r="C2244" s="13" t="str">
        <f ca="1">IFERROR(__xludf.DUMMYFUNCTION("""COMPUTED_VALUE"""),"用功")</f>
        <v>用功</v>
      </c>
      <c r="D2244" s="13" t="str">
        <f ca="1">IFERROR(__xludf.DUMMYFUNCTION("""COMPUTED_VALUE"""),"&lt;ruby&gt;用功&lt;rt&gt;yònggōng&lt;/rt&gt;&lt;/ruby&gt;")</f>
        <v>&lt;ruby&gt;用功&lt;rt&gt;yònggōng&lt;/rt&gt;&lt;/ruby&gt;</v>
      </c>
      <c r="E2244" s="13" t="str">
        <f ca="1">IFERROR(__xludf.DUMMYFUNCTION("""COMPUTED_VALUE"""),"yònggōng")</f>
        <v>yònggōng</v>
      </c>
      <c r="F2244" s="13" t="str">
        <f ca="1">IFERROR(__xludf.DUMMYFUNCTION("""COMPUTED_VALUE"""),"Tính từ")</f>
        <v>Tính từ</v>
      </c>
      <c r="G2244" s="13" t="str">
        <f ca="1">IFERROR(__xludf.DUMMYFUNCTION("""COMPUTED_VALUE"""),"chăm chỉ, siêng năng")</f>
        <v>chăm chỉ, siêng năng</v>
      </c>
      <c r="H2244" s="13" t="str">
        <f ca="1">IFERROR(__xludf.DUMMYFUNCTION("""COMPUTED_VALUE"""),"她每天用功学习，成绩进步得很快。")</f>
        <v>她每天用功学习，成绩进步得很快。</v>
      </c>
      <c r="I2244" s="13"/>
      <c r="J2244" s="13" t="str">
        <f ca="1">IFERROR(__xludf.DUMMYFUNCTION("""COMPUTED_VALUE"""),"Cô ấy học chăm chỉ mỗi ngày và thành tích tiến bộ rất nhanh.")</f>
        <v>Cô ấy học chăm chỉ mỗi ngày và thành tích tiến bộ rất nhanh.</v>
      </c>
      <c r="K2244" s="13" t="str">
        <f ca="1">IFERROR(__xludf.DUMMYFUNCTION("""COMPUTED_VALUE"""),"H5_B24_BG-04.png")</f>
        <v>H5_B24_BG-04.png</v>
      </c>
      <c r="L2244" s="13" t="str">
        <f ca="1">IFERROR(__xludf.DUMMYFUNCTION("""COMPUTED_VALUE"""),"B24_4.mp3")</f>
        <v>B24_4.mp3</v>
      </c>
      <c r="M2244" s="13" t="str">
        <f ca="1">IFERROR(__xludf.DUMMYFUNCTION("""COMPUTED_VALUE"""),"B24_VD_4.mp3")</f>
        <v>B24_VD_4.mp3</v>
      </c>
    </row>
    <row r="2245" spans="1:13">
      <c r="A2245" s="13">
        <f ca="1">IFERROR(__xludf.DUMMYFUNCTION("""COMPUTED_VALUE"""),5)</f>
        <v>5</v>
      </c>
      <c r="B2245" s="13"/>
      <c r="C2245" s="13" t="str">
        <f ca="1">IFERROR(__xludf.DUMMYFUNCTION("""COMPUTED_VALUE"""),"进步")</f>
        <v>进步</v>
      </c>
      <c r="D2245" s="13" t="str">
        <f ca="1">IFERROR(__xludf.DUMMYFUNCTION("""COMPUTED_VALUE"""),"&lt;ruby&gt;进步&lt;rt&gt;jìnbù&lt;/rt&gt;&lt;/ruby&gt;")</f>
        <v>&lt;ruby&gt;进步&lt;rt&gt;jìnbù&lt;/rt&gt;&lt;/ruby&gt;</v>
      </c>
      <c r="E2245" s="13" t="str">
        <f ca="1">IFERROR(__xludf.DUMMYFUNCTION("""COMPUTED_VALUE"""),"jìnbù")</f>
        <v>jìnbù</v>
      </c>
      <c r="F2245" s="13" t="str">
        <f ca="1">IFERROR(__xludf.DUMMYFUNCTION("""COMPUTED_VALUE"""),"Động từ")</f>
        <v>Động từ</v>
      </c>
      <c r="G2245" s="13" t="str">
        <f ca="1">IFERROR(__xludf.DUMMYFUNCTION("""COMPUTED_VALUE"""),"tiến bộ, trở nên tốt hơn")</f>
        <v>tiến bộ, trở nên tốt hơn</v>
      </c>
      <c r="H2245" s="13" t="str">
        <f ca="1">IFERROR(__xludf.DUMMYFUNCTION("""COMPUTED_VALUE"""),"经过不断的训练，他的游泳水平有了明显的进步。")</f>
        <v>经过不断的训练，他的游泳水平有了明显的进步。</v>
      </c>
      <c r="I2245" s="13"/>
      <c r="J2245" s="13" t="str">
        <f ca="1">IFERROR(__xludf.DUMMYFUNCTION("""COMPUTED_VALUE"""),"Sau một thời gian luyện tập không ngừng, trình độ bơi lội của anh ấy đã có sự tiến bộ rõ rệt.")</f>
        <v>Sau một thời gian luyện tập không ngừng, trình độ bơi lội của anh ấy đã có sự tiến bộ rõ rệt.</v>
      </c>
      <c r="K2245" s="13" t="str">
        <f ca="1">IFERROR(__xludf.DUMMYFUNCTION("""COMPUTED_VALUE"""),"H5_B24_BG-05.png")</f>
        <v>H5_B24_BG-05.png</v>
      </c>
      <c r="L2245" s="13" t="str">
        <f ca="1">IFERROR(__xludf.DUMMYFUNCTION("""COMPUTED_VALUE"""),"B24_5.mp3")</f>
        <v>B24_5.mp3</v>
      </c>
      <c r="M2245" s="13" t="str">
        <f ca="1">IFERROR(__xludf.DUMMYFUNCTION("""COMPUTED_VALUE"""),"B24_VD_5.mp3")</f>
        <v>B24_VD_5.mp3</v>
      </c>
    </row>
    <row r="2246" spans="1:13">
      <c r="A2246" s="13">
        <f ca="1">IFERROR(__xludf.DUMMYFUNCTION("""COMPUTED_VALUE"""),6)</f>
        <v>6</v>
      </c>
      <c r="B2246" s="13"/>
      <c r="C2246" s="13" t="str">
        <f ca="1">IFERROR(__xludf.DUMMYFUNCTION("""COMPUTED_VALUE"""),"题目")</f>
        <v>题目</v>
      </c>
      <c r="D2246" s="13" t="str">
        <f ca="1">IFERROR(__xludf.DUMMYFUNCTION("""COMPUTED_VALUE"""),"&lt;ruby&gt;题目&lt;rt&gt;tímù&lt;/rt&gt;&lt;/ruby&gt;")</f>
        <v>&lt;ruby&gt;题目&lt;rt&gt;tímù&lt;/rt&gt;&lt;/ruby&gt;</v>
      </c>
      <c r="E2246" s="13" t="str">
        <f ca="1">IFERROR(__xludf.DUMMYFUNCTION("""COMPUTED_VALUE"""),"tímù")</f>
        <v>tímù</v>
      </c>
      <c r="F2246" s="13" t="str">
        <f ca="1">IFERROR(__xludf.DUMMYFUNCTION("""COMPUTED_VALUE"""),"Danh từ")</f>
        <v>Danh từ</v>
      </c>
      <c r="G2246" s="13" t="str">
        <f ca="1">IFERROR(__xludf.DUMMYFUNCTION("""COMPUTED_VALUE"""),"đầu đề")</f>
        <v>đầu đề</v>
      </c>
      <c r="H2246" s="13" t="str">
        <f ca="1">IFERROR(__xludf.DUMMYFUNCTION("""COMPUTED_VALUE"""),"这家报纸的题目是“科技与未来”。")</f>
        <v>这家报纸的题目是“科技与未来”。</v>
      </c>
      <c r="I2246" s="13"/>
      <c r="J2246" s="13" t="str">
        <f ca="1">IFERROR(__xludf.DUMMYFUNCTION("""COMPUTED_VALUE"""),"Đầu đề của tờ báo này là ""Công nghệ và tương lai.""")</f>
        <v>Đầu đề của tờ báo này là "Công nghệ và tương lai."</v>
      </c>
      <c r="K2246" s="13" t="str">
        <f ca="1">IFERROR(__xludf.DUMMYFUNCTION("""COMPUTED_VALUE"""),"H5_B24_BG-06.png")</f>
        <v>H5_B24_BG-06.png</v>
      </c>
      <c r="L2246" s="13" t="str">
        <f ca="1">IFERROR(__xludf.DUMMYFUNCTION("""COMPUTED_VALUE"""),"B24_6.mp3")</f>
        <v>B24_6.mp3</v>
      </c>
      <c r="M2246" s="13" t="str">
        <f ca="1">IFERROR(__xludf.DUMMYFUNCTION("""COMPUTED_VALUE"""),"B24_VD_6.mp3")</f>
        <v>B24_VD_6.mp3</v>
      </c>
    </row>
    <row r="2247" spans="1:13">
      <c r="A2247" s="13">
        <f ca="1">IFERROR(__xludf.DUMMYFUNCTION("""COMPUTED_VALUE"""),7)</f>
        <v>7</v>
      </c>
      <c r="B2247" s="13"/>
      <c r="C2247" s="13" t="str">
        <f ca="1">IFERROR(__xludf.DUMMYFUNCTION("""COMPUTED_VALUE"""),"朗读")</f>
        <v>朗读</v>
      </c>
      <c r="D2247" s="13" t="str">
        <f ca="1">IFERROR(__xludf.DUMMYFUNCTION("""COMPUTED_VALUE"""),"&lt;ruby&gt;朗读&lt;rt&gt;lǎngdú&lt;/rt&gt;&lt;/ruby&gt;")</f>
        <v>&lt;ruby&gt;朗读&lt;rt&gt;lǎngdú&lt;/rt&gt;&lt;/ruby&gt;</v>
      </c>
      <c r="E2247" s="13" t="str">
        <f ca="1">IFERROR(__xludf.DUMMYFUNCTION("""COMPUTED_VALUE"""),"lǎngdú")</f>
        <v>lǎngdú</v>
      </c>
      <c r="F2247" s="13" t="str">
        <f ca="1">IFERROR(__xludf.DUMMYFUNCTION("""COMPUTED_VALUE"""),"Động từ")</f>
        <v>Động từ</v>
      </c>
      <c r="G2247" s="13" t="str">
        <f ca="1">IFERROR(__xludf.DUMMYFUNCTION("""COMPUTED_VALUE"""),"đọc to")</f>
        <v>đọc to</v>
      </c>
      <c r="H2247" s="13" t="str">
        <f ca="1">IFERROR(__xludf.DUMMYFUNCTION("""COMPUTED_VALUE"""),"他大声朗读这首诗，直到能背下来。")</f>
        <v>他大声朗读这首诗，直到能背下来。</v>
      </c>
      <c r="I2247" s="13"/>
      <c r="J2247" s="13" t="str">
        <f ca="1">IFERROR(__xludf.DUMMYFUNCTION("""COMPUTED_VALUE"""),"Anh ấy đã đọc to bài thơ vài lần cho đến khi có thể thuộc lòng.")</f>
        <v>Anh ấy đã đọc to bài thơ vài lần cho đến khi có thể thuộc lòng.</v>
      </c>
      <c r="K2247" s="13" t="str">
        <f ca="1">IFERROR(__xludf.DUMMYFUNCTION("""COMPUTED_VALUE"""),"H5_B24_BG-07.png")</f>
        <v>H5_B24_BG-07.png</v>
      </c>
      <c r="L2247" s="13" t="str">
        <f ca="1">IFERROR(__xludf.DUMMYFUNCTION("""COMPUTED_VALUE"""),"B24_7.mp3")</f>
        <v>B24_7.mp3</v>
      </c>
      <c r="M2247" s="13" t="str">
        <f ca="1">IFERROR(__xludf.DUMMYFUNCTION("""COMPUTED_VALUE"""),"B24_VD_7.mp3")</f>
        <v>B24_VD_7.mp3</v>
      </c>
    </row>
    <row r="2248" spans="1:13">
      <c r="A2248" s="13">
        <f ca="1">IFERROR(__xludf.DUMMYFUNCTION("""COMPUTED_VALUE"""),8)</f>
        <v>8</v>
      </c>
      <c r="B2248" s="13"/>
      <c r="C2248" s="13" t="str">
        <f ca="1">IFERROR(__xludf.DUMMYFUNCTION("""COMPUTED_VALUE"""),"指导")</f>
        <v>指导</v>
      </c>
      <c r="D2248" s="13" t="str">
        <f ca="1">IFERROR(__xludf.DUMMYFUNCTION("""COMPUTED_VALUE"""),"&lt;ruby&gt;指导&lt;rt&gt;zhǐdǎo&lt;/rt&gt;&lt;/ruby&gt;")</f>
        <v>&lt;ruby&gt;指导&lt;rt&gt;zhǐdǎo&lt;/rt&gt;&lt;/ruby&gt;</v>
      </c>
      <c r="E2248" s="13" t="str">
        <f ca="1">IFERROR(__xludf.DUMMYFUNCTION("""COMPUTED_VALUE"""),"zhǐdǎo")</f>
        <v>zhǐdǎo</v>
      </c>
      <c r="F2248" s="13" t="str">
        <f ca="1">IFERROR(__xludf.DUMMYFUNCTION("""COMPUTED_VALUE"""),"Động từ")</f>
        <v>Động từ</v>
      </c>
      <c r="G2248" s="13" t="str">
        <f ca="1">IFERROR(__xludf.DUMMYFUNCTION("""COMPUTED_VALUE"""),"hướng dẫn, chỉ bảo")</f>
        <v>hướng dẫn, chỉ bảo</v>
      </c>
      <c r="H2248" s="13" t="str">
        <f ca="1">IFERROR(__xludf.DUMMYFUNCTION("""COMPUTED_VALUE"""),"他指导我们如何提高工作效率。")</f>
        <v>他指导我们如何提高工作效率。</v>
      </c>
      <c r="I2248" s="13"/>
      <c r="J2248" s="13" t="str">
        <f ca="1">IFERROR(__xludf.DUMMYFUNCTION("""COMPUTED_VALUE"""),"Anh ấy hướng dẫn chúng tôi cách nâng cao hiệu quả công việc.")</f>
        <v>Anh ấy hướng dẫn chúng tôi cách nâng cao hiệu quả công việc.</v>
      </c>
      <c r="K2248" s="13" t="str">
        <f ca="1">IFERROR(__xludf.DUMMYFUNCTION("""COMPUTED_VALUE"""),"H5_B24_BG-08.png")</f>
        <v>H5_B24_BG-08.png</v>
      </c>
      <c r="L2248" s="13" t="str">
        <f ca="1">IFERROR(__xludf.DUMMYFUNCTION("""COMPUTED_VALUE"""),"B24_8.mp3")</f>
        <v>B24_8.mp3</v>
      </c>
      <c r="M2248" s="13" t="str">
        <f ca="1">IFERROR(__xludf.DUMMYFUNCTION("""COMPUTED_VALUE"""),"B24_VD_8.mp3")</f>
        <v>B24_VD_8.mp3</v>
      </c>
    </row>
    <row r="2249" spans="1:13">
      <c r="A2249" s="13">
        <f ca="1">IFERROR(__xludf.DUMMYFUNCTION("""COMPUTED_VALUE"""),9)</f>
        <v>9</v>
      </c>
      <c r="B2249" s="13"/>
      <c r="C2249" s="13" t="str">
        <f ca="1">IFERROR(__xludf.DUMMYFUNCTION("""COMPUTED_VALUE"""),"培训")</f>
        <v>培训</v>
      </c>
      <c r="D2249" s="13" t="str">
        <f ca="1">IFERROR(__xludf.DUMMYFUNCTION("""COMPUTED_VALUE"""),"&lt;ruby&gt;培训&lt;rt&gt;péixùn&lt;/rt&gt;&lt;/ruby&gt;")</f>
        <v>&lt;ruby&gt;培训&lt;rt&gt;péixùn&lt;/rt&gt;&lt;/ruby&gt;</v>
      </c>
      <c r="E2249" s="13" t="str">
        <f ca="1">IFERROR(__xludf.DUMMYFUNCTION("""COMPUTED_VALUE"""),"péixùn")</f>
        <v>péixùn</v>
      </c>
      <c r="F2249" s="13" t="str">
        <f ca="1">IFERROR(__xludf.DUMMYFUNCTION("""COMPUTED_VALUE"""),"Động từ")</f>
        <v>Động từ</v>
      </c>
      <c r="G2249" s="13" t="str">
        <f ca="1">IFERROR(__xludf.DUMMYFUNCTION("""COMPUTED_VALUE"""),"huấn luyện, đào tạo")</f>
        <v>huấn luyện, đào tạo</v>
      </c>
      <c r="H2249" s="13" t="str">
        <f ca="1">IFERROR(__xludf.DUMMYFUNCTION("""COMPUTED_VALUE"""),"公司组织了新员工的培训，确保每个人都能胜任工作。")</f>
        <v>公司组织了新员工的培训，确保每个人都能胜任工作。</v>
      </c>
      <c r="I2249" s="13"/>
      <c r="J2249" s="13" t="str">
        <f ca="1">IFERROR(__xludf.DUMMYFUNCTION("""COMPUTED_VALUE"""),"Công ty tôi tổ chức đào tạo nhân viên mới, đảm bảo mỗi người đều có thể thực hiện tốt công việc của mình.")</f>
        <v>Công ty tôi tổ chức đào tạo nhân viên mới, đảm bảo mỗi người đều có thể thực hiện tốt công việc của mình.</v>
      </c>
      <c r="K2249" s="13" t="str">
        <f ca="1">IFERROR(__xludf.DUMMYFUNCTION("""COMPUTED_VALUE"""),"H5_B24_BG-09.png")</f>
        <v>H5_B24_BG-09.png</v>
      </c>
      <c r="L2249" s="13" t="str">
        <f ca="1">IFERROR(__xludf.DUMMYFUNCTION("""COMPUTED_VALUE"""),"B24_9.mp3")</f>
        <v>B24_9.mp3</v>
      </c>
      <c r="M2249" s="13" t="str">
        <f ca="1">IFERROR(__xludf.DUMMYFUNCTION("""COMPUTED_VALUE"""),"B24_VD_9.mp3")</f>
        <v>B24_VD_9.mp3</v>
      </c>
    </row>
    <row r="2250" spans="1:13">
      <c r="A2250" s="13">
        <f ca="1">IFERROR(__xludf.DUMMYFUNCTION("""COMPUTED_VALUE"""),10)</f>
        <v>10</v>
      </c>
      <c r="B2250" s="13"/>
      <c r="C2250" s="13" t="str">
        <f ca="1">IFERROR(__xludf.DUMMYFUNCTION("""COMPUTED_VALUE"""),"地理")</f>
        <v>地理</v>
      </c>
      <c r="D2250" s="13" t="str">
        <f ca="1">IFERROR(__xludf.DUMMYFUNCTION("""COMPUTED_VALUE"""),"&lt;ruby&gt;地理&lt;rt&gt;dìlǐ&lt;/rt&gt;&lt;/ruby&gt;")</f>
        <v>&lt;ruby&gt;地理&lt;rt&gt;dìlǐ&lt;/rt&gt;&lt;/ruby&gt;</v>
      </c>
      <c r="E2250" s="13" t="str">
        <f ca="1">IFERROR(__xludf.DUMMYFUNCTION("""COMPUTED_VALUE"""),"dìlǐ")</f>
        <v>dìlǐ</v>
      </c>
      <c r="F2250" s="13" t="str">
        <f ca="1">IFERROR(__xludf.DUMMYFUNCTION("""COMPUTED_VALUE"""),"Danh từ")</f>
        <v>Danh từ</v>
      </c>
      <c r="G2250" s="13" t="str">
        <f ca="1">IFERROR(__xludf.DUMMYFUNCTION("""COMPUTED_VALUE"""),"địa lý")</f>
        <v>địa lý</v>
      </c>
      <c r="H2250" s="13" t="str">
        <f ca="1">IFERROR(__xludf.DUMMYFUNCTION("""COMPUTED_VALUE"""),"我最感兴趣的科目是地理。")</f>
        <v>我最感兴趣的科目是地理。</v>
      </c>
      <c r="I2250" s="13"/>
      <c r="J2250" s="13" t="str">
        <f ca="1">IFERROR(__xludf.DUMMYFUNCTION("""COMPUTED_VALUE"""),"Môn học khiến tôi hứng thú nhất là môn địa lý.")</f>
        <v>Môn học khiến tôi hứng thú nhất là môn địa lý.</v>
      </c>
      <c r="K2250" s="13" t="str">
        <f ca="1">IFERROR(__xludf.DUMMYFUNCTION("""COMPUTED_VALUE"""),"H5_B24_BG-10.png")</f>
        <v>H5_B24_BG-10.png</v>
      </c>
      <c r="L2250" s="13" t="str">
        <f ca="1">IFERROR(__xludf.DUMMYFUNCTION("""COMPUTED_VALUE"""),"B24_10.mp3")</f>
        <v>B24_10.mp3</v>
      </c>
      <c r="M2250" s="13" t="str">
        <f ca="1">IFERROR(__xludf.DUMMYFUNCTION("""COMPUTED_VALUE"""),"B24_VD_10.mp3")</f>
        <v>B24_VD_10.mp3</v>
      </c>
    </row>
    <row r="2251" spans="1:13">
      <c r="A2251" s="13">
        <f ca="1">IFERROR(__xludf.DUMMYFUNCTION("""COMPUTED_VALUE"""),11)</f>
        <v>11</v>
      </c>
      <c r="B2251" s="13"/>
      <c r="C2251" s="13" t="str">
        <f ca="1">IFERROR(__xludf.DUMMYFUNCTION("""COMPUTED_VALUE"""),"主题")</f>
        <v>主题</v>
      </c>
      <c r="D2251" s="13" t="str">
        <f ca="1">IFERROR(__xludf.DUMMYFUNCTION("""COMPUTED_VALUE"""),"&lt;ruby&gt;主题&lt;rt&gt;zhǔtí&lt;/rt&gt;&lt;/ruby&gt;")</f>
        <v>&lt;ruby&gt;主题&lt;rt&gt;zhǔtí&lt;/rt&gt;&lt;/ruby&gt;</v>
      </c>
      <c r="E2251" s="13" t="str">
        <f ca="1">IFERROR(__xludf.DUMMYFUNCTION("""COMPUTED_VALUE"""),"zhǔtí")</f>
        <v>zhǔtí</v>
      </c>
      <c r="F2251" s="13" t="str">
        <f ca="1">IFERROR(__xludf.DUMMYFUNCTION("""COMPUTED_VALUE"""),"Danh từ")</f>
        <v>Danh từ</v>
      </c>
      <c r="G2251" s="13" t="str">
        <f ca="1">IFERROR(__xludf.DUMMYFUNCTION("""COMPUTED_VALUE"""),"chủ đề")</f>
        <v>chủ đề</v>
      </c>
      <c r="H2251" s="13" t="str">
        <f ca="1">IFERROR(__xludf.DUMMYFUNCTION("""COMPUTED_VALUE"""),"这次会议的主题是如何提高团队合作效率。")</f>
        <v>这次会议的主题是如何提高团队合作效率。</v>
      </c>
      <c r="I2251" s="13"/>
      <c r="J2251" s="13" t="str">
        <f ca="1">IFERROR(__xludf.DUMMYFUNCTION("""COMPUTED_VALUE"""),"Chủ đề của cuộc họp lần này là cách nâng cao hiệu quả hợp tác của nhóm.")</f>
        <v>Chủ đề của cuộc họp lần này là cách nâng cao hiệu quả hợp tác của nhóm.</v>
      </c>
      <c r="K2251" s="13" t="str">
        <f ca="1">IFERROR(__xludf.DUMMYFUNCTION("""COMPUTED_VALUE"""),"H5_B24_BG-11.png")</f>
        <v>H5_B24_BG-11.png</v>
      </c>
      <c r="L2251" s="13" t="str">
        <f ca="1">IFERROR(__xludf.DUMMYFUNCTION("""COMPUTED_VALUE"""),"B24_11.mp3")</f>
        <v>B24_11.mp3</v>
      </c>
      <c r="M2251" s="13" t="str">
        <f ca="1">IFERROR(__xludf.DUMMYFUNCTION("""COMPUTED_VALUE"""),"B24_VD_11.mp3")</f>
        <v>B24_VD_11.mp3</v>
      </c>
    </row>
    <row r="2252" spans="1:13">
      <c r="A2252" s="13">
        <f ca="1">IFERROR(__xludf.DUMMYFUNCTION("""COMPUTED_VALUE"""),12)</f>
        <v>12</v>
      </c>
      <c r="B2252" s="13"/>
      <c r="C2252" s="13" t="str">
        <f ca="1">IFERROR(__xludf.DUMMYFUNCTION("""COMPUTED_VALUE"""),"力量")</f>
        <v>力量</v>
      </c>
      <c r="D2252" s="13" t="str">
        <f ca="1">IFERROR(__xludf.DUMMYFUNCTION("""COMPUTED_VALUE"""),"&lt;ruby&gt;力量&lt;rt&gt;lìliàng&lt;/rt&gt;&lt;/ruby&gt;")</f>
        <v>&lt;ruby&gt;力量&lt;rt&gt;lìliàng&lt;/rt&gt;&lt;/ruby&gt;</v>
      </c>
      <c r="E2252" s="13" t="str">
        <f ca="1">IFERROR(__xludf.DUMMYFUNCTION("""COMPUTED_VALUE"""),"lìliàng")</f>
        <v>lìliàng</v>
      </c>
      <c r="F2252" s="13" t="str">
        <f ca="1">IFERROR(__xludf.DUMMYFUNCTION("""COMPUTED_VALUE"""),"Danh từ")</f>
        <v>Danh từ</v>
      </c>
      <c r="G2252" s="13" t="str">
        <f ca="1">IFERROR(__xludf.DUMMYFUNCTION("""COMPUTED_VALUE"""),"lực lượng, sức mạnh, sức lực")</f>
        <v>lực lượng, sức mạnh, sức lực</v>
      </c>
      <c r="H2252" s="13" t="str">
        <f ca="1">IFERROR(__xludf.DUMMYFUNCTION("""COMPUTED_VALUE"""),"音乐给了我巨大的力量。")</f>
        <v>音乐给了我巨大的力量。</v>
      </c>
      <c r="I2252" s="13"/>
      <c r="J2252" s="13" t="str">
        <f ca="1">IFERROR(__xludf.DUMMYFUNCTION("""COMPUTED_VALUE"""),"Âm nhạc mang lại cho tôi sức mạnh to lớn.")</f>
        <v>Âm nhạc mang lại cho tôi sức mạnh to lớn.</v>
      </c>
      <c r="K2252" s="13" t="str">
        <f ca="1">IFERROR(__xludf.DUMMYFUNCTION("""COMPUTED_VALUE"""),"H5_B24_BG-12.png")</f>
        <v>H5_B24_BG-12.png</v>
      </c>
      <c r="L2252" s="13" t="str">
        <f ca="1">IFERROR(__xludf.DUMMYFUNCTION("""COMPUTED_VALUE"""),"B24_12.mp3")</f>
        <v>B24_12.mp3</v>
      </c>
      <c r="M2252" s="13" t="str">
        <f ca="1">IFERROR(__xludf.DUMMYFUNCTION("""COMPUTED_VALUE"""),"B24_VD_12.mp3")</f>
        <v>B24_VD_12.mp3</v>
      </c>
    </row>
    <row r="2253" spans="1:13">
      <c r="A2253" s="13">
        <f ca="1">IFERROR(__xludf.DUMMYFUNCTION("""COMPUTED_VALUE"""),13)</f>
        <v>13</v>
      </c>
      <c r="B2253" s="13"/>
      <c r="C2253" s="13" t="str">
        <f ca="1">IFERROR(__xludf.DUMMYFUNCTION("""COMPUTED_VALUE"""),"收获")</f>
        <v>收获</v>
      </c>
      <c r="D2253" s="13" t="str">
        <f ca="1">IFERROR(__xludf.DUMMYFUNCTION("""COMPUTED_VALUE"""),"&lt;ruby&gt;收获&lt;rt&gt;shōuhuò&lt;/rt&gt;&lt;/ruby&gt;")</f>
        <v>&lt;ruby&gt;收获&lt;rt&gt;shōuhuò&lt;/rt&gt;&lt;/ruby&gt;</v>
      </c>
      <c r="E2253" s="13" t="str">
        <f ca="1">IFERROR(__xludf.DUMMYFUNCTION("""COMPUTED_VALUE"""),"shōuhuò")</f>
        <v>shōuhuò</v>
      </c>
      <c r="F2253" s="13" t="str">
        <f ca="1">IFERROR(__xludf.DUMMYFUNCTION("""COMPUTED_VALUE"""),"Danh từ")</f>
        <v>Danh từ</v>
      </c>
      <c r="G2253" s="13" t="str">
        <f ca="1">IFERROR(__xludf.DUMMYFUNCTION("""COMPUTED_VALUE"""),"thu hoạch")</f>
        <v>thu hoạch</v>
      </c>
      <c r="H2253" s="13" t="str">
        <f ca="1">IFERROR(__xludf.DUMMYFUNCTION("""COMPUTED_VALUE"""),"这次旅行让我收获了很多珍贵的经历。")</f>
        <v>这次旅行让我收获了很多珍贵的经历。</v>
      </c>
      <c r="I2253" s="13"/>
      <c r="J2253" s="13" t="str">
        <f ca="1">IFERROR(__xludf.DUMMYFUNCTION("""COMPUTED_VALUE"""),"Chuyến đi này có nhiều trải nghiệm quý giá.")</f>
        <v>Chuyến đi này có nhiều trải nghiệm quý giá.</v>
      </c>
      <c r="K2253" s="13" t="str">
        <f ca="1">IFERROR(__xludf.DUMMYFUNCTION("""COMPUTED_VALUE"""),"H5_B24_BG-13.png")</f>
        <v>H5_B24_BG-13.png</v>
      </c>
      <c r="L2253" s="13" t="str">
        <f ca="1">IFERROR(__xludf.DUMMYFUNCTION("""COMPUTED_VALUE"""),"B24_13.mp3")</f>
        <v>B24_13.mp3</v>
      </c>
      <c r="M2253" s="13" t="str">
        <f ca="1">IFERROR(__xludf.DUMMYFUNCTION("""COMPUTED_VALUE"""),"B24_VD_13.mp3")</f>
        <v>B24_VD_13.mp3</v>
      </c>
    </row>
    <row r="2254" spans="1:13">
      <c r="A2254" s="13">
        <f ca="1">IFERROR(__xludf.DUMMYFUNCTION("""COMPUTED_VALUE"""),14)</f>
        <v>14</v>
      </c>
      <c r="B2254" s="13"/>
      <c r="C2254" s="13" t="str">
        <f ca="1">IFERROR(__xludf.DUMMYFUNCTION("""COMPUTED_VALUE"""),"交往")</f>
        <v>交往</v>
      </c>
      <c r="D2254" s="13" t="str">
        <f ca="1">IFERROR(__xludf.DUMMYFUNCTION("""COMPUTED_VALUE"""),"&lt;ruby&gt;交往&lt;rt&gt;jiāowǎng&lt;/rt&gt;&lt;/ruby&gt;")</f>
        <v>&lt;ruby&gt;交往&lt;rt&gt;jiāowǎng&lt;/rt&gt;&lt;/ruby&gt;</v>
      </c>
      <c r="E2254" s="13" t="str">
        <f ca="1">IFERROR(__xludf.DUMMYFUNCTION("""COMPUTED_VALUE"""),"jiāowǎng")</f>
        <v>jiāowǎng</v>
      </c>
      <c r="F2254" s="13" t="str">
        <f ca="1">IFERROR(__xludf.DUMMYFUNCTION("""COMPUTED_VALUE"""),"Động từ")</f>
        <v>Động từ</v>
      </c>
      <c r="G2254" s="13" t="str">
        <f ca="1">IFERROR(__xludf.DUMMYFUNCTION("""COMPUTED_VALUE"""),"giao du, kết bạn với")</f>
        <v>giao du, kết bạn với</v>
      </c>
      <c r="H2254" s="13" t="str">
        <f ca="1">IFERROR(__xludf.DUMMYFUNCTION("""COMPUTED_VALUE"""),"他们已经交往很多年了。")</f>
        <v>他们已经交往很多年了。</v>
      </c>
      <c r="I2254" s="13"/>
      <c r="J2254" s="13" t="str">
        <f ca="1">IFERROR(__xludf.DUMMYFUNCTION("""COMPUTED_VALUE"""),"Họ đã qua lại với nhau được nhiều năm.")</f>
        <v>Họ đã qua lại với nhau được nhiều năm.</v>
      </c>
      <c r="K2254" s="13" t="str">
        <f ca="1">IFERROR(__xludf.DUMMYFUNCTION("""COMPUTED_VALUE"""),"H5_B24_BG-14.png")</f>
        <v>H5_B24_BG-14.png</v>
      </c>
      <c r="L2254" s="13" t="str">
        <f ca="1">IFERROR(__xludf.DUMMYFUNCTION("""COMPUTED_VALUE"""),"B24_14.mp3")</f>
        <v>B24_14.mp3</v>
      </c>
      <c r="M2254" s="13" t="str">
        <f ca="1">IFERROR(__xludf.DUMMYFUNCTION("""COMPUTED_VALUE"""),"B24_VD_14.mp3")</f>
        <v>B24_VD_14.mp3</v>
      </c>
    </row>
    <row r="2255" spans="1:13">
      <c r="A2255" s="13">
        <f ca="1">IFERROR(__xludf.DUMMYFUNCTION("""COMPUTED_VALUE"""),15)</f>
        <v>15</v>
      </c>
      <c r="B2255" s="13"/>
      <c r="C2255" s="13" t="str">
        <f ca="1">IFERROR(__xludf.DUMMYFUNCTION("""COMPUTED_VALUE"""),"采访")</f>
        <v>采访</v>
      </c>
      <c r="D2255" s="13" t="str">
        <f ca="1">IFERROR(__xludf.DUMMYFUNCTION("""COMPUTED_VALUE"""),"&lt;ruby&gt;采访&lt;rt&gt;cǎifǎng&lt;/rt&gt;&lt;/ruby&gt;")</f>
        <v>&lt;ruby&gt;采访&lt;rt&gt;cǎifǎng&lt;/rt&gt;&lt;/ruby&gt;</v>
      </c>
      <c r="E2255" s="13" t="str">
        <f ca="1">IFERROR(__xludf.DUMMYFUNCTION("""COMPUTED_VALUE"""),"cǎifǎng")</f>
        <v>cǎifǎng</v>
      </c>
      <c r="F2255" s="13" t="str">
        <f ca="1">IFERROR(__xludf.DUMMYFUNCTION("""COMPUTED_VALUE"""),"Động từ")</f>
        <v>Động từ</v>
      </c>
      <c r="G2255" s="13" t="str">
        <f ca="1">IFERROR(__xludf.DUMMYFUNCTION("""COMPUTED_VALUE"""),"phỏng vấn")</f>
        <v>phỏng vấn</v>
      </c>
      <c r="H2255" s="13" t="str">
        <f ca="1">IFERROR(__xludf.DUMMYFUNCTION("""COMPUTED_VALUE"""),"她正在采访一位著名演员，讨论他的最新电影。")</f>
        <v>她正在采访一位著名演员，讨论他的最新电影。</v>
      </c>
      <c r="I2255" s="13"/>
      <c r="J2255" s="13" t="str">
        <f ca="1">IFERROR(__xludf.DUMMYFUNCTION("""COMPUTED_VALUE"""),"Cô ấy đang phỏng vấn một diễn viên nổi tiếng để thảo luận về bộ phim mới nhất của anh ấy.")</f>
        <v>Cô ấy đang phỏng vấn một diễn viên nổi tiếng để thảo luận về bộ phim mới nhất của anh ấy.</v>
      </c>
      <c r="K2255" s="13" t="str">
        <f ca="1">IFERROR(__xludf.DUMMYFUNCTION("""COMPUTED_VALUE"""),"H5_B24_BG-15.png")</f>
        <v>H5_B24_BG-15.png</v>
      </c>
      <c r="L2255" s="13" t="str">
        <f ca="1">IFERROR(__xludf.DUMMYFUNCTION("""COMPUTED_VALUE"""),"B24_15.mp3")</f>
        <v>B24_15.mp3</v>
      </c>
      <c r="M2255" s="13" t="str">
        <f ca="1">IFERROR(__xludf.DUMMYFUNCTION("""COMPUTED_VALUE"""),"B24_VD_15.mp3")</f>
        <v>B24_VD_15.mp3</v>
      </c>
    </row>
    <row r="2256" spans="1:13">
      <c r="A2256" s="13">
        <f ca="1">IFERROR(__xludf.DUMMYFUNCTION("""COMPUTED_VALUE"""),16)</f>
        <v>16</v>
      </c>
      <c r="B2256" s="13"/>
      <c r="C2256" s="13" t="str">
        <f ca="1">IFERROR(__xludf.DUMMYFUNCTION("""COMPUTED_VALUE"""),"行动")</f>
        <v>行动</v>
      </c>
      <c r="D2256" s="13" t="str">
        <f ca="1">IFERROR(__xludf.DUMMYFUNCTION("""COMPUTED_VALUE"""),"&lt;ruby&gt;行动&lt;rt&gt;xíngdòng&lt;/rt&gt;&lt;/ruby&gt;")</f>
        <v>&lt;ruby&gt;行动&lt;rt&gt;xíngdòng&lt;/rt&gt;&lt;/ruby&gt;</v>
      </c>
      <c r="E2256" s="13" t="str">
        <f ca="1">IFERROR(__xludf.DUMMYFUNCTION("""COMPUTED_VALUE"""),"xíngdòng")</f>
        <v>xíngdòng</v>
      </c>
      <c r="F2256" s="13" t="str">
        <f ca="1">IFERROR(__xludf.DUMMYFUNCTION("""COMPUTED_VALUE"""),"Danh từ")</f>
        <v>Danh từ</v>
      </c>
      <c r="G2256" s="13" t="str">
        <f ca="1">IFERROR(__xludf.DUMMYFUNCTION("""COMPUTED_VALUE"""),"hoạt động, hành động")</f>
        <v>hoạt động, hành động</v>
      </c>
      <c r="H2256" s="13" t="str">
        <f ca="1">IFERROR(__xludf.DUMMYFUNCTION("""COMPUTED_VALUE"""),"小狗在模仿我的行动。")</f>
        <v>小狗在模仿我的行动。</v>
      </c>
      <c r="I2256" s="13"/>
      <c r="J2256" s="13" t="str">
        <f ca="1">IFERROR(__xludf.DUMMYFUNCTION("""COMPUTED_VALUE"""),"Chú chó đang bắt chước theo hành động của tôi.")</f>
        <v>Chú chó đang bắt chước theo hành động của tôi.</v>
      </c>
      <c r="K2256" s="13" t="str">
        <f ca="1">IFERROR(__xludf.DUMMYFUNCTION("""COMPUTED_VALUE"""),"H5_B24_BG-16.png")</f>
        <v>H5_B24_BG-16.png</v>
      </c>
      <c r="L2256" s="13" t="str">
        <f ca="1">IFERROR(__xludf.DUMMYFUNCTION("""COMPUTED_VALUE"""),"B24_16.mp3")</f>
        <v>B24_16.mp3</v>
      </c>
      <c r="M2256" s="13" t="str">
        <f ca="1">IFERROR(__xludf.DUMMYFUNCTION("""COMPUTED_VALUE"""),"B24_VD_16.mp3")</f>
        <v>B24_VD_16.mp3</v>
      </c>
    </row>
    <row r="2257" spans="1:13">
      <c r="A2257" s="13">
        <f ca="1">IFERROR(__xludf.DUMMYFUNCTION("""COMPUTED_VALUE"""),17)</f>
        <v>17</v>
      </c>
      <c r="B2257" s="13"/>
      <c r="C2257" s="13" t="str">
        <f ca="1">IFERROR(__xludf.DUMMYFUNCTION("""COMPUTED_VALUE"""),"家访")</f>
        <v>家访</v>
      </c>
      <c r="D2257" s="13" t="str">
        <f ca="1">IFERROR(__xludf.DUMMYFUNCTION("""COMPUTED_VALUE"""),"&lt;ruby&gt;家访&lt;rt&gt;jiāfǎng&lt;/rt&gt;&lt;/ruby&gt;")</f>
        <v>&lt;ruby&gt;家访&lt;rt&gt;jiāfǎng&lt;/rt&gt;&lt;/ruby&gt;</v>
      </c>
      <c r="E2257" s="13" t="str">
        <f ca="1">IFERROR(__xludf.DUMMYFUNCTION("""COMPUTED_VALUE"""),"jiāfǎng")</f>
        <v>jiāfǎng</v>
      </c>
      <c r="F2257" s="13" t="str">
        <f ca="1">IFERROR(__xludf.DUMMYFUNCTION("""COMPUTED_VALUE"""),"Động từ")</f>
        <v>Động từ</v>
      </c>
      <c r="G2257" s="13" t="str">
        <f ca="1">IFERROR(__xludf.DUMMYFUNCTION("""COMPUTED_VALUE"""),"đi thăm hỏi các gia đình")</f>
        <v>đi thăm hỏi các gia đình</v>
      </c>
      <c r="H2257" s="13" t="str">
        <f ca="1">IFERROR(__xludf.DUMMYFUNCTION("""COMPUTED_VALUE"""),"为了更好地了解学生的情况，老师每个月都会进行家访。")</f>
        <v>为了更好地了解学生的情况，老师每个月都会进行家访。</v>
      </c>
      <c r="I2257" s="13"/>
      <c r="J2257" s="13" t="str">
        <f ca="1">IFERROR(__xludf.DUMMYFUNCTION("""COMPUTED_VALUE"""),"Để hiểu rõ hơn về hoàn cảnh của học sinh, giáo viên mỗi tháng đều sẽ đi thăm hỏi các gia đình.")</f>
        <v>Để hiểu rõ hơn về hoàn cảnh của học sinh, giáo viên mỗi tháng đều sẽ đi thăm hỏi các gia đình.</v>
      </c>
      <c r="K2257" s="13" t="str">
        <f ca="1">IFERROR(__xludf.DUMMYFUNCTION("""COMPUTED_VALUE"""),"H5_B24_BG-17.png")</f>
        <v>H5_B24_BG-17.png</v>
      </c>
      <c r="L2257" s="13" t="str">
        <f ca="1">IFERROR(__xludf.DUMMYFUNCTION("""COMPUTED_VALUE"""),"B24_17.mp3")</f>
        <v>B24_17.mp3</v>
      </c>
      <c r="M2257" s="13" t="str">
        <f ca="1">IFERROR(__xludf.DUMMYFUNCTION("""COMPUTED_VALUE"""),"B24_VD_17.mp3")</f>
        <v>B24_VD_17.mp3</v>
      </c>
    </row>
    <row r="2258" spans="1:13">
      <c r="A2258" s="13">
        <f ca="1">IFERROR(__xludf.DUMMYFUNCTION("""COMPUTED_VALUE"""),18)</f>
        <v>18</v>
      </c>
      <c r="B2258" s="13"/>
      <c r="C2258" s="13" t="str">
        <f ca="1">IFERROR(__xludf.DUMMYFUNCTION("""COMPUTED_VALUE"""),"家务")</f>
        <v>家务</v>
      </c>
      <c r="D2258" s="13" t="str">
        <f ca="1">IFERROR(__xludf.DUMMYFUNCTION("""COMPUTED_VALUE"""),"&lt;ruby&gt;家务&lt;rt&gt;jiāwù&lt;/rt&gt;&lt;/ruby&gt;")</f>
        <v>&lt;ruby&gt;家务&lt;rt&gt;jiāwù&lt;/rt&gt;&lt;/ruby&gt;</v>
      </c>
      <c r="E2258" s="13" t="str">
        <f ca="1">IFERROR(__xludf.DUMMYFUNCTION("""COMPUTED_VALUE"""),"jiāwù")</f>
        <v>jiāwù</v>
      </c>
      <c r="F2258" s="13" t="str">
        <f ca="1">IFERROR(__xludf.DUMMYFUNCTION("""COMPUTED_VALUE"""),"Danh từ")</f>
        <v>Danh từ</v>
      </c>
      <c r="G2258" s="13" t="str">
        <f ca="1">IFERROR(__xludf.DUMMYFUNCTION("""COMPUTED_VALUE"""),"việc nhà")</f>
        <v>việc nhà</v>
      </c>
      <c r="H2258" s="13" t="str">
        <f ca="1">IFERROR(__xludf.DUMMYFUNCTION("""COMPUTED_VALUE"""),"每天下课后，我都会帮妈妈做家务。")</f>
        <v>每天下课后，我都会帮妈妈做家务。</v>
      </c>
      <c r="I2258" s="13"/>
      <c r="J2258" s="13" t="str">
        <f ca="1">IFERROR(__xludf.DUMMYFUNCTION("""COMPUTED_VALUE"""),"Mỗi ngày sau khi tan học, tôi đều giúp mẹ làm việc nhà.")</f>
        <v>Mỗi ngày sau khi tan học, tôi đều giúp mẹ làm việc nhà.</v>
      </c>
      <c r="K2258" s="13" t="str">
        <f ca="1">IFERROR(__xludf.DUMMYFUNCTION("""COMPUTED_VALUE"""),"H5_B24_BG-18.png")</f>
        <v>H5_B24_BG-18.png</v>
      </c>
      <c r="L2258" s="13" t="str">
        <f ca="1">IFERROR(__xludf.DUMMYFUNCTION("""COMPUTED_VALUE"""),"B24_18.mp3")</f>
        <v>B24_18.mp3</v>
      </c>
      <c r="M2258" s="13" t="str">
        <f ca="1">IFERROR(__xludf.DUMMYFUNCTION("""COMPUTED_VALUE"""),"B24_VD_18.mp3")</f>
        <v>B24_VD_18.mp3</v>
      </c>
    </row>
    <row r="2259" spans="1:13">
      <c r="A2259" s="13">
        <f ca="1">IFERROR(__xludf.DUMMYFUNCTION("""COMPUTED_VALUE"""),19)</f>
        <v>19</v>
      </c>
      <c r="B2259" s="13"/>
      <c r="C2259" s="13" t="str">
        <f ca="1">IFERROR(__xludf.DUMMYFUNCTION("""COMPUTED_VALUE"""),"体贴")</f>
        <v>体贴</v>
      </c>
      <c r="D2259" s="13" t="str">
        <f ca="1">IFERROR(__xludf.DUMMYFUNCTION("""COMPUTED_VALUE"""),"&lt;ruby&gt;体贴&lt;rt&gt;tǐtiē&lt;/rt&gt;&lt;/ruby&gt;")</f>
        <v>&lt;ruby&gt;体贴&lt;rt&gt;tǐtiē&lt;/rt&gt;&lt;/ruby&gt;</v>
      </c>
      <c r="E2259" s="13" t="str">
        <f ca="1">IFERROR(__xludf.DUMMYFUNCTION("""COMPUTED_VALUE"""),"tǐtiē")</f>
        <v>tǐtiē</v>
      </c>
      <c r="F2259" s="13" t="str">
        <f ca="1">IFERROR(__xludf.DUMMYFUNCTION("""COMPUTED_VALUE"""),"Tính từ")</f>
        <v>Tính từ</v>
      </c>
      <c r="G2259" s="13" t="str">
        <f ca="1">IFERROR(__xludf.DUMMYFUNCTION("""COMPUTED_VALUE"""),"chu đáo, ân cần")</f>
        <v>chu đáo, ân cần</v>
      </c>
      <c r="H2259" s="13" t="str">
        <f ca="1">IFERROR(__xludf.DUMMYFUNCTION("""COMPUTED_VALUE"""),"我的丈夫非常体贴，每次我生病，他都会给我煮粥。")</f>
        <v>我的丈夫非常体贴，每次我生病，他都会给我煮粥。</v>
      </c>
      <c r="I2259" s="13"/>
      <c r="J2259" s="13" t="str">
        <f ca="1">IFERROR(__xludf.DUMMYFUNCTION("""COMPUTED_VALUE"""),"Chồng tôi rất chu đáo, mỗi lần tôi ốm, anh ấy luôn nấu cháo cho tôi.")</f>
        <v>Chồng tôi rất chu đáo, mỗi lần tôi ốm, anh ấy luôn nấu cháo cho tôi.</v>
      </c>
      <c r="K2259" s="13" t="str">
        <f ca="1">IFERROR(__xludf.DUMMYFUNCTION("""COMPUTED_VALUE"""),"H5_B24_BG-19.png")</f>
        <v>H5_B24_BG-19.png</v>
      </c>
      <c r="L2259" s="13" t="str">
        <f ca="1">IFERROR(__xludf.DUMMYFUNCTION("""COMPUTED_VALUE"""),"B24_19.mp3")</f>
        <v>B24_19.mp3</v>
      </c>
      <c r="M2259" s="13" t="str">
        <f ca="1">IFERROR(__xludf.DUMMYFUNCTION("""COMPUTED_VALUE"""),"B24_VD_19.mp3")</f>
        <v>B24_VD_19.mp3</v>
      </c>
    </row>
    <row r="2260" spans="1:13">
      <c r="A2260" s="13">
        <f ca="1">IFERROR(__xludf.DUMMYFUNCTION("""COMPUTED_VALUE"""),20)</f>
        <v>20</v>
      </c>
      <c r="B2260" s="13"/>
      <c r="C2260" s="13" t="str">
        <f ca="1">IFERROR(__xludf.DUMMYFUNCTION("""COMPUTED_VALUE"""),"青壮年")</f>
        <v>青壮年</v>
      </c>
      <c r="D2260" s="13" t="str">
        <f ca="1">IFERROR(__xludf.DUMMYFUNCTION("""COMPUTED_VALUE"""),"&lt;ruby&gt;青壮年&lt;rt&gt;qīng-zhuàngnián&lt;/rt&gt;&lt;/ruby&gt;")</f>
        <v>&lt;ruby&gt;青壮年&lt;rt&gt;qīng-zhuàngnián&lt;/rt&gt;&lt;/ruby&gt;</v>
      </c>
      <c r="E2260" s="13" t="str">
        <f ca="1">IFERROR(__xludf.DUMMYFUNCTION("""COMPUTED_VALUE"""),"qīng-zhuàngnián")</f>
        <v>qīng-zhuàngnián</v>
      </c>
      <c r="F2260" s="13"/>
      <c r="G2260" s="13" t="str">
        <f ca="1">IFERROR(__xludf.DUMMYFUNCTION("""COMPUTED_VALUE"""),"thanh niên và tráng niên")</f>
        <v>thanh niên và tráng niên</v>
      </c>
      <c r="H2260" s="13" t="str">
        <f ca="1">IFERROR(__xludf.DUMMYFUNCTION("""COMPUTED_VALUE"""),"青壮年是军队的重要力量，他们肩负着保卫国家的责任。")</f>
        <v>青壮年是军队的重要力量，他们肩负着保卫国家的责任。</v>
      </c>
      <c r="I2260" s="13"/>
      <c r="J2260" s="13" t="str">
        <f ca="1">IFERROR(__xludf.DUMMYFUNCTION("""COMPUTED_VALUE"""),"Thanh niên và tráng niên là lực lượng quan trọng trong quân đội, họ gánh vác trách nhiệm bảo vệ đất nước.")</f>
        <v>Thanh niên và tráng niên là lực lượng quan trọng trong quân đội, họ gánh vác trách nhiệm bảo vệ đất nước.</v>
      </c>
      <c r="K2260" s="13" t="str">
        <f ca="1">IFERROR(__xludf.DUMMYFUNCTION("""COMPUTED_VALUE"""),"H5_B24_BG-20.png")</f>
        <v>H5_B24_BG-20.png</v>
      </c>
      <c r="L2260" s="13" t="str">
        <f ca="1">IFERROR(__xludf.DUMMYFUNCTION("""COMPUTED_VALUE"""),"B24_20.mp3")</f>
        <v>B24_20.mp3</v>
      </c>
      <c r="M2260" s="13" t="str">
        <f ca="1">IFERROR(__xludf.DUMMYFUNCTION("""COMPUTED_VALUE"""),"B24_VD_20.mp3")</f>
        <v>B24_VD_20.mp3</v>
      </c>
    </row>
    <row r="2261" spans="1:13">
      <c r="A2261" s="13">
        <f ca="1">IFERROR(__xludf.DUMMYFUNCTION("""COMPUTED_VALUE"""),21)</f>
        <v>21</v>
      </c>
      <c r="B2261" s="13"/>
      <c r="C2261" s="13" t="str">
        <f ca="1">IFERROR(__xludf.DUMMYFUNCTION("""COMPUTED_VALUE"""),"留守")</f>
        <v>留守</v>
      </c>
      <c r="D2261" s="13" t="str">
        <f ca="1">IFERROR(__xludf.DUMMYFUNCTION("""COMPUTED_VALUE"""),"&lt;ruby&gt;留守&lt;rt&gt;liúshǒu&lt;/rt&gt;&lt;/ruby&gt;")</f>
        <v>&lt;ruby&gt;留守&lt;rt&gt;liúshǒu&lt;/rt&gt;&lt;/ruby&gt;</v>
      </c>
      <c r="E2261" s="13" t="str">
        <f ca="1">IFERROR(__xludf.DUMMYFUNCTION("""COMPUTED_VALUE"""),"liúshǒu")</f>
        <v>liúshǒu</v>
      </c>
      <c r="F2261" s="13" t="str">
        <f ca="1">IFERROR(__xludf.DUMMYFUNCTION("""COMPUTED_VALUE"""),"Động từ")</f>
        <v>Động từ</v>
      </c>
      <c r="G2261" s="13" t="str">
        <f ca="1">IFERROR(__xludf.DUMMYFUNCTION("""COMPUTED_VALUE"""),"ở lại để giữ gìn mọi thứ")</f>
        <v>ở lại để giữ gìn mọi thứ</v>
      </c>
      <c r="H2261" s="13" t="str">
        <f ca="1">IFERROR(__xludf.DUMMYFUNCTION("""COMPUTED_VALUE"""),"工人们轮流留守加班。")</f>
        <v>工人们轮流留守加班。</v>
      </c>
      <c r="I2261" s="13"/>
      <c r="J2261" s="13" t="str">
        <f ca="1">IFERROR(__xludf.DUMMYFUNCTION("""COMPUTED_VALUE"""),"Công nhân thay phiên nhau ở lại tăng ca.")</f>
        <v>Công nhân thay phiên nhau ở lại tăng ca.</v>
      </c>
      <c r="K2261" s="13" t="str">
        <f ca="1">IFERROR(__xludf.DUMMYFUNCTION("""COMPUTED_VALUE"""),"H5_B24_BG-21.png")</f>
        <v>H5_B24_BG-21.png</v>
      </c>
      <c r="L2261" s="13" t="str">
        <f ca="1">IFERROR(__xludf.DUMMYFUNCTION("""COMPUTED_VALUE"""),"B24_21.mp3")</f>
        <v>B24_21.mp3</v>
      </c>
      <c r="M2261" s="13" t="str">
        <f ca="1">IFERROR(__xludf.DUMMYFUNCTION("""COMPUTED_VALUE"""),"B24_VD_21.mp3")</f>
        <v>B24_VD_21.mp3</v>
      </c>
    </row>
    <row r="2262" spans="1:13">
      <c r="A2262" s="13">
        <f ca="1">IFERROR(__xludf.DUMMYFUNCTION("""COMPUTED_VALUE"""),22)</f>
        <v>22</v>
      </c>
      <c r="B2262" s="13"/>
      <c r="C2262" s="13" t="str">
        <f ca="1">IFERROR(__xludf.DUMMYFUNCTION("""COMPUTED_VALUE"""),"利用")</f>
        <v>利用</v>
      </c>
      <c r="D2262" s="13" t="str">
        <f ca="1">IFERROR(__xludf.DUMMYFUNCTION("""COMPUTED_VALUE"""),"&lt;ruby&gt;利用&lt;rt&gt;lìyòng&lt;/rt&gt;&lt;/ruby&gt;")</f>
        <v>&lt;ruby&gt;利用&lt;rt&gt;lìyòng&lt;/rt&gt;&lt;/ruby&gt;</v>
      </c>
      <c r="E2262" s="13" t="str">
        <f ca="1">IFERROR(__xludf.DUMMYFUNCTION("""COMPUTED_VALUE"""),"lìyòng")</f>
        <v>lìyòng</v>
      </c>
      <c r="F2262" s="13" t="str">
        <f ca="1">IFERROR(__xludf.DUMMYFUNCTION("""COMPUTED_VALUE"""),"Động từ")</f>
        <v>Động từ</v>
      </c>
      <c r="G2262" s="13" t="str">
        <f ca="1">IFERROR(__xludf.DUMMYFUNCTION("""COMPUTED_VALUE"""),"sử dụng, dùng")</f>
        <v>sử dụng, dùng</v>
      </c>
      <c r="H2262" s="13" t="str">
        <f ca="1">IFERROR(__xludf.DUMMYFUNCTION("""COMPUTED_VALUE"""),"我利用电脑来学习，而不是玩游戏。")</f>
        <v>我利用电脑来学习，而不是玩游戏。</v>
      </c>
      <c r="I2262" s="13"/>
      <c r="J2262" s="13" t="str">
        <f ca="1">IFERROR(__xludf.DUMMYFUNCTION("""COMPUTED_VALUE"""),"Tôi đã tận dụng máy tính vào việc học thay vì chơi game.")</f>
        <v>Tôi đã tận dụng máy tính vào việc học thay vì chơi game.</v>
      </c>
      <c r="K2262" s="13" t="str">
        <f ca="1">IFERROR(__xludf.DUMMYFUNCTION("""COMPUTED_VALUE"""),"H5_B24_BG-22.png")</f>
        <v>H5_B24_BG-22.png</v>
      </c>
      <c r="L2262" s="13" t="str">
        <f ca="1">IFERROR(__xludf.DUMMYFUNCTION("""COMPUTED_VALUE"""),"B24_22.mp3")</f>
        <v>B24_22.mp3</v>
      </c>
      <c r="M2262" s="13" t="str">
        <f ca="1">IFERROR(__xludf.DUMMYFUNCTION("""COMPUTED_VALUE"""),"B24_VD_22.mp3")</f>
        <v>B24_VD_22.mp3</v>
      </c>
    </row>
    <row r="2263" spans="1:13">
      <c r="A2263" s="13">
        <f ca="1">IFERROR(__xludf.DUMMYFUNCTION("""COMPUTED_VALUE"""),23)</f>
        <v>23</v>
      </c>
      <c r="B2263" s="13"/>
      <c r="C2263" s="13" t="str">
        <f ca="1">IFERROR(__xludf.DUMMYFUNCTION("""COMPUTED_VALUE"""),"空闲")</f>
        <v>空闲</v>
      </c>
      <c r="D2263" s="13" t="str">
        <f ca="1">IFERROR(__xludf.DUMMYFUNCTION("""COMPUTED_VALUE"""),"&lt;ruby&gt;空闲&lt;rt&gt;kōngxián&lt;/rt&gt;&lt;/ruby&gt;")</f>
        <v>&lt;ruby&gt;空闲&lt;rt&gt;kōngxián&lt;/rt&gt;&lt;/ruby&gt;</v>
      </c>
      <c r="E2263" s="13" t="str">
        <f ca="1">IFERROR(__xludf.DUMMYFUNCTION("""COMPUTED_VALUE"""),"kōngxián")</f>
        <v>kōngxián</v>
      </c>
      <c r="F2263" s="13" t="str">
        <f ca="1">IFERROR(__xludf.DUMMYFUNCTION("""COMPUTED_VALUE"""),"Tính từ")</f>
        <v>Tính từ</v>
      </c>
      <c r="G2263" s="13" t="str">
        <f ca="1">IFERROR(__xludf.DUMMYFUNCTION("""COMPUTED_VALUE"""),"nhàn rỗi, rỗi rãi")</f>
        <v>nhàn rỗi, rỗi rãi</v>
      </c>
      <c r="H2263" s="13" t="str">
        <f ca="1">IFERROR(__xludf.DUMMYFUNCTION("""COMPUTED_VALUE"""),"每当空闲时，我都会帮妈妈做家务。")</f>
        <v>每当空闲时，我都会帮妈妈做家务。</v>
      </c>
      <c r="I2263" s="13"/>
      <c r="J2263" s="13" t="str">
        <f ca="1">IFERROR(__xludf.DUMMYFUNCTION("""COMPUTED_VALUE"""),"Mỗi khi nhàn rỗi tôi thường giúp mẹ làm việc nhà.")</f>
        <v>Mỗi khi nhàn rỗi tôi thường giúp mẹ làm việc nhà.</v>
      </c>
      <c r="K2263" s="13" t="str">
        <f ca="1">IFERROR(__xludf.DUMMYFUNCTION("""COMPUTED_VALUE"""),"H5_B24_BG-23.png")</f>
        <v>H5_B24_BG-23.png</v>
      </c>
      <c r="L2263" s="13" t="str">
        <f ca="1">IFERROR(__xludf.DUMMYFUNCTION("""COMPUTED_VALUE"""),"B24_23.mp3")</f>
        <v>B24_23.mp3</v>
      </c>
      <c r="M2263" s="13" t="str">
        <f ca="1">IFERROR(__xludf.DUMMYFUNCTION("""COMPUTED_VALUE"""),"B24_VD_23.mp3")</f>
        <v>B24_VD_23.mp3</v>
      </c>
    </row>
    <row r="2264" spans="1:13">
      <c r="A2264" s="13">
        <f ca="1">IFERROR(__xludf.DUMMYFUNCTION("""COMPUTED_VALUE"""),24)</f>
        <v>24</v>
      </c>
      <c r="B2264" s="13"/>
      <c r="C2264" s="13" t="str">
        <f ca="1">IFERROR(__xludf.DUMMYFUNCTION("""COMPUTED_VALUE"""),"建设")</f>
        <v>建设</v>
      </c>
      <c r="D2264" s="13" t="str">
        <f ca="1">IFERROR(__xludf.DUMMYFUNCTION("""COMPUTED_VALUE"""),"&lt;ruby&gt;建设&lt;rt&gt;jiànshè&lt;/rt&gt;&lt;/ruby&gt;")</f>
        <v>&lt;ruby&gt;建设&lt;rt&gt;jiànshè&lt;/rt&gt;&lt;/ruby&gt;</v>
      </c>
      <c r="E2264" s="13" t="str">
        <f ca="1">IFERROR(__xludf.DUMMYFUNCTION("""COMPUTED_VALUE"""),"jiànshè")</f>
        <v>jiànshè</v>
      </c>
      <c r="F2264" s="13" t="str">
        <f ca="1">IFERROR(__xludf.DUMMYFUNCTION("""COMPUTED_VALUE"""),"Động từ")</f>
        <v>Động từ</v>
      </c>
      <c r="G2264" s="13" t="str">
        <f ca="1">IFERROR(__xludf.DUMMYFUNCTION("""COMPUTED_VALUE"""),"xây dựng, kiến thiết")</f>
        <v>xây dựng, kiến thiết</v>
      </c>
      <c r="H2264" s="13" t="str">
        <f ca="1">IFERROR(__xludf.DUMMYFUNCTION("""COMPUTED_VALUE"""),"政府正在投资建设新的交通网络，以缓解城市交通压力。")</f>
        <v>政府正在投资建设新的交通网络，以缓解城市交通压力。</v>
      </c>
      <c r="I2264" s="13"/>
      <c r="J2264" s="13" t="str">
        <f ca="1">IFERROR(__xludf.DUMMYFUNCTION("""COMPUTED_VALUE"""),"Chính phủ đang đầu tư xây dựng một mạng lưới giao thông mới để giảm bớt áp lực giao thông trong thành phố.")</f>
        <v>Chính phủ đang đầu tư xây dựng một mạng lưới giao thông mới để giảm bớt áp lực giao thông trong thành phố.</v>
      </c>
      <c r="K2264" s="13" t="str">
        <f ca="1">IFERROR(__xludf.DUMMYFUNCTION("""COMPUTED_VALUE"""),"H5_B24_BG-24.png")</f>
        <v>H5_B24_BG-24.png</v>
      </c>
      <c r="L2264" s="13" t="str">
        <f ca="1">IFERROR(__xludf.DUMMYFUNCTION("""COMPUTED_VALUE"""),"B24_24.mp3")</f>
        <v>B24_24.mp3</v>
      </c>
      <c r="M2264" s="13" t="str">
        <f ca="1">IFERROR(__xludf.DUMMYFUNCTION("""COMPUTED_VALUE"""),"B24_VD_24.mp3")</f>
        <v>B24_VD_24.mp3</v>
      </c>
    </row>
    <row r="2265" spans="1:13">
      <c r="A2265" s="13">
        <f ca="1">IFERROR(__xludf.DUMMYFUNCTION("""COMPUTED_VALUE"""),25)</f>
        <v>25</v>
      </c>
      <c r="B2265" s="13"/>
      <c r="C2265" s="13" t="str">
        <f ca="1">IFERROR(__xludf.DUMMYFUNCTION("""COMPUTED_VALUE"""),"承担")</f>
        <v>承担</v>
      </c>
      <c r="D2265" s="13" t="str">
        <f ca="1">IFERROR(__xludf.DUMMYFUNCTION("""COMPUTED_VALUE"""),"&lt;ruby&gt;承担&lt;rt&gt;chéngdān&lt;/rt&gt;&lt;/ruby&gt;")</f>
        <v>&lt;ruby&gt;承担&lt;rt&gt;chéngdān&lt;/rt&gt;&lt;/ruby&gt;</v>
      </c>
      <c r="E2265" s="13" t="str">
        <f ca="1">IFERROR(__xludf.DUMMYFUNCTION("""COMPUTED_VALUE"""),"chéngdān")</f>
        <v>chéngdān</v>
      </c>
      <c r="F2265" s="13" t="str">
        <f ca="1">IFERROR(__xludf.DUMMYFUNCTION("""COMPUTED_VALUE"""),"Động từ")</f>
        <v>Động từ</v>
      </c>
      <c r="G2265" s="13" t="str">
        <f ca="1">IFERROR(__xludf.DUMMYFUNCTION("""COMPUTED_VALUE"""),"gánh vác, đảm nhận")</f>
        <v>gánh vác, đảm nhận</v>
      </c>
      <c r="H2265" s="13" t="str">
        <f ca="1">IFERROR(__xludf.DUMMYFUNCTION("""COMPUTED_VALUE"""),"他在公司承担着非常重要的职责，负责管理整个项目。")</f>
        <v>他在公司承担着非常重要的职责，负责管理整个项目。</v>
      </c>
      <c r="I2265" s="13"/>
      <c r="J2265" s="13" t="str">
        <f ca="1">IFERROR(__xludf.DUMMYFUNCTION("""COMPUTED_VALUE"""),"Anh ấy đảm nhận trách nhiệm rất quan trọng trong công ty, chịu trách nhiệm quản lý toàn bộ dự án.")</f>
        <v>Anh ấy đảm nhận trách nhiệm rất quan trọng trong công ty, chịu trách nhiệm quản lý toàn bộ dự án.</v>
      </c>
      <c r="K2265" s="13" t="str">
        <f ca="1">IFERROR(__xludf.DUMMYFUNCTION("""COMPUTED_VALUE"""),"H5_B24_BG-25.png")</f>
        <v>H5_B24_BG-25.png</v>
      </c>
      <c r="L2265" s="13" t="str">
        <f ca="1">IFERROR(__xludf.DUMMYFUNCTION("""COMPUTED_VALUE"""),"B24_25.mp3")</f>
        <v>B24_25.mp3</v>
      </c>
      <c r="M2265" s="13" t="str">
        <f ca="1">IFERROR(__xludf.DUMMYFUNCTION("""COMPUTED_VALUE"""),"B24_VD_25.mp3")</f>
        <v>B24_VD_25.mp3</v>
      </c>
    </row>
    <row r="2266" spans="1:13">
      <c r="A2266" s="13">
        <f ca="1">IFERROR(__xludf.DUMMYFUNCTION("""COMPUTED_VALUE"""),26)</f>
        <v>26</v>
      </c>
      <c r="B2266" s="13"/>
      <c r="C2266" s="13" t="str">
        <f ca="1">IFERROR(__xludf.DUMMYFUNCTION("""COMPUTED_VALUE"""),"义务")</f>
        <v>义务</v>
      </c>
      <c r="D2266" s="13" t="str">
        <f ca="1">IFERROR(__xludf.DUMMYFUNCTION("""COMPUTED_VALUE"""),"&lt;ruby&gt;义务&lt;rt&gt;yìwù&lt;/rt&gt;&lt;/ruby&gt;")</f>
        <v>&lt;ruby&gt;义务&lt;rt&gt;yìwù&lt;/rt&gt;&lt;/ruby&gt;</v>
      </c>
      <c r="E2266" s="13" t="str">
        <f ca="1">IFERROR(__xludf.DUMMYFUNCTION("""COMPUTED_VALUE"""),"yìwù")</f>
        <v>yìwù</v>
      </c>
      <c r="F2266" s="13" t="str">
        <f ca="1">IFERROR(__xludf.DUMMYFUNCTION("""COMPUTED_VALUE"""),"Danh từ")</f>
        <v>Danh từ</v>
      </c>
      <c r="G2266" s="13" t="str">
        <f ca="1">IFERROR(__xludf.DUMMYFUNCTION("""COMPUTED_VALUE"""),"nghĩa vụ")</f>
        <v>nghĩa vụ</v>
      </c>
      <c r="H2266" s="13" t="str">
        <f ca="1">IFERROR(__xludf.DUMMYFUNCTION("""COMPUTED_VALUE"""),"作为父母，照顾孩子是我们的责任和义务。")</f>
        <v>作为父母，照顾孩子是我们的责任和义务。</v>
      </c>
      <c r="I2266" s="13"/>
      <c r="J2266" s="13" t="str">
        <f ca="1">IFERROR(__xludf.DUMMYFUNCTION("""COMPUTED_VALUE"""),"Là cha mẹ, việc chăm sóc con cái là trách nhiệm và nghĩa vụ của chúng tôi.")</f>
        <v>Là cha mẹ, việc chăm sóc con cái là trách nhiệm và nghĩa vụ của chúng tôi.</v>
      </c>
      <c r="K2266" s="13" t="str">
        <f ca="1">IFERROR(__xludf.DUMMYFUNCTION("""COMPUTED_VALUE"""),"H5_B24_BG-26.png")</f>
        <v>H5_B24_BG-26.png</v>
      </c>
      <c r="L2266" s="13" t="str">
        <f ca="1">IFERROR(__xludf.DUMMYFUNCTION("""COMPUTED_VALUE"""),"B24_26.mp3")</f>
        <v>B24_26.mp3</v>
      </c>
      <c r="M2266" s="13" t="str">
        <f ca="1">IFERROR(__xludf.DUMMYFUNCTION("""COMPUTED_VALUE"""),"B24_VD_26.mp3")</f>
        <v>B24_VD_26.mp3</v>
      </c>
    </row>
    <row r="2267" spans="1:13">
      <c r="A2267" s="13">
        <f ca="1">IFERROR(__xludf.DUMMYFUNCTION("""COMPUTED_VALUE"""),27)</f>
        <v>27</v>
      </c>
      <c r="B2267" s="13"/>
      <c r="C2267" s="13" t="str">
        <f ca="1">IFERROR(__xludf.DUMMYFUNCTION("""COMPUTED_VALUE"""),"艰巨")</f>
        <v>艰巨</v>
      </c>
      <c r="D2267" s="13" t="str">
        <f ca="1">IFERROR(__xludf.DUMMYFUNCTION("""COMPUTED_VALUE"""),"&lt;ruby&gt;艰巨&lt;rt&gt;jiānjù&lt;/rt&gt;&lt;/ruby&gt;")</f>
        <v>&lt;ruby&gt;艰巨&lt;rt&gt;jiānjù&lt;/rt&gt;&lt;/ruby&gt;</v>
      </c>
      <c r="E2267" s="13" t="str">
        <f ca="1">IFERROR(__xludf.DUMMYFUNCTION("""COMPUTED_VALUE"""),"jiānjù")</f>
        <v>jiānjù</v>
      </c>
      <c r="F2267" s="13" t="str">
        <f ca="1">IFERROR(__xludf.DUMMYFUNCTION("""COMPUTED_VALUE"""),"Tính từ")</f>
        <v>Tính từ</v>
      </c>
      <c r="G2267" s="13" t="str">
        <f ca="1">IFERROR(__xludf.DUMMYFUNCTION("""COMPUTED_VALUE"""),"gian khổ, nặng nề")</f>
        <v>gian khổ, nặng nề</v>
      </c>
      <c r="H2267" s="13" t="str">
        <f ca="1">IFERROR(__xludf.DUMMYFUNCTION("""COMPUTED_VALUE"""),"登上珠穆朗玛峰是一项艰巨的挑战，只有少数人能够成功。")</f>
        <v>登上珠穆朗玛峰是一项艰巨的挑战，只有少数人能够成功。</v>
      </c>
      <c r="I2267" s="13"/>
      <c r="J2267" s="13" t="str">
        <f ca="1">IFERROR(__xludf.DUMMYFUNCTION("""COMPUTED_VALUE""")," Leo lên đỉnh Everest là một thử thách gian khổ, chỉ có một ít người có thể thành công.")</f>
        <v xml:space="preserve"> Leo lên đỉnh Everest là một thử thách gian khổ, chỉ có một ít người có thể thành công.</v>
      </c>
      <c r="K2267" s="13" t="str">
        <f ca="1">IFERROR(__xludf.DUMMYFUNCTION("""COMPUTED_VALUE"""),"H5_B24_BG-27.png")</f>
        <v>H5_B24_BG-27.png</v>
      </c>
      <c r="L2267" s="13" t="str">
        <f ca="1">IFERROR(__xludf.DUMMYFUNCTION("""COMPUTED_VALUE"""),"B24_27.mp3")</f>
        <v>B24_27.mp3</v>
      </c>
      <c r="M2267" s="13" t="str">
        <f ca="1">IFERROR(__xludf.DUMMYFUNCTION("""COMPUTED_VALUE"""),"B24_VD_27.mp3")</f>
        <v>B24_VD_27.mp3</v>
      </c>
    </row>
    <row r="2268" spans="1:13">
      <c r="A2268" s="13">
        <f ca="1">IFERROR(__xludf.DUMMYFUNCTION("""COMPUTED_VALUE"""),28)</f>
        <v>28</v>
      </c>
      <c r="B2268" s="13"/>
      <c r="C2268" s="13" t="str">
        <f ca="1">IFERROR(__xludf.DUMMYFUNCTION("""COMPUTED_VALUE"""),"操心")</f>
        <v>操心</v>
      </c>
      <c r="D2268" s="13" t="str">
        <f ca="1">IFERROR(__xludf.DUMMYFUNCTION("""COMPUTED_VALUE"""),"&lt;ruby&gt;操心&lt;rt&gt;cāo xīn&lt;/rt&gt;&lt;/ruby&gt;")</f>
        <v>&lt;ruby&gt;操心&lt;rt&gt;cāo xīn&lt;/rt&gt;&lt;/ruby&gt;</v>
      </c>
      <c r="E2268" s="13" t="str">
        <f ca="1">IFERROR(__xludf.DUMMYFUNCTION("""COMPUTED_VALUE"""),"cāo xīn")</f>
        <v>cāo xīn</v>
      </c>
      <c r="F2268" s="13" t="str">
        <f ca="1">IFERROR(__xludf.DUMMYFUNCTION("""COMPUTED_VALUE"""),"Động từ")</f>
        <v>Động từ</v>
      </c>
      <c r="G2268" s="13" t="str">
        <f ca="1">IFERROR(__xludf.DUMMYFUNCTION("""COMPUTED_VALUE"""),"bận tâm, lo nghĩ")</f>
        <v>bận tâm, lo nghĩ</v>
      </c>
      <c r="H2268" s="13" t="str">
        <f ca="1">IFERROR(__xludf.DUMMYFUNCTION("""COMPUTED_VALUE"""),"她总是操心家里的经济问题，操心家人过得不好。")</f>
        <v>她总是操心家里的经济问题，操心家人过得不好。</v>
      </c>
      <c r="I2268" s="13"/>
      <c r="J2268" s="13" t="str">
        <f ca="1">IFERROR(__xludf.DUMMYFUNCTION("""COMPUTED_VALUE"""),"Cô ấy luôn lo lắng về vấn đề tài chính trong gia đình, sợ rằng gia đình sẽ sống không tốt.")</f>
        <v>Cô ấy luôn lo lắng về vấn đề tài chính trong gia đình, sợ rằng gia đình sẽ sống không tốt.</v>
      </c>
      <c r="K2268" s="13" t="str">
        <f ca="1">IFERROR(__xludf.DUMMYFUNCTION("""COMPUTED_VALUE"""),"H5_B24_BG-28.png")</f>
        <v>H5_B24_BG-28.png</v>
      </c>
      <c r="L2268" s="13" t="str">
        <f ca="1">IFERROR(__xludf.DUMMYFUNCTION("""COMPUTED_VALUE"""),"B24_28.mp3")</f>
        <v>B24_28.mp3</v>
      </c>
      <c r="M2268" s="13" t="str">
        <f ca="1">IFERROR(__xludf.DUMMYFUNCTION("""COMPUTED_VALUE"""),"B24_VD_28.mp3")</f>
        <v>B24_VD_28.mp3</v>
      </c>
    </row>
    <row r="2269" spans="1:13">
      <c r="A2269" s="13">
        <f ca="1">IFERROR(__xludf.DUMMYFUNCTION("""COMPUTED_VALUE"""),29)</f>
        <v>29</v>
      </c>
      <c r="B2269" s="13"/>
      <c r="C2269" s="13" t="str">
        <f ca="1">IFERROR(__xludf.DUMMYFUNCTION("""COMPUTED_VALUE"""),"排练")</f>
        <v>排练</v>
      </c>
      <c r="D2269" s="13" t="str">
        <f ca="1">IFERROR(__xludf.DUMMYFUNCTION("""COMPUTED_VALUE"""),"&lt;ruby&gt;排练&lt;rt&gt;páiliàn&lt;/rt&gt;&lt;/ruby&gt;")</f>
        <v>&lt;ruby&gt;排练&lt;rt&gt;páiliàn&lt;/rt&gt;&lt;/ruby&gt;</v>
      </c>
      <c r="E2269" s="13" t="str">
        <f ca="1">IFERROR(__xludf.DUMMYFUNCTION("""COMPUTED_VALUE"""),"páiliàn")</f>
        <v>páiliàn</v>
      </c>
      <c r="F2269" s="13" t="str">
        <f ca="1">IFERROR(__xludf.DUMMYFUNCTION("""COMPUTED_VALUE"""),"Động từ")</f>
        <v>Động từ</v>
      </c>
      <c r="G2269" s="13" t="str">
        <f ca="1">IFERROR(__xludf.DUMMYFUNCTION("""COMPUTED_VALUE"""),"diễn tập, tập luyện")</f>
        <v>diễn tập, tập luyện</v>
      </c>
      <c r="H2269" s="13" t="str">
        <f ca="1">IFERROR(__xludf.DUMMYFUNCTION("""COMPUTED_VALUE"""),"为了准备即将到来的文艺演出，我们每天都在排练。")</f>
        <v>为了准备即将到来的文艺演出，我们每天都在排练。</v>
      </c>
      <c r="I2269" s="13"/>
      <c r="J2269" s="13" t="str">
        <f ca="1">IFERROR(__xludf.DUMMYFUNCTION("""COMPUTED_VALUE"""),"Để chuẩn bị cho chương trình văn nghệ sắp tới, chúng tôi đều tập luyện mỗi ngày.")</f>
        <v>Để chuẩn bị cho chương trình văn nghệ sắp tới, chúng tôi đều tập luyện mỗi ngày.</v>
      </c>
      <c r="K2269" s="13" t="str">
        <f ca="1">IFERROR(__xludf.DUMMYFUNCTION("""COMPUTED_VALUE"""),"H5_B24_BG-29.png")</f>
        <v>H5_B24_BG-29.png</v>
      </c>
      <c r="L2269" s="13" t="str">
        <f ca="1">IFERROR(__xludf.DUMMYFUNCTION("""COMPUTED_VALUE"""),"B24_29.mp3")</f>
        <v>B24_29.mp3</v>
      </c>
      <c r="M2269" s="13" t="str">
        <f ca="1">IFERROR(__xludf.DUMMYFUNCTION("""COMPUTED_VALUE"""),"B24_VD_29.mp3")</f>
        <v>B24_VD_29.mp3</v>
      </c>
    </row>
    <row r="2270" spans="1:13">
      <c r="A2270" s="13">
        <f ca="1">IFERROR(__xludf.DUMMYFUNCTION("""COMPUTED_VALUE"""),30)</f>
        <v>30</v>
      </c>
      <c r="B2270" s="13"/>
      <c r="C2270" s="13" t="str">
        <f ca="1">IFERROR(__xludf.DUMMYFUNCTION("""COMPUTED_VALUE"""),"蝴蝶")</f>
        <v>蝴蝶</v>
      </c>
      <c r="D2270" s="13" t="str">
        <f ca="1">IFERROR(__xludf.DUMMYFUNCTION("""COMPUTED_VALUE"""),"&lt;ruby&gt;蝴蝶&lt;rt&gt;húdié&lt;/rt&gt;&lt;/ruby&gt;")</f>
        <v>&lt;ruby&gt;蝴蝶&lt;rt&gt;húdié&lt;/rt&gt;&lt;/ruby&gt;</v>
      </c>
      <c r="E2270" s="13" t="str">
        <f ca="1">IFERROR(__xludf.DUMMYFUNCTION("""COMPUTED_VALUE"""),"húdié")</f>
        <v>húdié</v>
      </c>
      <c r="F2270" s="13" t="str">
        <f ca="1">IFERROR(__xludf.DUMMYFUNCTION("""COMPUTED_VALUE"""),"Danh từ")</f>
        <v>Danh từ</v>
      </c>
      <c r="G2270" s="13" t="str">
        <f ca="1">IFERROR(__xludf.DUMMYFUNCTION("""COMPUTED_VALUE"""),"bươm bướm")</f>
        <v>bươm bướm</v>
      </c>
      <c r="H2270" s="13" t="str">
        <f ca="1">IFERROR(__xludf.DUMMYFUNCTION("""COMPUTED_VALUE"""),"这种蝴蝶非常漂亮。")</f>
        <v>这种蝴蝶非常漂亮。</v>
      </c>
      <c r="I2270" s="13"/>
      <c r="J2270" s="13" t="str">
        <f ca="1">IFERROR(__xludf.DUMMYFUNCTION("""COMPUTED_VALUE"""),"Loài bướm này rất đẹp.")</f>
        <v>Loài bướm này rất đẹp.</v>
      </c>
      <c r="K2270" s="13" t="str">
        <f ca="1">IFERROR(__xludf.DUMMYFUNCTION("""COMPUTED_VALUE"""),"H5_B24_BG-30.png")</f>
        <v>H5_B24_BG-30.png</v>
      </c>
      <c r="L2270" s="13" t="str">
        <f ca="1">IFERROR(__xludf.DUMMYFUNCTION("""COMPUTED_VALUE"""),"B24_30.mp3")</f>
        <v>B24_30.mp3</v>
      </c>
      <c r="M2270" s="13" t="str">
        <f ca="1">IFERROR(__xludf.DUMMYFUNCTION("""COMPUTED_VALUE"""),"B24_VD_30.mp3")</f>
        <v>B24_VD_30.mp3</v>
      </c>
    </row>
    <row r="2271" spans="1:13">
      <c r="A2271" s="13">
        <f ca="1">IFERROR(__xludf.DUMMYFUNCTION("""COMPUTED_VALUE"""),31)</f>
        <v>31</v>
      </c>
      <c r="B2271" s="13"/>
      <c r="C2271" s="13" t="str">
        <f ca="1">IFERROR(__xludf.DUMMYFUNCTION("""COMPUTED_VALUE"""),"舞蹈")</f>
        <v>舞蹈</v>
      </c>
      <c r="D2271" s="13" t="str">
        <f ca="1">IFERROR(__xludf.DUMMYFUNCTION("""COMPUTED_VALUE"""),"&lt;ruby&gt;舞蹈&lt;rt&gt;wǔdǎo&lt;/rt&gt;&lt;/ruby&gt;")</f>
        <v>&lt;ruby&gt;舞蹈&lt;rt&gt;wǔdǎo&lt;/rt&gt;&lt;/ruby&gt;</v>
      </c>
      <c r="E2271" s="13" t="str">
        <f ca="1">IFERROR(__xludf.DUMMYFUNCTION("""COMPUTED_VALUE"""),"wǔdǎo")</f>
        <v>wǔdǎo</v>
      </c>
      <c r="F2271" s="13" t="str">
        <f ca="1">IFERROR(__xludf.DUMMYFUNCTION("""COMPUTED_VALUE"""),"Danh từ")</f>
        <v>Danh từ</v>
      </c>
      <c r="G2271" s="13" t="str">
        <f ca="1">IFERROR(__xludf.DUMMYFUNCTION("""COMPUTED_VALUE"""),"sự nhảy múa")</f>
        <v>sự nhảy múa</v>
      </c>
      <c r="H2271" s="13" t="str">
        <f ca="1">IFERROR(__xludf.DUMMYFUNCTION("""COMPUTED_VALUE"""),"她的舞蹈非常优美，赢得了观众的热烈掌声。")</f>
        <v>她的舞蹈非常优美，赢得了观众的热烈掌声。</v>
      </c>
      <c r="I2271" s="13"/>
      <c r="J2271" s="13" t="str">
        <f ca="1">IFERROR(__xludf.DUMMYFUNCTION("""COMPUTED_VALUE"""),"Điệu múa của cô ấy rất đẹp, đã nhận được tiếng vỗ tay nồng nhiệt từ khán giả.")</f>
        <v>Điệu múa của cô ấy rất đẹp, đã nhận được tiếng vỗ tay nồng nhiệt từ khán giả.</v>
      </c>
      <c r="K2271" s="13" t="str">
        <f ca="1">IFERROR(__xludf.DUMMYFUNCTION("""COMPUTED_VALUE"""),"H5_B24_BG-31.png")</f>
        <v>H5_B24_BG-31.png</v>
      </c>
      <c r="L2271" s="13" t="str">
        <f ca="1">IFERROR(__xludf.DUMMYFUNCTION("""COMPUTED_VALUE"""),"B24_31.mp3")</f>
        <v>B24_31.mp3</v>
      </c>
      <c r="M2271" s="13" t="str">
        <f ca="1">IFERROR(__xludf.DUMMYFUNCTION("""COMPUTED_VALUE"""),"B24_VD_31.mp3")</f>
        <v>B24_VD_31.mp3</v>
      </c>
    </row>
    <row r="2272" spans="1:13">
      <c r="A2272" s="13">
        <f ca="1">IFERROR(__xludf.DUMMYFUNCTION("""COMPUTED_VALUE"""),32)</f>
        <v>32</v>
      </c>
      <c r="B2272" s="13"/>
      <c r="C2272" s="13" t="str">
        <f ca="1">IFERROR(__xludf.DUMMYFUNCTION("""COMPUTED_VALUE"""),"冠军")</f>
        <v>冠军</v>
      </c>
      <c r="D2272" s="13" t="str">
        <f ca="1">IFERROR(__xludf.DUMMYFUNCTION("""COMPUTED_VALUE"""),"&lt;ruby&gt;冠军&lt;rt&gt;guànjūn&lt;/rt&gt;&lt;/ruby&gt;")</f>
        <v>&lt;ruby&gt;冠军&lt;rt&gt;guànjūn&lt;/rt&gt;&lt;/ruby&gt;</v>
      </c>
      <c r="E2272" s="13" t="str">
        <f ca="1">IFERROR(__xludf.DUMMYFUNCTION("""COMPUTED_VALUE"""),"guànjūn")</f>
        <v>guànjūn</v>
      </c>
      <c r="F2272" s="13" t="str">
        <f ca="1">IFERROR(__xludf.DUMMYFUNCTION("""COMPUTED_VALUE"""),"Danh từ")</f>
        <v>Danh từ</v>
      </c>
      <c r="G2272" s="13" t="str">
        <f ca="1">IFERROR(__xludf.DUMMYFUNCTION("""COMPUTED_VALUE"""),"quán quân, giải nhất")</f>
        <v>quán quân, giải nhất</v>
      </c>
      <c r="H2272" s="13" t="str">
        <f ca="1">IFERROR(__xludf.DUMMYFUNCTION("""COMPUTED_VALUE"""),"她在市级田径比赛中获得了冠军。")</f>
        <v>她在市级田径比赛中获得了冠军。</v>
      </c>
      <c r="I2272" s="13"/>
      <c r="J2272" s="13" t="str">
        <f ca="1">IFERROR(__xludf.DUMMYFUNCTION("""COMPUTED_VALUE"""),"Cô ấy đã giành được giải quán quân trong cuộc thi chạy cấp Thành Phố.")</f>
        <v>Cô ấy đã giành được giải quán quân trong cuộc thi chạy cấp Thành Phố.</v>
      </c>
      <c r="K2272" s="13" t="str">
        <f ca="1">IFERROR(__xludf.DUMMYFUNCTION("""COMPUTED_VALUE"""),"H5_B24_BG-32.png")</f>
        <v>H5_B24_BG-32.png</v>
      </c>
      <c r="L2272" s="13" t="str">
        <f ca="1">IFERROR(__xludf.DUMMYFUNCTION("""COMPUTED_VALUE"""),"B24_32.mp3")</f>
        <v>B24_32.mp3</v>
      </c>
      <c r="M2272" s="13" t="str">
        <f ca="1">IFERROR(__xludf.DUMMYFUNCTION("""COMPUTED_VALUE"""),"B24_VD_32.mp3")</f>
        <v>B24_VD_32.mp3</v>
      </c>
    </row>
    <row r="2273" spans="1:13">
      <c r="A2273" s="13">
        <f ca="1">IFERROR(__xludf.DUMMYFUNCTION("""COMPUTED_VALUE"""),33)</f>
        <v>33</v>
      </c>
      <c r="B2273" s="13"/>
      <c r="C2273" s="13" t="str">
        <f ca="1">IFERROR(__xludf.DUMMYFUNCTION("""COMPUTED_VALUE"""),"鼓掌")</f>
        <v>鼓掌</v>
      </c>
      <c r="D2273" s="13" t="str">
        <f ca="1">IFERROR(__xludf.DUMMYFUNCTION("""COMPUTED_VALUE"""),"&lt;ruby&gt;鼓掌&lt;rt&gt;gǔ zhǎng&lt;/rt&gt;&lt;/ruby&gt;")</f>
        <v>&lt;ruby&gt;鼓掌&lt;rt&gt;gǔ zhǎng&lt;/rt&gt;&lt;/ruby&gt;</v>
      </c>
      <c r="E2273" s="13" t="str">
        <f ca="1">IFERROR(__xludf.DUMMYFUNCTION("""COMPUTED_VALUE"""),"gǔ zhǎng")</f>
        <v>gǔ zhǎng</v>
      </c>
      <c r="F2273" s="13" t="str">
        <f ca="1">IFERROR(__xludf.DUMMYFUNCTION("""COMPUTED_VALUE"""),"Động từ")</f>
        <v>Động từ</v>
      </c>
      <c r="G2273" s="13" t="str">
        <f ca="1">IFERROR(__xludf.DUMMYFUNCTION("""COMPUTED_VALUE"""),"vỗ tay")</f>
        <v>vỗ tay</v>
      </c>
      <c r="H2273" s="13" t="str">
        <f ca="1">IFERROR(__xludf.DUMMYFUNCTION("""COMPUTED_VALUE"""),"她的演讲非常精彩，结束后大家都鼓掌表示赞赏。")</f>
        <v>她的演讲非常精彩，结束后大家都鼓掌表示赞赏。</v>
      </c>
      <c r="I2273" s="13"/>
      <c r="J2273" s="13" t="str">
        <f ca="1">IFERROR(__xludf.DUMMYFUNCTION("""COMPUTED_VALUE"""),"Bài diễn thuyết của cô ấy rất xuất sắc, khi kết thúc, mọi người đều vỗ tay để thể hiện sự khen ngợi.")</f>
        <v>Bài diễn thuyết của cô ấy rất xuất sắc, khi kết thúc, mọi người đều vỗ tay để thể hiện sự khen ngợi.</v>
      </c>
      <c r="K2273" s="13" t="str">
        <f ca="1">IFERROR(__xludf.DUMMYFUNCTION("""COMPUTED_VALUE"""),"H5_B24_BG-33.png")</f>
        <v>H5_B24_BG-33.png</v>
      </c>
      <c r="L2273" s="13" t="str">
        <f ca="1">IFERROR(__xludf.DUMMYFUNCTION("""COMPUTED_VALUE"""),"B24_33.mp3")</f>
        <v>B24_33.mp3</v>
      </c>
      <c r="M2273" s="13" t="str">
        <f ca="1">IFERROR(__xludf.DUMMYFUNCTION("""COMPUTED_VALUE"""),"B24_VD_33.mp3")</f>
        <v>B24_VD_33.mp3</v>
      </c>
    </row>
    <row r="2274" spans="1:13">
      <c r="A2274" s="13">
        <f ca="1">IFERROR(__xludf.DUMMYFUNCTION("""COMPUTED_VALUE"""),34)</f>
        <v>34</v>
      </c>
      <c r="B2274" s="13"/>
      <c r="C2274" s="13" t="str">
        <f ca="1">IFERROR(__xludf.DUMMYFUNCTION("""COMPUTED_VALUE"""),"温柔")</f>
        <v>温柔</v>
      </c>
      <c r="D2274" s="13" t="str">
        <f ca="1">IFERROR(__xludf.DUMMYFUNCTION("""COMPUTED_VALUE"""),"&lt;ruby&gt;温柔&lt;rt&gt;wēnróu&lt;/rt&gt;&lt;/ruby&gt;")</f>
        <v>&lt;ruby&gt;温柔&lt;rt&gt;wēnróu&lt;/rt&gt;&lt;/ruby&gt;</v>
      </c>
      <c r="E2274" s="13" t="str">
        <f ca="1">IFERROR(__xludf.DUMMYFUNCTION("""COMPUTED_VALUE"""),"wēnróu")</f>
        <v>wēnróu</v>
      </c>
      <c r="F2274" s="13" t="str">
        <f ca="1">IFERROR(__xludf.DUMMYFUNCTION("""COMPUTED_VALUE"""),"Tính từ")</f>
        <v>Tính từ</v>
      </c>
      <c r="G2274" s="13" t="str">
        <f ca="1">IFERROR(__xludf.DUMMYFUNCTION("""COMPUTED_VALUE"""),"dịu dàng, êm dịu, mềm mại")</f>
        <v>dịu dàng, êm dịu, mềm mại</v>
      </c>
      <c r="H2274" s="13" t="str">
        <f ca="1">IFERROR(__xludf.DUMMYFUNCTION("""COMPUTED_VALUE"""),"他的性格很温柔。")</f>
        <v>他的性格很温柔。</v>
      </c>
      <c r="I2274" s="13"/>
      <c r="J2274" s="13" t="str">
        <f ca="1">IFERROR(__xludf.DUMMYFUNCTION("""COMPUTED_VALUE"""),"Tính cách của anh ấy rất dịu dàng.")</f>
        <v>Tính cách của anh ấy rất dịu dàng.</v>
      </c>
      <c r="K2274" s="13" t="str">
        <f ca="1">IFERROR(__xludf.DUMMYFUNCTION("""COMPUTED_VALUE"""),"H5_B24_BG-34.png")</f>
        <v>H5_B24_BG-34.png</v>
      </c>
      <c r="L2274" s="13" t="str">
        <f ca="1">IFERROR(__xludf.DUMMYFUNCTION("""COMPUTED_VALUE"""),"B24_34.mp3")</f>
        <v>B24_34.mp3</v>
      </c>
      <c r="M2274" s="13" t="str">
        <f ca="1">IFERROR(__xludf.DUMMYFUNCTION("""COMPUTED_VALUE"""),"B24_VD_34.mp3")</f>
        <v>B24_VD_34.mp3</v>
      </c>
    </row>
    <row r="2275" spans="1:13">
      <c r="A2275" s="13">
        <f ca="1">IFERROR(__xludf.DUMMYFUNCTION("""COMPUTED_VALUE"""),35)</f>
        <v>35</v>
      </c>
      <c r="B2275" s="13"/>
      <c r="C2275" s="13" t="str">
        <f ca="1">IFERROR(__xludf.DUMMYFUNCTION("""COMPUTED_VALUE"""),"热烈")</f>
        <v>热烈</v>
      </c>
      <c r="D2275" s="13" t="str">
        <f ca="1">IFERROR(__xludf.DUMMYFUNCTION("""COMPUTED_VALUE"""),"&lt;ruby&gt;热烈&lt;rt&gt;rèliè&lt;/rt&gt;&lt;/ruby&gt;")</f>
        <v>&lt;ruby&gt;热烈&lt;rt&gt;rèliè&lt;/rt&gt;&lt;/ruby&gt;</v>
      </c>
      <c r="E2275" s="13" t="str">
        <f ca="1">IFERROR(__xludf.DUMMYFUNCTION("""COMPUTED_VALUE"""),"rèliè")</f>
        <v>rèliè</v>
      </c>
      <c r="F2275" s="13" t="str">
        <f ca="1">IFERROR(__xludf.DUMMYFUNCTION("""COMPUTED_VALUE"""),"Tính từ")</f>
        <v>Tính từ</v>
      </c>
      <c r="G2275" s="13" t="str">
        <f ca="1">IFERROR(__xludf.DUMMYFUNCTION("""COMPUTED_VALUE"""),"nhiệt liệt, sôi động")</f>
        <v>nhiệt liệt, sôi động</v>
      </c>
      <c r="H2275" s="13" t="str">
        <f ca="1">IFERROR(__xludf.DUMMYFUNCTION("""COMPUTED_VALUE"""),"音乐会结束后，粉丝们热烈鼓掌和欢呼。")</f>
        <v>音乐会结束后，粉丝们热烈鼓掌和欢呼。</v>
      </c>
      <c r="I2275" s="13"/>
      <c r="J2275" s="13" t="str">
        <f ca="1">IFERROR(__xludf.DUMMYFUNCTION("""COMPUTED_VALUE"""),"Sau khi buổi hòa nhạc kết thúc, các fan vỗ tay và hò reo nhiệt liệt")</f>
        <v>Sau khi buổi hòa nhạc kết thúc, các fan vỗ tay và hò reo nhiệt liệt</v>
      </c>
      <c r="K2275" s="13" t="str">
        <f ca="1">IFERROR(__xludf.DUMMYFUNCTION("""COMPUTED_VALUE"""),"H5_B24_BG-35.png")</f>
        <v>H5_B24_BG-35.png</v>
      </c>
      <c r="L2275" s="13" t="str">
        <f ca="1">IFERROR(__xludf.DUMMYFUNCTION("""COMPUTED_VALUE"""),"B24_35.mp3")</f>
        <v>B24_35.mp3</v>
      </c>
      <c r="M2275" s="13" t="str">
        <f ca="1">IFERROR(__xludf.DUMMYFUNCTION("""COMPUTED_VALUE"""),"B24_VD_35.mp3")</f>
        <v>B24_VD_35.mp3</v>
      </c>
    </row>
    <row r="2276" spans="1:13">
      <c r="A2276" s="13">
        <f ca="1">IFERROR(__xludf.DUMMYFUNCTION("""COMPUTED_VALUE"""),36)</f>
        <v>36</v>
      </c>
      <c r="B2276" s="13"/>
      <c r="C2276" s="13" t="str">
        <f ca="1">IFERROR(__xludf.DUMMYFUNCTION("""COMPUTED_VALUE"""),"勇气")</f>
        <v>勇气</v>
      </c>
      <c r="D2276" s="13" t="str">
        <f ca="1">IFERROR(__xludf.DUMMYFUNCTION("""COMPUTED_VALUE"""),"&lt;ruby&gt;勇气&lt;rt&gt;yǒngqì&lt;/rt&gt;&lt;/ruby&gt;")</f>
        <v>&lt;ruby&gt;勇气&lt;rt&gt;yǒngqì&lt;/rt&gt;&lt;/ruby&gt;</v>
      </c>
      <c r="E2276" s="13" t="str">
        <f ca="1">IFERROR(__xludf.DUMMYFUNCTION("""COMPUTED_VALUE"""),"yǒngqì")</f>
        <v>yǒngqì</v>
      </c>
      <c r="F2276" s="13" t="str">
        <f ca="1">IFERROR(__xludf.DUMMYFUNCTION("""COMPUTED_VALUE"""),"Danh từ")</f>
        <v>Danh từ</v>
      </c>
      <c r="G2276" s="13" t="str">
        <f ca="1">IFERROR(__xludf.DUMMYFUNCTION("""COMPUTED_VALUE"""),"sự can đảm")</f>
        <v>sự can đảm</v>
      </c>
      <c r="H2276" s="13" t="str">
        <f ca="1">IFERROR(__xludf.DUMMYFUNCTION("""COMPUTED_VALUE"""),"消防员充满勇气，不顾自身安危冲进火场救人。")</f>
        <v>消防员充满勇气，不顾自身安危冲进火场救人。</v>
      </c>
      <c r="I2276" s="13"/>
      <c r="J2276" s="13" t="str">
        <f ca="1">IFERROR(__xludf.DUMMYFUNCTION("""COMPUTED_VALUE"""),"Những người lính cứu hỏa tràn đầy dũng khí, không màng nguy hiểm lao vào đám cháy cứu người.")</f>
        <v>Những người lính cứu hỏa tràn đầy dũng khí, không màng nguy hiểm lao vào đám cháy cứu người.</v>
      </c>
      <c r="K2276" s="13" t="str">
        <f ca="1">IFERROR(__xludf.DUMMYFUNCTION("""COMPUTED_VALUE"""),"H5_B24_BG-36.png")</f>
        <v>H5_B24_BG-36.png</v>
      </c>
      <c r="L2276" s="13" t="str">
        <f ca="1">IFERROR(__xludf.DUMMYFUNCTION("""COMPUTED_VALUE"""),"B24_36.mp3")</f>
        <v>B24_36.mp3</v>
      </c>
      <c r="M2276" s="13" t="str">
        <f ca="1">IFERROR(__xludf.DUMMYFUNCTION("""COMPUTED_VALUE"""),"B24_VD_36.mp3")</f>
        <v>B24_VD_36.mp3</v>
      </c>
    </row>
    <row r="2277" spans="1:13">
      <c r="A2277" s="13">
        <f ca="1">IFERROR(__xludf.DUMMYFUNCTION("""COMPUTED_VALUE"""),37)</f>
        <v>37</v>
      </c>
      <c r="B2277" s="13"/>
      <c r="C2277" s="13" t="str">
        <f ca="1">IFERROR(__xludf.DUMMYFUNCTION("""COMPUTED_VALUE"""),"闯")</f>
        <v>闯</v>
      </c>
      <c r="D2277" s="13" t="str">
        <f ca="1">IFERROR(__xludf.DUMMYFUNCTION("""COMPUTED_VALUE"""),"&lt;ruby&gt;闯&lt;rt&gt;chuǎng&lt;/rt&gt;&lt;/ruby&gt;")</f>
        <v>&lt;ruby&gt;闯&lt;rt&gt;chuǎng&lt;/rt&gt;&lt;/ruby&gt;</v>
      </c>
      <c r="E2277" s="13" t="str">
        <f ca="1">IFERROR(__xludf.DUMMYFUNCTION("""COMPUTED_VALUE"""),"chuǎng")</f>
        <v>chuǎng</v>
      </c>
      <c r="F2277" s="13" t="str">
        <f ca="1">IFERROR(__xludf.DUMMYFUNCTION("""COMPUTED_VALUE"""),"Động từ")</f>
        <v>Động từ</v>
      </c>
      <c r="G2277" s="13" t="str">
        <f ca="1">IFERROR(__xludf.DUMMYFUNCTION("""COMPUTED_VALUE"""),"phiêu bạt, bôn ba, xông")</f>
        <v>phiêu bạt, bôn ba, xông</v>
      </c>
      <c r="H2277" s="13" t="str">
        <f ca="1">IFERROR(__xludf.DUMMYFUNCTION("""COMPUTED_VALUE"""),"我喜欢闯荡远方，记录生活中的美好瞬间。")</f>
        <v>我喜欢闯荡远方，记录生活中的美好瞬间。</v>
      </c>
      <c r="I2277" s="13"/>
      <c r="J2277" s="13" t="str">
        <f ca="1">IFERROR(__xludf.DUMMYFUNCTION("""COMPUTED_VALUE"""),"Tôi thích phiêu bạt đến những nơi xa xôi, ghi lại những tấm hình đẹp của cuộc sống.")</f>
        <v>Tôi thích phiêu bạt đến những nơi xa xôi, ghi lại những tấm hình đẹp của cuộc sống.</v>
      </c>
      <c r="K2277" s="13" t="str">
        <f ca="1">IFERROR(__xludf.DUMMYFUNCTION("""COMPUTED_VALUE"""),"H5_B24_BG-37.png")</f>
        <v>H5_B24_BG-37.png</v>
      </c>
      <c r="L2277" s="13" t="str">
        <f ca="1">IFERROR(__xludf.DUMMYFUNCTION("""COMPUTED_VALUE"""),"B24_37.mp3")</f>
        <v>B24_37.mp3</v>
      </c>
      <c r="M2277" s="13" t="str">
        <f ca="1">IFERROR(__xludf.DUMMYFUNCTION("""COMPUTED_VALUE"""),"B24_VD_37.mp3")</f>
        <v>B24_VD_37.mp3</v>
      </c>
    </row>
    <row r="2278" spans="1:13">
      <c r="A2278" s="13">
        <f ca="1">IFERROR(__xludf.DUMMYFUNCTION("""COMPUTED_VALUE"""),1)</f>
        <v>1</v>
      </c>
      <c r="B2278" s="13"/>
      <c r="C2278" s="13" t="str">
        <f ca="1">IFERROR(__xludf.DUMMYFUNCTION("""COMPUTED_VALUE"""),"返航")</f>
        <v>返航</v>
      </c>
      <c r="D2278" s="13" t="str">
        <f ca="1">IFERROR(__xludf.DUMMYFUNCTION("""COMPUTED_VALUE"""),"&lt;ruby&gt;返航&lt;rt&gt;fǎnháng&lt;/rt&gt;&lt;/ruby&gt;")</f>
        <v>&lt;ruby&gt;返航&lt;rt&gt;fǎnháng&lt;/rt&gt;&lt;/ruby&gt;</v>
      </c>
      <c r="E2278" s="13" t="str">
        <f ca="1">IFERROR(__xludf.DUMMYFUNCTION("""COMPUTED_VALUE"""),"fǎnháng")</f>
        <v>fǎnháng</v>
      </c>
      <c r="F2278" s="13" t="str">
        <f ca="1">IFERROR(__xludf.DUMMYFUNCTION("""COMPUTED_VALUE"""),"Động từ")</f>
        <v>Động từ</v>
      </c>
      <c r="G2278" s="13" t="str">
        <f ca="1">IFERROR(__xludf.DUMMYFUNCTION("""COMPUTED_VALUE"""),"trở về địa điểm xuất phát (tàu thuyền, máy bay...)")</f>
        <v>trở về địa điểm xuất phát (tàu thuyền, máy bay...)</v>
      </c>
      <c r="H2278" s="13" t="str">
        <f ca="1">IFERROR(__xludf.DUMMYFUNCTION("""COMPUTED_VALUE"""),"飞机已经返航了。")</f>
        <v>飞机已经返航了。</v>
      </c>
      <c r="I2278" s="13"/>
      <c r="J2278" s="13" t="str">
        <f ca="1">IFERROR(__xludf.DUMMYFUNCTION("""COMPUTED_VALUE"""),"Chiếc máy bay đã đáp về vị trí xuất phát")</f>
        <v>Chiếc máy bay đã đáp về vị trí xuất phát</v>
      </c>
      <c r="K2278" s="13" t="str">
        <f ca="1">IFERROR(__xludf.DUMMYFUNCTION("""COMPUTED_VALUE"""),"H5_B25_BG1.png")</f>
        <v>H5_B25_BG1.png</v>
      </c>
      <c r="L2278" s="13" t="str">
        <f ca="1">IFERROR(__xludf.DUMMYFUNCTION("""COMPUTED_VALUE"""),"B25_1.mp3")</f>
        <v>B25_1.mp3</v>
      </c>
      <c r="M2278" s="13" t="str">
        <f ca="1">IFERROR(__xludf.DUMMYFUNCTION("""COMPUTED_VALUE"""),"B25_VD_1.mp3")</f>
        <v>B25_VD_1.mp3</v>
      </c>
    </row>
    <row r="2279" spans="1:13">
      <c r="A2279" s="13">
        <f ca="1">IFERROR(__xludf.DUMMYFUNCTION("""COMPUTED_VALUE"""),2)</f>
        <v>2</v>
      </c>
      <c r="B2279" s="13"/>
      <c r="C2279" s="13" t="str">
        <f ca="1">IFERROR(__xludf.DUMMYFUNCTION("""COMPUTED_VALUE"""),"风浪")</f>
        <v>风浪</v>
      </c>
      <c r="D2279" s="13" t="str">
        <f ca="1">IFERROR(__xludf.DUMMYFUNCTION("""COMPUTED_VALUE"""),"&lt;ruby&gt;风浪&lt;rt&gt;fēnglàng&lt;/rt&gt;&lt;/ruby&gt;")</f>
        <v>&lt;ruby&gt;风浪&lt;rt&gt;fēnglàng&lt;/rt&gt;&lt;/ruby&gt;</v>
      </c>
      <c r="E2279" s="13" t="str">
        <f ca="1">IFERROR(__xludf.DUMMYFUNCTION("""COMPUTED_VALUE"""),"fēnglàng")</f>
        <v>fēnglàng</v>
      </c>
      <c r="F2279" s="13" t="str">
        <f ca="1">IFERROR(__xludf.DUMMYFUNCTION("""COMPUTED_VALUE"""),"Danh từ")</f>
        <v>Danh từ</v>
      </c>
      <c r="G2279" s="13" t="str">
        <f ca="1">IFERROR(__xludf.DUMMYFUNCTION("""COMPUTED_VALUE"""),"sóng gió")</f>
        <v>sóng gió</v>
      </c>
      <c r="H2279" s="13" t="str">
        <f ca="1">IFERROR(__xludf.DUMMYFUNCTION("""COMPUTED_VALUE""")," 风浪让船摇晃。")</f>
        <v xml:space="preserve"> 风浪让船摇晃。</v>
      </c>
      <c r="I2279" s="13"/>
      <c r="J2279" s="13" t="str">
        <f ca="1">IFERROR(__xludf.DUMMYFUNCTION("""COMPUTED_VALUE"""),"Sóng gió làm cho tàu thuyền lắc lư.")</f>
        <v>Sóng gió làm cho tàu thuyền lắc lư.</v>
      </c>
      <c r="K2279" s="13" t="str">
        <f ca="1">IFERROR(__xludf.DUMMYFUNCTION("""COMPUTED_VALUE"""),"H5_B25_BG2.png")</f>
        <v>H5_B25_BG2.png</v>
      </c>
      <c r="L2279" s="13" t="str">
        <f ca="1">IFERROR(__xludf.DUMMYFUNCTION("""COMPUTED_VALUE"""),"B25_2.mp3")</f>
        <v>B25_2.mp3</v>
      </c>
      <c r="M2279" s="13" t="str">
        <f ca="1">IFERROR(__xludf.DUMMYFUNCTION("""COMPUTED_VALUE"""),"B25_VD_2.mp3")</f>
        <v>B25_VD_2.mp3</v>
      </c>
    </row>
    <row r="2280" spans="1:13">
      <c r="A2280" s="13">
        <f ca="1">IFERROR(__xludf.DUMMYFUNCTION("""COMPUTED_VALUE"""),3)</f>
        <v>3</v>
      </c>
      <c r="B2280" s="13"/>
      <c r="C2280" s="13" t="str">
        <f ca="1">IFERROR(__xludf.DUMMYFUNCTION("""COMPUTED_VALUE"""),"舱")</f>
        <v>舱</v>
      </c>
      <c r="D2280" s="13" t="str">
        <f ca="1">IFERROR(__xludf.DUMMYFUNCTION("""COMPUTED_VALUE"""),"&lt;ruby&gt;舱&lt;rt&gt;cāng&lt;/rt&gt;&lt;/ruby&gt;")</f>
        <v>&lt;ruby&gt;舱&lt;rt&gt;cāng&lt;/rt&gt;&lt;/ruby&gt;</v>
      </c>
      <c r="E2280" s="13" t="str">
        <f ca="1">IFERROR(__xludf.DUMMYFUNCTION("""COMPUTED_VALUE"""),"cāng")</f>
        <v>cāng</v>
      </c>
      <c r="F2280" s="13" t="str">
        <f ca="1">IFERROR(__xludf.DUMMYFUNCTION("""COMPUTED_VALUE"""),"Danh từ")</f>
        <v>Danh từ</v>
      </c>
      <c r="G2280" s="13" t="str">
        <f ca="1">IFERROR(__xludf.DUMMYFUNCTION("""COMPUTED_VALUE"""),"khoang, buồng")</f>
        <v>khoang, buồng</v>
      </c>
      <c r="H2280" s="13" t="str">
        <f ca="1">IFERROR(__xludf.DUMMYFUNCTION("""COMPUTED_VALUE"""),"飞机上的商务舱比经济舱舒服得多。")</f>
        <v>飞机上的商务舱比经济舱舒服得多。</v>
      </c>
      <c r="I2280" s="13"/>
      <c r="J2280" s="13" t="str">
        <f ca="1">IFERROR(__xludf.DUMMYFUNCTION("""COMPUTED_VALUE"""),"Khoang thương gia trên máy bay thoải mái hơn khoang phổ thông nhiều")</f>
        <v>Khoang thương gia trên máy bay thoải mái hơn khoang phổ thông nhiều</v>
      </c>
      <c r="K2280" s="13" t="str">
        <f ca="1">IFERROR(__xludf.DUMMYFUNCTION("""COMPUTED_VALUE"""),"H5_B25_BG3.png")</f>
        <v>H5_B25_BG3.png</v>
      </c>
      <c r="L2280" s="13" t="str">
        <f ca="1">IFERROR(__xludf.DUMMYFUNCTION("""COMPUTED_VALUE"""),"B25_3.mp3")</f>
        <v>B25_3.mp3</v>
      </c>
      <c r="M2280" s="13" t="str">
        <f ca="1">IFERROR(__xludf.DUMMYFUNCTION("""COMPUTED_VALUE"""),"B25_VD_3.mp3")</f>
        <v>B25_VD_3.mp3</v>
      </c>
    </row>
    <row r="2281" spans="1:13">
      <c r="A2281" s="13">
        <f ca="1">IFERROR(__xludf.DUMMYFUNCTION("""COMPUTED_VALUE"""),4)</f>
        <v>4</v>
      </c>
      <c r="B2281" s="13"/>
      <c r="C2281" s="13" t="str">
        <f ca="1">IFERROR(__xludf.DUMMYFUNCTION("""COMPUTED_VALUE"""),"沉")</f>
        <v>沉</v>
      </c>
      <c r="D2281" s="13" t="str">
        <f ca="1">IFERROR(__xludf.DUMMYFUNCTION("""COMPUTED_VALUE"""),"&lt;ruby&gt;沉&lt;rt&gt;chén&lt;/rt&gt;&lt;/ruby&gt;")</f>
        <v>&lt;ruby&gt;沉&lt;rt&gt;chén&lt;/rt&gt;&lt;/ruby&gt;</v>
      </c>
      <c r="E2281" s="13" t="str">
        <f ca="1">IFERROR(__xludf.DUMMYFUNCTION("""COMPUTED_VALUE"""),"chén")</f>
        <v>chén</v>
      </c>
      <c r="F2281" s="13" t="str">
        <f ca="1">IFERROR(__xludf.DUMMYFUNCTION("""COMPUTED_VALUE"""),"Động từ")</f>
        <v>Động từ</v>
      </c>
      <c r="G2281" s="13" t="str">
        <f ca="1">IFERROR(__xludf.DUMMYFUNCTION("""COMPUTED_VALUE"""),"chìm, lặn")</f>
        <v>chìm, lặn</v>
      </c>
      <c r="H2281" s="13" t="str">
        <f ca="1">IFERROR(__xludf.DUMMYFUNCTION("""COMPUTED_VALUE"""),"我的手机沉到湖底了。")</f>
        <v>我的手机沉到湖底了。</v>
      </c>
      <c r="I2281" s="13"/>
      <c r="J2281" s="13" t="str">
        <f ca="1">IFERROR(__xludf.DUMMYFUNCTION("""COMPUTED_VALUE"""),"Cái điện thoại của tôi chìm xuống đáy hồ.")</f>
        <v>Cái điện thoại của tôi chìm xuống đáy hồ.</v>
      </c>
      <c r="K2281" s="13" t="str">
        <f ca="1">IFERROR(__xludf.DUMMYFUNCTION("""COMPUTED_VALUE"""),"H5_B25_BG4.png")</f>
        <v>H5_B25_BG4.png</v>
      </c>
      <c r="L2281" s="13" t="str">
        <f ca="1">IFERROR(__xludf.DUMMYFUNCTION("""COMPUTED_VALUE"""),"B25_4.mp3")</f>
        <v>B25_4.mp3</v>
      </c>
      <c r="M2281" s="13" t="str">
        <f ca="1">IFERROR(__xludf.DUMMYFUNCTION("""COMPUTED_VALUE"""),"B25_VD_4.mp3")</f>
        <v>B25_VD_4.mp3</v>
      </c>
    </row>
    <row r="2282" spans="1:13">
      <c r="A2282" s="13">
        <f ca="1">IFERROR(__xludf.DUMMYFUNCTION("""COMPUTED_VALUE"""),5)</f>
        <v>5</v>
      </c>
      <c r="B2282" s="13"/>
      <c r="C2282" s="13" t="str">
        <f ca="1">IFERROR(__xludf.DUMMYFUNCTION("""COMPUTED_VALUE"""),"狂")</f>
        <v>狂</v>
      </c>
      <c r="D2282" s="13" t="str">
        <f ca="1">IFERROR(__xludf.DUMMYFUNCTION("""COMPUTED_VALUE"""),"&lt;ruby&gt;狂&lt;rt&gt;kuáng&lt;/rt&gt;&lt;/ruby&gt;")</f>
        <v>&lt;ruby&gt;狂&lt;rt&gt;kuáng&lt;/rt&gt;&lt;/ruby&gt;</v>
      </c>
      <c r="E2282" s="13" t="str">
        <f ca="1">IFERROR(__xludf.DUMMYFUNCTION("""COMPUTED_VALUE"""),"kuáng")</f>
        <v>kuáng</v>
      </c>
      <c r="F2282" s="13" t="str">
        <f ca="1">IFERROR(__xludf.DUMMYFUNCTION("""COMPUTED_VALUE"""),"Tính từ")</f>
        <v>Tính từ</v>
      </c>
      <c r="G2282" s="13" t="str">
        <f ca="1">IFERROR(__xludf.DUMMYFUNCTION("""COMPUTED_VALUE"""),"mạnh, điên cuồng")</f>
        <v>mạnh, điên cuồng</v>
      </c>
      <c r="H2282" s="13" t="str">
        <f ca="1">IFERROR(__xludf.DUMMYFUNCTION("""COMPUTED_VALUE""")," 他工作狂，每天加班到很晚。")</f>
        <v xml:space="preserve"> 他工作狂，每天加班到很晚。</v>
      </c>
      <c r="I2282" s="13"/>
      <c r="J2282" s="13" t="str">
        <f ca="1">IFERROR(__xludf.DUMMYFUNCTION("""COMPUTED_VALUE"""),"Anh ấy làm việc điên cuồng, ngày nào cũng tăng ca đến khuya.")</f>
        <v>Anh ấy làm việc điên cuồng, ngày nào cũng tăng ca đến khuya.</v>
      </c>
      <c r="K2282" s="13" t="str">
        <f ca="1">IFERROR(__xludf.DUMMYFUNCTION("""COMPUTED_VALUE"""),"H5_B25_BG5.png")</f>
        <v>H5_B25_BG5.png</v>
      </c>
      <c r="L2282" s="13" t="str">
        <f ca="1">IFERROR(__xludf.DUMMYFUNCTION("""COMPUTED_VALUE"""),"B25_5.mp3")</f>
        <v>B25_5.mp3</v>
      </c>
      <c r="M2282" s="13" t="str">
        <f ca="1">IFERROR(__xludf.DUMMYFUNCTION("""COMPUTED_VALUE"""),"B25_VD_5.mp3")</f>
        <v>B25_VD_5.mp3</v>
      </c>
    </row>
    <row r="2283" spans="1:13">
      <c r="A2283" s="13">
        <f ca="1">IFERROR(__xludf.DUMMYFUNCTION("""COMPUTED_VALUE"""),6)</f>
        <v>6</v>
      </c>
      <c r="B2283" s="13"/>
      <c r="C2283" s="13" t="str">
        <f ca="1">IFERROR(__xludf.DUMMYFUNCTION("""COMPUTED_VALUE"""),"平衡")</f>
        <v>平衡</v>
      </c>
      <c r="D2283" s="13" t="str">
        <f ca="1">IFERROR(__xludf.DUMMYFUNCTION("""COMPUTED_VALUE"""),"&lt;ruby&gt;平衡&lt;rt&gt;pínghéng&lt;/rt&gt;&lt;/ruby&gt;")</f>
        <v>&lt;ruby&gt;平衡&lt;rt&gt;pínghéng&lt;/rt&gt;&lt;/ruby&gt;</v>
      </c>
      <c r="E2283" s="13" t="str">
        <f ca="1">IFERROR(__xludf.DUMMYFUNCTION("""COMPUTED_VALUE"""),"pínghéng")</f>
        <v>pínghéng</v>
      </c>
      <c r="F2283" s="13" t="str">
        <f ca="1">IFERROR(__xludf.DUMMYFUNCTION("""COMPUTED_VALUE"""),"Tính từ")</f>
        <v>Tính từ</v>
      </c>
      <c r="G2283" s="13" t="str">
        <f ca="1">IFERROR(__xludf.DUMMYFUNCTION("""COMPUTED_VALUE"""),"thăng bằng")</f>
        <v>thăng bằng</v>
      </c>
      <c r="H2283" s="13" t="str">
        <f ca="1">IFERROR(__xludf.DUMMYFUNCTION("""COMPUTED_VALUE"""),"练瑜伽可以帮助我们保持身体的平衡。")</f>
        <v>练瑜伽可以帮助我们保持身体的平衡。</v>
      </c>
      <c r="I2283" s="13"/>
      <c r="J2283" s="13" t="str">
        <f ca="1">IFERROR(__xludf.DUMMYFUNCTION("""COMPUTED_VALUE"""),"Tập yoga có thể giúp chúng ta duy trì sự thăng bằng của cơ thể.")</f>
        <v>Tập yoga có thể giúp chúng ta duy trì sự thăng bằng của cơ thể.</v>
      </c>
      <c r="K2283" s="13" t="str">
        <f ca="1">IFERROR(__xludf.DUMMYFUNCTION("""COMPUTED_VALUE"""),"H5_B25_BG6.png")</f>
        <v>H5_B25_BG6.png</v>
      </c>
      <c r="L2283" s="13" t="str">
        <f ca="1">IFERROR(__xludf.DUMMYFUNCTION("""COMPUTED_VALUE"""),"B25_6.mp3")</f>
        <v>B25_6.mp3</v>
      </c>
      <c r="M2283" s="13" t="str">
        <f ca="1">IFERROR(__xludf.DUMMYFUNCTION("""COMPUTED_VALUE"""),"B25_VD_6.mp3")</f>
        <v>B25_VD_6.mp3</v>
      </c>
    </row>
    <row r="2284" spans="1:13">
      <c r="A2284" s="13">
        <f ca="1">IFERROR(__xludf.DUMMYFUNCTION("""COMPUTED_VALUE"""),7)</f>
        <v>7</v>
      </c>
      <c r="B2284" s="13"/>
      <c r="C2284" s="13" t="str">
        <f ca="1">IFERROR(__xludf.DUMMYFUNCTION("""COMPUTED_VALUE"""),"吨")</f>
        <v>吨</v>
      </c>
      <c r="D2284" s="13" t="str">
        <f ca="1">IFERROR(__xludf.DUMMYFUNCTION("""COMPUTED_VALUE"""),"&lt;ruby&gt;吨&lt;rt&gt;dūn&lt;/rt&gt;&lt;/ruby&gt;")</f>
        <v>&lt;ruby&gt;吨&lt;rt&gt;dūn&lt;/rt&gt;&lt;/ruby&gt;</v>
      </c>
      <c r="E2284" s="13" t="str">
        <f ca="1">IFERROR(__xludf.DUMMYFUNCTION("""COMPUTED_VALUE"""),"dūn")</f>
        <v>dūn</v>
      </c>
      <c r="F2284" s="13" t="str">
        <f ca="1">IFERROR(__xludf.DUMMYFUNCTION("""COMPUTED_VALUE"""),"Lượng từ")</f>
        <v>Lượng từ</v>
      </c>
      <c r="G2284" s="13" t="str">
        <f ca="1">IFERROR(__xludf.DUMMYFUNCTION("""COMPUTED_VALUE"""),"tấn")</f>
        <v>tấn</v>
      </c>
      <c r="H2284" s="13" t="str">
        <f ca="1">IFERROR(__xludf.DUMMYFUNCTION("""COMPUTED_VALUE"""),"这艘船可以载五千吨。")</f>
        <v>这艘船可以载五千吨。</v>
      </c>
      <c r="I2284" s="13"/>
      <c r="J2284" s="13" t="str">
        <f ca="1">IFERROR(__xludf.DUMMYFUNCTION("""COMPUTED_VALUE"""),"Con tàu này có thể chở 5000 tấn.")</f>
        <v>Con tàu này có thể chở 5000 tấn.</v>
      </c>
      <c r="K2284" s="13" t="str">
        <f ca="1">IFERROR(__xludf.DUMMYFUNCTION("""COMPUTED_VALUE"""),"H5_B25_BG7.png")</f>
        <v>H5_B25_BG7.png</v>
      </c>
      <c r="L2284" s="13" t="str">
        <f ca="1">IFERROR(__xludf.DUMMYFUNCTION("""COMPUTED_VALUE"""),"B25_7.mp3")</f>
        <v>B25_7.mp3</v>
      </c>
      <c r="M2284" s="13" t="str">
        <f ca="1">IFERROR(__xludf.DUMMYFUNCTION("""COMPUTED_VALUE"""),"B25_VD_7.mp3")</f>
        <v>B25_VD_7.mp3</v>
      </c>
    </row>
    <row r="2285" spans="1:13">
      <c r="A2285" s="13">
        <f ca="1">IFERROR(__xludf.DUMMYFUNCTION("""COMPUTED_VALUE"""),8)</f>
        <v>8</v>
      </c>
      <c r="B2285" s="13"/>
      <c r="C2285" s="13" t="str">
        <f ca="1">IFERROR(__xludf.DUMMYFUNCTION("""COMPUTED_VALUE"""),"钢铁")</f>
        <v>钢铁</v>
      </c>
      <c r="D2285" s="13" t="str">
        <f ca="1">IFERROR(__xludf.DUMMYFUNCTION("""COMPUTED_VALUE"""),"&lt;ruby&gt;钢铁&lt;rt&gt;gāngtiě&lt;/rt&gt;&lt;/ruby&gt;")</f>
        <v>&lt;ruby&gt;钢铁&lt;rt&gt;gāngtiě&lt;/rt&gt;&lt;/ruby&gt;</v>
      </c>
      <c r="E2285" s="13" t="str">
        <f ca="1">IFERROR(__xludf.DUMMYFUNCTION("""COMPUTED_VALUE"""),"gāngtiě")</f>
        <v>gāngtiě</v>
      </c>
      <c r="F2285" s="13" t="str">
        <f ca="1">IFERROR(__xludf.DUMMYFUNCTION("""COMPUTED_VALUE"""),"Danh từ")</f>
        <v>Danh từ</v>
      </c>
      <c r="G2285" s="13" t="str">
        <f ca="1">IFERROR(__xludf.DUMMYFUNCTION("""COMPUTED_VALUE"""),"sắt thép")</f>
        <v>sắt thép</v>
      </c>
      <c r="H2285" s="13" t="str">
        <f ca="1">IFERROR(__xludf.DUMMYFUNCTION("""COMPUTED_VALUE"""),"这座桥是用钢铁建造的。")</f>
        <v>这座桥是用钢铁建造的。</v>
      </c>
      <c r="I2285" s="13"/>
      <c r="J2285" s="13" t="str">
        <f ca="1">IFERROR(__xludf.DUMMYFUNCTION("""COMPUTED_VALUE"""),"Cây cầu này được xây bằng sắt thép.")</f>
        <v>Cây cầu này được xây bằng sắt thép.</v>
      </c>
      <c r="K2285" s="13" t="str">
        <f ca="1">IFERROR(__xludf.DUMMYFUNCTION("""COMPUTED_VALUE"""),"H5_B25_BG8.png")</f>
        <v>H5_B25_BG8.png</v>
      </c>
      <c r="L2285" s="13" t="str">
        <f ca="1">IFERROR(__xludf.DUMMYFUNCTION("""COMPUTED_VALUE"""),"B25_8.mp3")</f>
        <v>B25_8.mp3</v>
      </c>
      <c r="M2285" s="13" t="str">
        <f ca="1">IFERROR(__xludf.DUMMYFUNCTION("""COMPUTED_VALUE"""),"B25_VD_8.mp3")</f>
        <v>B25_VD_8.mp3</v>
      </c>
    </row>
    <row r="2286" spans="1:13">
      <c r="A2286" s="13">
        <f ca="1">IFERROR(__xludf.DUMMYFUNCTION("""COMPUTED_VALUE"""),9)</f>
        <v>9</v>
      </c>
      <c r="B2286" s="13"/>
      <c r="C2286" s="13" t="str">
        <f ca="1">IFERROR(__xludf.DUMMYFUNCTION("""COMPUTED_VALUE"""),"根基")</f>
        <v>根基</v>
      </c>
      <c r="D2286" s="13" t="str">
        <f ca="1">IFERROR(__xludf.DUMMYFUNCTION("""COMPUTED_VALUE"""),"&lt;ruby&gt;根基&lt;rt&gt;gēnjī&lt;/rt&gt;&lt;/ruby&gt;")</f>
        <v>&lt;ruby&gt;根基&lt;rt&gt;gēnjī&lt;/rt&gt;&lt;/ruby&gt;</v>
      </c>
      <c r="E2286" s="13" t="str">
        <f ca="1">IFERROR(__xludf.DUMMYFUNCTION("""COMPUTED_VALUE"""),"gēnjī")</f>
        <v>gēnjī</v>
      </c>
      <c r="F2286" s="13" t="str">
        <f ca="1">IFERROR(__xludf.DUMMYFUNCTION("""COMPUTED_VALUE"""),"Danh từ")</f>
        <v>Danh từ</v>
      </c>
      <c r="G2286" s="13" t="str">
        <f ca="1">IFERROR(__xludf.DUMMYFUNCTION("""COMPUTED_VALUE"""),"nền tảng, nền móng")</f>
        <v>nền tảng, nền móng</v>
      </c>
      <c r="H2286" s="13" t="str">
        <f ca="1">IFERROR(__xludf.DUMMYFUNCTION("""COMPUTED_VALUE"""),"这座大楼的根基很稳固。")</f>
        <v>这座大楼的根基很稳固。</v>
      </c>
      <c r="I2286" s="13"/>
      <c r="J2286" s="13" t="str">
        <f ca="1">IFERROR(__xludf.DUMMYFUNCTION("""COMPUTED_VALUE"""),"Nền móng của tòa nhà này rất vững chắc.")</f>
        <v>Nền móng của tòa nhà này rất vững chắc.</v>
      </c>
      <c r="K2286" s="13" t="str">
        <f ca="1">IFERROR(__xludf.DUMMYFUNCTION("""COMPUTED_VALUE"""),"H5_B25_BG9.png")</f>
        <v>H5_B25_BG9.png</v>
      </c>
      <c r="L2286" s="13" t="str">
        <f ca="1">IFERROR(__xludf.DUMMYFUNCTION("""COMPUTED_VALUE"""),"B25_9.mp3")</f>
        <v>B25_9.mp3</v>
      </c>
      <c r="M2286" s="13" t="str">
        <f ca="1">IFERROR(__xludf.DUMMYFUNCTION("""COMPUTED_VALUE"""),"B25_VD_9.mp3")</f>
        <v>B25_VD_9.mp3</v>
      </c>
    </row>
    <row r="2287" spans="1:13">
      <c r="A2287" s="13">
        <f ca="1">IFERROR(__xludf.DUMMYFUNCTION("""COMPUTED_VALUE"""),10)</f>
        <v>10</v>
      </c>
      <c r="B2287" s="13"/>
      <c r="C2287" s="13" t="str">
        <f ca="1">IFERROR(__xludf.DUMMYFUNCTION("""COMPUTED_VALUE"""),"风景")</f>
        <v>风景</v>
      </c>
      <c r="D2287" s="13" t="str">
        <f ca="1">IFERROR(__xludf.DUMMYFUNCTION("""COMPUTED_VALUE"""),"&lt;ruby&gt;风景&lt;rt&gt;fēngjǐng&lt;/rt&gt;&lt;/ruby&gt;")</f>
        <v>&lt;ruby&gt;风景&lt;rt&gt;fēngjǐng&lt;/rt&gt;&lt;/ruby&gt;</v>
      </c>
      <c r="E2287" s="13" t="str">
        <f ca="1">IFERROR(__xludf.DUMMYFUNCTION("""COMPUTED_VALUE"""),"fēngjǐng")</f>
        <v>fēngjǐng</v>
      </c>
      <c r="F2287" s="13" t="str">
        <f ca="1">IFERROR(__xludf.DUMMYFUNCTION("""COMPUTED_VALUE"""),"Danh từ")</f>
        <v>Danh từ</v>
      </c>
      <c r="G2287" s="13" t="str">
        <f ca="1">IFERROR(__xludf.DUMMYFUNCTION("""COMPUTED_VALUE"""),"phong cảnh, cảnh vật")</f>
        <v>phong cảnh, cảnh vật</v>
      </c>
      <c r="H2287" s="13" t="str">
        <f ca="1">IFERROR(__xludf.DUMMYFUNCTION("""COMPUTED_VALUE"""),"这里的风景美如画。")</f>
        <v>这里的风景美如画。</v>
      </c>
      <c r="I2287" s="13"/>
      <c r="J2287" s="13" t="str">
        <f ca="1">IFERROR(__xludf.DUMMYFUNCTION("""COMPUTED_VALUE"""),"Phong cảnh ở đây đẹp như một bức tranh.")</f>
        <v>Phong cảnh ở đây đẹp như một bức tranh.</v>
      </c>
      <c r="K2287" s="13" t="str">
        <f ca="1">IFERROR(__xludf.DUMMYFUNCTION("""COMPUTED_VALUE"""),"H5_B25_BG10.png")</f>
        <v>H5_B25_BG10.png</v>
      </c>
      <c r="L2287" s="13" t="str">
        <f ca="1">IFERROR(__xludf.DUMMYFUNCTION("""COMPUTED_VALUE"""),"B25_10.mp3")</f>
        <v>B25_10.mp3</v>
      </c>
      <c r="M2287" s="13" t="str">
        <f ca="1">IFERROR(__xludf.DUMMYFUNCTION("""COMPUTED_VALUE"""),"B25_VD_10.mp3")</f>
        <v>B25_VD_10.mp3</v>
      </c>
    </row>
    <row r="2288" spans="1:13">
      <c r="A2288" s="13">
        <f ca="1">IFERROR(__xludf.DUMMYFUNCTION("""COMPUTED_VALUE"""),11)</f>
        <v>11</v>
      </c>
      <c r="B2288" s="13"/>
      <c r="C2288" s="13" t="str">
        <f ca="1">IFERROR(__xludf.DUMMYFUNCTION("""COMPUTED_VALUE"""),"万丈")</f>
        <v>万丈</v>
      </c>
      <c r="D2288" s="13" t="str">
        <f ca="1">IFERROR(__xludf.DUMMYFUNCTION("""COMPUTED_VALUE"""),"&lt;ruby&gt;万丈&lt;rt&gt;wànzhàng&lt;/rt&gt;&lt;/ruby&gt;")</f>
        <v>&lt;ruby&gt;万丈&lt;rt&gt;wànzhàng&lt;/rt&gt;&lt;/ruby&gt;</v>
      </c>
      <c r="E2288" s="13" t="str">
        <f ca="1">IFERROR(__xludf.DUMMYFUNCTION("""COMPUTED_VALUE"""),"wànzhàng")</f>
        <v>wànzhàng</v>
      </c>
      <c r="F2288" s="13" t="str">
        <f ca="1">IFERROR(__xludf.DUMMYFUNCTION("""COMPUTED_VALUE"""),"Số lượng")</f>
        <v>Số lượng</v>
      </c>
      <c r="G2288" s="13" t="str">
        <f ca="1">IFERROR(__xludf.DUMMYFUNCTION("""COMPUTED_VALUE"""),"cao ngất, muôn trượng")</f>
        <v>cao ngất, muôn trượng</v>
      </c>
      <c r="H2288" s="13" t="str">
        <f ca="1">IFERROR(__xludf.DUMMYFUNCTION("""COMPUTED_VALUE"""),"这座山万丈高，看起来很雄伟。
")</f>
        <v xml:space="preserve">这座山万丈高，看起来很雄伟。
</v>
      </c>
      <c r="I2288" s="13"/>
      <c r="J2288" s="13" t="str">
        <f ca="1">IFERROR(__xludf.DUMMYFUNCTION("""COMPUTED_VALUE"""),"Ngọn núi này cao ngất trời, trông thật hùng vĩ.")</f>
        <v>Ngọn núi này cao ngất trời, trông thật hùng vĩ.</v>
      </c>
      <c r="K2288" s="13" t="str">
        <f ca="1">IFERROR(__xludf.DUMMYFUNCTION("""COMPUTED_VALUE"""),"H5_B25_BG11.png")</f>
        <v>H5_B25_BG11.png</v>
      </c>
      <c r="L2288" s="13" t="str">
        <f ca="1">IFERROR(__xludf.DUMMYFUNCTION("""COMPUTED_VALUE"""),"B25_11.mp3")</f>
        <v>B25_11.mp3</v>
      </c>
      <c r="M2288" s="13" t="str">
        <f ca="1">IFERROR(__xludf.DUMMYFUNCTION("""COMPUTED_VALUE"""),"B25_VD_11.mp3")</f>
        <v>B25_VD_11.mp3</v>
      </c>
    </row>
    <row r="2289" spans="1:13">
      <c r="A2289" s="13">
        <f ca="1">IFERROR(__xludf.DUMMYFUNCTION("""COMPUTED_VALUE"""),12)</f>
        <v>12</v>
      </c>
      <c r="B2289" s="13"/>
      <c r="C2289" s="13" t="str">
        <f ca="1">IFERROR(__xludf.DUMMYFUNCTION("""COMPUTED_VALUE"""),"深渊")</f>
        <v>深渊</v>
      </c>
      <c r="D2289" s="13" t="str">
        <f ca="1">IFERROR(__xludf.DUMMYFUNCTION("""COMPUTED_VALUE"""),"&lt;ruby&gt;深渊&lt;rt&gt;shēnyuān&lt;/rt&gt;&lt;/ruby&gt;")</f>
        <v>&lt;ruby&gt;深渊&lt;rt&gt;shēnyuān&lt;/rt&gt;&lt;/ruby&gt;</v>
      </c>
      <c r="E2289" s="13" t="str">
        <f ca="1">IFERROR(__xludf.DUMMYFUNCTION("""COMPUTED_VALUE"""),"shēnyuān")</f>
        <v>shēnyuān</v>
      </c>
      <c r="F2289" s="13" t="str">
        <f ca="1">IFERROR(__xludf.DUMMYFUNCTION("""COMPUTED_VALUE"""),"Danh từ")</f>
        <v>Danh từ</v>
      </c>
      <c r="G2289" s="13" t="str">
        <f ca="1">IFERROR(__xludf.DUMMYFUNCTION("""COMPUTED_VALUE"""),"vực sâu, vực thẳm")</f>
        <v>vực sâu, vực thẳm</v>
      </c>
      <c r="H2289" s="13" t="str">
        <f ca="1">IFERROR(__xludf.DUMMYFUNCTION("""COMPUTED_VALUE"""),"这是一个深渊，没有底。")</f>
        <v>这是一个深渊，没有底。</v>
      </c>
      <c r="I2289" s="13"/>
      <c r="J2289" s="13" t="str">
        <f ca="1">IFERROR(__xludf.DUMMYFUNCTION("""COMPUTED_VALUE"""),"Đây là một vực thẳm vô đáy.")</f>
        <v>Đây là một vực thẳm vô đáy.</v>
      </c>
      <c r="K2289" s="13" t="str">
        <f ca="1">IFERROR(__xludf.DUMMYFUNCTION("""COMPUTED_VALUE"""),"H5_B25_BG12.png")</f>
        <v>H5_B25_BG12.png</v>
      </c>
      <c r="L2289" s="13" t="str">
        <f ca="1">IFERROR(__xludf.DUMMYFUNCTION("""COMPUTED_VALUE"""),"B25_12.mp3")</f>
        <v>B25_12.mp3</v>
      </c>
      <c r="M2289" s="13" t="str">
        <f ca="1">IFERROR(__xludf.DUMMYFUNCTION("""COMPUTED_VALUE"""),"B25_VD_12.mp3")</f>
        <v>B25_VD_12.mp3</v>
      </c>
    </row>
    <row r="2290" spans="1:13">
      <c r="A2290" s="13">
        <f ca="1">IFERROR(__xludf.DUMMYFUNCTION("""COMPUTED_VALUE"""),13)</f>
        <v>13</v>
      </c>
      <c r="B2290" s="13"/>
      <c r="C2290" s="13" t="str">
        <f ca="1">IFERROR(__xludf.DUMMYFUNCTION("""COMPUTED_VALUE"""),"游览")</f>
        <v>游览</v>
      </c>
      <c r="D2290" s="13" t="str">
        <f ca="1">IFERROR(__xludf.DUMMYFUNCTION("""COMPUTED_VALUE"""),"&lt;ruby&gt;游览&lt;rt&gt;yóulǎn&lt;/rt&gt;&lt;/ruby&gt;")</f>
        <v>&lt;ruby&gt;游览&lt;rt&gt;yóulǎn&lt;/rt&gt;&lt;/ruby&gt;</v>
      </c>
      <c r="E2290" s="13" t="str">
        <f ca="1">IFERROR(__xludf.DUMMYFUNCTION("""COMPUTED_VALUE"""),"yóulǎn")</f>
        <v>yóulǎn</v>
      </c>
      <c r="F2290" s="13" t="str">
        <f ca="1">IFERROR(__xludf.DUMMYFUNCTION("""COMPUTED_VALUE"""),"Động từ")</f>
        <v>Động từ</v>
      </c>
      <c r="G2290" s="13" t="str">
        <f ca="1">IFERROR(__xludf.DUMMYFUNCTION("""COMPUTED_VALUE"""),"tham quan, dạo chơi")</f>
        <v>tham quan, dạo chơi</v>
      </c>
      <c r="H2290" s="13" t="str">
        <f ca="1">IFERROR(__xludf.DUMMYFUNCTION("""COMPUTED_VALUE""")," 我们打算周末去游览这座古城。")</f>
        <v xml:space="preserve"> 我们打算周末去游览这座古城。</v>
      </c>
      <c r="I2290" s="13"/>
      <c r="J2290" s="13" t="str">
        <f ca="1">IFERROR(__xludf.DUMMYFUNCTION("""COMPUTED_VALUE"""),"Chúng tôi dự định cuối tuần đi tham quan thành phố cổ này.")</f>
        <v>Chúng tôi dự định cuối tuần đi tham quan thành phố cổ này.</v>
      </c>
      <c r="K2290" s="13" t="str">
        <f ca="1">IFERROR(__xludf.DUMMYFUNCTION("""COMPUTED_VALUE"""),"H5_B25_BG13.png")</f>
        <v>H5_B25_BG13.png</v>
      </c>
      <c r="L2290" s="13" t="str">
        <f ca="1">IFERROR(__xludf.DUMMYFUNCTION("""COMPUTED_VALUE"""),"B25_13.mp3")</f>
        <v>B25_13.mp3</v>
      </c>
      <c r="M2290" s="13" t="str">
        <f ca="1">IFERROR(__xludf.DUMMYFUNCTION("""COMPUTED_VALUE"""),"B25_VD_13.mp3")</f>
        <v>B25_VD_13.mp3</v>
      </c>
    </row>
    <row r="2291" spans="1:13">
      <c r="A2291" s="13">
        <f ca="1">IFERROR(__xludf.DUMMYFUNCTION("""COMPUTED_VALUE"""),14)</f>
        <v>14</v>
      </c>
      <c r="B2291" s="13"/>
      <c r="C2291" s="13" t="str">
        <f ca="1">IFERROR(__xludf.DUMMYFUNCTION("""COMPUTED_VALUE"""),"恶劣")</f>
        <v>恶劣</v>
      </c>
      <c r="D2291" s="13" t="str">
        <f ca="1">IFERROR(__xludf.DUMMYFUNCTION("""COMPUTED_VALUE"""),"&lt;ruby&gt;恶劣&lt;rt&gt;èliè&lt;/rt&gt;&lt;/ruby&gt;")</f>
        <v>&lt;ruby&gt;恶劣&lt;rt&gt;èliè&lt;/rt&gt;&lt;/ruby&gt;</v>
      </c>
      <c r="E2291" s="13" t="str">
        <f ca="1">IFERROR(__xludf.DUMMYFUNCTION("""COMPUTED_VALUE"""),"èliè")</f>
        <v>èliè</v>
      </c>
      <c r="F2291" s="13" t="str">
        <f ca="1">IFERROR(__xludf.DUMMYFUNCTION("""COMPUTED_VALUE"""),"Tính từ")</f>
        <v>Tính từ</v>
      </c>
      <c r="G2291" s="13" t="str">
        <f ca="1">IFERROR(__xludf.DUMMYFUNCTION("""COMPUTED_VALUE"""),"tồi tệ, rất xấu")</f>
        <v>tồi tệ, rất xấu</v>
      </c>
      <c r="H2291" s="13" t="str">
        <f ca="1">IFERROR(__xludf.DUMMYFUNCTION("""COMPUTED_VALUE"""),"今天天气恶劣，最好别出去。
")</f>
        <v xml:space="preserve">今天天气恶劣，最好别出去。
</v>
      </c>
      <c r="I2291" s="13"/>
      <c r="J2291" s="13" t="str">
        <f ca="1">IFERROR(__xludf.DUMMYFUNCTION("""COMPUTED_VALUE"""),"Thời tiết hôm nay rất tệ, tốt nhất đừng ra ngoài.")</f>
        <v>Thời tiết hôm nay rất tệ, tốt nhất đừng ra ngoài.</v>
      </c>
      <c r="K2291" s="13" t="str">
        <f ca="1">IFERROR(__xludf.DUMMYFUNCTION("""COMPUTED_VALUE"""),"H5_B25_BG14.png")</f>
        <v>H5_B25_BG14.png</v>
      </c>
      <c r="L2291" s="13" t="str">
        <f ca="1">IFERROR(__xludf.DUMMYFUNCTION("""COMPUTED_VALUE"""),"B25_14.mp3")</f>
        <v>B25_14.mp3</v>
      </c>
      <c r="M2291" s="13" t="str">
        <f ca="1">IFERROR(__xludf.DUMMYFUNCTION("""COMPUTED_VALUE"""),"B25_VD_14.mp3")</f>
        <v>B25_VD_14.mp3</v>
      </c>
    </row>
    <row r="2292" spans="1:13">
      <c r="A2292" s="13">
        <f ca="1">IFERROR(__xludf.DUMMYFUNCTION("""COMPUTED_VALUE"""),15)</f>
        <v>15</v>
      </c>
      <c r="B2292" s="13"/>
      <c r="C2292" s="13" t="str">
        <f ca="1">IFERROR(__xludf.DUMMYFUNCTION("""COMPUTED_VALUE"""),"可怕")</f>
        <v>可怕</v>
      </c>
      <c r="D2292" s="13" t="str">
        <f ca="1">IFERROR(__xludf.DUMMYFUNCTION("""COMPUTED_VALUE"""),"&lt;ruby&gt;可怕&lt;rt&gt;kěpà&lt;/rt&gt;&lt;/ruby&gt;")</f>
        <v>&lt;ruby&gt;可怕&lt;rt&gt;kěpà&lt;/rt&gt;&lt;/ruby&gt;</v>
      </c>
      <c r="E2292" s="13" t="str">
        <f ca="1">IFERROR(__xludf.DUMMYFUNCTION("""COMPUTED_VALUE"""),"kěpà")</f>
        <v>kěpà</v>
      </c>
      <c r="F2292" s="13" t="str">
        <f ca="1">IFERROR(__xludf.DUMMYFUNCTION("""COMPUTED_VALUE"""),"Tính từ")</f>
        <v>Tính từ</v>
      </c>
      <c r="G2292" s="13" t="str">
        <f ca="1">IFERROR(__xludf.DUMMYFUNCTION("""COMPUTED_VALUE"""),"đáng sợ, khủng khiếp")</f>
        <v>đáng sợ, khủng khiếp</v>
      </c>
      <c r="H2292" s="13" t="str">
        <f ca="1">IFERROR(__xludf.DUMMYFUNCTION("""COMPUTED_VALUE"""),"他讲了一个很可怕的鬼故事。
")</f>
        <v xml:space="preserve">他讲了一个很可怕的鬼故事。
</v>
      </c>
      <c r="I2292" s="13"/>
      <c r="J2292" s="13" t="str">
        <f ca="1">IFERROR(__xludf.DUMMYFUNCTION("""COMPUTED_VALUE"""),"Anh ấy kể một câu chuyện ma rất đáng sợ.")</f>
        <v>Anh ấy kể một câu chuyện ma rất đáng sợ.</v>
      </c>
      <c r="K2292" s="13" t="str">
        <f ca="1">IFERROR(__xludf.DUMMYFUNCTION("""COMPUTED_VALUE"""),"H5_B25_BG15.png")</f>
        <v>H5_B25_BG15.png</v>
      </c>
      <c r="L2292" s="13" t="str">
        <f ca="1">IFERROR(__xludf.DUMMYFUNCTION("""COMPUTED_VALUE"""),"B25_15.mp3")</f>
        <v>B25_15.mp3</v>
      </c>
      <c r="M2292" s="13" t="str">
        <f ca="1">IFERROR(__xludf.DUMMYFUNCTION("""COMPUTED_VALUE"""),"B25_VD_15.mp3")</f>
        <v>B25_VD_15.mp3</v>
      </c>
    </row>
    <row r="2293" spans="1:13">
      <c r="A2293" s="13">
        <f ca="1">IFERROR(__xludf.DUMMYFUNCTION("""COMPUTED_VALUE"""),16)</f>
        <v>16</v>
      </c>
      <c r="B2293" s="13"/>
      <c r="C2293" s="13" t="str">
        <f ca="1">IFERROR(__xludf.DUMMYFUNCTION("""COMPUTED_VALUE"""),"慌张")</f>
        <v>慌张</v>
      </c>
      <c r="D2293" s="13" t="str">
        <f ca="1">IFERROR(__xludf.DUMMYFUNCTION("""COMPUTED_VALUE"""),"&lt;ruby&gt;慌张&lt;rt&gt;huāngzhāng&lt;/rt&gt;&lt;/ruby&gt;")</f>
        <v>&lt;ruby&gt;慌张&lt;rt&gt;huāngzhāng&lt;/rt&gt;&lt;/ruby&gt;</v>
      </c>
      <c r="E2293" s="13" t="str">
        <f ca="1">IFERROR(__xludf.DUMMYFUNCTION("""COMPUTED_VALUE"""),"huāngzhāng")</f>
        <v>huāngzhāng</v>
      </c>
      <c r="F2293" s="13" t="str">
        <f ca="1">IFERROR(__xludf.DUMMYFUNCTION("""COMPUTED_VALUE"""),"Tính từ")</f>
        <v>Tính từ</v>
      </c>
      <c r="G2293" s="13" t="str">
        <f ca="1">IFERROR(__xludf.DUMMYFUNCTION("""COMPUTED_VALUE"""),"luống cuống, hoảng hốt")</f>
        <v>luống cuống, hoảng hốt</v>
      </c>
      <c r="H2293" s="13" t="str">
        <f ca="1">IFERROR(__xludf.DUMMYFUNCTION("""COMPUTED_VALUE"""),"听到火警钟后，他变得非常慌张。")</f>
        <v>听到火警钟后，他变得非常慌张。</v>
      </c>
      <c r="I2293" s="13"/>
      <c r="J2293" s="13" t="str">
        <f ca="1">IFERROR(__xludf.DUMMYFUNCTION("""COMPUTED_VALUE"""),"Sau khi nghe chuông báo cháy, anh ấy trở nên vô cùng hoảng hốt.")</f>
        <v>Sau khi nghe chuông báo cháy, anh ấy trở nên vô cùng hoảng hốt.</v>
      </c>
      <c r="K2293" s="13" t="str">
        <f ca="1">IFERROR(__xludf.DUMMYFUNCTION("""COMPUTED_VALUE"""),"H5_B25_BG16.png")</f>
        <v>H5_B25_BG16.png</v>
      </c>
      <c r="L2293" s="13" t="str">
        <f ca="1">IFERROR(__xludf.DUMMYFUNCTION("""COMPUTED_VALUE"""),"B25_16.mp3")</f>
        <v>B25_16.mp3</v>
      </c>
      <c r="M2293" s="13" t="str">
        <f ca="1">IFERROR(__xludf.DUMMYFUNCTION("""COMPUTED_VALUE"""),"B25_VD_16.mp3")</f>
        <v>B25_VD_16.mp3</v>
      </c>
    </row>
    <row r="2294" spans="1:13">
      <c r="A2294" s="13">
        <f ca="1">IFERROR(__xludf.DUMMYFUNCTION("""COMPUTED_VALUE"""),17)</f>
        <v>17</v>
      </c>
      <c r="B2294" s="13"/>
      <c r="C2294" s="13" t="str">
        <f ca="1">IFERROR(__xludf.DUMMYFUNCTION("""COMPUTED_VALUE"""),"简直")</f>
        <v>简直</v>
      </c>
      <c r="D2294" s="13" t="str">
        <f ca="1">IFERROR(__xludf.DUMMYFUNCTION("""COMPUTED_VALUE"""),"&lt;ruby&gt;简直&lt;rt&gt;jiǎnzhí&lt;/rt&gt;&lt;/ruby&gt;")</f>
        <v>&lt;ruby&gt;简直&lt;rt&gt;jiǎnzhí&lt;/rt&gt;&lt;/ruby&gt;</v>
      </c>
      <c r="E2294" s="13" t="str">
        <f ca="1">IFERROR(__xludf.DUMMYFUNCTION("""COMPUTED_VALUE"""),"jiǎnzhí")</f>
        <v>jiǎnzhí</v>
      </c>
      <c r="F2294" s="13" t="str">
        <f ca="1">IFERROR(__xludf.DUMMYFUNCTION("""COMPUTED_VALUE"""),"Phó từ")</f>
        <v>Phó từ</v>
      </c>
      <c r="G2294" s="13" t="str">
        <f ca="1">IFERROR(__xludf.DUMMYFUNCTION("""COMPUTED_VALUE"""),"quả là, thật là")</f>
        <v>quả là, thật là</v>
      </c>
      <c r="H2294" s="13" t="str">
        <f ca="1">IFERROR(__xludf.DUMMYFUNCTION("""COMPUTED_VALUE"""),"这家餐厅的菜简直太好吃了！")</f>
        <v>这家餐厅的菜简直太好吃了！</v>
      </c>
      <c r="I2294" s="13"/>
      <c r="J2294" s="13" t="str">
        <f ca="1">IFERROR(__xludf.DUMMYFUNCTION("""COMPUTED_VALUE"""),"Món ăn ở nhà hàng này quả là ngon tuyệt!")</f>
        <v>Món ăn ở nhà hàng này quả là ngon tuyệt!</v>
      </c>
      <c r="K2294" s="13" t="str">
        <f ca="1">IFERROR(__xludf.DUMMYFUNCTION("""COMPUTED_VALUE"""),"H5_B25_BG17.png")</f>
        <v>H5_B25_BG17.png</v>
      </c>
      <c r="L2294" s="13" t="str">
        <f ca="1">IFERROR(__xludf.DUMMYFUNCTION("""COMPUTED_VALUE"""),"B25_17.mp3")</f>
        <v>B25_17.mp3</v>
      </c>
      <c r="M2294" s="13" t="str">
        <f ca="1">IFERROR(__xludf.DUMMYFUNCTION("""COMPUTED_VALUE"""),"B25_VD_17.mp3")</f>
        <v>B25_VD_17.mp3</v>
      </c>
    </row>
    <row r="2295" spans="1:13">
      <c r="A2295" s="13">
        <f ca="1">IFERROR(__xludf.DUMMYFUNCTION("""COMPUTED_VALUE"""),18)</f>
        <v>18</v>
      </c>
      <c r="B2295" s="13"/>
      <c r="C2295" s="13" t="str">
        <f ca="1">IFERROR(__xludf.DUMMYFUNCTION("""COMPUTED_VALUE"""),"威胁")</f>
        <v>威胁</v>
      </c>
      <c r="D2295" s="13" t="str">
        <f ca="1">IFERROR(__xludf.DUMMYFUNCTION("""COMPUTED_VALUE"""),"&lt;ruby&gt;威胁&lt;rt&gt;wēixié&lt;/rt&gt;&lt;/ruby&gt;")</f>
        <v>&lt;ruby&gt;威胁&lt;rt&gt;wēixié&lt;/rt&gt;&lt;/ruby&gt;</v>
      </c>
      <c r="E2295" s="13" t="str">
        <f ca="1">IFERROR(__xludf.DUMMYFUNCTION("""COMPUTED_VALUE"""),"wēixié")</f>
        <v>wēixié</v>
      </c>
      <c r="F2295" s="13" t="str">
        <f ca="1">IFERROR(__xludf.DUMMYFUNCTION("""COMPUTED_VALUE"""),"Động từ")</f>
        <v>Động từ</v>
      </c>
      <c r="G2295" s="13" t="str">
        <f ca="1">IFERROR(__xludf.DUMMYFUNCTION("""COMPUTED_VALUE"""),"uy hiếp, đe dọa")</f>
        <v>uy hiếp, đe dọa</v>
      </c>
      <c r="H2295" s="13" t="str">
        <f ca="1">IFERROR(__xludf.DUMMYFUNCTION("""COMPUTED_VALUE"""),"那个男人威胁孩子。")</f>
        <v>那个男人威胁孩子。</v>
      </c>
      <c r="I2295" s="13"/>
      <c r="J2295" s="13" t="str">
        <f ca="1">IFERROR(__xludf.DUMMYFUNCTION("""COMPUTED_VALUE"""),"Người đàn ông đe dọa đứa trẻ.")</f>
        <v>Người đàn ông đe dọa đứa trẻ.</v>
      </c>
      <c r="K2295" s="13" t="str">
        <f ca="1">IFERROR(__xludf.DUMMYFUNCTION("""COMPUTED_VALUE"""),"H5_B25_BG18.png")</f>
        <v>H5_B25_BG18.png</v>
      </c>
      <c r="L2295" s="13" t="str">
        <f ca="1">IFERROR(__xludf.DUMMYFUNCTION("""COMPUTED_VALUE"""),"B25_18.mp3")</f>
        <v>B25_18.mp3</v>
      </c>
      <c r="M2295" s="13" t="str">
        <f ca="1">IFERROR(__xludf.DUMMYFUNCTION("""COMPUTED_VALUE"""),"B25_VD_18.mp3")</f>
        <v>B25_VD_18.mp3</v>
      </c>
    </row>
    <row r="2296" spans="1:13">
      <c r="A2296" s="13">
        <f ca="1">IFERROR(__xludf.DUMMYFUNCTION("""COMPUTED_VALUE"""),19)</f>
        <v>19</v>
      </c>
      <c r="B2296" s="13"/>
      <c r="C2296" s="13" t="str">
        <f ca="1">IFERROR(__xludf.DUMMYFUNCTION("""COMPUTED_VALUE"""),"发抖")</f>
        <v>发抖</v>
      </c>
      <c r="D2296" s="13" t="str">
        <f ca="1">IFERROR(__xludf.DUMMYFUNCTION("""COMPUTED_VALUE"""),"&lt;ruby&gt;发抖&lt;rt&gt;fādǒu&lt;/rt&gt;&lt;/ruby&gt;")</f>
        <v>&lt;ruby&gt;发抖&lt;rt&gt;fādǒu&lt;/rt&gt;&lt;/ruby&gt;</v>
      </c>
      <c r="E2296" s="13" t="str">
        <f ca="1">IFERROR(__xludf.DUMMYFUNCTION("""COMPUTED_VALUE"""),"fādǒu")</f>
        <v>fādǒu</v>
      </c>
      <c r="F2296" s="13" t="str">
        <f ca="1">IFERROR(__xludf.DUMMYFUNCTION("""COMPUTED_VALUE"""),"Động từ")</f>
        <v>Động từ</v>
      </c>
      <c r="G2296" s="13" t="str">
        <f ca="1">IFERROR(__xludf.DUMMYFUNCTION("""COMPUTED_VALUE"""),"run, run rẩy")</f>
        <v>run, run rẩy</v>
      </c>
      <c r="H2296" s="13" t="str">
        <f ca="1">IFERROR(__xludf.DUMMYFUNCTION("""COMPUTED_VALUE"""),"那个男孩冷得发抖。")</f>
        <v>那个男孩冷得发抖。</v>
      </c>
      <c r="I2296" s="13"/>
      <c r="J2296" s="13" t="str">
        <f ca="1">IFERROR(__xludf.DUMMYFUNCTION("""COMPUTED_VALUE"""),"Cậu bé ấy lạnh đến mức run rẩy.")</f>
        <v>Cậu bé ấy lạnh đến mức run rẩy.</v>
      </c>
      <c r="K2296" s="13" t="str">
        <f ca="1">IFERROR(__xludf.DUMMYFUNCTION("""COMPUTED_VALUE"""),"H5_B25_BG19.png")</f>
        <v>H5_B25_BG19.png</v>
      </c>
      <c r="L2296" s="13" t="str">
        <f ca="1">IFERROR(__xludf.DUMMYFUNCTION("""COMPUTED_VALUE"""),"B25_19.mp3")</f>
        <v>B25_19.mp3</v>
      </c>
      <c r="M2296" s="13" t="str">
        <f ca="1">IFERROR(__xludf.DUMMYFUNCTION("""COMPUTED_VALUE"""),"B25_VD_19.mp3")</f>
        <v>B25_VD_19.mp3</v>
      </c>
    </row>
    <row r="2297" spans="1:13">
      <c r="A2297" s="13">
        <f ca="1">IFERROR(__xludf.DUMMYFUNCTION("""COMPUTED_VALUE"""),20)</f>
        <v>20</v>
      </c>
      <c r="B2297" s="13"/>
      <c r="C2297" s="13" t="str">
        <f ca="1">IFERROR(__xludf.DUMMYFUNCTION("""COMPUTED_VALUE"""),"摔倒")</f>
        <v>摔倒</v>
      </c>
      <c r="D2297" s="13" t="str">
        <f ca="1">IFERROR(__xludf.DUMMYFUNCTION("""COMPUTED_VALUE"""),"&lt;ruby&gt;摔倒&lt;rt&gt;shuāidǎo&lt;/rt&gt;&lt;/ruby&gt;")</f>
        <v>&lt;ruby&gt;摔倒&lt;rt&gt;shuāidǎo&lt;/rt&gt;&lt;/ruby&gt;</v>
      </c>
      <c r="E2297" s="13" t="str">
        <f ca="1">IFERROR(__xludf.DUMMYFUNCTION("""COMPUTED_VALUE"""),"shuāidǎo")</f>
        <v>shuāidǎo</v>
      </c>
      <c r="F2297" s="13" t="str">
        <f ca="1">IFERROR(__xludf.DUMMYFUNCTION("""COMPUTED_VALUE"""),"Động từ")</f>
        <v>Động từ</v>
      </c>
      <c r="G2297" s="13" t="str">
        <f ca="1">IFERROR(__xludf.DUMMYFUNCTION("""COMPUTED_VALUE"""),"ngã, té, rơi xuống")</f>
        <v>ngã, té, rơi xuống</v>
      </c>
      <c r="H2297" s="13" t="str">
        <f ca="1">IFERROR(__xludf.DUMMYFUNCTION("""COMPUTED_VALUE"""),"因为地板很滑，他走路时不小心摔倒了。")</f>
        <v>因为地板很滑，他走路时不小心摔倒了。</v>
      </c>
      <c r="I2297" s="13"/>
      <c r="J2297" s="13" t="str">
        <f ca="1">IFERROR(__xludf.DUMMYFUNCTION("""COMPUTED_VALUE"""),"Vì sàn nhà trơn, anh ấy vô ý bị ngã khi đi lại.")</f>
        <v>Vì sàn nhà trơn, anh ấy vô ý bị ngã khi đi lại.</v>
      </c>
      <c r="K2297" s="13" t="str">
        <f ca="1">IFERROR(__xludf.DUMMYFUNCTION("""COMPUTED_VALUE"""),"H5_B25_BG20.png")</f>
        <v>H5_B25_BG20.png</v>
      </c>
      <c r="L2297" s="13" t="str">
        <f ca="1">IFERROR(__xludf.DUMMYFUNCTION("""COMPUTED_VALUE"""),"B25_20.mp3")</f>
        <v>B25_20.mp3</v>
      </c>
      <c r="M2297" s="13" t="str">
        <f ca="1">IFERROR(__xludf.DUMMYFUNCTION("""COMPUTED_VALUE"""),"B25_VD_20.mp3")</f>
        <v>B25_VD_20.mp3</v>
      </c>
    </row>
    <row r="2298" spans="1:13">
      <c r="A2298" s="13">
        <f ca="1">IFERROR(__xludf.DUMMYFUNCTION("""COMPUTED_VALUE"""),21)</f>
        <v>21</v>
      </c>
      <c r="B2298" s="13"/>
      <c r="C2298" s="13" t="str">
        <f ca="1">IFERROR(__xludf.DUMMYFUNCTION("""COMPUTED_VALUE"""),"丝毫")</f>
        <v>丝毫</v>
      </c>
      <c r="D2298" s="13" t="str">
        <f ca="1">IFERROR(__xludf.DUMMYFUNCTION("""COMPUTED_VALUE"""),"&lt;ruby&gt;丝毫&lt;rt&gt;sīháo&lt;/rt&gt;&lt;/ruby&gt;")</f>
        <v>&lt;ruby&gt;丝毫&lt;rt&gt;sīháo&lt;/rt&gt;&lt;/ruby&gt;</v>
      </c>
      <c r="E2298" s="13" t="str">
        <f ca="1">IFERROR(__xludf.DUMMYFUNCTION("""COMPUTED_VALUE"""),"sīháo")</f>
        <v>sīháo</v>
      </c>
      <c r="F2298" s="13" t="str">
        <f ca="1">IFERROR(__xludf.DUMMYFUNCTION("""COMPUTED_VALUE"""),"Tính từ")</f>
        <v>Tính từ</v>
      </c>
      <c r="G2298" s="13" t="str">
        <f ca="1">IFERROR(__xludf.DUMMYFUNCTION("""COMPUTED_VALUE"""),"chút nào, tí nào")</f>
        <v>chút nào, tí nào</v>
      </c>
      <c r="H2298" s="13" t="str">
        <f ca="1">IFERROR(__xludf.DUMMYFUNCTION("""COMPUTED_VALUE"""),"他丝毫不在乎别人的感受。")</f>
        <v>他丝毫不在乎别人的感受。</v>
      </c>
      <c r="I2298" s="13"/>
      <c r="J2298" s="13" t="str">
        <f ca="1">IFERROR(__xludf.DUMMYFUNCTION("""COMPUTED_VALUE"""),"Anh ấy không quan tâm đến cảm xúc của người khác dù chỉ một chút.")</f>
        <v>Anh ấy không quan tâm đến cảm xúc của người khác dù chỉ một chút.</v>
      </c>
      <c r="K2298" s="13" t="str">
        <f ca="1">IFERROR(__xludf.DUMMYFUNCTION("""COMPUTED_VALUE"""),"H5_B25_BG21.png")</f>
        <v>H5_B25_BG21.png</v>
      </c>
      <c r="L2298" s="13" t="str">
        <f ca="1">IFERROR(__xludf.DUMMYFUNCTION("""COMPUTED_VALUE"""),"B25_21.mp3")</f>
        <v>B25_21.mp3</v>
      </c>
      <c r="M2298" s="13" t="str">
        <f ca="1">IFERROR(__xludf.DUMMYFUNCTION("""COMPUTED_VALUE"""),"B25_VD_21.mp3")</f>
        <v>B25_VD_21.mp3</v>
      </c>
    </row>
    <row r="2299" spans="1:13">
      <c r="A2299" s="13">
        <f ca="1">IFERROR(__xludf.DUMMYFUNCTION("""COMPUTED_VALUE"""),22)</f>
        <v>22</v>
      </c>
      <c r="B2299" s="13"/>
      <c r="C2299" s="13" t="str">
        <f ca="1">IFERROR(__xludf.DUMMYFUNCTION("""COMPUTED_VALUE"""),"滚")</f>
        <v>滚</v>
      </c>
      <c r="D2299" s="13" t="str">
        <f ca="1">IFERROR(__xludf.DUMMYFUNCTION("""COMPUTED_VALUE"""),"&lt;ruby&gt;滚&lt;rt&gt;gǔn&lt;/rt&gt;&lt;/ruby&gt;")</f>
        <v>&lt;ruby&gt;滚&lt;rt&gt;gǔn&lt;/rt&gt;&lt;/ruby&gt;</v>
      </c>
      <c r="E2299" s="13" t="str">
        <f ca="1">IFERROR(__xludf.DUMMYFUNCTION("""COMPUTED_VALUE"""),"gǔn")</f>
        <v>gǔn</v>
      </c>
      <c r="F2299" s="13" t="str">
        <f ca="1">IFERROR(__xludf.DUMMYFUNCTION("""COMPUTED_VALUE"""),"Động từ")</f>
        <v>Động từ</v>
      </c>
      <c r="G2299" s="13" t="str">
        <f ca="1">IFERROR(__xludf.DUMMYFUNCTION("""COMPUTED_VALUE"""),"lăn, lộn")</f>
        <v>lăn, lộn</v>
      </c>
      <c r="H2299" s="13" t="str">
        <f ca="1">IFERROR(__xludf.DUMMYFUNCTION("""COMPUTED_VALUE"""),"球从山上滚下来。")</f>
        <v>球从山上滚下来。</v>
      </c>
      <c r="I2299" s="13"/>
      <c r="J2299" s="13" t="str">
        <f ca="1">IFERROR(__xludf.DUMMYFUNCTION("""COMPUTED_VALUE"""),"Quả bóng lăn từ trên núi xuống.")</f>
        <v>Quả bóng lăn từ trên núi xuống.</v>
      </c>
      <c r="K2299" s="13" t="str">
        <f ca="1">IFERROR(__xludf.DUMMYFUNCTION("""COMPUTED_VALUE"""),"H5_B25_BG22.png")</f>
        <v>H5_B25_BG22.png</v>
      </c>
      <c r="L2299" s="13" t="str">
        <f ca="1">IFERROR(__xludf.DUMMYFUNCTION("""COMPUTED_VALUE"""),"B25_22.mp3")</f>
        <v>B25_22.mp3</v>
      </c>
      <c r="M2299" s="13" t="str">
        <f ca="1">IFERROR(__xludf.DUMMYFUNCTION("""COMPUTED_VALUE"""),"B25_VD_22.mp3")</f>
        <v>B25_VD_22.mp3</v>
      </c>
    </row>
    <row r="2300" spans="1:13">
      <c r="A2300" s="13">
        <f ca="1">IFERROR(__xludf.DUMMYFUNCTION("""COMPUTED_VALUE"""),23)</f>
        <v>23</v>
      </c>
      <c r="B2300" s="13"/>
      <c r="C2300" s="13" t="str">
        <f ca="1">IFERROR(__xludf.DUMMYFUNCTION("""COMPUTED_VALUE"""),"风险")</f>
        <v>风险</v>
      </c>
      <c r="D2300" s="13" t="str">
        <f ca="1">IFERROR(__xludf.DUMMYFUNCTION("""COMPUTED_VALUE"""),"&lt;ruby&gt;风险&lt;rt&gt;fēngxiǎn&lt;/rt&gt;&lt;/ruby&gt;")</f>
        <v>&lt;ruby&gt;风险&lt;rt&gt;fēngxiǎn&lt;/rt&gt;&lt;/ruby&gt;</v>
      </c>
      <c r="E2300" s="13" t="str">
        <f ca="1">IFERROR(__xludf.DUMMYFUNCTION("""COMPUTED_VALUE"""),"fēngxiǎn")</f>
        <v>fēngxiǎn</v>
      </c>
      <c r="F2300" s="13" t="str">
        <f ca="1">IFERROR(__xludf.DUMMYFUNCTION("""COMPUTED_VALUE"""),"Danh từ")</f>
        <v>Danh từ</v>
      </c>
      <c r="G2300" s="13" t="str">
        <f ca="1">IFERROR(__xludf.DUMMYFUNCTION("""COMPUTED_VALUE"""),"sự mạo hiểm, sự nguy hiểm")</f>
        <v>sự mạo hiểm, sự nguy hiểm</v>
      </c>
      <c r="H2300" s="13" t="str">
        <f ca="1">IFERROR(__xludf.DUMMYFUNCTION("""COMPUTED_VALUE"""),"股票图上有上下箭头和风险警告标志。")</f>
        <v>股票图上有上下箭头和风险警告标志。</v>
      </c>
      <c r="I2300" s="13"/>
      <c r="J2300" s="13" t="str">
        <f ca="1">IFERROR(__xludf.DUMMYFUNCTION("""COMPUTED_VALUE"""),"Biểu đồ chứng khoán với mũi tên lên xuống và dấu cảnh báo nguy hiểm.")</f>
        <v>Biểu đồ chứng khoán với mũi tên lên xuống và dấu cảnh báo nguy hiểm.</v>
      </c>
      <c r="K2300" s="13" t="str">
        <f ca="1">IFERROR(__xludf.DUMMYFUNCTION("""COMPUTED_VALUE"""),"H5_B25_BG23.png")</f>
        <v>H5_B25_BG23.png</v>
      </c>
      <c r="L2300" s="13" t="str">
        <f ca="1">IFERROR(__xludf.DUMMYFUNCTION("""COMPUTED_VALUE"""),"B25_23.mp3")</f>
        <v>B25_23.mp3</v>
      </c>
      <c r="M2300" s="13" t="str">
        <f ca="1">IFERROR(__xludf.DUMMYFUNCTION("""COMPUTED_VALUE"""),"B25_VD_23.mp3")</f>
        <v>B25_VD_23.mp3</v>
      </c>
    </row>
    <row r="2301" spans="1:13">
      <c r="A2301" s="13">
        <f ca="1">IFERROR(__xludf.DUMMYFUNCTION("""COMPUTED_VALUE"""),24)</f>
        <v>24</v>
      </c>
      <c r="B2301" s="13"/>
      <c r="C2301" s="13" t="str">
        <f ca="1">IFERROR(__xludf.DUMMYFUNCTION("""COMPUTED_VALUE"""),"谨慎")</f>
        <v>谨慎</v>
      </c>
      <c r="D2301" s="13" t="str">
        <f ca="1">IFERROR(__xludf.DUMMYFUNCTION("""COMPUTED_VALUE"""),"&lt;ruby&gt;谨慎&lt;rt&gt;jǐnshèn&lt;/rt&gt;&lt;/ruby&gt;")</f>
        <v>&lt;ruby&gt;谨慎&lt;rt&gt;jǐnshèn&lt;/rt&gt;&lt;/ruby&gt;</v>
      </c>
      <c r="E2301" s="13" t="str">
        <f ca="1">IFERROR(__xludf.DUMMYFUNCTION("""COMPUTED_VALUE"""),"jǐnshèn")</f>
        <v>jǐnshèn</v>
      </c>
      <c r="F2301" s="13" t="str">
        <f ca="1">IFERROR(__xludf.DUMMYFUNCTION("""COMPUTED_VALUE"""),"Tính từ")</f>
        <v>Tính từ</v>
      </c>
      <c r="G2301" s="13" t="str">
        <f ca="1">IFERROR(__xludf.DUMMYFUNCTION("""COMPUTED_VALUE"""),"cẩn thận, thận trọng")</f>
        <v>cẩn thận, thận trọng</v>
      </c>
      <c r="H2301" s="13" t="str">
        <f ca="1">IFERROR(__xludf.DUMMYFUNCTION("""COMPUTED_VALUE"""),"他做决定前很谨慎地思考。")</f>
        <v>他做决定前很谨慎地思考。</v>
      </c>
      <c r="I2301" s="13"/>
      <c r="J2301" s="13" t="str">
        <f ca="1">IFERROR(__xludf.DUMMYFUNCTION("""COMPUTED_VALUE"""),"Anh ấy suy nghĩ cẩn thận trước khi quyết định.")</f>
        <v>Anh ấy suy nghĩ cẩn thận trước khi quyết định.</v>
      </c>
      <c r="K2301" s="13" t="str">
        <f ca="1">IFERROR(__xludf.DUMMYFUNCTION("""COMPUTED_VALUE"""),"H5_B25_BG24.png")</f>
        <v>H5_B25_BG24.png</v>
      </c>
      <c r="L2301" s="13" t="str">
        <f ca="1">IFERROR(__xludf.DUMMYFUNCTION("""COMPUTED_VALUE"""),"B25_24.mp3")</f>
        <v>B25_24.mp3</v>
      </c>
      <c r="M2301" s="13" t="str">
        <f ca="1">IFERROR(__xludf.DUMMYFUNCTION("""COMPUTED_VALUE"""),"B25_VD_24.mp3")</f>
        <v>B25_VD_24.mp3</v>
      </c>
    </row>
    <row r="2302" spans="1:13">
      <c r="A2302" s="13">
        <f ca="1">IFERROR(__xludf.DUMMYFUNCTION("""COMPUTED_VALUE"""),25)</f>
        <v>25</v>
      </c>
      <c r="B2302" s="13"/>
      <c r="C2302" s="13" t="str">
        <f ca="1">IFERROR(__xludf.DUMMYFUNCTION("""COMPUTED_VALUE"""),"承受")</f>
        <v>承受</v>
      </c>
      <c r="D2302" s="13" t="str">
        <f ca="1">IFERROR(__xludf.DUMMYFUNCTION("""COMPUTED_VALUE"""),"&lt;ruby&gt;承受&lt;rt&gt;chéng shòu&lt;/rt&gt;&lt;/ruby&gt;")</f>
        <v>&lt;ruby&gt;承受&lt;rt&gt;chéng shòu&lt;/rt&gt;&lt;/ruby&gt;</v>
      </c>
      <c r="E2302" s="13" t="str">
        <f ca="1">IFERROR(__xludf.DUMMYFUNCTION("""COMPUTED_VALUE"""),"chéng shòu")</f>
        <v>chéng shòu</v>
      </c>
      <c r="F2302" s="13" t="str">
        <f ca="1">IFERROR(__xludf.DUMMYFUNCTION("""COMPUTED_VALUE"""),"Động từ")</f>
        <v>Động từ</v>
      </c>
      <c r="G2302" s="13" t="str">
        <f ca="1">IFERROR(__xludf.DUMMYFUNCTION("""COMPUTED_VALUE"""),"chịu đựng, chấp nhận")</f>
        <v>chịu đựng, chấp nhận</v>
      </c>
      <c r="H2302" s="13" t="str">
        <f ca="1">IFERROR(__xludf.DUMMYFUNCTION("""COMPUTED_VALUE"""),"他承受着肩上的巨石压力。")</f>
        <v>他承受着肩上的巨石压力。</v>
      </c>
      <c r="I2302" s="13"/>
      <c r="J2302" s="13" t="str">
        <f ca="1">IFERROR(__xludf.DUMMYFUNCTION("""COMPUTED_VALUE"""),"Anh ấy chịu áp lực của tảng đá đè trên vai.")</f>
        <v>Anh ấy chịu áp lực của tảng đá đè trên vai.</v>
      </c>
      <c r="K2302" s="13" t="str">
        <f ca="1">IFERROR(__xludf.DUMMYFUNCTION("""COMPUTED_VALUE"""),"H5_B25_BG25.png")</f>
        <v>H5_B25_BG25.png</v>
      </c>
      <c r="L2302" s="13" t="str">
        <f ca="1">IFERROR(__xludf.DUMMYFUNCTION("""COMPUTED_VALUE"""),"B25_25.mp3")</f>
        <v>B25_25.mp3</v>
      </c>
      <c r="M2302" s="13" t="str">
        <f ca="1">IFERROR(__xludf.DUMMYFUNCTION("""COMPUTED_VALUE"""),"B25_VD_25.mp3")</f>
        <v>B25_VD_25.mp3</v>
      </c>
    </row>
    <row r="2303" spans="1:13">
      <c r="A2303" s="13">
        <f ca="1">IFERROR(__xludf.DUMMYFUNCTION("""COMPUTED_VALUE"""),26)</f>
        <v>26</v>
      </c>
      <c r="B2303" s="13"/>
      <c r="C2303" s="13" t="str">
        <f ca="1">IFERROR(__xludf.DUMMYFUNCTION("""COMPUTED_VALUE"""),"使劲（儿）")</f>
        <v>使劲（儿）</v>
      </c>
      <c r="D2303" s="13" t="str">
        <f ca="1">IFERROR(__xludf.DUMMYFUNCTION("""COMPUTED_VALUE"""),"&lt;ruby&gt;使劲（儿）&lt;rt&gt;shǐ jìn (r)&lt;/rt&gt;&lt;/ruby&gt;")</f>
        <v>&lt;ruby&gt;使劲（儿）&lt;rt&gt;shǐ jìn (r)&lt;/rt&gt;&lt;/ruby&gt;</v>
      </c>
      <c r="E2303" s="13" t="str">
        <f ca="1">IFERROR(__xludf.DUMMYFUNCTION("""COMPUTED_VALUE"""),"shǐ jìn (r)")</f>
        <v>shǐ jìn (r)</v>
      </c>
      <c r="F2303" s="13" t="str">
        <f ca="1">IFERROR(__xludf.DUMMYFUNCTION("""COMPUTED_VALUE"""),"Động từ")</f>
        <v>Động từ</v>
      </c>
      <c r="G2303" s="13" t="str">
        <f ca="1">IFERROR(__xludf.DUMMYFUNCTION("""COMPUTED_VALUE"""),"cố gắng, gắng sức")</f>
        <v>cố gắng, gắng sức</v>
      </c>
      <c r="H2303" s="13" t="str">
        <f ca="1">IFERROR(__xludf.DUMMYFUNCTION("""COMPUTED_VALUE"""),"他使劲推门，但门还是打不开。")</f>
        <v>他使劲推门，但门还是打不开。</v>
      </c>
      <c r="I2303" s="13"/>
      <c r="J2303" s="13" t="str">
        <f ca="1">IFERROR(__xludf.DUMMYFUNCTION("""COMPUTED_VALUE"""),"Anh ấy cố gắng đẩy cửa, nhưng cửa vẫn không mở ra.")</f>
        <v>Anh ấy cố gắng đẩy cửa, nhưng cửa vẫn không mở ra.</v>
      </c>
      <c r="K2303" s="13" t="str">
        <f ca="1">IFERROR(__xludf.DUMMYFUNCTION("""COMPUTED_VALUE"""),"H5_B25_BG26.png")</f>
        <v>H5_B25_BG26.png</v>
      </c>
      <c r="L2303" s="13" t="str">
        <f ca="1">IFERROR(__xludf.DUMMYFUNCTION("""COMPUTED_VALUE"""),"B25_26.mp3")</f>
        <v>B25_26.mp3</v>
      </c>
      <c r="M2303" s="13" t="str">
        <f ca="1">IFERROR(__xludf.DUMMYFUNCTION("""COMPUTED_VALUE"""),"B25_VD_26.mp3")</f>
        <v>B25_VD_26.mp3</v>
      </c>
    </row>
    <row r="2304" spans="1:13">
      <c r="A2304" s="13">
        <f ca="1">IFERROR(__xludf.DUMMYFUNCTION("""COMPUTED_VALUE"""),27)</f>
        <v>27</v>
      </c>
      <c r="B2304" s="13"/>
      <c r="C2304" s="13" t="str">
        <f ca="1">IFERROR(__xludf.DUMMYFUNCTION("""COMPUTED_VALUE"""),"朝")</f>
        <v>朝</v>
      </c>
      <c r="D2304" s="13" t="str">
        <f ca="1">IFERROR(__xludf.DUMMYFUNCTION("""COMPUTED_VALUE"""),"&lt;ruby&gt;朝&lt;rt&gt;cháo&lt;/rt&gt;&lt;/ruby&gt;")</f>
        <v>&lt;ruby&gt;朝&lt;rt&gt;cháo&lt;/rt&gt;&lt;/ruby&gt;</v>
      </c>
      <c r="E2304" s="13" t="str">
        <f ca="1">IFERROR(__xludf.DUMMYFUNCTION("""COMPUTED_VALUE"""),"cháo")</f>
        <v>cháo</v>
      </c>
      <c r="F2304" s="13" t="str">
        <f ca="1">IFERROR(__xludf.DUMMYFUNCTION("""COMPUTED_VALUE"""),"Giới từ")</f>
        <v>Giới từ</v>
      </c>
      <c r="G2304" s="13" t="str">
        <f ca="1">IFERROR(__xludf.DUMMYFUNCTION("""COMPUTED_VALUE"""),"về phía, hướng về")</f>
        <v>về phía, hướng về</v>
      </c>
      <c r="H2304" s="13" t="str">
        <f ca="1">IFERROR(__xludf.DUMMYFUNCTION("""COMPUTED_VALUE"""),"他把烟盒朝我递过来，但我拒绝了。")</f>
        <v>他把烟盒朝我递过来，但我拒绝了。</v>
      </c>
      <c r="I2304" s="13"/>
      <c r="J2304" s="13" t="str">
        <f ca="1">IFERROR(__xludf.DUMMYFUNCTION("""COMPUTED_VALUE"""),"Anh ấy đưa bao thuốc về phía tôi, nhưng tôi đã từ chối.")</f>
        <v>Anh ấy đưa bao thuốc về phía tôi, nhưng tôi đã từ chối.</v>
      </c>
      <c r="K2304" s="13" t="str">
        <f ca="1">IFERROR(__xludf.DUMMYFUNCTION("""COMPUTED_VALUE"""),"H5_B25_BG27.png")</f>
        <v>H5_B25_BG27.png</v>
      </c>
      <c r="L2304" s="13" t="str">
        <f ca="1">IFERROR(__xludf.DUMMYFUNCTION("""COMPUTED_VALUE"""),"B25_27.mp3")</f>
        <v>B25_27.mp3</v>
      </c>
      <c r="M2304" s="13" t="str">
        <f ca="1">IFERROR(__xludf.DUMMYFUNCTION("""COMPUTED_VALUE"""),"B25_VD_27.mp3")</f>
        <v>B25_VD_27.mp3</v>
      </c>
    </row>
    <row r="2305" spans="1:13">
      <c r="A2305" s="13">
        <f ca="1">IFERROR(__xludf.DUMMYFUNCTION("""COMPUTED_VALUE"""),28)</f>
        <v>28</v>
      </c>
      <c r="B2305" s="13"/>
      <c r="C2305" s="13" t="str">
        <f ca="1">IFERROR(__xludf.DUMMYFUNCTION("""COMPUTED_VALUE"""),"严肃")</f>
        <v>严肃</v>
      </c>
      <c r="D2305" s="13" t="str">
        <f ca="1">IFERROR(__xludf.DUMMYFUNCTION("""COMPUTED_VALUE"""),"&lt;ruby&gt;严肃&lt;rt&gt;yánsù&lt;/rt&gt;&lt;/ruby&gt;")</f>
        <v>&lt;ruby&gt;严肃&lt;rt&gt;yánsù&lt;/rt&gt;&lt;/ruby&gt;</v>
      </c>
      <c r="E2305" s="13" t="str">
        <f ca="1">IFERROR(__xludf.DUMMYFUNCTION("""COMPUTED_VALUE"""),"yánsù")</f>
        <v>yánsù</v>
      </c>
      <c r="F2305" s="13" t="str">
        <f ca="1">IFERROR(__xludf.DUMMYFUNCTION("""COMPUTED_VALUE"""),"Tính từ")</f>
        <v>Tính từ</v>
      </c>
      <c r="G2305" s="13" t="str">
        <f ca="1">IFERROR(__xludf.DUMMYFUNCTION("""COMPUTED_VALUE"""),"nghiêm túc, nghiêm nghị, trang nghiêm")</f>
        <v>nghiêm túc, nghiêm nghị, trang nghiêm</v>
      </c>
      <c r="H2305" s="13" t="str">
        <f ca="1">IFERROR(__xludf.DUMMYFUNCTION("""COMPUTED_VALUE"""),"老师的表情很严肃。")</f>
        <v>老师的表情很严肃。</v>
      </c>
      <c r="I2305" s="13"/>
      <c r="J2305" s="13" t="str">
        <f ca="1">IFERROR(__xludf.DUMMYFUNCTION("""COMPUTED_VALUE"""),"Biểu cảm của giáo viên rất nghiêm túc.")</f>
        <v>Biểu cảm của giáo viên rất nghiêm túc.</v>
      </c>
      <c r="K2305" s="13" t="str">
        <f ca="1">IFERROR(__xludf.DUMMYFUNCTION("""COMPUTED_VALUE"""),"H5_B25_BG28.png")</f>
        <v>H5_B25_BG28.png</v>
      </c>
      <c r="L2305" s="13" t="str">
        <f ca="1">IFERROR(__xludf.DUMMYFUNCTION("""COMPUTED_VALUE"""),"B25_28.mp3")</f>
        <v>B25_28.mp3</v>
      </c>
      <c r="M2305" s="13" t="str">
        <f ca="1">IFERROR(__xludf.DUMMYFUNCTION("""COMPUTED_VALUE"""),"B25_VD_28.mp3")</f>
        <v>B25_VD_28.mp3</v>
      </c>
    </row>
    <row r="2306" spans="1:13">
      <c r="A2306" s="13">
        <f ca="1">IFERROR(__xludf.DUMMYFUNCTION("""COMPUTED_VALUE"""),29)</f>
        <v>29</v>
      </c>
      <c r="B2306" s="13"/>
      <c r="C2306" s="13" t="str">
        <f ca="1">IFERROR(__xludf.DUMMYFUNCTION("""COMPUTED_VALUE"""),"猛烈")</f>
        <v>猛烈</v>
      </c>
      <c r="D2306" s="13" t="str">
        <f ca="1">IFERROR(__xludf.DUMMYFUNCTION("""COMPUTED_VALUE"""),"&lt;ruby&gt;猛烈&lt;rt&gt;měngliè&lt;/rt&gt;&lt;/ruby&gt;")</f>
        <v>&lt;ruby&gt;猛烈&lt;rt&gt;měngliè&lt;/rt&gt;&lt;/ruby&gt;</v>
      </c>
      <c r="E2306" s="13" t="str">
        <f ca="1">IFERROR(__xludf.DUMMYFUNCTION("""COMPUTED_VALUE"""),"měngliè")</f>
        <v>měngliè</v>
      </c>
      <c r="F2306" s="13" t="str">
        <f ca="1">IFERROR(__xludf.DUMMYFUNCTION("""COMPUTED_VALUE"""),"Tính từ")</f>
        <v>Tính từ</v>
      </c>
      <c r="G2306" s="13" t="str">
        <f ca="1">IFERROR(__xludf.DUMMYFUNCTION("""COMPUTED_VALUE"""),"mạnh, dữ dội")</f>
        <v>mạnh, dữ dội</v>
      </c>
      <c r="H2306" s="13" t="str">
        <f ca="1">IFERROR(__xludf.DUMMYFUNCTION("""COMPUTED_VALUE"""),"猛烈的台风袭击了这个地区。")</f>
        <v>猛烈的台风袭击了这个地区。</v>
      </c>
      <c r="I2306" s="13"/>
      <c r="J2306" s="13" t="str">
        <f ca="1">IFERROR(__xludf.DUMMYFUNCTION("""COMPUTED_VALUE"""),"Cơn bão dữ dội đã tấn công khu này.")</f>
        <v>Cơn bão dữ dội đã tấn công khu này.</v>
      </c>
      <c r="K2306" s="13" t="str">
        <f ca="1">IFERROR(__xludf.DUMMYFUNCTION("""COMPUTED_VALUE"""),"H5_B25_BG29.png")</f>
        <v>H5_B25_BG29.png</v>
      </c>
      <c r="L2306" s="13" t="str">
        <f ca="1">IFERROR(__xludf.DUMMYFUNCTION("""COMPUTED_VALUE"""),"B25_29.mp3")</f>
        <v>B25_29.mp3</v>
      </c>
      <c r="M2306" s="13" t="str">
        <f ca="1">IFERROR(__xludf.DUMMYFUNCTION("""COMPUTED_VALUE"""),"B25_VD_29.mp3")</f>
        <v>B25_VD_29.mp3</v>
      </c>
    </row>
    <row r="2307" spans="1:13">
      <c r="A2307" s="13">
        <f ca="1">IFERROR(__xludf.DUMMYFUNCTION("""COMPUTED_VALUE"""),30)</f>
        <v>30</v>
      </c>
      <c r="B2307" s="13"/>
      <c r="C2307" s="13" t="str">
        <f ca="1">IFERROR(__xludf.DUMMYFUNCTION("""COMPUTED_VALUE"""),"重量")</f>
        <v>重量</v>
      </c>
      <c r="D2307" s="13" t="str">
        <f ca="1">IFERROR(__xludf.DUMMYFUNCTION("""COMPUTED_VALUE"""),"&lt;ruby&gt;重量&lt;rt&gt;zhòngliàng&lt;/rt&gt;&lt;/ruby&gt;")</f>
        <v>&lt;ruby&gt;重量&lt;rt&gt;zhòngliàng&lt;/rt&gt;&lt;/ruby&gt;</v>
      </c>
      <c r="E2307" s="13" t="str">
        <f ca="1">IFERROR(__xludf.DUMMYFUNCTION("""COMPUTED_VALUE"""),"zhòngliàng")</f>
        <v>zhòngliàng</v>
      </c>
      <c r="F2307" s="13" t="str">
        <f ca="1">IFERROR(__xludf.DUMMYFUNCTION("""COMPUTED_VALUE"""),"Danh từ")</f>
        <v>Danh từ</v>
      </c>
      <c r="G2307" s="13" t="str">
        <f ca="1">IFERROR(__xludf.DUMMYFUNCTION("""COMPUTED_VALUE"""),"trọng lượng")</f>
        <v>trọng lượng</v>
      </c>
      <c r="H2307" s="13" t="str">
        <f ca="1">IFERROR(__xludf.DUMMYFUNCTION("""COMPUTED_VALUE"""),"这块石头的重量大约是十公斤。")</f>
        <v>这块石头的重量大约是十公斤。</v>
      </c>
      <c r="I2307" s="13"/>
      <c r="J2307" s="13" t="str">
        <f ca="1">IFERROR(__xludf.DUMMYFUNCTION("""COMPUTED_VALUE"""),"Trọng lượng của tảng đá này khoảng 10 kg.")</f>
        <v>Trọng lượng của tảng đá này khoảng 10 kg.</v>
      </c>
      <c r="K2307" s="13" t="str">
        <f ca="1">IFERROR(__xludf.DUMMYFUNCTION("""COMPUTED_VALUE"""),"H5_B25_BG30.png")</f>
        <v>H5_B25_BG30.png</v>
      </c>
      <c r="L2307" s="13" t="str">
        <f ca="1">IFERROR(__xludf.DUMMYFUNCTION("""COMPUTED_VALUE"""),"B25_30.mp3")</f>
        <v>B25_30.mp3</v>
      </c>
      <c r="M2307" s="13" t="str">
        <f ca="1">IFERROR(__xludf.DUMMYFUNCTION("""COMPUTED_VALUE"""),"B25_VD_30.mp3")</f>
        <v>B25_VD_30.mp3</v>
      </c>
    </row>
    <row r="2308" spans="1:13">
      <c r="A2308" s="13">
        <f ca="1">IFERROR(__xludf.DUMMYFUNCTION("""COMPUTED_VALUE"""),31)</f>
        <v>31</v>
      </c>
      <c r="B2308" s="13"/>
      <c r="C2308" s="13" t="str">
        <f ca="1">IFERROR(__xludf.DUMMYFUNCTION("""COMPUTED_VALUE"""),"相似")</f>
        <v>相似</v>
      </c>
      <c r="D2308" s="13" t="str">
        <f ca="1">IFERROR(__xludf.DUMMYFUNCTION("""COMPUTED_VALUE"""),"&lt;ruby&gt;相似&lt;rt&gt;xiāngsì&lt;/rt&gt;&lt;/ruby&gt;")</f>
        <v>&lt;ruby&gt;相似&lt;rt&gt;xiāngsì&lt;/rt&gt;&lt;/ruby&gt;</v>
      </c>
      <c r="E2308" s="13" t="str">
        <f ca="1">IFERROR(__xludf.DUMMYFUNCTION("""COMPUTED_VALUE"""),"xiāngsì")</f>
        <v>xiāngsì</v>
      </c>
      <c r="F2308" s="13" t="str">
        <f ca="1">IFERROR(__xludf.DUMMYFUNCTION("""COMPUTED_VALUE"""),"Tính từ")</f>
        <v>Tính từ</v>
      </c>
      <c r="G2308" s="13" t="str">
        <f ca="1">IFERROR(__xludf.DUMMYFUNCTION("""COMPUTED_VALUE"""),"tương tự, giống nhau")</f>
        <v>tương tự, giống nhau</v>
      </c>
      <c r="H2308" s="13" t="str">
        <f ca="1">IFERROR(__xludf.DUMMYFUNCTION("""COMPUTED_VALUE"""),"这两个苹果的大小相似。")</f>
        <v>这两个苹果的大小相似。</v>
      </c>
      <c r="I2308" s="13"/>
      <c r="J2308" s="13" t="str">
        <f ca="1">IFERROR(__xludf.DUMMYFUNCTION("""COMPUTED_VALUE"""),"Hai quả táo này có kích thước rất giống nhau.")</f>
        <v>Hai quả táo này có kích thước rất giống nhau.</v>
      </c>
      <c r="K2308" s="13" t="str">
        <f ca="1">IFERROR(__xludf.DUMMYFUNCTION("""COMPUTED_VALUE"""),"H5_B25_BG31.png")</f>
        <v>H5_B25_BG31.png</v>
      </c>
      <c r="L2308" s="13" t="str">
        <f ca="1">IFERROR(__xludf.DUMMYFUNCTION("""COMPUTED_VALUE"""),"B25_31.mp3")</f>
        <v>B25_31.mp3</v>
      </c>
      <c r="M2308" s="13" t="str">
        <f ca="1">IFERROR(__xludf.DUMMYFUNCTION("""COMPUTED_VALUE"""),"B25_VD_31.mp3")</f>
        <v>B25_VD_31.mp3</v>
      </c>
    </row>
    <row r="2309" spans="1:13">
      <c r="A2309" s="13">
        <f ca="1">IFERROR(__xludf.DUMMYFUNCTION("""COMPUTED_VALUE"""),32)</f>
        <v>32</v>
      </c>
      <c r="B2309" s="13"/>
      <c r="C2309" s="13" t="str">
        <f ca="1">IFERROR(__xludf.DUMMYFUNCTION("""COMPUTED_VALUE"""),"窄")</f>
        <v>窄</v>
      </c>
      <c r="D2309" s="13" t="str">
        <f ca="1">IFERROR(__xludf.DUMMYFUNCTION("""COMPUTED_VALUE"""),"&lt;ruby&gt;窄&lt;rt&gt;zhǎi&lt;/rt&gt;&lt;/ruby&gt;")</f>
        <v>&lt;ruby&gt;窄&lt;rt&gt;zhǎi&lt;/rt&gt;&lt;/ruby&gt;</v>
      </c>
      <c r="E2309" s="13" t="str">
        <f ca="1">IFERROR(__xludf.DUMMYFUNCTION("""COMPUTED_VALUE"""),"zhǎi")</f>
        <v>zhǎi</v>
      </c>
      <c r="F2309" s="13" t="str">
        <f ca="1">IFERROR(__xludf.DUMMYFUNCTION("""COMPUTED_VALUE"""),"Tính từ")</f>
        <v>Tính từ</v>
      </c>
      <c r="G2309" s="13" t="str">
        <f ca="1">IFERROR(__xludf.DUMMYFUNCTION("""COMPUTED_VALUE"""),"chật, hẹp")</f>
        <v>chật, hẹp</v>
      </c>
      <c r="H2309" s="13" t="str">
        <f ca="1">IFERROR(__xludf.DUMMYFUNCTION("""COMPUTED_VALUE"""),"这条巷子很窄，车进不去。")</f>
        <v>这条巷子很窄，车进不去。</v>
      </c>
      <c r="I2309" s="13"/>
      <c r="J2309" s="13" t="str">
        <f ca="1">IFERROR(__xludf.DUMMYFUNCTION("""COMPUTED_VALUE"""),"Con hẻm này rất hẹp, xe không thể vào được.")</f>
        <v>Con hẻm này rất hẹp, xe không thể vào được.</v>
      </c>
      <c r="K2309" s="13" t="str">
        <f ca="1">IFERROR(__xludf.DUMMYFUNCTION("""COMPUTED_VALUE"""),"H5_B25_BG32.png")</f>
        <v>H5_B25_BG32.png</v>
      </c>
      <c r="L2309" s="13" t="str">
        <f ca="1">IFERROR(__xludf.DUMMYFUNCTION("""COMPUTED_VALUE"""),"B25_32.mp3")</f>
        <v>B25_32.mp3</v>
      </c>
      <c r="M2309" s="13" t="str">
        <f ca="1">IFERROR(__xludf.DUMMYFUNCTION("""COMPUTED_VALUE"""),"B25_VD_32.mp3")</f>
        <v>B25_VD_32.mp3</v>
      </c>
    </row>
    <row r="2310" spans="1:13">
      <c r="A2310" s="13">
        <f ca="1">IFERROR(__xludf.DUMMYFUNCTION("""COMPUTED_VALUE"""),33)</f>
        <v>33</v>
      </c>
      <c r="B2310" s="13"/>
      <c r="C2310" s="13" t="str">
        <f ca="1">IFERROR(__xludf.DUMMYFUNCTION("""COMPUTED_VALUE"""),"负重")</f>
        <v>负重</v>
      </c>
      <c r="D2310" s="13" t="str">
        <f ca="1">IFERROR(__xludf.DUMMYFUNCTION("""COMPUTED_VALUE"""),"&lt;ruby&gt;负重&lt;rt&gt;fùzhòng&lt;/rt&gt;&lt;/ruby&gt;")</f>
        <v>&lt;ruby&gt;负重&lt;rt&gt;fùzhòng&lt;/rt&gt;&lt;/ruby&gt;</v>
      </c>
      <c r="E2310" s="13" t="str">
        <f ca="1">IFERROR(__xludf.DUMMYFUNCTION("""COMPUTED_VALUE"""),"fùzhòng")</f>
        <v>fùzhòng</v>
      </c>
      <c r="F2310" s="13" t="str">
        <f ca="1">IFERROR(__xludf.DUMMYFUNCTION("""COMPUTED_VALUE"""),"Động từ")</f>
        <v>Động từ</v>
      </c>
      <c r="G2310" s="13" t="str">
        <f ca="1">IFERROR(__xludf.DUMMYFUNCTION("""COMPUTED_VALUE"""),"vác nặng")</f>
        <v>vác nặng</v>
      </c>
      <c r="H2310" s="13" t="str">
        <f ca="1">IFERROR(__xludf.DUMMYFUNCTION("""COMPUTED_VALUE"""),"他肩膀疼，因为负重。")</f>
        <v>他肩膀疼，因为负重。</v>
      </c>
      <c r="I2310" s="13"/>
      <c r="J2310" s="13" t="str">
        <f ca="1">IFERROR(__xludf.DUMMYFUNCTION("""COMPUTED_VALUE"""),"Vai anh ấy đau vì mang nặng.")</f>
        <v>Vai anh ấy đau vì mang nặng.</v>
      </c>
      <c r="K2310" s="13" t="str">
        <f ca="1">IFERROR(__xludf.DUMMYFUNCTION("""COMPUTED_VALUE"""),"H5_B25_BG33.png")</f>
        <v>H5_B25_BG33.png</v>
      </c>
      <c r="L2310" s="13" t="str">
        <f ca="1">IFERROR(__xludf.DUMMYFUNCTION("""COMPUTED_VALUE"""),"B25_33.mp3")</f>
        <v>B25_33.mp3</v>
      </c>
      <c r="M2310" s="13" t="str">
        <f ca="1">IFERROR(__xludf.DUMMYFUNCTION("""COMPUTED_VALUE"""),"B25_VD_33.mp3")</f>
        <v>B25_VD_33.mp3</v>
      </c>
    </row>
    <row r="2311" spans="1:13">
      <c r="A2311" s="13">
        <f ca="1">IFERROR(__xludf.DUMMYFUNCTION("""COMPUTED_VALUE"""),34)</f>
        <v>34</v>
      </c>
      <c r="B2311" s="13"/>
      <c r="C2311" s="13" t="str">
        <f ca="1">IFERROR(__xludf.DUMMYFUNCTION("""COMPUTED_VALUE"""),"妇女")</f>
        <v>妇女</v>
      </c>
      <c r="D2311" s="13" t="str">
        <f ca="1">IFERROR(__xludf.DUMMYFUNCTION("""COMPUTED_VALUE"""),"&lt;ruby&gt;妇女&lt;rt&gt;fùnǚ&lt;/rt&gt;&lt;/ruby&gt;")</f>
        <v>&lt;ruby&gt;妇女&lt;rt&gt;fùnǚ&lt;/rt&gt;&lt;/ruby&gt;</v>
      </c>
      <c r="E2311" s="13" t="str">
        <f ca="1">IFERROR(__xludf.DUMMYFUNCTION("""COMPUTED_VALUE"""),"fùnǚ")</f>
        <v>fùnǚ</v>
      </c>
      <c r="F2311" s="13" t="str">
        <f ca="1">IFERROR(__xludf.DUMMYFUNCTION("""COMPUTED_VALUE"""),"Danh từ")</f>
        <v>Danh từ</v>
      </c>
      <c r="G2311" s="13" t="str">
        <f ca="1">IFERROR(__xludf.DUMMYFUNCTION("""COMPUTED_VALUE"""),"phụ nữ")</f>
        <v>phụ nữ</v>
      </c>
      <c r="H2311" s="13" t="str">
        <f ca="1">IFERROR(__xludf.DUMMYFUNCTION("""COMPUTED_VALUE""")," 这个家务活适合妇女。")</f>
        <v xml:space="preserve"> 这个家务活适合妇女。</v>
      </c>
      <c r="I2311" s="13"/>
      <c r="J2311" s="13" t="str">
        <f ca="1">IFERROR(__xludf.DUMMYFUNCTION("""COMPUTED_VALUE"""),"Công việc nội trợ này phù hợp với phụ nữ.")</f>
        <v>Công việc nội trợ này phù hợp với phụ nữ.</v>
      </c>
      <c r="K2311" s="13" t="str">
        <f ca="1">IFERROR(__xludf.DUMMYFUNCTION("""COMPUTED_VALUE"""),"H5_B25_BG34.png")</f>
        <v>H5_B25_BG34.png</v>
      </c>
      <c r="L2311" s="13" t="str">
        <f ca="1">IFERROR(__xludf.DUMMYFUNCTION("""COMPUTED_VALUE"""),"B25_34.mp3")</f>
        <v>B25_34.mp3</v>
      </c>
      <c r="M2311" s="13" t="str">
        <f ca="1">IFERROR(__xludf.DUMMYFUNCTION("""COMPUTED_VALUE"""),"B25_VD_34.mp3")</f>
        <v>B25_VD_34.mp3</v>
      </c>
    </row>
    <row r="2312" spans="1:13">
      <c r="A2312" s="13">
        <f ca="1">IFERROR(__xludf.DUMMYFUNCTION("""COMPUTED_VALUE"""),35)</f>
        <v>35</v>
      </c>
      <c r="B2312" s="13"/>
      <c r="C2312" s="13" t="str">
        <f ca="1">IFERROR(__xludf.DUMMYFUNCTION("""COMPUTED_VALUE"""),"起")</f>
        <v>起</v>
      </c>
      <c r="D2312" s="13" t="str">
        <f ca="1">IFERROR(__xludf.DUMMYFUNCTION("""COMPUTED_VALUE"""),"&lt;ruby&gt;起&lt;rt&gt;qǐ&lt;/rt&gt;&lt;/ruby&gt;")</f>
        <v>&lt;ruby&gt;起&lt;rt&gt;qǐ&lt;/rt&gt;&lt;/ruby&gt;</v>
      </c>
      <c r="E2312" s="13" t="str">
        <f ca="1">IFERROR(__xludf.DUMMYFUNCTION("""COMPUTED_VALUE"""),"qǐ")</f>
        <v>qǐ</v>
      </c>
      <c r="F2312" s="13" t="str">
        <f ca="1">IFERROR(__xludf.DUMMYFUNCTION("""COMPUTED_VALUE"""),"Lượng từ")</f>
        <v>Lượng từ</v>
      </c>
      <c r="G2312" s="13" t="str">
        <f ca="1">IFERROR(__xludf.DUMMYFUNCTION("""COMPUTED_VALUE"""),"vụ (việc)")</f>
        <v>vụ (việc)</v>
      </c>
      <c r="H2312" s="13" t="str">
        <f ca="1">IFERROR(__xludf.DUMMYFUNCTION("""COMPUTED_VALUE"""),"这是一起严重的事故。")</f>
        <v>这是一起严重的事故。</v>
      </c>
      <c r="I2312" s="13"/>
      <c r="J2312" s="13" t="str">
        <f ca="1">IFERROR(__xludf.DUMMYFUNCTION("""COMPUTED_VALUE"""),"Đây là một vụ tai nạn nghiêm trọng.")</f>
        <v>Đây là một vụ tai nạn nghiêm trọng.</v>
      </c>
      <c r="K2312" s="13" t="str">
        <f ca="1">IFERROR(__xludf.DUMMYFUNCTION("""COMPUTED_VALUE"""),"H5_B25_BG35.png")</f>
        <v>H5_B25_BG35.png</v>
      </c>
      <c r="L2312" s="13" t="str">
        <f ca="1">IFERROR(__xludf.DUMMYFUNCTION("""COMPUTED_VALUE"""),"B25_35.mp3")</f>
        <v>B25_35.mp3</v>
      </c>
      <c r="M2312" s="13" t="str">
        <f ca="1">IFERROR(__xludf.DUMMYFUNCTION("""COMPUTED_VALUE"""),"B25_VD_35.mp3")</f>
        <v>B25_VD_35.mp3</v>
      </c>
    </row>
    <row r="2313" spans="1:13">
      <c r="A2313" s="13">
        <f ca="1">IFERROR(__xludf.DUMMYFUNCTION("""COMPUTED_VALUE"""),36)</f>
        <v>36</v>
      </c>
      <c r="B2313" s="13"/>
      <c r="C2313" s="13" t="str">
        <f ca="1">IFERROR(__xludf.DUMMYFUNCTION("""COMPUTED_VALUE"""),"效应")</f>
        <v>效应</v>
      </c>
      <c r="D2313" s="13" t="str">
        <f ca="1">IFERROR(__xludf.DUMMYFUNCTION("""COMPUTED_VALUE"""),"&lt;ruby&gt;效应&lt;rt&gt;xiàoyìng&lt;/rt&gt;&lt;/ruby&gt;")</f>
        <v>&lt;ruby&gt;效应&lt;rt&gt;xiàoyìng&lt;/rt&gt;&lt;/ruby&gt;</v>
      </c>
      <c r="E2313" s="13" t="str">
        <f ca="1">IFERROR(__xludf.DUMMYFUNCTION("""COMPUTED_VALUE"""),"xiàoyìng")</f>
        <v>xiàoyìng</v>
      </c>
      <c r="F2313" s="13" t="str">
        <f ca="1">IFERROR(__xludf.DUMMYFUNCTION("""COMPUTED_VALUE"""),"Danh từ")</f>
        <v>Danh từ</v>
      </c>
      <c r="G2313" s="13" t="str">
        <f ca="1">IFERROR(__xludf.DUMMYFUNCTION("""COMPUTED_VALUE"""),"tác động, ảnh hưởng, hiệu ứng")</f>
        <v>tác động, ảnh hưởng, hiệu ứng</v>
      </c>
      <c r="H2313" s="13" t="str">
        <f ca="1">IFERROR(__xludf.DUMMYFUNCTION("""COMPUTED_VALUE"""),"这个政策产生了很好的效应。")</f>
        <v>这个政策产生了很好的效应。</v>
      </c>
      <c r="I2313" s="13"/>
      <c r="J2313" s="13" t="str">
        <f ca="1">IFERROR(__xludf.DUMMYFUNCTION("""COMPUTED_VALUE"""),"Chính sách này đã tạo ra hiệu ứng rất tốt.")</f>
        <v>Chính sách này đã tạo ra hiệu ứng rất tốt.</v>
      </c>
      <c r="K2313" s="13" t="str">
        <f ca="1">IFERROR(__xludf.DUMMYFUNCTION("""COMPUTED_VALUE"""),"H5_B25_BG36.png")</f>
        <v>H5_B25_BG36.png</v>
      </c>
      <c r="L2313" s="13" t="str">
        <f ca="1">IFERROR(__xludf.DUMMYFUNCTION("""COMPUTED_VALUE"""),"B25_36.mp3")</f>
        <v>B25_36.mp3</v>
      </c>
      <c r="M2313" s="13" t="str">
        <f ca="1">IFERROR(__xludf.DUMMYFUNCTION("""COMPUTED_VALUE"""),"B25_VD_36.mp3")</f>
        <v>B25_VD_36.mp3</v>
      </c>
    </row>
    <row r="2314" spans="1:13">
      <c r="A2314" s="13">
        <f ca="1">IFERROR(__xludf.DUMMYFUNCTION("""COMPUTED_VALUE"""),37)</f>
        <v>37</v>
      </c>
      <c r="B2314" s="13"/>
      <c r="C2314" s="13" t="str">
        <f ca="1">IFERROR(__xludf.DUMMYFUNCTION("""COMPUTED_VALUE"""),"胸")</f>
        <v>胸</v>
      </c>
      <c r="D2314" s="13" t="str">
        <f ca="1">IFERROR(__xludf.DUMMYFUNCTION("""COMPUTED_VALUE"""),"&lt;ruby&gt;胸&lt;rt&gt;xiōng&lt;/rt&gt;&lt;/ruby&gt;")</f>
        <v>&lt;ruby&gt;胸&lt;rt&gt;xiōng&lt;/rt&gt;&lt;/ruby&gt;</v>
      </c>
      <c r="E2314" s="13" t="str">
        <f ca="1">IFERROR(__xludf.DUMMYFUNCTION("""COMPUTED_VALUE"""),"xiōng")</f>
        <v>xiōng</v>
      </c>
      <c r="F2314" s="13" t="str">
        <f ca="1">IFERROR(__xludf.DUMMYFUNCTION("""COMPUTED_VALUE"""),"Danh từ")</f>
        <v>Danh từ</v>
      </c>
      <c r="G2314" s="13" t="str">
        <f ca="1">IFERROR(__xludf.DUMMYFUNCTION("""COMPUTED_VALUE"""),"ngực, lòng")</f>
        <v>ngực, lòng</v>
      </c>
      <c r="H2314" s="13" t="str">
        <f ca="1">IFERROR(__xludf.DUMMYFUNCTION("""COMPUTED_VALUE"""),"她双手抱着胸。")</f>
        <v>她双手抱着胸。</v>
      </c>
      <c r="I2314" s="13"/>
      <c r="J2314" s="13" t="str">
        <f ca="1">IFERROR(__xludf.DUMMYFUNCTION("""COMPUTED_VALUE"""),"Cô ấy ôm lấy ngực mình bằng cả hai tay.")</f>
        <v>Cô ấy ôm lấy ngực mình bằng cả hai tay.</v>
      </c>
      <c r="K2314" s="13" t="str">
        <f ca="1">IFERROR(__xludf.DUMMYFUNCTION("""COMPUTED_VALUE"""),"H5_B25_BG37.png")</f>
        <v>H5_B25_BG37.png</v>
      </c>
      <c r="L2314" s="13" t="str">
        <f ca="1">IFERROR(__xludf.DUMMYFUNCTION("""COMPUTED_VALUE"""),"B25_37.mp3")</f>
        <v>B25_37.mp3</v>
      </c>
      <c r="M2314" s="13" t="str">
        <f ca="1">IFERROR(__xludf.DUMMYFUNCTION("""COMPUTED_VALUE"""),"B25_VD_37.mp3")</f>
        <v>B25_VD_37.mp3</v>
      </c>
    </row>
    <row r="2315" spans="1:13">
      <c r="A2315" s="13">
        <f ca="1">IFERROR(__xludf.DUMMYFUNCTION("""COMPUTED_VALUE"""),38)</f>
        <v>38</v>
      </c>
      <c r="B2315" s="13"/>
      <c r="C2315" s="13" t="str">
        <f ca="1">IFERROR(__xludf.DUMMYFUNCTION("""COMPUTED_VALUE"""),"和尚")</f>
        <v>和尚</v>
      </c>
      <c r="D2315" s="13" t="str">
        <f ca="1">IFERROR(__xludf.DUMMYFUNCTION("""COMPUTED_VALUE"""),"&lt;ruby&gt;和尚&lt;rt&gt;héshang&lt;/rt&gt;&lt;/ruby&gt;")</f>
        <v>&lt;ruby&gt;和尚&lt;rt&gt;héshang&lt;/rt&gt;&lt;/ruby&gt;</v>
      </c>
      <c r="E2315" s="13" t="str">
        <f ca="1">IFERROR(__xludf.DUMMYFUNCTION("""COMPUTED_VALUE"""),"héshang")</f>
        <v>héshang</v>
      </c>
      <c r="F2315" s="13" t="str">
        <f ca="1">IFERROR(__xludf.DUMMYFUNCTION("""COMPUTED_VALUE"""),"Danh từ")</f>
        <v>Danh từ</v>
      </c>
      <c r="G2315" s="13" t="str">
        <f ca="1">IFERROR(__xludf.DUMMYFUNCTION("""COMPUTED_VALUE"""),"hòa thượng")</f>
        <v>hòa thượng</v>
      </c>
      <c r="H2315" s="13" t="str">
        <f ca="1">IFERROR(__xludf.DUMMYFUNCTION("""COMPUTED_VALUE"""),"这位和尚在打坐。")</f>
        <v>这位和尚在打坐。</v>
      </c>
      <c r="I2315" s="13"/>
      <c r="J2315" s="13" t="str">
        <f ca="1">IFERROR(__xludf.DUMMYFUNCTION("""COMPUTED_VALUE"""),"Vị hòa thượng này đang thiền. ")</f>
        <v xml:space="preserve">Vị hòa thượng này đang thiền. </v>
      </c>
      <c r="K2315" s="13" t="str">
        <f ca="1">IFERROR(__xludf.DUMMYFUNCTION("""COMPUTED_VALUE"""),"H5_B25_BG38.png")</f>
        <v>H5_B25_BG38.png</v>
      </c>
      <c r="L2315" s="13" t="str">
        <f ca="1">IFERROR(__xludf.DUMMYFUNCTION("""COMPUTED_VALUE"""),"B25_38.mp3")</f>
        <v>B25_38.mp3</v>
      </c>
      <c r="M2315" s="13" t="str">
        <f ca="1">IFERROR(__xludf.DUMMYFUNCTION("""COMPUTED_VALUE"""),"B25_VD_38.mp3")</f>
        <v>B25_VD_38.mp3</v>
      </c>
    </row>
    <row r="2316" spans="1:13">
      <c r="A2316" s="13">
        <f ca="1">IFERROR(__xludf.DUMMYFUNCTION("""COMPUTED_VALUE"""),39)</f>
        <v>39</v>
      </c>
      <c r="B2316" s="13"/>
      <c r="C2316" s="13" t="str">
        <f ca="1">IFERROR(__xludf.DUMMYFUNCTION("""COMPUTED_VALUE"""),"钟")</f>
        <v>钟</v>
      </c>
      <c r="D2316" s="13" t="str">
        <f ca="1">IFERROR(__xludf.DUMMYFUNCTION("""COMPUTED_VALUE"""),"&lt;ruby&gt;钟&lt;rt&gt;zhōng&lt;/rt&gt;&lt;/ruby&gt;")</f>
        <v>&lt;ruby&gt;钟&lt;rt&gt;zhōng&lt;/rt&gt;&lt;/ruby&gt;</v>
      </c>
      <c r="E2316" s="13" t="str">
        <f ca="1">IFERROR(__xludf.DUMMYFUNCTION("""COMPUTED_VALUE"""),"zhōng")</f>
        <v>zhōng</v>
      </c>
      <c r="F2316" s="13" t="str">
        <f ca="1">IFERROR(__xludf.DUMMYFUNCTION("""COMPUTED_VALUE"""),"Danh từ")</f>
        <v>Danh từ</v>
      </c>
      <c r="G2316" s="13" t="str">
        <f ca="1">IFERROR(__xludf.DUMMYFUNCTION("""COMPUTED_VALUE"""),"chuông")</f>
        <v>chuông</v>
      </c>
      <c r="H2316" s="13" t="str">
        <f ca="1">IFERROR(__xludf.DUMMYFUNCTION("""COMPUTED_VALUE"""),"这个钟是用来装饰圣诞节的。")</f>
        <v>这个钟是用来装饰圣诞节的。</v>
      </c>
      <c r="I2316" s="13"/>
      <c r="J2316" s="13" t="str">
        <f ca="1">IFERROR(__xludf.DUMMYFUNCTION("""COMPUTED_VALUE"""),"Chiếc chuông này dùng để trang trí cho giáng sinh.")</f>
        <v>Chiếc chuông này dùng để trang trí cho giáng sinh.</v>
      </c>
      <c r="K2316" s="13" t="str">
        <f ca="1">IFERROR(__xludf.DUMMYFUNCTION("""COMPUTED_VALUE"""),"H5_B25_BG39.png")</f>
        <v>H5_B25_BG39.png</v>
      </c>
      <c r="L2316" s="13" t="str">
        <f ca="1">IFERROR(__xludf.DUMMYFUNCTION("""COMPUTED_VALUE"""),"B25_39.mp3")</f>
        <v>B25_39.mp3</v>
      </c>
      <c r="M2316" s="13" t="str">
        <f ca="1">IFERROR(__xludf.DUMMYFUNCTION("""COMPUTED_VALUE"""),"B25_VD_39.mp3")</f>
        <v>B25_VD_39.mp3</v>
      </c>
    </row>
    <row r="2317" spans="1:13">
      <c r="A2317" s="13">
        <f ca="1">IFERROR(__xludf.DUMMYFUNCTION("""COMPUTED_VALUE"""),40)</f>
        <v>40</v>
      </c>
      <c r="B2317" s="13"/>
      <c r="C2317" s="13" t="str">
        <f ca="1">IFERROR(__xludf.DUMMYFUNCTION("""COMPUTED_VALUE"""),"彻底")</f>
        <v>彻底</v>
      </c>
      <c r="D2317" s="13" t="str">
        <f ca="1">IFERROR(__xludf.DUMMYFUNCTION("""COMPUTED_VALUE"""),"&lt;ruby&gt;彻底&lt;rt&gt;chèdǐ&lt;/rt&gt;&lt;/ruby&gt;")</f>
        <v>&lt;ruby&gt;彻底&lt;rt&gt;chèdǐ&lt;/rt&gt;&lt;/ruby&gt;</v>
      </c>
      <c r="E2317" s="13" t="str">
        <f ca="1">IFERROR(__xludf.DUMMYFUNCTION("""COMPUTED_VALUE"""),"chèdǐ")</f>
        <v>chèdǐ</v>
      </c>
      <c r="F2317" s="13" t="str">
        <f ca="1">IFERROR(__xludf.DUMMYFUNCTION("""COMPUTED_VALUE"""),"Tính từ")</f>
        <v>Tính từ</v>
      </c>
      <c r="G2317" s="13" t="str">
        <f ca="1">IFERROR(__xludf.DUMMYFUNCTION("""COMPUTED_VALUE"""),"triệt để, hoàn toàn")</f>
        <v>triệt để, hoàn toàn</v>
      </c>
      <c r="H2317" s="13" t="str">
        <f ca="1">IFERROR(__xludf.DUMMYFUNCTION("""COMPUTED_VALUE""")," 这个计划彻底失败了。")</f>
        <v xml:space="preserve"> 这个计划彻底失败了。</v>
      </c>
      <c r="I2317" s="13"/>
      <c r="J2317" s="13" t="str">
        <f ca="1">IFERROR(__xludf.DUMMYFUNCTION("""COMPUTED_VALUE"""),"Kế hoạch này đã thất bại hoàn toàn.")</f>
        <v>Kế hoạch này đã thất bại hoàn toàn.</v>
      </c>
      <c r="K2317" s="13" t="str">
        <f ca="1">IFERROR(__xludf.DUMMYFUNCTION("""COMPUTED_VALUE"""),"H5_B25_BG40.png")</f>
        <v>H5_B25_BG40.png</v>
      </c>
      <c r="L2317" s="13" t="str">
        <f ca="1">IFERROR(__xludf.DUMMYFUNCTION("""COMPUTED_VALUE"""),"B25_40.mp3")</f>
        <v>B25_40.mp3</v>
      </c>
      <c r="M2317" s="13" t="str">
        <f ca="1">IFERROR(__xludf.DUMMYFUNCTION("""COMPUTED_VALUE"""),"B25_VD_40.mp3")</f>
        <v>B25_VD_40.mp3</v>
      </c>
    </row>
    <row r="2318" spans="1:13">
      <c r="A2318" s="13">
        <f ca="1">IFERROR(__xludf.DUMMYFUNCTION("""COMPUTED_VALUE"""),1)</f>
        <v>1</v>
      </c>
      <c r="B2318" s="13"/>
      <c r="C2318" s="13" t="str">
        <f ca="1">IFERROR(__xludf.DUMMYFUNCTION("""COMPUTED_VALUE"""),"忙碌")</f>
        <v>忙碌</v>
      </c>
      <c r="D2318" s="13" t="str">
        <f ca="1">IFERROR(__xludf.DUMMYFUNCTION("""COMPUTED_VALUE"""),"&lt;ruby&gt;忙碌&lt;rt&gt;mánglù&lt;/rt&gt;&lt;/ruby&gt;")</f>
        <v>&lt;ruby&gt;忙碌&lt;rt&gt;mánglù&lt;/rt&gt;&lt;/ruby&gt;</v>
      </c>
      <c r="E2318" s="13" t="str">
        <f ca="1">IFERROR(__xludf.DUMMYFUNCTION("""COMPUTED_VALUE"""),"mánglù")</f>
        <v>mánglù</v>
      </c>
      <c r="F2318" s="13" t="str">
        <f ca="1">IFERROR(__xludf.DUMMYFUNCTION("""COMPUTED_VALUE"""),"Tính từ")</f>
        <v>Tính từ</v>
      </c>
      <c r="G2318" s="13" t="str">
        <f ca="1">IFERROR(__xludf.DUMMYFUNCTION("""COMPUTED_VALUE"""),"bận rộn")</f>
        <v>bận rộn</v>
      </c>
      <c r="H2318" s="13" t="str">
        <f ca="1">IFERROR(__xludf.DUMMYFUNCTION("""COMPUTED_VALUE"""),"最近我很忙碌，每天有很多工作要做。")</f>
        <v>最近我很忙碌，每天有很多工作要做。</v>
      </c>
      <c r="I2318" s="13"/>
      <c r="J2318" s="13" t="str">
        <f ca="1">IFERROR(__xludf.DUMMYFUNCTION("""COMPUTED_VALUE"""),"Dạo này tôi rất bận rộn, mỗi ngày có rất nhiều công việc phải làm.")</f>
        <v>Dạo này tôi rất bận rộn, mỗi ngày có rất nhiều công việc phải làm.</v>
      </c>
      <c r="K2318" s="13" t="str">
        <f ca="1">IFERROR(__xludf.DUMMYFUNCTION("""COMPUTED_VALUE"""),"H5_B26_BG-01.png")</f>
        <v>H5_B26_BG-01.png</v>
      </c>
      <c r="L2318" s="13" t="str">
        <f ca="1">IFERROR(__xludf.DUMMYFUNCTION("""COMPUTED_VALUE"""),"B26_1.mp3")</f>
        <v>B26_1.mp3</v>
      </c>
      <c r="M2318" s="13" t="str">
        <f ca="1">IFERROR(__xludf.DUMMYFUNCTION("""COMPUTED_VALUE"""),"B26_VD_1.mp3")</f>
        <v>B26_VD_1.mp3</v>
      </c>
    </row>
    <row r="2319" spans="1:13">
      <c r="A2319" s="13">
        <f ca="1">IFERROR(__xludf.DUMMYFUNCTION("""COMPUTED_VALUE"""),2)</f>
        <v>2</v>
      </c>
      <c r="B2319" s="13"/>
      <c r="C2319" s="13" t="str">
        <f ca="1">IFERROR(__xludf.DUMMYFUNCTION("""COMPUTED_VALUE"""),"被动")</f>
        <v>被动</v>
      </c>
      <c r="D2319" s="13" t="str">
        <f ca="1">IFERROR(__xludf.DUMMYFUNCTION("""COMPUTED_VALUE"""),"&lt;ruby&gt;被动&lt;rt&gt;bèidòng&lt;/rt&gt;&lt;/ruby&gt;")</f>
        <v>&lt;ruby&gt;被动&lt;rt&gt;bèidòng&lt;/rt&gt;&lt;/ruby&gt;</v>
      </c>
      <c r="E2319" s="13" t="str">
        <f ca="1">IFERROR(__xludf.DUMMYFUNCTION("""COMPUTED_VALUE"""),"bèidòng")</f>
        <v>bèidòng</v>
      </c>
      <c r="F2319" s="13" t="str">
        <f ca="1">IFERROR(__xludf.DUMMYFUNCTION("""COMPUTED_VALUE"""),"Tính từ")</f>
        <v>Tính từ</v>
      </c>
      <c r="G2319" s="13" t="str">
        <f ca="1">IFERROR(__xludf.DUMMYFUNCTION("""COMPUTED_VALUE"""),"bị động")</f>
        <v>bị động</v>
      </c>
      <c r="H2319" s="13" t="str">
        <f ca="1">IFERROR(__xludf.DUMMYFUNCTION("""COMPUTED_VALUE"""),"如果你在工作中总是保持被动态度，你的老板可能不会满意你。")</f>
        <v>如果你在工作中总是保持被动态度，你的老板可能不会满意你。</v>
      </c>
      <c r="I2319" s="13"/>
      <c r="J2319" s="13" t="str">
        <f ca="1">IFERROR(__xludf.DUMMYFUNCTION("""COMPUTED_VALUE"""),"Nếu bạn luôn giữ thái độ bị động trong công việc, sếp của bạn có thể sẽ không hài lòng với bạn bạn.")</f>
        <v>Nếu bạn luôn giữ thái độ bị động trong công việc, sếp của bạn có thể sẽ không hài lòng với bạn bạn.</v>
      </c>
      <c r="K2319" s="13" t="str">
        <f ca="1">IFERROR(__xludf.DUMMYFUNCTION("""COMPUTED_VALUE"""),"H5_B26_BG-02.png")</f>
        <v>H5_B26_BG-02.png</v>
      </c>
      <c r="L2319" s="13" t="str">
        <f ca="1">IFERROR(__xludf.DUMMYFUNCTION("""COMPUTED_VALUE"""),"B26_2.mp3")</f>
        <v>B26_2.mp3</v>
      </c>
      <c r="M2319" s="13" t="str">
        <f ca="1">IFERROR(__xludf.DUMMYFUNCTION("""COMPUTED_VALUE"""),"B26_VD_2.mp3")</f>
        <v>B26_VD_2.mp3</v>
      </c>
    </row>
    <row r="2320" spans="1:13">
      <c r="A2320" s="13">
        <f ca="1">IFERROR(__xludf.DUMMYFUNCTION("""COMPUTED_VALUE"""),3)</f>
        <v>3</v>
      </c>
      <c r="B2320" s="13"/>
      <c r="C2320" s="13" t="str">
        <f ca="1">IFERROR(__xludf.DUMMYFUNCTION("""COMPUTED_VALUE"""),"雇")</f>
        <v>雇</v>
      </c>
      <c r="D2320" s="13" t="str">
        <f ca="1">IFERROR(__xludf.DUMMYFUNCTION("""COMPUTED_VALUE"""),"&lt;ruby&gt;雇&lt;rt&gt;gù&lt;/rt&gt;&lt;/ruby&gt;")</f>
        <v>&lt;ruby&gt;雇&lt;rt&gt;gù&lt;/rt&gt;&lt;/ruby&gt;</v>
      </c>
      <c r="E2320" s="13" t="str">
        <f ca="1">IFERROR(__xludf.DUMMYFUNCTION("""COMPUTED_VALUE"""),"gù")</f>
        <v>gù</v>
      </c>
      <c r="F2320" s="13" t="str">
        <f ca="1">IFERROR(__xludf.DUMMYFUNCTION("""COMPUTED_VALUE"""),"Động từ")</f>
        <v>Động từ</v>
      </c>
      <c r="G2320" s="13" t="str">
        <f ca="1">IFERROR(__xludf.DUMMYFUNCTION("""COMPUTED_VALUE"""),"thuế, mướn")</f>
        <v>thuế, mướn</v>
      </c>
      <c r="H2320" s="13" t="str">
        <f ca="1">IFERROR(__xludf.DUMMYFUNCTION("""COMPUTED_VALUE"""),"为了保证项目进度，公司雇了更多工人。")</f>
        <v>为了保证项目进度，公司雇了更多工人。</v>
      </c>
      <c r="I2320" s="13"/>
      <c r="J2320" s="13" t="str">
        <f ca="1">IFERROR(__xludf.DUMMYFUNCTION("""COMPUTED_VALUE"""),"Để đảm bảo tiến độ dự án, công ty đã thuê thêm nhiều công nhân.")</f>
        <v>Để đảm bảo tiến độ dự án, công ty đã thuê thêm nhiều công nhân.</v>
      </c>
      <c r="K2320" s="13" t="str">
        <f ca="1">IFERROR(__xludf.DUMMYFUNCTION("""COMPUTED_VALUE"""),"H5_B26_BG-03.png")</f>
        <v>H5_B26_BG-03.png</v>
      </c>
      <c r="L2320" s="13" t="str">
        <f ca="1">IFERROR(__xludf.DUMMYFUNCTION("""COMPUTED_VALUE"""),"B26_3.mp3")</f>
        <v>B26_3.mp3</v>
      </c>
      <c r="M2320" s="13" t="str">
        <f ca="1">IFERROR(__xludf.DUMMYFUNCTION("""COMPUTED_VALUE"""),"B26_VD_3.mp3")</f>
        <v>B26_VD_3.mp3</v>
      </c>
    </row>
    <row r="2321" spans="1:13">
      <c r="A2321" s="13">
        <f ca="1">IFERROR(__xludf.DUMMYFUNCTION("""COMPUTED_VALUE"""),4)</f>
        <v>4</v>
      </c>
      <c r="B2321" s="13"/>
      <c r="C2321" s="13" t="str">
        <f ca="1">IFERROR(__xludf.DUMMYFUNCTION("""COMPUTED_VALUE"""),"投资")</f>
        <v>投资</v>
      </c>
      <c r="D2321" s="13" t="str">
        <f ca="1">IFERROR(__xludf.DUMMYFUNCTION("""COMPUTED_VALUE"""),"&lt;ruby&gt;投资&lt;rt&gt;tóu zī&lt;/rt&gt;&lt;/ruby&gt;")</f>
        <v>&lt;ruby&gt;投资&lt;rt&gt;tóu zī&lt;/rt&gt;&lt;/ruby&gt;</v>
      </c>
      <c r="E2321" s="13" t="str">
        <f ca="1">IFERROR(__xludf.DUMMYFUNCTION("""COMPUTED_VALUE"""),"tóu zī")</f>
        <v>tóu zī</v>
      </c>
      <c r="F2321" s="13" t="str">
        <f ca="1">IFERROR(__xludf.DUMMYFUNCTION("""COMPUTED_VALUE"""),"Động từ")</f>
        <v>Động từ</v>
      </c>
      <c r="G2321" s="13" t="str">
        <f ca="1">IFERROR(__xludf.DUMMYFUNCTION("""COMPUTED_VALUE"""),"đầu tư")</f>
        <v>đầu tư</v>
      </c>
      <c r="H2321" s="13" t="str">
        <f ca="1">IFERROR(__xludf.DUMMYFUNCTION("""COMPUTED_VALUE"""),"为了提高生产效率，老板决定投资新科技设备。")</f>
        <v>为了提高生产效率，老板决定投资新科技设备。</v>
      </c>
      <c r="I2321" s="13"/>
      <c r="J2321" s="13" t="str">
        <f ca="1">IFERROR(__xludf.DUMMYFUNCTION("""COMPUTED_VALUE"""),"Để nâng cao năng suất, ông chủ quyết định đầu tư trang thiết bị công nghệ mới.")</f>
        <v>Để nâng cao năng suất, ông chủ quyết định đầu tư trang thiết bị công nghệ mới.</v>
      </c>
      <c r="K2321" s="13" t="str">
        <f ca="1">IFERROR(__xludf.DUMMYFUNCTION("""COMPUTED_VALUE"""),"H5_B26_BG-04.png")</f>
        <v>H5_B26_BG-04.png</v>
      </c>
      <c r="L2321" s="13" t="str">
        <f ca="1">IFERROR(__xludf.DUMMYFUNCTION("""COMPUTED_VALUE"""),"B26_4.mp3")</f>
        <v>B26_4.mp3</v>
      </c>
      <c r="M2321" s="13" t="str">
        <f ca="1">IFERROR(__xludf.DUMMYFUNCTION("""COMPUTED_VALUE"""),"B26_VD_4.mp3")</f>
        <v>B26_VD_4.mp3</v>
      </c>
    </row>
    <row r="2322" spans="1:13">
      <c r="A2322" s="13">
        <f ca="1">IFERROR(__xludf.DUMMYFUNCTION("""COMPUTED_VALUE"""),5)</f>
        <v>5</v>
      </c>
      <c r="B2322" s="13"/>
      <c r="C2322" s="13" t="str">
        <f ca="1">IFERROR(__xludf.DUMMYFUNCTION("""COMPUTED_VALUE"""),"耽误")</f>
        <v>耽误</v>
      </c>
      <c r="D2322" s="13" t="str">
        <f ca="1">IFERROR(__xludf.DUMMYFUNCTION("""COMPUTED_VALUE"""),"&lt;ruby&gt;耽误&lt;rt&gt;dānwù&lt;/rt&gt;&lt;/ruby&gt;")</f>
        <v>&lt;ruby&gt;耽误&lt;rt&gt;dānwù&lt;/rt&gt;&lt;/ruby&gt;</v>
      </c>
      <c r="E2322" s="13" t="str">
        <f ca="1">IFERROR(__xludf.DUMMYFUNCTION("""COMPUTED_VALUE"""),"dānwù")</f>
        <v>dānwù</v>
      </c>
      <c r="F2322" s="13" t="str">
        <f ca="1">IFERROR(__xludf.DUMMYFUNCTION("""COMPUTED_VALUE"""),"Động từ")</f>
        <v>Động từ</v>
      </c>
      <c r="G2322" s="13" t="str">
        <f ca="1">IFERROR(__xludf.DUMMYFUNCTION("""COMPUTED_VALUE"""),"làm chậm trễ, để lỡ")</f>
        <v>làm chậm trễ, để lỡ</v>
      </c>
      <c r="H2322" s="13" t="str">
        <f ca="1">IFERROR(__xludf.DUMMYFUNCTION("""COMPUTED_VALUE"""),"因为堵车，我耽误了参加会议的时间。")</f>
        <v>因为堵车，我耽误了参加会议的时间。</v>
      </c>
      <c r="I2322" s="13"/>
      <c r="J2322" s="13" t="str">
        <f ca="1">IFERROR(__xludf.DUMMYFUNCTION("""COMPUTED_VALUE"""),"Vì tắc đường, tôi đã làm chậm trễ thời gian tham gia cuộc họp.")</f>
        <v>Vì tắc đường, tôi đã làm chậm trễ thời gian tham gia cuộc họp.</v>
      </c>
      <c r="K2322" s="13" t="str">
        <f ca="1">IFERROR(__xludf.DUMMYFUNCTION("""COMPUTED_VALUE"""),"H5_B26_BG-05.png")</f>
        <v>H5_B26_BG-05.png</v>
      </c>
      <c r="L2322" s="13" t="str">
        <f ca="1">IFERROR(__xludf.DUMMYFUNCTION("""COMPUTED_VALUE"""),"B26_5.mp3")</f>
        <v>B26_5.mp3</v>
      </c>
      <c r="M2322" s="13" t="str">
        <f ca="1">IFERROR(__xludf.DUMMYFUNCTION("""COMPUTED_VALUE"""),"B26_VD_5.mp3")</f>
        <v>B26_VD_5.mp3</v>
      </c>
    </row>
    <row r="2323" spans="1:13">
      <c r="A2323" s="13">
        <f ca="1">IFERROR(__xludf.DUMMYFUNCTION("""COMPUTED_VALUE"""),6)</f>
        <v>6</v>
      </c>
      <c r="B2323" s="13"/>
      <c r="C2323" s="13" t="str">
        <f ca="1">IFERROR(__xludf.DUMMYFUNCTION("""COMPUTED_VALUE"""),"效率")</f>
        <v>效率</v>
      </c>
      <c r="D2323" s="13" t="str">
        <f ca="1">IFERROR(__xludf.DUMMYFUNCTION("""COMPUTED_VALUE"""),"&lt;ruby&gt;效率&lt;rt&gt;xiàolǜ&lt;/rt&gt;&lt;/ruby&gt;")</f>
        <v>&lt;ruby&gt;效率&lt;rt&gt;xiàolǜ&lt;/rt&gt;&lt;/ruby&gt;</v>
      </c>
      <c r="E2323" s="13" t="str">
        <f ca="1">IFERROR(__xludf.DUMMYFUNCTION("""COMPUTED_VALUE"""),"xiàolǜ")</f>
        <v>xiàolǜ</v>
      </c>
      <c r="F2323" s="13" t="str">
        <f ca="1">IFERROR(__xludf.DUMMYFUNCTION("""COMPUTED_VALUE"""),"Danh từ")</f>
        <v>Danh từ</v>
      </c>
      <c r="G2323" s="13" t="str">
        <f ca="1">IFERROR(__xludf.DUMMYFUNCTION("""COMPUTED_VALUE"""),"năng suất, hiệu suất")</f>
        <v>năng suất, hiệu suất</v>
      </c>
      <c r="H2323" s="13" t="str">
        <f ca="1">IFERROR(__xludf.DUMMYFUNCTION("""COMPUTED_VALUE"""),"为了提高团队效率，我们一起提出了新方案。")</f>
        <v>为了提高团队效率，我们一起提出了新方案。</v>
      </c>
      <c r="I2323" s="13"/>
      <c r="J2323" s="13" t="str">
        <f ca="1">IFERROR(__xludf.DUMMYFUNCTION("""COMPUTED_VALUE"""),"Để nâng cao hiệu suất của đội nhóm, chúng tôi đã cùng nhau đưa ra phương án mới.")</f>
        <v>Để nâng cao hiệu suất của đội nhóm, chúng tôi đã cùng nhau đưa ra phương án mới.</v>
      </c>
      <c r="K2323" s="13" t="str">
        <f ca="1">IFERROR(__xludf.DUMMYFUNCTION("""COMPUTED_VALUE"""),"H5_B26_BG-06.png")</f>
        <v>H5_B26_BG-06.png</v>
      </c>
      <c r="L2323" s="13" t="str">
        <f ca="1">IFERROR(__xludf.DUMMYFUNCTION("""COMPUTED_VALUE"""),"B26_6.mp3")</f>
        <v>B26_6.mp3</v>
      </c>
      <c r="M2323" s="13" t="str">
        <f ca="1">IFERROR(__xludf.DUMMYFUNCTION("""COMPUTED_VALUE"""),"B26_VD_6.mp3")</f>
        <v>B26_VD_6.mp3</v>
      </c>
    </row>
    <row r="2324" spans="1:13">
      <c r="A2324" s="13">
        <f ca="1">IFERROR(__xludf.DUMMYFUNCTION("""COMPUTED_VALUE"""),7)</f>
        <v>7</v>
      </c>
      <c r="B2324" s="13"/>
      <c r="C2324" s="13" t="str">
        <f ca="1">IFERROR(__xludf.DUMMYFUNCTION("""COMPUTED_VALUE"""),"出色")</f>
        <v>出色</v>
      </c>
      <c r="D2324" s="13" t="str">
        <f ca="1">IFERROR(__xludf.DUMMYFUNCTION("""COMPUTED_VALUE"""),"&lt;ruby&gt;出色&lt;rt&gt;chūsè&lt;/rt&gt;&lt;/ruby&gt;")</f>
        <v>&lt;ruby&gt;出色&lt;rt&gt;chūsè&lt;/rt&gt;&lt;/ruby&gt;</v>
      </c>
      <c r="E2324" s="13" t="str">
        <f ca="1">IFERROR(__xludf.DUMMYFUNCTION("""COMPUTED_VALUE"""),"chūsè")</f>
        <v>chūsè</v>
      </c>
      <c r="F2324" s="13" t="str">
        <f ca="1">IFERROR(__xludf.DUMMYFUNCTION("""COMPUTED_VALUE"""),"Tính từ")</f>
        <v>Tính từ</v>
      </c>
      <c r="G2324" s="13" t="str">
        <f ca="1">IFERROR(__xludf.DUMMYFUNCTION("""COMPUTED_VALUE"""),"xuất sắc")</f>
        <v>xuất sắc</v>
      </c>
      <c r="H2324" s="13" t="str">
        <f ca="1">IFERROR(__xludf.DUMMYFUNCTION("""COMPUTED_VALUE"""),"她在工作中表现出色，得到了公司领导的称赞。")</f>
        <v>她在工作中表现出色，得到了公司领导的称赞。</v>
      </c>
      <c r="I2324" s="13"/>
      <c r="J2324" s="13" t="str">
        <f ca="1">IFERROR(__xludf.DUMMYFUNCTION("""COMPUTED_VALUE"""),"Cô ấy thể hiện rất xuất sắc trong công việc và đã nhận được lời khen từ lãnh đạo công ty.")</f>
        <v>Cô ấy thể hiện rất xuất sắc trong công việc và đã nhận được lời khen từ lãnh đạo công ty.</v>
      </c>
      <c r="K2324" s="13" t="str">
        <f ca="1">IFERROR(__xludf.DUMMYFUNCTION("""COMPUTED_VALUE"""),"H5_B26_BG-07.png")</f>
        <v>H5_B26_BG-07.png</v>
      </c>
      <c r="L2324" s="13" t="str">
        <f ca="1">IFERROR(__xludf.DUMMYFUNCTION("""COMPUTED_VALUE"""),"B26_7.mp3")</f>
        <v>B26_7.mp3</v>
      </c>
      <c r="M2324" s="13" t="str">
        <f ca="1">IFERROR(__xludf.DUMMYFUNCTION("""COMPUTED_VALUE"""),"B26_VD_7.mp3")</f>
        <v>B26_VD_7.mp3</v>
      </c>
    </row>
    <row r="2325" spans="1:13">
      <c r="A2325" s="13">
        <f ca="1">IFERROR(__xludf.DUMMYFUNCTION("""COMPUTED_VALUE"""),8)</f>
        <v>8</v>
      </c>
      <c r="B2325" s="13"/>
      <c r="C2325" s="13" t="str">
        <f ca="1">IFERROR(__xludf.DUMMYFUNCTION("""COMPUTED_VALUE"""),"步骤")</f>
        <v>步骤</v>
      </c>
      <c r="D2325" s="13" t="str">
        <f ca="1">IFERROR(__xludf.DUMMYFUNCTION("""COMPUTED_VALUE"""),"&lt;ruby&gt;步骤&lt;rt&gt;bùzhòu&lt;/rt&gt;&lt;/ruby&gt;")</f>
        <v>&lt;ruby&gt;步骤&lt;rt&gt;bùzhòu&lt;/rt&gt;&lt;/ruby&gt;</v>
      </c>
      <c r="E2325" s="13" t="str">
        <f ca="1">IFERROR(__xludf.DUMMYFUNCTION("""COMPUTED_VALUE"""),"bùzhòu")</f>
        <v>bùzhòu</v>
      </c>
      <c r="F2325" s="13" t="str">
        <f ca="1">IFERROR(__xludf.DUMMYFUNCTION("""COMPUTED_VALUE"""),"Danh từ")</f>
        <v>Danh từ</v>
      </c>
      <c r="G2325" s="13" t="str">
        <f ca="1">IFERROR(__xludf.DUMMYFUNCTION("""COMPUTED_VALUE"""),"bước")</f>
        <v>bước</v>
      </c>
      <c r="H2325" s="13" t="str">
        <f ca="1">IFERROR(__xludf.DUMMYFUNCTION("""COMPUTED_VALUE"""),"完成这个项目需要按照以下步骤进行。")</f>
        <v>完成这个项目需要按照以下步骤进行。</v>
      </c>
      <c r="I2325" s="13"/>
      <c r="J2325" s="13" t="str">
        <f ca="1">IFERROR(__xludf.DUMMYFUNCTION("""COMPUTED_VALUE"""),"Hoàn thành dự án này cần thực hiện theo các bước sau đây.")</f>
        <v>Hoàn thành dự án này cần thực hiện theo các bước sau đây.</v>
      </c>
      <c r="K2325" s="13" t="str">
        <f ca="1">IFERROR(__xludf.DUMMYFUNCTION("""COMPUTED_VALUE"""),"H5_B26_BG-08.png")</f>
        <v>H5_B26_BG-08.png</v>
      </c>
      <c r="L2325" s="13" t="str">
        <f ca="1">IFERROR(__xludf.DUMMYFUNCTION("""COMPUTED_VALUE"""),"B26_8.mp3")</f>
        <v>B26_8.mp3</v>
      </c>
      <c r="M2325" s="13" t="str">
        <f ca="1">IFERROR(__xludf.DUMMYFUNCTION("""COMPUTED_VALUE"""),"B26_VD_8.mp3")</f>
        <v>B26_VD_8.mp3</v>
      </c>
    </row>
    <row r="2326" spans="1:13">
      <c r="A2326" s="13">
        <f ca="1">IFERROR(__xludf.DUMMYFUNCTION("""COMPUTED_VALUE"""),9)</f>
        <v>9</v>
      </c>
      <c r="B2326" s="13"/>
      <c r="C2326" s="13" t="str">
        <f ca="1">IFERROR(__xludf.DUMMYFUNCTION("""COMPUTED_VALUE"""),"疲劳")</f>
        <v>疲劳</v>
      </c>
      <c r="D2326" s="13" t="str">
        <f ca="1">IFERROR(__xludf.DUMMYFUNCTION("""COMPUTED_VALUE"""),"&lt;ruby&gt;疲劳&lt;rt&gt;píláo&lt;/rt&gt;&lt;/ruby&gt;")</f>
        <v>&lt;ruby&gt;疲劳&lt;rt&gt;píláo&lt;/rt&gt;&lt;/ruby&gt;</v>
      </c>
      <c r="E2326" s="13" t="str">
        <f ca="1">IFERROR(__xludf.DUMMYFUNCTION("""COMPUTED_VALUE"""),"píláo")</f>
        <v>píláo</v>
      </c>
      <c r="F2326" s="13" t="str">
        <f ca="1">IFERROR(__xludf.DUMMYFUNCTION("""COMPUTED_VALUE"""),"Tính từ")</f>
        <v>Tính từ</v>
      </c>
      <c r="G2326" s="13" t="str">
        <f ca="1">IFERROR(__xludf.DUMMYFUNCTION("""COMPUTED_VALUE"""),"mệt mỏi, mệt nhọc")</f>
        <v>mệt mỏi, mệt nhọc</v>
      </c>
      <c r="H2326" s="13" t="str">
        <f ca="1">IFERROR(__xludf.DUMMYFUNCTION("""COMPUTED_VALUE"""),"经过长时间的工作，他感到非常疲劳，需要休息一下。")</f>
        <v>经过长时间的工作，他感到非常疲劳，需要休息一下。</v>
      </c>
      <c r="I2326" s="13"/>
      <c r="J2326" s="13" t="str">
        <f ca="1">IFERROR(__xludf.DUMMYFUNCTION("""COMPUTED_VALUE"""),"Sau một khoảng thời gian làm việc dài, anh ấy cảm thấy rất mệt mỏi và cần nghỉ ngơi một chút.")</f>
        <v>Sau một khoảng thời gian làm việc dài, anh ấy cảm thấy rất mệt mỏi và cần nghỉ ngơi một chút.</v>
      </c>
      <c r="K2326" s="13" t="str">
        <f ca="1">IFERROR(__xludf.DUMMYFUNCTION("""COMPUTED_VALUE"""),"H5_B26_BG-09.png")</f>
        <v>H5_B26_BG-09.png</v>
      </c>
      <c r="L2326" s="13" t="str">
        <f ca="1">IFERROR(__xludf.DUMMYFUNCTION("""COMPUTED_VALUE"""),"B26_9.mp3")</f>
        <v>B26_9.mp3</v>
      </c>
      <c r="M2326" s="13" t="str">
        <f ca="1">IFERROR(__xludf.DUMMYFUNCTION("""COMPUTED_VALUE"""),"B26_VD_9.mp3")</f>
        <v>B26_VD_9.mp3</v>
      </c>
    </row>
    <row r="2327" spans="1:13">
      <c r="A2327" s="13">
        <f ca="1">IFERROR(__xludf.DUMMYFUNCTION("""COMPUTED_VALUE"""),10)</f>
        <v>10</v>
      </c>
      <c r="B2327" s="13"/>
      <c r="C2327" s="13" t="str">
        <f ca="1">IFERROR(__xludf.DUMMYFUNCTION("""COMPUTED_VALUE"""),"总算")</f>
        <v>总算</v>
      </c>
      <c r="D2327" s="13" t="str">
        <f ca="1">IFERROR(__xludf.DUMMYFUNCTION("""COMPUTED_VALUE"""),"&lt;ruby&gt;总算&lt;rt&gt;zǒngsuàn&lt;/rt&gt;&lt;/ruby&gt;")</f>
        <v>&lt;ruby&gt;总算&lt;rt&gt;zǒngsuàn&lt;/rt&gt;&lt;/ruby&gt;</v>
      </c>
      <c r="E2327" s="13" t="str">
        <f ca="1">IFERROR(__xludf.DUMMYFUNCTION("""COMPUTED_VALUE"""),"zǒngsuàn")</f>
        <v>zǒngsuàn</v>
      </c>
      <c r="F2327" s="13" t="str">
        <f ca="1">IFERROR(__xludf.DUMMYFUNCTION("""COMPUTED_VALUE"""),"Phó từ")</f>
        <v>Phó từ</v>
      </c>
      <c r="G2327" s="13" t="str">
        <f ca="1">IFERROR(__xludf.DUMMYFUNCTION("""COMPUTED_VALUE"""),"cuối cùng, nói chung")</f>
        <v>cuối cùng, nói chung</v>
      </c>
      <c r="H2327" s="13" t="str">
        <f ca="1">IFERROR(__xludf.DUMMYFUNCTION("""COMPUTED_VALUE"""),"经过几个月的建设，这座房子总算完工了。")</f>
        <v>经过几个月的建设，这座房子总算完工了。</v>
      </c>
      <c r="I2327" s="13"/>
      <c r="J2327" s="13" t="str">
        <f ca="1">IFERROR(__xludf.DUMMYFUNCTION("""COMPUTED_VALUE"""),"Sau vài tháng xây dựng, cuối cùng ngôi nhà này cũng đã hoàn thành.")</f>
        <v>Sau vài tháng xây dựng, cuối cùng ngôi nhà này cũng đã hoàn thành.</v>
      </c>
      <c r="K2327" s="13" t="str">
        <f ca="1">IFERROR(__xludf.DUMMYFUNCTION("""COMPUTED_VALUE"""),"H5_B26_BG-10.png")</f>
        <v>H5_B26_BG-10.png</v>
      </c>
      <c r="L2327" s="13" t="str">
        <f ca="1">IFERROR(__xludf.DUMMYFUNCTION("""COMPUTED_VALUE"""),"B26_10.mp3")</f>
        <v>B26_10.mp3</v>
      </c>
      <c r="M2327" s="13" t="str">
        <f ca="1">IFERROR(__xludf.DUMMYFUNCTION("""COMPUTED_VALUE"""),"B26_VD_10.mp3")</f>
        <v>B26_VD_10.mp3</v>
      </c>
    </row>
    <row r="2328" spans="1:13">
      <c r="A2328" s="13">
        <f ca="1">IFERROR(__xludf.DUMMYFUNCTION("""COMPUTED_VALUE"""),11)</f>
        <v>11</v>
      </c>
      <c r="B2328" s="13"/>
      <c r="C2328" s="13" t="str">
        <f ca="1">IFERROR(__xludf.DUMMYFUNCTION("""COMPUTED_VALUE"""),"奴隶")</f>
        <v>奴隶</v>
      </c>
      <c r="D2328" s="13" t="str">
        <f ca="1">IFERROR(__xludf.DUMMYFUNCTION("""COMPUTED_VALUE"""),"&lt;ruby&gt;奴隶&lt;rt&gt;núlì&lt;/rt&gt;&lt;/ruby&gt;")</f>
        <v>&lt;ruby&gt;奴隶&lt;rt&gt;núlì&lt;/rt&gt;&lt;/ruby&gt;</v>
      </c>
      <c r="E2328" s="13" t="str">
        <f ca="1">IFERROR(__xludf.DUMMYFUNCTION("""COMPUTED_VALUE"""),"núlì")</f>
        <v>núlì</v>
      </c>
      <c r="F2328" s="13" t="str">
        <f ca="1">IFERROR(__xludf.DUMMYFUNCTION("""COMPUTED_VALUE"""),"Danh từ")</f>
        <v>Danh từ</v>
      </c>
      <c r="G2328" s="13" t="str">
        <f ca="1">IFERROR(__xludf.DUMMYFUNCTION("""COMPUTED_VALUE"""),"nô lệ")</f>
        <v>nô lệ</v>
      </c>
      <c r="H2328" s="13" t="str">
        <f ca="1">IFERROR(__xludf.DUMMYFUNCTION("""COMPUTED_VALUE"""),"在古代埃及，奴隶在金字塔的建造中起到了重要作用。")</f>
        <v>在古代埃及，奴隶在金字塔的建造中起到了重要作用。</v>
      </c>
      <c r="I2328" s="13"/>
      <c r="J2328" s="13" t="str">
        <f ca="1">IFERROR(__xludf.DUMMYFUNCTION("""COMPUTED_VALUE"""),"Những nô lệ ở Ai Cập cổ đại đã đóng vai trò quan trọng trong việc xây dựng các kim tự tháp.")</f>
        <v>Những nô lệ ở Ai Cập cổ đại đã đóng vai trò quan trọng trong việc xây dựng các kim tự tháp.</v>
      </c>
      <c r="K2328" s="13" t="str">
        <f ca="1">IFERROR(__xludf.DUMMYFUNCTION("""COMPUTED_VALUE"""),"H5_B26_BG-11.png")</f>
        <v>H5_B26_BG-11.png</v>
      </c>
      <c r="L2328" s="13" t="str">
        <f ca="1">IFERROR(__xludf.DUMMYFUNCTION("""COMPUTED_VALUE"""),"B26_11.mp3")</f>
        <v>B26_11.mp3</v>
      </c>
      <c r="M2328" s="13" t="str">
        <f ca="1">IFERROR(__xludf.DUMMYFUNCTION("""COMPUTED_VALUE"""),"B26_VD_11.mp3")</f>
        <v>B26_VD_11.mp3</v>
      </c>
    </row>
    <row r="2329" spans="1:13">
      <c r="A2329" s="13">
        <f ca="1">IFERROR(__xludf.DUMMYFUNCTION("""COMPUTED_VALUE"""),12)</f>
        <v>12</v>
      </c>
      <c r="B2329" s="13"/>
      <c r="C2329" s="13" t="str">
        <f ca="1">IFERROR(__xludf.DUMMYFUNCTION("""COMPUTED_VALUE"""),"虚伪")</f>
        <v>虚伪</v>
      </c>
      <c r="D2329" s="13" t="str">
        <f ca="1">IFERROR(__xludf.DUMMYFUNCTION("""COMPUTED_VALUE"""),"&lt;ruby&gt;虚伪&lt;rt&gt;xūwěi&lt;/rt&gt;&lt;/ruby&gt;")</f>
        <v>&lt;ruby&gt;虚伪&lt;rt&gt;xūwěi&lt;/rt&gt;&lt;/ruby&gt;</v>
      </c>
      <c r="E2329" s="13" t="str">
        <f ca="1">IFERROR(__xludf.DUMMYFUNCTION("""COMPUTED_VALUE"""),"xūwěi")</f>
        <v>xūwěi</v>
      </c>
      <c r="F2329" s="13" t="str">
        <f ca="1">IFERROR(__xludf.DUMMYFUNCTION("""COMPUTED_VALUE"""),"Tính từ")</f>
        <v>Tính từ</v>
      </c>
      <c r="G2329" s="13" t="str">
        <f ca="1">IFERROR(__xludf.DUMMYFUNCTION("""COMPUTED_VALUE"""),"giả dối, không thật")</f>
        <v>giả dối, không thật</v>
      </c>
      <c r="H2329" s="13" t="str">
        <f ca="1">IFERROR(__xludf.DUMMYFUNCTION("""COMPUTED_VALUE"""),"他所说的话完全是虚伪的，一点也不真诚。")</f>
        <v>他所说的话完全是虚伪的，一点也不真诚。</v>
      </c>
      <c r="I2329" s="13"/>
      <c r="J2329" s="13" t="str">
        <f ca="1">IFERROR(__xludf.DUMMYFUNCTION("""COMPUTED_VALUE"""),"Những gì anh ta nói hoàn toàn là giả dối, không có một chút chân thành nào.")</f>
        <v>Những gì anh ta nói hoàn toàn là giả dối, không có một chút chân thành nào.</v>
      </c>
      <c r="K2329" s="13" t="str">
        <f ca="1">IFERROR(__xludf.DUMMYFUNCTION("""COMPUTED_VALUE"""),"H5_B26_BG-12.png")</f>
        <v>H5_B26_BG-12.png</v>
      </c>
      <c r="L2329" s="13" t="str">
        <f ca="1">IFERROR(__xludf.DUMMYFUNCTION("""COMPUTED_VALUE"""),"B26_12.mp3")</f>
        <v>B26_12.mp3</v>
      </c>
      <c r="M2329" s="13" t="str">
        <f ca="1">IFERROR(__xludf.DUMMYFUNCTION("""COMPUTED_VALUE"""),"B26_VD_12.mp3")</f>
        <v>B26_VD_12.mp3</v>
      </c>
    </row>
    <row r="2330" spans="1:13">
      <c r="A2330" s="13">
        <f ca="1">IFERROR(__xludf.DUMMYFUNCTION("""COMPUTED_VALUE"""),13)</f>
        <v>13</v>
      </c>
      <c r="B2330" s="13"/>
      <c r="C2330" s="13" t="str">
        <f ca="1">IFERROR(__xludf.DUMMYFUNCTION("""COMPUTED_VALUE"""),"反省")</f>
        <v>反省</v>
      </c>
      <c r="D2330" s="13" t="str">
        <f ca="1">IFERROR(__xludf.DUMMYFUNCTION("""COMPUTED_VALUE"""),"&lt;ruby&gt;反省&lt;rt&gt;fǎnxǐng&lt;/rt&gt;&lt;/ruby&gt;")</f>
        <v>&lt;ruby&gt;反省&lt;rt&gt;fǎnxǐng&lt;/rt&gt;&lt;/ruby&gt;</v>
      </c>
      <c r="E2330" s="13" t="str">
        <f ca="1">IFERROR(__xludf.DUMMYFUNCTION("""COMPUTED_VALUE"""),"fǎnxǐng")</f>
        <v>fǎnxǐng</v>
      </c>
      <c r="F2330" s="13" t="str">
        <f ca="1">IFERROR(__xludf.DUMMYFUNCTION("""COMPUTED_VALUE"""),"Động từ")</f>
        <v>Động từ</v>
      </c>
      <c r="G2330" s="13" t="str">
        <f ca="1">IFERROR(__xludf.DUMMYFUNCTION("""COMPUTED_VALUE"""),"tự kiểm điểm")</f>
        <v>tự kiểm điểm</v>
      </c>
      <c r="H2330" s="13" t="str">
        <f ca="1">IFERROR(__xludf.DUMMYFUNCTION("""COMPUTED_VALUE"""),"每次考试成绩不好时，我都会反省自己。")</f>
        <v>每次考试成绩不好时，我都会反省自己。</v>
      </c>
      <c r="I2330" s="13"/>
      <c r="J2330" s="13" t="str">
        <f ca="1">IFERROR(__xludf.DUMMYFUNCTION("""COMPUTED_VALUE"""),"Mỗi khi bị điểm kém, tôi luôn tự kiểm điểm bản thân.")</f>
        <v>Mỗi khi bị điểm kém, tôi luôn tự kiểm điểm bản thân.</v>
      </c>
      <c r="K2330" s="13" t="str">
        <f ca="1">IFERROR(__xludf.DUMMYFUNCTION("""COMPUTED_VALUE"""),"H5_B26_BG-13.png")</f>
        <v>H5_B26_BG-13.png</v>
      </c>
      <c r="L2330" s="13" t="str">
        <f ca="1">IFERROR(__xludf.DUMMYFUNCTION("""COMPUTED_VALUE"""),"B26_13.mp3")</f>
        <v>B26_13.mp3</v>
      </c>
      <c r="M2330" s="13" t="str">
        <f ca="1">IFERROR(__xludf.DUMMYFUNCTION("""COMPUTED_VALUE"""),"B26_VD_13.mp3")</f>
        <v>B26_VD_13.mp3</v>
      </c>
    </row>
    <row r="2331" spans="1:13">
      <c r="A2331" s="13">
        <f ca="1">IFERROR(__xludf.DUMMYFUNCTION("""COMPUTED_VALUE"""),14)</f>
        <v>14</v>
      </c>
      <c r="B2331" s="13"/>
      <c r="C2331" s="13" t="str">
        <f ca="1">IFERROR(__xludf.DUMMYFUNCTION("""COMPUTED_VALUE"""),"个性")</f>
        <v>个性</v>
      </c>
      <c r="D2331" s="13" t="str">
        <f ca="1">IFERROR(__xludf.DUMMYFUNCTION("""COMPUTED_VALUE"""),"&lt;ruby&gt;个性&lt;rt&gt;gèxìng&lt;/rt&gt;&lt;/ruby&gt;")</f>
        <v>&lt;ruby&gt;个性&lt;rt&gt;gèxìng&lt;/rt&gt;&lt;/ruby&gt;</v>
      </c>
      <c r="E2331" s="13" t="str">
        <f ca="1">IFERROR(__xludf.DUMMYFUNCTION("""COMPUTED_VALUE"""),"gèxìng")</f>
        <v>gèxìng</v>
      </c>
      <c r="F2331" s="13" t="str">
        <f ca="1">IFERROR(__xludf.DUMMYFUNCTION("""COMPUTED_VALUE"""),"Danh từ")</f>
        <v>Danh từ</v>
      </c>
      <c r="G2331" s="13" t="str">
        <f ca="1">IFERROR(__xludf.DUMMYFUNCTION("""COMPUTED_VALUE"""),"cá tính")</f>
        <v>cá tính</v>
      </c>
      <c r="H2331" s="13" t="str">
        <f ca="1">IFERROR(__xludf.DUMMYFUNCTION("""COMPUTED_VALUE"""),"她是一个有个性的人，朋友们都很喜欢她。")</f>
        <v>她是一个有个性的人，朋友们都很喜欢她。</v>
      </c>
      <c r="I2331" s="13"/>
      <c r="J2331" s="13" t="str">
        <f ca="1">IFERROR(__xludf.DUMMYFUNCTION("""COMPUTED_VALUE"""),"Cô ấy là một người có cá tính, bạn bè rất thích cô ấy.")</f>
        <v>Cô ấy là một người có cá tính, bạn bè rất thích cô ấy.</v>
      </c>
      <c r="K2331" s="13" t="str">
        <f ca="1">IFERROR(__xludf.DUMMYFUNCTION("""COMPUTED_VALUE"""),"H5_B26_BG-14.png")</f>
        <v>H5_B26_BG-14.png</v>
      </c>
      <c r="L2331" s="13" t="str">
        <f ca="1">IFERROR(__xludf.DUMMYFUNCTION("""COMPUTED_VALUE"""),"B26_14.mp3")</f>
        <v>B26_14.mp3</v>
      </c>
      <c r="M2331" s="13" t="str">
        <f ca="1">IFERROR(__xludf.DUMMYFUNCTION("""COMPUTED_VALUE"""),"B26_VD_14.mp3")</f>
        <v>B26_VD_14.mp3</v>
      </c>
    </row>
    <row r="2332" spans="1:13">
      <c r="A2332" s="13">
        <f ca="1">IFERROR(__xludf.DUMMYFUNCTION("""COMPUTED_VALUE"""),15)</f>
        <v>15</v>
      </c>
      <c r="B2332" s="13"/>
      <c r="C2332" s="13" t="str">
        <f ca="1">IFERROR(__xludf.DUMMYFUNCTION("""COMPUTED_VALUE"""),"冒险")</f>
        <v>冒险</v>
      </c>
      <c r="D2332" s="13" t="str">
        <f ca="1">IFERROR(__xludf.DUMMYFUNCTION("""COMPUTED_VALUE"""),"&lt;ruby&gt;冒险&lt;rt&gt;mào xiǎn&lt;/rt&gt;&lt;/ruby&gt;")</f>
        <v>&lt;ruby&gt;冒险&lt;rt&gt;mào xiǎn&lt;/rt&gt;&lt;/ruby&gt;</v>
      </c>
      <c r="E2332" s="13" t="str">
        <f ca="1">IFERROR(__xludf.DUMMYFUNCTION("""COMPUTED_VALUE"""),"mào xiǎn")</f>
        <v>mào xiǎn</v>
      </c>
      <c r="F2332" s="13" t="str">
        <f ca="1">IFERROR(__xludf.DUMMYFUNCTION("""COMPUTED_VALUE"""),"Động từ")</f>
        <v>Động từ</v>
      </c>
      <c r="G2332" s="13" t="str">
        <f ca="1">IFERROR(__xludf.DUMMYFUNCTION("""COMPUTED_VALUE"""),"mạo hiểm")</f>
        <v>mạo hiểm</v>
      </c>
      <c r="H2332" s="13" t="str">
        <f ca="1">IFERROR(__xludf.DUMMYFUNCTION("""COMPUTED_VALUE"""),"消防员冒险冲进火场。")</f>
        <v>消防员冒险冲进火场。</v>
      </c>
      <c r="I2332" s="13"/>
      <c r="J2332" s="13" t="str">
        <f ca="1">IFERROR(__xludf.DUMMYFUNCTION("""COMPUTED_VALUE"""),"Lính cứu hỏa đã mạo hiểm lao vào đám cháy.")</f>
        <v>Lính cứu hỏa đã mạo hiểm lao vào đám cháy.</v>
      </c>
      <c r="K2332" s="13" t="str">
        <f ca="1">IFERROR(__xludf.DUMMYFUNCTION("""COMPUTED_VALUE"""),"H5_B26_BG-15.png")</f>
        <v>H5_B26_BG-15.png</v>
      </c>
      <c r="L2332" s="13" t="str">
        <f ca="1">IFERROR(__xludf.DUMMYFUNCTION("""COMPUTED_VALUE"""),"B26_15.mp3")</f>
        <v>B26_15.mp3</v>
      </c>
      <c r="M2332" s="13" t="str">
        <f ca="1">IFERROR(__xludf.DUMMYFUNCTION("""COMPUTED_VALUE"""),"B26_VD_15.mp3")</f>
        <v>B26_VD_15.mp3</v>
      </c>
    </row>
    <row r="2333" spans="1:13">
      <c r="A2333" s="13">
        <f ca="1">IFERROR(__xludf.DUMMYFUNCTION("""COMPUTED_VALUE"""),16)</f>
        <v>16</v>
      </c>
      <c r="B2333" s="13"/>
      <c r="C2333" s="13" t="str">
        <f ca="1">IFERROR(__xludf.DUMMYFUNCTION("""COMPUTED_VALUE"""),"丛林")</f>
        <v>丛林</v>
      </c>
      <c r="D2333" s="13" t="str">
        <f ca="1">IFERROR(__xludf.DUMMYFUNCTION("""COMPUTED_VALUE"""),"&lt;ruby&gt;丛林&lt;rt&gt;cónglín&lt;/rt&gt;&lt;/ruby&gt;")</f>
        <v>&lt;ruby&gt;丛林&lt;rt&gt;cónglín&lt;/rt&gt;&lt;/ruby&gt;</v>
      </c>
      <c r="E2333" s="13" t="str">
        <f ca="1">IFERROR(__xludf.DUMMYFUNCTION("""COMPUTED_VALUE"""),"cónglín")</f>
        <v>cónglín</v>
      </c>
      <c r="F2333" s="13" t="str">
        <f ca="1">IFERROR(__xludf.DUMMYFUNCTION("""COMPUTED_VALUE"""),"Danh từ")</f>
        <v>Danh từ</v>
      </c>
      <c r="G2333" s="13" t="str">
        <f ca="1">IFERROR(__xludf.DUMMYFUNCTION("""COMPUTED_VALUE"""),"rừng cây")</f>
        <v>rừng cây</v>
      </c>
      <c r="H2333" s="13" t="str">
        <f ca="1">IFERROR(__xludf.DUMMYFUNCTION("""COMPUTED_VALUE"""),"他们在丛林中迷路了，花了很长时间才找到出口。")</f>
        <v>他们在丛林中迷路了，花了很长时间才找到出口。</v>
      </c>
      <c r="I2333" s="13"/>
      <c r="J2333" s="13" t="str">
        <f ca="1">IFERROR(__xludf.DUMMYFUNCTION("""COMPUTED_VALUE"""),"Họ bị lạc trong rừng cây và mất một khoảng thời gian dài mới tìm thấy lối ra.")</f>
        <v>Họ bị lạc trong rừng cây và mất một khoảng thời gian dài mới tìm thấy lối ra.</v>
      </c>
      <c r="K2333" s="13" t="str">
        <f ca="1">IFERROR(__xludf.DUMMYFUNCTION("""COMPUTED_VALUE"""),"H5_B26_BG-16.png")</f>
        <v>H5_B26_BG-16.png</v>
      </c>
      <c r="L2333" s="13" t="str">
        <f ca="1">IFERROR(__xludf.DUMMYFUNCTION("""COMPUTED_VALUE"""),"B26_16.mp3")</f>
        <v>B26_16.mp3</v>
      </c>
      <c r="M2333" s="13" t="str">
        <f ca="1">IFERROR(__xludf.DUMMYFUNCTION("""COMPUTED_VALUE"""),"B26_VD_16.mp3")</f>
        <v>B26_VD_16.mp3</v>
      </c>
    </row>
    <row r="2334" spans="1:13">
      <c r="A2334" s="13">
        <f ca="1">IFERROR(__xludf.DUMMYFUNCTION("""COMPUTED_VALUE"""),17)</f>
        <v>17</v>
      </c>
      <c r="B2334" s="13"/>
      <c r="C2334" s="13" t="str">
        <f ca="1">IFERROR(__xludf.DUMMYFUNCTION("""COMPUTED_VALUE"""),"健步如飞")</f>
        <v>健步如飞</v>
      </c>
      <c r="D2334" s="13" t="str">
        <f ca="1">IFERROR(__xludf.DUMMYFUNCTION("""COMPUTED_VALUE"""),"&lt;ruby&gt;健步如飞&lt;rt&gt;jiànbù-rúfēi&lt;/rt&gt;&lt;/ruby&gt;")</f>
        <v>&lt;ruby&gt;健步如飞&lt;rt&gt;jiànbù-rúfēi&lt;/rt&gt;&lt;/ruby&gt;</v>
      </c>
      <c r="E2334" s="13" t="str">
        <f ca="1">IFERROR(__xludf.DUMMYFUNCTION("""COMPUTED_VALUE"""),"jiànbù-rúfēi")</f>
        <v>jiànbù-rúfēi</v>
      </c>
      <c r="F2334" s="13"/>
      <c r="G2334" s="13" t="str">
        <f ca="1">IFERROR(__xludf.DUMMYFUNCTION("""COMPUTED_VALUE"""),"bước đi mạnh mẽ, thoăn thoắt")</f>
        <v>bước đi mạnh mẽ, thoăn thoắt</v>
      </c>
      <c r="H2334" s="13" t="str">
        <f ca="1">IFERROR(__xludf.DUMMYFUNCTION("""COMPUTED_VALUE"""),"放学后，我健步如飞地跑回家。")</f>
        <v>放学后，我健步如飞地跑回家。</v>
      </c>
      <c r="I2334" s="13"/>
      <c r="J2334" s="13" t="str">
        <f ca="1">IFERROR(__xludf.DUMMYFUNCTION("""COMPUTED_VALUE"""),"Khi tan học, tôi liền chạy nhanh như bay về nhà.")</f>
        <v>Khi tan học, tôi liền chạy nhanh như bay về nhà.</v>
      </c>
      <c r="K2334" s="13" t="str">
        <f ca="1">IFERROR(__xludf.DUMMYFUNCTION("""COMPUTED_VALUE"""),"H5_B26_BG-17.png")</f>
        <v>H5_B26_BG-17.png</v>
      </c>
      <c r="L2334" s="13" t="str">
        <f ca="1">IFERROR(__xludf.DUMMYFUNCTION("""COMPUTED_VALUE"""),"B26_17.mp3")</f>
        <v>B26_17.mp3</v>
      </c>
      <c r="M2334" s="13" t="str">
        <f ca="1">IFERROR(__xludf.DUMMYFUNCTION("""COMPUTED_VALUE"""),"B26_VD_17.mp3")</f>
        <v>B26_VD_17.mp3</v>
      </c>
    </row>
    <row r="2335" spans="1:13">
      <c r="A2335" s="13">
        <f ca="1">IFERROR(__xludf.DUMMYFUNCTION("""COMPUTED_VALUE"""),18)</f>
        <v>18</v>
      </c>
      <c r="B2335" s="13"/>
      <c r="C2335" s="13" t="str">
        <f ca="1">IFERROR(__xludf.DUMMYFUNCTION("""COMPUTED_VALUE"""),"得罪")</f>
        <v>得罪</v>
      </c>
      <c r="D2335" s="13" t="str">
        <f ca="1">IFERROR(__xludf.DUMMYFUNCTION("""COMPUTED_VALUE"""),"&lt;ruby&gt;得罪&lt;rt&gt;dézuì&lt;/rt&gt;&lt;/ruby&gt;")</f>
        <v>&lt;ruby&gt;得罪&lt;rt&gt;dézuì&lt;/rt&gt;&lt;/ruby&gt;</v>
      </c>
      <c r="E2335" s="13" t="str">
        <f ca="1">IFERROR(__xludf.DUMMYFUNCTION("""COMPUTED_VALUE"""),"dézuì")</f>
        <v>dézuì</v>
      </c>
      <c r="F2335" s="13" t="str">
        <f ca="1">IFERROR(__xludf.DUMMYFUNCTION("""COMPUTED_VALUE"""),"Động từ")</f>
        <v>Động từ</v>
      </c>
      <c r="G2335" s="13" t="str">
        <f ca="1">IFERROR(__xludf.DUMMYFUNCTION("""COMPUTED_VALUE"""),"làm phật lòng, xúc phạm")</f>
        <v>làm phật lòng, xúc phạm</v>
      </c>
      <c r="H2335" s="13" t="str">
        <f ca="1">IFERROR(__xludf.DUMMYFUNCTION("""COMPUTED_VALUE"""),"我的话可能会得罪她。")</f>
        <v>我的话可能会得罪她。</v>
      </c>
      <c r="I2335" s="13"/>
      <c r="J2335" s="13" t="str">
        <f ca="1">IFERROR(__xludf.DUMMYFUNCTION("""COMPUTED_VALUE"""),"Lời nói của tôi có thể sẽ làm phật lòng cô ấy.")</f>
        <v>Lời nói của tôi có thể sẽ làm phật lòng cô ấy.</v>
      </c>
      <c r="K2335" s="13" t="str">
        <f ca="1">IFERROR(__xludf.DUMMYFUNCTION("""COMPUTED_VALUE"""),"H5_B26_BG-18.png")</f>
        <v>H5_B26_BG-18.png</v>
      </c>
      <c r="L2335" s="13" t="str">
        <f ca="1">IFERROR(__xludf.DUMMYFUNCTION("""COMPUTED_VALUE"""),"B26_18.mp3")</f>
        <v>B26_18.mp3</v>
      </c>
      <c r="M2335" s="13" t="str">
        <f ca="1">IFERROR(__xludf.DUMMYFUNCTION("""COMPUTED_VALUE"""),"B26_VD_18.mp3")</f>
        <v>B26_VD_18.mp3</v>
      </c>
    </row>
    <row r="2336" spans="1:13">
      <c r="A2336" s="13">
        <f ca="1">IFERROR(__xludf.DUMMYFUNCTION("""COMPUTED_VALUE"""),19)</f>
        <v>19</v>
      </c>
      <c r="B2336" s="13"/>
      <c r="C2336" s="13" t="str">
        <f ca="1">IFERROR(__xludf.DUMMYFUNCTION("""COMPUTED_VALUE"""),"至于")</f>
        <v>至于</v>
      </c>
      <c r="D2336" s="13" t="str">
        <f ca="1">IFERROR(__xludf.DUMMYFUNCTION("""COMPUTED_VALUE"""),"&lt;ruby&gt;至于&lt;rt&gt;zhìyú&lt;/rt&gt;&lt;/ruby&gt;")</f>
        <v>&lt;ruby&gt;至于&lt;rt&gt;zhìyú&lt;/rt&gt;&lt;/ruby&gt;</v>
      </c>
      <c r="E2336" s="13" t="str">
        <f ca="1">IFERROR(__xludf.DUMMYFUNCTION("""COMPUTED_VALUE"""),"zhìyú")</f>
        <v>zhìyú</v>
      </c>
      <c r="F2336" s="13" t="str">
        <f ca="1">IFERROR(__xludf.DUMMYFUNCTION("""COMPUTED_VALUE"""),"Giới từ")</f>
        <v>Giới từ</v>
      </c>
      <c r="G2336" s="13" t="str">
        <f ca="1">IFERROR(__xludf.DUMMYFUNCTION("""COMPUTED_VALUE"""),"còn")</f>
        <v>còn</v>
      </c>
      <c r="H2336" s="13" t="str">
        <f ca="1">IFERROR(__xludf.DUMMYFUNCTION("""COMPUTED_VALUE"""),"至于那本书，我已经看完了，觉得很有趣。")</f>
        <v>至于那本书，我已经看完了，觉得很有趣。</v>
      </c>
      <c r="I2336" s="13"/>
      <c r="J2336" s="13" t="str">
        <f ca="1">IFERROR(__xludf.DUMMYFUNCTION("""COMPUTED_VALUE"""),"Còn về cuốn sách đó, tôi đã đọc xong rồi và thấy rất thú vị.")</f>
        <v>Còn về cuốn sách đó, tôi đã đọc xong rồi và thấy rất thú vị.</v>
      </c>
      <c r="K2336" s="13" t="str">
        <f ca="1">IFERROR(__xludf.DUMMYFUNCTION("""COMPUTED_VALUE"""),"H5_B26_BG-19.png")</f>
        <v>H5_B26_BG-19.png</v>
      </c>
      <c r="L2336" s="13" t="str">
        <f ca="1">IFERROR(__xludf.DUMMYFUNCTION("""COMPUTED_VALUE"""),"B26_19.mp3")</f>
        <v>B26_19.mp3</v>
      </c>
      <c r="M2336" s="13" t="str">
        <f ca="1">IFERROR(__xludf.DUMMYFUNCTION("""COMPUTED_VALUE"""),"B26_VD_19.mp3")</f>
        <v>B26_VD_19.mp3</v>
      </c>
    </row>
    <row r="2337" spans="1:13">
      <c r="A2337" s="13">
        <f ca="1">IFERROR(__xludf.DUMMYFUNCTION("""COMPUTED_VALUE"""),20)</f>
        <v>20</v>
      </c>
      <c r="B2337" s="13"/>
      <c r="C2337" s="13" t="str">
        <f ca="1">IFERROR(__xludf.DUMMYFUNCTION("""COMPUTED_VALUE"""),"寂寞")</f>
        <v>寂寞</v>
      </c>
      <c r="D2337" s="13" t="str">
        <f ca="1">IFERROR(__xludf.DUMMYFUNCTION("""COMPUTED_VALUE"""),"&lt;ruby&gt;寂寞&lt;rt&gt;jìmò&lt;/rt&gt;&lt;/ruby&gt;")</f>
        <v>&lt;ruby&gt;寂寞&lt;rt&gt;jìmò&lt;/rt&gt;&lt;/ruby&gt;</v>
      </c>
      <c r="E2337" s="13" t="str">
        <f ca="1">IFERROR(__xludf.DUMMYFUNCTION("""COMPUTED_VALUE"""),"jìmò")</f>
        <v>jìmò</v>
      </c>
      <c r="F2337" s="13" t="str">
        <f ca="1">IFERROR(__xludf.DUMMYFUNCTION("""COMPUTED_VALUE"""),"Tính từ")</f>
        <v>Tính từ</v>
      </c>
      <c r="G2337" s="13" t="str">
        <f ca="1">IFERROR(__xludf.DUMMYFUNCTION("""COMPUTED_VALUE"""),"cô đơn, cô độc")</f>
        <v>cô đơn, cô độc</v>
      </c>
      <c r="H2337" s="13" t="str">
        <f ca="1">IFERROR(__xludf.DUMMYFUNCTION("""COMPUTED_VALUE"""),"每天我都一个人吃饭，虽然很寂寞，但我已经习惯了。")</f>
        <v>每天我都一个人吃饭，虽然很寂寞，但我已经习惯了。</v>
      </c>
      <c r="I2337" s="13"/>
      <c r="J2337" s="13" t="str">
        <f ca="1">IFERROR(__xludf.DUMMYFUNCTION("""COMPUTED_VALUE"""),"Mỗi ngày tôi đều ăn một mình, mặc dù rất cô đơn, nhưng tôi đã quen với điều đó.")</f>
        <v>Mỗi ngày tôi đều ăn một mình, mặc dù rất cô đơn, nhưng tôi đã quen với điều đó.</v>
      </c>
      <c r="K2337" s="13" t="str">
        <f ca="1">IFERROR(__xludf.DUMMYFUNCTION("""COMPUTED_VALUE"""),"H5_B26_BG-20.png")</f>
        <v>H5_B26_BG-20.png</v>
      </c>
      <c r="L2337" s="13" t="str">
        <f ca="1">IFERROR(__xludf.DUMMYFUNCTION("""COMPUTED_VALUE"""),"B26_20.mp3")</f>
        <v>B26_20.mp3</v>
      </c>
      <c r="M2337" s="13" t="str">
        <f ca="1">IFERROR(__xludf.DUMMYFUNCTION("""COMPUTED_VALUE"""),"B26_VD_20.mp3")</f>
        <v>B26_VD_20.mp3</v>
      </c>
    </row>
    <row r="2338" spans="1:13">
      <c r="A2338" s="13">
        <f ca="1">IFERROR(__xludf.DUMMYFUNCTION("""COMPUTED_VALUE"""),21)</f>
        <v>21</v>
      </c>
      <c r="B2338" s="13"/>
      <c r="C2338" s="13" t="str">
        <f ca="1">IFERROR(__xludf.DUMMYFUNCTION("""COMPUTED_VALUE"""),"思想")</f>
        <v>思想</v>
      </c>
      <c r="D2338" s="13" t="str">
        <f ca="1">IFERROR(__xludf.DUMMYFUNCTION("""COMPUTED_VALUE"""),"&lt;ruby&gt;思想&lt;rt&gt;sīxiǎng&lt;/rt&gt;&lt;/ruby&gt;")</f>
        <v>&lt;ruby&gt;思想&lt;rt&gt;sīxiǎng&lt;/rt&gt;&lt;/ruby&gt;</v>
      </c>
      <c r="E2338" s="13" t="str">
        <f ca="1">IFERROR(__xludf.DUMMYFUNCTION("""COMPUTED_VALUE"""),"sīxiǎng")</f>
        <v>sīxiǎng</v>
      </c>
      <c r="F2338" s="13" t="str">
        <f ca="1">IFERROR(__xludf.DUMMYFUNCTION("""COMPUTED_VALUE"""),"Danh từ")</f>
        <v>Danh từ</v>
      </c>
      <c r="G2338" s="13" t="str">
        <f ca="1">IFERROR(__xludf.DUMMYFUNCTION("""COMPUTED_VALUE"""),"ý nghĩ, tư tưởng")</f>
        <v>ý nghĩ, tư tưởng</v>
      </c>
      <c r="H2338" s="13" t="str">
        <f ca="1">IFERROR(__xludf.DUMMYFUNCTION("""COMPUTED_VALUE"""),"他的思想与传统观念不同，在会议上经常提出新颖的意见。")</f>
        <v>他的思想与传统观念不同，在会议上经常提出新颖的意见。</v>
      </c>
      <c r="I2338" s="13"/>
      <c r="J2338" s="13" t="str">
        <f ca="1">IFERROR(__xludf.DUMMYFUNCTION("""COMPUTED_VALUE"""),"Tư tưởng của anh ấy khác với những quan niệm truyền thống, trong cuộc họp thường có những ý kiến mới lạ")</f>
        <v>Tư tưởng của anh ấy khác với những quan niệm truyền thống, trong cuộc họp thường có những ý kiến mới lạ</v>
      </c>
      <c r="K2338" s="13" t="str">
        <f ca="1">IFERROR(__xludf.DUMMYFUNCTION("""COMPUTED_VALUE"""),"H5_B26_BG-21.png")</f>
        <v>H5_B26_BG-21.png</v>
      </c>
      <c r="L2338" s="13" t="str">
        <f ca="1">IFERROR(__xludf.DUMMYFUNCTION("""COMPUTED_VALUE"""),"B26_21.mp3")</f>
        <v>B26_21.mp3</v>
      </c>
      <c r="M2338" s="13" t="str">
        <f ca="1">IFERROR(__xludf.DUMMYFUNCTION("""COMPUTED_VALUE"""),"B26_VD_21.mp3")</f>
        <v>B26_VD_21.mp3</v>
      </c>
    </row>
    <row r="2339" spans="1:13">
      <c r="A2339" s="13">
        <f ca="1">IFERROR(__xludf.DUMMYFUNCTION("""COMPUTED_VALUE"""),22)</f>
        <v>22</v>
      </c>
      <c r="B2339" s="13"/>
      <c r="C2339" s="13" t="str">
        <f ca="1">IFERROR(__xludf.DUMMYFUNCTION("""COMPUTED_VALUE"""),"据说")</f>
        <v>据说</v>
      </c>
      <c r="D2339" s="13" t="str">
        <f ca="1">IFERROR(__xludf.DUMMYFUNCTION("""COMPUTED_VALUE"""),"&lt;ruby&gt;据说&lt;rt&gt;jùshuō&lt;/rt&gt;&lt;/ruby&gt;")</f>
        <v>&lt;ruby&gt;据说&lt;rt&gt;jùshuō&lt;/rt&gt;&lt;/ruby&gt;</v>
      </c>
      <c r="E2339" s="13" t="str">
        <f ca="1">IFERROR(__xludf.DUMMYFUNCTION("""COMPUTED_VALUE"""),"jùshuō")</f>
        <v>jùshuō</v>
      </c>
      <c r="F2339" s="13" t="str">
        <f ca="1">IFERROR(__xludf.DUMMYFUNCTION("""COMPUTED_VALUE"""),"Động từ")</f>
        <v>Động từ</v>
      </c>
      <c r="G2339" s="13" t="str">
        <f ca="1">IFERROR(__xludf.DUMMYFUNCTION("""COMPUTED_VALUE"""),"nghe nói, nghe đồn")</f>
        <v>nghe nói, nghe đồn</v>
      </c>
      <c r="H2339" s="13" t="str">
        <f ca="1">IFERROR(__xludf.DUMMYFUNCTION("""COMPUTED_VALUE"""),"据说这家餐厅的菜很好吃，很多人都推荐过。")</f>
        <v>据说这家餐厅的菜很好吃，很多人都推荐过。</v>
      </c>
      <c r="I2339" s="13"/>
      <c r="J2339" s="13" t="str">
        <f ca="1">IFERROR(__xludf.DUMMYFUNCTION("""COMPUTED_VALUE"""),"Nghe nói món ăn ở nhà hàng này rất ngon, nhiều người đã giới thiệu.")</f>
        <v>Nghe nói món ăn ở nhà hàng này rất ngon, nhiều người đã giới thiệu.</v>
      </c>
      <c r="K2339" s="13" t="str">
        <f ca="1">IFERROR(__xludf.DUMMYFUNCTION("""COMPUTED_VALUE"""),"H5_B26_BG-22.png")</f>
        <v>H5_B26_BG-22.png</v>
      </c>
      <c r="L2339" s="13" t="str">
        <f ca="1">IFERROR(__xludf.DUMMYFUNCTION("""COMPUTED_VALUE"""),"B26_22.mp3")</f>
        <v>B26_22.mp3</v>
      </c>
      <c r="M2339" s="13" t="str">
        <f ca="1">IFERROR(__xludf.DUMMYFUNCTION("""COMPUTED_VALUE"""),"B26_VD_22.mp3")</f>
        <v>B26_VD_22.mp3</v>
      </c>
    </row>
    <row r="2340" spans="1:13">
      <c r="A2340" s="13">
        <f ca="1">IFERROR(__xludf.DUMMYFUNCTION("""COMPUTED_VALUE"""),23)</f>
        <v>23</v>
      </c>
      <c r="B2340" s="13"/>
      <c r="C2340" s="13" t="str">
        <f ca="1">IFERROR(__xludf.DUMMYFUNCTION("""COMPUTED_VALUE"""),"文明")</f>
        <v>文明</v>
      </c>
      <c r="D2340" s="13" t="str">
        <f ca="1">IFERROR(__xludf.DUMMYFUNCTION("""COMPUTED_VALUE"""),"&lt;ruby&gt;文明&lt;rt&gt;wénmíng&lt;/rt&gt;&lt;/ruby&gt;")</f>
        <v>&lt;ruby&gt;文明&lt;rt&gt;wénmíng&lt;/rt&gt;&lt;/ruby&gt;</v>
      </c>
      <c r="E2340" s="13" t="str">
        <f ca="1">IFERROR(__xludf.DUMMYFUNCTION("""COMPUTED_VALUE"""),"wénmíng")</f>
        <v>wénmíng</v>
      </c>
      <c r="F2340" s="13" t="str">
        <f ca="1">IFERROR(__xludf.DUMMYFUNCTION("""COMPUTED_VALUE"""),"Danh từ")</f>
        <v>Danh từ</v>
      </c>
      <c r="G2340" s="13" t="str">
        <f ca="1">IFERROR(__xludf.DUMMYFUNCTION("""COMPUTED_VALUE"""),"nền văn minh")</f>
        <v>nền văn minh</v>
      </c>
      <c r="H2340" s="13" t="str">
        <f ca="1">IFERROR(__xludf.DUMMYFUNCTION("""COMPUTED_VALUE"""),"通过学习历史，我了解了古代埃及的许多文明。")</f>
        <v>通过学习历史，我了解了古代埃及的许多文明。</v>
      </c>
      <c r="I2340" s="13"/>
      <c r="J2340" s="13" t="str">
        <f ca="1">IFERROR(__xludf.DUMMYFUNCTION("""COMPUTED_VALUE"""),"Thông qua việc học lịch sử tôi đã biết về nhiều nền văn minh lâu đời của Ai Cập cổ đại.")</f>
        <v>Thông qua việc học lịch sử tôi đã biết về nhiều nền văn minh lâu đời của Ai Cập cổ đại.</v>
      </c>
      <c r="K2340" s="13" t="str">
        <f ca="1">IFERROR(__xludf.DUMMYFUNCTION("""COMPUTED_VALUE"""),"H5_B26_BG-23.png")</f>
        <v>H5_B26_BG-23.png</v>
      </c>
      <c r="L2340" s="13" t="str">
        <f ca="1">IFERROR(__xludf.DUMMYFUNCTION("""COMPUTED_VALUE"""),"B26_23.mp3")</f>
        <v>B26_23.mp3</v>
      </c>
      <c r="M2340" s="13" t="str">
        <f ca="1">IFERROR(__xludf.DUMMYFUNCTION("""COMPUTED_VALUE"""),"B26_VD_23.mp3")</f>
        <v>B26_VD_23.mp3</v>
      </c>
    </row>
    <row r="2341" spans="1:13">
      <c r="A2341" s="13">
        <f ca="1">IFERROR(__xludf.DUMMYFUNCTION("""COMPUTED_VALUE"""),24)</f>
        <v>24</v>
      </c>
      <c r="B2341" s="13"/>
      <c r="C2341" s="13" t="str">
        <f ca="1">IFERROR(__xludf.DUMMYFUNCTION("""COMPUTED_VALUE"""),"记录")</f>
        <v>记录</v>
      </c>
      <c r="D2341" s="13" t="str">
        <f ca="1">IFERROR(__xludf.DUMMYFUNCTION("""COMPUTED_VALUE"""),"&lt;ruby&gt;记录&lt;rt&gt;jìlù&lt;/rt&gt;&lt;/ruby&gt;")</f>
        <v>&lt;ruby&gt;记录&lt;rt&gt;jìlù&lt;/rt&gt;&lt;/ruby&gt;</v>
      </c>
      <c r="E2341" s="13" t="str">
        <f ca="1">IFERROR(__xludf.DUMMYFUNCTION("""COMPUTED_VALUE"""),"jìlù")</f>
        <v>jìlù</v>
      </c>
      <c r="F2341" s="13" t="str">
        <f ca="1">IFERROR(__xludf.DUMMYFUNCTION("""COMPUTED_VALUE"""),"Danh từ/Động từ")</f>
        <v>Danh từ/Động từ</v>
      </c>
      <c r="G2341" s="13" t="str">
        <f ca="1">IFERROR(__xludf.DUMMYFUNCTION("""COMPUTED_VALUE"""),"tài liệu ghi tại chỗ; ghi lại, ghi chép")</f>
        <v>tài liệu ghi tại chỗ; ghi lại, ghi chép</v>
      </c>
      <c r="H2341" s="13" t="str">
        <f ca="1">IFERROR(__xludf.DUMMYFUNCTION("""COMPUTED_VALUE"""),"在整个会议过程中，他记录了所有重要内容。")</f>
        <v>在整个会议过程中，他记录了所有重要内容。</v>
      </c>
      <c r="I2341" s="13"/>
      <c r="J2341" s="13" t="str">
        <f ca="1">IFERROR(__xludf.DUMMYFUNCTION("""COMPUTED_VALUE"""),"Trong suốt cuộc họp, anh ấy đã ghi lại hết các nội dung quan trọng.")</f>
        <v>Trong suốt cuộc họp, anh ấy đã ghi lại hết các nội dung quan trọng.</v>
      </c>
      <c r="K2341" s="13" t="str">
        <f ca="1">IFERROR(__xludf.DUMMYFUNCTION("""COMPUTED_VALUE"""),"H5_B26_BG-24.png")</f>
        <v>H5_B26_BG-24.png</v>
      </c>
      <c r="L2341" s="13" t="str">
        <f ca="1">IFERROR(__xludf.DUMMYFUNCTION("""COMPUTED_VALUE"""),"B26_24.mp3")</f>
        <v>B26_24.mp3</v>
      </c>
      <c r="M2341" s="13" t="str">
        <f ca="1">IFERROR(__xludf.DUMMYFUNCTION("""COMPUTED_VALUE"""),"B26_VD_24.mp3")</f>
        <v>B26_VD_24.mp3</v>
      </c>
    </row>
    <row r="2342" spans="1:13">
      <c r="A2342" s="13">
        <f ca="1">IFERROR(__xludf.DUMMYFUNCTION("""COMPUTED_VALUE"""),25)</f>
        <v>25</v>
      </c>
      <c r="B2342" s="13"/>
      <c r="C2342" s="13" t="str">
        <f ca="1">IFERROR(__xludf.DUMMYFUNCTION("""COMPUTED_VALUE"""),"来")</f>
        <v>来</v>
      </c>
      <c r="D2342" s="13" t="str">
        <f ca="1">IFERROR(__xludf.DUMMYFUNCTION("""COMPUTED_VALUE"""),"&lt;ruby&gt;来&lt;rt&gt;lái&lt;/rt&gt;&lt;/ruby&gt;")</f>
        <v>&lt;ruby&gt;来&lt;rt&gt;lái&lt;/rt&gt;&lt;/ruby&gt;</v>
      </c>
      <c r="E2342" s="13" t="str">
        <f ca="1">IFERROR(__xludf.DUMMYFUNCTION("""COMPUTED_VALUE"""),"lái")</f>
        <v>lái</v>
      </c>
      <c r="F2342" s="13" t="str">
        <f ca="1">IFERROR(__xludf.DUMMYFUNCTION("""COMPUTED_VALUE"""),"Trợ từ")</f>
        <v>Trợ từ</v>
      </c>
      <c r="G2342" s="13" t="str">
        <f ca="1">IFERROR(__xludf.DUMMYFUNCTION("""COMPUTED_VALUE"""),"khoảng")</f>
        <v>khoảng</v>
      </c>
      <c r="H2342" s="13" t="str">
        <f ca="1">IFERROR(__xludf.DUMMYFUNCTION("""COMPUTED_VALUE"""),"我们已经讨论这个问题来两个小时了。")</f>
        <v>我们已经讨论这个问题来两个小时了。</v>
      </c>
      <c r="I2342" s="13"/>
      <c r="J2342" s="13" t="str">
        <f ca="1">IFERROR(__xludf.DUMMYFUNCTION("""COMPUTED_VALUE"""),"Chúng ta đã thảo luận vấn đề này khoảng hai giờ rồi.")</f>
        <v>Chúng ta đã thảo luận vấn đề này khoảng hai giờ rồi.</v>
      </c>
      <c r="K2342" s="13" t="str">
        <f ca="1">IFERROR(__xludf.DUMMYFUNCTION("""COMPUTED_VALUE"""),"H5_B26_BG-25.png")</f>
        <v>H5_B26_BG-25.png</v>
      </c>
      <c r="L2342" s="13" t="str">
        <f ca="1">IFERROR(__xludf.DUMMYFUNCTION("""COMPUTED_VALUE"""),"B26_25.mp3")</f>
        <v>B26_25.mp3</v>
      </c>
      <c r="M2342" s="13" t="str">
        <f ca="1">IFERROR(__xludf.DUMMYFUNCTION("""COMPUTED_VALUE"""),"B26_VD_25.mp3")</f>
        <v>B26_VD_25.mp3</v>
      </c>
    </row>
    <row r="2343" spans="1:13">
      <c r="A2343" s="13">
        <f ca="1">IFERROR(__xludf.DUMMYFUNCTION("""COMPUTED_VALUE"""),26)</f>
        <v>26</v>
      </c>
      <c r="B2343" s="13"/>
      <c r="C2343" s="13" t="str">
        <f ca="1">IFERROR(__xludf.DUMMYFUNCTION("""COMPUTED_VALUE"""),"批")</f>
        <v>批</v>
      </c>
      <c r="D2343" s="13" t="str">
        <f ca="1">IFERROR(__xludf.DUMMYFUNCTION("""COMPUTED_VALUE"""),"&lt;ruby&gt;批&lt;rt&gt;pī&lt;/rt&gt;&lt;/ruby&gt;")</f>
        <v>&lt;ruby&gt;批&lt;rt&gt;pī&lt;/rt&gt;&lt;/ruby&gt;</v>
      </c>
      <c r="E2343" s="13" t="str">
        <f ca="1">IFERROR(__xludf.DUMMYFUNCTION("""COMPUTED_VALUE"""),"pī")</f>
        <v>pī</v>
      </c>
      <c r="F2343" s="13" t="str">
        <f ca="1">IFERROR(__xludf.DUMMYFUNCTION("""COMPUTED_VALUE"""),"Lượng từ")</f>
        <v>Lượng từ</v>
      </c>
      <c r="G2343" s="13" t="str">
        <f ca="1">IFERROR(__xludf.DUMMYFUNCTION("""COMPUTED_VALUE"""),"tốp, nhóm, đợt")</f>
        <v>tốp, nhóm, đợt</v>
      </c>
      <c r="H2343" s="13" t="str">
        <f ca="1">IFERROR(__xludf.DUMMYFUNCTION("""COMPUTED_VALUE"""),"这一批员工经过严格培训后，已经可以独立工作。")</f>
        <v>这一批员工经过严格培训后，已经可以独立工作。</v>
      </c>
      <c r="I2343" s="13"/>
      <c r="J2343" s="13" t="str">
        <f ca="1">IFERROR(__xludf.DUMMYFUNCTION("""COMPUTED_VALUE"""),"Đợt nhân viên này, sau khi trải qua khóa đào tạo nghiêm ngặt, đã có thể làm việc độc lập.")</f>
        <v>Đợt nhân viên này, sau khi trải qua khóa đào tạo nghiêm ngặt, đã có thể làm việc độc lập.</v>
      </c>
      <c r="K2343" s="13" t="str">
        <f ca="1">IFERROR(__xludf.DUMMYFUNCTION("""COMPUTED_VALUE"""),"H5_B26_BG-26.png")</f>
        <v>H5_B26_BG-26.png</v>
      </c>
      <c r="L2343" s="13" t="str">
        <f ca="1">IFERROR(__xludf.DUMMYFUNCTION("""COMPUTED_VALUE"""),"B26_26.mp3")</f>
        <v>B26_26.mp3</v>
      </c>
      <c r="M2343" s="13" t="str">
        <f ca="1">IFERROR(__xludf.DUMMYFUNCTION("""COMPUTED_VALUE"""),"B26_VD_26.mp3")</f>
        <v>B26_VD_26.mp3</v>
      </c>
    </row>
    <row r="2344" spans="1:13">
      <c r="A2344" s="13">
        <f ca="1">IFERROR(__xludf.DUMMYFUNCTION("""COMPUTED_VALUE"""),27)</f>
        <v>27</v>
      </c>
      <c r="B2344" s="13"/>
      <c r="C2344" s="13" t="str">
        <f ca="1">IFERROR(__xludf.DUMMYFUNCTION("""COMPUTED_VALUE"""),"一连")</f>
        <v>一连</v>
      </c>
      <c r="D2344" s="13" t="str">
        <f ca="1">IFERROR(__xludf.DUMMYFUNCTION("""COMPUTED_VALUE"""),"&lt;ruby&gt;一连&lt;rt&gt;yìlián&lt;/rt&gt;&lt;/ruby&gt;")</f>
        <v>&lt;ruby&gt;一连&lt;rt&gt;yìlián&lt;/rt&gt;&lt;/ruby&gt;</v>
      </c>
      <c r="E2344" s="13" t="str">
        <f ca="1">IFERROR(__xludf.DUMMYFUNCTION("""COMPUTED_VALUE"""),"yìlián")</f>
        <v>yìlián</v>
      </c>
      <c r="F2344" s="13" t="str">
        <f ca="1">IFERROR(__xludf.DUMMYFUNCTION("""COMPUTED_VALUE"""),"Phó từ")</f>
        <v>Phó từ</v>
      </c>
      <c r="G2344" s="13" t="str">
        <f ca="1">IFERROR(__xludf.DUMMYFUNCTION("""COMPUTED_VALUE"""),"liên tiếp")</f>
        <v>liên tiếp</v>
      </c>
      <c r="H2344" s="13" t="str">
        <f ca="1">IFERROR(__xludf.DUMMYFUNCTION("""COMPUTED_VALUE"""),"他一连加班三天了。")</f>
        <v>他一连加班三天了。</v>
      </c>
      <c r="I2344" s="13"/>
      <c r="J2344" s="13" t="str">
        <f ca="1">IFERROR(__xludf.DUMMYFUNCTION("""COMPUTED_VALUE"""),"Anh ấy tăng ca ba ngày liền.")</f>
        <v>Anh ấy tăng ca ba ngày liền.</v>
      </c>
      <c r="K2344" s="13" t="str">
        <f ca="1">IFERROR(__xludf.DUMMYFUNCTION("""COMPUTED_VALUE"""),"H5_B26_BG-27.png")</f>
        <v>H5_B26_BG-27.png</v>
      </c>
      <c r="L2344" s="13" t="str">
        <f ca="1">IFERROR(__xludf.DUMMYFUNCTION("""COMPUTED_VALUE"""),"B26_27.mp3")</f>
        <v>B26_27.mp3</v>
      </c>
      <c r="M2344" s="13" t="str">
        <f ca="1">IFERROR(__xludf.DUMMYFUNCTION("""COMPUTED_VALUE"""),"B26_VD_27.mp3")</f>
        <v>B26_VD_27.mp3</v>
      </c>
    </row>
    <row r="2345" spans="1:13">
      <c r="A2345" s="13">
        <f ca="1">IFERROR(__xludf.DUMMYFUNCTION("""COMPUTED_VALUE"""),28)</f>
        <v>28</v>
      </c>
      <c r="B2345" s="13"/>
      <c r="C2345" s="13" t="str">
        <f ca="1">IFERROR(__xludf.DUMMYFUNCTION("""COMPUTED_VALUE"""),"人物")</f>
        <v>人物</v>
      </c>
      <c r="D2345" s="13" t="str">
        <f ca="1">IFERROR(__xludf.DUMMYFUNCTION("""COMPUTED_VALUE"""),"&lt;ruby&gt;人物&lt;rt&gt;rénwù&lt;/rt&gt;&lt;/ruby&gt;")</f>
        <v>&lt;ruby&gt;人物&lt;rt&gt;rénwù&lt;/rt&gt;&lt;/ruby&gt;</v>
      </c>
      <c r="E2345" s="13" t="str">
        <f ca="1">IFERROR(__xludf.DUMMYFUNCTION("""COMPUTED_VALUE"""),"rénwù")</f>
        <v>rénwù</v>
      </c>
      <c r="F2345" s="13" t="str">
        <f ca="1">IFERROR(__xludf.DUMMYFUNCTION("""COMPUTED_VALUE"""),"Danh từ")</f>
        <v>Danh từ</v>
      </c>
      <c r="G2345" s="13" t="str">
        <f ca="1">IFERROR(__xludf.DUMMYFUNCTION("""COMPUTED_VALUE"""),"nhân vật, người có vai vế")</f>
        <v>nhân vật, người có vai vế</v>
      </c>
      <c r="H2345" s="13" t="str">
        <f ca="1">IFERROR(__xludf.DUMMYFUNCTION("""COMPUTED_VALUE"""),"这本书介绍了许多历史人物的故事。")</f>
        <v>这本书介绍了许多历史人物的故事。</v>
      </c>
      <c r="I2345" s="13"/>
      <c r="J2345" s="13" t="str">
        <f ca="1">IFERROR(__xludf.DUMMYFUNCTION("""COMPUTED_VALUE"""),"Cuốn sách này giới thiệu những câu chuyện về nhiều nhân vật lịch sử.")</f>
        <v>Cuốn sách này giới thiệu những câu chuyện về nhiều nhân vật lịch sử.</v>
      </c>
      <c r="K2345" s="13" t="str">
        <f ca="1">IFERROR(__xludf.DUMMYFUNCTION("""COMPUTED_VALUE"""),"H5_B26_BG-28.png")</f>
        <v>H5_B26_BG-28.png</v>
      </c>
      <c r="L2345" s="13" t="str">
        <f ca="1">IFERROR(__xludf.DUMMYFUNCTION("""COMPUTED_VALUE"""),"B26_28.mp3")</f>
        <v>B26_28.mp3</v>
      </c>
      <c r="M2345" s="13" t="str">
        <f ca="1">IFERROR(__xludf.DUMMYFUNCTION("""COMPUTED_VALUE"""),"B26_VD_28.mp3")</f>
        <v>B26_VD_28.mp3</v>
      </c>
    </row>
    <row r="2346" spans="1:13">
      <c r="A2346" s="13">
        <f ca="1">IFERROR(__xludf.DUMMYFUNCTION("""COMPUTED_VALUE"""),29)</f>
        <v>29</v>
      </c>
      <c r="B2346" s="13"/>
      <c r="C2346" s="13" t="str">
        <f ca="1">IFERROR(__xludf.DUMMYFUNCTION("""COMPUTED_VALUE"""),"搞")</f>
        <v>搞</v>
      </c>
      <c r="D2346" s="13" t="str">
        <f ca="1">IFERROR(__xludf.DUMMYFUNCTION("""COMPUTED_VALUE"""),"&lt;ruby&gt;搞&lt;rt&gt;gǎo&lt;/rt&gt;&lt;/ruby&gt;")</f>
        <v>&lt;ruby&gt;搞&lt;rt&gt;gǎo&lt;/rt&gt;&lt;/ruby&gt;</v>
      </c>
      <c r="E2346" s="13" t="str">
        <f ca="1">IFERROR(__xludf.DUMMYFUNCTION("""COMPUTED_VALUE"""),"gǎo")</f>
        <v>gǎo</v>
      </c>
      <c r="F2346" s="13" t="str">
        <f ca="1">IFERROR(__xludf.DUMMYFUNCTION("""COMPUTED_VALUE"""),"Động từ")</f>
        <v>Động từ</v>
      </c>
      <c r="G2346" s="13" t="str">
        <f ca="1">IFERROR(__xludf.DUMMYFUNCTION("""COMPUTED_VALUE"""),"làm, tạo ra")</f>
        <v>làm, tạo ra</v>
      </c>
      <c r="H2346" s="13" t="str">
        <f ca="1">IFERROR(__xludf.DUMMYFUNCTION("""COMPUTED_VALUE"""),"他们正在搞一个新产品，准备上市。")</f>
        <v>他们正在搞一个新产品，准备上市。</v>
      </c>
      <c r="I2346" s="13"/>
      <c r="J2346" s="13" t="str">
        <f ca="1">IFERROR(__xludf.DUMMYFUNCTION("""COMPUTED_VALUE"""),"Họ đang tạo ra một sản phẩm mới và chuẩn bị ra mắt.")</f>
        <v>Họ đang tạo ra một sản phẩm mới và chuẩn bị ra mắt.</v>
      </c>
      <c r="K2346" s="13" t="str">
        <f ca="1">IFERROR(__xludf.DUMMYFUNCTION("""COMPUTED_VALUE"""),"H5_B26_BG-29.png")</f>
        <v>H5_B26_BG-29.png</v>
      </c>
      <c r="L2346" s="13" t="str">
        <f ca="1">IFERROR(__xludf.DUMMYFUNCTION("""COMPUTED_VALUE"""),"B26_29.mp3")</f>
        <v>B26_29.mp3</v>
      </c>
      <c r="M2346" s="13" t="str">
        <f ca="1">IFERROR(__xludf.DUMMYFUNCTION("""COMPUTED_VALUE"""),"B26_VD_29.mp3")</f>
        <v>B26_VD_29.mp3</v>
      </c>
    </row>
    <row r="2347" spans="1:13">
      <c r="A2347" s="13">
        <f ca="1">IFERROR(__xludf.DUMMYFUNCTION("""COMPUTED_VALUE"""),30)</f>
        <v>30</v>
      </c>
      <c r="B2347" s="13"/>
      <c r="C2347" s="13" t="str">
        <f ca="1">IFERROR(__xludf.DUMMYFUNCTION("""COMPUTED_VALUE"""),"习俗")</f>
        <v>习俗</v>
      </c>
      <c r="D2347" s="13" t="str">
        <f ca="1">IFERROR(__xludf.DUMMYFUNCTION("""COMPUTED_VALUE"""),"&lt;ruby&gt;习俗&lt;rt&gt;xísú&lt;/rt&gt;&lt;/ruby&gt;")</f>
        <v>&lt;ruby&gt;习俗&lt;rt&gt;xísú&lt;/rt&gt;&lt;/ruby&gt;</v>
      </c>
      <c r="E2347" s="13" t="str">
        <f ca="1">IFERROR(__xludf.DUMMYFUNCTION("""COMPUTED_VALUE"""),"xísú")</f>
        <v>xísú</v>
      </c>
      <c r="F2347" s="13" t="str">
        <f ca="1">IFERROR(__xludf.DUMMYFUNCTION("""COMPUTED_VALUE"""),"Danh từ")</f>
        <v>Danh từ</v>
      </c>
      <c r="G2347" s="13" t="str">
        <f ca="1">IFERROR(__xludf.DUMMYFUNCTION("""COMPUTED_VALUE"""),"tập tục")</f>
        <v>tập tục</v>
      </c>
      <c r="H2347" s="13" t="str">
        <f ca="1">IFERROR(__xludf.DUMMYFUNCTION("""COMPUTED_VALUE"""),"在这个国家，春节家庭团聚是最重要的习俗之一。")</f>
        <v>在这个国家，春节家庭团聚是最重要的习俗之一。</v>
      </c>
      <c r="I2347" s="13"/>
      <c r="J2347" s="13" t="str">
        <f ca="1">IFERROR(__xludf.DUMMYFUNCTION("""COMPUTED_VALUE"""),"Ở quốc gia này, đoàn tụ gia đình trong dịp Tết Nguyên Đán là một trong những tập tục quan trọng nhất.")</f>
        <v>Ở quốc gia này, đoàn tụ gia đình trong dịp Tết Nguyên Đán là một trong những tập tục quan trọng nhất.</v>
      </c>
      <c r="K2347" s="13" t="str">
        <f ca="1">IFERROR(__xludf.DUMMYFUNCTION("""COMPUTED_VALUE"""),"H5_B26_BG-30.png")</f>
        <v>H5_B26_BG-30.png</v>
      </c>
      <c r="L2347" s="13" t="str">
        <f ca="1">IFERROR(__xludf.DUMMYFUNCTION("""COMPUTED_VALUE"""),"B26_30.mp3")</f>
        <v>B26_30.mp3</v>
      </c>
      <c r="M2347" s="13" t="str">
        <f ca="1">IFERROR(__xludf.DUMMYFUNCTION("""COMPUTED_VALUE"""),"B26_VD_30.mp3")</f>
        <v>B26_VD_30.mp3</v>
      </c>
    </row>
    <row r="2348" spans="1:13">
      <c r="A2348" s="13">
        <f ca="1">IFERROR(__xludf.DUMMYFUNCTION("""COMPUTED_VALUE"""),31)</f>
        <v>31</v>
      </c>
      <c r="B2348" s="13"/>
      <c r="C2348" s="13" t="str">
        <f ca="1">IFERROR(__xludf.DUMMYFUNCTION("""COMPUTED_VALUE"""),"灵魂")</f>
        <v>灵魂</v>
      </c>
      <c r="D2348" s="13" t="str">
        <f ca="1">IFERROR(__xludf.DUMMYFUNCTION("""COMPUTED_VALUE"""),"&lt;ruby&gt;灵魂&lt;rt&gt;línghún&lt;/rt&gt;&lt;/ruby&gt;")</f>
        <v>&lt;ruby&gt;灵魂&lt;rt&gt;línghún&lt;/rt&gt;&lt;/ruby&gt;</v>
      </c>
      <c r="E2348" s="13" t="str">
        <f ca="1">IFERROR(__xludf.DUMMYFUNCTION("""COMPUTED_VALUE"""),"línghún")</f>
        <v>línghún</v>
      </c>
      <c r="F2348" s="13" t="str">
        <f ca="1">IFERROR(__xludf.DUMMYFUNCTION("""COMPUTED_VALUE"""),"Danh từ")</f>
        <v>Danh từ</v>
      </c>
      <c r="G2348" s="13" t="str">
        <f ca="1">IFERROR(__xludf.DUMMYFUNCTION("""COMPUTED_VALUE"""),"linh hồn, tâm hồn")</f>
        <v>linh hồn, tâm hồn</v>
      </c>
      <c r="H2348" s="13" t="str">
        <f ca="1">IFERROR(__xludf.DUMMYFUNCTION("""COMPUTED_VALUE"""),"音乐是我的灵魂，让我感到平静和快乐。")</f>
        <v>音乐是我的灵魂，让我感到平静和快乐。</v>
      </c>
      <c r="I2348" s="13"/>
      <c r="J2348" s="13" t="str">
        <f ca="1">IFERROR(__xludf.DUMMYFUNCTION("""COMPUTED_VALUE"""),"Âm nhạc là linh hồn của tôi, nó khiến tôi cảm thấy bình yên và hạnh phúc.")</f>
        <v>Âm nhạc là linh hồn của tôi, nó khiến tôi cảm thấy bình yên và hạnh phúc.</v>
      </c>
      <c r="K2348" s="13" t="str">
        <f ca="1">IFERROR(__xludf.DUMMYFUNCTION("""COMPUTED_VALUE"""),"H5_B26_BG-31.png")</f>
        <v>H5_B26_BG-31.png</v>
      </c>
      <c r="L2348" s="13" t="str">
        <f ca="1">IFERROR(__xludf.DUMMYFUNCTION("""COMPUTED_VALUE"""),"B26_31.mp3")</f>
        <v>B26_31.mp3</v>
      </c>
      <c r="M2348" s="13" t="str">
        <f ca="1">IFERROR(__xludf.DUMMYFUNCTION("""COMPUTED_VALUE"""),"B26_VD_31.mp3")</f>
        <v>B26_VD_31.mp3</v>
      </c>
    </row>
    <row r="2349" spans="1:13">
      <c r="A2349" s="13">
        <f ca="1">IFERROR(__xludf.DUMMYFUNCTION("""COMPUTED_VALUE"""),32)</f>
        <v>32</v>
      </c>
      <c r="B2349" s="13"/>
      <c r="C2349" s="13" t="str">
        <f ca="1">IFERROR(__xludf.DUMMYFUNCTION("""COMPUTED_VALUE"""),"哲理")</f>
        <v>哲理</v>
      </c>
      <c r="D2349" s="13" t="str">
        <f ca="1">IFERROR(__xludf.DUMMYFUNCTION("""COMPUTED_VALUE"""),"&lt;ruby&gt;哲理&lt;rt&gt;zhélǐ&lt;/rt&gt;&lt;/ruby&gt;")</f>
        <v>&lt;ruby&gt;哲理&lt;rt&gt;zhélǐ&lt;/rt&gt;&lt;/ruby&gt;</v>
      </c>
      <c r="E2349" s="13" t="str">
        <f ca="1">IFERROR(__xludf.DUMMYFUNCTION("""COMPUTED_VALUE"""),"zhélǐ")</f>
        <v>zhélǐ</v>
      </c>
      <c r="F2349" s="13" t="str">
        <f ca="1">IFERROR(__xludf.DUMMYFUNCTION("""COMPUTED_VALUE"""),"Danh từ")</f>
        <v>Danh từ</v>
      </c>
      <c r="G2349" s="13" t="str">
        <f ca="1">IFERROR(__xludf.DUMMYFUNCTION("""COMPUTED_VALUE"""),"triết lý")</f>
        <v>triết lý</v>
      </c>
      <c r="H2349" s="13" t="str">
        <f ca="1">IFERROR(__xludf.DUMMYFUNCTION("""COMPUTED_VALUE"""),"这篇文章讲解了很多深刻的哲理，值得我们思考。")</f>
        <v>这篇文章讲解了很多深刻的哲理，值得我们思考。</v>
      </c>
      <c r="I2349" s="13"/>
      <c r="J2349" s="13" t="str">
        <f ca="1">IFERROR(__xludf.DUMMYFUNCTION("""COMPUTED_VALUE"""),"Bài báo này giải thích nhiều triết lý sâu sắc, xứng đáng để chúng ta suy ngẫm.")</f>
        <v>Bài báo này giải thích nhiều triết lý sâu sắc, xứng đáng để chúng ta suy ngẫm.</v>
      </c>
      <c r="K2349" s="13" t="str">
        <f ca="1">IFERROR(__xludf.DUMMYFUNCTION("""COMPUTED_VALUE"""),"H5_B26_BG-32.png")</f>
        <v>H5_B26_BG-32.png</v>
      </c>
      <c r="L2349" s="13" t="str">
        <f ca="1">IFERROR(__xludf.DUMMYFUNCTION("""COMPUTED_VALUE"""),"B26_32.mp3")</f>
        <v>B26_32.mp3</v>
      </c>
      <c r="M2349" s="13" t="str">
        <f ca="1">IFERROR(__xludf.DUMMYFUNCTION("""COMPUTED_VALUE"""),"B26_VD_32.mp3")</f>
        <v>B26_VD_32.mp3</v>
      </c>
    </row>
    <row r="2350" spans="1:13">
      <c r="A2350" s="13">
        <f ca="1">IFERROR(__xludf.DUMMYFUNCTION("""COMPUTED_VALUE"""),33)</f>
        <v>33</v>
      </c>
      <c r="B2350" s="13"/>
      <c r="C2350" s="13" t="str">
        <f ca="1">IFERROR(__xludf.DUMMYFUNCTION("""COMPUTED_VALUE"""),"提倡")</f>
        <v>提倡</v>
      </c>
      <c r="D2350" s="13" t="str">
        <f ca="1">IFERROR(__xludf.DUMMYFUNCTION("""COMPUTED_VALUE"""),"&lt;ruby&gt;提倡&lt;rt&gt;tíchàng&lt;/rt&gt;&lt;/ruby&gt;")</f>
        <v>&lt;ruby&gt;提倡&lt;rt&gt;tíchàng&lt;/rt&gt;&lt;/ruby&gt;</v>
      </c>
      <c r="E2350" s="13" t="str">
        <f ca="1">IFERROR(__xludf.DUMMYFUNCTION("""COMPUTED_VALUE"""),"tíchàng")</f>
        <v>tíchàng</v>
      </c>
      <c r="F2350" s="13" t="str">
        <f ca="1">IFERROR(__xludf.DUMMYFUNCTION("""COMPUTED_VALUE"""),"Động từ")</f>
        <v>Động từ</v>
      </c>
      <c r="G2350" s="13" t="str">
        <f ca="1">IFERROR(__xludf.DUMMYFUNCTION("""COMPUTED_VALUE"""),"đề xướng, chủ trương")</f>
        <v>đề xướng, chủ trương</v>
      </c>
      <c r="H2350" s="13" t="str">
        <f ca="1">IFERROR(__xludf.DUMMYFUNCTION("""COMPUTED_VALUE"""),"她提倡健康饮食，减少快餐的摄入。")</f>
        <v>她提倡健康饮食，减少快餐的摄入。</v>
      </c>
      <c r="I2350" s="13"/>
      <c r="J2350" s="13" t="str">
        <f ca="1">IFERROR(__xludf.DUMMYFUNCTION("""COMPUTED_VALUE"""),"Cô ấy đề xướng chế độ ăn uống lành mạnh, hạn chế đồ ăn nhanh.")</f>
        <v>Cô ấy đề xướng chế độ ăn uống lành mạnh, hạn chế đồ ăn nhanh.</v>
      </c>
      <c r="K2350" s="13" t="str">
        <f ca="1">IFERROR(__xludf.DUMMYFUNCTION("""COMPUTED_VALUE"""),"H5_B26_BG-33.png")</f>
        <v>H5_B26_BG-33.png</v>
      </c>
      <c r="L2350" s="13" t="str">
        <f ca="1">IFERROR(__xludf.DUMMYFUNCTION("""COMPUTED_VALUE"""),"B26_33.mp3")</f>
        <v>B26_33.mp3</v>
      </c>
      <c r="M2350" s="13" t="str">
        <f ca="1">IFERROR(__xludf.DUMMYFUNCTION("""COMPUTED_VALUE"""),"B26_VD_33.mp3")</f>
        <v>B26_VD_33.mp3</v>
      </c>
    </row>
    <row r="2351" spans="1:13">
      <c r="A2351" s="13">
        <f ca="1">IFERROR(__xludf.DUMMYFUNCTION("""COMPUTED_VALUE"""),34)</f>
        <v>34</v>
      </c>
      <c r="B2351" s="13"/>
      <c r="C2351" s="13" t="str">
        <f ca="1">IFERROR(__xludf.DUMMYFUNCTION("""COMPUTED_VALUE"""),"闭关")</f>
        <v>闭关</v>
      </c>
      <c r="D2351" s="13" t="str">
        <f ca="1">IFERROR(__xludf.DUMMYFUNCTION("""COMPUTED_VALUE"""),"&lt;ruby&gt;闭关&lt;rt&gt;bìguān&lt;/rt&gt;&lt;/ruby&gt;")</f>
        <v>&lt;ruby&gt;闭关&lt;rt&gt;bìguān&lt;/rt&gt;&lt;/ruby&gt;</v>
      </c>
      <c r="E2351" s="13" t="str">
        <f ca="1">IFERROR(__xludf.DUMMYFUNCTION("""COMPUTED_VALUE"""),"bìguān")</f>
        <v>bìguān</v>
      </c>
      <c r="F2351" s="13" t="str">
        <f ca="1">IFERROR(__xludf.DUMMYFUNCTION("""COMPUTED_VALUE"""),"Động từ")</f>
        <v>Động từ</v>
      </c>
      <c r="G2351" s="13" t="str">
        <f ca="1">IFERROR(__xludf.DUMMYFUNCTION("""COMPUTED_VALUE"""),"bế quan, tịnh cư")</f>
        <v>bế quan, tịnh cư</v>
      </c>
      <c r="H2351" s="13" t="str">
        <f ca="1">IFERROR(__xludf.DUMMYFUNCTION("""COMPUTED_VALUE"""),"他已经闭关修炼去了。")</f>
        <v>他已经闭关修炼去了。</v>
      </c>
      <c r="I2351" s="13"/>
      <c r="J2351" s="13" t="str">
        <f ca="1">IFERROR(__xludf.DUMMYFUNCTION("""COMPUTED_VALUE"""),"Ông ấy đã bế quan tu luyện ở trên núi rồi.")</f>
        <v>Ông ấy đã bế quan tu luyện ở trên núi rồi.</v>
      </c>
      <c r="K2351" s="13" t="str">
        <f ca="1">IFERROR(__xludf.DUMMYFUNCTION("""COMPUTED_VALUE"""),"H5_B26_BG-34.png")</f>
        <v>H5_B26_BG-34.png</v>
      </c>
      <c r="L2351" s="13" t="str">
        <f ca="1">IFERROR(__xludf.DUMMYFUNCTION("""COMPUTED_VALUE"""),"B26_34.mp3")</f>
        <v>B26_34.mp3</v>
      </c>
      <c r="M2351" s="13" t="str">
        <f ca="1">IFERROR(__xludf.DUMMYFUNCTION("""COMPUTED_VALUE"""),"B26_VD_34.mp3")</f>
        <v>B26_VD_34.mp3</v>
      </c>
    </row>
    <row r="2352" spans="1:13">
      <c r="A2352" s="13">
        <f ca="1">IFERROR(__xludf.DUMMYFUNCTION("""COMPUTED_VALUE"""),35)</f>
        <v>35</v>
      </c>
      <c r="B2352" s="13"/>
      <c r="C2352" s="13" t="str">
        <f ca="1">IFERROR(__xludf.DUMMYFUNCTION("""COMPUTED_VALUE"""),"一律")</f>
        <v>一律</v>
      </c>
      <c r="D2352" s="13" t="str">
        <f ca="1">IFERROR(__xludf.DUMMYFUNCTION("""COMPUTED_VALUE"""),"&lt;ruby&gt;一律&lt;rt&gt;yílǜ&lt;/rt&gt;&lt;/ruby&gt;")</f>
        <v>&lt;ruby&gt;一律&lt;rt&gt;yílǜ&lt;/rt&gt;&lt;/ruby&gt;</v>
      </c>
      <c r="E2352" s="13" t="str">
        <f ca="1">IFERROR(__xludf.DUMMYFUNCTION("""COMPUTED_VALUE"""),"yílǜ")</f>
        <v>yílǜ</v>
      </c>
      <c r="F2352" s="13" t="str">
        <f ca="1">IFERROR(__xludf.DUMMYFUNCTION("""COMPUTED_VALUE"""),"Phó từ")</f>
        <v>Phó từ</v>
      </c>
      <c r="G2352" s="13" t="str">
        <f ca="1">IFERROR(__xludf.DUMMYFUNCTION("""COMPUTED_VALUE"""),"nhất loạt, hết thảy")</f>
        <v>nhất loạt, hết thảy</v>
      </c>
      <c r="H2352" s="13" t="str">
        <f ca="1">IFERROR(__xludf.DUMMYFUNCTION("""COMPUTED_VALUE"""),"加班费一律按照规定支付。")</f>
        <v>加班费一律按照规定支付。</v>
      </c>
      <c r="I2352" s="13"/>
      <c r="J2352" s="13" t="str">
        <f ca="1">IFERROR(__xludf.DUMMYFUNCTION("""COMPUTED_VALUE"""),"Tiền làm thêm được chi trả theo quy định.")</f>
        <v>Tiền làm thêm được chi trả theo quy định.</v>
      </c>
      <c r="K2352" s="13" t="str">
        <f ca="1">IFERROR(__xludf.DUMMYFUNCTION("""COMPUTED_VALUE"""),"H5_B26_BG-35.png")</f>
        <v>H5_B26_BG-35.png</v>
      </c>
      <c r="L2352" s="13" t="str">
        <f ca="1">IFERROR(__xludf.DUMMYFUNCTION("""COMPUTED_VALUE"""),"B26_35.mp3")</f>
        <v>B26_35.mp3</v>
      </c>
      <c r="M2352" s="13" t="str">
        <f ca="1">IFERROR(__xludf.DUMMYFUNCTION("""COMPUTED_VALUE"""),"B26_VD_35.mp3")</f>
        <v>B26_VD_35.mp3</v>
      </c>
    </row>
    <row r="2353" spans="1:13">
      <c r="A2353" s="13">
        <f ca="1">IFERROR(__xludf.DUMMYFUNCTION("""COMPUTED_VALUE"""),1)</f>
        <v>1</v>
      </c>
      <c r="B2353" s="13"/>
      <c r="C2353" s="13" t="str">
        <f ca="1">IFERROR(__xludf.DUMMYFUNCTION("""COMPUTED_VALUE"""),"（象）棋")</f>
        <v>（象）棋</v>
      </c>
      <c r="D2353" s="13" t="str">
        <f ca="1">IFERROR(__xludf.DUMMYFUNCTION("""COMPUTED_VALUE"""),"&lt;ruby&gt;（象）棋&lt;rt&gt;(xiàng) qí&lt;/rt&gt;&lt;/ruby&gt;")</f>
        <v>&lt;ruby&gt;（象）棋&lt;rt&gt;(xiàng) qí&lt;/rt&gt;&lt;/ruby&gt;</v>
      </c>
      <c r="E2353" s="13" t="str">
        <f ca="1">IFERROR(__xludf.DUMMYFUNCTION("""COMPUTED_VALUE"""),"(xiàng) qí")</f>
        <v>(xiàng) qí</v>
      </c>
      <c r="F2353" s="13" t="str">
        <f ca="1">IFERROR(__xludf.DUMMYFUNCTION("""COMPUTED_VALUE"""),"Danh từ")</f>
        <v>Danh từ</v>
      </c>
      <c r="G2353" s="13" t="str">
        <f ca="1">IFERROR(__xludf.DUMMYFUNCTION("""COMPUTED_VALUE"""),"cờ (tướng)")</f>
        <v>cờ (tướng)</v>
      </c>
      <c r="H2353" s="13" t="str">
        <f ca="1">IFERROR(__xludf.DUMMYFUNCTION("""COMPUTED_VALUE"""),"他象棋下得很好。")</f>
        <v>他象棋下得很好。</v>
      </c>
      <c r="I2353" s="13"/>
      <c r="J2353" s="13" t="str">
        <f ca="1">IFERROR(__xludf.DUMMYFUNCTION("""COMPUTED_VALUE"""),"Anh ấy chơi cờ tướng rất giỏi")</f>
        <v>Anh ấy chơi cờ tướng rất giỏi</v>
      </c>
      <c r="K2353" s="13" t="str">
        <f ca="1">IFERROR(__xludf.DUMMYFUNCTION("""COMPUTED_VALUE"""),"H5_B27_BG1.png")</f>
        <v>H5_B27_BG1.png</v>
      </c>
      <c r="L2353" s="13" t="str">
        <f ca="1">IFERROR(__xludf.DUMMYFUNCTION("""COMPUTED_VALUE"""),"B27_1.mp3")</f>
        <v>B27_1.mp3</v>
      </c>
      <c r="M2353" s="13" t="str">
        <f ca="1">IFERROR(__xludf.DUMMYFUNCTION("""COMPUTED_VALUE"""),"B27_VD_1.mp3")</f>
        <v>B27_VD_1.mp3</v>
      </c>
    </row>
    <row r="2354" spans="1:13">
      <c r="A2354" s="13">
        <f ca="1">IFERROR(__xludf.DUMMYFUNCTION("""COMPUTED_VALUE"""),2)</f>
        <v>2</v>
      </c>
      <c r="B2354" s="13"/>
      <c r="C2354" s="13" t="str">
        <f ca="1">IFERROR(__xludf.DUMMYFUNCTION("""COMPUTED_VALUE"""),"教练")</f>
        <v>教练</v>
      </c>
      <c r="D2354" s="13" t="str">
        <f ca="1">IFERROR(__xludf.DUMMYFUNCTION("""COMPUTED_VALUE"""),"&lt;ruby&gt;教练&lt;rt&gt;jiàoliàn&lt;/rt&gt;&lt;/ruby&gt;")</f>
        <v>&lt;ruby&gt;教练&lt;rt&gt;jiàoliàn&lt;/rt&gt;&lt;/ruby&gt;</v>
      </c>
      <c r="E2354" s="13" t="str">
        <f ca="1">IFERROR(__xludf.DUMMYFUNCTION("""COMPUTED_VALUE"""),"jiàoliàn")</f>
        <v>jiàoliàn</v>
      </c>
      <c r="F2354" s="13" t="str">
        <f ca="1">IFERROR(__xludf.DUMMYFUNCTION("""COMPUTED_VALUE"""),"Danh từ")</f>
        <v>Danh từ</v>
      </c>
      <c r="G2354" s="13" t="str">
        <f ca="1">IFERROR(__xludf.DUMMYFUNCTION("""COMPUTED_VALUE"""),"huấn luyện viên")</f>
        <v>huấn luyện viên</v>
      </c>
      <c r="H2354" s="13" t="str">
        <f ca="1">IFERROR(__xludf.DUMMYFUNCTION("""COMPUTED_VALUE"""),"教练每天指导我们训练。")</f>
        <v>教练每天指导我们训练。</v>
      </c>
      <c r="I2354" s="13"/>
      <c r="J2354" s="13" t="str">
        <f ca="1">IFERROR(__xludf.DUMMYFUNCTION("""COMPUTED_VALUE"""),"Huấn luyện viên hướng dẫn chúng tôi tập luyện mỗi ngày.")</f>
        <v>Huấn luyện viên hướng dẫn chúng tôi tập luyện mỗi ngày.</v>
      </c>
      <c r="K2354" s="13" t="str">
        <f ca="1">IFERROR(__xludf.DUMMYFUNCTION("""COMPUTED_VALUE"""),"H5_B27_BG2.png")</f>
        <v>H5_B27_BG2.png</v>
      </c>
      <c r="L2354" s="13" t="str">
        <f ca="1">IFERROR(__xludf.DUMMYFUNCTION("""COMPUTED_VALUE"""),"B27_2.mp3")</f>
        <v>B27_2.mp3</v>
      </c>
      <c r="M2354" s="13" t="str">
        <f ca="1">IFERROR(__xludf.DUMMYFUNCTION("""COMPUTED_VALUE"""),"B27_VD_2.mp3")</f>
        <v>B27_VD_2.mp3</v>
      </c>
    </row>
    <row r="2355" spans="1:13">
      <c r="A2355" s="13">
        <f ca="1">IFERROR(__xludf.DUMMYFUNCTION("""COMPUTED_VALUE"""),3)</f>
        <v>3</v>
      </c>
      <c r="B2355" s="13"/>
      <c r="C2355" s="13" t="str">
        <f ca="1">IFERROR(__xludf.DUMMYFUNCTION("""COMPUTED_VALUE"""),"将军")</f>
        <v>将军</v>
      </c>
      <c r="D2355" s="13" t="str">
        <f ca="1">IFERROR(__xludf.DUMMYFUNCTION("""COMPUTED_VALUE"""),"&lt;ruby&gt;将军&lt;rt&gt;jiāngjūn&lt;/rt&gt;&lt;/ruby&gt;")</f>
        <v>&lt;ruby&gt;将军&lt;rt&gt;jiāngjūn&lt;/rt&gt;&lt;/ruby&gt;</v>
      </c>
      <c r="E2355" s="13" t="str">
        <f ca="1">IFERROR(__xludf.DUMMYFUNCTION("""COMPUTED_VALUE"""),"jiāngjūn")</f>
        <v>jiāngjūn</v>
      </c>
      <c r="F2355" s="13" t="str">
        <f ca="1">IFERROR(__xludf.DUMMYFUNCTION("""COMPUTED_VALUE"""),"Danh từ")</f>
        <v>Danh từ</v>
      </c>
      <c r="G2355" s="13" t="str">
        <f ca="1">IFERROR(__xludf.DUMMYFUNCTION("""COMPUTED_VALUE"""),"tướng quân")</f>
        <v>tướng quân</v>
      </c>
      <c r="H2355" s="13" t="str">
        <f ca="1">IFERROR(__xludf.DUMMYFUNCTION("""COMPUTED_VALUE"""),"这位将军指挥军队作战。")</f>
        <v>这位将军指挥军队作战。</v>
      </c>
      <c r="I2355" s="13"/>
      <c r="J2355" s="13" t="str">
        <f ca="1">IFERROR(__xludf.DUMMYFUNCTION("""COMPUTED_VALUE"""),"Vị tướng quân này chỉ huy quân đội chiến đấu.")</f>
        <v>Vị tướng quân này chỉ huy quân đội chiến đấu.</v>
      </c>
      <c r="K2355" s="13" t="str">
        <f ca="1">IFERROR(__xludf.DUMMYFUNCTION("""COMPUTED_VALUE"""),"H5_B27_BG3.png")</f>
        <v>H5_B27_BG3.png</v>
      </c>
      <c r="L2355" s="13" t="str">
        <f ca="1">IFERROR(__xludf.DUMMYFUNCTION("""COMPUTED_VALUE"""),"B27_3.mp3")</f>
        <v>B27_3.mp3</v>
      </c>
      <c r="M2355" s="13" t="str">
        <f ca="1">IFERROR(__xludf.DUMMYFUNCTION("""COMPUTED_VALUE"""),"B27_VD_3.mp3")</f>
        <v>B27_VD_3.mp3</v>
      </c>
    </row>
    <row r="2356" spans="1:13">
      <c r="A2356" s="13">
        <f ca="1">IFERROR(__xludf.DUMMYFUNCTION("""COMPUTED_VALUE"""),4)</f>
        <v>4</v>
      </c>
      <c r="B2356" s="13"/>
      <c r="C2356" s="13" t="str">
        <f ca="1">IFERROR(__xludf.DUMMYFUNCTION("""COMPUTED_VALUE"""),"将军")</f>
        <v>将军</v>
      </c>
      <c r="D2356" s="13" t="str">
        <f ca="1">IFERROR(__xludf.DUMMYFUNCTION("""COMPUTED_VALUE"""),"&lt;ruby&gt;将军&lt;rt&gt;jiāng jūn&lt;/rt&gt;&lt;/ruby&gt;")</f>
        <v>&lt;ruby&gt;将军&lt;rt&gt;jiāng jūn&lt;/rt&gt;&lt;/ruby&gt;</v>
      </c>
      <c r="E2356" s="13" t="str">
        <f ca="1">IFERROR(__xludf.DUMMYFUNCTION("""COMPUTED_VALUE"""),"jiāng jūn")</f>
        <v>jiāng jūn</v>
      </c>
      <c r="F2356" s="13" t="str">
        <f ca="1">IFERROR(__xludf.DUMMYFUNCTION("""COMPUTED_VALUE"""),"Động từ")</f>
        <v>Động từ</v>
      </c>
      <c r="G2356" s="13" t="str">
        <f ca="1">IFERROR(__xludf.DUMMYFUNCTION("""COMPUTED_VALUE"""),"chiếu tướng (trong đánh cờ)")</f>
        <v>chiếu tướng (trong đánh cờ)</v>
      </c>
      <c r="H2356" s="13" t="str">
        <f ca="1">IFERROR(__xludf.DUMMYFUNCTION("""COMPUTED_VALUE"""),"他在最后一步将军了对手。")</f>
        <v>他在最后一步将军了对手。</v>
      </c>
      <c r="I2356" s="13"/>
      <c r="J2356" s="13" t="str">
        <f ca="1">IFERROR(__xludf.DUMMYFUNCTION("""COMPUTED_VALUE"""),"Anh ấy đã chiếu tướng đối thủ ở nước cờ cuối cùng.")</f>
        <v>Anh ấy đã chiếu tướng đối thủ ở nước cờ cuối cùng.</v>
      </c>
      <c r="K2356" s="13" t="str">
        <f ca="1">IFERROR(__xludf.DUMMYFUNCTION("""COMPUTED_VALUE"""),"H5_B27_BG4.png")</f>
        <v>H5_B27_BG4.png</v>
      </c>
      <c r="L2356" s="13" t="str">
        <f ca="1">IFERROR(__xludf.DUMMYFUNCTION("""COMPUTED_VALUE"""),"B27_4.mp3")</f>
        <v>B27_4.mp3</v>
      </c>
      <c r="M2356" s="13" t="str">
        <f ca="1">IFERROR(__xludf.DUMMYFUNCTION("""COMPUTED_VALUE"""),"B27_VD_4.mp3")</f>
        <v>B27_VD_4.mp3</v>
      </c>
    </row>
    <row r="2357" spans="1:13">
      <c r="A2357" s="13">
        <f ca="1">IFERROR(__xludf.DUMMYFUNCTION("""COMPUTED_VALUE"""),5)</f>
        <v>5</v>
      </c>
      <c r="B2357" s="13"/>
      <c r="C2357" s="13" t="str">
        <f ca="1">IFERROR(__xludf.DUMMYFUNCTION("""COMPUTED_VALUE"""),"局")</f>
        <v>局</v>
      </c>
      <c r="D2357" s="13" t="str">
        <f ca="1">IFERROR(__xludf.DUMMYFUNCTION("""COMPUTED_VALUE"""),"&lt;ruby&gt;局&lt;rt&gt;jú&lt;/rt&gt;&lt;/ruby&gt;")</f>
        <v>&lt;ruby&gt;局&lt;rt&gt;jú&lt;/rt&gt;&lt;/ruby&gt;</v>
      </c>
      <c r="E2357" s="13" t="str">
        <f ca="1">IFERROR(__xludf.DUMMYFUNCTION("""COMPUTED_VALUE"""),"jú")</f>
        <v>jú</v>
      </c>
      <c r="F2357" s="13" t="str">
        <f ca="1">IFERROR(__xludf.DUMMYFUNCTION("""COMPUTED_VALUE"""),"Lượng từ")</f>
        <v>Lượng từ</v>
      </c>
      <c r="G2357" s="13" t="str">
        <f ca="1">IFERROR(__xludf.DUMMYFUNCTION("""COMPUTED_VALUE"""),"ván")</f>
        <v>ván</v>
      </c>
      <c r="H2357" s="13" t="str">
        <f ca="1">IFERROR(__xludf.DUMMYFUNCTION("""COMPUTED_VALUE"""),"他专注于这局棋。")</f>
        <v>他专注于这局棋。</v>
      </c>
      <c r="I2357" s="13"/>
      <c r="J2357" s="13" t="str">
        <f ca="1">IFERROR(__xludf.DUMMYFUNCTION("""COMPUTED_VALUE"""),"Anh ấy tập trung vào ván cờ này.")</f>
        <v>Anh ấy tập trung vào ván cờ này.</v>
      </c>
      <c r="K2357" s="13" t="str">
        <f ca="1">IFERROR(__xludf.DUMMYFUNCTION("""COMPUTED_VALUE"""),"H5_B27_BG5.png")</f>
        <v>H5_B27_BG5.png</v>
      </c>
      <c r="L2357" s="13" t="str">
        <f ca="1">IFERROR(__xludf.DUMMYFUNCTION("""COMPUTED_VALUE"""),"B27_5.mp3")</f>
        <v>B27_5.mp3</v>
      </c>
      <c r="M2357" s="13" t="str">
        <f ca="1">IFERROR(__xludf.DUMMYFUNCTION("""COMPUTED_VALUE"""),"B27_VD_5.mp3")</f>
        <v>B27_VD_5.mp3</v>
      </c>
    </row>
    <row r="2358" spans="1:13">
      <c r="A2358" s="13">
        <f ca="1">IFERROR(__xludf.DUMMYFUNCTION("""COMPUTED_VALUE"""),6)</f>
        <v>6</v>
      </c>
      <c r="B2358" s="13"/>
      <c r="C2358" s="13" t="str">
        <f ca="1">IFERROR(__xludf.DUMMYFUNCTION("""COMPUTED_VALUE"""),"发挥")</f>
        <v>发挥</v>
      </c>
      <c r="D2358" s="13" t="str">
        <f ca="1">IFERROR(__xludf.DUMMYFUNCTION("""COMPUTED_VALUE"""),"&lt;ruby&gt;发挥&lt;rt&gt;fāhuī&lt;/rt&gt;&lt;/ruby&gt;")</f>
        <v>&lt;ruby&gt;发挥&lt;rt&gt;fāhuī&lt;/rt&gt;&lt;/ruby&gt;</v>
      </c>
      <c r="E2358" s="13" t="str">
        <f ca="1">IFERROR(__xludf.DUMMYFUNCTION("""COMPUTED_VALUE"""),"fāhuī")</f>
        <v>fāhuī</v>
      </c>
      <c r="F2358" s="13" t="str">
        <f ca="1">IFERROR(__xludf.DUMMYFUNCTION("""COMPUTED_VALUE"""),"Động từ")</f>
        <v>Động từ</v>
      </c>
      <c r="G2358" s="13" t="str">
        <f ca="1">IFERROR(__xludf.DUMMYFUNCTION("""COMPUTED_VALUE"""),"phát huy")</f>
        <v>phát huy</v>
      </c>
      <c r="H2358" s="13" t="str">
        <f ca="1">IFERROR(__xludf.DUMMYFUNCTION("""COMPUTED_VALUE"""),"这个男孩在比赛中发挥了自己的实力。")</f>
        <v>这个男孩在比赛中发挥了自己的实力。</v>
      </c>
      <c r="I2358" s="13"/>
      <c r="J2358" s="13" t="str">
        <f ca="1">IFERROR(__xludf.DUMMYFUNCTION("""COMPUTED_VALUE"""),"Cậu bé đã phát huy thực lực của mình trong trận đấu.")</f>
        <v>Cậu bé đã phát huy thực lực của mình trong trận đấu.</v>
      </c>
      <c r="K2358" s="13" t="str">
        <f ca="1">IFERROR(__xludf.DUMMYFUNCTION("""COMPUTED_VALUE"""),"H5_B27_BG6.png")</f>
        <v>H5_B27_BG6.png</v>
      </c>
      <c r="L2358" s="13" t="str">
        <f ca="1">IFERROR(__xludf.DUMMYFUNCTION("""COMPUTED_VALUE"""),"B27_6.mp3")</f>
        <v>B27_6.mp3</v>
      </c>
      <c r="M2358" s="13" t="str">
        <f ca="1">IFERROR(__xludf.DUMMYFUNCTION("""COMPUTED_VALUE"""),"B27_VD_6.mp3")</f>
        <v>B27_VD_6.mp3</v>
      </c>
    </row>
    <row r="2359" spans="1:13">
      <c r="A2359" s="13">
        <f ca="1">IFERROR(__xludf.DUMMYFUNCTION("""COMPUTED_VALUE"""),7)</f>
        <v>7</v>
      </c>
      <c r="B2359" s="13"/>
      <c r="C2359" s="13" t="str">
        <f ca="1">IFERROR(__xludf.DUMMYFUNCTION("""COMPUTED_VALUE"""),"犯")</f>
        <v>犯</v>
      </c>
      <c r="D2359" s="13" t="str">
        <f ca="1">IFERROR(__xludf.DUMMYFUNCTION("""COMPUTED_VALUE"""),"&lt;ruby&gt;犯&lt;rt&gt;fàn&lt;/rt&gt;&lt;/ruby&gt;")</f>
        <v>&lt;ruby&gt;犯&lt;rt&gt;fàn&lt;/rt&gt;&lt;/ruby&gt;</v>
      </c>
      <c r="E2359" s="13" t="str">
        <f ca="1">IFERROR(__xludf.DUMMYFUNCTION("""COMPUTED_VALUE"""),"fàn")</f>
        <v>fàn</v>
      </c>
      <c r="F2359" s="13" t="str">
        <f ca="1">IFERROR(__xludf.DUMMYFUNCTION("""COMPUTED_VALUE"""),"Động từ")</f>
        <v>Động từ</v>
      </c>
      <c r="G2359" s="13" t="str">
        <f ca="1">IFERROR(__xludf.DUMMYFUNCTION("""COMPUTED_VALUE"""),"phạm (sai lầm, tội...)")</f>
        <v>phạm (sai lầm, tội...)</v>
      </c>
      <c r="H2359" s="13" t="str">
        <f ca="1">IFERROR(__xludf.DUMMYFUNCTION("""COMPUTED_VALUE"""),"他无意中犯了一个错误。")</f>
        <v>他无意中犯了一个错误。</v>
      </c>
      <c r="I2359" s="13"/>
      <c r="J2359" s="13" t="str">
        <f ca="1">IFERROR(__xludf.DUMMYFUNCTION("""COMPUTED_VALUE"""),"Anh ấy vô tình phạm một sai lầm.")</f>
        <v>Anh ấy vô tình phạm một sai lầm.</v>
      </c>
      <c r="K2359" s="13" t="str">
        <f ca="1">IFERROR(__xludf.DUMMYFUNCTION("""COMPUTED_VALUE"""),"H5_B27_BG7.png")</f>
        <v>H5_B27_BG7.png</v>
      </c>
      <c r="L2359" s="13" t="str">
        <f ca="1">IFERROR(__xludf.DUMMYFUNCTION("""COMPUTED_VALUE"""),"B27_7.mp3")</f>
        <v>B27_7.mp3</v>
      </c>
      <c r="M2359" s="13" t="str">
        <f ca="1">IFERROR(__xludf.DUMMYFUNCTION("""COMPUTED_VALUE"""),"B27_VD_7.mp3")</f>
        <v>B27_VD_7.mp3</v>
      </c>
    </row>
    <row r="2360" spans="1:13">
      <c r="A2360" s="13">
        <f ca="1">IFERROR(__xludf.DUMMYFUNCTION("""COMPUTED_VALUE"""),8)</f>
        <v>8</v>
      </c>
      <c r="B2360" s="13"/>
      <c r="C2360" s="13" t="str">
        <f ca="1">IFERROR(__xludf.DUMMYFUNCTION("""COMPUTED_VALUE"""),"责备")</f>
        <v>责备</v>
      </c>
      <c r="D2360" s="13" t="str">
        <f ca="1">IFERROR(__xludf.DUMMYFUNCTION("""COMPUTED_VALUE"""),"&lt;ruby&gt;责备&lt;rt&gt;zébèi&lt;/rt&gt;&lt;/ruby&gt;")</f>
        <v>&lt;ruby&gt;责备&lt;rt&gt;zébèi&lt;/rt&gt;&lt;/ruby&gt;</v>
      </c>
      <c r="E2360" s="13" t="str">
        <f ca="1">IFERROR(__xludf.DUMMYFUNCTION("""COMPUTED_VALUE"""),"zébèi")</f>
        <v>zébèi</v>
      </c>
      <c r="F2360" s="13" t="str">
        <f ca="1">IFERROR(__xludf.DUMMYFUNCTION("""COMPUTED_VALUE"""),"Động từ")</f>
        <v>Động từ</v>
      </c>
      <c r="G2360" s="13" t="str">
        <f ca="1">IFERROR(__xludf.DUMMYFUNCTION("""COMPUTED_VALUE"""),"quở trách, chỉ trích")</f>
        <v>quở trách, chỉ trích</v>
      </c>
      <c r="H2360" s="13" t="str">
        <f ca="1">IFERROR(__xludf.DUMMYFUNCTION("""COMPUTED_VALUE"""),"老板责备员工工作不认真。")</f>
        <v>老板责备员工工作不认真。</v>
      </c>
      <c r="I2360" s="13"/>
      <c r="J2360" s="13" t="str">
        <f ca="1">IFERROR(__xludf.DUMMYFUNCTION("""COMPUTED_VALUE"""),"Sếp phê phán nhân viên không nghiêm túc làm việc.")</f>
        <v>Sếp phê phán nhân viên không nghiêm túc làm việc.</v>
      </c>
      <c r="K2360" s="13" t="str">
        <f ca="1">IFERROR(__xludf.DUMMYFUNCTION("""COMPUTED_VALUE"""),"H5_B27_BG8.png")</f>
        <v>H5_B27_BG8.png</v>
      </c>
      <c r="L2360" s="13" t="str">
        <f ca="1">IFERROR(__xludf.DUMMYFUNCTION("""COMPUTED_VALUE"""),"B27_8.mp3")</f>
        <v>B27_8.mp3</v>
      </c>
      <c r="M2360" s="13" t="str">
        <f ca="1">IFERROR(__xludf.DUMMYFUNCTION("""COMPUTED_VALUE"""),"B27_VD_8.mp3")</f>
        <v>B27_VD_8.mp3</v>
      </c>
    </row>
    <row r="2361" spans="1:13">
      <c r="A2361" s="13">
        <f ca="1">IFERROR(__xludf.DUMMYFUNCTION("""COMPUTED_VALUE"""),9)</f>
        <v>9</v>
      </c>
      <c r="B2361" s="13"/>
      <c r="C2361" s="13" t="str">
        <f ca="1">IFERROR(__xludf.DUMMYFUNCTION("""COMPUTED_VALUE"""),"原则")</f>
        <v>原则</v>
      </c>
      <c r="D2361" s="13" t="str">
        <f ca="1">IFERROR(__xludf.DUMMYFUNCTION("""COMPUTED_VALUE"""),"&lt;ruby&gt;原则&lt;rt&gt;yuánzé&lt;/rt&gt;&lt;/ruby&gt;")</f>
        <v>&lt;ruby&gt;原则&lt;rt&gt;yuánzé&lt;/rt&gt;&lt;/ruby&gt;</v>
      </c>
      <c r="E2361" s="13" t="str">
        <f ca="1">IFERROR(__xludf.DUMMYFUNCTION("""COMPUTED_VALUE"""),"yuánzé")</f>
        <v>yuánzé</v>
      </c>
      <c r="F2361" s="13" t="str">
        <f ca="1">IFERROR(__xludf.DUMMYFUNCTION("""COMPUTED_VALUE"""),"Danh từ")</f>
        <v>Danh từ</v>
      </c>
      <c r="G2361" s="13" t="str">
        <f ca="1">IFERROR(__xludf.DUMMYFUNCTION("""COMPUTED_VALUE"""),"nguyên tắc")</f>
        <v>nguyên tắc</v>
      </c>
      <c r="H2361" s="13" t="str">
        <f ca="1">IFERROR(__xludf.DUMMYFUNCTION("""COMPUTED_VALUE"""),"他做事时一直坚持自己的原则。")</f>
        <v>他做事时一直坚持自己的原则。</v>
      </c>
      <c r="I2361" s="13"/>
      <c r="J2361" s="13" t="str">
        <f ca="1">IFERROR(__xludf.DUMMYFUNCTION("""COMPUTED_VALUE"""),"Anh ấy luôn kiên trì với nguyên tắc của mình khi làm việc.")</f>
        <v>Anh ấy luôn kiên trì với nguyên tắc của mình khi làm việc.</v>
      </c>
      <c r="K2361" s="13" t="str">
        <f ca="1">IFERROR(__xludf.DUMMYFUNCTION("""COMPUTED_VALUE"""),"H5_B27_BG9.png")</f>
        <v>H5_B27_BG9.png</v>
      </c>
      <c r="L2361" s="13" t="str">
        <f ca="1">IFERROR(__xludf.DUMMYFUNCTION("""COMPUTED_VALUE"""),"B27_9.mp3")</f>
        <v>B27_9.mp3</v>
      </c>
      <c r="M2361" s="13" t="str">
        <f ca="1">IFERROR(__xludf.DUMMYFUNCTION("""COMPUTED_VALUE"""),"B27_VD_9.mp3")</f>
        <v>B27_VD_9.mp3</v>
      </c>
    </row>
    <row r="2362" spans="1:13">
      <c r="A2362" s="13">
        <f ca="1">IFERROR(__xludf.DUMMYFUNCTION("""COMPUTED_VALUE"""),10)</f>
        <v>10</v>
      </c>
      <c r="B2362" s="13"/>
      <c r="C2362" s="13" t="str">
        <f ca="1">IFERROR(__xludf.DUMMYFUNCTION("""COMPUTED_VALUE"""),"必然")</f>
        <v>必然</v>
      </c>
      <c r="D2362" s="13" t="str">
        <f ca="1">IFERROR(__xludf.DUMMYFUNCTION("""COMPUTED_VALUE"""),"&lt;ruby&gt;必然&lt;rt&gt;bìrán&lt;/rt&gt;&lt;/ruby&gt;")</f>
        <v>&lt;ruby&gt;必然&lt;rt&gt;bìrán&lt;/rt&gt;&lt;/ruby&gt;</v>
      </c>
      <c r="E2362" s="13" t="str">
        <f ca="1">IFERROR(__xludf.DUMMYFUNCTION("""COMPUTED_VALUE"""),"bìrán")</f>
        <v>bìrán</v>
      </c>
      <c r="F2362" s="13" t="str">
        <f ca="1">IFERROR(__xludf.DUMMYFUNCTION("""COMPUTED_VALUE"""),"Tính từ")</f>
        <v>Tính từ</v>
      </c>
      <c r="G2362" s="13" t="str">
        <f ca="1">IFERROR(__xludf.DUMMYFUNCTION("""COMPUTED_VALUE"""),"thế nào cũng, chắc chắn")</f>
        <v>thế nào cũng, chắc chắn</v>
      </c>
      <c r="H2362" s="13" t="str">
        <f ca="1">IFERROR(__xludf.DUMMYFUNCTION("""COMPUTED_VALUE"""),"只要努力，坚持到底，成功是必然的。")</f>
        <v>只要努力，坚持到底，成功是必然的。</v>
      </c>
      <c r="I2362" s="13"/>
      <c r="J2362" s="13" t="str">
        <f ca="1">IFERROR(__xludf.DUMMYFUNCTION("""COMPUTED_VALUE"""),"Chỉ cần nỗ lực và kiên trì đến cùng, thành công là điều tất yếu.")</f>
        <v>Chỉ cần nỗ lực và kiên trì đến cùng, thành công là điều tất yếu.</v>
      </c>
      <c r="K2362" s="13" t="str">
        <f ca="1">IFERROR(__xludf.DUMMYFUNCTION("""COMPUTED_VALUE"""),"H5_B27_BG10.png")</f>
        <v>H5_B27_BG10.png</v>
      </c>
      <c r="L2362" s="13" t="str">
        <f ca="1">IFERROR(__xludf.DUMMYFUNCTION("""COMPUTED_VALUE"""),"B27_10.mp3")</f>
        <v>B27_10.mp3</v>
      </c>
      <c r="M2362" s="13" t="str">
        <f ca="1">IFERROR(__xludf.DUMMYFUNCTION("""COMPUTED_VALUE"""),"B27_VD_10.mp3")</f>
        <v>B27_VD_10.mp3</v>
      </c>
    </row>
    <row r="2363" spans="1:13">
      <c r="A2363" s="13">
        <f ca="1">IFERROR(__xludf.DUMMYFUNCTION("""COMPUTED_VALUE"""),11)</f>
        <v>11</v>
      </c>
      <c r="B2363" s="13"/>
      <c r="C2363" s="13" t="str">
        <f ca="1">IFERROR(__xludf.DUMMYFUNCTION("""COMPUTED_VALUE"""),"后果")</f>
        <v>后果</v>
      </c>
      <c r="D2363" s="13" t="str">
        <f ca="1">IFERROR(__xludf.DUMMYFUNCTION("""COMPUTED_VALUE"""),"&lt;ruby&gt;后果&lt;rt&gt;hòuguǒ&lt;/rt&gt;&lt;/ruby&gt;")</f>
        <v>&lt;ruby&gt;后果&lt;rt&gt;hòuguǒ&lt;/rt&gt;&lt;/ruby&gt;</v>
      </c>
      <c r="E2363" s="13" t="str">
        <f ca="1">IFERROR(__xludf.DUMMYFUNCTION("""COMPUTED_VALUE"""),"hòuguǒ")</f>
        <v>hòuguǒ</v>
      </c>
      <c r="F2363" s="13" t="str">
        <f ca="1">IFERROR(__xludf.DUMMYFUNCTION("""COMPUTED_VALUE"""),"Danh từ")</f>
        <v>Danh từ</v>
      </c>
      <c r="G2363" s="13" t="str">
        <f ca="1">IFERROR(__xludf.DUMMYFUNCTION("""COMPUTED_VALUE"""),"hậu quả")</f>
        <v>hậu quả</v>
      </c>
      <c r="H2363" s="13" t="str">
        <f ca="1">IFERROR(__xludf.DUMMYFUNCTION("""COMPUTED_VALUE"""),"吸烟会带来严重的后果。")</f>
        <v>吸烟会带来严重的后果。</v>
      </c>
      <c r="I2363" s="13"/>
      <c r="J2363" s="13" t="str">
        <f ca="1">IFERROR(__xludf.DUMMYFUNCTION("""COMPUTED_VALUE"""),"Hút thuốc sẽ mang lại hậu quả nghiêm trọng.")</f>
        <v>Hút thuốc sẽ mang lại hậu quả nghiêm trọng.</v>
      </c>
      <c r="K2363" s="13" t="str">
        <f ca="1">IFERROR(__xludf.DUMMYFUNCTION("""COMPUTED_VALUE"""),"H5_B27_BG11.png")</f>
        <v>H5_B27_BG11.png</v>
      </c>
      <c r="L2363" s="13" t="str">
        <f ca="1">IFERROR(__xludf.DUMMYFUNCTION("""COMPUTED_VALUE"""),"B27_11.mp3")</f>
        <v>B27_11.mp3</v>
      </c>
      <c r="M2363" s="13" t="str">
        <f ca="1">IFERROR(__xludf.DUMMYFUNCTION("""COMPUTED_VALUE"""),"B27_VD_11.mp3")</f>
        <v>B27_VD_11.mp3</v>
      </c>
    </row>
    <row r="2364" spans="1:13">
      <c r="A2364" s="13">
        <f ca="1">IFERROR(__xludf.DUMMYFUNCTION("""COMPUTED_VALUE"""),12)</f>
        <v>12</v>
      </c>
      <c r="B2364" s="13"/>
      <c r="C2364" s="13" t="str">
        <f ca="1">IFERROR(__xludf.DUMMYFUNCTION("""COMPUTED_VALUE"""),"答应")</f>
        <v>答应</v>
      </c>
      <c r="D2364" s="13" t="str">
        <f ca="1">IFERROR(__xludf.DUMMYFUNCTION("""COMPUTED_VALUE"""),"&lt;ruby&gt;答应&lt;rt&gt;dāying&lt;/rt&gt;&lt;/ruby&gt;")</f>
        <v>&lt;ruby&gt;答应&lt;rt&gt;dāying&lt;/rt&gt;&lt;/ruby&gt;</v>
      </c>
      <c r="E2364" s="13" t="str">
        <f ca="1">IFERROR(__xludf.DUMMYFUNCTION("""COMPUTED_VALUE"""),"dāying")</f>
        <v>dāying</v>
      </c>
      <c r="F2364" s="13" t="str">
        <f ca="1">IFERROR(__xludf.DUMMYFUNCTION("""COMPUTED_VALUE"""),"Động từ")</f>
        <v>Động từ</v>
      </c>
      <c r="G2364" s="13" t="str">
        <f ca="1">IFERROR(__xludf.DUMMYFUNCTION("""COMPUTED_VALUE"""),"đồng ý, ưng thuận")</f>
        <v>đồng ý, ưng thuận</v>
      </c>
      <c r="H2364" s="13" t="str">
        <f ca="1">IFERROR(__xludf.DUMMYFUNCTION("""COMPUTED_VALUE"""),"最后那个女孩答应了我的请求。")</f>
        <v>最后那个女孩答应了我的请求。</v>
      </c>
      <c r="I2364" s="13"/>
      <c r="J2364" s="13" t="str">
        <f ca="1">IFERROR(__xludf.DUMMYFUNCTION("""COMPUTED_VALUE"""),"Cuối cùng cô bé ấy đã đồng ý với lời thỉnh cầu của tôi.")</f>
        <v>Cuối cùng cô bé ấy đã đồng ý với lời thỉnh cầu của tôi.</v>
      </c>
      <c r="K2364" s="13" t="str">
        <f ca="1">IFERROR(__xludf.DUMMYFUNCTION("""COMPUTED_VALUE"""),"H5_B27_BG12.png")</f>
        <v>H5_B27_BG12.png</v>
      </c>
      <c r="L2364" s="13" t="str">
        <f ca="1">IFERROR(__xludf.DUMMYFUNCTION("""COMPUTED_VALUE"""),"B27_12.mp3")</f>
        <v>B27_12.mp3</v>
      </c>
      <c r="M2364" s="13" t="str">
        <f ca="1">IFERROR(__xludf.DUMMYFUNCTION("""COMPUTED_VALUE"""),"B27_VD_12.mp3")</f>
        <v>B27_VD_12.mp3</v>
      </c>
    </row>
    <row r="2365" spans="1:13">
      <c r="A2365" s="13">
        <f ca="1">IFERROR(__xludf.DUMMYFUNCTION("""COMPUTED_VALUE"""),13)</f>
        <v>13</v>
      </c>
      <c r="B2365" s="13"/>
      <c r="C2365" s="13" t="str">
        <f ca="1">IFERROR(__xludf.DUMMYFUNCTION("""COMPUTED_VALUE"""),"服气")</f>
        <v>服气</v>
      </c>
      <c r="D2365" s="13" t="str">
        <f ca="1">IFERROR(__xludf.DUMMYFUNCTION("""COMPUTED_VALUE"""),"&lt;ruby&gt;服气&lt;rt&gt;fúqì&lt;/rt&gt;&lt;/ruby&gt;")</f>
        <v>&lt;ruby&gt;服气&lt;rt&gt;fúqì&lt;/rt&gt;&lt;/ruby&gt;</v>
      </c>
      <c r="E2365" s="13" t="str">
        <f ca="1">IFERROR(__xludf.DUMMYFUNCTION("""COMPUTED_VALUE"""),"fúqì")</f>
        <v>fúqì</v>
      </c>
      <c r="F2365" s="13" t="str">
        <f ca="1">IFERROR(__xludf.DUMMYFUNCTION("""COMPUTED_VALUE"""),"Động từ")</f>
        <v>Động từ</v>
      </c>
      <c r="G2365" s="13" t="str">
        <f ca="1">IFERROR(__xludf.DUMMYFUNCTION("""COMPUTED_VALUE"""),"chịu phục, chịu thua")</f>
        <v>chịu phục, chịu thua</v>
      </c>
      <c r="H2365" s="13" t="str">
        <f ca="1">IFERROR(__xludf.DUMMYFUNCTION("""COMPUTED_VALUE"""),"我不服气，我要证明自己。")</f>
        <v>我不服气，我要证明自己。</v>
      </c>
      <c r="I2365" s="13"/>
      <c r="J2365" s="13" t="str">
        <f ca="1">IFERROR(__xludf.DUMMYFUNCTION("""COMPUTED_VALUE"""),"Tôi không chịu thua, tôi phải chứng minh bản thân.")</f>
        <v>Tôi không chịu thua, tôi phải chứng minh bản thân.</v>
      </c>
      <c r="K2365" s="13" t="str">
        <f ca="1">IFERROR(__xludf.DUMMYFUNCTION("""COMPUTED_VALUE"""),"H5_B27_BG13.png")</f>
        <v>H5_B27_BG13.png</v>
      </c>
      <c r="L2365" s="13" t="str">
        <f ca="1">IFERROR(__xludf.DUMMYFUNCTION("""COMPUTED_VALUE"""),"B27_13.mp3")</f>
        <v>B27_13.mp3</v>
      </c>
      <c r="M2365" s="13" t="str">
        <f ca="1">IFERROR(__xludf.DUMMYFUNCTION("""COMPUTED_VALUE"""),"B27_VD_13.mp3")</f>
        <v>B27_VD_13.mp3</v>
      </c>
    </row>
    <row r="2366" spans="1:13">
      <c r="A2366" s="13">
        <f ca="1">IFERROR(__xludf.DUMMYFUNCTION("""COMPUTED_VALUE"""),14)</f>
        <v>14</v>
      </c>
      <c r="B2366" s="13"/>
      <c r="C2366" s="13" t="str">
        <f ca="1">IFERROR(__xludf.DUMMYFUNCTION("""COMPUTED_VALUE"""),"运气")</f>
        <v>运气</v>
      </c>
      <c r="D2366" s="13" t="str">
        <f ca="1">IFERROR(__xludf.DUMMYFUNCTION("""COMPUTED_VALUE"""),"&lt;ruby&gt;运气&lt;rt&gt;yùnqì&lt;/rt&gt;&lt;/ruby&gt;")</f>
        <v>&lt;ruby&gt;运气&lt;rt&gt;yùnqì&lt;/rt&gt;&lt;/ruby&gt;</v>
      </c>
      <c r="E2366" s="13" t="str">
        <f ca="1">IFERROR(__xludf.DUMMYFUNCTION("""COMPUTED_VALUE"""),"yùnqì")</f>
        <v>yùnqì</v>
      </c>
      <c r="F2366" s="13" t="str">
        <f ca="1">IFERROR(__xludf.DUMMYFUNCTION("""COMPUTED_VALUE"""),"Danh từ")</f>
        <v>Danh từ</v>
      </c>
      <c r="G2366" s="13" t="str">
        <f ca="1">IFERROR(__xludf.DUMMYFUNCTION("""COMPUTED_VALUE"""),"số đỏ, vận may")</f>
        <v>số đỏ, vận may</v>
      </c>
      <c r="H2366" s="13" t="str">
        <f ca="1">IFERROR(__xludf.DUMMYFUNCTION("""COMPUTED_VALUE"""),"今天我的运气很好，中了大奖。")</f>
        <v>今天我的运气很好，中了大奖。</v>
      </c>
      <c r="I2366" s="13"/>
      <c r="J2366" s="13" t="str">
        <f ca="1">IFERROR(__xludf.DUMMYFUNCTION("""COMPUTED_VALUE"""),"Hôm nay tôi rất may mắn, đã trúng giải lớn.")</f>
        <v>Hôm nay tôi rất may mắn, đã trúng giải lớn.</v>
      </c>
      <c r="K2366" s="13" t="str">
        <f ca="1">IFERROR(__xludf.DUMMYFUNCTION("""COMPUTED_VALUE"""),"H5_B27_BG14.png")</f>
        <v>H5_B27_BG14.png</v>
      </c>
      <c r="L2366" s="13" t="str">
        <f ca="1">IFERROR(__xludf.DUMMYFUNCTION("""COMPUTED_VALUE"""),"B27_14.mp3")</f>
        <v>B27_14.mp3</v>
      </c>
      <c r="M2366" s="13" t="str">
        <f ca="1">IFERROR(__xludf.DUMMYFUNCTION("""COMPUTED_VALUE"""),"B27_VD_14.mp3")</f>
        <v>B27_VD_14.mp3</v>
      </c>
    </row>
    <row r="2367" spans="1:13">
      <c r="A2367" s="13">
        <f ca="1">IFERROR(__xludf.DUMMYFUNCTION("""COMPUTED_VALUE"""),15)</f>
        <v>15</v>
      </c>
      <c r="B2367" s="13"/>
      <c r="C2367" s="13" t="str">
        <f ca="1">IFERROR(__xludf.DUMMYFUNCTION("""COMPUTED_VALUE"""),"灰心")</f>
        <v>灰心</v>
      </c>
      <c r="D2367" s="13" t="str">
        <f ca="1">IFERROR(__xludf.DUMMYFUNCTION("""COMPUTED_VALUE"""),"&lt;ruby&gt;灰心&lt;rt&gt;huīxīn&lt;/rt&gt;&lt;/ruby&gt;")</f>
        <v>&lt;ruby&gt;灰心&lt;rt&gt;huīxīn&lt;/rt&gt;&lt;/ruby&gt;</v>
      </c>
      <c r="E2367" s="13" t="str">
        <f ca="1">IFERROR(__xludf.DUMMYFUNCTION("""COMPUTED_VALUE"""),"huīxīn")</f>
        <v>huīxīn</v>
      </c>
      <c r="F2367" s="13" t="str">
        <f ca="1">IFERROR(__xludf.DUMMYFUNCTION("""COMPUTED_VALUE"""),"Tính từ")</f>
        <v>Tính từ</v>
      </c>
      <c r="G2367" s="13" t="str">
        <f ca="1">IFERROR(__xludf.DUMMYFUNCTION("""COMPUTED_VALUE"""),"nản lòng, chán nản")</f>
        <v>nản lòng, chán nản</v>
      </c>
      <c r="H2367" s="13" t="str">
        <f ca="1">IFERROR(__xludf.DUMMYFUNCTION("""COMPUTED_VALUE"""),"失败一次不要灰心，要继续努力。")</f>
        <v>失败一次不要灰心，要继续努力。</v>
      </c>
      <c r="I2367" s="13"/>
      <c r="J2367" s="13" t="str">
        <f ca="1">IFERROR(__xludf.DUMMYFUNCTION("""COMPUTED_VALUE"""),"Thất bại một lần đừng nản lòng, hãy tiếp tục cố gắng.")</f>
        <v>Thất bại một lần đừng nản lòng, hãy tiếp tục cố gắng.</v>
      </c>
      <c r="K2367" s="13" t="str">
        <f ca="1">IFERROR(__xludf.DUMMYFUNCTION("""COMPUTED_VALUE"""),"H5_B27_BG15.png")</f>
        <v>H5_B27_BG15.png</v>
      </c>
      <c r="L2367" s="13" t="str">
        <f ca="1">IFERROR(__xludf.DUMMYFUNCTION("""COMPUTED_VALUE"""),"B27_15.mp3")</f>
        <v>B27_15.mp3</v>
      </c>
      <c r="M2367" s="13" t="str">
        <f ca="1">IFERROR(__xludf.DUMMYFUNCTION("""COMPUTED_VALUE"""),"B27_VD_15.mp3")</f>
        <v>B27_VD_15.mp3</v>
      </c>
    </row>
    <row r="2368" spans="1:13">
      <c r="A2368" s="13">
        <f ca="1">IFERROR(__xludf.DUMMYFUNCTION("""COMPUTED_VALUE"""),16)</f>
        <v>16</v>
      </c>
      <c r="B2368" s="13"/>
      <c r="C2368" s="13" t="str">
        <f ca="1">IFERROR(__xludf.DUMMYFUNCTION("""COMPUTED_VALUE"""),"珍惜")</f>
        <v>珍惜</v>
      </c>
      <c r="D2368" s="13" t="str">
        <f ca="1">IFERROR(__xludf.DUMMYFUNCTION("""COMPUTED_VALUE"""),"&lt;ruby&gt;珍惜&lt;rt&gt;zhēnxī&lt;/rt&gt;&lt;/ruby&gt;")</f>
        <v>&lt;ruby&gt;珍惜&lt;rt&gt;zhēnxī&lt;/rt&gt;&lt;/ruby&gt;</v>
      </c>
      <c r="E2368" s="13" t="str">
        <f ca="1">IFERROR(__xludf.DUMMYFUNCTION("""COMPUTED_VALUE"""),"zhēnxī")</f>
        <v>zhēnxī</v>
      </c>
      <c r="F2368" s="13" t="str">
        <f ca="1">IFERROR(__xludf.DUMMYFUNCTION("""COMPUTED_VALUE"""),"Động từ")</f>
        <v>Động từ</v>
      </c>
      <c r="G2368" s="13" t="str">
        <f ca="1">IFERROR(__xludf.DUMMYFUNCTION("""COMPUTED_VALUE"""),"quý trọng")</f>
        <v>quý trọng</v>
      </c>
      <c r="H2368" s="13" t="str">
        <f ca="1">IFERROR(__xludf.DUMMYFUNCTION("""COMPUTED_VALUE"""),"我们应该珍惜时间和亲情。")</f>
        <v>我们应该珍惜时间和亲情。</v>
      </c>
      <c r="I2368" s="13"/>
      <c r="J2368" s="13" t="str">
        <f ca="1">IFERROR(__xludf.DUMMYFUNCTION("""COMPUTED_VALUE"""),"Chúng ta nên quý trọng thời gian và tình thân.")</f>
        <v>Chúng ta nên quý trọng thời gian và tình thân.</v>
      </c>
      <c r="K2368" s="13" t="str">
        <f ca="1">IFERROR(__xludf.DUMMYFUNCTION("""COMPUTED_VALUE"""),"H5_B27_BG16.png")</f>
        <v>H5_B27_BG16.png</v>
      </c>
      <c r="L2368" s="13" t="str">
        <f ca="1">IFERROR(__xludf.DUMMYFUNCTION("""COMPUTED_VALUE"""),"B27_16.mp3")</f>
        <v>B27_16.mp3</v>
      </c>
      <c r="M2368" s="13" t="str">
        <f ca="1">IFERROR(__xludf.DUMMYFUNCTION("""COMPUTED_VALUE"""),"B27_VD_16.mp3")</f>
        <v>B27_VD_16.mp3</v>
      </c>
    </row>
    <row r="2369" spans="1:13">
      <c r="A2369" s="13">
        <f ca="1">IFERROR(__xludf.DUMMYFUNCTION("""COMPUTED_VALUE"""),17)</f>
        <v>17</v>
      </c>
      <c r="B2369" s="13"/>
      <c r="C2369" s="13" t="str">
        <f ca="1">IFERROR(__xludf.DUMMYFUNCTION("""COMPUTED_VALUE"""),"否认")</f>
        <v>否认</v>
      </c>
      <c r="D2369" s="13" t="str">
        <f ca="1">IFERROR(__xludf.DUMMYFUNCTION("""COMPUTED_VALUE"""),"&lt;ruby&gt;否认&lt;rt&gt;fǒurèn&lt;/rt&gt;&lt;/ruby&gt;")</f>
        <v>&lt;ruby&gt;否认&lt;rt&gt;fǒurèn&lt;/rt&gt;&lt;/ruby&gt;</v>
      </c>
      <c r="E2369" s="13" t="str">
        <f ca="1">IFERROR(__xludf.DUMMYFUNCTION("""COMPUTED_VALUE"""),"fǒurèn")</f>
        <v>fǒurèn</v>
      </c>
      <c r="F2369" s="13" t="str">
        <f ca="1">IFERROR(__xludf.DUMMYFUNCTION("""COMPUTED_VALUE"""),"Động từ")</f>
        <v>Động từ</v>
      </c>
      <c r="G2369" s="13" t="str">
        <f ca="1">IFERROR(__xludf.DUMMYFUNCTION("""COMPUTED_VALUE"""),"phủ nhận, bác bỏ")</f>
        <v>phủ nhận, bác bỏ</v>
      </c>
      <c r="H2369" s="13" t="str">
        <f ca="1">IFERROR(__xludf.DUMMYFUNCTION("""COMPUTED_VALUE"""),"他否认自己做了那件事。")</f>
        <v>他否认自己做了那件事。</v>
      </c>
      <c r="I2369" s="13"/>
      <c r="J2369" s="13" t="str">
        <f ca="1">IFERROR(__xludf.DUMMYFUNCTION("""COMPUTED_VALUE"""),"Anh ấy phủ nhận mình đã làm việc đó.")</f>
        <v>Anh ấy phủ nhận mình đã làm việc đó.</v>
      </c>
      <c r="K2369" s="13" t="str">
        <f ca="1">IFERROR(__xludf.DUMMYFUNCTION("""COMPUTED_VALUE"""),"H5_B27_BG17.png")</f>
        <v>H5_B27_BG17.png</v>
      </c>
      <c r="L2369" s="13" t="str">
        <f ca="1">IFERROR(__xludf.DUMMYFUNCTION("""COMPUTED_VALUE"""),"B27_17.mp3")</f>
        <v>B27_17.mp3</v>
      </c>
      <c r="M2369" s="13" t="str">
        <f ca="1">IFERROR(__xludf.DUMMYFUNCTION("""COMPUTED_VALUE"""),"B27_VD_17.mp3")</f>
        <v>B27_VD_17.mp3</v>
      </c>
    </row>
    <row r="2370" spans="1:13">
      <c r="A2370" s="13">
        <f ca="1">IFERROR(__xludf.DUMMYFUNCTION("""COMPUTED_VALUE"""),18)</f>
        <v>18</v>
      </c>
      <c r="B2370" s="13"/>
      <c r="C2370" s="13" t="str">
        <f ca="1">IFERROR(__xludf.DUMMYFUNCTION("""COMPUTED_VALUE"""),"观察")</f>
        <v>观察</v>
      </c>
      <c r="D2370" s="13" t="str">
        <f ca="1">IFERROR(__xludf.DUMMYFUNCTION("""COMPUTED_VALUE"""),"&lt;ruby&gt;观察&lt;rt&gt;guānchá&lt;/rt&gt;&lt;/ruby&gt;")</f>
        <v>&lt;ruby&gt;观察&lt;rt&gt;guānchá&lt;/rt&gt;&lt;/ruby&gt;</v>
      </c>
      <c r="E2370" s="13" t="str">
        <f ca="1">IFERROR(__xludf.DUMMYFUNCTION("""COMPUTED_VALUE"""),"guānchá")</f>
        <v>guānchá</v>
      </c>
      <c r="F2370" s="13" t="str">
        <f ca="1">IFERROR(__xludf.DUMMYFUNCTION("""COMPUTED_VALUE"""),"Động từ")</f>
        <v>Động từ</v>
      </c>
      <c r="G2370" s="13" t="str">
        <f ca="1">IFERROR(__xludf.DUMMYFUNCTION("""COMPUTED_VALUE"""),"quan sát, theo dõi")</f>
        <v>quan sát, theo dõi</v>
      </c>
      <c r="H2370" s="13" t="str">
        <f ca="1">IFERROR(__xludf.DUMMYFUNCTION("""COMPUTED_VALUE"""),"小男孩正在仔细观察实验现象。")</f>
        <v>小男孩正在仔细观察实验现象。</v>
      </c>
      <c r="I2370" s="13"/>
      <c r="J2370" s="13" t="str">
        <f ca="1">IFERROR(__xludf.DUMMYFUNCTION("""COMPUTED_VALUE"""),"Cậu bé đang cẩn thận quan sát hiện tượng thí nghiệm.")</f>
        <v>Cậu bé đang cẩn thận quan sát hiện tượng thí nghiệm.</v>
      </c>
      <c r="K2370" s="13" t="str">
        <f ca="1">IFERROR(__xludf.DUMMYFUNCTION("""COMPUTED_VALUE"""),"H5_B27_BG18.png")</f>
        <v>H5_B27_BG18.png</v>
      </c>
      <c r="L2370" s="13" t="str">
        <f ca="1">IFERROR(__xludf.DUMMYFUNCTION("""COMPUTED_VALUE"""),"B27_18.mp3")</f>
        <v>B27_18.mp3</v>
      </c>
      <c r="M2370" s="13" t="str">
        <f ca="1">IFERROR(__xludf.DUMMYFUNCTION("""COMPUTED_VALUE"""),"B27_VD_18.mp3")</f>
        <v>B27_VD_18.mp3</v>
      </c>
    </row>
    <row r="2371" spans="1:13">
      <c r="A2371" s="13">
        <f ca="1">IFERROR(__xludf.DUMMYFUNCTION("""COMPUTED_VALUE"""),19)</f>
        <v>19</v>
      </c>
      <c r="B2371" s="13"/>
      <c r="C2371" s="13" t="str">
        <f ca="1">IFERROR(__xludf.DUMMYFUNCTION("""COMPUTED_VALUE"""),"失去")</f>
        <v>失去</v>
      </c>
      <c r="D2371" s="13" t="str">
        <f ca="1">IFERROR(__xludf.DUMMYFUNCTION("""COMPUTED_VALUE"""),"&lt;ruby&gt;失去&lt;rt&gt;shīqù&lt;/rt&gt;&lt;/ruby&gt;")</f>
        <v>&lt;ruby&gt;失去&lt;rt&gt;shīqù&lt;/rt&gt;&lt;/ruby&gt;</v>
      </c>
      <c r="E2371" s="13" t="str">
        <f ca="1">IFERROR(__xludf.DUMMYFUNCTION("""COMPUTED_VALUE"""),"shīqù")</f>
        <v>shīqù</v>
      </c>
      <c r="F2371" s="13" t="str">
        <f ca="1">IFERROR(__xludf.DUMMYFUNCTION("""COMPUTED_VALUE"""),"Động từ")</f>
        <v>Động từ</v>
      </c>
      <c r="G2371" s="13" t="str">
        <f ca="1">IFERROR(__xludf.DUMMYFUNCTION("""COMPUTED_VALUE"""),"mất")</f>
        <v>mất</v>
      </c>
      <c r="H2371" s="13" t="str">
        <f ca="1">IFERROR(__xludf.DUMMYFUNCTION("""COMPUTED_VALUE"""),"失去朋友的信任是一件可怕的事情。")</f>
        <v>失去朋友的信任是一件可怕的事情。</v>
      </c>
      <c r="I2371" s="13"/>
      <c r="J2371" s="13" t="str">
        <f ca="1">IFERROR(__xludf.DUMMYFUNCTION("""COMPUTED_VALUE"""),"Mất đi lòng tin của bạn bè là điều rất đáng sợ.")</f>
        <v>Mất đi lòng tin của bạn bè là điều rất đáng sợ.</v>
      </c>
      <c r="K2371" s="13" t="str">
        <f ca="1">IFERROR(__xludf.DUMMYFUNCTION("""COMPUTED_VALUE"""),"H5_B27_BG19.png")</f>
        <v>H5_B27_BG19.png</v>
      </c>
      <c r="L2371" s="13" t="str">
        <f ca="1">IFERROR(__xludf.DUMMYFUNCTION("""COMPUTED_VALUE"""),"B27_19.mp3")</f>
        <v>B27_19.mp3</v>
      </c>
      <c r="M2371" s="13" t="str">
        <f ca="1">IFERROR(__xludf.DUMMYFUNCTION("""COMPUTED_VALUE"""),"B27_VD_19.mp3")</f>
        <v>B27_VD_19.mp3</v>
      </c>
    </row>
    <row r="2372" spans="1:13">
      <c r="A2372" s="13">
        <f ca="1">IFERROR(__xludf.DUMMYFUNCTION("""COMPUTED_VALUE"""),20)</f>
        <v>20</v>
      </c>
      <c r="B2372" s="13"/>
      <c r="C2372" s="13" t="str">
        <f ca="1">IFERROR(__xludf.DUMMYFUNCTION("""COMPUTED_VALUE"""),"舍不得")</f>
        <v>舍不得</v>
      </c>
      <c r="D2372" s="13" t="str">
        <f ca="1">IFERROR(__xludf.DUMMYFUNCTION("""COMPUTED_VALUE"""),"&lt;ruby&gt;舍不得&lt;rt&gt;shěbude&lt;/rt&gt;&lt;/ruby&gt;")</f>
        <v>&lt;ruby&gt;舍不得&lt;rt&gt;shěbude&lt;/rt&gt;&lt;/ruby&gt;</v>
      </c>
      <c r="E2372" s="13" t="str">
        <f ca="1">IFERROR(__xludf.DUMMYFUNCTION("""COMPUTED_VALUE"""),"shěbude")</f>
        <v>shěbude</v>
      </c>
      <c r="F2372" s="13" t="str">
        <f ca="1">IFERROR(__xludf.DUMMYFUNCTION("""COMPUTED_VALUE"""),"Động từ")</f>
        <v>Động từ</v>
      </c>
      <c r="G2372" s="13" t="str">
        <f ca="1">IFERROR(__xludf.DUMMYFUNCTION("""COMPUTED_VALUE"""),"không nỡ, tiếc rẻ, luyến tiếc")</f>
        <v>không nỡ, tiếc rẻ, luyến tiếc</v>
      </c>
      <c r="H2372" s="13" t="str">
        <f ca="1">IFERROR(__xludf.DUMMYFUNCTION("""COMPUTED_VALUE"""),"他舍不得离开自己的家乡。")</f>
        <v>他舍不得离开自己的家乡。</v>
      </c>
      <c r="I2372" s="13"/>
      <c r="J2372" s="13" t="str">
        <f ca="1">IFERROR(__xludf.DUMMYFUNCTION("""COMPUTED_VALUE"""),"Anh ấy không nỡ rời quê hương của mình.")</f>
        <v>Anh ấy không nỡ rời quê hương của mình.</v>
      </c>
      <c r="K2372" s="13" t="str">
        <f ca="1">IFERROR(__xludf.DUMMYFUNCTION("""COMPUTED_VALUE"""),"H5_B27_BG20.png")</f>
        <v>H5_B27_BG20.png</v>
      </c>
      <c r="L2372" s="13" t="str">
        <f ca="1">IFERROR(__xludf.DUMMYFUNCTION("""COMPUTED_VALUE"""),"B27_20.mp3")</f>
        <v>B27_20.mp3</v>
      </c>
      <c r="M2372" s="13" t="str">
        <f ca="1">IFERROR(__xludf.DUMMYFUNCTION("""COMPUTED_VALUE"""),"B27_VD_20.mp3")</f>
        <v>B27_VD_20.mp3</v>
      </c>
    </row>
    <row r="2373" spans="1:13">
      <c r="A2373" s="13">
        <f ca="1">IFERROR(__xludf.DUMMYFUNCTION("""COMPUTED_VALUE"""),21)</f>
        <v>21</v>
      </c>
      <c r="B2373" s="13"/>
      <c r="C2373" s="13" t="str">
        <f ca="1">IFERROR(__xludf.DUMMYFUNCTION("""COMPUTED_VALUE"""),"不假思索")</f>
        <v>不假思索</v>
      </c>
      <c r="D2373" s="13" t="str">
        <f ca="1">IFERROR(__xludf.DUMMYFUNCTION("""COMPUTED_VALUE"""),"&lt;ruby&gt;不假思索&lt;rt&gt;bùjiǎ-sīsuǒ&lt;/rt&gt;&lt;/ruby&gt;")</f>
        <v>&lt;ruby&gt;不假思索&lt;rt&gt;bùjiǎ-sīsuǒ&lt;/rt&gt;&lt;/ruby&gt;</v>
      </c>
      <c r="E2373" s="13" t="str">
        <f ca="1">IFERROR(__xludf.DUMMYFUNCTION("""COMPUTED_VALUE"""),"bùjiǎ-sīsuǒ")</f>
        <v>bùjiǎ-sīsuǒ</v>
      </c>
      <c r="F2373" s="13"/>
      <c r="G2373" s="13" t="str">
        <f ca="1">IFERROR(__xludf.DUMMYFUNCTION("""COMPUTED_VALUE"""),"không cần cân nhắc, không cần suy nghĩ")</f>
        <v>không cần cân nhắc, không cần suy nghĩ</v>
      </c>
      <c r="H2373" s="13" t="str">
        <f ca="1">IFERROR(__xludf.DUMMYFUNCTION("""COMPUTED_VALUE"""),"他不假思索地回答了问题。")</f>
        <v>他不假思索地回答了问题。</v>
      </c>
      <c r="I2373" s="13"/>
      <c r="J2373" s="13" t="str">
        <f ca="1">IFERROR(__xludf.DUMMYFUNCTION("""COMPUTED_VALUE"""),"Anh ấy trả lời câu hỏi mà không cần suy nghĩ.")</f>
        <v>Anh ấy trả lời câu hỏi mà không cần suy nghĩ.</v>
      </c>
      <c r="K2373" s="13" t="str">
        <f ca="1">IFERROR(__xludf.DUMMYFUNCTION("""COMPUTED_VALUE"""),"H5_B27_BG21.png")</f>
        <v>H5_B27_BG21.png</v>
      </c>
      <c r="L2373" s="13" t="str">
        <f ca="1">IFERROR(__xludf.DUMMYFUNCTION("""COMPUTED_VALUE"""),"B27_21.mp3")</f>
        <v>B27_21.mp3</v>
      </c>
      <c r="M2373" s="13" t="str">
        <f ca="1">IFERROR(__xludf.DUMMYFUNCTION("""COMPUTED_VALUE"""),"B27_VD_21.mp3")</f>
        <v>B27_VD_21.mp3</v>
      </c>
    </row>
    <row r="2374" spans="1:13">
      <c r="A2374" s="13">
        <f ca="1">IFERROR(__xludf.DUMMYFUNCTION("""COMPUTED_VALUE"""),22)</f>
        <v>22</v>
      </c>
      <c r="B2374" s="13"/>
      <c r="C2374" s="13" t="str">
        <f ca="1">IFERROR(__xludf.DUMMYFUNCTION("""COMPUTED_VALUE"""),"在于")</f>
        <v>在于</v>
      </c>
      <c r="D2374" s="13" t="str">
        <f ca="1">IFERROR(__xludf.DUMMYFUNCTION("""COMPUTED_VALUE"""),"&lt;ruby&gt;在于&lt;rt&gt;zàiyú&lt;/rt&gt;&lt;/ruby&gt;")</f>
        <v>&lt;ruby&gt;在于&lt;rt&gt;zàiyú&lt;/rt&gt;&lt;/ruby&gt;</v>
      </c>
      <c r="E2374" s="13" t="str">
        <f ca="1">IFERROR(__xludf.DUMMYFUNCTION("""COMPUTED_VALUE"""),"zàiyú")</f>
        <v>zàiyú</v>
      </c>
      <c r="F2374" s="13" t="str">
        <f ca="1">IFERROR(__xludf.DUMMYFUNCTION("""COMPUTED_VALUE"""),"Động từ")</f>
        <v>Động từ</v>
      </c>
      <c r="G2374" s="13" t="str">
        <f ca="1">IFERROR(__xludf.DUMMYFUNCTION("""COMPUTED_VALUE"""),"cốt ở, ở chỗ")</f>
        <v>cốt ở, ở chỗ</v>
      </c>
      <c r="H2374" s="13" t="str">
        <f ca="1">IFERROR(__xludf.DUMMYFUNCTION("""COMPUTED_VALUE"""),"成功在于努力和坚持。")</f>
        <v>成功在于努力和坚持。</v>
      </c>
      <c r="I2374" s="13"/>
      <c r="J2374" s="13" t="str">
        <f ca="1">IFERROR(__xludf.DUMMYFUNCTION("""COMPUTED_VALUE"""),"Thành công cốt ở sự nỗ lực và kiên trì.")</f>
        <v>Thành công cốt ở sự nỗ lực và kiên trì.</v>
      </c>
      <c r="K2374" s="13" t="str">
        <f ca="1">IFERROR(__xludf.DUMMYFUNCTION("""COMPUTED_VALUE"""),"H5_B27_BG22.png")</f>
        <v>H5_B27_BG22.png</v>
      </c>
      <c r="L2374" s="13" t="str">
        <f ca="1">IFERROR(__xludf.DUMMYFUNCTION("""COMPUTED_VALUE"""),"B27_22.mp3")</f>
        <v>B27_22.mp3</v>
      </c>
      <c r="M2374" s="13" t="str">
        <f ca="1">IFERROR(__xludf.DUMMYFUNCTION("""COMPUTED_VALUE"""),"B27_VD_22.mp3")</f>
        <v>B27_VD_22.mp3</v>
      </c>
    </row>
    <row r="2375" spans="1:13">
      <c r="A2375" s="13">
        <f ca="1">IFERROR(__xludf.DUMMYFUNCTION("""COMPUTED_VALUE"""),23)</f>
        <v>23</v>
      </c>
      <c r="B2375" s="13"/>
      <c r="C2375" s="13" t="str">
        <f ca="1">IFERROR(__xludf.DUMMYFUNCTION("""COMPUTED_VALUE"""),"过于")</f>
        <v>过于</v>
      </c>
      <c r="D2375" s="13" t="str">
        <f ca="1">IFERROR(__xludf.DUMMYFUNCTION("""COMPUTED_VALUE"""),"&lt;ruby&gt;过于&lt;rt&gt;guòyú&lt;/rt&gt;&lt;/ruby&gt;")</f>
        <v>&lt;ruby&gt;过于&lt;rt&gt;guòyú&lt;/rt&gt;&lt;/ruby&gt;</v>
      </c>
      <c r="E2375" s="13" t="str">
        <f ca="1">IFERROR(__xludf.DUMMYFUNCTION("""COMPUTED_VALUE"""),"guòyú")</f>
        <v>guòyú</v>
      </c>
      <c r="F2375" s="13" t="str">
        <f ca="1">IFERROR(__xludf.DUMMYFUNCTION("""COMPUTED_VALUE"""),"Phó từ")</f>
        <v>Phó từ</v>
      </c>
      <c r="G2375" s="13" t="str">
        <f ca="1">IFERROR(__xludf.DUMMYFUNCTION("""COMPUTED_VALUE"""),"quá, quá đáng")</f>
        <v>quá, quá đáng</v>
      </c>
      <c r="H2375" s="13" t="str">
        <f ca="1">IFERROR(__xludf.DUMMYFUNCTION("""COMPUTED_VALUE"""),"他说话过于直率，让别人难以接受。")</f>
        <v>他说话过于直率，让别人难以接受。</v>
      </c>
      <c r="I2375" s="13"/>
      <c r="J2375" s="13" t="str">
        <f ca="1">IFERROR(__xludf.DUMMYFUNCTION("""COMPUTED_VALUE"""),"Anh ấy nói chuyện quá thẳng thắn, khiến người khác khó chấp nhận.")</f>
        <v>Anh ấy nói chuyện quá thẳng thắn, khiến người khác khó chấp nhận.</v>
      </c>
      <c r="K2375" s="13" t="str">
        <f ca="1">IFERROR(__xludf.DUMMYFUNCTION("""COMPUTED_VALUE"""),"H5_B27_BG23.png")</f>
        <v>H5_B27_BG23.png</v>
      </c>
      <c r="L2375" s="13" t="str">
        <f ca="1">IFERROR(__xludf.DUMMYFUNCTION("""COMPUTED_VALUE"""),"B27_23.mp3")</f>
        <v>B27_23.mp3</v>
      </c>
      <c r="M2375" s="13" t="str">
        <f ca="1">IFERROR(__xludf.DUMMYFUNCTION("""COMPUTED_VALUE"""),"B27_VD_23.mp3")</f>
        <v>B27_VD_23.mp3</v>
      </c>
    </row>
    <row r="2376" spans="1:13">
      <c r="A2376" s="13">
        <f ca="1">IFERROR(__xludf.DUMMYFUNCTION("""COMPUTED_VALUE"""),24)</f>
        <v>24</v>
      </c>
      <c r="B2376" s="13"/>
      <c r="C2376" s="13" t="str">
        <f ca="1">IFERROR(__xludf.DUMMYFUNCTION("""COMPUTED_VALUE"""),"损失")</f>
        <v>损失</v>
      </c>
      <c r="D2376" s="13" t="str">
        <f ca="1">IFERROR(__xludf.DUMMYFUNCTION("""COMPUTED_VALUE"""),"&lt;ruby&gt;损失&lt;rt&gt;sǔnshī&lt;/rt&gt;&lt;/ruby&gt;")</f>
        <v>&lt;ruby&gt;损失&lt;rt&gt;sǔnshī&lt;/rt&gt;&lt;/ruby&gt;</v>
      </c>
      <c r="E2376" s="13" t="str">
        <f ca="1">IFERROR(__xludf.DUMMYFUNCTION("""COMPUTED_VALUE"""),"sǔnshī")</f>
        <v>sǔnshī</v>
      </c>
      <c r="F2376" s="13" t="str">
        <f ca="1">IFERROR(__xludf.DUMMYFUNCTION("""COMPUTED_VALUE"""),"Động từ")</f>
        <v>Động từ</v>
      </c>
      <c r="G2376" s="13" t="str">
        <f ca="1">IFERROR(__xludf.DUMMYFUNCTION("""COMPUTED_VALUE"""),"mất, tổn thất")</f>
        <v>mất, tổn thất</v>
      </c>
      <c r="H2376" s="13" t="str">
        <f ca="1">IFERROR(__xludf.DUMMYFUNCTION("""COMPUTED_VALUE"""),"这笔投资让公司损失了很多钱。")</f>
        <v>这笔投资让公司损失了很多钱。</v>
      </c>
      <c r="I2376" s="13"/>
      <c r="J2376" s="13" t="str">
        <f ca="1">IFERROR(__xludf.DUMMYFUNCTION("""COMPUTED_VALUE"""),"Khoản đầu tư này khiến công ty mất rất nhiều tiền.")</f>
        <v>Khoản đầu tư này khiến công ty mất rất nhiều tiền.</v>
      </c>
      <c r="K2376" s="13" t="str">
        <f ca="1">IFERROR(__xludf.DUMMYFUNCTION("""COMPUTED_VALUE"""),"H5_B27_BG24.png")</f>
        <v>H5_B27_BG24.png</v>
      </c>
      <c r="L2376" s="13" t="str">
        <f ca="1">IFERROR(__xludf.DUMMYFUNCTION("""COMPUTED_VALUE"""),"B27_24.mp3")</f>
        <v>B27_24.mp3</v>
      </c>
      <c r="M2376" s="13" t="str">
        <f ca="1">IFERROR(__xludf.DUMMYFUNCTION("""COMPUTED_VALUE"""),"B27_VD_24.mp3")</f>
        <v>B27_VD_24.mp3</v>
      </c>
    </row>
    <row r="2377" spans="1:13">
      <c r="A2377" s="13">
        <f ca="1">IFERROR(__xludf.DUMMYFUNCTION("""COMPUTED_VALUE"""),25)</f>
        <v>25</v>
      </c>
      <c r="B2377" s="13"/>
      <c r="C2377" s="13" t="str">
        <f ca="1">IFERROR(__xludf.DUMMYFUNCTION("""COMPUTED_VALUE"""),"睁")</f>
        <v>睁</v>
      </c>
      <c r="D2377" s="13" t="str">
        <f ca="1">IFERROR(__xludf.DUMMYFUNCTION("""COMPUTED_VALUE"""),"&lt;ruby&gt;睁&lt;rt&gt;zhēng&lt;/rt&gt;&lt;/ruby&gt;")</f>
        <v>&lt;ruby&gt;睁&lt;rt&gt;zhēng&lt;/rt&gt;&lt;/ruby&gt;</v>
      </c>
      <c r="E2377" s="13" t="str">
        <f ca="1">IFERROR(__xludf.DUMMYFUNCTION("""COMPUTED_VALUE"""),"zhēng")</f>
        <v>zhēng</v>
      </c>
      <c r="F2377" s="13" t="str">
        <f ca="1">IFERROR(__xludf.DUMMYFUNCTION("""COMPUTED_VALUE"""),"Động từ")</f>
        <v>Động từ</v>
      </c>
      <c r="G2377" s="13" t="str">
        <f ca="1">IFERROR(__xludf.DUMMYFUNCTION("""COMPUTED_VALUE"""),"mở (mắt)")</f>
        <v>mở (mắt)</v>
      </c>
      <c r="H2377" s="13" t="str">
        <f ca="1">IFERROR(__xludf.DUMMYFUNCTION("""COMPUTED_VALUE"""),"他慢慢睁开眼睛。")</f>
        <v>他慢慢睁开眼睛。</v>
      </c>
      <c r="I2377" s="13"/>
      <c r="J2377" s="13" t="str">
        <f ca="1">IFERROR(__xludf.DUMMYFUNCTION("""COMPUTED_VALUE"""),"Anh ấy từ từ mở mắt ra.")</f>
        <v>Anh ấy từ từ mở mắt ra.</v>
      </c>
      <c r="K2377" s="13" t="str">
        <f ca="1">IFERROR(__xludf.DUMMYFUNCTION("""COMPUTED_VALUE"""),"H5_B27_BG25.png")</f>
        <v>H5_B27_BG25.png</v>
      </c>
      <c r="L2377" s="13" t="str">
        <f ca="1">IFERROR(__xludf.DUMMYFUNCTION("""COMPUTED_VALUE"""),"B27_25.mp3")</f>
        <v>B27_25.mp3</v>
      </c>
      <c r="M2377" s="13" t="str">
        <f ca="1">IFERROR(__xludf.DUMMYFUNCTION("""COMPUTED_VALUE"""),"B27_VD_25.mp3")</f>
        <v>B27_VD_25.mp3</v>
      </c>
    </row>
    <row r="2378" spans="1:13">
      <c r="A2378" s="13">
        <f ca="1">IFERROR(__xludf.DUMMYFUNCTION("""COMPUTED_VALUE"""),26)</f>
        <v>26</v>
      </c>
      <c r="B2378" s="13"/>
      <c r="C2378" s="13" t="str">
        <f ca="1">IFERROR(__xludf.DUMMYFUNCTION("""COMPUTED_VALUE"""),"眼睁睁")</f>
        <v>眼睁睁</v>
      </c>
      <c r="D2378" s="13" t="str">
        <f ca="1">IFERROR(__xludf.DUMMYFUNCTION("""COMPUTED_VALUE"""),"&lt;ruby&gt;眼睁睁&lt;rt&gt;yǎnzhēngzhēng&lt;/rt&gt;&lt;/ruby&gt;")</f>
        <v>&lt;ruby&gt;眼睁睁&lt;rt&gt;yǎnzhēngzhēng&lt;/rt&gt;&lt;/ruby&gt;</v>
      </c>
      <c r="E2378" s="13" t="str">
        <f ca="1">IFERROR(__xludf.DUMMYFUNCTION("""COMPUTED_VALUE"""),"yǎnzhēngzhēng")</f>
        <v>yǎnzhēngzhēng</v>
      </c>
      <c r="F2378" s="13" t="str">
        <f ca="1">IFERROR(__xludf.DUMMYFUNCTION("""COMPUTED_VALUE"""),"Tính từ")</f>
        <v>Tính từ</v>
      </c>
      <c r="G2378" s="13" t="str">
        <f ca="1">IFERROR(__xludf.DUMMYFUNCTION("""COMPUTED_VALUE"""),"trơ mắt")</f>
        <v>trơ mắt</v>
      </c>
      <c r="H2378" s="13" t="str">
        <f ca="1">IFERROR(__xludf.DUMMYFUNCTION("""COMPUTED_VALUE"""),"我只能眼睁睁地看着他离开。")</f>
        <v>我只能眼睁睁地看着他离开。</v>
      </c>
      <c r="I2378" s="13"/>
      <c r="J2378" s="13" t="str">
        <f ca="1">IFERROR(__xludf.DUMMYFUNCTION("""COMPUTED_VALUE"""),"Tôi chỉ có thể trơ mắt nhìn anh ấy rời đi.")</f>
        <v>Tôi chỉ có thể trơ mắt nhìn anh ấy rời đi.</v>
      </c>
      <c r="K2378" s="13" t="str">
        <f ca="1">IFERROR(__xludf.DUMMYFUNCTION("""COMPUTED_VALUE"""),"H5_B27_BG26.png")</f>
        <v>H5_B27_BG26.png</v>
      </c>
      <c r="L2378" s="13" t="str">
        <f ca="1">IFERROR(__xludf.DUMMYFUNCTION("""COMPUTED_VALUE"""),"B27_26.mp3")</f>
        <v>B27_26.mp3</v>
      </c>
      <c r="M2378" s="13" t="str">
        <f ca="1">IFERROR(__xludf.DUMMYFUNCTION("""COMPUTED_VALUE"""),"B27_VD_26.mp3")</f>
        <v>B27_VD_26.mp3</v>
      </c>
    </row>
    <row r="2379" spans="1:13">
      <c r="A2379" s="13">
        <f ca="1">IFERROR(__xludf.DUMMYFUNCTION("""COMPUTED_VALUE"""),27)</f>
        <v>27</v>
      </c>
      <c r="B2379" s="13"/>
      <c r="C2379" s="13" t="str">
        <f ca="1">IFERROR(__xludf.DUMMYFUNCTION("""COMPUTED_VALUE"""),"吸取")</f>
        <v>吸取</v>
      </c>
      <c r="D2379" s="13" t="str">
        <f ca="1">IFERROR(__xludf.DUMMYFUNCTION("""COMPUTED_VALUE"""),"&lt;ruby&gt;吸取&lt;rt&gt;xīqǔ&lt;/rt&gt;&lt;/ruby&gt;")</f>
        <v>&lt;ruby&gt;吸取&lt;rt&gt;xīqǔ&lt;/rt&gt;&lt;/ruby&gt;</v>
      </c>
      <c r="E2379" s="13" t="str">
        <f ca="1">IFERROR(__xludf.DUMMYFUNCTION("""COMPUTED_VALUE"""),"xīqǔ")</f>
        <v>xīqǔ</v>
      </c>
      <c r="F2379" s="13" t="str">
        <f ca="1">IFERROR(__xludf.DUMMYFUNCTION("""COMPUTED_VALUE"""),"Động từ")</f>
        <v>Động từ</v>
      </c>
      <c r="G2379" s="13" t="str">
        <f ca="1">IFERROR(__xludf.DUMMYFUNCTION("""COMPUTED_VALUE"""),"hấp thu, rút ra")</f>
        <v>hấp thu, rút ra</v>
      </c>
      <c r="H2379" s="13" t="str">
        <f ca="1">IFERROR(__xludf.DUMMYFUNCTION("""COMPUTED_VALUE"""),"我们要从失败中吸取教训。")</f>
        <v>我们要从失败中吸取教训。</v>
      </c>
      <c r="I2379" s="13"/>
      <c r="J2379" s="13" t="str">
        <f ca="1">IFERROR(__xludf.DUMMYFUNCTION("""COMPUTED_VALUE"""),"Chúng ta phải rút ra bài học từ thất bại.")</f>
        <v>Chúng ta phải rút ra bài học từ thất bại.</v>
      </c>
      <c r="K2379" s="13" t="str">
        <f ca="1">IFERROR(__xludf.DUMMYFUNCTION("""COMPUTED_VALUE"""),"H5_B27_BG27.png")</f>
        <v>H5_B27_BG27.png</v>
      </c>
      <c r="L2379" s="13" t="str">
        <f ca="1">IFERROR(__xludf.DUMMYFUNCTION("""COMPUTED_VALUE"""),"B27_27.mp3")</f>
        <v>B27_27.mp3</v>
      </c>
      <c r="M2379" s="13" t="str">
        <f ca="1">IFERROR(__xludf.DUMMYFUNCTION("""COMPUTED_VALUE"""),"B27_VD_27.mp3")</f>
        <v>B27_VD_27.mp3</v>
      </c>
    </row>
    <row r="2380" spans="1:13">
      <c r="A2380" s="13">
        <f ca="1">IFERROR(__xludf.DUMMYFUNCTION("""COMPUTED_VALUE"""),28)</f>
        <v>28</v>
      </c>
      <c r="B2380" s="13"/>
      <c r="C2380" s="13" t="str">
        <f ca="1">IFERROR(__xludf.DUMMYFUNCTION("""COMPUTED_VALUE"""),"教训")</f>
        <v>教训</v>
      </c>
      <c r="D2380" s="13" t="str">
        <f ca="1">IFERROR(__xludf.DUMMYFUNCTION("""COMPUTED_VALUE"""),"&lt;ruby&gt;教训&lt;rt&gt;jiàoxùn&lt;/rt&gt;&lt;/ruby&gt;")</f>
        <v>&lt;ruby&gt;教训&lt;rt&gt;jiàoxùn&lt;/rt&gt;&lt;/ruby&gt;</v>
      </c>
      <c r="E2380" s="13" t="str">
        <f ca="1">IFERROR(__xludf.DUMMYFUNCTION("""COMPUTED_VALUE"""),"jiàoxùn")</f>
        <v>jiàoxùn</v>
      </c>
      <c r="F2380" s="13" t="str">
        <f ca="1">IFERROR(__xludf.DUMMYFUNCTION("""COMPUTED_VALUE"""),"Danh từ")</f>
        <v>Danh từ</v>
      </c>
      <c r="G2380" s="13" t="str">
        <f ca="1">IFERROR(__xludf.DUMMYFUNCTION("""COMPUTED_VALUE"""),"bài học kinh nghiệm")</f>
        <v>bài học kinh nghiệm</v>
      </c>
      <c r="H2380" s="13" t="str">
        <f ca="1">IFERROR(__xludf.DUMMYFUNCTION("""COMPUTED_VALUE"""),"这次失败给了我一个重要的教训。")</f>
        <v>这次失败给了我一个重要的教训。</v>
      </c>
      <c r="I2380" s="13"/>
      <c r="J2380" s="13" t="str">
        <f ca="1">IFERROR(__xludf.DUMMYFUNCTION("""COMPUTED_VALUE"""),"Thất bại lần này đã cho tôi một bài học quan trọng.")</f>
        <v>Thất bại lần này đã cho tôi một bài học quan trọng.</v>
      </c>
      <c r="K2380" s="13" t="str">
        <f ca="1">IFERROR(__xludf.DUMMYFUNCTION("""COMPUTED_VALUE"""),"H5_B27_BG28.png")</f>
        <v>H5_B27_BG28.png</v>
      </c>
      <c r="L2380" s="13" t="str">
        <f ca="1">IFERROR(__xludf.DUMMYFUNCTION("""COMPUTED_VALUE"""),"B27_28.mp3")</f>
        <v>B27_28.mp3</v>
      </c>
      <c r="M2380" s="13" t="str">
        <f ca="1">IFERROR(__xludf.DUMMYFUNCTION("""COMPUTED_VALUE"""),"B27_VD_28.mp3")</f>
        <v>B27_VD_28.mp3</v>
      </c>
    </row>
    <row r="2381" spans="1:13">
      <c r="A2381" s="13">
        <f ca="1">IFERROR(__xludf.DUMMYFUNCTION("""COMPUTED_VALUE"""),29)</f>
        <v>29</v>
      </c>
      <c r="B2381" s="13"/>
      <c r="C2381" s="13" t="str">
        <f ca="1">IFERROR(__xludf.DUMMYFUNCTION("""COMPUTED_VALUE"""),"未必")</f>
        <v>未必</v>
      </c>
      <c r="D2381" s="13" t="str">
        <f ca="1">IFERROR(__xludf.DUMMYFUNCTION("""COMPUTED_VALUE"""),"&lt;ruby&gt;未必&lt;rt&gt;wèibì&lt;/rt&gt;&lt;/ruby&gt;")</f>
        <v>&lt;ruby&gt;未必&lt;rt&gt;wèibì&lt;/rt&gt;&lt;/ruby&gt;</v>
      </c>
      <c r="E2381" s="13" t="str">
        <f ca="1">IFERROR(__xludf.DUMMYFUNCTION("""COMPUTED_VALUE"""),"wèibì")</f>
        <v>wèibì</v>
      </c>
      <c r="F2381" s="13" t="str">
        <f ca="1">IFERROR(__xludf.DUMMYFUNCTION("""COMPUTED_VALUE"""),"Phó từ")</f>
        <v>Phó từ</v>
      </c>
      <c r="G2381" s="13" t="str">
        <f ca="1">IFERROR(__xludf.DUMMYFUNCTION("""COMPUTED_VALUE"""),"chưa chắc, không hẳn")</f>
        <v>chưa chắc, không hẳn</v>
      </c>
      <c r="H2381" s="13" t="str">
        <f ca="1">IFERROR(__xludf.DUMMYFUNCTION("""COMPUTED_VALUE"""),"他说的话未必是真的。")</f>
        <v>他说的话未必是真的。</v>
      </c>
      <c r="I2381" s="13"/>
      <c r="J2381" s="13" t="str">
        <f ca="1">IFERROR(__xludf.DUMMYFUNCTION("""COMPUTED_VALUE"""),"Những gì anh ấy nói chưa chắc đã là thật.")</f>
        <v>Những gì anh ấy nói chưa chắc đã là thật.</v>
      </c>
      <c r="K2381" s="13" t="str">
        <f ca="1">IFERROR(__xludf.DUMMYFUNCTION("""COMPUTED_VALUE"""),"H5_B27_BG29.png")</f>
        <v>H5_B27_BG29.png</v>
      </c>
      <c r="L2381" s="13" t="str">
        <f ca="1">IFERROR(__xludf.DUMMYFUNCTION("""COMPUTED_VALUE"""),"B27_29.mp3")</f>
        <v>B27_29.mp3</v>
      </c>
      <c r="M2381" s="13" t="str">
        <f ca="1">IFERROR(__xludf.DUMMYFUNCTION("""COMPUTED_VALUE"""),"B27_VD_29.mp3")</f>
        <v>B27_VD_29.mp3</v>
      </c>
    </row>
    <row r="2382" spans="1:13">
      <c r="A2382" s="13">
        <f ca="1">IFERROR(__xludf.DUMMYFUNCTION("""COMPUTED_VALUE"""),30)</f>
        <v>30</v>
      </c>
      <c r="B2382" s="13"/>
      <c r="C2382" s="13" t="str">
        <f ca="1">IFERROR(__xludf.DUMMYFUNCTION("""COMPUTED_VALUE"""),"次要")</f>
        <v>次要</v>
      </c>
      <c r="D2382" s="13" t="str">
        <f ca="1">IFERROR(__xludf.DUMMYFUNCTION("""COMPUTED_VALUE"""),"&lt;ruby&gt;次要&lt;rt&gt;cìyào&lt;/rt&gt;&lt;/ruby&gt;")</f>
        <v>&lt;ruby&gt;次要&lt;rt&gt;cìyào&lt;/rt&gt;&lt;/ruby&gt;</v>
      </c>
      <c r="E2382" s="13" t="str">
        <f ca="1">IFERROR(__xludf.DUMMYFUNCTION("""COMPUTED_VALUE"""),"cìyào")</f>
        <v>cìyào</v>
      </c>
      <c r="F2382" s="13" t="str">
        <f ca="1">IFERROR(__xludf.DUMMYFUNCTION("""COMPUTED_VALUE"""),"Tính từ")</f>
        <v>Tính từ</v>
      </c>
      <c r="G2382" s="13" t="str">
        <f ca="1">IFERROR(__xludf.DUMMYFUNCTION("""COMPUTED_VALUE"""),"thứ yếu, không quan trọng")</f>
        <v>thứ yếu, không quan trọng</v>
      </c>
      <c r="H2382" s="13" t="str">
        <f ca="1">IFERROR(__xludf.DUMMYFUNCTION("""COMPUTED_VALUE"""),"在学习中，态度比成绩重要，分数只是次要的。")</f>
        <v>在学习中，态度比成绩重要，分数只是次要的。</v>
      </c>
      <c r="I2382" s="13"/>
      <c r="J2382" s="13" t="str">
        <f ca="1">IFERROR(__xludf.DUMMYFUNCTION("""COMPUTED_VALUE"""),"Trong học tập, thái độ quan trọng hơn thành tích, điểm số chỉ là thứ yếu.")</f>
        <v>Trong học tập, thái độ quan trọng hơn thành tích, điểm số chỉ là thứ yếu.</v>
      </c>
      <c r="K2382" s="13" t="str">
        <f ca="1">IFERROR(__xludf.DUMMYFUNCTION("""COMPUTED_VALUE"""),"H5_B27_BG30.png")</f>
        <v>H5_B27_BG30.png</v>
      </c>
      <c r="L2382" s="13" t="str">
        <f ca="1">IFERROR(__xludf.DUMMYFUNCTION("""COMPUTED_VALUE"""),"B27_30.mp3")</f>
        <v>B27_30.mp3</v>
      </c>
      <c r="M2382" s="13" t="str">
        <f ca="1">IFERROR(__xludf.DUMMYFUNCTION("""COMPUTED_VALUE"""),"B27_VD_30.mp3")</f>
        <v>B27_VD_30.mp3</v>
      </c>
    </row>
    <row r="2383" spans="1:13">
      <c r="A2383" s="13">
        <f ca="1">IFERROR(__xludf.DUMMYFUNCTION("""COMPUTED_VALUE"""),31)</f>
        <v>31</v>
      </c>
      <c r="B2383" s="13"/>
      <c r="C2383" s="13" t="str">
        <f ca="1">IFERROR(__xludf.DUMMYFUNCTION("""COMPUTED_VALUE"""),"因素")</f>
        <v>因素</v>
      </c>
      <c r="D2383" s="13" t="str">
        <f ca="1">IFERROR(__xludf.DUMMYFUNCTION("""COMPUTED_VALUE"""),"&lt;ruby&gt;因素&lt;rt&gt;yīnsù&lt;/rt&gt;&lt;/ruby&gt;")</f>
        <v>&lt;ruby&gt;因素&lt;rt&gt;yīnsù&lt;/rt&gt;&lt;/ruby&gt;</v>
      </c>
      <c r="E2383" s="13" t="str">
        <f ca="1">IFERROR(__xludf.DUMMYFUNCTION("""COMPUTED_VALUE"""),"yīnsù")</f>
        <v>yīnsù</v>
      </c>
      <c r="F2383" s="13" t="str">
        <f ca="1">IFERROR(__xludf.DUMMYFUNCTION("""COMPUTED_VALUE"""),"Danh từ")</f>
        <v>Danh từ</v>
      </c>
      <c r="G2383" s="13" t="str">
        <f ca="1">IFERROR(__xludf.DUMMYFUNCTION("""COMPUTED_VALUE"""),"nhân tố")</f>
        <v>nhân tố</v>
      </c>
      <c r="H2383" s="13" t="str">
        <f ca="1">IFERROR(__xludf.DUMMYFUNCTION("""COMPUTED_VALUE"""),"他是帮助足球队赢得胜利的重要因素。")</f>
        <v>他是帮助足球队赢得胜利的重要因素。</v>
      </c>
      <c r="I2383" s="13"/>
      <c r="J2383" s="13" t="str">
        <f ca="1">IFERROR(__xludf.DUMMYFUNCTION("""COMPUTED_VALUE"""),"Anh ấy là nhân tố giúp đội tuyển bóng đá giành chiến thắng.")</f>
        <v>Anh ấy là nhân tố giúp đội tuyển bóng đá giành chiến thắng.</v>
      </c>
      <c r="K2383" s="13" t="str">
        <f ca="1">IFERROR(__xludf.DUMMYFUNCTION("""COMPUTED_VALUE"""),"H5_B27_BG31.png")</f>
        <v>H5_B27_BG31.png</v>
      </c>
      <c r="L2383" s="13" t="str">
        <f ca="1">IFERROR(__xludf.DUMMYFUNCTION("""COMPUTED_VALUE"""),"B27_31.mp3")</f>
        <v>B27_31.mp3</v>
      </c>
      <c r="M2383" s="13" t="str">
        <f ca="1">IFERROR(__xludf.DUMMYFUNCTION("""COMPUTED_VALUE"""),"B27_VD_31.mp3")</f>
        <v>B27_VD_31.mp3</v>
      </c>
    </row>
    <row r="2384" spans="1:13">
      <c r="A2384" s="13">
        <f ca="1">IFERROR(__xludf.DUMMYFUNCTION("""COMPUTED_VALUE"""),32)</f>
        <v>32</v>
      </c>
      <c r="B2384" s="13"/>
      <c r="C2384" s="13" t="str">
        <f ca="1">IFERROR(__xludf.DUMMYFUNCTION("""COMPUTED_VALUE"""),"心态")</f>
        <v>心态</v>
      </c>
      <c r="D2384" s="13" t="str">
        <f ca="1">IFERROR(__xludf.DUMMYFUNCTION("""COMPUTED_VALUE"""),"&lt;ruby&gt;心态&lt;rt&gt;xīntài&lt;/rt&gt;&lt;/ruby&gt;")</f>
        <v>&lt;ruby&gt;心态&lt;rt&gt;xīntài&lt;/rt&gt;&lt;/ruby&gt;</v>
      </c>
      <c r="E2384" s="13" t="str">
        <f ca="1">IFERROR(__xludf.DUMMYFUNCTION("""COMPUTED_VALUE"""),"xīntài")</f>
        <v>xīntài</v>
      </c>
      <c r="F2384" s="13" t="str">
        <f ca="1">IFERROR(__xludf.DUMMYFUNCTION("""COMPUTED_VALUE"""),"Danh từ")</f>
        <v>Danh từ</v>
      </c>
      <c r="G2384" s="13" t="str">
        <f ca="1">IFERROR(__xludf.DUMMYFUNCTION("""COMPUTED_VALUE"""),"tâm lý, trạng thái tâm lý")</f>
        <v>tâm lý, trạng thái tâm lý</v>
      </c>
      <c r="H2384" s="13" t="str">
        <f ca="1">IFERROR(__xludf.DUMMYFUNCTION("""COMPUTED_VALUE"""),"面对困难，我们要保持积极的心态。")</f>
        <v>面对困难，我们要保持积极的心态。</v>
      </c>
      <c r="I2384" s="13"/>
      <c r="J2384" s="13" t="str">
        <f ca="1">IFERROR(__xludf.DUMMYFUNCTION("""COMPUTED_VALUE"""),"Đối mặt với khó khăn, chúng ta phải giữ một tâm lý tích cực.")</f>
        <v>Đối mặt với khó khăn, chúng ta phải giữ một tâm lý tích cực.</v>
      </c>
      <c r="K2384" s="13" t="str">
        <f ca="1">IFERROR(__xludf.DUMMYFUNCTION("""COMPUTED_VALUE"""),"H5_B27_BG32.png")</f>
        <v>H5_B27_BG32.png</v>
      </c>
      <c r="L2384" s="13" t="str">
        <f ca="1">IFERROR(__xludf.DUMMYFUNCTION("""COMPUTED_VALUE"""),"B27_32.mp3")</f>
        <v>B27_32.mp3</v>
      </c>
      <c r="M2384" s="13" t="str">
        <f ca="1">IFERROR(__xludf.DUMMYFUNCTION("""COMPUTED_VALUE"""),"B27_VD_32.mp3")</f>
        <v>B27_VD_32.mp3</v>
      </c>
    </row>
    <row r="2385" spans="1:13">
      <c r="A2385" s="13">
        <f ca="1">IFERROR(__xludf.DUMMYFUNCTION("""COMPUTED_VALUE"""),33)</f>
        <v>33</v>
      </c>
      <c r="B2385" s="13"/>
      <c r="C2385" s="13" t="str">
        <f ca="1">IFERROR(__xludf.DUMMYFUNCTION("""COMPUTED_VALUE"""),"期间")</f>
        <v>期间</v>
      </c>
      <c r="D2385" s="13" t="str">
        <f ca="1">IFERROR(__xludf.DUMMYFUNCTION("""COMPUTED_VALUE"""),"&lt;ruby&gt;期间&lt;rt&gt;qījiān&lt;/rt&gt;&lt;/ruby&gt;")</f>
        <v>&lt;ruby&gt;期间&lt;rt&gt;qījiān&lt;/rt&gt;&lt;/ruby&gt;</v>
      </c>
      <c r="E2385" s="13" t="str">
        <f ca="1">IFERROR(__xludf.DUMMYFUNCTION("""COMPUTED_VALUE"""),"qījiān")</f>
        <v>qījiān</v>
      </c>
      <c r="F2385" s="13" t="str">
        <f ca="1">IFERROR(__xludf.DUMMYFUNCTION("""COMPUTED_VALUE"""),"Danh từ")</f>
        <v>Danh từ</v>
      </c>
      <c r="G2385" s="13" t="str">
        <f ca="1">IFERROR(__xludf.DUMMYFUNCTION("""COMPUTED_VALUE"""),"thời gian, thời kỳ")</f>
        <v>thời gian, thời kỳ</v>
      </c>
      <c r="H2385" s="13" t="str">
        <f ca="1">IFERROR(__xludf.DUMMYFUNCTION("""COMPUTED_VALUE"""),"在考试期间，我们不能使用手机。")</f>
        <v>在考试期间，我们不能使用手机。</v>
      </c>
      <c r="I2385" s="13"/>
      <c r="J2385" s="13" t="str">
        <f ca="1">IFERROR(__xludf.DUMMYFUNCTION("""COMPUTED_VALUE"""),"Trong thời gian thi, chúng ta không được sử dụng điện thoại.")</f>
        <v>Trong thời gian thi, chúng ta không được sử dụng điện thoại.</v>
      </c>
      <c r="K2385" s="13" t="str">
        <f ca="1">IFERROR(__xludf.DUMMYFUNCTION("""COMPUTED_VALUE"""),"H5_B27_BG33.png")</f>
        <v>H5_B27_BG33.png</v>
      </c>
      <c r="L2385" s="13" t="str">
        <f ca="1">IFERROR(__xludf.DUMMYFUNCTION("""COMPUTED_VALUE"""),"B27_33.mp3")</f>
        <v>B27_33.mp3</v>
      </c>
      <c r="M2385" s="13" t="str">
        <f ca="1">IFERROR(__xludf.DUMMYFUNCTION("""COMPUTED_VALUE"""),"B27_VD_33.mp3")</f>
        <v>B27_VD_33.mp3</v>
      </c>
    </row>
    <row r="2386" spans="1:13">
      <c r="A2386" s="13">
        <f ca="1">IFERROR(__xludf.DUMMYFUNCTION("""COMPUTED_VALUE"""),34)</f>
        <v>34</v>
      </c>
      <c r="B2386" s="13"/>
      <c r="C2386" s="13" t="str">
        <f ca="1">IFERROR(__xludf.DUMMYFUNCTION("""COMPUTED_VALUE"""),"把握")</f>
        <v>把握</v>
      </c>
      <c r="D2386" s="13" t="str">
        <f ca="1">IFERROR(__xludf.DUMMYFUNCTION("""COMPUTED_VALUE"""),"&lt;ruby&gt;把握&lt;rt&gt;bǎwò&lt;/rt&gt;&lt;/ruby&gt;")</f>
        <v>&lt;ruby&gt;把握&lt;rt&gt;bǎwò&lt;/rt&gt;&lt;/ruby&gt;</v>
      </c>
      <c r="E2386" s="13" t="str">
        <f ca="1">IFERROR(__xludf.DUMMYFUNCTION("""COMPUTED_VALUE"""),"bǎwò")</f>
        <v>bǎwò</v>
      </c>
      <c r="F2386" s="13" t="str">
        <f ca="1">IFERROR(__xludf.DUMMYFUNCTION("""COMPUTED_VALUE"""),"Danh từ")</f>
        <v>Danh từ</v>
      </c>
      <c r="G2386" s="13" t="str">
        <f ca="1">IFERROR(__xludf.DUMMYFUNCTION("""COMPUTED_VALUE"""),"sự chắc chắn, sự tin chắc")</f>
        <v>sự chắc chắn, sự tin chắc</v>
      </c>
      <c r="H2386" s="13" t="str">
        <f ca="1">IFERROR(__xludf.DUMMYFUNCTION("""COMPUTED_VALUE"""),"在这场比赛中，他有很大把握会赢。")</f>
        <v>在这场比赛中，他有很大把握会赢。</v>
      </c>
      <c r="I2386" s="13"/>
      <c r="J2386" s="13" t="str">
        <f ca="1">IFERROR(__xludf.DUMMYFUNCTION("""COMPUTED_VALUE"""),"Trong trận đấu này, anh ấy rất chắc chắn sẽ thắng.")</f>
        <v>Trong trận đấu này, anh ấy rất chắc chắn sẽ thắng.</v>
      </c>
      <c r="K2386" s="13" t="str">
        <f ca="1">IFERROR(__xludf.DUMMYFUNCTION("""COMPUTED_VALUE"""),"H5_B27_BG34.png")</f>
        <v>H5_B27_BG34.png</v>
      </c>
      <c r="L2386" s="13" t="str">
        <f ca="1">IFERROR(__xludf.DUMMYFUNCTION("""COMPUTED_VALUE"""),"B27_34.mp3")</f>
        <v>B27_34.mp3</v>
      </c>
      <c r="M2386" s="13" t="str">
        <f ca="1">IFERROR(__xludf.DUMMYFUNCTION("""COMPUTED_VALUE"""),"B27_VD_34.mp3")</f>
        <v>B27_VD_34.mp3</v>
      </c>
    </row>
    <row r="2387" spans="1:13">
      <c r="A2387" s="13">
        <f ca="1">IFERROR(__xludf.DUMMYFUNCTION("""COMPUTED_VALUE"""),35)</f>
        <v>35</v>
      </c>
      <c r="B2387" s="13"/>
      <c r="C2387" s="13" t="str">
        <f ca="1">IFERROR(__xludf.DUMMYFUNCTION("""COMPUTED_VALUE"""),"事先")</f>
        <v>事先</v>
      </c>
      <c r="D2387" s="13" t="str">
        <f ca="1">IFERROR(__xludf.DUMMYFUNCTION("""COMPUTED_VALUE"""),"&lt;ruby&gt;事先&lt;rt&gt;shìxiān&lt;/rt&gt;&lt;/ruby&gt;")</f>
        <v>&lt;ruby&gt;事先&lt;rt&gt;shìxiān&lt;/rt&gt;&lt;/ruby&gt;</v>
      </c>
      <c r="E2387" s="13" t="str">
        <f ca="1">IFERROR(__xludf.DUMMYFUNCTION("""COMPUTED_VALUE"""),"shìxiān")</f>
        <v>shìxiān</v>
      </c>
      <c r="F2387" s="13" t="str">
        <f ca="1">IFERROR(__xludf.DUMMYFUNCTION("""COMPUTED_VALUE"""),"Danh từ")</f>
        <v>Danh từ</v>
      </c>
      <c r="G2387" s="13" t="str">
        <f ca="1">IFERROR(__xludf.DUMMYFUNCTION("""COMPUTED_VALUE"""),"trước đó")</f>
        <v>trước đó</v>
      </c>
      <c r="H2387" s="13" t="str">
        <f ca="1">IFERROR(__xludf.DUMMYFUNCTION("""COMPUTED_VALUE"""),"你应该事先告诉我这个消息。")</f>
        <v>你应该事先告诉我这个消息。</v>
      </c>
      <c r="I2387" s="13"/>
      <c r="J2387" s="13" t="str">
        <f ca="1">IFERROR(__xludf.DUMMYFUNCTION("""COMPUTED_VALUE"""),"Bạn nên nói cho tôi biết tin này trước.")</f>
        <v>Bạn nên nói cho tôi biết tin này trước.</v>
      </c>
      <c r="K2387" s="13" t="str">
        <f ca="1">IFERROR(__xludf.DUMMYFUNCTION("""COMPUTED_VALUE"""),"H5_B27_BG35.png")</f>
        <v>H5_B27_BG35.png</v>
      </c>
      <c r="L2387" s="13" t="str">
        <f ca="1">IFERROR(__xludf.DUMMYFUNCTION("""COMPUTED_VALUE"""),"B27_35.mp3")</f>
        <v>B27_35.mp3</v>
      </c>
      <c r="M2387" s="13" t="str">
        <f ca="1">IFERROR(__xludf.DUMMYFUNCTION("""COMPUTED_VALUE"""),"B27_VD_35.mp3")</f>
        <v>B27_VD_35.mp3</v>
      </c>
    </row>
    <row r="2388" spans="1:13">
      <c r="A2388" s="13">
        <f ca="1">IFERROR(__xludf.DUMMYFUNCTION("""COMPUTED_VALUE"""),36)</f>
        <v>36</v>
      </c>
      <c r="B2388" s="13"/>
      <c r="C2388" s="13" t="str">
        <f ca="1">IFERROR(__xludf.DUMMYFUNCTION("""COMPUTED_VALUE"""),"屡")</f>
        <v>屡</v>
      </c>
      <c r="D2388" s="13" t="str">
        <f ca="1">IFERROR(__xludf.DUMMYFUNCTION("""COMPUTED_VALUE"""),"&lt;ruby&gt;屡&lt;rt&gt;lǚ&lt;/rt&gt;&lt;/ruby&gt;")</f>
        <v>&lt;ruby&gt;屡&lt;rt&gt;lǚ&lt;/rt&gt;&lt;/ruby&gt;</v>
      </c>
      <c r="E2388" s="13" t="str">
        <f ca="1">IFERROR(__xludf.DUMMYFUNCTION("""COMPUTED_VALUE"""),"lǚ")</f>
        <v>lǚ</v>
      </c>
      <c r="F2388" s="13" t="str">
        <f ca="1">IFERROR(__xludf.DUMMYFUNCTION("""COMPUTED_VALUE"""),"Phó từ")</f>
        <v>Phó từ</v>
      </c>
      <c r="G2388" s="13" t="str">
        <f ca="1">IFERROR(__xludf.DUMMYFUNCTION("""COMPUTED_VALUE"""),"nhiều lần")</f>
        <v>nhiều lần</v>
      </c>
      <c r="H2388" s="13" t="str">
        <f ca="1">IFERROR(__xludf.DUMMYFUNCTION("""COMPUTED_VALUE"""),"他屡次迟到，让老板很生气。")</f>
        <v>他屡次迟到，让老板很生气。</v>
      </c>
      <c r="I2388" s="13"/>
      <c r="J2388" s="13" t="str">
        <f ca="1">IFERROR(__xludf.DUMMYFUNCTION("""COMPUTED_VALUE"""),"Anh ấy nhiều lần đi trễ, khiến sếp rất tức giận.")</f>
        <v>Anh ấy nhiều lần đi trễ, khiến sếp rất tức giận.</v>
      </c>
      <c r="K2388" s="13" t="str">
        <f ca="1">IFERROR(__xludf.DUMMYFUNCTION("""COMPUTED_VALUE"""),"H5_B27_BG36.png")</f>
        <v>H5_B27_BG36.png</v>
      </c>
      <c r="L2388" s="13" t="str">
        <f ca="1">IFERROR(__xludf.DUMMYFUNCTION("""COMPUTED_VALUE"""),"B27_36.mp3")</f>
        <v>B27_36.mp3</v>
      </c>
      <c r="M2388" s="13" t="str">
        <f ca="1">IFERROR(__xludf.DUMMYFUNCTION("""COMPUTED_VALUE"""),"B27_VD_36.mp3")</f>
        <v>B27_VD_36.mp3</v>
      </c>
    </row>
    <row r="2389" spans="1:13">
      <c r="A2389" s="13">
        <f ca="1">IFERROR(__xludf.DUMMYFUNCTION("""COMPUTED_VALUE"""),1)</f>
        <v>1</v>
      </c>
      <c r="B2389" s="13"/>
      <c r="C2389" s="13" t="str">
        <f ca="1">IFERROR(__xludf.DUMMYFUNCTION("""COMPUTED_VALUE"""),"届")</f>
        <v>届</v>
      </c>
      <c r="D2389" s="13" t="str">
        <f ca="1">IFERROR(__xludf.DUMMYFUNCTION("""COMPUTED_VALUE"""),"&lt;ruby&gt;届&lt;rt&gt;jiè&lt;/rt&gt;&lt;/ruby&gt;")</f>
        <v>&lt;ruby&gt;届&lt;rt&gt;jiè&lt;/rt&gt;&lt;/ruby&gt;</v>
      </c>
      <c r="E2389" s="13" t="str">
        <f ca="1">IFERROR(__xludf.DUMMYFUNCTION("""COMPUTED_VALUE"""),"jiè")</f>
        <v>jiè</v>
      </c>
      <c r="F2389" s="13" t="str">
        <f ca="1">IFERROR(__xludf.DUMMYFUNCTION("""COMPUTED_VALUE"""),"Lượng từ")</f>
        <v>Lượng từ</v>
      </c>
      <c r="G2389" s="13" t="str">
        <f ca="1">IFERROR(__xludf.DUMMYFUNCTION("""COMPUTED_VALUE"""),"khóa, lần, đợt")</f>
        <v>khóa, lần, đợt</v>
      </c>
      <c r="H2389" s="13" t="str">
        <f ca="1">IFERROR(__xludf.DUMMYFUNCTION("""COMPUTED_VALUE"""),"他们是本校的第二十届毕业生，今年顺利拿到了毕业证书。")</f>
        <v>他们是本校的第二十届毕业生，今年顺利拿到了毕业证书。</v>
      </c>
      <c r="I2389" s="13"/>
      <c r="J2389" s="13" t="str">
        <f ca="1">IFERROR(__xludf.DUMMYFUNCTION("""COMPUTED_VALUE"""),"Họ là khóa tốt nghiệp thứ 20 của trường, năm nay đã thuận lợi nhận được bằng tốt nghiệp.")</f>
        <v>Họ là khóa tốt nghiệp thứ 20 của trường, năm nay đã thuận lợi nhận được bằng tốt nghiệp.</v>
      </c>
      <c r="K2389" s="13" t="str">
        <f ca="1">IFERROR(__xludf.DUMMYFUNCTION("""COMPUTED_VALUE"""),"H5_B28_BG1.png")</f>
        <v>H5_B28_BG1.png</v>
      </c>
      <c r="L2389" s="13" t="str">
        <f ca="1">IFERROR(__xludf.DUMMYFUNCTION("""COMPUTED_VALUE"""),"B28_1.mp3")</f>
        <v>B28_1.mp3</v>
      </c>
      <c r="M2389" s="13" t="str">
        <f ca="1">IFERROR(__xludf.DUMMYFUNCTION("""COMPUTED_VALUE"""),"B28_VD_1.mp3")</f>
        <v>B28_VD_1.mp3</v>
      </c>
    </row>
    <row r="2390" spans="1:13">
      <c r="A2390" s="13">
        <f ca="1">IFERROR(__xludf.DUMMYFUNCTION("""COMPUTED_VALUE"""),2)</f>
        <v>2</v>
      </c>
      <c r="B2390" s="13"/>
      <c r="C2390" s="13" t="str">
        <f ca="1">IFERROR(__xludf.DUMMYFUNCTION("""COMPUTED_VALUE"""),"本科")</f>
        <v>本科</v>
      </c>
      <c r="D2390" s="13" t="str">
        <f ca="1">IFERROR(__xludf.DUMMYFUNCTION("""COMPUTED_VALUE"""),"&lt;ruby&gt;本科&lt;rt&gt;běnkē&lt;/rt&gt;&lt;/ruby&gt;")</f>
        <v>&lt;ruby&gt;本科&lt;rt&gt;běnkē&lt;/rt&gt;&lt;/ruby&gt;</v>
      </c>
      <c r="E2390" s="13" t="str">
        <f ca="1">IFERROR(__xludf.DUMMYFUNCTION("""COMPUTED_VALUE"""),"běnkē")</f>
        <v>běnkē</v>
      </c>
      <c r="F2390" s="13" t="str">
        <f ca="1">IFERROR(__xludf.DUMMYFUNCTION("""COMPUTED_VALUE"""),"Danh từ")</f>
        <v>Danh từ</v>
      </c>
      <c r="G2390" s="13" t="str">
        <f ca="1">IFERROR(__xludf.DUMMYFUNCTION("""COMPUTED_VALUE"""),"đại học chính quy")</f>
        <v>đại học chính quy</v>
      </c>
      <c r="H2390" s="13" t="str">
        <f ca="1">IFERROR(__xludf.DUMMYFUNCTION("""COMPUTED_VALUE"""),"我正在读本科，明年毕业。")</f>
        <v>我正在读本科，明年毕业。</v>
      </c>
      <c r="I2390" s="13"/>
      <c r="J2390" s="13" t="str">
        <f ca="1">IFERROR(__xludf.DUMMYFUNCTION("""COMPUTED_VALUE"""),"Tôi đang học đại học chính quy, năm sau sẽ tốt nghiệp.")</f>
        <v>Tôi đang học đại học chính quy, năm sau sẽ tốt nghiệp.</v>
      </c>
      <c r="K2390" s="13" t="str">
        <f ca="1">IFERROR(__xludf.DUMMYFUNCTION("""COMPUTED_VALUE"""),"H5_B28_BG2.png")</f>
        <v>H5_B28_BG2.png</v>
      </c>
      <c r="L2390" s="13" t="str">
        <f ca="1">IFERROR(__xludf.DUMMYFUNCTION("""COMPUTED_VALUE"""),"B28_2.mp3")</f>
        <v>B28_2.mp3</v>
      </c>
      <c r="M2390" s="13" t="str">
        <f ca="1">IFERROR(__xludf.DUMMYFUNCTION("""COMPUTED_VALUE"""),"B28_VD_2.mp3")</f>
        <v>B28_VD_2.mp3</v>
      </c>
    </row>
    <row r="2391" spans="1:13">
      <c r="A2391" s="13">
        <f ca="1">IFERROR(__xludf.DUMMYFUNCTION("""COMPUTED_VALUE"""),3)</f>
        <v>3</v>
      </c>
      <c r="B2391" s="13"/>
      <c r="C2391" s="13" t="str">
        <f ca="1">IFERROR(__xludf.DUMMYFUNCTION("""COMPUTED_VALUE"""),"就业")</f>
        <v>就业</v>
      </c>
      <c r="D2391" s="13" t="str">
        <f ca="1">IFERROR(__xludf.DUMMYFUNCTION("""COMPUTED_VALUE"""),"&lt;ruby&gt;就业&lt;rt&gt;jiù yè&lt;/rt&gt;&lt;/ruby&gt;")</f>
        <v>&lt;ruby&gt;就业&lt;rt&gt;jiù yè&lt;/rt&gt;&lt;/ruby&gt;</v>
      </c>
      <c r="E2391" s="13" t="str">
        <f ca="1">IFERROR(__xludf.DUMMYFUNCTION("""COMPUTED_VALUE"""),"jiù yè")</f>
        <v>jiù yè</v>
      </c>
      <c r="F2391" s="13" t="str">
        <f ca="1">IFERROR(__xludf.DUMMYFUNCTION("""COMPUTED_VALUE"""),"Động từ")</f>
        <v>Động từ</v>
      </c>
      <c r="G2391" s="13" t="str">
        <f ca="1">IFERROR(__xludf.DUMMYFUNCTION("""COMPUTED_VALUE"""),"tìm việc làm")</f>
        <v>tìm việc làm</v>
      </c>
      <c r="H2391" s="13" t="str">
        <f ca="1">IFERROR(__xludf.DUMMYFUNCTION("""COMPUTED_VALUE"""),"今年的就业市场竞争很激烈。")</f>
        <v>今年的就业市场竞争很激烈。</v>
      </c>
      <c r="I2391" s="13"/>
      <c r="J2391" s="13" t="str">
        <f ca="1">IFERROR(__xludf.DUMMYFUNCTION("""COMPUTED_VALUE"""),"Thị trường việc làm năm nay rất cạnh tranh.")</f>
        <v>Thị trường việc làm năm nay rất cạnh tranh.</v>
      </c>
      <c r="K2391" s="13" t="str">
        <f ca="1">IFERROR(__xludf.DUMMYFUNCTION("""COMPUTED_VALUE"""),"H5_B28_BG3.png")</f>
        <v>H5_B28_BG3.png</v>
      </c>
      <c r="L2391" s="13" t="str">
        <f ca="1">IFERROR(__xludf.DUMMYFUNCTION("""COMPUTED_VALUE"""),"B28_3.mp3")</f>
        <v>B28_3.mp3</v>
      </c>
      <c r="M2391" s="13" t="str">
        <f ca="1">IFERROR(__xludf.DUMMYFUNCTION("""COMPUTED_VALUE"""),"B28_VD_3.mp3")</f>
        <v>B28_VD_3.mp3</v>
      </c>
    </row>
    <row r="2392" spans="1:13">
      <c r="A2392" s="13">
        <f ca="1">IFERROR(__xludf.DUMMYFUNCTION("""COMPUTED_VALUE"""),4)</f>
        <v>4</v>
      </c>
      <c r="B2392" s="13"/>
      <c r="C2392" s="13" t="str">
        <f ca="1">IFERROR(__xludf.DUMMYFUNCTION("""COMPUTED_VALUE"""),"简历")</f>
        <v>简历</v>
      </c>
      <c r="D2392" s="13" t="str">
        <f ca="1">IFERROR(__xludf.DUMMYFUNCTION("""COMPUTED_VALUE"""),"&lt;ruby&gt;简历&lt;rt&gt;jiǎnlì&lt;/rt&gt;&lt;/ruby&gt;")</f>
        <v>&lt;ruby&gt;简历&lt;rt&gt;jiǎnlì&lt;/rt&gt;&lt;/ruby&gt;</v>
      </c>
      <c r="E2392" s="13" t="str">
        <f ca="1">IFERROR(__xludf.DUMMYFUNCTION("""COMPUTED_VALUE"""),"jiǎnlì")</f>
        <v>jiǎnlì</v>
      </c>
      <c r="F2392" s="13" t="str">
        <f ca="1">IFERROR(__xludf.DUMMYFUNCTION("""COMPUTED_VALUE"""),"Danh từ")</f>
        <v>Danh từ</v>
      </c>
      <c r="G2392" s="13" t="str">
        <f ca="1">IFERROR(__xludf.DUMMYFUNCTION("""COMPUTED_VALUE"""),"lý lịch sơ lược")</f>
        <v>lý lịch sơ lược</v>
      </c>
      <c r="H2392" s="13" t="str">
        <f ca="1">IFERROR(__xludf.DUMMYFUNCTION("""COMPUTED_VALUE"""),"你可以先把简历发给我们。")</f>
        <v>你可以先把简历发给我们。</v>
      </c>
      <c r="I2392" s="13"/>
      <c r="J2392" s="13" t="str">
        <f ca="1">IFERROR(__xludf.DUMMYFUNCTION("""COMPUTED_VALUE"""),"Bạn có thể gửi CV của mình cho chúng tôi trước.")</f>
        <v>Bạn có thể gửi CV của mình cho chúng tôi trước.</v>
      </c>
      <c r="K2392" s="13" t="str">
        <f ca="1">IFERROR(__xludf.DUMMYFUNCTION("""COMPUTED_VALUE"""),"H5_B28_BG4.png")</f>
        <v>H5_B28_BG4.png</v>
      </c>
      <c r="L2392" s="13" t="str">
        <f ca="1">IFERROR(__xludf.DUMMYFUNCTION("""COMPUTED_VALUE"""),"B28_4.mp3")</f>
        <v>B28_4.mp3</v>
      </c>
      <c r="M2392" s="13" t="str">
        <f ca="1">IFERROR(__xludf.DUMMYFUNCTION("""COMPUTED_VALUE"""),"B28_VD_4.mp3")</f>
        <v>B28_VD_4.mp3</v>
      </c>
    </row>
    <row r="2393" spans="1:13">
      <c r="A2393" s="13">
        <f ca="1">IFERROR(__xludf.DUMMYFUNCTION("""COMPUTED_VALUE"""),5)</f>
        <v>5</v>
      </c>
      <c r="B2393" s="13"/>
      <c r="C2393" s="13" t="str">
        <f ca="1">IFERROR(__xludf.DUMMYFUNCTION("""COMPUTED_VALUE"""),"职位")</f>
        <v>职位</v>
      </c>
      <c r="D2393" s="13" t="str">
        <f ca="1">IFERROR(__xludf.DUMMYFUNCTION("""COMPUTED_VALUE"""),"&lt;ruby&gt;职位&lt;rt&gt;zhíwèi&lt;/rt&gt;&lt;/ruby&gt;")</f>
        <v>&lt;ruby&gt;职位&lt;rt&gt;zhíwèi&lt;/rt&gt;&lt;/ruby&gt;</v>
      </c>
      <c r="E2393" s="13" t="str">
        <f ca="1">IFERROR(__xludf.DUMMYFUNCTION("""COMPUTED_VALUE"""),"zhíwèi")</f>
        <v>zhíwèi</v>
      </c>
      <c r="F2393" s="13" t="str">
        <f ca="1">IFERROR(__xludf.DUMMYFUNCTION("""COMPUTED_VALUE"""),"Danh từ")</f>
        <v>Danh từ</v>
      </c>
      <c r="G2393" s="13" t="str">
        <f ca="1">IFERROR(__xludf.DUMMYFUNCTION("""COMPUTED_VALUE"""),"chức vụ")</f>
        <v>chức vụ</v>
      </c>
      <c r="H2393" s="13" t="str">
        <f ca="1">IFERROR(__xludf.DUMMYFUNCTION("""COMPUTED_VALUE"""),"你申请的职位是什么？")</f>
        <v>你申请的职位是什么？</v>
      </c>
      <c r="I2393" s="13"/>
      <c r="J2393" s="13" t="str">
        <f ca="1">IFERROR(__xludf.DUMMYFUNCTION("""COMPUTED_VALUE"""),"Bạn ứng tuyển vào vị trí nào?")</f>
        <v>Bạn ứng tuyển vào vị trí nào?</v>
      </c>
      <c r="K2393" s="13" t="str">
        <f ca="1">IFERROR(__xludf.DUMMYFUNCTION("""COMPUTED_VALUE"""),"H5_B28_BG5.png")</f>
        <v>H5_B28_BG5.png</v>
      </c>
      <c r="L2393" s="13" t="str">
        <f ca="1">IFERROR(__xludf.DUMMYFUNCTION("""COMPUTED_VALUE"""),"B28_5.mp3")</f>
        <v>B28_5.mp3</v>
      </c>
      <c r="M2393" s="13" t="str">
        <f ca="1">IFERROR(__xludf.DUMMYFUNCTION("""COMPUTED_VALUE"""),"B28_VD_5.mp3")</f>
        <v>B28_VD_5.mp3</v>
      </c>
    </row>
    <row r="2394" spans="1:13">
      <c r="A2394" s="13">
        <f ca="1">IFERROR(__xludf.DUMMYFUNCTION("""COMPUTED_VALUE"""),6)</f>
        <v>6</v>
      </c>
      <c r="B2394" s="13"/>
      <c r="C2394" s="13" t="str">
        <f ca="1">IFERROR(__xludf.DUMMYFUNCTION("""COMPUTED_VALUE"""),"顾问")</f>
        <v>顾问</v>
      </c>
      <c r="D2394" s="13" t="str">
        <f ca="1">IFERROR(__xludf.DUMMYFUNCTION("""COMPUTED_VALUE"""),"&lt;ruby&gt;顾问&lt;rt&gt;gùwèn&lt;/rt&gt;&lt;/ruby&gt;")</f>
        <v>&lt;ruby&gt;顾问&lt;rt&gt;gùwèn&lt;/rt&gt;&lt;/ruby&gt;</v>
      </c>
      <c r="E2394" s="13" t="str">
        <f ca="1">IFERROR(__xludf.DUMMYFUNCTION("""COMPUTED_VALUE"""),"gùwèn")</f>
        <v>gùwèn</v>
      </c>
      <c r="F2394" s="13" t="str">
        <f ca="1">IFERROR(__xludf.DUMMYFUNCTION("""COMPUTED_VALUE"""),"Danh từ")</f>
        <v>Danh từ</v>
      </c>
      <c r="G2394" s="13" t="str">
        <f ca="1">IFERROR(__xludf.DUMMYFUNCTION("""COMPUTED_VALUE"""),"người tư vấn, cố vấn")</f>
        <v>người tư vấn, cố vấn</v>
      </c>
      <c r="H2394" s="13" t="str">
        <f ca="1">IFERROR(__xludf.DUMMYFUNCTION("""COMPUTED_VALUE"""),"他是一名经验丰富的法律顾问。")</f>
        <v>他是一名经验丰富的法律顾问。</v>
      </c>
      <c r="I2394" s="13"/>
      <c r="J2394" s="13" t="str">
        <f ca="1">IFERROR(__xludf.DUMMYFUNCTION("""COMPUTED_VALUE"""),"Anh ấy là một cố vấn pháp lý giàu kinh nghiệm.")</f>
        <v>Anh ấy là một cố vấn pháp lý giàu kinh nghiệm.</v>
      </c>
      <c r="K2394" s="13" t="str">
        <f ca="1">IFERROR(__xludf.DUMMYFUNCTION("""COMPUTED_VALUE"""),"H5_B28_BG6.png")</f>
        <v>H5_B28_BG6.png</v>
      </c>
      <c r="L2394" s="13" t="str">
        <f ca="1">IFERROR(__xludf.DUMMYFUNCTION("""COMPUTED_VALUE"""),"B28_6.mp3")</f>
        <v>B28_6.mp3</v>
      </c>
      <c r="M2394" s="13" t="str">
        <f ca="1">IFERROR(__xludf.DUMMYFUNCTION("""COMPUTED_VALUE"""),"B28_VD_6.mp3")</f>
        <v>B28_VD_6.mp3</v>
      </c>
    </row>
    <row r="2395" spans="1:13">
      <c r="A2395" s="13">
        <f ca="1">IFERROR(__xludf.DUMMYFUNCTION("""COMPUTED_VALUE"""),7)</f>
        <v>7</v>
      </c>
      <c r="B2395" s="13"/>
      <c r="C2395" s="13" t="str">
        <f ca="1">IFERROR(__xludf.DUMMYFUNCTION("""COMPUTED_VALUE"""),"参考")</f>
        <v>参考</v>
      </c>
      <c r="D2395" s="13" t="str">
        <f ca="1">IFERROR(__xludf.DUMMYFUNCTION("""COMPUTED_VALUE"""),"&lt;ruby&gt;参考&lt;rt&gt;cānkǎo&lt;/rt&gt;&lt;/ruby&gt;")</f>
        <v>&lt;ruby&gt;参考&lt;rt&gt;cānkǎo&lt;/rt&gt;&lt;/ruby&gt;</v>
      </c>
      <c r="E2395" s="13" t="str">
        <f ca="1">IFERROR(__xludf.DUMMYFUNCTION("""COMPUTED_VALUE"""),"cānkǎo")</f>
        <v>cānkǎo</v>
      </c>
      <c r="F2395" s="13" t="str">
        <f ca="1">IFERROR(__xludf.DUMMYFUNCTION("""COMPUTED_VALUE"""),"Động từ")</f>
        <v>Động từ</v>
      </c>
      <c r="G2395" s="13" t="str">
        <f ca="1">IFERROR(__xludf.DUMMYFUNCTION("""COMPUTED_VALUE"""),"tham khảo")</f>
        <v>tham khảo</v>
      </c>
      <c r="H2395" s="13" t="str">
        <f ca="1">IFERROR(__xludf.DUMMYFUNCTION("""COMPUTED_VALUE"""),"你可以参考这些书来写论文。")</f>
        <v>你可以参考这些书来写论文。</v>
      </c>
      <c r="I2395" s="13"/>
      <c r="J2395" s="13" t="str">
        <f ca="1">IFERROR(__xludf.DUMMYFUNCTION("""COMPUTED_VALUE"""),"Bạn có thể tham khảo những cuốn sách này để viết luận văn.")</f>
        <v>Bạn có thể tham khảo những cuốn sách này để viết luận văn.</v>
      </c>
      <c r="K2395" s="13" t="str">
        <f ca="1">IFERROR(__xludf.DUMMYFUNCTION("""COMPUTED_VALUE"""),"H5_B28_BG7.png")</f>
        <v>H5_B28_BG7.png</v>
      </c>
      <c r="L2395" s="13" t="str">
        <f ca="1">IFERROR(__xludf.DUMMYFUNCTION("""COMPUTED_VALUE"""),"B28_7.mp3")</f>
        <v>B28_7.mp3</v>
      </c>
      <c r="M2395" s="13" t="str">
        <f ca="1">IFERROR(__xludf.DUMMYFUNCTION("""COMPUTED_VALUE"""),"B28_VD_7.mp3")</f>
        <v>B28_VD_7.mp3</v>
      </c>
    </row>
    <row r="2396" spans="1:13">
      <c r="A2396" s="13">
        <f ca="1">IFERROR(__xludf.DUMMYFUNCTION("""COMPUTED_VALUE"""),8)</f>
        <v>8</v>
      </c>
      <c r="B2396" s="13"/>
      <c r="C2396" s="13" t="str">
        <f ca="1">IFERROR(__xludf.DUMMYFUNCTION("""COMPUTED_VALUE"""),"制作")</f>
        <v>制作</v>
      </c>
      <c r="D2396" s="13" t="str">
        <f ca="1">IFERROR(__xludf.DUMMYFUNCTION("""COMPUTED_VALUE"""),"&lt;ruby&gt;制作&lt;rt&gt;zhìzuò&lt;/rt&gt;&lt;/ruby&gt;")</f>
        <v>&lt;ruby&gt;制作&lt;rt&gt;zhìzuò&lt;/rt&gt;&lt;/ruby&gt;</v>
      </c>
      <c r="E2396" s="13" t="str">
        <f ca="1">IFERROR(__xludf.DUMMYFUNCTION("""COMPUTED_VALUE"""),"zhìzuò")</f>
        <v>zhìzuò</v>
      </c>
      <c r="F2396" s="13" t="str">
        <f ca="1">IFERROR(__xludf.DUMMYFUNCTION("""COMPUTED_VALUE"""),"Động từ")</f>
        <v>Động từ</v>
      </c>
      <c r="G2396" s="13" t="str">
        <f ca="1">IFERROR(__xludf.DUMMYFUNCTION("""COMPUTED_VALUE"""),"chế tạo, làm ra")</f>
        <v>chế tạo, làm ra</v>
      </c>
      <c r="H2396" s="13" t="str">
        <f ca="1">IFERROR(__xludf.DUMMYFUNCTION("""COMPUTED_VALUE"""),"这家公司专门制作广告视频。")</f>
        <v>这家公司专门制作广告视频。</v>
      </c>
      <c r="I2396" s="13"/>
      <c r="J2396" s="13" t="str">
        <f ca="1">IFERROR(__xludf.DUMMYFUNCTION("""COMPUTED_VALUE"""),"Công ty này chuyên sản xuất video quảng cáo.")</f>
        <v>Công ty này chuyên sản xuất video quảng cáo.</v>
      </c>
      <c r="K2396" s="13" t="str">
        <f ca="1">IFERROR(__xludf.DUMMYFUNCTION("""COMPUTED_VALUE"""),"H5_B28_BG8.png")</f>
        <v>H5_B28_BG8.png</v>
      </c>
      <c r="L2396" s="13" t="str">
        <f ca="1">IFERROR(__xludf.DUMMYFUNCTION("""COMPUTED_VALUE"""),"B28_8.mp3")</f>
        <v>B28_8.mp3</v>
      </c>
      <c r="M2396" s="13" t="str">
        <f ca="1">IFERROR(__xludf.DUMMYFUNCTION("""COMPUTED_VALUE"""),"B28_VD_8.mp3")</f>
        <v>B28_VD_8.mp3</v>
      </c>
    </row>
    <row r="2397" spans="1:13">
      <c r="A2397" s="13">
        <f ca="1">IFERROR(__xludf.DUMMYFUNCTION("""COMPUTED_VALUE"""),9)</f>
        <v>9</v>
      </c>
      <c r="B2397" s="13"/>
      <c r="C2397" s="13" t="str">
        <f ca="1">IFERROR(__xludf.DUMMYFUNCTION("""COMPUTED_VALUE"""),"制订")</f>
        <v>制订</v>
      </c>
      <c r="D2397" s="13" t="str">
        <f ca="1">IFERROR(__xludf.DUMMYFUNCTION("""COMPUTED_VALUE"""),"&lt;ruby&gt;制订&lt;rt&gt;zhìdìng&lt;/rt&gt;&lt;/ruby&gt;")</f>
        <v>&lt;ruby&gt;制订&lt;rt&gt;zhìdìng&lt;/rt&gt;&lt;/ruby&gt;</v>
      </c>
      <c r="E2397" s="13" t="str">
        <f ca="1">IFERROR(__xludf.DUMMYFUNCTION("""COMPUTED_VALUE"""),"zhìdìng")</f>
        <v>zhìdìng</v>
      </c>
      <c r="F2397" s="13" t="str">
        <f ca="1">IFERROR(__xludf.DUMMYFUNCTION("""COMPUTED_VALUE"""),"Động từ")</f>
        <v>Động từ</v>
      </c>
      <c r="G2397" s="13" t="str">
        <f ca="1">IFERROR(__xludf.DUMMYFUNCTION("""COMPUTED_VALUE"""),"lập ra, vạch ra")</f>
        <v>lập ra, vạch ra</v>
      </c>
      <c r="H2397" s="13" t="str">
        <f ca="1">IFERROR(__xludf.DUMMYFUNCTION("""COMPUTED_VALUE"""),"我们需要制订一个详细的计划")</f>
        <v>我们需要制订一个详细的计划</v>
      </c>
      <c r="I2397" s="13"/>
      <c r="J2397" s="13" t="str">
        <f ca="1">IFERROR(__xludf.DUMMYFUNCTION("""COMPUTED_VALUE"""),"Chúng ta cần lập một kế hoạch chi tiết.")</f>
        <v>Chúng ta cần lập một kế hoạch chi tiết.</v>
      </c>
      <c r="K2397" s="13" t="str">
        <f ca="1">IFERROR(__xludf.DUMMYFUNCTION("""COMPUTED_VALUE"""),"H5_B28_BG9.png")</f>
        <v>H5_B28_BG9.png</v>
      </c>
      <c r="L2397" s="13" t="str">
        <f ca="1">IFERROR(__xludf.DUMMYFUNCTION("""COMPUTED_VALUE"""),"B28_9.mp3")</f>
        <v>B28_9.mp3</v>
      </c>
      <c r="M2397" s="13" t="str">
        <f ca="1">IFERROR(__xludf.DUMMYFUNCTION("""COMPUTED_VALUE"""),"B28_VD_9.mp3")</f>
        <v>B28_VD_9.mp3</v>
      </c>
    </row>
    <row r="2398" spans="1:13">
      <c r="A2398" s="13">
        <f ca="1">IFERROR(__xludf.DUMMYFUNCTION("""COMPUTED_VALUE"""),10)</f>
        <v>10</v>
      </c>
      <c r="B2398" s="13"/>
      <c r="C2398" s="13" t="str">
        <f ca="1">IFERROR(__xludf.DUMMYFUNCTION("""COMPUTED_VALUE"""),"部门")</f>
        <v>部门</v>
      </c>
      <c r="D2398" s="13" t="str">
        <f ca="1">IFERROR(__xludf.DUMMYFUNCTION("""COMPUTED_VALUE"""),"&lt;ruby&gt;部门&lt;rt&gt;bùmén&lt;/rt&gt;&lt;/ruby&gt;")</f>
        <v>&lt;ruby&gt;部门&lt;rt&gt;bùmén&lt;/rt&gt;&lt;/ruby&gt;</v>
      </c>
      <c r="E2398" s="13" t="str">
        <f ca="1">IFERROR(__xludf.DUMMYFUNCTION("""COMPUTED_VALUE"""),"bùmén")</f>
        <v>bùmén</v>
      </c>
      <c r="F2398" s="13" t="str">
        <f ca="1">IFERROR(__xludf.DUMMYFUNCTION("""COMPUTED_VALUE"""),"Danh từ")</f>
        <v>Danh từ</v>
      </c>
      <c r="G2398" s="13" t="str">
        <f ca="1">IFERROR(__xludf.DUMMYFUNCTION("""COMPUTED_VALUE"""),"ban, vị trí việc làm")</f>
        <v>ban, vị trí việc làm</v>
      </c>
      <c r="H2398" s="13" t="str">
        <f ca="1">IFERROR(__xludf.DUMMYFUNCTION("""COMPUTED_VALUE"""),"我打算申请市场部门的职位。")</f>
        <v>我打算申请市场部门的职位。</v>
      </c>
      <c r="I2398" s="13"/>
      <c r="J2398" s="13" t="str">
        <f ca="1">IFERROR(__xludf.DUMMYFUNCTION("""COMPUTED_VALUE"""),"Tôi dự định ứng tuyển vào vị trí ở bộ phận marketing.")</f>
        <v>Tôi dự định ứng tuyển vào vị trí ở bộ phận marketing.</v>
      </c>
      <c r="K2398" s="13" t="str">
        <f ca="1">IFERROR(__xludf.DUMMYFUNCTION("""COMPUTED_VALUE"""),"H5_B28_BG10.png")</f>
        <v>H5_B28_BG10.png</v>
      </c>
      <c r="L2398" s="13" t="str">
        <f ca="1">IFERROR(__xludf.DUMMYFUNCTION("""COMPUTED_VALUE"""),"B28_10.mp3")</f>
        <v>B28_10.mp3</v>
      </c>
      <c r="M2398" s="13" t="str">
        <f ca="1">IFERROR(__xludf.DUMMYFUNCTION("""COMPUTED_VALUE"""),"B28_VD_10.mp3")</f>
        <v>B28_VD_10.mp3</v>
      </c>
    </row>
    <row r="2399" spans="1:13">
      <c r="A2399" s="13">
        <f ca="1">IFERROR(__xludf.DUMMYFUNCTION("""COMPUTED_VALUE"""),11)</f>
        <v>11</v>
      </c>
      <c r="B2399" s="13"/>
      <c r="C2399" s="13" t="str">
        <f ca="1">IFERROR(__xludf.DUMMYFUNCTION("""COMPUTED_VALUE"""),"行业")</f>
        <v>行业</v>
      </c>
      <c r="D2399" s="13" t="str">
        <f ca="1">IFERROR(__xludf.DUMMYFUNCTION("""COMPUTED_VALUE"""),"&lt;ruby&gt;行业&lt;rt&gt;hángyè&lt;/rt&gt;&lt;/ruby&gt;")</f>
        <v>&lt;ruby&gt;行业&lt;rt&gt;hángyè&lt;/rt&gt;&lt;/ruby&gt;</v>
      </c>
      <c r="E2399" s="13" t="str">
        <f ca="1">IFERROR(__xludf.DUMMYFUNCTION("""COMPUTED_VALUE"""),"hángyè")</f>
        <v>hángyè</v>
      </c>
      <c r="F2399" s="13" t="str">
        <f ca="1">IFERROR(__xludf.DUMMYFUNCTION("""COMPUTED_VALUE"""),"Danh từ")</f>
        <v>Danh từ</v>
      </c>
      <c r="G2399" s="13" t="str">
        <f ca="1">IFERROR(__xludf.DUMMYFUNCTION("""COMPUTED_VALUE"""),"ngành, nghề")</f>
        <v>ngành, nghề</v>
      </c>
      <c r="H2399" s="13" t="str">
        <f ca="1">IFERROR(__xludf.DUMMYFUNCTION("""COMPUTED_VALUE"""),"你对哪个行业感兴趣？")</f>
        <v>你对哪个行业感兴趣？</v>
      </c>
      <c r="I2399" s="13"/>
      <c r="J2399" s="13" t="str">
        <f ca="1">IFERROR(__xludf.DUMMYFUNCTION("""COMPUTED_VALUE"""),"Bạn quan tâm đến ngành nào?")</f>
        <v>Bạn quan tâm đến ngành nào?</v>
      </c>
      <c r="K2399" s="13" t="str">
        <f ca="1">IFERROR(__xludf.DUMMYFUNCTION("""COMPUTED_VALUE"""),"H5_B28_BG11.png")</f>
        <v>H5_B28_BG11.png</v>
      </c>
      <c r="L2399" s="13" t="str">
        <f ca="1">IFERROR(__xludf.DUMMYFUNCTION("""COMPUTED_VALUE"""),"B28_11.mp3")</f>
        <v>B28_11.mp3</v>
      </c>
      <c r="M2399" s="13" t="str">
        <f ca="1">IFERROR(__xludf.DUMMYFUNCTION("""COMPUTED_VALUE"""),"B28_VD_11.mp3")</f>
        <v>B28_VD_11.mp3</v>
      </c>
    </row>
    <row r="2400" spans="1:13">
      <c r="A2400" s="13">
        <f ca="1">IFERROR(__xludf.DUMMYFUNCTION("""COMPUTED_VALUE"""),12)</f>
        <v>12</v>
      </c>
      <c r="B2400" s="13"/>
      <c r="C2400" s="13" t="str">
        <f ca="1">IFERROR(__xludf.DUMMYFUNCTION("""COMPUTED_VALUE"""),"成立")</f>
        <v>成立</v>
      </c>
      <c r="D2400" s="13" t="str">
        <f ca="1">IFERROR(__xludf.DUMMYFUNCTION("""COMPUTED_VALUE"""),"&lt;ruby&gt;成立&lt;rt&gt;chénglì&lt;/rt&gt;&lt;/ruby&gt;")</f>
        <v>&lt;ruby&gt;成立&lt;rt&gt;chénglì&lt;/rt&gt;&lt;/ruby&gt;</v>
      </c>
      <c r="E2400" s="13" t="str">
        <f ca="1">IFERROR(__xludf.DUMMYFUNCTION("""COMPUTED_VALUE"""),"chénglì")</f>
        <v>chénglì</v>
      </c>
      <c r="F2400" s="13" t="str">
        <f ca="1">IFERROR(__xludf.DUMMYFUNCTION("""COMPUTED_VALUE"""),"Động từ")</f>
        <v>Động từ</v>
      </c>
      <c r="G2400" s="13" t="str">
        <f ca="1">IFERROR(__xludf.DUMMYFUNCTION("""COMPUTED_VALUE"""),"thành lập, lập")</f>
        <v>thành lập, lập</v>
      </c>
      <c r="H2400" s="13" t="str">
        <f ca="1">IFERROR(__xludf.DUMMYFUNCTION("""COMPUTED_VALUE"""),"这家公司成立于2005年。")</f>
        <v>这家公司成立于2005年。</v>
      </c>
      <c r="I2400" s="13"/>
      <c r="J2400" s="13" t="str">
        <f ca="1">IFERROR(__xludf.DUMMYFUNCTION("""COMPUTED_VALUE"""),"Công ty này được thành lập vào năm 2005.")</f>
        <v>Công ty này được thành lập vào năm 2005.</v>
      </c>
      <c r="K2400" s="13" t="str">
        <f ca="1">IFERROR(__xludf.DUMMYFUNCTION("""COMPUTED_VALUE"""),"H5_B28_BG12.png")</f>
        <v>H5_B28_BG12.png</v>
      </c>
      <c r="L2400" s="13" t="str">
        <f ca="1">IFERROR(__xludf.DUMMYFUNCTION("""COMPUTED_VALUE"""),"B28_12.mp3")</f>
        <v>B28_12.mp3</v>
      </c>
      <c r="M2400" s="13" t="str">
        <f ca="1">IFERROR(__xludf.DUMMYFUNCTION("""COMPUTED_VALUE"""),"B28_VD_12.mp3")</f>
        <v>B28_VD_12.mp3</v>
      </c>
    </row>
    <row r="2401" spans="1:13">
      <c r="A2401" s="13">
        <f ca="1">IFERROR(__xludf.DUMMYFUNCTION("""COMPUTED_VALUE"""),13)</f>
        <v>13</v>
      </c>
      <c r="B2401" s="13"/>
      <c r="C2401" s="13" t="str">
        <f ca="1">IFERROR(__xludf.DUMMYFUNCTION("""COMPUTED_VALUE"""),"老板")</f>
        <v>老板</v>
      </c>
      <c r="D2401" s="13" t="str">
        <f ca="1">IFERROR(__xludf.DUMMYFUNCTION("""COMPUTED_VALUE"""),"&lt;ruby&gt;老板&lt;rt&gt;lǎobǎn&lt;/rt&gt;&lt;/ruby&gt;")</f>
        <v>&lt;ruby&gt;老板&lt;rt&gt;lǎobǎn&lt;/rt&gt;&lt;/ruby&gt;</v>
      </c>
      <c r="E2401" s="13" t="str">
        <f ca="1">IFERROR(__xludf.DUMMYFUNCTION("""COMPUTED_VALUE"""),"lǎobǎn")</f>
        <v>lǎobǎn</v>
      </c>
      <c r="F2401" s="13" t="str">
        <f ca="1">IFERROR(__xludf.DUMMYFUNCTION("""COMPUTED_VALUE"""),"Động từ")</f>
        <v>Động từ</v>
      </c>
      <c r="G2401" s="13" t="str">
        <f ca="1">IFERROR(__xludf.DUMMYFUNCTION("""COMPUTED_VALUE"""),"ông chủ")</f>
        <v>ông chủ</v>
      </c>
      <c r="H2401" s="13" t="str">
        <f ca="1">IFERROR(__xludf.DUMMYFUNCTION("""COMPUTED_VALUE"""),"我的老板对员工很好。")</f>
        <v>我的老板对员工很好。</v>
      </c>
      <c r="I2401" s="13"/>
      <c r="J2401" s="13" t="str">
        <f ca="1">IFERROR(__xludf.DUMMYFUNCTION("""COMPUTED_VALUE"""),"Ông chủ của tôi rất tốt với nhân viên.")</f>
        <v>Ông chủ của tôi rất tốt với nhân viên.</v>
      </c>
      <c r="K2401" s="13" t="str">
        <f ca="1">IFERROR(__xludf.DUMMYFUNCTION("""COMPUTED_VALUE"""),"H5_B28_BG13.png")</f>
        <v>H5_B28_BG13.png</v>
      </c>
      <c r="L2401" s="13" t="str">
        <f ca="1">IFERROR(__xludf.DUMMYFUNCTION("""COMPUTED_VALUE"""),"B28_13.mp3")</f>
        <v>B28_13.mp3</v>
      </c>
      <c r="M2401" s="13" t="str">
        <f ca="1">IFERROR(__xludf.DUMMYFUNCTION("""COMPUTED_VALUE"""),"B28_VD_13.mp3")</f>
        <v>B28_VD_13.mp3</v>
      </c>
    </row>
    <row r="2402" spans="1:13">
      <c r="A2402" s="13">
        <f ca="1">IFERROR(__xludf.DUMMYFUNCTION("""COMPUTED_VALUE"""),14)</f>
        <v>14</v>
      </c>
      <c r="B2402" s="13"/>
      <c r="C2402" s="13" t="str">
        <f ca="1">IFERROR(__xludf.DUMMYFUNCTION("""COMPUTED_VALUE"""),"面对")</f>
        <v>面对</v>
      </c>
      <c r="D2402" s="13" t="str">
        <f ca="1">IFERROR(__xludf.DUMMYFUNCTION("""COMPUTED_VALUE"""),"&lt;ruby&gt;面对&lt;rt&gt;miànduì&lt;/rt&gt;&lt;/ruby&gt;")</f>
        <v>&lt;ruby&gt;面对&lt;rt&gt;miànduì&lt;/rt&gt;&lt;/ruby&gt;</v>
      </c>
      <c r="E2402" s="13" t="str">
        <f ca="1">IFERROR(__xludf.DUMMYFUNCTION("""COMPUTED_VALUE"""),"miànduì")</f>
        <v>miànduì</v>
      </c>
      <c r="F2402" s="13" t="str">
        <f ca="1">IFERROR(__xludf.DUMMYFUNCTION("""COMPUTED_VALUE"""),"Động từ")</f>
        <v>Động từ</v>
      </c>
      <c r="G2402" s="13" t="str">
        <f ca="1">IFERROR(__xludf.DUMMYFUNCTION("""COMPUTED_VALUE"""),"đương đầu")</f>
        <v>đương đầu</v>
      </c>
      <c r="H2402" s="13" t="str">
        <f ca="1">IFERROR(__xludf.DUMMYFUNCTION("""COMPUTED_VALUE"""),"我们需要勇敢地面对困难。")</f>
        <v>我们需要勇敢地面对困难。</v>
      </c>
      <c r="I2402" s="13"/>
      <c r="J2402" s="13" t="str">
        <f ca="1">IFERROR(__xludf.DUMMYFUNCTION("""COMPUTED_VALUE"""),"Chúng ta cần dũng cảm đối mặt với khó khăn.")</f>
        <v>Chúng ta cần dũng cảm đối mặt với khó khăn.</v>
      </c>
      <c r="K2402" s="13" t="str">
        <f ca="1">IFERROR(__xludf.DUMMYFUNCTION("""COMPUTED_VALUE"""),"H5_B28_BG14.png")</f>
        <v>H5_B28_BG14.png</v>
      </c>
      <c r="L2402" s="13" t="str">
        <f ca="1">IFERROR(__xludf.DUMMYFUNCTION("""COMPUTED_VALUE"""),"B28_14.mp3")</f>
        <v>B28_14.mp3</v>
      </c>
      <c r="M2402" s="13" t="str">
        <f ca="1">IFERROR(__xludf.DUMMYFUNCTION("""COMPUTED_VALUE"""),"B28_VD_14.mp3")</f>
        <v>B28_VD_14.mp3</v>
      </c>
    </row>
    <row r="2403" spans="1:13">
      <c r="A2403" s="13">
        <f ca="1">IFERROR(__xludf.DUMMYFUNCTION("""COMPUTED_VALUE"""),15)</f>
        <v>15</v>
      </c>
      <c r="B2403" s="13"/>
      <c r="C2403" s="13" t="str">
        <f ca="1">IFERROR(__xludf.DUMMYFUNCTION("""COMPUTED_VALUE"""),"乐观")</f>
        <v>乐观</v>
      </c>
      <c r="D2403" s="13" t="str">
        <f ca="1">IFERROR(__xludf.DUMMYFUNCTION("""COMPUTED_VALUE"""),"&lt;ruby&gt;乐观&lt;rt&gt;lèguān&lt;/rt&gt;&lt;/ruby&gt;")</f>
        <v>&lt;ruby&gt;乐观&lt;rt&gt;lèguān&lt;/rt&gt;&lt;/ruby&gt;</v>
      </c>
      <c r="E2403" s="13" t="str">
        <f ca="1">IFERROR(__xludf.DUMMYFUNCTION("""COMPUTED_VALUE"""),"lèguān")</f>
        <v>lèguān</v>
      </c>
      <c r="F2403" s="13" t="str">
        <f ca="1">IFERROR(__xludf.DUMMYFUNCTION("""COMPUTED_VALUE"""),"Tính từ")</f>
        <v>Tính từ</v>
      </c>
      <c r="G2403" s="13" t="str">
        <f ca="1">IFERROR(__xludf.DUMMYFUNCTION("""COMPUTED_VALUE"""),"lạc quan")</f>
        <v>lạc quan</v>
      </c>
      <c r="H2403" s="13" t="str">
        <f ca="1">IFERROR(__xludf.DUMMYFUNCTION("""COMPUTED_VALUE"""),"他总是用乐观的态度看待问题。")</f>
        <v>他总是用乐观的态度看待问题。</v>
      </c>
      <c r="I2403" s="13"/>
      <c r="J2403" s="13" t="str">
        <f ca="1">IFERROR(__xludf.DUMMYFUNCTION("""COMPUTED_VALUE"""),"Anh ấy luôn nhìn nhận vấn đề với thái độ lạc quan.")</f>
        <v>Anh ấy luôn nhìn nhận vấn đề với thái độ lạc quan.</v>
      </c>
      <c r="K2403" s="13" t="str">
        <f ca="1">IFERROR(__xludf.DUMMYFUNCTION("""COMPUTED_VALUE"""),"H5_B28_BG15.png")</f>
        <v>H5_B28_BG15.png</v>
      </c>
      <c r="L2403" s="13" t="str">
        <f ca="1">IFERROR(__xludf.DUMMYFUNCTION("""COMPUTED_VALUE"""),"B28_15.mp3")</f>
        <v>B28_15.mp3</v>
      </c>
      <c r="M2403" s="13" t="str">
        <f ca="1">IFERROR(__xludf.DUMMYFUNCTION("""COMPUTED_VALUE"""),"B28_VD_15.mp3")</f>
        <v>B28_VD_15.mp3</v>
      </c>
    </row>
    <row r="2404" spans="1:13">
      <c r="A2404" s="13">
        <f ca="1">IFERROR(__xludf.DUMMYFUNCTION("""COMPUTED_VALUE"""),16)</f>
        <v>16</v>
      </c>
      <c r="B2404" s="13"/>
      <c r="C2404" s="13" t="str">
        <f ca="1">IFERROR(__xludf.DUMMYFUNCTION("""COMPUTED_VALUE"""),"优势")</f>
        <v>优势</v>
      </c>
      <c r="D2404" s="13" t="str">
        <f ca="1">IFERROR(__xludf.DUMMYFUNCTION("""COMPUTED_VALUE"""),"&lt;ruby&gt;优势&lt;rt&gt;yōushì&lt;/rt&gt;&lt;/ruby&gt;")</f>
        <v>&lt;ruby&gt;优势&lt;rt&gt;yōushì&lt;/rt&gt;&lt;/ruby&gt;</v>
      </c>
      <c r="E2404" s="13" t="str">
        <f ca="1">IFERROR(__xludf.DUMMYFUNCTION("""COMPUTED_VALUE"""),"yōushì")</f>
        <v>yōushì</v>
      </c>
      <c r="F2404" s="13" t="str">
        <f ca="1">IFERROR(__xludf.DUMMYFUNCTION("""COMPUTED_VALUE"""),"Danh từ")</f>
        <v>Danh từ</v>
      </c>
      <c r="G2404" s="13" t="str">
        <f ca="1">IFERROR(__xludf.DUMMYFUNCTION("""COMPUTED_VALUE"""),"ưu thế")</f>
        <v>ưu thế</v>
      </c>
      <c r="H2404" s="13" t="str">
        <f ca="1">IFERROR(__xludf.DUMMYFUNCTION("""COMPUTED_VALUE"""),"他的英语能力是一个很大的优势。")</f>
        <v>他的英语能力是一个很大的优势。</v>
      </c>
      <c r="I2404" s="13"/>
      <c r="J2404" s="13" t="str">
        <f ca="1">IFERROR(__xludf.DUMMYFUNCTION("""COMPUTED_VALUE"""),"Khả năng tiếng Anh của anh ấy là một lợi thế lớn.")</f>
        <v>Khả năng tiếng Anh của anh ấy là một lợi thế lớn.</v>
      </c>
      <c r="K2404" s="13" t="str">
        <f ca="1">IFERROR(__xludf.DUMMYFUNCTION("""COMPUTED_VALUE"""),"H5_B28_BG16.png")</f>
        <v>H5_B28_BG16.png</v>
      </c>
      <c r="L2404" s="13" t="str">
        <f ca="1">IFERROR(__xludf.DUMMYFUNCTION("""COMPUTED_VALUE"""),"B28_16.mp3")</f>
        <v>B28_16.mp3</v>
      </c>
      <c r="M2404" s="13" t="str">
        <f ca="1">IFERROR(__xludf.DUMMYFUNCTION("""COMPUTED_VALUE"""),"B28_VD_16.mp3")</f>
        <v>B28_VD_16.mp3</v>
      </c>
    </row>
    <row r="2405" spans="1:13">
      <c r="A2405" s="13">
        <f ca="1">IFERROR(__xludf.DUMMYFUNCTION("""COMPUTED_VALUE"""),17)</f>
        <v>17</v>
      </c>
      <c r="B2405" s="13"/>
      <c r="C2405" s="13" t="str">
        <f ca="1">IFERROR(__xludf.DUMMYFUNCTION("""COMPUTED_VALUE"""),"从此")</f>
        <v>从此</v>
      </c>
      <c r="D2405" s="13" t="str">
        <f ca="1">IFERROR(__xludf.DUMMYFUNCTION("""COMPUTED_VALUE"""),"&lt;ruby&gt;从此&lt;rt&gt;cóngcǐ&lt;/rt&gt;&lt;/ruby&gt;")</f>
        <v>&lt;ruby&gt;从此&lt;rt&gt;cóngcǐ&lt;/rt&gt;&lt;/ruby&gt;</v>
      </c>
      <c r="E2405" s="13" t="str">
        <f ca="1">IFERROR(__xludf.DUMMYFUNCTION("""COMPUTED_VALUE"""),"cóngcǐ")</f>
        <v>cóngcǐ</v>
      </c>
      <c r="F2405" s="13" t="str">
        <f ca="1">IFERROR(__xludf.DUMMYFUNCTION("""COMPUTED_VALUE"""),"Phó từ")</f>
        <v>Phó từ</v>
      </c>
      <c r="G2405" s="13" t="str">
        <f ca="1">IFERROR(__xludf.DUMMYFUNCTION("""COMPUTED_VALUE"""),"từ đó")</f>
        <v>từ đó</v>
      </c>
      <c r="H2405" s="13" t="str">
        <f ca="1">IFERROR(__xludf.DUMMYFUNCTION("""COMPUTED_VALUE"""),"他毕业后从此开始了新的生活。")</f>
        <v>他毕业后从此开始了新的生活。</v>
      </c>
      <c r="I2405" s="13"/>
      <c r="J2405" s="13" t="str">
        <f ca="1">IFERROR(__xludf.DUMMYFUNCTION("""COMPUTED_VALUE"""),"Sau khi tốt nghiệp, từ đó anh ấy bắt đầu một cuộc sống mới.")</f>
        <v>Sau khi tốt nghiệp, từ đó anh ấy bắt đầu một cuộc sống mới.</v>
      </c>
      <c r="K2405" s="13" t="str">
        <f ca="1">IFERROR(__xludf.DUMMYFUNCTION("""COMPUTED_VALUE"""),"H5_B28_BG17.png")</f>
        <v>H5_B28_BG17.png</v>
      </c>
      <c r="L2405" s="13" t="str">
        <f ca="1">IFERROR(__xludf.DUMMYFUNCTION("""COMPUTED_VALUE"""),"B28_17.mp3")</f>
        <v>B28_17.mp3</v>
      </c>
      <c r="M2405" s="13" t="str">
        <f ca="1">IFERROR(__xludf.DUMMYFUNCTION("""COMPUTED_VALUE"""),"B28_VD_17.mp3")</f>
        <v>B28_VD_17.mp3</v>
      </c>
    </row>
    <row r="2406" spans="1:13">
      <c r="A2406" s="13">
        <f ca="1">IFERROR(__xludf.DUMMYFUNCTION("""COMPUTED_VALUE"""),18)</f>
        <v>18</v>
      </c>
      <c r="B2406" s="13"/>
      <c r="C2406" s="13" t="str">
        <f ca="1">IFERROR(__xludf.DUMMYFUNCTION("""COMPUTED_VALUE"""),"成长")</f>
        <v>成长</v>
      </c>
      <c r="D2406" s="13" t="str">
        <f ca="1">IFERROR(__xludf.DUMMYFUNCTION("""COMPUTED_VALUE"""),"&lt;ruby&gt;成长&lt;rt&gt;chéngzhǎng&lt;/rt&gt;&lt;/ruby&gt;")</f>
        <v>&lt;ruby&gt;成长&lt;rt&gt;chéngzhǎng&lt;/rt&gt;&lt;/ruby&gt;</v>
      </c>
      <c r="E2406" s="13" t="str">
        <f ca="1">IFERROR(__xludf.DUMMYFUNCTION("""COMPUTED_VALUE"""),"chéngzhǎng")</f>
        <v>chéngzhǎng</v>
      </c>
      <c r="F2406" s="13" t="str">
        <f ca="1">IFERROR(__xludf.DUMMYFUNCTION("""COMPUTED_VALUE"""),"Động từ")</f>
        <v>Động từ</v>
      </c>
      <c r="G2406" s="13" t="str">
        <f ca="1">IFERROR(__xludf.DUMMYFUNCTION("""COMPUTED_VALUE"""),"trưởng thành")</f>
        <v>trưởng thành</v>
      </c>
      <c r="H2406" s="13" t="str">
        <f ca="1">IFERROR(__xludf.DUMMYFUNCTION("""COMPUTED_VALUE"""),"成长是一段漫长的旅程。")</f>
        <v>成长是一段漫长的旅程。</v>
      </c>
      <c r="I2406" s="13"/>
      <c r="J2406" s="13" t="str">
        <f ca="1">IFERROR(__xludf.DUMMYFUNCTION("""COMPUTED_VALUE"""),"Trưởng thành là một hành trình dài.")</f>
        <v>Trưởng thành là một hành trình dài.</v>
      </c>
      <c r="K2406" s="13" t="str">
        <f ca="1">IFERROR(__xludf.DUMMYFUNCTION("""COMPUTED_VALUE"""),"H5_B28_BG18.png")</f>
        <v>H5_B28_BG18.png</v>
      </c>
      <c r="L2406" s="13" t="str">
        <f ca="1">IFERROR(__xludf.DUMMYFUNCTION("""COMPUTED_VALUE"""),"B28_18.mp3")</f>
        <v>B28_18.mp3</v>
      </c>
      <c r="M2406" s="13" t="str">
        <f ca="1">IFERROR(__xludf.DUMMYFUNCTION("""COMPUTED_VALUE"""),"B28_VD_18.mp3")</f>
        <v>B28_VD_18.mp3</v>
      </c>
    </row>
    <row r="2407" spans="1:13">
      <c r="A2407" s="13">
        <f ca="1">IFERROR(__xludf.DUMMYFUNCTION("""COMPUTED_VALUE"""),19)</f>
        <v>19</v>
      </c>
      <c r="B2407" s="13"/>
      <c r="C2407" s="13" t="str">
        <f ca="1">IFERROR(__xludf.DUMMYFUNCTION("""COMPUTED_VALUE"""),"休闲")</f>
        <v>休闲</v>
      </c>
      <c r="D2407" s="13" t="str">
        <f ca="1">IFERROR(__xludf.DUMMYFUNCTION("""COMPUTED_VALUE"""),"&lt;ruby&gt;休闲&lt;rt&gt;xiūxián&lt;/rt&gt;&lt;/ruby&gt;")</f>
        <v>&lt;ruby&gt;休闲&lt;rt&gt;xiūxián&lt;/rt&gt;&lt;/ruby&gt;</v>
      </c>
      <c r="E2407" s="13" t="str">
        <f ca="1">IFERROR(__xludf.DUMMYFUNCTION("""COMPUTED_VALUE"""),"xiūxián")</f>
        <v>xiūxián</v>
      </c>
      <c r="F2407" s="13" t="str">
        <f ca="1">IFERROR(__xludf.DUMMYFUNCTION("""COMPUTED_VALUE"""),"Động từ")</f>
        <v>Động từ</v>
      </c>
      <c r="G2407" s="13" t="str">
        <f ca="1">IFERROR(__xludf.DUMMYFUNCTION("""COMPUTED_VALUE"""),"nghỉ ngơi và giải trí")</f>
        <v>nghỉ ngơi và giải trí</v>
      </c>
      <c r="H2407" s="13" t="str">
        <f ca="1">IFERROR(__xludf.DUMMYFUNCTION("""COMPUTED_VALUE"""),"她经常在图书馆休闲。")</f>
        <v>她经常在图书馆休闲。</v>
      </c>
      <c r="I2407" s="13"/>
      <c r="J2407" s="13" t="str">
        <f ca="1">IFERROR(__xludf.DUMMYFUNCTION("""COMPUTED_VALUE"""),"Cô ấy hay nghỉ ngơi tại thư viện.")</f>
        <v>Cô ấy hay nghỉ ngơi tại thư viện.</v>
      </c>
      <c r="K2407" s="13" t="str">
        <f ca="1">IFERROR(__xludf.DUMMYFUNCTION("""COMPUTED_VALUE"""),"H5_B28_BG19.png")</f>
        <v>H5_B28_BG19.png</v>
      </c>
      <c r="L2407" s="13" t="str">
        <f ca="1">IFERROR(__xludf.DUMMYFUNCTION("""COMPUTED_VALUE"""),"B28_19.mp3")</f>
        <v>B28_19.mp3</v>
      </c>
      <c r="M2407" s="13" t="str">
        <f ca="1">IFERROR(__xludf.DUMMYFUNCTION("""COMPUTED_VALUE"""),"B28_VD_19.mp3")</f>
        <v>B28_VD_19.mp3</v>
      </c>
    </row>
    <row r="2408" spans="1:13">
      <c r="A2408" s="13">
        <f ca="1">IFERROR(__xludf.DUMMYFUNCTION("""COMPUTED_VALUE"""),20)</f>
        <v>20</v>
      </c>
      <c r="B2408" s="13"/>
      <c r="C2408" s="13" t="str">
        <f ca="1">IFERROR(__xludf.DUMMYFUNCTION("""COMPUTED_VALUE"""),"专注")</f>
        <v>专注</v>
      </c>
      <c r="D2408" s="13" t="str">
        <f ca="1">IFERROR(__xludf.DUMMYFUNCTION("""COMPUTED_VALUE"""),"&lt;ruby&gt;专注&lt;rt&gt;zhuānzhù&lt;/rt&gt;&lt;/ruby&gt;")</f>
        <v>&lt;ruby&gt;专注&lt;rt&gt;zhuānzhù&lt;/rt&gt;&lt;/ruby&gt;</v>
      </c>
      <c r="E2408" s="13" t="str">
        <f ca="1">IFERROR(__xludf.DUMMYFUNCTION("""COMPUTED_VALUE"""),"zhuānzhù")</f>
        <v>zhuānzhù</v>
      </c>
      <c r="F2408" s="13" t="str">
        <f ca="1">IFERROR(__xludf.DUMMYFUNCTION("""COMPUTED_VALUE"""),"Tính từ")</f>
        <v>Tính từ</v>
      </c>
      <c r="G2408" s="13" t="str">
        <f ca="1">IFERROR(__xludf.DUMMYFUNCTION("""COMPUTED_VALUE"""),"mê mải, dồn hết tâm trí vào")</f>
        <v>mê mải, dồn hết tâm trí vào</v>
      </c>
      <c r="H2408" s="13" t="str">
        <f ca="1">IFERROR(__xludf.DUMMYFUNCTION("""COMPUTED_VALUE"""),"他专注于研究新技术。")</f>
        <v>他专注于研究新技术。</v>
      </c>
      <c r="I2408" s="13"/>
      <c r="J2408" s="13" t="str">
        <f ca="1">IFERROR(__xludf.DUMMYFUNCTION("""COMPUTED_VALUE"""),"Cậu bé tập trung dồn hết vào bài tập nghiên cứu sinh học mới.")</f>
        <v>Cậu bé tập trung dồn hết vào bài tập nghiên cứu sinh học mới.</v>
      </c>
      <c r="K2408" s="13" t="str">
        <f ca="1">IFERROR(__xludf.DUMMYFUNCTION("""COMPUTED_VALUE"""),"H5_B28_BG20.png")</f>
        <v>H5_B28_BG20.png</v>
      </c>
      <c r="L2408" s="13" t="str">
        <f ca="1">IFERROR(__xludf.DUMMYFUNCTION("""COMPUTED_VALUE"""),"B28_20.mp3")</f>
        <v>B28_20.mp3</v>
      </c>
      <c r="M2408" s="13" t="str">
        <f ca="1">IFERROR(__xludf.DUMMYFUNCTION("""COMPUTED_VALUE"""),"B28_VD_20.mp3")</f>
        <v>B28_VD_20.mp3</v>
      </c>
    </row>
    <row r="2409" spans="1:13">
      <c r="A2409" s="13">
        <f ca="1">IFERROR(__xludf.DUMMYFUNCTION("""COMPUTED_VALUE"""),21)</f>
        <v>21</v>
      </c>
      <c r="B2409" s="13"/>
      <c r="C2409" s="13" t="str">
        <f ca="1">IFERROR(__xludf.DUMMYFUNCTION("""COMPUTED_VALUE"""),"执着")</f>
        <v>执着</v>
      </c>
      <c r="D2409" s="13" t="str">
        <f ca="1">IFERROR(__xludf.DUMMYFUNCTION("""COMPUTED_VALUE"""),"&lt;ruby&gt;执着&lt;rt&gt;zhízhuó&lt;/rt&gt;&lt;/ruby&gt;")</f>
        <v>&lt;ruby&gt;执着&lt;rt&gt;zhízhuó&lt;/rt&gt;&lt;/ruby&gt;</v>
      </c>
      <c r="E2409" s="13" t="str">
        <f ca="1">IFERROR(__xludf.DUMMYFUNCTION("""COMPUTED_VALUE"""),"zhízhuó")</f>
        <v>zhízhuó</v>
      </c>
      <c r="F2409" s="13" t="str">
        <f ca="1">IFERROR(__xludf.DUMMYFUNCTION("""COMPUTED_VALUE"""),"Tính từ")</f>
        <v>Tính từ</v>
      </c>
      <c r="G2409" s="13" t="str">
        <f ca="1">IFERROR(__xludf.DUMMYFUNCTION("""COMPUTED_VALUE"""),"bền bỉ, kiên trì")</f>
        <v>bền bỉ, kiên trì</v>
      </c>
      <c r="H2409" s="13" t="str">
        <f ca="1">IFERROR(__xludf.DUMMYFUNCTION("""COMPUTED_VALUE""")," 他的执着精神让人敬佩。")</f>
        <v xml:space="preserve"> 他的执着精神让人敬佩。</v>
      </c>
      <c r="I2409" s="13"/>
      <c r="J2409" s="13" t="str">
        <f ca="1">IFERROR(__xludf.DUMMYFUNCTION("""COMPUTED_VALUE"""),"Tinh thần kiên trì của anh ấy khiến người khác khâm phục.")</f>
        <v>Tinh thần kiên trì của anh ấy khiến người khác khâm phục.</v>
      </c>
      <c r="K2409" s="13" t="str">
        <f ca="1">IFERROR(__xludf.DUMMYFUNCTION("""COMPUTED_VALUE"""),"H5_B28_BG21.png")</f>
        <v>H5_B28_BG21.png</v>
      </c>
      <c r="L2409" s="13" t="str">
        <f ca="1">IFERROR(__xludf.DUMMYFUNCTION("""COMPUTED_VALUE"""),"B28_21.mp3")</f>
        <v>B28_21.mp3</v>
      </c>
      <c r="M2409" s="13" t="str">
        <f ca="1">IFERROR(__xludf.DUMMYFUNCTION("""COMPUTED_VALUE"""),"B28_VD_21.mp3")</f>
        <v>B28_VD_21.mp3</v>
      </c>
    </row>
    <row r="2410" spans="1:13">
      <c r="A2410" s="13">
        <f ca="1">IFERROR(__xludf.DUMMYFUNCTION("""COMPUTED_VALUE"""),22)</f>
        <v>22</v>
      </c>
      <c r="B2410" s="13"/>
      <c r="C2410" s="13" t="str">
        <f ca="1">IFERROR(__xludf.DUMMYFUNCTION("""COMPUTED_VALUE"""),"假设")</f>
        <v>假设</v>
      </c>
      <c r="D2410" s="13" t="str">
        <f ca="1">IFERROR(__xludf.DUMMYFUNCTION("""COMPUTED_VALUE"""),"&lt;ruby&gt;假设&lt;rt&gt;jiǎshè&lt;/rt&gt;&lt;/ruby&gt;")</f>
        <v>&lt;ruby&gt;假设&lt;rt&gt;jiǎshè&lt;/rt&gt;&lt;/ruby&gt;</v>
      </c>
      <c r="E2410" s="13" t="str">
        <f ca="1">IFERROR(__xludf.DUMMYFUNCTION("""COMPUTED_VALUE"""),"jiǎshè")</f>
        <v>jiǎshè</v>
      </c>
      <c r="F2410" s="13" t="str">
        <f ca="1">IFERROR(__xludf.DUMMYFUNCTION("""COMPUTED_VALUE"""),"Động từ")</f>
        <v>Động từ</v>
      </c>
      <c r="G2410" s="13" t="str">
        <f ca="1">IFERROR(__xludf.DUMMYFUNCTION("""COMPUTED_VALUE"""),"giả sử")</f>
        <v>giả sử</v>
      </c>
      <c r="H2410" s="13" t="str">
        <f ca="1">IFERROR(__xludf.DUMMYFUNCTION("""COMPUTED_VALUE"""),"假设你是老板，你会怎么管理公司？")</f>
        <v>假设你是老板，你会怎么管理公司？</v>
      </c>
      <c r="I2410" s="13"/>
      <c r="J2410" s="13" t="str">
        <f ca="1">IFERROR(__xludf.DUMMYFUNCTION("""COMPUTED_VALUE"""),"Giả sử bạn là ông chủ, bạn sẽ quản lý công ty thế nào?")</f>
        <v>Giả sử bạn là ông chủ, bạn sẽ quản lý công ty thế nào?</v>
      </c>
      <c r="K2410" s="13" t="str">
        <f ca="1">IFERROR(__xludf.DUMMYFUNCTION("""COMPUTED_VALUE"""),"H5_B28_BG22.png")</f>
        <v>H5_B28_BG22.png</v>
      </c>
      <c r="L2410" s="13" t="str">
        <f ca="1">IFERROR(__xludf.DUMMYFUNCTION("""COMPUTED_VALUE"""),"B28_22.mp3")</f>
        <v>B28_22.mp3</v>
      </c>
      <c r="M2410" s="13" t="str">
        <f ca="1">IFERROR(__xludf.DUMMYFUNCTION("""COMPUTED_VALUE"""),"B28_VD_22.mp3")</f>
        <v>B28_VD_22.mp3</v>
      </c>
    </row>
    <row r="2411" spans="1:13">
      <c r="A2411" s="13">
        <f ca="1">IFERROR(__xludf.DUMMYFUNCTION("""COMPUTED_VALUE"""),23)</f>
        <v>23</v>
      </c>
      <c r="B2411" s="13"/>
      <c r="C2411" s="13" t="str">
        <f ca="1">IFERROR(__xludf.DUMMYFUNCTION("""COMPUTED_VALUE"""),"前途")</f>
        <v>前途</v>
      </c>
      <c r="D2411" s="13" t="str">
        <f ca="1">IFERROR(__xludf.DUMMYFUNCTION("""COMPUTED_VALUE"""),"&lt;ruby&gt;前途&lt;rt&gt;qiántú&lt;/rt&gt;&lt;/ruby&gt;")</f>
        <v>&lt;ruby&gt;前途&lt;rt&gt;qiántú&lt;/rt&gt;&lt;/ruby&gt;</v>
      </c>
      <c r="E2411" s="13" t="str">
        <f ca="1">IFERROR(__xludf.DUMMYFUNCTION("""COMPUTED_VALUE"""),"qiántú")</f>
        <v>qiántú</v>
      </c>
      <c r="F2411" s="13" t="str">
        <f ca="1">IFERROR(__xludf.DUMMYFUNCTION("""COMPUTED_VALUE"""),"Danh từ")</f>
        <v>Danh từ</v>
      </c>
      <c r="G2411" s="13" t="str">
        <f ca="1">IFERROR(__xludf.DUMMYFUNCTION("""COMPUTED_VALUE"""),"tiền đồ, tương lai, triển vọng")</f>
        <v>tiền đồ, tương lai, triển vọng</v>
      </c>
      <c r="H2411" s="13" t="str">
        <f ca="1">IFERROR(__xludf.DUMMYFUNCTION("""COMPUTED_VALUE"""),"你的前途一定会很光明")</f>
        <v>你的前途一定会很光明</v>
      </c>
      <c r="I2411" s="13"/>
      <c r="J2411" s="13" t="str">
        <f ca="1">IFERROR(__xludf.DUMMYFUNCTION("""COMPUTED_VALUE"""),"Tương lai của bạn chắc chắn sẽ tươi sáng.")</f>
        <v>Tương lai của bạn chắc chắn sẽ tươi sáng.</v>
      </c>
      <c r="K2411" s="13" t="str">
        <f ca="1">IFERROR(__xludf.DUMMYFUNCTION("""COMPUTED_VALUE"""),"H5_B28_BG23.png")</f>
        <v>H5_B28_BG23.png</v>
      </c>
      <c r="L2411" s="13" t="str">
        <f ca="1">IFERROR(__xludf.DUMMYFUNCTION("""COMPUTED_VALUE"""),"B28_23.mp3")</f>
        <v>B28_23.mp3</v>
      </c>
      <c r="M2411" s="13" t="str">
        <f ca="1">IFERROR(__xludf.DUMMYFUNCTION("""COMPUTED_VALUE"""),"B28_VD_23.mp3")</f>
        <v>B28_VD_23.mp3</v>
      </c>
    </row>
    <row r="2412" spans="1:13">
      <c r="A2412" s="13">
        <f ca="1">IFERROR(__xludf.DUMMYFUNCTION("""COMPUTED_VALUE"""),24)</f>
        <v>24</v>
      </c>
      <c r="B2412" s="13"/>
      <c r="C2412" s="13" t="str">
        <f ca="1">IFERROR(__xludf.DUMMYFUNCTION("""COMPUTED_VALUE"""),"光明")</f>
        <v>光明</v>
      </c>
      <c r="D2412" s="13" t="str">
        <f ca="1">IFERROR(__xludf.DUMMYFUNCTION("""COMPUTED_VALUE"""),"&lt;ruby&gt;光明&lt;rt&gt;guāngmíng&lt;/rt&gt;&lt;/ruby&gt;")</f>
        <v>&lt;ruby&gt;光明&lt;rt&gt;guāngmíng&lt;/rt&gt;&lt;/ruby&gt;</v>
      </c>
      <c r="E2412" s="13" t="str">
        <f ca="1">IFERROR(__xludf.DUMMYFUNCTION("""COMPUTED_VALUE"""),"guāngmíng")</f>
        <v>guāngmíng</v>
      </c>
      <c r="F2412" s="13" t="str">
        <f ca="1">IFERROR(__xludf.DUMMYFUNCTION("""COMPUTED_VALUE"""),"Tính từ")</f>
        <v>Tính từ</v>
      </c>
      <c r="G2412" s="13" t="str">
        <f ca="1">IFERROR(__xludf.DUMMYFUNCTION("""COMPUTED_VALUE"""),"sáng sủa, tươi sáng")</f>
        <v>sáng sủa, tươi sáng</v>
      </c>
      <c r="H2412" s="13" t="str">
        <f ca="1">IFERROR(__xludf.DUMMYFUNCTION("""COMPUTED_VALUE"""),"我对未来充满光明的希望。")</f>
        <v>我对未来充满光明的希望。</v>
      </c>
      <c r="I2412" s="13"/>
      <c r="J2412" s="13" t="str">
        <f ca="1">IFERROR(__xludf.DUMMYFUNCTION("""COMPUTED_VALUE"""),"Tôi tràn đầy hy vọng vào một tương lai tươi sáng.")</f>
        <v>Tôi tràn đầy hy vọng vào một tương lai tươi sáng.</v>
      </c>
      <c r="K2412" s="13" t="str">
        <f ca="1">IFERROR(__xludf.DUMMYFUNCTION("""COMPUTED_VALUE"""),"H5_B28_BG24.png")</f>
        <v>H5_B28_BG24.png</v>
      </c>
      <c r="L2412" s="13" t="str">
        <f ca="1">IFERROR(__xludf.DUMMYFUNCTION("""COMPUTED_VALUE"""),"B28_24.mp3")</f>
        <v>B28_24.mp3</v>
      </c>
      <c r="M2412" s="13" t="str">
        <f ca="1">IFERROR(__xludf.DUMMYFUNCTION("""COMPUTED_VALUE"""),"B28_VD_24.mp3")</f>
        <v>B28_VD_24.mp3</v>
      </c>
    </row>
    <row r="2413" spans="1:13">
      <c r="A2413" s="13">
        <f ca="1">IFERROR(__xludf.DUMMYFUNCTION("""COMPUTED_VALUE"""),25)</f>
        <v>25</v>
      </c>
      <c r="B2413" s="13"/>
      <c r="C2413" s="13" t="str">
        <f ca="1">IFERROR(__xludf.DUMMYFUNCTION("""COMPUTED_VALUE"""),"实话")</f>
        <v>实话</v>
      </c>
      <c r="D2413" s="13" t="str">
        <f ca="1">IFERROR(__xludf.DUMMYFUNCTION("""COMPUTED_VALUE"""),"&lt;ruby&gt;实话&lt;rt&gt;shíhuà&lt;/rt&gt;&lt;/ruby&gt;")</f>
        <v>&lt;ruby&gt;实话&lt;rt&gt;shíhuà&lt;/rt&gt;&lt;/ruby&gt;</v>
      </c>
      <c r="E2413" s="13" t="str">
        <f ca="1">IFERROR(__xludf.DUMMYFUNCTION("""COMPUTED_VALUE"""),"shíhuà")</f>
        <v>shíhuà</v>
      </c>
      <c r="F2413" s="13" t="str">
        <f ca="1">IFERROR(__xludf.DUMMYFUNCTION("""COMPUTED_VALUE"""),"Danh từ")</f>
        <v>Danh từ</v>
      </c>
      <c r="G2413" s="13" t="str">
        <f ca="1">IFERROR(__xludf.DUMMYFUNCTION("""COMPUTED_VALUE"""),"lời nói thật")</f>
        <v>lời nói thật</v>
      </c>
      <c r="H2413" s="13" t="str">
        <f ca="1">IFERROR(__xludf.DUMMYFUNCTION("""COMPUTED_VALUE"""),"你要跟我说实话，不要骗我。")</f>
        <v>你要跟我说实话，不要骗我。</v>
      </c>
      <c r="I2413" s="13"/>
      <c r="J2413" s="13" t="str">
        <f ca="1">IFERROR(__xludf.DUMMYFUNCTION("""COMPUTED_VALUE"""),"Bạn phải nói thật với tôi, đừng lừa tôi.")</f>
        <v>Bạn phải nói thật với tôi, đừng lừa tôi.</v>
      </c>
      <c r="K2413" s="13" t="str">
        <f ca="1">IFERROR(__xludf.DUMMYFUNCTION("""COMPUTED_VALUE"""),"H5_B28_BG25.png")</f>
        <v>H5_B28_BG25.png</v>
      </c>
      <c r="L2413" s="13" t="str">
        <f ca="1">IFERROR(__xludf.DUMMYFUNCTION("""COMPUTED_VALUE"""),"B28_25.mp3")</f>
        <v>B28_25.mp3</v>
      </c>
      <c r="M2413" s="13" t="str">
        <f ca="1">IFERROR(__xludf.DUMMYFUNCTION("""COMPUTED_VALUE"""),"B28_VD_25.mp3")</f>
        <v>B28_VD_25.mp3</v>
      </c>
    </row>
    <row r="2414" spans="1:13">
      <c r="A2414" s="13">
        <f ca="1">IFERROR(__xludf.DUMMYFUNCTION("""COMPUTED_VALUE"""),26)</f>
        <v>26</v>
      </c>
      <c r="B2414" s="13"/>
      <c r="C2414" s="13" t="str">
        <f ca="1">IFERROR(__xludf.DUMMYFUNCTION("""COMPUTED_VALUE"""),"现场")</f>
        <v>现场</v>
      </c>
      <c r="D2414" s="13" t="str">
        <f ca="1">IFERROR(__xludf.DUMMYFUNCTION("""COMPUTED_VALUE"""),"&lt;ruby&gt;现场&lt;rt&gt;xiànchǎng&lt;/rt&gt;&lt;/ruby&gt;")</f>
        <v>&lt;ruby&gt;现场&lt;rt&gt;xiànchǎng&lt;/rt&gt;&lt;/ruby&gt;</v>
      </c>
      <c r="E2414" s="13" t="str">
        <f ca="1">IFERROR(__xludf.DUMMYFUNCTION("""COMPUTED_VALUE"""),"xiànchǎng")</f>
        <v>xiànchǎng</v>
      </c>
      <c r="F2414" s="13" t="str">
        <f ca="1">IFERROR(__xludf.DUMMYFUNCTION("""COMPUTED_VALUE"""),"Danh từ")</f>
        <v>Danh từ</v>
      </c>
      <c r="G2414" s="13" t="str">
        <f ca="1">IFERROR(__xludf.DUMMYFUNCTION("""COMPUTED_VALUE"""),"hiện trường, nơi, chỗ")</f>
        <v>hiện trường, nơi, chỗ</v>
      </c>
      <c r="H2414" s="13" t="str">
        <f ca="1">IFERROR(__xludf.DUMMYFUNCTION("""COMPUTED_VALUE"""),"警察正在调查事故现场。")</f>
        <v>警察正在调查事故现场。</v>
      </c>
      <c r="I2414" s="13"/>
      <c r="J2414" s="13" t="str">
        <f ca="1">IFERROR(__xludf.DUMMYFUNCTION("""COMPUTED_VALUE"""),"Cảnh sát đang điều tra hiện trường vụ tai nạn.")</f>
        <v>Cảnh sát đang điều tra hiện trường vụ tai nạn.</v>
      </c>
      <c r="K2414" s="13" t="str">
        <f ca="1">IFERROR(__xludf.DUMMYFUNCTION("""COMPUTED_VALUE"""),"H5_B28_BG26.png")</f>
        <v>H5_B28_BG26.png</v>
      </c>
      <c r="L2414" s="13" t="str">
        <f ca="1">IFERROR(__xludf.DUMMYFUNCTION("""COMPUTED_VALUE"""),"B28_26.mp3")</f>
        <v>B28_26.mp3</v>
      </c>
      <c r="M2414" s="13" t="str">
        <f ca="1">IFERROR(__xludf.DUMMYFUNCTION("""COMPUTED_VALUE"""),"B28_VD_26.mp3")</f>
        <v>B28_VD_26.mp3</v>
      </c>
    </row>
    <row r="2415" spans="1:13">
      <c r="A2415" s="13">
        <f ca="1">IFERROR(__xludf.DUMMYFUNCTION("""COMPUTED_VALUE"""),27)</f>
        <v>27</v>
      </c>
      <c r="B2415" s="13"/>
      <c r="C2415" s="13" t="str">
        <f ca="1">IFERROR(__xludf.DUMMYFUNCTION("""COMPUTED_VALUE"""),"体验")</f>
        <v>体验</v>
      </c>
      <c r="D2415" s="13" t="str">
        <f ca="1">IFERROR(__xludf.DUMMYFUNCTION("""COMPUTED_VALUE"""),"&lt;ruby&gt;体验&lt;rt&gt;tǐyàn&lt;/rt&gt;&lt;/ruby&gt;")</f>
        <v>&lt;ruby&gt;体验&lt;rt&gt;tǐyàn&lt;/rt&gt;&lt;/ruby&gt;</v>
      </c>
      <c r="E2415" s="13" t="str">
        <f ca="1">IFERROR(__xludf.DUMMYFUNCTION("""COMPUTED_VALUE"""),"tǐyàn")</f>
        <v>tǐyàn</v>
      </c>
      <c r="F2415" s="13" t="str">
        <f ca="1">IFERROR(__xludf.DUMMYFUNCTION("""COMPUTED_VALUE"""),"Động từ")</f>
        <v>Động từ</v>
      </c>
      <c r="G2415" s="13" t="str">
        <f ca="1">IFERROR(__xludf.DUMMYFUNCTION("""COMPUTED_VALUE"""),"thể nghiệm")</f>
        <v>thể nghiệm</v>
      </c>
      <c r="H2415" s="13" t="str">
        <f ca="1">IFERROR(__xludf.DUMMYFUNCTION("""COMPUTED_VALUE"""),"我想体验一下当地的文化。")</f>
        <v>我想体验一下当地的文化。</v>
      </c>
      <c r="I2415" s="13"/>
      <c r="J2415" s="13" t="str">
        <f ca="1">IFERROR(__xludf.DUMMYFUNCTION("""COMPUTED_VALUE"""),"Tôi muốn trải nghiệm văn hóa địa phương.")</f>
        <v>Tôi muốn trải nghiệm văn hóa địa phương.</v>
      </c>
      <c r="K2415" s="13" t="str">
        <f ca="1">IFERROR(__xludf.DUMMYFUNCTION("""COMPUTED_VALUE"""),"H5_B28_BG27.png")</f>
        <v>H5_B28_BG27.png</v>
      </c>
      <c r="L2415" s="13" t="str">
        <f ca="1">IFERROR(__xludf.DUMMYFUNCTION("""COMPUTED_VALUE"""),"B28_27.mp3")</f>
        <v>B28_27.mp3</v>
      </c>
      <c r="M2415" s="13" t="str">
        <f ca="1">IFERROR(__xludf.DUMMYFUNCTION("""COMPUTED_VALUE"""),"B28_VD_27.mp3")</f>
        <v>B28_VD_27.mp3</v>
      </c>
    </row>
    <row r="2416" spans="1:13">
      <c r="A2416" s="13">
        <f ca="1">IFERROR(__xludf.DUMMYFUNCTION("""COMPUTED_VALUE"""),28)</f>
        <v>28</v>
      </c>
      <c r="B2416" s="13"/>
      <c r="C2416" s="13" t="str">
        <f ca="1">IFERROR(__xludf.DUMMYFUNCTION("""COMPUTED_VALUE"""),"范围")</f>
        <v>范围</v>
      </c>
      <c r="D2416" s="13" t="str">
        <f ca="1">IFERROR(__xludf.DUMMYFUNCTION("""COMPUTED_VALUE"""),"&lt;ruby&gt;范围&lt;rt&gt;fànwéi&lt;/rt&gt;&lt;/ruby&gt;")</f>
        <v>&lt;ruby&gt;范围&lt;rt&gt;fànwéi&lt;/rt&gt;&lt;/ruby&gt;</v>
      </c>
      <c r="E2416" s="13" t="str">
        <f ca="1">IFERROR(__xludf.DUMMYFUNCTION("""COMPUTED_VALUE"""),"fànwéi")</f>
        <v>fànwéi</v>
      </c>
      <c r="F2416" s="13" t="str">
        <f ca="1">IFERROR(__xludf.DUMMYFUNCTION("""COMPUTED_VALUE"""),"Danh từ")</f>
        <v>Danh từ</v>
      </c>
      <c r="G2416" s="13" t="str">
        <f ca="1">IFERROR(__xludf.DUMMYFUNCTION("""COMPUTED_VALUE"""),"phạm vị")</f>
        <v>phạm vị</v>
      </c>
      <c r="H2416" s="13" t="str">
        <f ca="1">IFERROR(__xludf.DUMMYFUNCTION("""COMPUTED_VALUE"""),"这个问题超出了我们的讨论范围")</f>
        <v>这个问题超出了我们的讨论范围</v>
      </c>
      <c r="I2416" s="13"/>
      <c r="J2416" s="13" t="str">
        <f ca="1">IFERROR(__xludf.DUMMYFUNCTION("""COMPUTED_VALUE"""),"Vấn đề này vượt quá phạm vi thảo luận của chúng ta.")</f>
        <v>Vấn đề này vượt quá phạm vi thảo luận của chúng ta.</v>
      </c>
      <c r="K2416" s="13" t="str">
        <f ca="1">IFERROR(__xludf.DUMMYFUNCTION("""COMPUTED_VALUE"""),"H5_B28_BG28.png")</f>
        <v>H5_B28_BG28.png</v>
      </c>
      <c r="L2416" s="13" t="str">
        <f ca="1">IFERROR(__xludf.DUMMYFUNCTION("""COMPUTED_VALUE"""),"B28_28.mp3")</f>
        <v>B28_28.mp3</v>
      </c>
      <c r="M2416" s="13" t="str">
        <f ca="1">IFERROR(__xludf.DUMMYFUNCTION("""COMPUTED_VALUE"""),"B28_VD_28.mp3")</f>
        <v>B28_VD_28.mp3</v>
      </c>
    </row>
    <row r="2417" spans="1:13">
      <c r="A2417" s="13">
        <f ca="1">IFERROR(__xludf.DUMMYFUNCTION("""COMPUTED_VALUE"""),29)</f>
        <v>29</v>
      </c>
      <c r="B2417" s="13"/>
      <c r="C2417" s="13" t="str">
        <f ca="1">IFERROR(__xludf.DUMMYFUNCTION("""COMPUTED_VALUE"""),"初（级）中（学）")</f>
        <v>初（级）中（学）</v>
      </c>
      <c r="D2417" s="13" t="str">
        <f ca="1">IFERROR(__xludf.DUMMYFUNCTION("""COMPUTED_VALUE"""),"&lt;ruby&gt;初（级）中（学）&lt;rt&gt;chū (jí) zhōng (xué)&lt;/rt&gt;&lt;/ruby&gt;")</f>
        <v>&lt;ruby&gt;初（级）中（学）&lt;rt&gt;chū (jí) zhōng (xué)&lt;/rt&gt;&lt;/ruby&gt;</v>
      </c>
      <c r="E2417" s="13" t="str">
        <f ca="1">IFERROR(__xludf.DUMMYFUNCTION("""COMPUTED_VALUE"""),"chū (jí) zhōng (xué)")</f>
        <v>chū (jí) zhōng (xué)</v>
      </c>
      <c r="F2417" s="13" t="str">
        <f ca="1">IFERROR(__xludf.DUMMYFUNCTION("""COMPUTED_VALUE"""),"Danh từ")</f>
        <v>Danh từ</v>
      </c>
      <c r="G2417" s="13" t="str">
        <f ca="1">IFERROR(__xludf.DUMMYFUNCTION("""COMPUTED_VALUE"""),"trung học cơ sở")</f>
        <v>trung học cơ sở</v>
      </c>
      <c r="H2417" s="13" t="str">
        <f ca="1">IFERROR(__xludf.DUMMYFUNCTION("""COMPUTED_VALUE"""),"我弟弟今年上初级中学。")</f>
        <v>我弟弟今年上初级中学。</v>
      </c>
      <c r="I2417" s="13"/>
      <c r="J2417" s="13" t="str">
        <f ca="1">IFERROR(__xludf.DUMMYFUNCTION("""COMPUTED_VALUE"""),"Em trai tôi năm nay học trung học cơ sở.")</f>
        <v>Em trai tôi năm nay học trung học cơ sở.</v>
      </c>
      <c r="K2417" s="13" t="str">
        <f ca="1">IFERROR(__xludf.DUMMYFUNCTION("""COMPUTED_VALUE"""),"H5_B28_BG29.png")</f>
        <v>H5_B28_BG29.png</v>
      </c>
      <c r="L2417" s="13" t="str">
        <f ca="1">IFERROR(__xludf.DUMMYFUNCTION("""COMPUTED_VALUE"""),"B28_29.mp3")</f>
        <v>B28_29.mp3</v>
      </c>
      <c r="M2417" s="13" t="str">
        <f ca="1">IFERROR(__xludf.DUMMYFUNCTION("""COMPUTED_VALUE"""),"B28_VD_29.mp3")</f>
        <v>B28_VD_29.mp3</v>
      </c>
    </row>
    <row r="2418" spans="1:13">
      <c r="A2418" s="13">
        <f ca="1">IFERROR(__xludf.DUMMYFUNCTION("""COMPUTED_VALUE"""),30)</f>
        <v>30</v>
      </c>
      <c r="B2418" s="13"/>
      <c r="C2418" s="13" t="str">
        <f ca="1">IFERROR(__xludf.DUMMYFUNCTION("""COMPUTED_VALUE"""),"才艺")</f>
        <v>才艺</v>
      </c>
      <c r="D2418" s="13" t="str">
        <f ca="1">IFERROR(__xludf.DUMMYFUNCTION("""COMPUTED_VALUE"""),"&lt;ruby&gt;才艺&lt;rt&gt;cáiyì&lt;/rt&gt;&lt;/ruby&gt;")</f>
        <v>&lt;ruby&gt;才艺&lt;rt&gt;cáiyì&lt;/rt&gt;&lt;/ruby&gt;</v>
      </c>
      <c r="E2418" s="13" t="str">
        <f ca="1">IFERROR(__xludf.DUMMYFUNCTION("""COMPUTED_VALUE"""),"cáiyì")</f>
        <v>cáiyì</v>
      </c>
      <c r="F2418" s="13" t="str">
        <f ca="1">IFERROR(__xludf.DUMMYFUNCTION("""COMPUTED_VALUE"""),"Danh từ")</f>
        <v>Danh từ</v>
      </c>
      <c r="G2418" s="13" t="str">
        <f ca="1">IFERROR(__xludf.DUMMYFUNCTION("""COMPUTED_VALUE"""),"tài nghệ")</f>
        <v>tài nghệ</v>
      </c>
      <c r="H2418" s="13" t="str">
        <f ca="1">IFERROR(__xludf.DUMMYFUNCTION("""COMPUTED_VALUE"""),"她在才艺比赛中获得了第一名。")</f>
        <v>她在才艺比赛中获得了第一名。</v>
      </c>
      <c r="I2418" s="13"/>
      <c r="J2418" s="13" t="str">
        <f ca="1">IFERROR(__xludf.DUMMYFUNCTION("""COMPUTED_VALUE"""),"Cô ấy giành giải nhất trong cuộc thi tài năng.")</f>
        <v>Cô ấy giành giải nhất trong cuộc thi tài năng.</v>
      </c>
      <c r="K2418" s="13" t="str">
        <f ca="1">IFERROR(__xludf.DUMMYFUNCTION("""COMPUTED_VALUE"""),"H5_B28_BG30.png")</f>
        <v>H5_B28_BG30.png</v>
      </c>
      <c r="L2418" s="13" t="str">
        <f ca="1">IFERROR(__xludf.DUMMYFUNCTION("""COMPUTED_VALUE"""),"B28_30.mp3")</f>
        <v>B28_30.mp3</v>
      </c>
      <c r="M2418" s="13" t="str">
        <f ca="1">IFERROR(__xludf.DUMMYFUNCTION("""COMPUTED_VALUE"""),"B28_VD_30.mp3")</f>
        <v>B28_VD_30.mp3</v>
      </c>
    </row>
    <row r="2419" spans="1:13">
      <c r="A2419" s="13">
        <f ca="1">IFERROR(__xludf.DUMMYFUNCTION("""COMPUTED_VALUE"""),31)</f>
        <v>31</v>
      </c>
      <c r="B2419" s="13"/>
      <c r="C2419" s="13" t="str">
        <f ca="1">IFERROR(__xludf.DUMMYFUNCTION("""COMPUTED_VALUE"""),"乘")</f>
        <v>乘</v>
      </c>
      <c r="D2419" s="13" t="str">
        <f ca="1">IFERROR(__xludf.DUMMYFUNCTION("""COMPUTED_VALUE"""),"&lt;ruby&gt;乘&lt;rt&gt;chéng&lt;/rt&gt;&lt;/ruby&gt;")</f>
        <v>&lt;ruby&gt;乘&lt;rt&gt;chéng&lt;/rt&gt;&lt;/ruby&gt;</v>
      </c>
      <c r="E2419" s="13" t="str">
        <f ca="1">IFERROR(__xludf.DUMMYFUNCTION("""COMPUTED_VALUE"""),"chéng")</f>
        <v>chéng</v>
      </c>
      <c r="F2419" s="13" t="str">
        <f ca="1">IFERROR(__xludf.DUMMYFUNCTION("""COMPUTED_VALUE"""),"Động từ")</f>
        <v>Động từ</v>
      </c>
      <c r="G2419" s="13" t="str">
        <f ca="1">IFERROR(__xludf.DUMMYFUNCTION("""COMPUTED_VALUE"""),"đi xe, đón xe")</f>
        <v>đi xe, đón xe</v>
      </c>
      <c r="H2419" s="13" t="str">
        <f ca="1">IFERROR(__xludf.DUMMYFUNCTION("""COMPUTED_VALUE"""),"我们乘公交车去学校。")</f>
        <v>我们乘公交车去学校。</v>
      </c>
      <c r="I2419" s="13"/>
      <c r="J2419" s="13" t="str">
        <f ca="1">IFERROR(__xludf.DUMMYFUNCTION("""COMPUTED_VALUE"""),"Chúng tôi đi xe buýt đến trường.")</f>
        <v>Chúng tôi đi xe buýt đến trường.</v>
      </c>
      <c r="K2419" s="13" t="str">
        <f ca="1">IFERROR(__xludf.DUMMYFUNCTION("""COMPUTED_VALUE"""),"H5_B28_BG31.png")</f>
        <v>H5_B28_BG31.png</v>
      </c>
      <c r="L2419" s="13" t="str">
        <f ca="1">IFERROR(__xludf.DUMMYFUNCTION("""COMPUTED_VALUE"""),"B28_31.mp3")</f>
        <v>B28_31.mp3</v>
      </c>
      <c r="M2419" s="13" t="str">
        <f ca="1">IFERROR(__xludf.DUMMYFUNCTION("""COMPUTED_VALUE"""),"B28_VD_31.mp3")</f>
        <v>B28_VD_31.mp3</v>
      </c>
    </row>
    <row r="2420" spans="1:13">
      <c r="A2420" s="13">
        <f ca="1">IFERROR(__xludf.DUMMYFUNCTION("""COMPUTED_VALUE"""),32)</f>
        <v>32</v>
      </c>
      <c r="B2420" s="13"/>
      <c r="C2420" s="13" t="str">
        <f ca="1">IFERROR(__xludf.DUMMYFUNCTION("""COMPUTED_VALUE"""),"反应")</f>
        <v>反应</v>
      </c>
      <c r="D2420" s="13" t="str">
        <f ca="1">IFERROR(__xludf.DUMMYFUNCTION("""COMPUTED_VALUE"""),"&lt;ruby&gt;反应&lt;rt&gt;fǎnyìng&lt;/rt&gt;&lt;/ruby&gt;")</f>
        <v>&lt;ruby&gt;反应&lt;rt&gt;fǎnyìng&lt;/rt&gt;&lt;/ruby&gt;</v>
      </c>
      <c r="E2420" s="13" t="str">
        <f ca="1">IFERROR(__xludf.DUMMYFUNCTION("""COMPUTED_VALUE"""),"fǎnyìng")</f>
        <v>fǎnyìng</v>
      </c>
      <c r="F2420" s="13" t="str">
        <f ca="1">IFERROR(__xludf.DUMMYFUNCTION("""COMPUTED_VALUE"""),"Động từ")</f>
        <v>Động từ</v>
      </c>
      <c r="G2420" s="13" t="str">
        <f ca="1">IFERROR(__xludf.DUMMYFUNCTION("""COMPUTED_VALUE"""),"phản ứng lại")</f>
        <v>phản ứng lại</v>
      </c>
      <c r="H2420" s="13" t="str">
        <f ca="1">IFERROR(__xludf.DUMMYFUNCTION("""COMPUTED_VALUE"""),"他听到这个消息后反应很大。")</f>
        <v>他听到这个消息后反应很大。</v>
      </c>
      <c r="I2420" s="13"/>
      <c r="J2420" s="13" t="str">
        <f ca="1">IFERROR(__xludf.DUMMYFUNCTION("""COMPUTED_VALUE"""),"Anh ấy phản ứng rất mạnh khi nghe tin này.")</f>
        <v>Anh ấy phản ứng rất mạnh khi nghe tin này.</v>
      </c>
      <c r="K2420" s="13" t="str">
        <f ca="1">IFERROR(__xludf.DUMMYFUNCTION("""COMPUTED_VALUE"""),"H5_B28_BG32.png")</f>
        <v>H5_B28_BG32.png</v>
      </c>
      <c r="L2420" s="13" t="str">
        <f ca="1">IFERROR(__xludf.DUMMYFUNCTION("""COMPUTED_VALUE"""),"B28_32.mp3")</f>
        <v>B28_32.mp3</v>
      </c>
      <c r="M2420" s="13" t="str">
        <f ca="1">IFERROR(__xludf.DUMMYFUNCTION("""COMPUTED_VALUE"""),"B28_VD_32.mp3")</f>
        <v>B28_VD_32.mp3</v>
      </c>
    </row>
    <row r="2421" spans="1:13">
      <c r="A2421" s="13">
        <f ca="1">IFERROR(__xludf.DUMMYFUNCTION("""COMPUTED_VALUE"""),33)</f>
        <v>33</v>
      </c>
      <c r="B2421" s="13"/>
      <c r="C2421" s="13" t="str">
        <f ca="1">IFERROR(__xludf.DUMMYFUNCTION("""COMPUTED_VALUE"""),"到达")</f>
        <v>到达</v>
      </c>
      <c r="D2421" s="13" t="str">
        <f ca="1">IFERROR(__xludf.DUMMYFUNCTION("""COMPUTED_VALUE"""),"&lt;ruby&gt;到达&lt;rt&gt;dàodá&lt;/rt&gt;&lt;/ruby&gt;")</f>
        <v>&lt;ruby&gt;到达&lt;rt&gt;dàodá&lt;/rt&gt;&lt;/ruby&gt;</v>
      </c>
      <c r="E2421" s="13" t="str">
        <f ca="1">IFERROR(__xludf.DUMMYFUNCTION("""COMPUTED_VALUE"""),"dàodá")</f>
        <v>dàodá</v>
      </c>
      <c r="F2421" s="13" t="str">
        <f ca="1">IFERROR(__xludf.DUMMYFUNCTION("""COMPUTED_VALUE"""),"Động từ")</f>
        <v>Động từ</v>
      </c>
      <c r="G2421" s="13" t="str">
        <f ca="1">IFERROR(__xludf.DUMMYFUNCTION("""COMPUTED_VALUE"""),"đến, tới")</f>
        <v>đến, tới</v>
      </c>
      <c r="H2421" s="13" t="str">
        <f ca="1">IFERROR(__xludf.DUMMYFUNCTION("""COMPUTED_VALUE"""),"飞机下午三点到达上海。")</f>
        <v>飞机下午三点到达上海。</v>
      </c>
      <c r="I2421" s="13"/>
      <c r="J2421" s="13" t="str">
        <f ca="1">IFERROR(__xludf.DUMMYFUNCTION("""COMPUTED_VALUE"""),"Máy bay đến Thượng Hải lúc 3 giờ chiều.")</f>
        <v>Máy bay đến Thượng Hải lúc 3 giờ chiều.</v>
      </c>
      <c r="K2421" s="13" t="str">
        <f ca="1">IFERROR(__xludf.DUMMYFUNCTION("""COMPUTED_VALUE"""),"H5_B28_BG33.png")</f>
        <v>H5_B28_BG33.png</v>
      </c>
      <c r="L2421" s="13" t="str">
        <f ca="1">IFERROR(__xludf.DUMMYFUNCTION("""COMPUTED_VALUE"""),"B28_33.mp3")</f>
        <v>B28_33.mp3</v>
      </c>
      <c r="M2421" s="13" t="str">
        <f ca="1">IFERROR(__xludf.DUMMYFUNCTION("""COMPUTED_VALUE"""),"B28_VD_33.mp3")</f>
        <v>B28_VD_33.mp3</v>
      </c>
    </row>
    <row r="2422" spans="1:13">
      <c r="A2422" s="13">
        <f ca="1">IFERROR(__xludf.DUMMYFUNCTION("""COMPUTED_VALUE"""),34)</f>
        <v>34</v>
      </c>
      <c r="B2422" s="13"/>
      <c r="C2422" s="13" t="str">
        <f ca="1">IFERROR(__xludf.DUMMYFUNCTION("""COMPUTED_VALUE"""),"陆续")</f>
        <v>陆续</v>
      </c>
      <c r="D2422" s="13" t="str">
        <f ca="1">IFERROR(__xludf.DUMMYFUNCTION("""COMPUTED_VALUE"""),"&lt;ruby&gt;陆续&lt;rt&gt;lùxù&lt;/rt&gt;&lt;/ruby&gt;")</f>
        <v>&lt;ruby&gt;陆续&lt;rt&gt;lùxù&lt;/rt&gt;&lt;/ruby&gt;</v>
      </c>
      <c r="E2422" s="13" t="str">
        <f ca="1">IFERROR(__xludf.DUMMYFUNCTION("""COMPUTED_VALUE"""),"lùxù")</f>
        <v>lùxù</v>
      </c>
      <c r="F2422" s="13" t="str">
        <f ca="1">IFERROR(__xludf.DUMMYFUNCTION("""COMPUTED_VALUE"""),"Phó từ")</f>
        <v>Phó từ</v>
      </c>
      <c r="G2422" s="13" t="str">
        <f ca="1">IFERROR(__xludf.DUMMYFUNCTION("""COMPUTED_VALUE"""),"lần lượt, liên tiếp")</f>
        <v>lần lượt, liên tiếp</v>
      </c>
      <c r="H2422" s="13" t="str">
        <f ca="1">IFERROR(__xludf.DUMMYFUNCTION("""COMPUTED_VALUE"""),"客人们陆续到达了酒店。")</f>
        <v>客人们陆续到达了酒店。</v>
      </c>
      <c r="I2422" s="13"/>
      <c r="J2422" s="13" t="str">
        <f ca="1">IFERROR(__xludf.DUMMYFUNCTION("""COMPUTED_VALUE"""),"Khách lần lượt đến khách sạn.")</f>
        <v>Khách lần lượt đến khách sạn.</v>
      </c>
      <c r="K2422" s="13" t="str">
        <f ca="1">IFERROR(__xludf.DUMMYFUNCTION("""COMPUTED_VALUE"""),"H5_B28_BG34.png")</f>
        <v>H5_B28_BG34.png</v>
      </c>
      <c r="L2422" s="13" t="str">
        <f ca="1">IFERROR(__xludf.DUMMYFUNCTION("""COMPUTED_VALUE"""),"B28_34.mp3")</f>
        <v>B28_34.mp3</v>
      </c>
      <c r="M2422" s="13" t="str">
        <f ca="1">IFERROR(__xludf.DUMMYFUNCTION("""COMPUTED_VALUE"""),"B28_VD_34.mp3")</f>
        <v>B28_VD_34.mp3</v>
      </c>
    </row>
    <row r="2423" spans="1:13">
      <c r="A2423" s="13">
        <f ca="1">IFERROR(__xludf.DUMMYFUNCTION("""COMPUTED_VALUE"""),35)</f>
        <v>35</v>
      </c>
      <c r="B2423" s="13"/>
      <c r="C2423" s="13" t="str">
        <f ca="1">IFERROR(__xludf.DUMMYFUNCTION("""COMPUTED_VALUE"""),"提问")</f>
        <v>提问</v>
      </c>
      <c r="D2423" s="13" t="str">
        <f ca="1">IFERROR(__xludf.DUMMYFUNCTION("""COMPUTED_VALUE"""),"&lt;ruby&gt;提问&lt;rt&gt;tíwèn&lt;/rt&gt;&lt;/ruby&gt;")</f>
        <v>&lt;ruby&gt;提问&lt;rt&gt;tíwèn&lt;/rt&gt;&lt;/ruby&gt;</v>
      </c>
      <c r="E2423" s="13" t="str">
        <f ca="1">IFERROR(__xludf.DUMMYFUNCTION("""COMPUTED_VALUE"""),"tíwèn")</f>
        <v>tíwèn</v>
      </c>
      <c r="F2423" s="13" t="str">
        <f ca="1">IFERROR(__xludf.DUMMYFUNCTION("""COMPUTED_VALUE"""),"Động từ")</f>
        <v>Động từ</v>
      </c>
      <c r="G2423" s="13" t="str">
        <f ca="1">IFERROR(__xludf.DUMMYFUNCTION("""COMPUTED_VALUE"""),"đưa ra câu hỏi")</f>
        <v>đưa ra câu hỏi</v>
      </c>
      <c r="H2423" s="13" t="str">
        <f ca="1">IFERROR(__xludf.DUMMYFUNCTION("""COMPUTED_VALUE"""),"请大家积极提问。")</f>
        <v>请大家积极提问。</v>
      </c>
      <c r="I2423" s="13"/>
      <c r="J2423" s="13" t="str">
        <f ca="1">IFERROR(__xludf.DUMMYFUNCTION("""COMPUTED_VALUE"""),"Mọi người hãy tích cực đặt câu hỏi.")</f>
        <v>Mọi người hãy tích cực đặt câu hỏi.</v>
      </c>
      <c r="K2423" s="13" t="str">
        <f ca="1">IFERROR(__xludf.DUMMYFUNCTION("""COMPUTED_VALUE"""),"H5_B28_BG35.png")</f>
        <v>H5_B28_BG35.png</v>
      </c>
      <c r="L2423" s="13" t="str">
        <f ca="1">IFERROR(__xludf.DUMMYFUNCTION("""COMPUTED_VALUE"""),"B28_35.mp3")</f>
        <v>B28_35.mp3</v>
      </c>
      <c r="M2423" s="13" t="str">
        <f ca="1">IFERROR(__xludf.DUMMYFUNCTION("""COMPUTED_VALUE"""),"B28_VD_35.mp3")</f>
        <v>B28_VD_35.mp3</v>
      </c>
    </row>
    <row r="2424" spans="1:13">
      <c r="A2424" s="13">
        <f ca="1">IFERROR(__xludf.DUMMYFUNCTION("""COMPUTED_VALUE"""),36)</f>
        <v>36</v>
      </c>
      <c r="B2424" s="13"/>
      <c r="C2424" s="13" t="str">
        <f ca="1">IFERROR(__xludf.DUMMYFUNCTION("""COMPUTED_VALUE"""),"堆")</f>
        <v>堆</v>
      </c>
      <c r="D2424" s="13" t="str">
        <f ca="1">IFERROR(__xludf.DUMMYFUNCTION("""COMPUTED_VALUE"""),"&lt;ruby&gt;堆&lt;rt&gt;duī&lt;/rt&gt;&lt;/ruby&gt;")</f>
        <v>&lt;ruby&gt;堆&lt;rt&gt;duī&lt;/rt&gt;&lt;/ruby&gt;</v>
      </c>
      <c r="E2424" s="13" t="str">
        <f ca="1">IFERROR(__xludf.DUMMYFUNCTION("""COMPUTED_VALUE"""),"duī")</f>
        <v>duī</v>
      </c>
      <c r="F2424" s="13" t="str">
        <f ca="1">IFERROR(__xludf.DUMMYFUNCTION("""COMPUTED_VALUE"""),"Lượng từ")</f>
        <v>Lượng từ</v>
      </c>
      <c r="G2424" s="13" t="str">
        <f ca="1">IFERROR(__xludf.DUMMYFUNCTION("""COMPUTED_VALUE"""),"đống, đám, lô")</f>
        <v>đống, đám, lô</v>
      </c>
      <c r="H2424" s="13" t="str">
        <f ca="1">IFERROR(__xludf.DUMMYFUNCTION("""COMPUTED_VALUE"""),"桌子上有一堆书。")</f>
        <v>桌子上有一堆书。</v>
      </c>
      <c r="I2424" s="13"/>
      <c r="J2424" s="13" t="str">
        <f ca="1">IFERROR(__xludf.DUMMYFUNCTION("""COMPUTED_VALUE"""),"Trên bàn có một đống sách.")</f>
        <v>Trên bàn có một đống sách.</v>
      </c>
      <c r="K2424" s="13" t="str">
        <f ca="1">IFERROR(__xludf.DUMMYFUNCTION("""COMPUTED_VALUE"""),"H5_B28_BG36.png")</f>
        <v>H5_B28_BG36.png</v>
      </c>
      <c r="L2424" s="13" t="str">
        <f ca="1">IFERROR(__xludf.DUMMYFUNCTION("""COMPUTED_VALUE"""),"B28_36.mp3")</f>
        <v>B28_36.mp3</v>
      </c>
      <c r="M2424" s="13" t="str">
        <f ca="1">IFERROR(__xludf.DUMMYFUNCTION("""COMPUTED_VALUE"""),"B28_VD_36.mp3")</f>
        <v>B28_VD_36.mp3</v>
      </c>
    </row>
    <row r="2425" spans="1:13">
      <c r="A2425" s="13">
        <f ca="1">IFERROR(__xludf.DUMMYFUNCTION("""COMPUTED_VALUE"""),37)</f>
        <v>37</v>
      </c>
      <c r="B2425" s="13"/>
      <c r="C2425" s="13" t="str">
        <f ca="1">IFERROR(__xludf.DUMMYFUNCTION("""COMPUTED_VALUE"""),"情侣")</f>
        <v>情侣</v>
      </c>
      <c r="D2425" s="13" t="str">
        <f ca="1">IFERROR(__xludf.DUMMYFUNCTION("""COMPUTED_VALUE"""),"&lt;ruby&gt;情侣&lt;rt&gt;qínglǚ&lt;/rt&gt;&lt;/ruby&gt;")</f>
        <v>&lt;ruby&gt;情侣&lt;rt&gt;qínglǚ&lt;/rt&gt;&lt;/ruby&gt;</v>
      </c>
      <c r="E2425" s="13" t="str">
        <f ca="1">IFERROR(__xludf.DUMMYFUNCTION("""COMPUTED_VALUE"""),"qínglǚ")</f>
        <v>qínglǚ</v>
      </c>
      <c r="F2425" s="13" t="str">
        <f ca="1">IFERROR(__xludf.DUMMYFUNCTION("""COMPUTED_VALUE"""),"Danh từ")</f>
        <v>Danh từ</v>
      </c>
      <c r="G2425" s="13" t="str">
        <f ca="1">IFERROR(__xludf.DUMMYFUNCTION("""COMPUTED_VALUE"""),"tình nhân")</f>
        <v>tình nhân</v>
      </c>
      <c r="H2425" s="13" t="str">
        <f ca="1">IFERROR(__xludf.DUMMYFUNCTION("""COMPUTED_VALUE"""),"这家餐厅很适合情侣约会。")</f>
        <v>这家餐厅很适合情侣约会。</v>
      </c>
      <c r="I2425" s="13"/>
      <c r="J2425" s="13" t="str">
        <f ca="1">IFERROR(__xludf.DUMMYFUNCTION("""COMPUTED_VALUE"""),"Nhà hàng này rất phù hợp cho các cặp đôi hẹn hò.")</f>
        <v>Nhà hàng này rất phù hợp cho các cặp đôi hẹn hò.</v>
      </c>
      <c r="K2425" s="13" t="str">
        <f ca="1">IFERROR(__xludf.DUMMYFUNCTION("""COMPUTED_VALUE"""),"H5_B28_BG37.png")</f>
        <v>H5_B28_BG37.png</v>
      </c>
      <c r="L2425" s="13" t="str">
        <f ca="1">IFERROR(__xludf.DUMMYFUNCTION("""COMPUTED_VALUE"""),"B28_37.mp3")</f>
        <v>B28_37.mp3</v>
      </c>
      <c r="M2425" s="13" t="str">
        <f ca="1">IFERROR(__xludf.DUMMYFUNCTION("""COMPUTED_VALUE"""),"B28_VD_37.mp3")</f>
        <v>B28_VD_37.mp3</v>
      </c>
    </row>
    <row r="2426" spans="1:13">
      <c r="A2426" s="13">
        <f ca="1">IFERROR(__xludf.DUMMYFUNCTION("""COMPUTED_VALUE"""),38)</f>
        <v>38</v>
      </c>
      <c r="B2426" s="13"/>
      <c r="C2426" s="13" t="str">
        <f ca="1">IFERROR(__xludf.DUMMYFUNCTION("""COMPUTED_VALUE"""),"具体")</f>
        <v>具体</v>
      </c>
      <c r="D2426" s="13" t="str">
        <f ca="1">IFERROR(__xludf.DUMMYFUNCTION("""COMPUTED_VALUE"""),"&lt;ruby&gt;具体&lt;rt&gt;jùtǐ&lt;/rt&gt;&lt;/ruby&gt;")</f>
        <v>&lt;ruby&gt;具体&lt;rt&gt;jùtǐ&lt;/rt&gt;&lt;/ruby&gt;</v>
      </c>
      <c r="E2426" s="13" t="str">
        <f ca="1">IFERROR(__xludf.DUMMYFUNCTION("""COMPUTED_VALUE"""),"jùtǐ")</f>
        <v>jùtǐ</v>
      </c>
      <c r="F2426" s="13" t="str">
        <f ca="1">IFERROR(__xludf.DUMMYFUNCTION("""COMPUTED_VALUE"""),"Tính từ")</f>
        <v>Tính từ</v>
      </c>
      <c r="G2426" s="13" t="str">
        <f ca="1">IFERROR(__xludf.DUMMYFUNCTION("""COMPUTED_VALUE"""),"cụ thể, tỉ mỉ")</f>
        <v>cụ thể, tỉ mỉ</v>
      </c>
      <c r="H2426" s="13" t="str">
        <f ca="1">IFERROR(__xludf.DUMMYFUNCTION("""COMPUTED_VALUE"""),"请给我具体的计划。")</f>
        <v>请给我具体的计划。</v>
      </c>
      <c r="I2426" s="13"/>
      <c r="J2426" s="13" t="str">
        <f ca="1">IFERROR(__xludf.DUMMYFUNCTION("""COMPUTED_VALUE"""),"Xin hãy cho tôi kế hoạch cụ thể.")</f>
        <v>Xin hãy cho tôi kế hoạch cụ thể.</v>
      </c>
      <c r="K2426" s="13" t="str">
        <f ca="1">IFERROR(__xludf.DUMMYFUNCTION("""COMPUTED_VALUE"""),"H5_B28_BG38.png")</f>
        <v>H5_B28_BG38.png</v>
      </c>
      <c r="L2426" s="13" t="str">
        <f ca="1">IFERROR(__xludf.DUMMYFUNCTION("""COMPUTED_VALUE"""),"B28_38.mp3")</f>
        <v>B28_38.mp3</v>
      </c>
      <c r="M2426" s="13" t="str">
        <f ca="1">IFERROR(__xludf.DUMMYFUNCTION("""COMPUTED_VALUE"""),"B28_VD_38.mp3")</f>
        <v>B28_VD_38.mp3</v>
      </c>
    </row>
    <row r="2427" spans="1:13">
      <c r="A2427" s="13">
        <f ca="1">IFERROR(__xludf.DUMMYFUNCTION("""COMPUTED_VALUE"""),39)</f>
        <v>39</v>
      </c>
      <c r="B2427" s="13"/>
      <c r="C2427" s="13" t="str">
        <f ca="1">IFERROR(__xludf.DUMMYFUNCTION("""COMPUTED_VALUE"""),"显然")</f>
        <v>显然</v>
      </c>
      <c r="D2427" s="13" t="str">
        <f ca="1">IFERROR(__xludf.DUMMYFUNCTION("""COMPUTED_VALUE"""),"&lt;ruby&gt;显然&lt;rt&gt;xiǎnrán&lt;/rt&gt;&lt;/ruby&gt;")</f>
        <v>&lt;ruby&gt;显然&lt;rt&gt;xiǎnrán&lt;/rt&gt;&lt;/ruby&gt;</v>
      </c>
      <c r="E2427" s="13" t="str">
        <f ca="1">IFERROR(__xludf.DUMMYFUNCTION("""COMPUTED_VALUE"""),"xiǎnrán")</f>
        <v>xiǎnrán</v>
      </c>
      <c r="F2427" s="13" t="str">
        <f ca="1">IFERROR(__xludf.DUMMYFUNCTION("""COMPUTED_VALUE"""),"Tính từ")</f>
        <v>Tính từ</v>
      </c>
      <c r="G2427" s="13" t="str">
        <f ca="1">IFERROR(__xludf.DUMMYFUNCTION("""COMPUTED_VALUE"""),"rõ ràng, hiển nhiên")</f>
        <v>rõ ràng, hiển nhiên</v>
      </c>
      <c r="H2427" s="13" t="str">
        <f ca="1">IFERROR(__xludf.DUMMYFUNCTION("""COMPUTED_VALUE"""),"他显然很高兴。")</f>
        <v>他显然很高兴。</v>
      </c>
      <c r="I2427" s="13"/>
      <c r="J2427" s="13" t="str">
        <f ca="1">IFERROR(__xludf.DUMMYFUNCTION("""COMPUTED_VALUE"""),"Anh ấy rõ ràng rất vui.")</f>
        <v>Anh ấy rõ ràng rất vui.</v>
      </c>
      <c r="K2427" s="13" t="str">
        <f ca="1">IFERROR(__xludf.DUMMYFUNCTION("""COMPUTED_VALUE"""),"H5_B28_BG39.png")</f>
        <v>H5_B28_BG39.png</v>
      </c>
      <c r="L2427" s="13" t="str">
        <f ca="1">IFERROR(__xludf.DUMMYFUNCTION("""COMPUTED_VALUE"""),"B28_39.mp3")</f>
        <v>B28_39.mp3</v>
      </c>
      <c r="M2427" s="13" t="str">
        <f ca="1">IFERROR(__xludf.DUMMYFUNCTION("""COMPUTED_VALUE"""),"B28_VD_39.mp3")</f>
        <v>B28_VD_39.mp3</v>
      </c>
    </row>
    <row r="2428" spans="1:13">
      <c r="A2428" s="13">
        <f ca="1">IFERROR(__xludf.DUMMYFUNCTION("""COMPUTED_VALUE"""),40)</f>
        <v>40</v>
      </c>
      <c r="B2428" s="13"/>
      <c r="C2428" s="13" t="str">
        <f ca="1">IFERROR(__xludf.DUMMYFUNCTION("""COMPUTED_VALUE"""),"缺乏")</f>
        <v>缺乏</v>
      </c>
      <c r="D2428" s="13" t="str">
        <f ca="1">IFERROR(__xludf.DUMMYFUNCTION("""COMPUTED_VALUE"""),"&lt;ruby&gt;缺乏&lt;rt&gt;quēfá&lt;/rt&gt;&lt;/ruby&gt;")</f>
        <v>&lt;ruby&gt;缺乏&lt;rt&gt;quēfá&lt;/rt&gt;&lt;/ruby&gt;</v>
      </c>
      <c r="E2428" s="13" t="str">
        <f ca="1">IFERROR(__xludf.DUMMYFUNCTION("""COMPUTED_VALUE"""),"quēfá")</f>
        <v>quēfá</v>
      </c>
      <c r="F2428" s="13" t="str">
        <f ca="1">IFERROR(__xludf.DUMMYFUNCTION("""COMPUTED_VALUE"""),"Động từ")</f>
        <v>Động từ</v>
      </c>
      <c r="G2428" s="13" t="str">
        <f ca="1">IFERROR(__xludf.DUMMYFUNCTION("""COMPUTED_VALUE"""),"thiếu, không có đủ")</f>
        <v>thiếu, không có đủ</v>
      </c>
      <c r="H2428" s="13" t="str">
        <f ca="1">IFERROR(__xludf.DUMMYFUNCTION("""COMPUTED_VALUE"""),"他缺乏经验。")</f>
        <v>他缺乏经验。</v>
      </c>
      <c r="I2428" s="13"/>
      <c r="J2428" s="13" t="str">
        <f ca="1">IFERROR(__xludf.DUMMYFUNCTION("""COMPUTED_VALUE"""),"Anh ấy thiếu kinh nghiệm.")</f>
        <v>Anh ấy thiếu kinh nghiệm.</v>
      </c>
      <c r="K2428" s="13" t="str">
        <f ca="1">IFERROR(__xludf.DUMMYFUNCTION("""COMPUTED_VALUE"""),"H5_B28_BG40.png")</f>
        <v>H5_B28_BG40.png</v>
      </c>
      <c r="L2428" s="13" t="str">
        <f ca="1">IFERROR(__xludf.DUMMYFUNCTION("""COMPUTED_VALUE"""),"B28_40.mp3")</f>
        <v>B28_40.mp3</v>
      </c>
      <c r="M2428" s="13" t="str">
        <f ca="1">IFERROR(__xludf.DUMMYFUNCTION("""COMPUTED_VALUE"""),"B28_VD_40.mp3")</f>
        <v>B28_VD_40.mp3</v>
      </c>
    </row>
    <row r="2429" spans="1:13">
      <c r="A2429" s="13">
        <f ca="1">IFERROR(__xludf.DUMMYFUNCTION("""COMPUTED_VALUE"""),1)</f>
        <v>1</v>
      </c>
      <c r="B2429" s="13"/>
      <c r="C2429" s="13" t="str">
        <f ca="1">IFERROR(__xludf.DUMMYFUNCTION("""COMPUTED_VALUE"""),"培养")</f>
        <v>培养</v>
      </c>
      <c r="D2429" s="13" t="str">
        <f ca="1">IFERROR(__xludf.DUMMYFUNCTION("""COMPUTED_VALUE"""),"&lt;ruby&gt;培养&lt;rt&gt;péiyǎng&lt;/rt&gt;&lt;/ruby&gt;")</f>
        <v>&lt;ruby&gt;培养&lt;rt&gt;péiyǎng&lt;/rt&gt;&lt;/ruby&gt;</v>
      </c>
      <c r="E2429" s="13" t="str">
        <f ca="1">IFERROR(__xludf.DUMMYFUNCTION("""COMPUTED_VALUE"""),"péiyǎng")</f>
        <v>péiyǎng</v>
      </c>
      <c r="F2429" s="13" t="str">
        <f ca="1">IFERROR(__xludf.DUMMYFUNCTION("""COMPUTED_VALUE"""),"Động từ")</f>
        <v>Động từ</v>
      </c>
      <c r="G2429" s="13" t="str">
        <f ca="1">IFERROR(__xludf.DUMMYFUNCTION("""COMPUTED_VALUE"""),"bồi dưỡng, đào tạo")</f>
        <v>bồi dưỡng, đào tạo</v>
      </c>
      <c r="H2429" s="13" t="str">
        <f ca="1">IFERROR(__xludf.DUMMYFUNCTION("""COMPUTED_VALUE"""),"她培养了很多优秀的公司员工。")</f>
        <v>她培养了很多优秀的公司员工。</v>
      </c>
      <c r="I2429" s="13"/>
      <c r="J2429" s="13" t="str">
        <f ca="1">IFERROR(__xludf.DUMMYFUNCTION("""COMPUTED_VALUE"""),"Cô ấy đã đào tạo nhiều nhân viên xuất sắc trong công ty.")</f>
        <v>Cô ấy đã đào tạo nhiều nhân viên xuất sắc trong công ty.</v>
      </c>
      <c r="K2429" s="13" t="str">
        <f ca="1">IFERROR(__xludf.DUMMYFUNCTION("""COMPUTED_VALUE"""),"H5_B29_BG1.png")</f>
        <v>H5_B29_BG1.png</v>
      </c>
      <c r="L2429" s="13" t="str">
        <f ca="1">IFERROR(__xludf.DUMMYFUNCTION("""COMPUTED_VALUE"""),"B29_1.mp3")</f>
        <v>B29_1.mp3</v>
      </c>
      <c r="M2429" s="13" t="str">
        <f ca="1">IFERROR(__xludf.DUMMYFUNCTION("""COMPUTED_VALUE"""),"B29_VD_1.mp3")</f>
        <v>B29_VD_1.mp3</v>
      </c>
    </row>
    <row r="2430" spans="1:13">
      <c r="A2430" s="13">
        <f ca="1">IFERROR(__xludf.DUMMYFUNCTION("""COMPUTED_VALUE"""),2)</f>
        <v>2</v>
      </c>
      <c r="B2430" s="13"/>
      <c r="C2430" s="13" t="str">
        <f ca="1">IFERROR(__xludf.DUMMYFUNCTION("""COMPUTED_VALUE"""),"生态")</f>
        <v>生态</v>
      </c>
      <c r="D2430" s="13" t="str">
        <f ca="1">IFERROR(__xludf.DUMMYFUNCTION("""COMPUTED_VALUE"""),"&lt;ruby&gt;生态&lt;rt&gt;shēngtài&lt;/rt&gt;&lt;/ruby&gt;")</f>
        <v>&lt;ruby&gt;生态&lt;rt&gt;shēngtài&lt;/rt&gt;&lt;/ruby&gt;</v>
      </c>
      <c r="E2430" s="13" t="str">
        <f ca="1">IFERROR(__xludf.DUMMYFUNCTION("""COMPUTED_VALUE"""),"shēngtài")</f>
        <v>shēngtài</v>
      </c>
      <c r="F2430" s="13" t="str">
        <f ca="1">IFERROR(__xludf.DUMMYFUNCTION("""COMPUTED_VALUE"""),"Danh từ")</f>
        <v>Danh từ</v>
      </c>
      <c r="G2430" s="13" t="str">
        <f ca="1">IFERROR(__xludf.DUMMYFUNCTION("""COMPUTED_VALUE"""),"sinh thái học")</f>
        <v>sinh thái học</v>
      </c>
      <c r="H2430" s="13" t="str">
        <f ca="1">IFERROR(__xludf.DUMMYFUNCTION("""COMPUTED_VALUE"""),"这幅美丽的风景展示了和谐的自然生态。")</f>
        <v>这幅美丽的风景展示了和谐的自然生态。</v>
      </c>
      <c r="I2430" s="13"/>
      <c r="J2430" s="13" t="str">
        <f ca="1">IFERROR(__xludf.DUMMYFUNCTION("""COMPUTED_VALUE"""),"Bức tranh phong cảnh tuyệt đẹp này thể hiện hệ sinh thái tự nhiên hài hòa.")</f>
        <v>Bức tranh phong cảnh tuyệt đẹp này thể hiện hệ sinh thái tự nhiên hài hòa.</v>
      </c>
      <c r="K2430" s="13" t="str">
        <f ca="1">IFERROR(__xludf.DUMMYFUNCTION("""COMPUTED_VALUE"""),"H5_B29_BG2.png")</f>
        <v>H5_B29_BG2.png</v>
      </c>
      <c r="L2430" s="13" t="str">
        <f ca="1">IFERROR(__xludf.DUMMYFUNCTION("""COMPUTED_VALUE"""),"B29_2.mp3")</f>
        <v>B29_2.mp3</v>
      </c>
      <c r="M2430" s="13" t="str">
        <f ca="1">IFERROR(__xludf.DUMMYFUNCTION("""COMPUTED_VALUE"""),"B29_VD_2.mp3")</f>
        <v>B29_VD_2.mp3</v>
      </c>
    </row>
    <row r="2431" spans="1:13">
      <c r="A2431" s="13">
        <f ca="1">IFERROR(__xludf.DUMMYFUNCTION("""COMPUTED_VALUE"""),3)</f>
        <v>3</v>
      </c>
      <c r="B2431" s="13"/>
      <c r="C2431" s="13" t="str">
        <f ca="1">IFERROR(__xludf.DUMMYFUNCTION("""COMPUTED_VALUE"""),"生长")</f>
        <v>生长</v>
      </c>
      <c r="D2431" s="13" t="str">
        <f ca="1">IFERROR(__xludf.DUMMYFUNCTION("""COMPUTED_VALUE"""),"&lt;ruby&gt;生长&lt;rt&gt;shēngzhǎng&lt;/rt&gt;&lt;/ruby&gt;")</f>
        <v>&lt;ruby&gt;生长&lt;rt&gt;shēngzhǎng&lt;/rt&gt;&lt;/ruby&gt;</v>
      </c>
      <c r="E2431" s="13" t="str">
        <f ca="1">IFERROR(__xludf.DUMMYFUNCTION("""COMPUTED_VALUE"""),"shēngzhǎng")</f>
        <v>shēngzhǎng</v>
      </c>
      <c r="F2431" s="13" t="str">
        <f ca="1">IFERROR(__xludf.DUMMYFUNCTION("""COMPUTED_VALUE"""),"Động từ")</f>
        <v>Động từ</v>
      </c>
      <c r="G2431" s="13" t="str">
        <f ca="1">IFERROR(__xludf.DUMMYFUNCTION("""COMPUTED_VALUE"""),"sinh trưởng")</f>
        <v>sinh trưởng</v>
      </c>
      <c r="H2431" s="13" t="str">
        <f ca="1">IFERROR(__xludf.DUMMYFUNCTION("""COMPUTED_VALUE"""),"在阳光的照射下，树木生长得非常快。")</f>
        <v>在阳光的照射下，树木生长得非常快。</v>
      </c>
      <c r="I2431" s="13"/>
      <c r="J2431" s="13" t="str">
        <f ca="1">IFERROR(__xludf.DUMMYFUNCTION("""COMPUTED_VALUE"""),"Cây cối sinh trưởng rất nhanh dưới ánh nắng mặt trời.")</f>
        <v>Cây cối sinh trưởng rất nhanh dưới ánh nắng mặt trời.</v>
      </c>
      <c r="K2431" s="13" t="str">
        <f ca="1">IFERROR(__xludf.DUMMYFUNCTION("""COMPUTED_VALUE"""),"H5_B29_BG3.png")</f>
        <v>H5_B29_BG3.png</v>
      </c>
      <c r="L2431" s="13" t="str">
        <f ca="1">IFERROR(__xludf.DUMMYFUNCTION("""COMPUTED_VALUE"""),"B29_3.mp3")</f>
        <v>B29_3.mp3</v>
      </c>
      <c r="M2431" s="13" t="str">
        <f ca="1">IFERROR(__xludf.DUMMYFUNCTION("""COMPUTED_VALUE"""),"B29_VD_3.mp3")</f>
        <v>B29_VD_3.mp3</v>
      </c>
    </row>
    <row r="2432" spans="1:13">
      <c r="A2432" s="13">
        <f ca="1">IFERROR(__xludf.DUMMYFUNCTION("""COMPUTED_VALUE"""),4)</f>
        <v>4</v>
      </c>
      <c r="B2432" s="13"/>
      <c r="C2432" s="13" t="str">
        <f ca="1">IFERROR(__xludf.DUMMYFUNCTION("""COMPUTED_VALUE"""),"妨碍")</f>
        <v>妨碍</v>
      </c>
      <c r="D2432" s="13" t="str">
        <f ca="1">IFERROR(__xludf.DUMMYFUNCTION("""COMPUTED_VALUE"""),"&lt;ruby&gt;妨碍&lt;rt&gt;fáng’ài&lt;/rt&gt;&lt;/ruby&gt;")</f>
        <v>&lt;ruby&gt;妨碍&lt;rt&gt;fáng’ài&lt;/rt&gt;&lt;/ruby&gt;</v>
      </c>
      <c r="E2432" s="13" t="str">
        <f ca="1">IFERROR(__xludf.DUMMYFUNCTION("""COMPUTED_VALUE"""),"fáng’ài")</f>
        <v>fáng’ài</v>
      </c>
      <c r="F2432" s="13" t="str">
        <f ca="1">IFERROR(__xludf.DUMMYFUNCTION("""COMPUTED_VALUE"""),"Động từ")</f>
        <v>Động từ</v>
      </c>
      <c r="G2432" s="13" t="str">
        <f ca="1">IFERROR(__xludf.DUMMYFUNCTION("""COMPUTED_VALUE"""),"gây trở ngại, cản trở")</f>
        <v>gây trở ngại, cản trở</v>
      </c>
      <c r="H2432" s="13" t="str">
        <f ca="1">IFERROR(__xludf.DUMMYFUNCTION("""COMPUTED_VALUE"""),"男孩取笑女孩，妨碍了她上学。")</f>
        <v>男孩取笑女孩，妨碍了她上学。</v>
      </c>
      <c r="I2432" s="13"/>
      <c r="J2432" s="13" t="str">
        <f ca="1">IFERROR(__xludf.DUMMYFUNCTION("""COMPUTED_VALUE"""),"Cậu bé trêu chọc cô bé, cản trở cô bé đến trường. ")</f>
        <v xml:space="preserve">Cậu bé trêu chọc cô bé, cản trở cô bé đến trường. </v>
      </c>
      <c r="K2432" s="13" t="str">
        <f ca="1">IFERROR(__xludf.DUMMYFUNCTION("""COMPUTED_VALUE"""),"H5_B29_BG4.png")</f>
        <v>H5_B29_BG4.png</v>
      </c>
      <c r="L2432" s="13" t="str">
        <f ca="1">IFERROR(__xludf.DUMMYFUNCTION("""COMPUTED_VALUE"""),"B29_4.mp3")</f>
        <v>B29_4.mp3</v>
      </c>
      <c r="M2432" s="13" t="str">
        <f ca="1">IFERROR(__xludf.DUMMYFUNCTION("""COMPUTED_VALUE"""),"B29_VD_4.mp3")</f>
        <v>B29_VD_4.mp3</v>
      </c>
    </row>
    <row r="2433" spans="1:13">
      <c r="A2433" s="13">
        <f ca="1">IFERROR(__xludf.DUMMYFUNCTION("""COMPUTED_VALUE"""),5)</f>
        <v>5</v>
      </c>
      <c r="B2433" s="13"/>
      <c r="C2433" s="13" t="str">
        <f ca="1">IFERROR(__xludf.DUMMYFUNCTION("""COMPUTED_VALUE"""),"促进")</f>
        <v>促进</v>
      </c>
      <c r="D2433" s="13" t="str">
        <f ca="1">IFERROR(__xludf.DUMMYFUNCTION("""COMPUTED_VALUE"""),"&lt;ruby&gt;促进&lt;rt&gt;cùjìn&lt;/rt&gt;&lt;/ruby&gt;")</f>
        <v>&lt;ruby&gt;促进&lt;rt&gt;cùjìn&lt;/rt&gt;&lt;/ruby&gt;</v>
      </c>
      <c r="E2433" s="13" t="str">
        <f ca="1">IFERROR(__xludf.DUMMYFUNCTION("""COMPUTED_VALUE"""),"cùjìn")</f>
        <v>cùjìn</v>
      </c>
      <c r="F2433" s="13" t="str">
        <f ca="1">IFERROR(__xludf.DUMMYFUNCTION("""COMPUTED_VALUE"""),"Động từ")</f>
        <v>Động từ</v>
      </c>
      <c r="G2433" s="13" t="str">
        <f ca="1">IFERROR(__xludf.DUMMYFUNCTION("""COMPUTED_VALUE"""),"đẩy mạnh, xúc tiến")</f>
        <v>đẩy mạnh, xúc tiến</v>
      </c>
      <c r="H2433" s="13" t="str">
        <f ca="1">IFERROR(__xludf.DUMMYFUNCTION("""COMPUTED_VALUE"""),"我们需要促进经济发展。")</f>
        <v>我们需要促进经济发展。</v>
      </c>
      <c r="I2433" s="13"/>
      <c r="J2433" s="13" t="str">
        <f ca="1">IFERROR(__xludf.DUMMYFUNCTION("""COMPUTED_VALUE"""),"Chúng ta cần thúc đẩy sự phát triển kinh tế.")</f>
        <v>Chúng ta cần thúc đẩy sự phát triển kinh tế.</v>
      </c>
      <c r="K2433" s="13" t="str">
        <f ca="1">IFERROR(__xludf.DUMMYFUNCTION("""COMPUTED_VALUE"""),"H5_B29_BG5.png")</f>
        <v>H5_B29_BG5.png</v>
      </c>
      <c r="L2433" s="13" t="str">
        <f ca="1">IFERROR(__xludf.DUMMYFUNCTION("""COMPUTED_VALUE"""),"B29_5.mp3")</f>
        <v>B29_5.mp3</v>
      </c>
      <c r="M2433" s="13" t="str">
        <f ca="1">IFERROR(__xludf.DUMMYFUNCTION("""COMPUTED_VALUE"""),"B29_VD_5.mp3")</f>
        <v>B29_VD_5.mp3</v>
      </c>
    </row>
    <row r="2434" spans="1:13">
      <c r="A2434" s="13">
        <f ca="1">IFERROR(__xludf.DUMMYFUNCTION("""COMPUTED_VALUE"""),6)</f>
        <v>6</v>
      </c>
      <c r="B2434" s="13"/>
      <c r="C2434" s="13" t="str">
        <f ca="1">IFERROR(__xludf.DUMMYFUNCTION("""COMPUTED_VALUE"""),"公寓")</f>
        <v>公寓</v>
      </c>
      <c r="D2434" s="13" t="str">
        <f ca="1">IFERROR(__xludf.DUMMYFUNCTION("""COMPUTED_VALUE"""),"&lt;ruby&gt;公寓&lt;rt&gt;gōngyù&lt;/rt&gt;&lt;/ruby&gt;")</f>
        <v>&lt;ruby&gt;公寓&lt;rt&gt;gōngyù&lt;/rt&gt;&lt;/ruby&gt;</v>
      </c>
      <c r="E2434" s="13" t="str">
        <f ca="1">IFERROR(__xludf.DUMMYFUNCTION("""COMPUTED_VALUE"""),"gōngyù")</f>
        <v>gōngyù</v>
      </c>
      <c r="F2434" s="13" t="str">
        <f ca="1">IFERROR(__xludf.DUMMYFUNCTION("""COMPUTED_VALUE"""),"Danh từ")</f>
        <v>Danh từ</v>
      </c>
      <c r="G2434" s="13" t="str">
        <f ca="1">IFERROR(__xludf.DUMMYFUNCTION("""COMPUTED_VALUE"""),"khu nhà ở")</f>
        <v>khu nhà ở</v>
      </c>
      <c r="H2434" s="13" t="str">
        <f ca="1">IFERROR(__xludf.DUMMYFUNCTION("""COMPUTED_VALUE"""),"他们住在一个漂亮的公寓里，常常一起站在阳台上看风景。")</f>
        <v>他们住在一个漂亮的公寓里，常常一起站在阳台上看风景。</v>
      </c>
      <c r="I2434" s="13"/>
      <c r="J2434" s="13" t="str">
        <f ca="1">IFERROR(__xludf.DUMMYFUNCTION("""COMPUTED_VALUE"""),"Họ sống trong một căn hộ đẹp và thường cùng nhau đứng trên ban công ngắm cảnh.")</f>
        <v>Họ sống trong một căn hộ đẹp và thường cùng nhau đứng trên ban công ngắm cảnh.</v>
      </c>
      <c r="K2434" s="13" t="str">
        <f ca="1">IFERROR(__xludf.DUMMYFUNCTION("""COMPUTED_VALUE"""),"H5_B29_BG6.png")</f>
        <v>H5_B29_BG6.png</v>
      </c>
      <c r="L2434" s="13" t="str">
        <f ca="1">IFERROR(__xludf.DUMMYFUNCTION("""COMPUTED_VALUE"""),"B29_6.mp3")</f>
        <v>B29_6.mp3</v>
      </c>
      <c r="M2434" s="13" t="str">
        <f ca="1">IFERROR(__xludf.DUMMYFUNCTION("""COMPUTED_VALUE"""),"B29_VD_6.mp3")</f>
        <v>B29_VD_6.mp3</v>
      </c>
    </row>
    <row r="2435" spans="1:13">
      <c r="A2435" s="13">
        <f ca="1">IFERROR(__xludf.DUMMYFUNCTION("""COMPUTED_VALUE"""),7)</f>
        <v>7</v>
      </c>
      <c r="B2435" s="13"/>
      <c r="C2435" s="13" t="str">
        <f ca="1">IFERROR(__xludf.DUMMYFUNCTION("""COMPUTED_VALUE"""),"文具")</f>
        <v>文具</v>
      </c>
      <c r="D2435" s="13" t="str">
        <f ca="1">IFERROR(__xludf.DUMMYFUNCTION("""COMPUTED_VALUE"""),"&lt;ruby&gt;文具&lt;rt&gt;wénjù&lt;/rt&gt;&lt;/ruby&gt;")</f>
        <v>&lt;ruby&gt;文具&lt;rt&gt;wénjù&lt;/rt&gt;&lt;/ruby&gt;</v>
      </c>
      <c r="E2435" s="13" t="str">
        <f ca="1">IFERROR(__xludf.DUMMYFUNCTION("""COMPUTED_VALUE"""),"wénjù")</f>
        <v>wénjù</v>
      </c>
      <c r="F2435" s="13" t="str">
        <f ca="1">IFERROR(__xludf.DUMMYFUNCTION("""COMPUTED_VALUE"""),"Danh từ")</f>
        <v>Danh từ</v>
      </c>
      <c r="G2435" s="13" t="str">
        <f ca="1">IFERROR(__xludf.DUMMYFUNCTION("""COMPUTED_VALUE"""),"đồ dùng văn phòng")</f>
        <v>đồ dùng văn phòng</v>
      </c>
      <c r="H2435" s="13" t="str">
        <f ca="1">IFERROR(__xludf.DUMMYFUNCTION("""COMPUTED_VALUE"""),"我忘了带文具了，你能借给我用一下吗？")</f>
        <v>我忘了带文具了，你能借给我用一下吗？</v>
      </c>
      <c r="I2435" s="13"/>
      <c r="J2435" s="13" t="str">
        <f ca="1">IFERROR(__xludf.DUMMYFUNCTION("""COMPUTED_VALUE"""),"Tôi quên mang đồ dùng văn phòng rồi, bạn có thể cho tôi mượn một lát không?")</f>
        <v>Tôi quên mang đồ dùng văn phòng rồi, bạn có thể cho tôi mượn một lát không?</v>
      </c>
      <c r="K2435" s="13" t="str">
        <f ca="1">IFERROR(__xludf.DUMMYFUNCTION("""COMPUTED_VALUE"""),"H5_B29_BG7.png")</f>
        <v>H5_B29_BG7.png</v>
      </c>
      <c r="L2435" s="13" t="str">
        <f ca="1">IFERROR(__xludf.DUMMYFUNCTION("""COMPUTED_VALUE"""),"B29_7.mp3")</f>
        <v>B29_7.mp3</v>
      </c>
      <c r="M2435" s="13" t="str">
        <f ca="1">IFERROR(__xludf.DUMMYFUNCTION("""COMPUTED_VALUE"""),"B29_VD_7.mp3")</f>
        <v>B29_VD_7.mp3</v>
      </c>
    </row>
    <row r="2436" spans="1:13">
      <c r="A2436" s="13">
        <f ca="1">IFERROR(__xludf.DUMMYFUNCTION("""COMPUTED_VALUE"""),8)</f>
        <v>8</v>
      </c>
      <c r="B2436" s="13"/>
      <c r="C2436" s="13" t="str">
        <f ca="1">IFERROR(__xludf.DUMMYFUNCTION("""COMPUTED_VALUE"""),"电池")</f>
        <v>电池</v>
      </c>
      <c r="D2436" s="13" t="str">
        <f ca="1">IFERROR(__xludf.DUMMYFUNCTION("""COMPUTED_VALUE"""),"&lt;ruby&gt;电池&lt;rt&gt;diànchí&lt;/rt&gt;&lt;/ruby&gt;")</f>
        <v>&lt;ruby&gt;电池&lt;rt&gt;diànchí&lt;/rt&gt;&lt;/ruby&gt;</v>
      </c>
      <c r="E2436" s="13" t="str">
        <f ca="1">IFERROR(__xludf.DUMMYFUNCTION("""COMPUTED_VALUE"""),"diànchí")</f>
        <v>diànchí</v>
      </c>
      <c r="F2436" s="13" t="str">
        <f ca="1">IFERROR(__xludf.DUMMYFUNCTION("""COMPUTED_VALUE"""),"Danh từ")</f>
        <v>Danh từ</v>
      </c>
      <c r="G2436" s="13" t="str">
        <f ca="1">IFERROR(__xludf.DUMMYFUNCTION("""COMPUTED_VALUE"""),"pin")</f>
        <v>pin</v>
      </c>
      <c r="H2436" s="13" t="str">
        <f ca="1">IFERROR(__xludf.DUMMYFUNCTION("""COMPUTED_VALUE"""),"这部手机的电池需要更换。")</f>
        <v>这部手机的电池需要更换。</v>
      </c>
      <c r="I2436" s="13"/>
      <c r="J2436" s="13" t="str">
        <f ca="1">IFERROR(__xludf.DUMMYFUNCTION("""COMPUTED_VALUE"""),"Pin của chiếc điện thoại này cần được thay thế.")</f>
        <v>Pin của chiếc điện thoại này cần được thay thế.</v>
      </c>
      <c r="K2436" s="13" t="str">
        <f ca="1">IFERROR(__xludf.DUMMYFUNCTION("""COMPUTED_VALUE"""),"H5_B29_BG8.png")</f>
        <v>H5_B29_BG8.png</v>
      </c>
      <c r="L2436" s="13" t="str">
        <f ca="1">IFERROR(__xludf.DUMMYFUNCTION("""COMPUTED_VALUE"""),"B29_8.mp3")</f>
        <v>B29_8.mp3</v>
      </c>
      <c r="M2436" s="13" t="str">
        <f ca="1">IFERROR(__xludf.DUMMYFUNCTION("""COMPUTED_VALUE"""),"B29_VD_8.mp3")</f>
        <v>B29_VD_8.mp3</v>
      </c>
    </row>
    <row r="2437" spans="1:13">
      <c r="A2437" s="13">
        <f ca="1">IFERROR(__xludf.DUMMYFUNCTION("""COMPUTED_VALUE"""),9)</f>
        <v>9</v>
      </c>
      <c r="B2437" s="13"/>
      <c r="C2437" s="13" t="str">
        <f ca="1">IFERROR(__xludf.DUMMYFUNCTION("""COMPUTED_VALUE"""),"日用品")</f>
        <v>日用品</v>
      </c>
      <c r="D2437" s="13" t="str">
        <f ca="1">IFERROR(__xludf.DUMMYFUNCTION("""COMPUTED_VALUE"""),"&lt;ruby&gt;日用品&lt;rt&gt;rìyòngpǐn&lt;/rt&gt;&lt;/ruby&gt;")</f>
        <v>&lt;ruby&gt;日用品&lt;rt&gt;rìyòngpǐn&lt;/rt&gt;&lt;/ruby&gt;</v>
      </c>
      <c r="E2437" s="13" t="str">
        <f ca="1">IFERROR(__xludf.DUMMYFUNCTION("""COMPUTED_VALUE"""),"rìyòngpǐn")</f>
        <v>rìyòngpǐn</v>
      </c>
      <c r="F2437" s="13" t="str">
        <f ca="1">IFERROR(__xludf.DUMMYFUNCTION("""COMPUTED_VALUE"""),"Danh từ")</f>
        <v>Danh từ</v>
      </c>
      <c r="G2437" s="13" t="str">
        <f ca="1">IFERROR(__xludf.DUMMYFUNCTION("""COMPUTED_VALUE"""),"vật dụng hàng ngày")</f>
        <v>vật dụng hàng ngày</v>
      </c>
      <c r="H2437" s="13" t="str">
        <f ca="1">IFERROR(__xludf.DUMMYFUNCTION("""COMPUTED_VALUE"""),"这家商店出售各种各样的日用品。")</f>
        <v>这家商店出售各种各样的日用品。</v>
      </c>
      <c r="I2437" s="13"/>
      <c r="J2437" s="13" t="str">
        <f ca="1">IFERROR(__xludf.DUMMYFUNCTION("""COMPUTED_VALUE"""),"Cửa hàng này bán đủ loại vật dụng hàng ngày.")</f>
        <v>Cửa hàng này bán đủ loại vật dụng hàng ngày.</v>
      </c>
      <c r="K2437" s="13" t="str">
        <f ca="1">IFERROR(__xludf.DUMMYFUNCTION("""COMPUTED_VALUE"""),"H5_B29_BG9.png")</f>
        <v>H5_B29_BG9.png</v>
      </c>
      <c r="L2437" s="13" t="str">
        <f ca="1">IFERROR(__xludf.DUMMYFUNCTION("""COMPUTED_VALUE"""),"B29_9.mp3")</f>
        <v>B29_9.mp3</v>
      </c>
      <c r="M2437" s="13" t="str">
        <f ca="1">IFERROR(__xludf.DUMMYFUNCTION("""COMPUTED_VALUE"""),"B29_VD_9.mp3")</f>
        <v>B29_VD_9.mp3</v>
      </c>
    </row>
    <row r="2438" spans="1:13">
      <c r="A2438" s="13">
        <f ca="1">IFERROR(__xludf.DUMMYFUNCTION("""COMPUTED_VALUE"""),10)</f>
        <v>10</v>
      </c>
      <c r="B2438" s="13"/>
      <c r="C2438" s="13" t="str">
        <f ca="1">IFERROR(__xludf.DUMMYFUNCTION("""COMPUTED_VALUE"""),"对象")</f>
        <v>对象</v>
      </c>
      <c r="D2438" s="13" t="str">
        <f ca="1">IFERROR(__xludf.DUMMYFUNCTION("""COMPUTED_VALUE"""),"&lt;ruby&gt;对象&lt;rt&gt;duìxiàng&lt;/rt&gt;&lt;/ruby&gt;")</f>
        <v>&lt;ruby&gt;对象&lt;rt&gt;duìxiàng&lt;/rt&gt;&lt;/ruby&gt;</v>
      </c>
      <c r="E2438" s="13" t="str">
        <f ca="1">IFERROR(__xludf.DUMMYFUNCTION("""COMPUTED_VALUE"""),"duìxiàng")</f>
        <v>duìxiàng</v>
      </c>
      <c r="F2438" s="13" t="str">
        <f ca="1">IFERROR(__xludf.DUMMYFUNCTION("""COMPUTED_VALUE"""),"Danh từ")</f>
        <v>Danh từ</v>
      </c>
      <c r="G2438" s="13" t="str">
        <f ca="1">IFERROR(__xludf.DUMMYFUNCTION("""COMPUTED_VALUE"""),"đối tượng, mục tiêu")</f>
        <v>đối tượng, mục tiêu</v>
      </c>
      <c r="H2438" s="13" t="str">
        <f ca="1">IFERROR(__xludf.DUMMYFUNCTION("""COMPUTED_VALUE"""),"我们的对象是年轻人。")</f>
        <v>我们的对象是年轻人。</v>
      </c>
      <c r="I2438" s="13"/>
      <c r="J2438" s="13" t="str">
        <f ca="1">IFERROR(__xludf.DUMMYFUNCTION("""COMPUTED_VALUE"""),"Đối tượng của chúng ta là những người trẻ.")</f>
        <v>Đối tượng của chúng ta là những người trẻ.</v>
      </c>
      <c r="K2438" s="13" t="str">
        <f ca="1">IFERROR(__xludf.DUMMYFUNCTION("""COMPUTED_VALUE"""),"H5_B29_BG10.png")</f>
        <v>H5_B29_BG10.png</v>
      </c>
      <c r="L2438" s="13" t="str">
        <f ca="1">IFERROR(__xludf.DUMMYFUNCTION("""COMPUTED_VALUE"""),"B29_10.mp3")</f>
        <v>B29_10.mp3</v>
      </c>
      <c r="M2438" s="13" t="str">
        <f ca="1">IFERROR(__xludf.DUMMYFUNCTION("""COMPUTED_VALUE"""),"B29_VD_10.mp3")</f>
        <v>B29_VD_10.mp3</v>
      </c>
    </row>
    <row r="2439" spans="1:13">
      <c r="A2439" s="13">
        <f ca="1">IFERROR(__xludf.DUMMYFUNCTION("""COMPUTED_VALUE"""),11)</f>
        <v>11</v>
      </c>
      <c r="B2439" s="13"/>
      <c r="C2439" s="13" t="str">
        <f ca="1">IFERROR(__xludf.DUMMYFUNCTION("""COMPUTED_VALUE"""),"不如")</f>
        <v>不如</v>
      </c>
      <c r="D2439" s="13" t="str">
        <f ca="1">IFERROR(__xludf.DUMMYFUNCTION("""COMPUTED_VALUE"""),"&lt;ruby&gt;不如&lt;rt&gt;bùrú&lt;/rt&gt;&lt;/ruby&gt;")</f>
        <v>&lt;ruby&gt;不如&lt;rt&gt;bùrú&lt;/rt&gt;&lt;/ruby&gt;</v>
      </c>
      <c r="E2439" s="13" t="str">
        <f ca="1">IFERROR(__xludf.DUMMYFUNCTION("""COMPUTED_VALUE"""),"bùrú")</f>
        <v>bùrú</v>
      </c>
      <c r="F2439" s="13" t="str">
        <f ca="1">IFERROR(__xludf.DUMMYFUNCTION("""COMPUTED_VALUE"""),"Động từ")</f>
        <v>Động từ</v>
      </c>
      <c r="G2439" s="13" t="str">
        <f ca="1">IFERROR(__xludf.DUMMYFUNCTION("""COMPUTED_VALUE"""),"không bằng, thua kém hơn")</f>
        <v>không bằng, thua kém hơn</v>
      </c>
      <c r="H2439" s="13" t="str">
        <f ca="1">IFERROR(__xludf.DUMMYFUNCTION("""COMPUTED_VALUE"""),"这个计划不如那个计划好。")</f>
        <v>这个计划不如那个计划好。</v>
      </c>
      <c r="I2439" s="13"/>
      <c r="J2439" s="13" t="str">
        <f ca="1">IFERROR(__xludf.DUMMYFUNCTION("""COMPUTED_VALUE"""),"Kế hoạch này không tốt bằng kế hoạch kia.")</f>
        <v>Kế hoạch này không tốt bằng kế hoạch kia.</v>
      </c>
      <c r="K2439" s="13" t="str">
        <f ca="1">IFERROR(__xludf.DUMMYFUNCTION("""COMPUTED_VALUE"""),"H5_B29_BG11.png")</f>
        <v>H5_B29_BG11.png</v>
      </c>
      <c r="L2439" s="13" t="str">
        <f ca="1">IFERROR(__xludf.DUMMYFUNCTION("""COMPUTED_VALUE"""),"B29_11.mp3")</f>
        <v>B29_11.mp3</v>
      </c>
      <c r="M2439" s="13" t="str">
        <f ca="1">IFERROR(__xludf.DUMMYFUNCTION("""COMPUTED_VALUE"""),"B29_VD_11.mp3")</f>
        <v>B29_VD_11.mp3</v>
      </c>
    </row>
    <row r="2440" spans="1:13">
      <c r="A2440" s="13">
        <f ca="1">IFERROR(__xludf.DUMMYFUNCTION("""COMPUTED_VALUE"""),12)</f>
        <v>12</v>
      </c>
      <c r="B2440" s="13"/>
      <c r="C2440" s="13" t="str">
        <f ca="1">IFERROR(__xludf.DUMMYFUNCTION("""COMPUTED_VALUE"""),"干脆")</f>
        <v>干脆</v>
      </c>
      <c r="D2440" s="13" t="str">
        <f ca="1">IFERROR(__xludf.DUMMYFUNCTION("""COMPUTED_VALUE"""),"&lt;ruby&gt;干脆&lt;rt&gt;gāncuì&lt;/rt&gt;&lt;/ruby&gt;")</f>
        <v>&lt;ruby&gt;干脆&lt;rt&gt;gāncuì&lt;/rt&gt;&lt;/ruby&gt;</v>
      </c>
      <c r="E2440" s="13" t="str">
        <f ca="1">IFERROR(__xludf.DUMMYFUNCTION("""COMPUTED_VALUE"""),"gāncuì")</f>
        <v>gāncuì</v>
      </c>
      <c r="F2440" s="13" t="str">
        <f ca="1">IFERROR(__xludf.DUMMYFUNCTION("""COMPUTED_VALUE"""),"Phó từ")</f>
        <v>Phó từ</v>
      </c>
      <c r="G2440" s="13" t="str">
        <f ca="1">IFERROR(__xludf.DUMMYFUNCTION("""COMPUTED_VALUE"""),"dứt khoát, cứ")</f>
        <v>dứt khoát, cứ</v>
      </c>
      <c r="H2440" s="13" t="str">
        <f ca="1">IFERROR(__xludf.DUMMYFUNCTION("""COMPUTED_VALUE"""),"大家都不理解他为什么干脆放弃这个难得的机会。")</f>
        <v>大家都不理解他为什么干脆放弃这个难得的机会。</v>
      </c>
      <c r="I2440" s="13"/>
      <c r="J2440" s="13" t="str">
        <f ca="1">IFERROR(__xludf.DUMMYFUNCTION("""COMPUTED_VALUE"""),"Mọi người đều khó hiểu khi anh ấy dứt khoát từ bỏ cơ hội hiếm có này.")</f>
        <v>Mọi người đều khó hiểu khi anh ấy dứt khoát từ bỏ cơ hội hiếm có này.</v>
      </c>
      <c r="K2440" s="13" t="str">
        <f ca="1">IFERROR(__xludf.DUMMYFUNCTION("""COMPUTED_VALUE"""),"H5_B29_BG12.png")</f>
        <v>H5_B29_BG12.png</v>
      </c>
      <c r="L2440" s="13" t="str">
        <f ca="1">IFERROR(__xludf.DUMMYFUNCTION("""COMPUTED_VALUE"""),"B29_12.mp3")</f>
        <v>B29_12.mp3</v>
      </c>
      <c r="M2440" s="13" t="str">
        <f ca="1">IFERROR(__xludf.DUMMYFUNCTION("""COMPUTED_VALUE"""),"B29_VD_12.mp3")</f>
        <v>B29_VD_12.mp3</v>
      </c>
    </row>
    <row r="2441" spans="1:13">
      <c r="A2441" s="13">
        <f ca="1">IFERROR(__xludf.DUMMYFUNCTION("""COMPUTED_VALUE"""),13)</f>
        <v>13</v>
      </c>
      <c r="B2441" s="13"/>
      <c r="C2441" s="13" t="str">
        <f ca="1">IFERROR(__xludf.DUMMYFUNCTION("""COMPUTED_VALUE"""),"适当")</f>
        <v>适当</v>
      </c>
      <c r="D2441" s="13" t="str">
        <f ca="1">IFERROR(__xludf.DUMMYFUNCTION("""COMPUTED_VALUE"""),"&lt;ruby&gt;适当&lt;rt&gt;shìdàng&lt;/rt&gt;&lt;/ruby&gt;")</f>
        <v>&lt;ruby&gt;适当&lt;rt&gt;shìdàng&lt;/rt&gt;&lt;/ruby&gt;</v>
      </c>
      <c r="E2441" s="13" t="str">
        <f ca="1">IFERROR(__xludf.DUMMYFUNCTION("""COMPUTED_VALUE"""),"shìdàng")</f>
        <v>shìdàng</v>
      </c>
      <c r="F2441" s="13" t="str">
        <f ca="1">IFERROR(__xludf.DUMMYFUNCTION("""COMPUTED_VALUE"""),"Tính từ")</f>
        <v>Tính từ</v>
      </c>
      <c r="G2441" s="13" t="str">
        <f ca="1">IFERROR(__xludf.DUMMYFUNCTION("""COMPUTED_VALUE"""),"thích hợp, thỏa đáng")</f>
        <v>thích hợp, thỏa đáng</v>
      </c>
      <c r="H2441" s="13" t="str">
        <f ca="1">IFERROR(__xludf.DUMMYFUNCTION("""COMPUTED_VALUE"""),"你需要穿适当的衣服去面试。")</f>
        <v>你需要穿适当的衣服去面试。</v>
      </c>
      <c r="I2441" s="13"/>
      <c r="J2441" s="13" t="str">
        <f ca="1">IFERROR(__xludf.DUMMYFUNCTION("""COMPUTED_VALUE"""),"Bạn cần mặc trang phục thích hợp để tham gia phỏng vấn.")</f>
        <v>Bạn cần mặc trang phục thích hợp để tham gia phỏng vấn.</v>
      </c>
      <c r="K2441" s="13" t="str">
        <f ca="1">IFERROR(__xludf.DUMMYFUNCTION("""COMPUTED_VALUE"""),"H5_B29_BG13.png")</f>
        <v>H5_B29_BG13.png</v>
      </c>
      <c r="L2441" s="13" t="str">
        <f ca="1">IFERROR(__xludf.DUMMYFUNCTION("""COMPUTED_VALUE"""),"B29_13.mp3")</f>
        <v>B29_13.mp3</v>
      </c>
      <c r="M2441" s="13" t="str">
        <f ca="1">IFERROR(__xludf.DUMMYFUNCTION("""COMPUTED_VALUE"""),"B29_VD_13.mp3")</f>
        <v>B29_VD_13.mp3</v>
      </c>
    </row>
    <row r="2442" spans="1:13">
      <c r="A2442" s="13">
        <f ca="1">IFERROR(__xludf.DUMMYFUNCTION("""COMPUTED_VALUE"""),14)</f>
        <v>14</v>
      </c>
      <c r="B2442" s="13"/>
      <c r="C2442" s="13" t="str">
        <f ca="1">IFERROR(__xludf.DUMMYFUNCTION("""COMPUTED_VALUE"""),"合理")</f>
        <v>合理</v>
      </c>
      <c r="D2442" s="13" t="str">
        <f ca="1">IFERROR(__xludf.DUMMYFUNCTION("""COMPUTED_VALUE"""),"&lt;ruby&gt;合理&lt;rt&gt;hélǐ&lt;/rt&gt;&lt;/ruby&gt;")</f>
        <v>&lt;ruby&gt;合理&lt;rt&gt;hélǐ&lt;/rt&gt;&lt;/ruby&gt;</v>
      </c>
      <c r="E2442" s="13" t="str">
        <f ca="1">IFERROR(__xludf.DUMMYFUNCTION("""COMPUTED_VALUE"""),"hélǐ")</f>
        <v>hélǐ</v>
      </c>
      <c r="F2442" s="13" t="str">
        <f ca="1">IFERROR(__xludf.DUMMYFUNCTION("""COMPUTED_VALUE"""),"Tính từ")</f>
        <v>Tính từ</v>
      </c>
      <c r="G2442" s="13" t="str">
        <f ca="1">IFERROR(__xludf.DUMMYFUNCTION("""COMPUTED_VALUE"""),"hợp lý")</f>
        <v>hợp lý</v>
      </c>
      <c r="H2442" s="13" t="str">
        <f ca="1">IFERROR(__xludf.DUMMYFUNCTION("""COMPUTED_VALUE"""),"这个计划非常合理。")</f>
        <v>这个计划非常合理。</v>
      </c>
      <c r="I2442" s="13"/>
      <c r="J2442" s="13" t="str">
        <f ca="1">IFERROR(__xludf.DUMMYFUNCTION("""COMPUTED_VALUE"""),"Kế hoạch này rất hợp lý.")</f>
        <v>Kế hoạch này rất hợp lý.</v>
      </c>
      <c r="K2442" s="13" t="str">
        <f ca="1">IFERROR(__xludf.DUMMYFUNCTION("""COMPUTED_VALUE"""),"H5_B29_BG14.png")</f>
        <v>H5_B29_BG14.png</v>
      </c>
      <c r="L2442" s="13" t="str">
        <f ca="1">IFERROR(__xludf.DUMMYFUNCTION("""COMPUTED_VALUE"""),"B29_14.mp3")</f>
        <v>B29_14.mp3</v>
      </c>
      <c r="M2442" s="13" t="str">
        <f ca="1">IFERROR(__xludf.DUMMYFUNCTION("""COMPUTED_VALUE"""),"B29_VD_14.mp3")</f>
        <v>B29_VD_14.mp3</v>
      </c>
    </row>
    <row r="2443" spans="1:13">
      <c r="A2443" s="13">
        <f ca="1">IFERROR(__xludf.DUMMYFUNCTION("""COMPUTED_VALUE"""),15)</f>
        <v>15</v>
      </c>
      <c r="B2443" s="13"/>
      <c r="C2443" s="13" t="str">
        <f ca="1">IFERROR(__xludf.DUMMYFUNCTION("""COMPUTED_VALUE"""),"热心")</f>
        <v>热心</v>
      </c>
      <c r="D2443" s="13" t="str">
        <f ca="1">IFERROR(__xludf.DUMMYFUNCTION("""COMPUTED_VALUE"""),"&lt;ruby&gt;热心&lt;rt&gt;rèxīn&lt;/rt&gt;&lt;/ruby&gt;")</f>
        <v>&lt;ruby&gt;热心&lt;rt&gt;rèxīn&lt;/rt&gt;&lt;/ruby&gt;</v>
      </c>
      <c r="E2443" s="13" t="str">
        <f ca="1">IFERROR(__xludf.DUMMYFUNCTION("""COMPUTED_VALUE"""),"rèxīn")</f>
        <v>rèxīn</v>
      </c>
      <c r="F2443" s="13" t="str">
        <f ca="1">IFERROR(__xludf.DUMMYFUNCTION("""COMPUTED_VALUE"""),"Tính từ")</f>
        <v>Tính từ</v>
      </c>
      <c r="G2443" s="13" t="str">
        <f ca="1">IFERROR(__xludf.DUMMYFUNCTION("""COMPUTED_VALUE"""),"nhiệt tình, sốt sắng")</f>
        <v>nhiệt tình, sốt sắng</v>
      </c>
      <c r="H2443" s="13" t="str">
        <f ca="1">IFERROR(__xludf.DUMMYFUNCTION("""COMPUTED_VALUE"""),"他是一个非常热心的人。")</f>
        <v>他是一个非常热心的人。</v>
      </c>
      <c r="I2443" s="13"/>
      <c r="J2443" s="13" t="str">
        <f ca="1">IFERROR(__xludf.DUMMYFUNCTION("""COMPUTED_VALUE"""),"Cậu bé ấy là một người rất nhiệt tình.")</f>
        <v>Cậu bé ấy là một người rất nhiệt tình.</v>
      </c>
      <c r="K2443" s="13" t="str">
        <f ca="1">IFERROR(__xludf.DUMMYFUNCTION("""COMPUTED_VALUE"""),"H5_B29_BG15.png")</f>
        <v>H5_B29_BG15.png</v>
      </c>
      <c r="L2443" s="13" t="str">
        <f ca="1">IFERROR(__xludf.DUMMYFUNCTION("""COMPUTED_VALUE"""),"B29_15.mp3")</f>
        <v>B29_15.mp3</v>
      </c>
      <c r="M2443" s="13" t="str">
        <f ca="1">IFERROR(__xludf.DUMMYFUNCTION("""COMPUTED_VALUE"""),"B29_VD_15.mp3")</f>
        <v>B29_VD_15.mp3</v>
      </c>
    </row>
    <row r="2444" spans="1:13">
      <c r="A2444" s="13">
        <f ca="1">IFERROR(__xludf.DUMMYFUNCTION("""COMPUTED_VALUE"""),16)</f>
        <v>16</v>
      </c>
      <c r="B2444" s="13"/>
      <c r="C2444" s="13" t="str">
        <f ca="1">IFERROR(__xludf.DUMMYFUNCTION("""COMPUTED_VALUE"""),"倒霉")</f>
        <v>倒霉</v>
      </c>
      <c r="D2444" s="13" t="str">
        <f ca="1">IFERROR(__xludf.DUMMYFUNCTION("""COMPUTED_VALUE"""),"&lt;ruby&gt;倒霉&lt;rt&gt;dǎo méi&lt;/rt&gt;&lt;/ruby&gt;")</f>
        <v>&lt;ruby&gt;倒霉&lt;rt&gt;dǎo méi&lt;/rt&gt;&lt;/ruby&gt;</v>
      </c>
      <c r="E2444" s="13" t="str">
        <f ca="1">IFERROR(__xludf.DUMMYFUNCTION("""COMPUTED_VALUE"""),"dǎo méi")</f>
        <v>dǎo méi</v>
      </c>
      <c r="F2444" s="13" t="str">
        <f ca="1">IFERROR(__xludf.DUMMYFUNCTION("""COMPUTED_VALUE"""),"Tính từ")</f>
        <v>Tính từ</v>
      </c>
      <c r="G2444" s="13" t="str">
        <f ca="1">IFERROR(__xludf.DUMMYFUNCTION("""COMPUTED_VALUE"""),"xui xẻo, bất hạnh")</f>
        <v>xui xẻo, bất hạnh</v>
      </c>
      <c r="H2444" s="13" t="str">
        <f ca="1">IFERROR(__xludf.DUMMYFUNCTION("""COMPUTED_VALUE"""),"今天真倒霉，下雨了，不能去踢足球。")</f>
        <v>今天真倒霉，下雨了，不能去踢足球。</v>
      </c>
      <c r="I2444" s="13"/>
      <c r="J2444" s="13" t="str">
        <f ca="1">IFERROR(__xludf.DUMMYFUNCTION("""COMPUTED_VALUE"""),"Hôm nay thật xui xẻo, trời mưa nên không thể đi đá bóng được.")</f>
        <v>Hôm nay thật xui xẻo, trời mưa nên không thể đi đá bóng được.</v>
      </c>
      <c r="K2444" s="13" t="str">
        <f ca="1">IFERROR(__xludf.DUMMYFUNCTION("""COMPUTED_VALUE"""),"H5_B29_BG16.png")</f>
        <v>H5_B29_BG16.png</v>
      </c>
      <c r="L2444" s="13" t="str">
        <f ca="1">IFERROR(__xludf.DUMMYFUNCTION("""COMPUTED_VALUE"""),"B29_16.mp3")</f>
        <v>B29_16.mp3</v>
      </c>
      <c r="M2444" s="13" t="str">
        <f ca="1">IFERROR(__xludf.DUMMYFUNCTION("""COMPUTED_VALUE"""),"B29_VD_16.mp3")</f>
        <v>B29_VD_16.mp3</v>
      </c>
    </row>
    <row r="2445" spans="1:13">
      <c r="A2445" s="13">
        <f ca="1">IFERROR(__xludf.DUMMYFUNCTION("""COMPUTED_VALUE"""),17)</f>
        <v>17</v>
      </c>
      <c r="B2445" s="13"/>
      <c r="C2445" s="13" t="str">
        <f ca="1">IFERROR(__xludf.DUMMYFUNCTION("""COMPUTED_VALUE"""),"不见得")</f>
        <v>不见得</v>
      </c>
      <c r="D2445" s="13" t="str">
        <f ca="1">IFERROR(__xludf.DUMMYFUNCTION("""COMPUTED_VALUE"""),"&lt;ruby&gt;不见得&lt;rt&gt;bújiànde&lt;/rt&gt;&lt;/ruby&gt;")</f>
        <v>&lt;ruby&gt;不见得&lt;rt&gt;bújiànde&lt;/rt&gt;&lt;/ruby&gt;</v>
      </c>
      <c r="E2445" s="13" t="str">
        <f ca="1">IFERROR(__xludf.DUMMYFUNCTION("""COMPUTED_VALUE"""),"bújiànde")</f>
        <v>bújiànde</v>
      </c>
      <c r="F2445" s="13" t="str">
        <f ca="1">IFERROR(__xludf.DUMMYFUNCTION("""COMPUTED_VALUE"""),"Phó từ")</f>
        <v>Phó từ</v>
      </c>
      <c r="G2445" s="13" t="str">
        <f ca="1">IFERROR(__xludf.DUMMYFUNCTION("""COMPUTED_VALUE"""),"chưa chắc, không nhất thiết")</f>
        <v>chưa chắc, không nhất thiết</v>
      </c>
      <c r="H2445" s="13" t="str">
        <f ca="1">IFERROR(__xludf.DUMMYFUNCTION("""COMPUTED_VALUE"""),"他不见得能通过考试。")</f>
        <v>他不见得能通过考试。</v>
      </c>
      <c r="I2445" s="13"/>
      <c r="J2445" s="13" t="str">
        <f ca="1">IFERROR(__xludf.DUMMYFUNCTION("""COMPUTED_VALUE"""),"Cô bé ấy chưa chắc đã vượt qua kỳ thi.")</f>
        <v>Cô bé ấy chưa chắc đã vượt qua kỳ thi.</v>
      </c>
      <c r="K2445" s="13" t="str">
        <f ca="1">IFERROR(__xludf.DUMMYFUNCTION("""COMPUTED_VALUE"""),"H5_B29_BG17.png")</f>
        <v>H5_B29_BG17.png</v>
      </c>
      <c r="L2445" s="13" t="str">
        <f ca="1">IFERROR(__xludf.DUMMYFUNCTION("""COMPUTED_VALUE"""),"B29_17.mp3")</f>
        <v>B29_17.mp3</v>
      </c>
      <c r="M2445" s="13" t="str">
        <f ca="1">IFERROR(__xludf.DUMMYFUNCTION("""COMPUTED_VALUE"""),"B29_VD_17.mp3")</f>
        <v>B29_VD_17.mp3</v>
      </c>
    </row>
    <row r="2446" spans="1:13">
      <c r="A2446" s="13">
        <f ca="1">IFERROR(__xludf.DUMMYFUNCTION("""COMPUTED_VALUE"""),18)</f>
        <v>18</v>
      </c>
      <c r="B2446" s="13"/>
      <c r="C2446" s="13" t="str">
        <f ca="1">IFERROR(__xludf.DUMMYFUNCTION("""COMPUTED_VALUE"""),"利润")</f>
        <v>利润</v>
      </c>
      <c r="D2446" s="13" t="str">
        <f ca="1">IFERROR(__xludf.DUMMYFUNCTION("""COMPUTED_VALUE"""),"&lt;ruby&gt;利润&lt;rt&gt;lìrùn&lt;/rt&gt;&lt;/ruby&gt;")</f>
        <v>&lt;ruby&gt;利润&lt;rt&gt;lìrùn&lt;/rt&gt;&lt;/ruby&gt;</v>
      </c>
      <c r="E2446" s="13" t="str">
        <f ca="1">IFERROR(__xludf.DUMMYFUNCTION("""COMPUTED_VALUE"""),"lìrùn")</f>
        <v>lìrùn</v>
      </c>
      <c r="F2446" s="13" t="str">
        <f ca="1">IFERROR(__xludf.DUMMYFUNCTION("""COMPUTED_VALUE"""),"Danh từ")</f>
        <v>Danh từ</v>
      </c>
      <c r="G2446" s="13" t="str">
        <f ca="1">IFERROR(__xludf.DUMMYFUNCTION("""COMPUTED_VALUE"""),"lợi nhuận, lãi")</f>
        <v>lợi nhuận, lãi</v>
      </c>
      <c r="H2446" s="13" t="str">
        <f ca="1">IFERROR(__xludf.DUMMYFUNCTION("""COMPUTED_VALUE"""),"这家公司去年获得了很高的利润。")</f>
        <v>这家公司去年获得了很高的利润。</v>
      </c>
      <c r="I2446" s="13"/>
      <c r="J2446" s="13" t="str">
        <f ca="1">IFERROR(__xludf.DUMMYFUNCTION("""COMPUTED_VALUE"""),"Công ty này đã đạt được lợi nhuận cao vào năm ngoái.")</f>
        <v>Công ty này đã đạt được lợi nhuận cao vào năm ngoái.</v>
      </c>
      <c r="K2446" s="13" t="str">
        <f ca="1">IFERROR(__xludf.DUMMYFUNCTION("""COMPUTED_VALUE"""),"H5_B29_BG18.png")</f>
        <v>H5_B29_BG18.png</v>
      </c>
      <c r="L2446" s="13" t="str">
        <f ca="1">IFERROR(__xludf.DUMMYFUNCTION("""COMPUTED_VALUE"""),"B29_18.mp3")</f>
        <v>B29_18.mp3</v>
      </c>
      <c r="M2446" s="13" t="str">
        <f ca="1">IFERROR(__xludf.DUMMYFUNCTION("""COMPUTED_VALUE"""),"B29_VD_18.mp3")</f>
        <v>B29_VD_18.mp3</v>
      </c>
    </row>
    <row r="2447" spans="1:13">
      <c r="A2447" s="13">
        <f ca="1">IFERROR(__xludf.DUMMYFUNCTION("""COMPUTED_VALUE"""),19)</f>
        <v>19</v>
      </c>
      <c r="B2447" s="13"/>
      <c r="C2447" s="13" t="str">
        <f ca="1">IFERROR(__xludf.DUMMYFUNCTION("""COMPUTED_VALUE"""),"诚信")</f>
        <v>诚信</v>
      </c>
      <c r="D2447" s="13" t="str">
        <f ca="1">IFERROR(__xludf.DUMMYFUNCTION("""COMPUTED_VALUE"""),"&lt;ruby&gt;诚信&lt;rt&gt;chéngxìn&lt;/rt&gt;&lt;/ruby&gt;")</f>
        <v>&lt;ruby&gt;诚信&lt;rt&gt;chéngxìn&lt;/rt&gt;&lt;/ruby&gt;</v>
      </c>
      <c r="E2447" s="13" t="str">
        <f ca="1">IFERROR(__xludf.DUMMYFUNCTION("""COMPUTED_VALUE"""),"chéngxìn")</f>
        <v>chéngxìn</v>
      </c>
      <c r="F2447" s="13" t="str">
        <f ca="1">IFERROR(__xludf.DUMMYFUNCTION("""COMPUTED_VALUE"""),"Tính từ")</f>
        <v>Tính từ</v>
      </c>
      <c r="G2447" s="13" t="str">
        <f ca="1">IFERROR(__xludf.DUMMYFUNCTION("""COMPUTED_VALUE"""),"trung thực")</f>
        <v>trung thực</v>
      </c>
      <c r="H2447" s="13" t="str">
        <f ca="1">IFERROR(__xludf.DUMMYFUNCTION("""COMPUTED_VALUE"""),"诚信是做生意最重要的品质。")</f>
        <v>诚信是做生意最重要的品质。</v>
      </c>
      <c r="I2447" s="13"/>
      <c r="J2447" s="13" t="str">
        <f ca="1">IFERROR(__xludf.DUMMYFUNCTION("""COMPUTED_VALUE"""),"Trung thực là phẩm chất quan trọng nhất khi làm kinh doanh.")</f>
        <v>Trung thực là phẩm chất quan trọng nhất khi làm kinh doanh.</v>
      </c>
      <c r="K2447" s="13" t="str">
        <f ca="1">IFERROR(__xludf.DUMMYFUNCTION("""COMPUTED_VALUE"""),"H5_B29_BG19.png")</f>
        <v>H5_B29_BG19.png</v>
      </c>
      <c r="L2447" s="13" t="str">
        <f ca="1">IFERROR(__xludf.DUMMYFUNCTION("""COMPUTED_VALUE"""),"B29_19.mp3")</f>
        <v>B29_19.mp3</v>
      </c>
      <c r="M2447" s="13" t="str">
        <f ca="1">IFERROR(__xludf.DUMMYFUNCTION("""COMPUTED_VALUE"""),"B29_VD_19.mp3")</f>
        <v>B29_VD_19.mp3</v>
      </c>
    </row>
    <row r="2448" spans="1:13">
      <c r="A2448" s="13">
        <f ca="1">IFERROR(__xludf.DUMMYFUNCTION("""COMPUTED_VALUE"""),20)</f>
        <v>20</v>
      </c>
      <c r="B2448" s="13"/>
      <c r="C2448" s="13" t="str">
        <f ca="1">IFERROR(__xludf.DUMMYFUNCTION("""COMPUTED_VALUE"""),"媒体")</f>
        <v>媒体</v>
      </c>
      <c r="D2448" s="13" t="str">
        <f ca="1">IFERROR(__xludf.DUMMYFUNCTION("""COMPUTED_VALUE"""),"&lt;ruby&gt;媒体&lt;rt&gt;méitǐ&lt;/rt&gt;&lt;/ruby&gt;")</f>
        <v>&lt;ruby&gt;媒体&lt;rt&gt;méitǐ&lt;/rt&gt;&lt;/ruby&gt;</v>
      </c>
      <c r="E2448" s="13" t="str">
        <f ca="1">IFERROR(__xludf.DUMMYFUNCTION("""COMPUTED_VALUE"""),"méitǐ")</f>
        <v>méitǐ</v>
      </c>
      <c r="F2448" s="13" t="str">
        <f ca="1">IFERROR(__xludf.DUMMYFUNCTION("""COMPUTED_VALUE"""),"Danh từ")</f>
        <v>Danh từ</v>
      </c>
      <c r="G2448" s="13" t="str">
        <f ca="1">IFERROR(__xludf.DUMMYFUNCTION("""COMPUTED_VALUE"""),"phương tiện truyền thông đại chúng")</f>
        <v>phương tiện truyền thông đại chúng</v>
      </c>
      <c r="H2448" s="13" t="str">
        <f ca="1">IFERROR(__xludf.DUMMYFUNCTION("""COMPUTED_VALUE"""),"媒体经常报道这类新闻。")</f>
        <v>媒体经常报道这类新闻。</v>
      </c>
      <c r="I2448" s="13"/>
      <c r="J2448" s="13" t="str">
        <f ca="1">IFERROR(__xludf.DUMMYFUNCTION("""COMPUTED_VALUE"""),"Các phương tiện truyền thông thường xuyên đưa tin về loại tin tức này.")</f>
        <v>Các phương tiện truyền thông thường xuyên đưa tin về loại tin tức này.</v>
      </c>
      <c r="K2448" s="13" t="str">
        <f ca="1">IFERROR(__xludf.DUMMYFUNCTION("""COMPUTED_VALUE"""),"H5_B29_BG20.png")</f>
        <v>H5_B29_BG20.png</v>
      </c>
      <c r="L2448" s="13" t="str">
        <f ca="1">IFERROR(__xludf.DUMMYFUNCTION("""COMPUTED_VALUE"""),"B29_20.mp3")</f>
        <v>B29_20.mp3</v>
      </c>
      <c r="M2448" s="13" t="str">
        <f ca="1">IFERROR(__xludf.DUMMYFUNCTION("""COMPUTED_VALUE"""),"B29_VD_20.mp3")</f>
        <v>B29_VD_20.mp3</v>
      </c>
    </row>
    <row r="2449" spans="1:13">
      <c r="A2449" s="13">
        <f ca="1">IFERROR(__xludf.DUMMYFUNCTION("""COMPUTED_VALUE"""),21)</f>
        <v>21</v>
      </c>
      <c r="B2449" s="13"/>
      <c r="C2449" s="13" t="str">
        <f ca="1">IFERROR(__xludf.DUMMYFUNCTION("""COMPUTED_VALUE"""),"营业")</f>
        <v>营业</v>
      </c>
      <c r="D2449" s="13" t="str">
        <f ca="1">IFERROR(__xludf.DUMMYFUNCTION("""COMPUTED_VALUE"""),"&lt;ruby&gt;营业&lt;rt&gt;yíngyè&lt;/rt&gt;&lt;/ruby&gt;")</f>
        <v>&lt;ruby&gt;营业&lt;rt&gt;yíngyè&lt;/rt&gt;&lt;/ruby&gt;</v>
      </c>
      <c r="E2449" s="13" t="str">
        <f ca="1">IFERROR(__xludf.DUMMYFUNCTION("""COMPUTED_VALUE"""),"yíngyè")</f>
        <v>yíngyè</v>
      </c>
      <c r="F2449" s="13" t="str">
        <f ca="1">IFERROR(__xludf.DUMMYFUNCTION("""COMPUTED_VALUE"""),"Động từ")</f>
        <v>Động từ</v>
      </c>
      <c r="G2449" s="13" t="str">
        <f ca="1">IFERROR(__xludf.DUMMYFUNCTION("""COMPUTED_VALUE"""),"kinh doanh, buôn bán")</f>
        <v>kinh doanh, buôn bán</v>
      </c>
      <c r="H2449" s="13" t="str">
        <f ca="1">IFERROR(__xludf.DUMMYFUNCTION("""COMPUTED_VALUE"""),"这家商店每天早上九点开始营业。")</f>
        <v>这家商店每天早上九点开始营业。</v>
      </c>
      <c r="I2449" s="13"/>
      <c r="J2449" s="13" t="str">
        <f ca="1">IFERROR(__xludf.DUMMYFUNCTION("""COMPUTED_VALUE"""),"Cửa hàng này bắt đầu mở cửa vào 9 giờ sáng mỗi ngày.")</f>
        <v>Cửa hàng này bắt đầu mở cửa vào 9 giờ sáng mỗi ngày.</v>
      </c>
      <c r="K2449" s="13" t="str">
        <f ca="1">IFERROR(__xludf.DUMMYFUNCTION("""COMPUTED_VALUE"""),"H5_B29_BG21.png")</f>
        <v>H5_B29_BG21.png</v>
      </c>
      <c r="L2449" s="13" t="str">
        <f ca="1">IFERROR(__xludf.DUMMYFUNCTION("""COMPUTED_VALUE"""),"B29_21.mp3")</f>
        <v>B29_21.mp3</v>
      </c>
      <c r="M2449" s="13" t="str">
        <f ca="1">IFERROR(__xludf.DUMMYFUNCTION("""COMPUTED_VALUE"""),"B29_VD_21.mp3")</f>
        <v>B29_VD_21.mp3</v>
      </c>
    </row>
    <row r="2450" spans="1:13">
      <c r="A2450" s="13">
        <f ca="1">IFERROR(__xludf.DUMMYFUNCTION("""COMPUTED_VALUE"""),22)</f>
        <v>22</v>
      </c>
      <c r="B2450" s="13"/>
      <c r="C2450" s="13" t="str">
        <f ca="1">IFERROR(__xludf.DUMMYFUNCTION("""COMPUTED_VALUE"""),"额")</f>
        <v>额</v>
      </c>
      <c r="D2450" s="13" t="str">
        <f ca="1">IFERROR(__xludf.DUMMYFUNCTION("""COMPUTED_VALUE"""),"&lt;ruby&gt;额&lt;rt&gt;é&lt;/rt&gt;&lt;/ruby&gt;")</f>
        <v>&lt;ruby&gt;额&lt;rt&gt;é&lt;/rt&gt;&lt;/ruby&gt;</v>
      </c>
      <c r="E2450" s="13" t="str">
        <f ca="1">IFERROR(__xludf.DUMMYFUNCTION("""COMPUTED_VALUE"""),"é")</f>
        <v>é</v>
      </c>
      <c r="F2450" s="13" t="str">
        <f ca="1">IFERROR(__xludf.DUMMYFUNCTION("""COMPUTED_VALUE"""),"Danh từ")</f>
        <v>Danh từ</v>
      </c>
      <c r="G2450" s="13" t="str">
        <f ca="1">IFERROR(__xludf.DUMMYFUNCTION("""COMPUTED_VALUE"""),"số, ngạch, mức")</f>
        <v>số, ngạch, mức</v>
      </c>
      <c r="H2450" s="13" t="str">
        <f ca="1">IFERROR(__xludf.DUMMYFUNCTION("""COMPUTED_VALUE"""),"他的销售额每年都在增长。")</f>
        <v>他的销售额每年都在增长。</v>
      </c>
      <c r="I2450" s="13"/>
      <c r="J2450" s="13" t="str">
        <f ca="1">IFERROR(__xludf.DUMMYFUNCTION("""COMPUTED_VALUE"""),"Mức doanh thu của anh ấy tăng mỗi năm.")</f>
        <v>Mức doanh thu của anh ấy tăng mỗi năm.</v>
      </c>
      <c r="K2450" s="13" t="str">
        <f ca="1">IFERROR(__xludf.DUMMYFUNCTION("""COMPUTED_VALUE"""),"H5_B29_BG22.png")</f>
        <v>H5_B29_BG22.png</v>
      </c>
      <c r="L2450" s="13" t="str">
        <f ca="1">IFERROR(__xludf.DUMMYFUNCTION("""COMPUTED_VALUE"""),"B29_22.mp3")</f>
        <v>B29_22.mp3</v>
      </c>
      <c r="M2450" s="13" t="str">
        <f ca="1">IFERROR(__xludf.DUMMYFUNCTION("""COMPUTED_VALUE"""),"B29_VD_22.mp3")</f>
        <v>B29_VD_22.mp3</v>
      </c>
    </row>
    <row r="2451" spans="1:13">
      <c r="A2451" s="13">
        <f ca="1">IFERROR(__xludf.DUMMYFUNCTION("""COMPUTED_VALUE"""),23)</f>
        <v>23</v>
      </c>
      <c r="B2451" s="13"/>
      <c r="C2451" s="13" t="str">
        <f ca="1">IFERROR(__xludf.DUMMYFUNCTION("""COMPUTED_VALUE"""),"对手")</f>
        <v>对手</v>
      </c>
      <c r="D2451" s="13" t="str">
        <f ca="1">IFERROR(__xludf.DUMMYFUNCTION("""COMPUTED_VALUE"""),"&lt;ruby&gt;对手&lt;rt&gt;duìshǒu&lt;/rt&gt;&lt;/ruby&gt;")</f>
        <v>&lt;ruby&gt;对手&lt;rt&gt;duìshǒu&lt;/rt&gt;&lt;/ruby&gt;</v>
      </c>
      <c r="E2451" s="13" t="str">
        <f ca="1">IFERROR(__xludf.DUMMYFUNCTION("""COMPUTED_VALUE"""),"duìshǒu")</f>
        <v>duìshǒu</v>
      </c>
      <c r="F2451" s="13" t="str">
        <f ca="1">IFERROR(__xludf.DUMMYFUNCTION("""COMPUTED_VALUE"""),"Danh từ")</f>
        <v>Danh từ</v>
      </c>
      <c r="G2451" s="13" t="str">
        <f ca="1">IFERROR(__xludf.DUMMYFUNCTION("""COMPUTED_VALUE"""),"đối thủ, địch thủ")</f>
        <v>đối thủ, địch thủ</v>
      </c>
      <c r="H2451" s="13" t="str">
        <f ca="1">IFERROR(__xludf.DUMMYFUNCTION("""COMPUTED_VALUE"""),"他的对手非常强大。")</f>
        <v>他的对手非常强大。</v>
      </c>
      <c r="I2451" s="13"/>
      <c r="J2451" s="13" t="str">
        <f ca="1">IFERROR(__xludf.DUMMYFUNCTION("""COMPUTED_VALUE"""),"Đối thủ của anh ấy rất mạnh.")</f>
        <v>Đối thủ của anh ấy rất mạnh.</v>
      </c>
      <c r="K2451" s="13" t="str">
        <f ca="1">IFERROR(__xludf.DUMMYFUNCTION("""COMPUTED_VALUE"""),"H5_B29_BG23.png")</f>
        <v>H5_B29_BG23.png</v>
      </c>
      <c r="L2451" s="13" t="str">
        <f ca="1">IFERROR(__xludf.DUMMYFUNCTION("""COMPUTED_VALUE"""),"B29_23.mp3")</f>
        <v>B29_23.mp3</v>
      </c>
      <c r="M2451" s="13" t="str">
        <f ca="1">IFERROR(__xludf.DUMMYFUNCTION("""COMPUTED_VALUE"""),"B29_VD_23.mp3")</f>
        <v>B29_VD_23.mp3</v>
      </c>
    </row>
    <row r="2452" spans="1:13">
      <c r="A2452" s="13">
        <f ca="1">IFERROR(__xludf.DUMMYFUNCTION("""COMPUTED_VALUE"""),24)</f>
        <v>24</v>
      </c>
      <c r="B2452" s="13"/>
      <c r="C2452" s="13" t="str">
        <f ca="1">IFERROR(__xludf.DUMMYFUNCTION("""COMPUTED_VALUE"""),"挤")</f>
        <v>挤</v>
      </c>
      <c r="D2452" s="13" t="str">
        <f ca="1">IFERROR(__xludf.DUMMYFUNCTION("""COMPUTED_VALUE"""),"&lt;ruby&gt;挤&lt;rt&gt;jǐ&lt;/rt&gt;&lt;/ruby&gt;")</f>
        <v>&lt;ruby&gt;挤&lt;rt&gt;jǐ&lt;/rt&gt;&lt;/ruby&gt;</v>
      </c>
      <c r="E2452" s="13" t="str">
        <f ca="1">IFERROR(__xludf.DUMMYFUNCTION("""COMPUTED_VALUE"""),"jǐ")</f>
        <v>jǐ</v>
      </c>
      <c r="F2452" s="13" t="str">
        <f ca="1">IFERROR(__xludf.DUMMYFUNCTION("""COMPUTED_VALUE"""),"Động từ")</f>
        <v>Động từ</v>
      </c>
      <c r="G2452" s="13" t="str">
        <f ca="1">IFERROR(__xludf.DUMMYFUNCTION("""COMPUTED_VALUE"""),"ép, bóp, chen lấn")</f>
        <v>ép, bóp, chen lấn</v>
      </c>
      <c r="H2452" s="13" t="str">
        <f ca="1">IFERROR(__xludf.DUMMYFUNCTION("""COMPUTED_VALUE"""),"我们在人群中挤了好久。")</f>
        <v>我们在人群中挤了好久。</v>
      </c>
      <c r="I2452" s="13"/>
      <c r="J2452" s="13" t="str">
        <f ca="1">IFERROR(__xludf.DUMMYFUNCTION("""COMPUTED_VALUE"""),"Chúng tôi đã chen lấn trong đám đông một lúc lâu.")</f>
        <v>Chúng tôi đã chen lấn trong đám đông một lúc lâu.</v>
      </c>
      <c r="K2452" s="13" t="str">
        <f ca="1">IFERROR(__xludf.DUMMYFUNCTION("""COMPUTED_VALUE"""),"H5_B29_BG24.png")</f>
        <v>H5_B29_BG24.png</v>
      </c>
      <c r="L2452" s="13" t="str">
        <f ca="1">IFERROR(__xludf.DUMMYFUNCTION("""COMPUTED_VALUE"""),"B29_24.mp3")</f>
        <v>B29_24.mp3</v>
      </c>
      <c r="M2452" s="13" t="str">
        <f ca="1">IFERROR(__xludf.DUMMYFUNCTION("""COMPUTED_VALUE"""),"B29_VD_24.mp3")</f>
        <v>B29_VD_24.mp3</v>
      </c>
    </row>
    <row r="2453" spans="1:13">
      <c r="A2453" s="13">
        <f ca="1">IFERROR(__xludf.DUMMYFUNCTION("""COMPUTED_VALUE"""),25)</f>
        <v>25</v>
      </c>
      <c r="B2453" s="13"/>
      <c r="C2453" s="13" t="str">
        <f ca="1">IFERROR(__xludf.DUMMYFUNCTION("""COMPUTED_VALUE"""),"垮")</f>
        <v>垮</v>
      </c>
      <c r="D2453" s="13" t="str">
        <f ca="1">IFERROR(__xludf.DUMMYFUNCTION("""COMPUTED_VALUE"""),"&lt;ruby&gt;垮&lt;rt&gt;kuǎ&lt;/rt&gt;&lt;/ruby&gt;")</f>
        <v>&lt;ruby&gt;垮&lt;rt&gt;kuǎ&lt;/rt&gt;&lt;/ruby&gt;</v>
      </c>
      <c r="E2453" s="13" t="str">
        <f ca="1">IFERROR(__xludf.DUMMYFUNCTION("""COMPUTED_VALUE"""),"kuǎ")</f>
        <v>kuǎ</v>
      </c>
      <c r="F2453" s="13" t="str">
        <f ca="1">IFERROR(__xludf.DUMMYFUNCTION("""COMPUTED_VALUE"""),"Động từ")</f>
        <v>Động từ</v>
      </c>
      <c r="G2453" s="13" t="str">
        <f ca="1">IFERROR(__xludf.DUMMYFUNCTION("""COMPUTED_VALUE"""),"sập, sụp đổ")</f>
        <v>sập, sụp đổ</v>
      </c>
      <c r="H2453" s="13" t="str">
        <f ca="1">IFERROR(__xludf.DUMMYFUNCTION("""COMPUTED_VALUE"""),"大火烧毁了整座城市，许多建筑都垮了。")</f>
        <v>大火烧毁了整座城市，许多建筑都垮了。</v>
      </c>
      <c r="I2453" s="13"/>
      <c r="J2453" s="13" t="str">
        <f ca="1">IFERROR(__xludf.DUMMYFUNCTION("""COMPUTED_VALUE"""),"Đám cháy đã thiêu rụi cả thành phố, nhiều tòa nhà đã sụp đổ.")</f>
        <v>Đám cháy đã thiêu rụi cả thành phố, nhiều tòa nhà đã sụp đổ.</v>
      </c>
      <c r="K2453" s="13" t="str">
        <f ca="1">IFERROR(__xludf.DUMMYFUNCTION("""COMPUTED_VALUE"""),"H5_B29_BG25.png")</f>
        <v>H5_B29_BG25.png</v>
      </c>
      <c r="L2453" s="13" t="str">
        <f ca="1">IFERROR(__xludf.DUMMYFUNCTION("""COMPUTED_VALUE"""),"B29_25.mp3")</f>
        <v>B29_25.mp3</v>
      </c>
      <c r="M2453" s="13" t="str">
        <f ca="1">IFERROR(__xludf.DUMMYFUNCTION("""COMPUTED_VALUE"""),"B29_VD_25.mp3")</f>
        <v>B29_VD_25.mp3</v>
      </c>
    </row>
    <row r="2454" spans="1:13">
      <c r="A2454" s="13">
        <f ca="1">IFERROR(__xludf.DUMMYFUNCTION("""COMPUTED_VALUE"""),26)</f>
        <v>26</v>
      </c>
      <c r="B2454" s="13"/>
      <c r="C2454" s="13" t="str">
        <f ca="1">IFERROR(__xludf.DUMMYFUNCTION("""COMPUTED_VALUE"""),"垄断")</f>
        <v>垄断</v>
      </c>
      <c r="D2454" s="13" t="str">
        <f ca="1">IFERROR(__xludf.DUMMYFUNCTION("""COMPUTED_VALUE"""),"&lt;ruby&gt;垄断&lt;rt&gt;lǒngduàn&lt;/rt&gt;&lt;/ruby&gt;")</f>
        <v>&lt;ruby&gt;垄断&lt;rt&gt;lǒngduàn&lt;/rt&gt;&lt;/ruby&gt;</v>
      </c>
      <c r="E2454" s="13" t="str">
        <f ca="1">IFERROR(__xludf.DUMMYFUNCTION("""COMPUTED_VALUE"""),"lǒngduàn")</f>
        <v>lǒngduàn</v>
      </c>
      <c r="F2454" s="13" t="str">
        <f ca="1">IFERROR(__xludf.DUMMYFUNCTION("""COMPUTED_VALUE"""),"Động từ")</f>
        <v>Động từ</v>
      </c>
      <c r="G2454" s="13" t="str">
        <f ca="1">IFERROR(__xludf.DUMMYFUNCTION("""COMPUTED_VALUE"""),"giữ độc quyền")</f>
        <v>giữ độc quyền</v>
      </c>
      <c r="H2454" s="13" t="str">
        <f ca="1">IFERROR(__xludf.DUMMYFUNCTION("""COMPUTED_VALUE"""),"这个市场被几家公司垄断了。")</f>
        <v>这个市场被几家公司垄断了。</v>
      </c>
      <c r="I2454" s="13"/>
      <c r="J2454" s="13" t="str">
        <f ca="1">IFERROR(__xludf.DUMMYFUNCTION("""COMPUTED_VALUE"""),"Thị trường này đã bị mấy công ty này giữ độc quyền rồi.")</f>
        <v>Thị trường này đã bị mấy công ty này giữ độc quyền rồi.</v>
      </c>
      <c r="K2454" s="13" t="str">
        <f ca="1">IFERROR(__xludf.DUMMYFUNCTION("""COMPUTED_VALUE"""),"H5_B29_BG26.png")</f>
        <v>H5_B29_BG26.png</v>
      </c>
      <c r="L2454" s="13" t="str">
        <f ca="1">IFERROR(__xludf.DUMMYFUNCTION("""COMPUTED_VALUE"""),"B29_26.mp3")</f>
        <v>B29_26.mp3</v>
      </c>
      <c r="M2454" s="13" t="str">
        <f ca="1">IFERROR(__xludf.DUMMYFUNCTION("""COMPUTED_VALUE"""),"B29_VD_26.mp3")</f>
        <v>B29_VD_26.mp3</v>
      </c>
    </row>
    <row r="2455" spans="1:13">
      <c r="A2455" s="13">
        <f ca="1">IFERROR(__xludf.DUMMYFUNCTION("""COMPUTED_VALUE"""),27)</f>
        <v>27</v>
      </c>
      <c r="B2455" s="13"/>
      <c r="C2455" s="13" t="str">
        <f ca="1">IFERROR(__xludf.DUMMYFUNCTION("""COMPUTED_VALUE"""),"倒闭")</f>
        <v>倒闭</v>
      </c>
      <c r="D2455" s="13" t="str">
        <f ca="1">IFERROR(__xludf.DUMMYFUNCTION("""COMPUTED_VALUE"""),"&lt;ruby&gt;倒闭&lt;rt&gt;dǎobì&lt;/rt&gt;&lt;/ruby&gt;")</f>
        <v>&lt;ruby&gt;倒闭&lt;rt&gt;dǎobì&lt;/rt&gt;&lt;/ruby&gt;</v>
      </c>
      <c r="E2455" s="13" t="str">
        <f ca="1">IFERROR(__xludf.DUMMYFUNCTION("""COMPUTED_VALUE"""),"dǎobì")</f>
        <v>dǎobì</v>
      </c>
      <c r="F2455" s="13" t="str">
        <f ca="1">IFERROR(__xludf.DUMMYFUNCTION("""COMPUTED_VALUE"""),"Động từ")</f>
        <v>Động từ</v>
      </c>
      <c r="G2455" s="13" t="str">
        <f ca="1">IFERROR(__xludf.DUMMYFUNCTION("""COMPUTED_VALUE"""),"đóng cửa hẳn, sập tiệm")</f>
        <v>đóng cửa hẳn, sập tiệm</v>
      </c>
      <c r="H2455" s="13" t="str">
        <f ca="1">IFERROR(__xludf.DUMMYFUNCTION("""COMPUTED_VALUE"""),"那家商店因为经营不善而倒闭了。")</f>
        <v>那家商店因为经营不善而倒闭了。</v>
      </c>
      <c r="I2455" s="13"/>
      <c r="J2455" s="13" t="str">
        <f ca="1">IFERROR(__xludf.DUMMYFUNCTION("""COMPUTED_VALUE"""),"Cửa hàng đó đã đóng cửa vì làm ăn không tốt.")</f>
        <v>Cửa hàng đó đã đóng cửa vì làm ăn không tốt.</v>
      </c>
      <c r="K2455" s="13" t="str">
        <f ca="1">IFERROR(__xludf.DUMMYFUNCTION("""COMPUTED_VALUE"""),"H5_B29_BG27.png")</f>
        <v>H5_B29_BG27.png</v>
      </c>
      <c r="L2455" s="13" t="str">
        <f ca="1">IFERROR(__xludf.DUMMYFUNCTION("""COMPUTED_VALUE"""),"B29_27.mp3")</f>
        <v>B29_27.mp3</v>
      </c>
      <c r="M2455" s="13" t="str">
        <f ca="1">IFERROR(__xludf.DUMMYFUNCTION("""COMPUTED_VALUE"""),"B29_VD_27.mp3")</f>
        <v>B29_VD_27.mp3</v>
      </c>
    </row>
    <row r="2456" spans="1:13">
      <c r="A2456" s="13">
        <f ca="1">IFERROR(__xludf.DUMMYFUNCTION("""COMPUTED_VALUE"""),28)</f>
        <v>28</v>
      </c>
      <c r="B2456" s="13"/>
      <c r="C2456" s="13" t="str">
        <f ca="1">IFERROR(__xludf.DUMMYFUNCTION("""COMPUTED_VALUE"""),"资金")</f>
        <v>资金</v>
      </c>
      <c r="D2456" s="13" t="str">
        <f ca="1">IFERROR(__xludf.DUMMYFUNCTION("""COMPUTED_VALUE"""),"&lt;ruby&gt;资金&lt;rt&gt;zījīn&lt;/rt&gt;&lt;/ruby&gt;")</f>
        <v>&lt;ruby&gt;资金&lt;rt&gt;zījīn&lt;/rt&gt;&lt;/ruby&gt;</v>
      </c>
      <c r="E2456" s="13" t="str">
        <f ca="1">IFERROR(__xludf.DUMMYFUNCTION("""COMPUTED_VALUE"""),"zījīn")</f>
        <v>zījīn</v>
      </c>
      <c r="F2456" s="13" t="str">
        <f ca="1">IFERROR(__xludf.DUMMYFUNCTION("""COMPUTED_VALUE"""),"Danh từ")</f>
        <v>Danh từ</v>
      </c>
      <c r="G2456" s="13" t="str">
        <f ca="1">IFERROR(__xludf.DUMMYFUNCTION("""COMPUTED_VALUE"""),"tiền vốn")</f>
        <v>tiền vốn</v>
      </c>
      <c r="H2456" s="13" t="str">
        <f ca="1">IFERROR(__xludf.DUMMYFUNCTION("""COMPUTED_VALUE"""),"公司缺少足够的资金来扩大业务。")</f>
        <v>公司缺少足够的资金来扩大业务。</v>
      </c>
      <c r="I2456" s="13"/>
      <c r="J2456" s="13" t="str">
        <f ca="1">IFERROR(__xludf.DUMMYFUNCTION("""COMPUTED_VALUE"""),"Công ty thiếu đủ tiền vốn để mở rộng kinh doanh.")</f>
        <v>Công ty thiếu đủ tiền vốn để mở rộng kinh doanh.</v>
      </c>
      <c r="K2456" s="13" t="str">
        <f ca="1">IFERROR(__xludf.DUMMYFUNCTION("""COMPUTED_VALUE"""),"H5_B29_BG28.png")</f>
        <v>H5_B29_BG28.png</v>
      </c>
      <c r="L2456" s="13" t="str">
        <f ca="1">IFERROR(__xludf.DUMMYFUNCTION("""COMPUTED_VALUE"""),"B29_28.mp3")</f>
        <v>B29_28.mp3</v>
      </c>
      <c r="M2456" s="13" t="str">
        <f ca="1">IFERROR(__xludf.DUMMYFUNCTION("""COMPUTED_VALUE"""),"B29_VD_28.mp3")</f>
        <v>B29_VD_28.mp3</v>
      </c>
    </row>
    <row r="2457" spans="1:13">
      <c r="A2457" s="13">
        <f ca="1">IFERROR(__xludf.DUMMYFUNCTION("""COMPUTED_VALUE"""),29)</f>
        <v>29</v>
      </c>
      <c r="B2457" s="13"/>
      <c r="C2457" s="13" t="str">
        <f ca="1">IFERROR(__xludf.DUMMYFUNCTION("""COMPUTED_VALUE"""),"傻")</f>
        <v>傻</v>
      </c>
      <c r="D2457" s="13" t="str">
        <f ca="1">IFERROR(__xludf.DUMMYFUNCTION("""COMPUTED_VALUE"""),"&lt;ruby&gt;傻&lt;rt&gt;shǎ&lt;/rt&gt;&lt;/ruby&gt;")</f>
        <v>&lt;ruby&gt;傻&lt;rt&gt;shǎ&lt;/rt&gt;&lt;/ruby&gt;</v>
      </c>
      <c r="E2457" s="13" t="str">
        <f ca="1">IFERROR(__xludf.DUMMYFUNCTION("""COMPUTED_VALUE"""),"shǎ")</f>
        <v>shǎ</v>
      </c>
      <c r="F2457" s="13" t="str">
        <f ca="1">IFERROR(__xludf.DUMMYFUNCTION("""COMPUTED_VALUE"""),"Tính từ")</f>
        <v>Tính từ</v>
      </c>
      <c r="G2457" s="13" t="str">
        <f ca="1">IFERROR(__xludf.DUMMYFUNCTION("""COMPUTED_VALUE"""),"dại dột, đần độn")</f>
        <v>dại dột, đần độn</v>
      </c>
      <c r="H2457" s="13" t="str">
        <f ca="1">IFERROR(__xludf.DUMMYFUNCTION("""COMPUTED_VALUE"""),"那个男孩因为做了傻事被爸爸骂了。")</f>
        <v>那个男孩因为做了傻事被爸爸骂了。</v>
      </c>
      <c r="I2457" s="13"/>
      <c r="J2457" s="13" t="str">
        <f ca="1">IFERROR(__xludf.DUMMYFUNCTION("""COMPUTED_VALUE"""),"Cậu bé bị bố mắng vì làm chuyện ngốc nghếch.
")</f>
        <v xml:space="preserve">Cậu bé bị bố mắng vì làm chuyện ngốc nghếch.
</v>
      </c>
      <c r="K2457" s="13" t="str">
        <f ca="1">IFERROR(__xludf.DUMMYFUNCTION("""COMPUTED_VALUE"""),"H5_B29_BG29.png")</f>
        <v>H5_B29_BG29.png</v>
      </c>
      <c r="L2457" s="13" t="str">
        <f ca="1">IFERROR(__xludf.DUMMYFUNCTION("""COMPUTED_VALUE"""),"B29_29.mp3")</f>
        <v>B29_29.mp3</v>
      </c>
      <c r="M2457" s="13" t="str">
        <f ca="1">IFERROR(__xludf.DUMMYFUNCTION("""COMPUTED_VALUE"""),"B29_VD_29.mp3")</f>
        <v>B29_VD_29.mp3</v>
      </c>
    </row>
    <row r="2458" spans="1:13">
      <c r="A2458" s="13">
        <f ca="1">IFERROR(__xludf.DUMMYFUNCTION("""COMPUTED_VALUE"""),30)</f>
        <v>30</v>
      </c>
      <c r="B2458" s="13"/>
      <c r="C2458" s="13" t="str">
        <f ca="1">IFERROR(__xludf.DUMMYFUNCTION("""COMPUTED_VALUE"""),"商业")</f>
        <v>商业</v>
      </c>
      <c r="D2458" s="13" t="str">
        <f ca="1">IFERROR(__xludf.DUMMYFUNCTION("""COMPUTED_VALUE"""),"&lt;ruby&gt;商业&lt;rt&gt;shāngyè&lt;/rt&gt;&lt;/ruby&gt;")</f>
        <v>&lt;ruby&gt;商业&lt;rt&gt;shāngyè&lt;/rt&gt;&lt;/ruby&gt;</v>
      </c>
      <c r="E2458" s="13" t="str">
        <f ca="1">IFERROR(__xludf.DUMMYFUNCTION("""COMPUTED_VALUE"""),"shāngyè")</f>
        <v>shāngyè</v>
      </c>
      <c r="F2458" s="13" t="str">
        <f ca="1">IFERROR(__xludf.DUMMYFUNCTION("""COMPUTED_VALUE"""),"Danh từ")</f>
        <v>Danh từ</v>
      </c>
      <c r="G2458" s="13" t="str">
        <f ca="1">IFERROR(__xludf.DUMMYFUNCTION("""COMPUTED_VALUE"""),"thương mại, thương nghiệp")</f>
        <v>thương mại, thương nghiệp</v>
      </c>
      <c r="H2458" s="13" t="str">
        <f ca="1">IFERROR(__xludf.DUMMYFUNCTION("""COMPUTED_VALUE"""),"这个城市的商业非常发达。")</f>
        <v>这个城市的商业非常发达。</v>
      </c>
      <c r="I2458" s="13"/>
      <c r="J2458" s="13" t="str">
        <f ca="1">IFERROR(__xludf.DUMMYFUNCTION("""COMPUTED_VALUE"""),"Hoạt động thương mại ở thành phố này rất phát triển.")</f>
        <v>Hoạt động thương mại ở thành phố này rất phát triển.</v>
      </c>
      <c r="K2458" s="13" t="str">
        <f ca="1">IFERROR(__xludf.DUMMYFUNCTION("""COMPUTED_VALUE"""),"H5_B29_BG30.png")</f>
        <v>H5_B29_BG30.png</v>
      </c>
      <c r="L2458" s="13" t="str">
        <f ca="1">IFERROR(__xludf.DUMMYFUNCTION("""COMPUTED_VALUE"""),"B29_30.mp3")</f>
        <v>B29_30.mp3</v>
      </c>
      <c r="M2458" s="13" t="str">
        <f ca="1">IFERROR(__xludf.DUMMYFUNCTION("""COMPUTED_VALUE"""),"B29_VD_30.mp3")</f>
        <v>B29_VD_30.mp3</v>
      </c>
    </row>
    <row r="2459" spans="1:13">
      <c r="A2459" s="13">
        <f ca="1">IFERROR(__xludf.DUMMYFUNCTION("""COMPUTED_VALUE"""),31)</f>
        <v>31</v>
      </c>
      <c r="B2459" s="13"/>
      <c r="C2459" s="13" t="str">
        <f ca="1">IFERROR(__xludf.DUMMYFUNCTION("""COMPUTED_VALUE"""),"领域")</f>
        <v>领域</v>
      </c>
      <c r="D2459" s="13" t="str">
        <f ca="1">IFERROR(__xludf.DUMMYFUNCTION("""COMPUTED_VALUE"""),"&lt;ruby&gt;领域&lt;rt&gt;lǐngyù&lt;/rt&gt;&lt;/ruby&gt;")</f>
        <v>&lt;ruby&gt;领域&lt;rt&gt;lǐngyù&lt;/rt&gt;&lt;/ruby&gt;</v>
      </c>
      <c r="E2459" s="13" t="str">
        <f ca="1">IFERROR(__xludf.DUMMYFUNCTION("""COMPUTED_VALUE"""),"lǐngyù")</f>
        <v>lǐngyù</v>
      </c>
      <c r="F2459" s="13" t="str">
        <f ca="1">IFERROR(__xludf.DUMMYFUNCTION("""COMPUTED_VALUE"""),"Danh từ")</f>
        <v>Danh từ</v>
      </c>
      <c r="G2459" s="13" t="str">
        <f ca="1">IFERROR(__xludf.DUMMYFUNCTION("""COMPUTED_VALUE"""),"lĩnh vực, phạm vi")</f>
        <v>lĩnh vực, phạm vi</v>
      </c>
      <c r="H2459" s="13" t="str">
        <f ca="1">IFERROR(__xludf.DUMMYFUNCTION("""COMPUTED_VALUE"""),"他在医学领域有很高的成就。")</f>
        <v>他在医学领域有很高的成就。</v>
      </c>
      <c r="I2459" s="13"/>
      <c r="J2459" s="13" t="str">
        <f ca="1">IFERROR(__xludf.DUMMYFUNCTION("""COMPUTED_VALUE"""),"Cô ấy có thành tựu cao trong lĩnh vực y học.")</f>
        <v>Cô ấy có thành tựu cao trong lĩnh vực y học.</v>
      </c>
      <c r="K2459" s="13" t="str">
        <f ca="1">IFERROR(__xludf.DUMMYFUNCTION("""COMPUTED_VALUE"""),"H5_B29_BG31.png")</f>
        <v>H5_B29_BG31.png</v>
      </c>
      <c r="L2459" s="13" t="str">
        <f ca="1">IFERROR(__xludf.DUMMYFUNCTION("""COMPUTED_VALUE"""),"B29_31.mp3")</f>
        <v>B29_31.mp3</v>
      </c>
      <c r="M2459" s="13" t="str">
        <f ca="1">IFERROR(__xludf.DUMMYFUNCTION("""COMPUTED_VALUE"""),"B29_VD_31.mp3")</f>
        <v>B29_VD_31.mp3</v>
      </c>
    </row>
    <row r="2460" spans="1:13">
      <c r="A2460" s="13">
        <f ca="1">IFERROR(__xludf.DUMMYFUNCTION("""COMPUTED_VALUE"""),32)</f>
        <v>32</v>
      </c>
      <c r="B2460" s="13"/>
      <c r="C2460" s="13" t="str">
        <f ca="1">IFERROR(__xludf.DUMMYFUNCTION("""COMPUTED_VALUE"""),"促使")</f>
        <v>促使</v>
      </c>
      <c r="D2460" s="13" t="str">
        <f ca="1">IFERROR(__xludf.DUMMYFUNCTION("""COMPUTED_VALUE"""),"&lt;ruby&gt;促使&lt;rt&gt;cùshǐ&lt;/rt&gt;&lt;/ruby&gt;")</f>
        <v>&lt;ruby&gt;促使&lt;rt&gt;cùshǐ&lt;/rt&gt;&lt;/ruby&gt;</v>
      </c>
      <c r="E2460" s="13" t="str">
        <f ca="1">IFERROR(__xludf.DUMMYFUNCTION("""COMPUTED_VALUE"""),"cùshǐ")</f>
        <v>cùshǐ</v>
      </c>
      <c r="F2460" s="13" t="str">
        <f ca="1">IFERROR(__xludf.DUMMYFUNCTION("""COMPUTED_VALUE"""),"Động từ")</f>
        <v>Động từ</v>
      </c>
      <c r="G2460" s="13" t="str">
        <f ca="1">IFERROR(__xludf.DUMMYFUNCTION("""COMPUTED_VALUE"""),"thúc đẩy, thúc giục")</f>
        <v>thúc đẩy, thúc giục</v>
      </c>
      <c r="H2460" s="13" t="str">
        <f ca="1">IFERROR(__xludf.DUMMYFUNCTION("""COMPUTED_VALUE"""),"这个新政策促使经济增长。")</f>
        <v>这个新政策促使经济增长。</v>
      </c>
      <c r="I2460" s="13"/>
      <c r="J2460" s="13" t="str">
        <f ca="1">IFERROR(__xludf.DUMMYFUNCTION("""COMPUTED_VALUE"""),"Chính sách mới này thúc đẩy sự phát triển kinh tế.")</f>
        <v>Chính sách mới này thúc đẩy sự phát triển kinh tế.</v>
      </c>
      <c r="K2460" s="13" t="str">
        <f ca="1">IFERROR(__xludf.DUMMYFUNCTION("""COMPUTED_VALUE"""),"H5_B29_BG32.png")</f>
        <v>H5_B29_BG32.png</v>
      </c>
      <c r="L2460" s="13" t="str">
        <f ca="1">IFERROR(__xludf.DUMMYFUNCTION("""COMPUTED_VALUE"""),"B29_32.mp3")</f>
        <v>B29_32.mp3</v>
      </c>
      <c r="M2460" s="13" t="str">
        <f ca="1">IFERROR(__xludf.DUMMYFUNCTION("""COMPUTED_VALUE"""),"B29_VD_32.mp3")</f>
        <v>B29_VD_32.mp3</v>
      </c>
    </row>
    <row r="2461" spans="1:13">
      <c r="A2461" s="13">
        <f ca="1">IFERROR(__xludf.DUMMYFUNCTION("""COMPUTED_VALUE"""),33)</f>
        <v>33</v>
      </c>
      <c r="B2461" s="13"/>
      <c r="C2461" s="13" t="str">
        <f ca="1">IFERROR(__xludf.DUMMYFUNCTION("""COMPUTED_VALUE"""),"利益")</f>
        <v>利益</v>
      </c>
      <c r="D2461" s="13" t="str">
        <f ca="1">IFERROR(__xludf.DUMMYFUNCTION("""COMPUTED_VALUE"""),"&lt;ruby&gt;利益&lt;rt&gt;lìyì&lt;/rt&gt;&lt;/ruby&gt;")</f>
        <v>&lt;ruby&gt;利益&lt;rt&gt;lìyì&lt;/rt&gt;&lt;/ruby&gt;</v>
      </c>
      <c r="E2461" s="13" t="str">
        <f ca="1">IFERROR(__xludf.DUMMYFUNCTION("""COMPUTED_VALUE"""),"lìyì")</f>
        <v>lìyì</v>
      </c>
      <c r="F2461" s="13" t="str">
        <f ca="1">IFERROR(__xludf.DUMMYFUNCTION("""COMPUTED_VALUE"""),"Danh từ")</f>
        <v>Danh từ</v>
      </c>
      <c r="G2461" s="13" t="str">
        <f ca="1">IFERROR(__xludf.DUMMYFUNCTION("""COMPUTED_VALUE"""),"lợi ích")</f>
        <v>lợi ích</v>
      </c>
      <c r="H2461" s="13" t="str">
        <f ca="1">IFERROR(__xludf.DUMMYFUNCTION("""COMPUTED_VALUE"""),"我们要考虑公司的长远利益。")</f>
        <v>我们要考虑公司的长远利益。</v>
      </c>
      <c r="I2461" s="13"/>
      <c r="J2461" s="13" t="str">
        <f ca="1">IFERROR(__xludf.DUMMYFUNCTION("""COMPUTED_VALUE"""),"Chúng ta phải cân nhắc lợi ích lâu dài của công ty.")</f>
        <v>Chúng ta phải cân nhắc lợi ích lâu dài của công ty.</v>
      </c>
      <c r="K2461" s="13" t="str">
        <f ca="1">IFERROR(__xludf.DUMMYFUNCTION("""COMPUTED_VALUE"""),"H5_B29_BG33.png")</f>
        <v>H5_B29_BG33.png</v>
      </c>
      <c r="L2461" s="13" t="str">
        <f ca="1">IFERROR(__xludf.DUMMYFUNCTION("""COMPUTED_VALUE"""),"B29_33.mp3")</f>
        <v>B29_33.mp3</v>
      </c>
      <c r="M2461" s="13" t="str">
        <f ca="1">IFERROR(__xludf.DUMMYFUNCTION("""COMPUTED_VALUE"""),"B29_VD_33.mp3")</f>
        <v>B29_VD_33.mp3</v>
      </c>
    </row>
    <row r="2462" spans="1:13">
      <c r="A2462" s="13">
        <f ca="1">IFERROR(__xludf.DUMMYFUNCTION("""COMPUTED_VALUE"""),34)</f>
        <v>34</v>
      </c>
      <c r="B2462" s="13"/>
      <c r="C2462" s="13" t="str">
        <f ca="1">IFERROR(__xludf.DUMMYFUNCTION("""COMPUTED_VALUE"""),"万一")</f>
        <v>万一</v>
      </c>
      <c r="D2462" s="13" t="str">
        <f ca="1">IFERROR(__xludf.DUMMYFUNCTION("""COMPUTED_VALUE"""),"&lt;ruby&gt;万一&lt;rt&gt;wànyī&lt;/rt&gt;&lt;/ruby&gt;")</f>
        <v>&lt;ruby&gt;万一&lt;rt&gt;wànyī&lt;/rt&gt;&lt;/ruby&gt;</v>
      </c>
      <c r="E2462" s="13" t="str">
        <f ca="1">IFERROR(__xludf.DUMMYFUNCTION("""COMPUTED_VALUE"""),"wànyī")</f>
        <v>wànyī</v>
      </c>
      <c r="F2462" s="13" t="str">
        <f ca="1">IFERROR(__xludf.DUMMYFUNCTION("""COMPUTED_VALUE"""),"Liên từ")</f>
        <v>Liên từ</v>
      </c>
      <c r="G2462" s="13" t="str">
        <f ca="1">IFERROR(__xludf.DUMMYFUNCTION("""COMPUTED_VALUE"""),"ngộ nhỡ")</f>
        <v>ngộ nhỡ</v>
      </c>
      <c r="H2462" s="13" t="str">
        <f ca="1">IFERROR(__xludf.DUMMYFUNCTION("""COMPUTED_VALUE"""),"万一明天下雨，我们就改天再去。")</f>
        <v>万一明天下雨，我们就改天再去。</v>
      </c>
      <c r="I2462" s="13"/>
      <c r="J2462" s="13" t="str">
        <f ca="1">IFERROR(__xludf.DUMMYFUNCTION("""COMPUTED_VALUE"""),"Nếu ngày mai trời mưa, chúng ta sẽ đi vào ngày khác.")</f>
        <v>Nếu ngày mai trời mưa, chúng ta sẽ đi vào ngày khác.</v>
      </c>
      <c r="K2462" s="13" t="str">
        <f ca="1">IFERROR(__xludf.DUMMYFUNCTION("""COMPUTED_VALUE"""),"H5_B29_BG34.png")</f>
        <v>H5_B29_BG34.png</v>
      </c>
      <c r="L2462" s="13" t="str">
        <f ca="1">IFERROR(__xludf.DUMMYFUNCTION("""COMPUTED_VALUE"""),"B29_34.mp3")</f>
        <v>B29_34.mp3</v>
      </c>
      <c r="M2462" s="13" t="str">
        <f ca="1">IFERROR(__xludf.DUMMYFUNCTION("""COMPUTED_VALUE"""),"B29_VD_34.mp3")</f>
        <v>B29_VD_34.mp3</v>
      </c>
    </row>
    <row r="2463" spans="1:13">
      <c r="A2463" s="13">
        <f ca="1">IFERROR(__xludf.DUMMYFUNCTION("""COMPUTED_VALUE"""),35)</f>
        <v>35</v>
      </c>
      <c r="B2463" s="13"/>
      <c r="C2463" s="13" t="str">
        <f ca="1">IFERROR(__xludf.DUMMYFUNCTION("""COMPUTED_VALUE"""),"维持")</f>
        <v>维持</v>
      </c>
      <c r="D2463" s="13" t="str">
        <f ca="1">IFERROR(__xludf.DUMMYFUNCTION("""COMPUTED_VALUE"""),"&lt;ruby&gt;维持&lt;rt&gt;wéichí&lt;/rt&gt;&lt;/ruby&gt;")</f>
        <v>&lt;ruby&gt;维持&lt;rt&gt;wéichí&lt;/rt&gt;&lt;/ruby&gt;</v>
      </c>
      <c r="E2463" s="13" t="str">
        <f ca="1">IFERROR(__xludf.DUMMYFUNCTION("""COMPUTED_VALUE"""),"wéichí")</f>
        <v>wéichí</v>
      </c>
      <c r="F2463" s="13" t="str">
        <f ca="1">IFERROR(__xludf.DUMMYFUNCTION("""COMPUTED_VALUE"""),"Động từ")</f>
        <v>Động từ</v>
      </c>
      <c r="G2463" s="13" t="str">
        <f ca="1">IFERROR(__xludf.DUMMYFUNCTION("""COMPUTED_VALUE"""),"duy trì, giữ lại")</f>
        <v>duy trì, giữ lại</v>
      </c>
      <c r="H2463" s="13" t="str">
        <f ca="1">IFERROR(__xludf.DUMMYFUNCTION("""COMPUTED_VALUE"""),"他每天锻炼身体，以维持健康。")</f>
        <v>他每天锻炼身体，以维持健康。</v>
      </c>
      <c r="I2463" s="13"/>
      <c r="J2463" s="13" t="str">
        <f ca="1">IFERROR(__xludf.DUMMYFUNCTION("""COMPUTED_VALUE"""),"Anh ấy tập thể dục hàng ngày để duy trì sức khỏe.")</f>
        <v>Anh ấy tập thể dục hàng ngày để duy trì sức khỏe.</v>
      </c>
      <c r="K2463" s="13" t="str">
        <f ca="1">IFERROR(__xludf.DUMMYFUNCTION("""COMPUTED_VALUE"""),"H5_B29_BG35.png")</f>
        <v>H5_B29_BG35.png</v>
      </c>
      <c r="L2463" s="13" t="str">
        <f ca="1">IFERROR(__xludf.DUMMYFUNCTION("""COMPUTED_VALUE"""),"B29_35.mp3")</f>
        <v>B29_35.mp3</v>
      </c>
      <c r="M2463" s="13" t="str">
        <f ca="1">IFERROR(__xludf.DUMMYFUNCTION("""COMPUTED_VALUE"""),"B29_VD_35.mp3")</f>
        <v>B29_VD_35.mp3</v>
      </c>
    </row>
    <row r="2464" spans="1:13">
      <c r="A2464" s="13">
        <f ca="1">IFERROR(__xludf.DUMMYFUNCTION("""COMPUTED_VALUE"""),36)</f>
        <v>36</v>
      </c>
      <c r="B2464" s="13"/>
      <c r="C2464" s="13" t="str">
        <f ca="1">IFERROR(__xludf.DUMMYFUNCTION("""COMPUTED_VALUE"""),"饱和")</f>
        <v>饱和</v>
      </c>
      <c r="D2464" s="13" t="str">
        <f ca="1">IFERROR(__xludf.DUMMYFUNCTION("""COMPUTED_VALUE"""),"&lt;ruby&gt;饱和&lt;rt&gt;bǎohé&lt;/rt&gt;&lt;/ruby&gt;")</f>
        <v>&lt;ruby&gt;饱和&lt;rt&gt;bǎohé&lt;/rt&gt;&lt;/ruby&gt;</v>
      </c>
      <c r="E2464" s="13" t="str">
        <f ca="1">IFERROR(__xludf.DUMMYFUNCTION("""COMPUTED_VALUE"""),"bǎohé")</f>
        <v>bǎohé</v>
      </c>
      <c r="F2464" s="13" t="str">
        <f ca="1">IFERROR(__xludf.DUMMYFUNCTION("""COMPUTED_VALUE"""),"Động từ")</f>
        <v>Động từ</v>
      </c>
      <c r="G2464" s="13" t="str">
        <f ca="1">IFERROR(__xludf.DUMMYFUNCTION("""COMPUTED_VALUE"""),"làm bão hòa")</f>
        <v>làm bão hòa</v>
      </c>
      <c r="H2464" s="13" t="str">
        <f ca="1">IFERROR(__xludf.DUMMYFUNCTION("""COMPUTED_VALUE"""),"这种商品已经饱和。")</f>
        <v>这种商品已经饱和。</v>
      </c>
      <c r="I2464" s="13"/>
      <c r="J2464" s="13" t="str">
        <f ca="1">IFERROR(__xludf.DUMMYFUNCTION("""COMPUTED_VALUE"""),"Sản phẩm này đã bão hòa.")</f>
        <v>Sản phẩm này đã bão hòa.</v>
      </c>
      <c r="K2464" s="13" t="str">
        <f ca="1">IFERROR(__xludf.DUMMYFUNCTION("""COMPUTED_VALUE"""),"H5_B29_BG36.png")</f>
        <v>H5_B29_BG36.png</v>
      </c>
      <c r="L2464" s="13" t="str">
        <f ca="1">IFERROR(__xludf.DUMMYFUNCTION("""COMPUTED_VALUE"""),"B29_36.mp3")</f>
        <v>B29_36.mp3</v>
      </c>
      <c r="M2464" s="13" t="str">
        <f ca="1">IFERROR(__xludf.DUMMYFUNCTION("""COMPUTED_VALUE"""),"B29_VD_36.mp3")</f>
        <v>B29_VD_36.mp3</v>
      </c>
    </row>
    <row r="2465" spans="1:13">
      <c r="A2465" s="13">
        <f ca="1">IFERROR(__xludf.DUMMYFUNCTION("""COMPUTED_VALUE"""),1)</f>
        <v>1</v>
      </c>
      <c r="B2465" s="13"/>
      <c r="C2465" s="13" t="str">
        <f ca="1">IFERROR(__xludf.DUMMYFUNCTION("""COMPUTED_VALUE"""),"沙丁鱼")</f>
        <v>沙丁鱼</v>
      </c>
      <c r="D2465" s="13" t="str">
        <f ca="1">IFERROR(__xludf.DUMMYFUNCTION("""COMPUTED_VALUE"""),"&lt;ruby&gt;沙丁鱼&lt;rt&gt;shādīngyú&lt;/rt&gt;&lt;/ruby&gt;")</f>
        <v>&lt;ruby&gt;沙丁鱼&lt;rt&gt;shādīngyú&lt;/rt&gt;&lt;/ruby&gt;</v>
      </c>
      <c r="E2465" s="13" t="str">
        <f ca="1">IFERROR(__xludf.DUMMYFUNCTION("""COMPUTED_VALUE"""),"shādīngyú")</f>
        <v>shādīngyú</v>
      </c>
      <c r="F2465" s="13" t="str">
        <f ca="1">IFERROR(__xludf.DUMMYFUNCTION("""COMPUTED_VALUE"""),"Danh từ")</f>
        <v>Danh từ</v>
      </c>
      <c r="G2465" s="13" t="str">
        <f ca="1">IFERROR(__xludf.DUMMYFUNCTION("""COMPUTED_VALUE"""),"cá mòi")</f>
        <v>cá mòi</v>
      </c>
      <c r="H2465" s="13" t="str">
        <f ca="1">IFERROR(__xludf.DUMMYFUNCTION("""COMPUTED_VALUE"""),"我刚买了一盒沙丁鱼。")</f>
        <v>我刚买了一盒沙丁鱼。</v>
      </c>
      <c r="I2465" s="13"/>
      <c r="J2465" s="13" t="str">
        <f ca="1">IFERROR(__xludf.DUMMYFUNCTION("""COMPUTED_VALUE"""),"Tôi mới mua một hộp cá mòi.")</f>
        <v>Tôi mới mua một hộp cá mòi.</v>
      </c>
      <c r="K2465" s="13" t="str">
        <f ca="1">IFERROR(__xludf.DUMMYFUNCTION("""COMPUTED_VALUE"""),"H5_B30_BG1.png")</f>
        <v>H5_B30_BG1.png</v>
      </c>
      <c r="L2465" s="13" t="str">
        <f ca="1">IFERROR(__xludf.DUMMYFUNCTION("""COMPUTED_VALUE"""),"B30_1.mp3")</f>
        <v>B30_1.mp3</v>
      </c>
      <c r="M2465" s="13" t="str">
        <f ca="1">IFERROR(__xludf.DUMMYFUNCTION("""COMPUTED_VALUE"""),"B30_VD_1.mp3")</f>
        <v>B30_VD_1.mp3</v>
      </c>
    </row>
    <row r="2466" spans="1:13">
      <c r="A2466" s="13">
        <f ca="1">IFERROR(__xludf.DUMMYFUNCTION("""COMPUTED_VALUE"""),2)</f>
        <v>2</v>
      </c>
      <c r="B2466" s="13"/>
      <c r="C2466" s="13" t="str">
        <f ca="1">IFERROR(__xludf.DUMMYFUNCTION("""COMPUTED_VALUE"""),"运输")</f>
        <v>运输</v>
      </c>
      <c r="D2466" s="13" t="str">
        <f ca="1">IFERROR(__xludf.DUMMYFUNCTION("""COMPUTED_VALUE"""),"&lt;ruby&gt;运输&lt;rt&gt;yùnshū&lt;/rt&gt;&lt;/ruby&gt;")</f>
        <v>&lt;ruby&gt;运输&lt;rt&gt;yùnshū&lt;/rt&gt;&lt;/ruby&gt;</v>
      </c>
      <c r="E2466" s="13" t="str">
        <f ca="1">IFERROR(__xludf.DUMMYFUNCTION("""COMPUTED_VALUE"""),"yùnshū")</f>
        <v>yùnshū</v>
      </c>
      <c r="F2466" s="13" t="str">
        <f ca="1">IFERROR(__xludf.DUMMYFUNCTION("""COMPUTED_VALUE"""),"Động từ")</f>
        <v>Động từ</v>
      </c>
      <c r="G2466" s="13" t="str">
        <f ca="1">IFERROR(__xludf.DUMMYFUNCTION("""COMPUTED_VALUE"""),"vận chuyển")</f>
        <v>vận chuyển</v>
      </c>
      <c r="H2466" s="13" t="str">
        <f ca="1">IFERROR(__xludf.DUMMYFUNCTION("""COMPUTED_VALUE"""),"这家公司专门运输新鲜水果。")</f>
        <v>这家公司专门运输新鲜水果。</v>
      </c>
      <c r="I2466" s="13"/>
      <c r="J2466" s="13" t="str">
        <f ca="1">IFERROR(__xludf.DUMMYFUNCTION("""COMPUTED_VALUE"""),"Công ty này chuyên vận chuyển trái cây tươi.")</f>
        <v>Công ty này chuyên vận chuyển trái cây tươi.</v>
      </c>
      <c r="K2466" s="13" t="str">
        <f ca="1">IFERROR(__xludf.DUMMYFUNCTION("""COMPUTED_VALUE"""),"H5_B30_BG2.png")</f>
        <v>H5_B30_BG2.png</v>
      </c>
      <c r="L2466" s="13" t="str">
        <f ca="1">IFERROR(__xludf.DUMMYFUNCTION("""COMPUTED_VALUE"""),"B30_2.mp3")</f>
        <v>B30_2.mp3</v>
      </c>
      <c r="M2466" s="13" t="str">
        <f ca="1">IFERROR(__xludf.DUMMYFUNCTION("""COMPUTED_VALUE"""),"B30_VD_2.mp3")</f>
        <v>B30_VD_2.mp3</v>
      </c>
    </row>
    <row r="2467" spans="1:13">
      <c r="A2467" s="13">
        <f ca="1">IFERROR(__xludf.DUMMYFUNCTION("""COMPUTED_VALUE"""),3)</f>
        <v>3</v>
      </c>
      <c r="B2467" s="13"/>
      <c r="C2467" s="13" t="str">
        <f ca="1">IFERROR(__xludf.DUMMYFUNCTION("""COMPUTED_VALUE"""),"岸")</f>
        <v>岸</v>
      </c>
      <c r="D2467" s="13" t="str">
        <f ca="1">IFERROR(__xludf.DUMMYFUNCTION("""COMPUTED_VALUE"""),"&lt;ruby&gt;岸&lt;rt&gt;àn&lt;/rt&gt;&lt;/ruby&gt;")</f>
        <v>&lt;ruby&gt;岸&lt;rt&gt;àn&lt;/rt&gt;&lt;/ruby&gt;</v>
      </c>
      <c r="E2467" s="13" t="str">
        <f ca="1">IFERROR(__xludf.DUMMYFUNCTION("""COMPUTED_VALUE"""),"àn")</f>
        <v>àn</v>
      </c>
      <c r="F2467" s="13" t="str">
        <f ca="1">IFERROR(__xludf.DUMMYFUNCTION("""COMPUTED_VALUE"""),"Danh từ")</f>
        <v>Danh từ</v>
      </c>
      <c r="G2467" s="13" t="str">
        <f ca="1">IFERROR(__xludf.DUMMYFUNCTION("""COMPUTED_VALUE"""),"bờ (sông, biển...)")</f>
        <v>bờ (sông, biển...)</v>
      </c>
      <c r="H2467" s="13" t="str">
        <f ca="1">IFERROR(__xludf.DUMMYFUNCTION("""COMPUTED_VALUE"""),"夕阳缓缓落下，映照在湖岸上，美得让人陶醉。")</f>
        <v>夕阳缓缓落下，映照在湖岸上，美得让人陶醉。</v>
      </c>
      <c r="I2467" s="13"/>
      <c r="J2467" s="13" t="str">
        <f ca="1">IFERROR(__xludf.DUMMYFUNCTION("""COMPUTED_VALUE"""),"Mặt trời lặn chầm chậm, chiếu ánh sáng lên bờ hồ, đẹp đến say lòng người.")</f>
        <v>Mặt trời lặn chầm chậm, chiếu ánh sáng lên bờ hồ, đẹp đến say lòng người.</v>
      </c>
      <c r="K2467" s="13" t="str">
        <f ca="1">IFERROR(__xludf.DUMMYFUNCTION("""COMPUTED_VALUE"""),"H5_B30_BG3.png")</f>
        <v>H5_B30_BG3.png</v>
      </c>
      <c r="L2467" s="13" t="str">
        <f ca="1">IFERROR(__xludf.DUMMYFUNCTION("""COMPUTED_VALUE"""),"B30_3.mp3")</f>
        <v>B30_3.mp3</v>
      </c>
      <c r="M2467" s="13" t="str">
        <f ca="1">IFERROR(__xludf.DUMMYFUNCTION("""COMPUTED_VALUE"""),"B30_VD_3.mp3")</f>
        <v>B30_VD_3.mp3</v>
      </c>
    </row>
    <row r="2468" spans="1:13">
      <c r="A2468" s="13">
        <f ca="1">IFERROR(__xludf.DUMMYFUNCTION("""COMPUTED_VALUE"""),4)</f>
        <v>4</v>
      </c>
      <c r="B2468" s="13"/>
      <c r="C2468" s="13" t="str">
        <f ca="1">IFERROR(__xludf.DUMMYFUNCTION("""COMPUTED_VALUE"""),"商品")</f>
        <v>商品</v>
      </c>
      <c r="D2468" s="13" t="str">
        <f ca="1">IFERROR(__xludf.DUMMYFUNCTION("""COMPUTED_VALUE"""),"&lt;ruby&gt;商品&lt;rt&gt;shāngpǐn&lt;/rt&gt;&lt;/ruby&gt;")</f>
        <v>&lt;ruby&gt;商品&lt;rt&gt;shāngpǐn&lt;/rt&gt;&lt;/ruby&gt;</v>
      </c>
      <c r="E2468" s="13" t="str">
        <f ca="1">IFERROR(__xludf.DUMMYFUNCTION("""COMPUTED_VALUE"""),"shāngpǐn")</f>
        <v>shāngpǐn</v>
      </c>
      <c r="F2468" s="13" t="str">
        <f ca="1">IFERROR(__xludf.DUMMYFUNCTION("""COMPUTED_VALUE"""),"Danh từ")</f>
        <v>Danh từ</v>
      </c>
      <c r="G2468" s="13" t="str">
        <f ca="1">IFERROR(__xludf.DUMMYFUNCTION("""COMPUTED_VALUE"""),"hàng hóa")</f>
        <v>hàng hóa</v>
      </c>
      <c r="H2468" s="13" t="str">
        <f ca="1">IFERROR(__xludf.DUMMYFUNCTION("""COMPUTED_VALUE"""),"这家超市的商品种类很多。")</f>
        <v>这家超市的商品种类很多。</v>
      </c>
      <c r="I2468" s="13"/>
      <c r="J2468" s="13" t="str">
        <f ca="1">IFERROR(__xludf.DUMMYFUNCTION("""COMPUTED_VALUE"""),"Siêu thị này có rất nhiều loại hàng hóa.")</f>
        <v>Siêu thị này có rất nhiều loại hàng hóa.</v>
      </c>
      <c r="K2468" s="13" t="str">
        <f ca="1">IFERROR(__xludf.DUMMYFUNCTION("""COMPUTED_VALUE"""),"H5_B30_BG4.png")</f>
        <v>H5_B30_BG4.png</v>
      </c>
      <c r="L2468" s="13" t="str">
        <f ca="1">IFERROR(__xludf.DUMMYFUNCTION("""COMPUTED_VALUE"""),"B30_4.mp3")</f>
        <v>B30_4.mp3</v>
      </c>
      <c r="M2468" s="13" t="str">
        <f ca="1">IFERROR(__xludf.DUMMYFUNCTION("""COMPUTED_VALUE"""),"B30_VD_4.mp3")</f>
        <v>B30_VD_4.mp3</v>
      </c>
    </row>
    <row r="2469" spans="1:13">
      <c r="A2469" s="13">
        <f ca="1">IFERROR(__xludf.DUMMYFUNCTION("""COMPUTED_VALUE"""),5)</f>
        <v>5</v>
      </c>
      <c r="B2469" s="13"/>
      <c r="C2469" s="13" t="str">
        <f ca="1">IFERROR(__xludf.DUMMYFUNCTION("""COMPUTED_VALUE"""),"延长")</f>
        <v>延长</v>
      </c>
      <c r="D2469" s="13" t="str">
        <f ca="1">IFERROR(__xludf.DUMMYFUNCTION("""COMPUTED_VALUE"""),"&lt;ruby&gt;延长&lt;rt&gt;yáncháng&lt;/rt&gt;&lt;/ruby&gt;")</f>
        <v>&lt;ruby&gt;延长&lt;rt&gt;yáncháng&lt;/rt&gt;&lt;/ruby&gt;</v>
      </c>
      <c r="E2469" s="13" t="str">
        <f ca="1">IFERROR(__xludf.DUMMYFUNCTION("""COMPUTED_VALUE"""),"yáncháng")</f>
        <v>yáncháng</v>
      </c>
      <c r="F2469" s="13" t="str">
        <f ca="1">IFERROR(__xludf.DUMMYFUNCTION("""COMPUTED_VALUE"""),"Động từ")</f>
        <v>Động từ</v>
      </c>
      <c r="G2469" s="13" t="str">
        <f ca="1">IFERROR(__xludf.DUMMYFUNCTION("""COMPUTED_VALUE"""),"kéo dài")</f>
        <v>kéo dài</v>
      </c>
      <c r="H2469" s="13" t="str">
        <f ca="1">IFERROR(__xludf.DUMMYFUNCTION("""COMPUTED_VALUE"""),"会议的时间被延长了一小时。")</f>
        <v>会议的时间被延长了一小时。</v>
      </c>
      <c r="I2469" s="13"/>
      <c r="J2469" s="13" t="str">
        <f ca="1">IFERROR(__xludf.DUMMYFUNCTION("""COMPUTED_VALUE"""),"Thời gian cuộc họp đã bị kéo dài thêm một giờ.")</f>
        <v>Thời gian cuộc họp đã bị kéo dài thêm một giờ.</v>
      </c>
      <c r="K2469" s="13" t="str">
        <f ca="1">IFERROR(__xludf.DUMMYFUNCTION("""COMPUTED_VALUE"""),"H5_B30_BG5.png")</f>
        <v>H5_B30_BG5.png</v>
      </c>
      <c r="L2469" s="13" t="str">
        <f ca="1">IFERROR(__xludf.DUMMYFUNCTION("""COMPUTED_VALUE"""),"B30_5.mp3")</f>
        <v>B30_5.mp3</v>
      </c>
      <c r="M2469" s="13" t="str">
        <f ca="1">IFERROR(__xludf.DUMMYFUNCTION("""COMPUTED_VALUE"""),"B30_VD_5.mp3")</f>
        <v>B30_VD_5.mp3</v>
      </c>
    </row>
    <row r="2470" spans="1:13">
      <c r="A2470" s="13">
        <f ca="1">IFERROR(__xludf.DUMMYFUNCTION("""COMPUTED_VALUE"""),6)</f>
        <v>6</v>
      </c>
      <c r="B2470" s="13"/>
      <c r="C2470" s="13" t="str">
        <f ca="1">IFERROR(__xludf.DUMMYFUNCTION("""COMPUTED_VALUE"""),"存活")</f>
        <v>存活</v>
      </c>
      <c r="D2470" s="13" t="str">
        <f ca="1">IFERROR(__xludf.DUMMYFUNCTION("""COMPUTED_VALUE"""),"&lt;ruby&gt;存活&lt;rt&gt;cúnhuó&lt;/rt&gt;&lt;/ruby&gt;")</f>
        <v>&lt;ruby&gt;存活&lt;rt&gt;cúnhuó&lt;/rt&gt;&lt;/ruby&gt;</v>
      </c>
      <c r="E2470" s="13" t="str">
        <f ca="1">IFERROR(__xludf.DUMMYFUNCTION("""COMPUTED_VALUE"""),"cúnhuó")</f>
        <v>cúnhuó</v>
      </c>
      <c r="F2470" s="13" t="str">
        <f ca="1">IFERROR(__xludf.DUMMYFUNCTION("""COMPUTED_VALUE"""),"Động từ")</f>
        <v>Động từ</v>
      </c>
      <c r="G2470" s="13" t="str">
        <f ca="1">IFERROR(__xludf.DUMMYFUNCTION("""COMPUTED_VALUE"""),"sống sót, tồn tại")</f>
        <v>sống sót, tồn tại</v>
      </c>
      <c r="H2470" s="13" t="str">
        <f ca="1">IFERROR(__xludf.DUMMYFUNCTION("""COMPUTED_VALUE"""),"在极端天气下，只有少数动物能够存活。")</f>
        <v>在极端天气下，只有少数动物能够存活。</v>
      </c>
      <c r="I2470" s="13"/>
      <c r="J2470" s="13" t="str">
        <f ca="1">IFERROR(__xludf.DUMMYFUNCTION("""COMPUTED_VALUE"""),"Trong điều kiện thời tiết khắc nghiệt, chỉ có một số ít động vật có thể sống sót.")</f>
        <v>Trong điều kiện thời tiết khắc nghiệt, chỉ có một số ít động vật có thể sống sót.</v>
      </c>
      <c r="K2470" s="13" t="str">
        <f ca="1">IFERROR(__xludf.DUMMYFUNCTION("""COMPUTED_VALUE"""),"H5_B30_BG6.png")</f>
        <v>H5_B30_BG6.png</v>
      </c>
      <c r="L2470" s="13" t="str">
        <f ca="1">IFERROR(__xludf.DUMMYFUNCTION("""COMPUTED_VALUE"""),"B30_6.mp3")</f>
        <v>B30_6.mp3</v>
      </c>
      <c r="M2470" s="13" t="str">
        <f ca="1">IFERROR(__xludf.DUMMYFUNCTION("""COMPUTED_VALUE"""),"B30_VD_6.mp3")</f>
        <v>B30_VD_6.mp3</v>
      </c>
    </row>
    <row r="2471" spans="1:13">
      <c r="A2471" s="13">
        <f ca="1">IFERROR(__xludf.DUMMYFUNCTION("""COMPUTED_VALUE"""),7)</f>
        <v>7</v>
      </c>
      <c r="B2471" s="13"/>
      <c r="C2471" s="13" t="str">
        <f ca="1">IFERROR(__xludf.DUMMYFUNCTION("""COMPUTED_VALUE"""),"改善")</f>
        <v>改善</v>
      </c>
      <c r="D2471" s="13" t="str">
        <f ca="1">IFERROR(__xludf.DUMMYFUNCTION("""COMPUTED_VALUE"""),"&lt;ruby&gt;改善&lt;rt&gt;gǎishàn&lt;/rt&gt;&lt;/ruby&gt;")</f>
        <v>&lt;ruby&gt;改善&lt;rt&gt;gǎishàn&lt;/rt&gt;&lt;/ruby&gt;</v>
      </c>
      <c r="E2471" s="13" t="str">
        <f ca="1">IFERROR(__xludf.DUMMYFUNCTION("""COMPUTED_VALUE"""),"gǎishàn")</f>
        <v>gǎishàn</v>
      </c>
      <c r="F2471" s="13" t="str">
        <f ca="1">IFERROR(__xludf.DUMMYFUNCTION("""COMPUTED_VALUE"""),"Động từ")</f>
        <v>Động từ</v>
      </c>
      <c r="G2471" s="13" t="str">
        <f ca="1">IFERROR(__xludf.DUMMYFUNCTION("""COMPUTED_VALUE"""),"cải thiện")</f>
        <v>cải thiện</v>
      </c>
      <c r="H2471" s="13" t="str">
        <f ca="1">IFERROR(__xludf.DUMMYFUNCTION("""COMPUTED_VALUE"""),"他们正在努力改善工作环境。")</f>
        <v>他们正在努力改善工作环境。</v>
      </c>
      <c r="I2471" s="13"/>
      <c r="J2471" s="13" t="str">
        <f ca="1">IFERROR(__xludf.DUMMYFUNCTION("""COMPUTED_VALUE"""),"Họ đang cố gắng cải thiện môi trường làm việc.")</f>
        <v>Họ đang cố gắng cải thiện môi trường làm việc.</v>
      </c>
      <c r="K2471" s="13" t="str">
        <f ca="1">IFERROR(__xludf.DUMMYFUNCTION("""COMPUTED_VALUE"""),"H5_B30_BG7.png")</f>
        <v>H5_B30_BG7.png</v>
      </c>
      <c r="L2471" s="13" t="str">
        <f ca="1">IFERROR(__xludf.DUMMYFUNCTION("""COMPUTED_VALUE"""),"B30_7.mp3")</f>
        <v>B30_7.mp3</v>
      </c>
      <c r="M2471" s="13" t="str">
        <f ca="1">IFERROR(__xludf.DUMMYFUNCTION("""COMPUTED_VALUE"""),"B30_VD_7.mp3")</f>
        <v>B30_VD_7.mp3</v>
      </c>
    </row>
    <row r="2472" spans="1:13">
      <c r="A2472" s="13">
        <f ca="1">IFERROR(__xludf.DUMMYFUNCTION("""COMPUTED_VALUE"""),8)</f>
        <v>8</v>
      </c>
      <c r="B2472" s="13"/>
      <c r="C2472" s="13" t="str">
        <f ca="1">IFERROR(__xludf.DUMMYFUNCTION("""COMPUTED_VALUE"""),"比例")</f>
        <v>比例</v>
      </c>
      <c r="D2472" s="13" t="str">
        <f ca="1">IFERROR(__xludf.DUMMYFUNCTION("""COMPUTED_VALUE"""),"&lt;ruby&gt;比例&lt;rt&gt;bǐlì&lt;/rt&gt;&lt;/ruby&gt;")</f>
        <v>&lt;ruby&gt;比例&lt;rt&gt;bǐlì&lt;/rt&gt;&lt;/ruby&gt;</v>
      </c>
      <c r="E2472" s="13" t="str">
        <f ca="1">IFERROR(__xludf.DUMMYFUNCTION("""COMPUTED_VALUE"""),"bǐlì")</f>
        <v>bǐlì</v>
      </c>
      <c r="F2472" s="13" t="str">
        <f ca="1">IFERROR(__xludf.DUMMYFUNCTION("""COMPUTED_VALUE"""),"Danh từ")</f>
        <v>Danh từ</v>
      </c>
      <c r="G2472" s="13" t="str">
        <f ca="1">IFERROR(__xludf.DUMMYFUNCTION("""COMPUTED_VALUE"""),"tỷ lệ")</f>
        <v>tỷ lệ</v>
      </c>
      <c r="H2472" s="13" t="str">
        <f ca="1">IFERROR(__xludf.DUMMYFUNCTION("""COMPUTED_VALUE"""),"这幅画的颜色比例很和谐")</f>
        <v>这幅画的颜色比例很和谐</v>
      </c>
      <c r="I2472" s="13"/>
      <c r="J2472" s="13" t="str">
        <f ca="1">IFERROR(__xludf.DUMMYFUNCTION("""COMPUTED_VALUE"""),"Tỷ lệ màu sắc trong bức tranh này rất hài hòa.")</f>
        <v>Tỷ lệ màu sắc trong bức tranh này rất hài hòa.</v>
      </c>
      <c r="K2472" s="13" t="str">
        <f ca="1">IFERROR(__xludf.DUMMYFUNCTION("""COMPUTED_VALUE"""),"H5_B30_BG8.png")</f>
        <v>H5_B30_BG8.png</v>
      </c>
      <c r="L2472" s="13" t="str">
        <f ca="1">IFERROR(__xludf.DUMMYFUNCTION("""COMPUTED_VALUE"""),"B30_8.mp3")</f>
        <v>B30_8.mp3</v>
      </c>
      <c r="M2472" s="13" t="str">
        <f ca="1">IFERROR(__xludf.DUMMYFUNCTION("""COMPUTED_VALUE"""),"B30_VD_8.mp3")</f>
        <v>B30_VD_8.mp3</v>
      </c>
    </row>
    <row r="2473" spans="1:13">
      <c r="A2473" s="13">
        <f ca="1">IFERROR(__xludf.DUMMYFUNCTION("""COMPUTED_VALUE"""),9)</f>
        <v>9</v>
      </c>
      <c r="B2473" s="13"/>
      <c r="C2473" s="13" t="str">
        <f ca="1">IFERROR(__xludf.DUMMYFUNCTION("""COMPUTED_VALUE"""),"员工")</f>
        <v>员工</v>
      </c>
      <c r="D2473" s="13" t="str">
        <f ca="1">IFERROR(__xludf.DUMMYFUNCTION("""COMPUTED_VALUE"""),"&lt;ruby&gt;员工&lt;rt&gt;yuángōng&lt;/rt&gt;&lt;/ruby&gt;")</f>
        <v>&lt;ruby&gt;员工&lt;rt&gt;yuángōng&lt;/rt&gt;&lt;/ruby&gt;</v>
      </c>
      <c r="E2473" s="13" t="str">
        <f ca="1">IFERROR(__xludf.DUMMYFUNCTION("""COMPUTED_VALUE"""),"yuángōng")</f>
        <v>yuángōng</v>
      </c>
      <c r="F2473" s="13" t="str">
        <f ca="1">IFERROR(__xludf.DUMMYFUNCTION("""COMPUTED_VALUE"""),"Danh từ")</f>
        <v>Danh từ</v>
      </c>
      <c r="G2473" s="13" t="str">
        <f ca="1">IFERROR(__xludf.DUMMYFUNCTION("""COMPUTED_VALUE"""),"công nhân viên")</f>
        <v>công nhân viên</v>
      </c>
      <c r="H2473" s="13" t="str">
        <f ca="1">IFERROR(__xludf.DUMMYFUNCTION("""COMPUTED_VALUE"""),"公司给优秀员工发了奖金")</f>
        <v>公司给优秀员工发了奖金</v>
      </c>
      <c r="I2473" s="13"/>
      <c r="J2473" s="13" t="str">
        <f ca="1">IFERROR(__xludf.DUMMYFUNCTION("""COMPUTED_VALUE"""),"Công ty đã phát thưởng cho nhân viên xuất sắc.")</f>
        <v>Công ty đã phát thưởng cho nhân viên xuất sắc.</v>
      </c>
      <c r="K2473" s="13" t="str">
        <f ca="1">IFERROR(__xludf.DUMMYFUNCTION("""COMPUTED_VALUE"""),"H5_B30_BG9.png")</f>
        <v>H5_B30_BG9.png</v>
      </c>
      <c r="L2473" s="13" t="str">
        <f ca="1">IFERROR(__xludf.DUMMYFUNCTION("""COMPUTED_VALUE"""),"B30_9.mp3")</f>
        <v>B30_9.mp3</v>
      </c>
      <c r="M2473" s="13" t="str">
        <f ca="1">IFERROR(__xludf.DUMMYFUNCTION("""COMPUTED_VALUE"""),"B30_VD_9.mp3")</f>
        <v>B30_VD_9.mp3</v>
      </c>
    </row>
    <row r="2474" spans="1:13">
      <c r="A2474" s="13">
        <f ca="1">IFERROR(__xludf.DUMMYFUNCTION("""COMPUTED_VALUE"""),10)</f>
        <v>10</v>
      </c>
      <c r="B2474" s="13"/>
      <c r="C2474" s="13" t="str">
        <f ca="1">IFERROR(__xludf.DUMMYFUNCTION("""COMPUTED_VALUE"""),"实用")</f>
        <v>实用</v>
      </c>
      <c r="D2474" s="13" t="str">
        <f ca="1">IFERROR(__xludf.DUMMYFUNCTION("""COMPUTED_VALUE"""),"&lt;ruby&gt;实用&lt;rt&gt;shíyòng&lt;/rt&gt;&lt;/ruby&gt;")</f>
        <v>&lt;ruby&gt;实用&lt;rt&gt;shíyòng&lt;/rt&gt;&lt;/ruby&gt;</v>
      </c>
      <c r="E2474" s="13" t="str">
        <f ca="1">IFERROR(__xludf.DUMMYFUNCTION("""COMPUTED_VALUE"""),"shíyòng")</f>
        <v>shíyòng</v>
      </c>
      <c r="F2474" s="13" t="str">
        <f ca="1">IFERROR(__xludf.DUMMYFUNCTION("""COMPUTED_VALUE"""),"Tính từ")</f>
        <v>Tính từ</v>
      </c>
      <c r="G2474" s="13" t="str">
        <f ca="1">IFERROR(__xludf.DUMMYFUNCTION("""COMPUTED_VALUE"""),"thực dụng")</f>
        <v>thực dụng</v>
      </c>
      <c r="H2474" s="13" t="str">
        <f ca="1">IFERROR(__xludf.DUMMYFUNCTION("""COMPUTED_VALUE"""),"这本词典非常实用。")</f>
        <v>这本词典非常实用。</v>
      </c>
      <c r="I2474" s="13"/>
      <c r="J2474" s="13" t="str">
        <f ca="1">IFERROR(__xludf.DUMMYFUNCTION("""COMPUTED_VALUE"""),"Cuốn từ điển này rất thực dụng.")</f>
        <v>Cuốn từ điển này rất thực dụng.</v>
      </c>
      <c r="K2474" s="13" t="str">
        <f ca="1">IFERROR(__xludf.DUMMYFUNCTION("""COMPUTED_VALUE"""),"H5_B30_BG10.png")</f>
        <v>H5_B30_BG10.png</v>
      </c>
      <c r="L2474" s="13" t="str">
        <f ca="1">IFERROR(__xludf.DUMMYFUNCTION("""COMPUTED_VALUE"""),"B30_10.mp3")</f>
        <v>B30_10.mp3</v>
      </c>
      <c r="M2474" s="13" t="str">
        <f ca="1">IFERROR(__xludf.DUMMYFUNCTION("""COMPUTED_VALUE"""),"B30_VD_10.mp3")</f>
        <v>B30_VD_10.mp3</v>
      </c>
    </row>
    <row r="2475" spans="1:13">
      <c r="A2475" s="13">
        <f ca="1">IFERROR(__xludf.DUMMYFUNCTION("""COMPUTED_VALUE"""),11)</f>
        <v>11</v>
      </c>
      <c r="B2475" s="13"/>
      <c r="C2475" s="13" t="str">
        <f ca="1">IFERROR(__xludf.DUMMYFUNCTION("""COMPUTED_VALUE"""),"鲇鱼")</f>
        <v>鲇鱼</v>
      </c>
      <c r="D2475" s="13" t="str">
        <f ca="1">IFERROR(__xludf.DUMMYFUNCTION("""COMPUTED_VALUE"""),"&lt;ruby&gt;鲇鱼&lt;rt&gt;niányú&lt;/rt&gt;&lt;/ruby&gt;")</f>
        <v>&lt;ruby&gt;鲇鱼&lt;rt&gt;niányú&lt;/rt&gt;&lt;/ruby&gt;</v>
      </c>
      <c r="E2475" s="13" t="str">
        <f ca="1">IFERROR(__xludf.DUMMYFUNCTION("""COMPUTED_VALUE"""),"niányú")</f>
        <v>niányú</v>
      </c>
      <c r="F2475" s="13" t="str">
        <f ca="1">IFERROR(__xludf.DUMMYFUNCTION("""COMPUTED_VALUE"""),"Danh từ")</f>
        <v>Danh từ</v>
      </c>
      <c r="G2475" s="13" t="str">
        <f ca="1">IFERROR(__xludf.DUMMYFUNCTION("""COMPUTED_VALUE"""),"cá nheo")</f>
        <v>cá nheo</v>
      </c>
      <c r="H2475" s="13" t="str">
        <f ca="1">IFERROR(__xludf.DUMMYFUNCTION("""COMPUTED_VALUE"""),"这条河里有很多鲇鱼。")</f>
        <v>这条河里有很多鲇鱼。</v>
      </c>
      <c r="I2475" s="13"/>
      <c r="J2475" s="13" t="str">
        <f ca="1">IFERROR(__xludf.DUMMYFUNCTION("""COMPUTED_VALUE"""),"Con sông này có rất nhiều cá nheo.")</f>
        <v>Con sông này có rất nhiều cá nheo.</v>
      </c>
      <c r="K2475" s="13" t="str">
        <f ca="1">IFERROR(__xludf.DUMMYFUNCTION("""COMPUTED_VALUE"""),"H5_B30_BG11.png")</f>
        <v>H5_B30_BG11.png</v>
      </c>
      <c r="L2475" s="13" t="str">
        <f ca="1">IFERROR(__xludf.DUMMYFUNCTION("""COMPUTED_VALUE"""),"B30_11.mp3")</f>
        <v>B30_11.mp3</v>
      </c>
      <c r="M2475" s="13" t="str">
        <f ca="1">IFERROR(__xludf.DUMMYFUNCTION("""COMPUTED_VALUE"""),"B30_VD_11.mp3")</f>
        <v>B30_VD_11.mp3</v>
      </c>
    </row>
    <row r="2476" spans="1:13">
      <c r="A2476" s="13">
        <f ca="1">IFERROR(__xludf.DUMMYFUNCTION("""COMPUTED_VALUE"""),12)</f>
        <v>12</v>
      </c>
      <c r="B2476" s="13"/>
      <c r="C2476" s="13" t="str">
        <f ca="1">IFERROR(__xludf.DUMMYFUNCTION("""COMPUTED_VALUE"""),"设备")</f>
        <v>设备</v>
      </c>
      <c r="D2476" s="13" t="str">
        <f ca="1">IFERROR(__xludf.DUMMYFUNCTION("""COMPUTED_VALUE"""),"&lt;ruby&gt;设备&lt;rt&gt;shèbèi&lt;/rt&gt;&lt;/ruby&gt;")</f>
        <v>&lt;ruby&gt;设备&lt;rt&gt;shèbèi&lt;/rt&gt;&lt;/ruby&gt;</v>
      </c>
      <c r="E2476" s="13" t="str">
        <f ca="1">IFERROR(__xludf.DUMMYFUNCTION("""COMPUTED_VALUE"""),"shèbèi")</f>
        <v>shèbèi</v>
      </c>
      <c r="F2476" s="13" t="str">
        <f ca="1">IFERROR(__xludf.DUMMYFUNCTION("""COMPUTED_VALUE"""),"Danh từ")</f>
        <v>Danh từ</v>
      </c>
      <c r="G2476" s="13" t="str">
        <f ca="1">IFERROR(__xludf.DUMMYFUNCTION("""COMPUTED_VALUE"""),"thiết bị, dụng cụ")</f>
        <v>thiết bị, dụng cụ</v>
      </c>
      <c r="H2476" s="13" t="str">
        <f ca="1">IFERROR(__xludf.DUMMYFUNCTION("""COMPUTED_VALUE"""),"我们买了一些新的办公设备。")</f>
        <v>我们买了一些新的办公设备。</v>
      </c>
      <c r="I2476" s="13"/>
      <c r="J2476" s="13" t="str">
        <f ca="1">IFERROR(__xludf.DUMMYFUNCTION("""COMPUTED_VALUE"""),"Chúng tôi đã mua một số thiết bị văn phòng mới.")</f>
        <v>Chúng tôi đã mua một số thiết bị văn phòng mới.</v>
      </c>
      <c r="K2476" s="13" t="str">
        <f ca="1">IFERROR(__xludf.DUMMYFUNCTION("""COMPUTED_VALUE"""),"H5_B30_BG12.png")</f>
        <v>H5_B30_BG12.png</v>
      </c>
      <c r="L2476" s="13" t="str">
        <f ca="1">IFERROR(__xludf.DUMMYFUNCTION("""COMPUTED_VALUE"""),"B30_12.mp3")</f>
        <v>B30_12.mp3</v>
      </c>
      <c r="M2476" s="13" t="str">
        <f ca="1">IFERROR(__xludf.DUMMYFUNCTION("""COMPUTED_VALUE"""),"B30_VD_12.mp3")</f>
        <v>B30_VD_12.mp3</v>
      </c>
    </row>
    <row r="2477" spans="1:13">
      <c r="A2477" s="13">
        <f ca="1">IFERROR(__xludf.DUMMYFUNCTION("""COMPUTED_VALUE"""),13)</f>
        <v>13</v>
      </c>
      <c r="B2477" s="13"/>
      <c r="C2477" s="13" t="str">
        <f ca="1">IFERROR(__xludf.DUMMYFUNCTION("""COMPUTED_VALUE"""),"构成")</f>
        <v>构成</v>
      </c>
      <c r="D2477" s="13" t="str">
        <f ca="1">IFERROR(__xludf.DUMMYFUNCTION("""COMPUTED_VALUE"""),"&lt;ruby&gt;构成&lt;rt&gt;gòuchéng&lt;/rt&gt;&lt;/ruby&gt;")</f>
        <v>&lt;ruby&gt;构成&lt;rt&gt;gòuchéng&lt;/rt&gt;&lt;/ruby&gt;</v>
      </c>
      <c r="E2477" s="13" t="str">
        <f ca="1">IFERROR(__xludf.DUMMYFUNCTION("""COMPUTED_VALUE"""),"gòuchéng")</f>
        <v>gòuchéng</v>
      </c>
      <c r="F2477" s="13" t="str">
        <f ca="1">IFERROR(__xludf.DUMMYFUNCTION("""COMPUTED_VALUE"""),"Động từ")</f>
        <v>Động từ</v>
      </c>
      <c r="G2477" s="13" t="str">
        <f ca="1">IFERROR(__xludf.DUMMYFUNCTION("""COMPUTED_VALUE"""),"tạo thành, hình thành")</f>
        <v>tạo thành, hình thành</v>
      </c>
      <c r="H2477" s="13" t="str">
        <f ca="1">IFERROR(__xludf.DUMMYFUNCTION("""COMPUTED_VALUE"""),"这些书构成了我整个大学时代的记忆。")</f>
        <v>这些书构成了我整个大学时代的记忆。</v>
      </c>
      <c r="I2477" s="13"/>
      <c r="J2477" s="13" t="str">
        <f ca="1">IFERROR(__xludf.DUMMYFUNCTION("""COMPUTED_VALUE"""),"Những cuốn sách này tạo thành ký ức suốt thời đại học của tôi.")</f>
        <v>Những cuốn sách này tạo thành ký ức suốt thời đại học của tôi.</v>
      </c>
      <c r="K2477" s="13" t="str">
        <f ca="1">IFERROR(__xludf.DUMMYFUNCTION("""COMPUTED_VALUE"""),"H5_B30_BG13.png")</f>
        <v>H5_B30_BG13.png</v>
      </c>
      <c r="L2477" s="13" t="str">
        <f ca="1">IFERROR(__xludf.DUMMYFUNCTION("""COMPUTED_VALUE"""),"B30_13.mp3")</f>
        <v>B30_13.mp3</v>
      </c>
      <c r="M2477" s="13" t="str">
        <f ca="1">IFERROR(__xludf.DUMMYFUNCTION("""COMPUTED_VALUE"""),"B30_VD_13.mp3")</f>
        <v>B30_VD_13.mp3</v>
      </c>
    </row>
    <row r="2478" spans="1:13">
      <c r="A2478" s="13">
        <f ca="1">IFERROR(__xludf.DUMMYFUNCTION("""COMPUTED_VALUE"""),14)</f>
        <v>14</v>
      </c>
      <c r="B2478" s="13"/>
      <c r="C2478" s="13" t="str">
        <f ca="1">IFERROR(__xludf.DUMMYFUNCTION("""COMPUTED_VALUE"""),"有利")</f>
        <v>有利</v>
      </c>
      <c r="D2478" s="13" t="str">
        <f ca="1">IFERROR(__xludf.DUMMYFUNCTION("""COMPUTED_VALUE"""),"&lt;ruby&gt;有利&lt;rt&gt;yǒulì&lt;/rt&gt;&lt;/ruby&gt;")</f>
        <v>&lt;ruby&gt;有利&lt;rt&gt;yǒulì&lt;/rt&gt;&lt;/ruby&gt;</v>
      </c>
      <c r="E2478" s="13" t="str">
        <f ca="1">IFERROR(__xludf.DUMMYFUNCTION("""COMPUTED_VALUE"""),"yǒulì")</f>
        <v>yǒulì</v>
      </c>
      <c r="F2478" s="13" t="str">
        <f ca="1">IFERROR(__xludf.DUMMYFUNCTION("""COMPUTED_VALUE"""),"Tính từ")</f>
        <v>Tính từ</v>
      </c>
      <c r="G2478" s="13" t="str">
        <f ca="1">IFERROR(__xludf.DUMMYFUNCTION("""COMPUTED_VALUE"""),"có lợi, có ích")</f>
        <v>có lợi, có ích</v>
      </c>
      <c r="H2478" s="13" t="str">
        <f ca="1">IFERROR(__xludf.DUMMYFUNCTION("""COMPUTED_VALUE"""),"早睡早起对健康有利。")</f>
        <v>早睡早起对健康有利。</v>
      </c>
      <c r="I2478" s="13"/>
      <c r="J2478" s="13" t="str">
        <f ca="1">IFERROR(__xludf.DUMMYFUNCTION("""COMPUTED_VALUE"""),"Ngủ sớm dậy sớm có lợi cho sức khỏe.")</f>
        <v>Ngủ sớm dậy sớm có lợi cho sức khỏe.</v>
      </c>
      <c r="K2478" s="13" t="str">
        <f ca="1">IFERROR(__xludf.DUMMYFUNCTION("""COMPUTED_VALUE"""),"H5_B30_BG14.png")</f>
        <v>H5_B30_BG14.png</v>
      </c>
      <c r="L2478" s="13" t="str">
        <f ca="1">IFERROR(__xludf.DUMMYFUNCTION("""COMPUTED_VALUE"""),"B30_14.mp3")</f>
        <v>B30_14.mp3</v>
      </c>
      <c r="M2478" s="13" t="str">
        <f ca="1">IFERROR(__xludf.DUMMYFUNCTION("""COMPUTED_VALUE"""),"B30_VD_14.mp3")</f>
        <v>B30_VD_14.mp3</v>
      </c>
    </row>
    <row r="2479" spans="1:13">
      <c r="A2479" s="13">
        <f ca="1">IFERROR(__xludf.DUMMYFUNCTION("""COMPUTED_VALUE"""),15)</f>
        <v>15</v>
      </c>
      <c r="B2479" s="13"/>
      <c r="C2479" s="13" t="str">
        <f ca="1">IFERROR(__xludf.DUMMYFUNCTION("""COMPUTED_VALUE"""),"挖掘")</f>
        <v>挖掘</v>
      </c>
      <c r="D2479" s="13" t="str">
        <f ca="1">IFERROR(__xludf.DUMMYFUNCTION("""COMPUTED_VALUE"""),"&lt;ruby&gt;挖掘&lt;rt&gt;wājué&lt;/rt&gt;&lt;/ruby&gt;")</f>
        <v>&lt;ruby&gt;挖掘&lt;rt&gt;wājué&lt;/rt&gt;&lt;/ruby&gt;</v>
      </c>
      <c r="E2479" s="13" t="str">
        <f ca="1">IFERROR(__xludf.DUMMYFUNCTION("""COMPUTED_VALUE"""),"wājué")</f>
        <v>wājué</v>
      </c>
      <c r="F2479" s="13" t="str">
        <f ca="1">IFERROR(__xludf.DUMMYFUNCTION("""COMPUTED_VALUE"""),"Động từ")</f>
        <v>Động từ</v>
      </c>
      <c r="G2479" s="13" t="str">
        <f ca="1">IFERROR(__xludf.DUMMYFUNCTION("""COMPUTED_VALUE"""),"khai thác, đào")</f>
        <v>khai thác, đào</v>
      </c>
      <c r="H2479" s="13" t="str">
        <f ca="1">IFERROR(__xludf.DUMMYFUNCTION("""COMPUTED_VALUE"""),"科学家正在挖掘古代遗址。")</f>
        <v>科学家正在挖掘古代遗址。</v>
      </c>
      <c r="I2479" s="13"/>
      <c r="J2479" s="13" t="str">
        <f ca="1">IFERROR(__xludf.DUMMYFUNCTION("""COMPUTED_VALUE"""),"Các nhà khoa học đang khai quật di tích cổ đại.")</f>
        <v>Các nhà khoa học đang khai quật di tích cổ đại.</v>
      </c>
      <c r="K2479" s="13" t="str">
        <f ca="1">IFERROR(__xludf.DUMMYFUNCTION("""COMPUTED_VALUE"""),"H5_B30_BG15.png")</f>
        <v>H5_B30_BG15.png</v>
      </c>
      <c r="L2479" s="13" t="str">
        <f ca="1">IFERROR(__xludf.DUMMYFUNCTION("""COMPUTED_VALUE"""),"B30_15.mp3")</f>
        <v>B30_15.mp3</v>
      </c>
      <c r="M2479" s="13" t="str">
        <f ca="1">IFERROR(__xludf.DUMMYFUNCTION("""COMPUTED_VALUE"""),"B30_VD_15.mp3")</f>
        <v>B30_VD_15.mp3</v>
      </c>
    </row>
    <row r="2480" spans="1:13">
      <c r="A2480" s="13">
        <f ca="1">IFERROR(__xludf.DUMMYFUNCTION("""COMPUTED_VALUE"""),16)</f>
        <v>16</v>
      </c>
      <c r="B2480" s="13"/>
      <c r="C2480" s="13" t="str">
        <f ca="1">IFERROR(__xludf.DUMMYFUNCTION("""COMPUTED_VALUE"""),"潜力")</f>
        <v>潜力</v>
      </c>
      <c r="D2480" s="13" t="str">
        <f ca="1">IFERROR(__xludf.DUMMYFUNCTION("""COMPUTED_VALUE"""),"&lt;ruby&gt;潜力&lt;rt&gt;qiánlì&lt;/rt&gt;&lt;/ruby&gt;")</f>
        <v>&lt;ruby&gt;潜力&lt;rt&gt;qiánlì&lt;/rt&gt;&lt;/ruby&gt;</v>
      </c>
      <c r="E2480" s="13" t="str">
        <f ca="1">IFERROR(__xludf.DUMMYFUNCTION("""COMPUTED_VALUE"""),"qiánlì")</f>
        <v>qiánlì</v>
      </c>
      <c r="F2480" s="13" t="str">
        <f ca="1">IFERROR(__xludf.DUMMYFUNCTION("""COMPUTED_VALUE"""),"Danh từ")</f>
        <v>Danh từ</v>
      </c>
      <c r="G2480" s="13" t="str">
        <f ca="1">IFERROR(__xludf.DUMMYFUNCTION("""COMPUTED_VALUE"""),"tiềm lực")</f>
        <v>tiềm lực</v>
      </c>
      <c r="H2480" s="13" t="str">
        <f ca="1">IFERROR(__xludf.DUMMYFUNCTION("""COMPUTED_VALUE"""),"每个孩子都有无限的潜力，只要有梦想，就能实现。")</f>
        <v>每个孩子都有无限的潜力，只要有梦想，就能实现。</v>
      </c>
      <c r="I2480" s="13"/>
      <c r="J2480" s="13" t="str">
        <f ca="1">IFERROR(__xludf.DUMMYFUNCTION("""COMPUTED_VALUE"""),"Mỗi đứa trẻ đều có tiềm năng vô hạn, chỉ cần có ước mơ là có thể thực hiện được.")</f>
        <v>Mỗi đứa trẻ đều có tiềm năng vô hạn, chỉ cần có ước mơ là có thể thực hiện được.</v>
      </c>
      <c r="K2480" s="13" t="str">
        <f ca="1">IFERROR(__xludf.DUMMYFUNCTION("""COMPUTED_VALUE"""),"H5_B30_BG16.png")</f>
        <v>H5_B30_BG16.png</v>
      </c>
      <c r="L2480" s="13" t="str">
        <f ca="1">IFERROR(__xludf.DUMMYFUNCTION("""COMPUTED_VALUE"""),"B30_16.mp3")</f>
        <v>B30_16.mp3</v>
      </c>
      <c r="M2480" s="13" t="str">
        <f ca="1">IFERROR(__xludf.DUMMYFUNCTION("""COMPUTED_VALUE"""),"B30_VD_16.mp3")</f>
        <v>B30_VD_16.mp3</v>
      </c>
    </row>
    <row r="2481" spans="1:13">
      <c r="A2481" s="13">
        <f ca="1">IFERROR(__xludf.DUMMYFUNCTION("""COMPUTED_VALUE"""),17)</f>
        <v>17</v>
      </c>
      <c r="B2481" s="13"/>
      <c r="C2481" s="13" t="str">
        <f ca="1">IFERROR(__xludf.DUMMYFUNCTION("""COMPUTED_VALUE"""),"和平")</f>
        <v>和平</v>
      </c>
      <c r="D2481" s="13" t="str">
        <f ca="1">IFERROR(__xludf.DUMMYFUNCTION("""COMPUTED_VALUE"""),"&lt;ruby&gt;和平&lt;rt&gt;hépíng&lt;/rt&gt;&lt;/ruby&gt;")</f>
        <v>&lt;ruby&gt;和平&lt;rt&gt;hépíng&lt;/rt&gt;&lt;/ruby&gt;</v>
      </c>
      <c r="E2481" s="13" t="str">
        <f ca="1">IFERROR(__xludf.DUMMYFUNCTION("""COMPUTED_VALUE"""),"hépíng")</f>
        <v>hépíng</v>
      </c>
      <c r="F2481" s="13" t="str">
        <f ca="1">IFERROR(__xludf.DUMMYFUNCTION("""COMPUTED_VALUE"""),"Tính từ")</f>
        <v>Tính từ</v>
      </c>
      <c r="G2481" s="13" t="str">
        <f ca="1">IFERROR(__xludf.DUMMYFUNCTION("""COMPUTED_VALUE"""),"hòa bình")</f>
        <v>hòa bình</v>
      </c>
      <c r="H2481" s="13" t="str">
        <f ca="1">IFERROR(__xludf.DUMMYFUNCTION("""COMPUTED_VALUE"""),"世界和平是我们的共同愿望。")</f>
        <v>世界和平是我们的共同愿望。</v>
      </c>
      <c r="I2481" s="13"/>
      <c r="J2481" s="13" t="str">
        <f ca="1">IFERROR(__xludf.DUMMYFUNCTION("""COMPUTED_VALUE"""),"Hòa bình thế giới là mong ước chung của chúng ta.")</f>
        <v>Hòa bình thế giới là mong ước chung của chúng ta.</v>
      </c>
      <c r="K2481" s="13" t="str">
        <f ca="1">IFERROR(__xludf.DUMMYFUNCTION("""COMPUTED_VALUE"""),"H5_B30_BG17.png")</f>
        <v>H5_B30_BG17.png</v>
      </c>
      <c r="L2481" s="13" t="str">
        <f ca="1">IFERROR(__xludf.DUMMYFUNCTION("""COMPUTED_VALUE"""),"B30_17.mp3")</f>
        <v>B30_17.mp3</v>
      </c>
      <c r="M2481" s="13" t="str">
        <f ca="1">IFERROR(__xludf.DUMMYFUNCTION("""COMPUTED_VALUE"""),"B30_VD_17.mp3")</f>
        <v>B30_VD_17.mp3</v>
      </c>
    </row>
    <row r="2482" spans="1:13">
      <c r="A2482" s="13">
        <f ca="1">IFERROR(__xludf.DUMMYFUNCTION("""COMPUTED_VALUE"""),18)</f>
        <v>18</v>
      </c>
      <c r="B2482" s="13"/>
      <c r="C2482" s="13" t="str">
        <f ca="1">IFERROR(__xludf.DUMMYFUNCTION("""COMPUTED_VALUE"""),"天敌")</f>
        <v>天敌</v>
      </c>
      <c r="D2482" s="13" t="str">
        <f ca="1">IFERROR(__xludf.DUMMYFUNCTION("""COMPUTED_VALUE"""),"&lt;ruby&gt;天敌&lt;rt&gt;tiāndí&lt;/rt&gt;&lt;/ruby&gt;")</f>
        <v>&lt;ruby&gt;天敌&lt;rt&gt;tiāndí&lt;/rt&gt;&lt;/ruby&gt;</v>
      </c>
      <c r="E2482" s="13" t="str">
        <f ca="1">IFERROR(__xludf.DUMMYFUNCTION("""COMPUTED_VALUE"""),"tiāndí")</f>
        <v>tiāndí</v>
      </c>
      <c r="F2482" s="13" t="str">
        <f ca="1">IFERROR(__xludf.DUMMYFUNCTION("""COMPUTED_VALUE"""),"Danh từ")</f>
        <v>Danh từ</v>
      </c>
      <c r="G2482" s="13" t="str">
        <f ca="1">IFERROR(__xludf.DUMMYFUNCTION("""COMPUTED_VALUE"""),"kẻ thù tự nhiên")</f>
        <v>kẻ thù tự nhiên</v>
      </c>
      <c r="H2482" s="13" t="str">
        <f ca="1">IFERROR(__xludf.DUMMYFUNCTION("""COMPUTED_VALUE"""),"兔子的天敌是狼和狐狸。")</f>
        <v>兔子的天敌是狼和狐狸。</v>
      </c>
      <c r="I2482" s="13"/>
      <c r="J2482" s="13" t="str">
        <f ca="1">IFERROR(__xludf.DUMMYFUNCTION("""COMPUTED_VALUE"""),"Kẻ thù tự nhiên của thỏ là chó sói và cáo.")</f>
        <v>Kẻ thù tự nhiên của thỏ là chó sói và cáo.</v>
      </c>
      <c r="K2482" s="13" t="str">
        <f ca="1">IFERROR(__xludf.DUMMYFUNCTION("""COMPUTED_VALUE"""),"H5_B30_BG18.png")</f>
        <v>H5_B30_BG18.png</v>
      </c>
      <c r="L2482" s="13" t="str">
        <f ca="1">IFERROR(__xludf.DUMMYFUNCTION("""COMPUTED_VALUE"""),"B30_18.mp3")</f>
        <v>B30_18.mp3</v>
      </c>
      <c r="M2482" s="13" t="str">
        <f ca="1">IFERROR(__xludf.DUMMYFUNCTION("""COMPUTED_VALUE"""),"B30_VD_18.mp3")</f>
        <v>B30_VD_18.mp3</v>
      </c>
    </row>
    <row r="2483" spans="1:13">
      <c r="A2483" s="13">
        <f ca="1">IFERROR(__xludf.DUMMYFUNCTION("""COMPUTED_VALUE"""),19)</f>
        <v>19</v>
      </c>
      <c r="B2483" s="13"/>
      <c r="C2483" s="13" t="str">
        <f ca="1">IFERROR(__xludf.DUMMYFUNCTION("""COMPUTED_VALUE"""),"无意")</f>
        <v>无意</v>
      </c>
      <c r="D2483" s="13" t="str">
        <f ca="1">IFERROR(__xludf.DUMMYFUNCTION("""COMPUTED_VALUE"""),"&lt;ruby&gt;无意&lt;rt&gt;wúyì&lt;/rt&gt;&lt;/ruby&gt;")</f>
        <v>&lt;ruby&gt;无意&lt;rt&gt;wúyì&lt;/rt&gt;&lt;/ruby&gt;</v>
      </c>
      <c r="E2483" s="13" t="str">
        <f ca="1">IFERROR(__xludf.DUMMYFUNCTION("""COMPUTED_VALUE"""),"wúyì")</f>
        <v>wúyì</v>
      </c>
      <c r="F2483" s="13" t="str">
        <f ca="1">IFERROR(__xludf.DUMMYFUNCTION("""COMPUTED_VALUE"""),"Phó từ")</f>
        <v>Phó từ</v>
      </c>
      <c r="G2483" s="13" t="str">
        <f ca="1">IFERROR(__xludf.DUMMYFUNCTION("""COMPUTED_VALUE"""),"tình cờ")</f>
        <v>tình cờ</v>
      </c>
      <c r="H2483" s="13" t="str">
        <f ca="1">IFERROR(__xludf.DUMMYFUNCTION("""COMPUTED_VALUE"""),"我无意中发现了一张旧照片。")</f>
        <v>我无意中发现了一张旧照片。</v>
      </c>
      <c r="I2483" s="13"/>
      <c r="J2483" s="13" t="str">
        <f ca="1">IFERROR(__xludf.DUMMYFUNCTION("""COMPUTED_VALUE"""),"Tôi tình cờ phát hiện một bức ảnh cũ.")</f>
        <v>Tôi tình cờ phát hiện một bức ảnh cũ.</v>
      </c>
      <c r="K2483" s="13" t="str">
        <f ca="1">IFERROR(__xludf.DUMMYFUNCTION("""COMPUTED_VALUE"""),"H5_B30_BG19.png")</f>
        <v>H5_B30_BG19.png</v>
      </c>
      <c r="L2483" s="13" t="str">
        <f ca="1">IFERROR(__xludf.DUMMYFUNCTION("""COMPUTED_VALUE"""),"B30_19.mp3")</f>
        <v>B30_19.mp3</v>
      </c>
      <c r="M2483" s="13" t="str">
        <f ca="1">IFERROR(__xludf.DUMMYFUNCTION("""COMPUTED_VALUE"""),"B30_VD_19.mp3")</f>
        <v>B30_VD_19.mp3</v>
      </c>
    </row>
    <row r="2484" spans="1:13">
      <c r="A2484" s="13">
        <f ca="1">IFERROR(__xludf.DUMMYFUNCTION("""COMPUTED_VALUE"""),20)</f>
        <v>20</v>
      </c>
      <c r="B2484" s="13"/>
      <c r="C2484" s="13" t="str">
        <f ca="1">IFERROR(__xludf.DUMMYFUNCTION("""COMPUTED_VALUE"""),"巧妙")</f>
        <v>巧妙</v>
      </c>
      <c r="D2484" s="13" t="str">
        <f ca="1">IFERROR(__xludf.DUMMYFUNCTION("""COMPUTED_VALUE"""),"&lt;ruby&gt;巧妙&lt;rt&gt;qiǎomiào&lt;/rt&gt;&lt;/ruby&gt;")</f>
        <v>&lt;ruby&gt;巧妙&lt;rt&gt;qiǎomiào&lt;/rt&gt;&lt;/ruby&gt;</v>
      </c>
      <c r="E2484" s="13" t="str">
        <f ca="1">IFERROR(__xludf.DUMMYFUNCTION("""COMPUTED_VALUE"""),"qiǎomiào")</f>
        <v>qiǎomiào</v>
      </c>
      <c r="F2484" s="13" t="str">
        <f ca="1">IFERROR(__xludf.DUMMYFUNCTION("""COMPUTED_VALUE"""),"Tính từ")</f>
        <v>Tính từ</v>
      </c>
      <c r="G2484" s="13" t="str">
        <f ca="1">IFERROR(__xludf.DUMMYFUNCTION("""COMPUTED_VALUE"""),"khéo léo, tài tình, hay")</f>
        <v>khéo léo, tài tình, hay</v>
      </c>
      <c r="H2484" s="13" t="str">
        <f ca="1">IFERROR(__xludf.DUMMYFUNCTION("""COMPUTED_VALUE"""),"他巧妙地解决了这个难题。")</f>
        <v>他巧妙地解决了这个难题。</v>
      </c>
      <c r="I2484" s="13"/>
      <c r="J2484" s="13" t="str">
        <f ca="1">IFERROR(__xludf.DUMMYFUNCTION("""COMPUTED_VALUE"""),"Anh ấy đã khéo léo giải quyết vấn đề này.")</f>
        <v>Anh ấy đã khéo léo giải quyết vấn đề này.</v>
      </c>
      <c r="K2484" s="13" t="str">
        <f ca="1">IFERROR(__xludf.DUMMYFUNCTION("""COMPUTED_VALUE"""),"H5_B30_BG20.png")</f>
        <v>H5_B30_BG20.png</v>
      </c>
      <c r="L2484" s="13" t="str">
        <f ca="1">IFERROR(__xludf.DUMMYFUNCTION("""COMPUTED_VALUE"""),"B30_20.mp3")</f>
        <v>B30_20.mp3</v>
      </c>
      <c r="M2484" s="13" t="str">
        <f ca="1">IFERROR(__xludf.DUMMYFUNCTION("""COMPUTED_VALUE"""),"B30_VD_20.mp3")</f>
        <v>B30_VD_20.mp3</v>
      </c>
    </row>
    <row r="2485" spans="1:13">
      <c r="A2485" s="13">
        <f ca="1">IFERROR(__xludf.DUMMYFUNCTION("""COMPUTED_VALUE"""),21)</f>
        <v>21</v>
      </c>
      <c r="B2485" s="13"/>
      <c r="C2485" s="13" t="str">
        <f ca="1">IFERROR(__xludf.DUMMYFUNCTION("""COMPUTED_VALUE"""),"概念")</f>
        <v>概念</v>
      </c>
      <c r="D2485" s="13" t="str">
        <f ca="1">IFERROR(__xludf.DUMMYFUNCTION("""COMPUTED_VALUE"""),"&lt;ruby&gt;概念&lt;rt&gt;gàiniàn&lt;/rt&gt;&lt;/ruby&gt;")</f>
        <v>&lt;ruby&gt;概念&lt;rt&gt;gàiniàn&lt;/rt&gt;&lt;/ruby&gt;</v>
      </c>
      <c r="E2485" s="13" t="str">
        <f ca="1">IFERROR(__xludf.DUMMYFUNCTION("""COMPUTED_VALUE"""),"gàiniàn")</f>
        <v>gàiniàn</v>
      </c>
      <c r="F2485" s="13" t="str">
        <f ca="1">IFERROR(__xludf.DUMMYFUNCTION("""COMPUTED_VALUE"""),"Danh từ")</f>
        <v>Danh từ</v>
      </c>
      <c r="G2485" s="13" t="str">
        <f ca="1">IFERROR(__xludf.DUMMYFUNCTION("""COMPUTED_VALUE"""),"khái niệm, ý niệm")</f>
        <v>khái niệm, ý niệm</v>
      </c>
      <c r="H2485" s="13" t="str">
        <f ca="1">IFERROR(__xludf.DUMMYFUNCTION("""COMPUTED_VALUE"""),"这个数学概念很难理解。")</f>
        <v>这个数学概念很难理解。</v>
      </c>
      <c r="I2485" s="13"/>
      <c r="J2485" s="13" t="str">
        <f ca="1">IFERROR(__xludf.DUMMYFUNCTION("""COMPUTED_VALUE"""),"Khái niệm toán học này rất khó hiểu.")</f>
        <v>Khái niệm toán học này rất khó hiểu.</v>
      </c>
      <c r="K2485" s="13" t="str">
        <f ca="1">IFERROR(__xludf.DUMMYFUNCTION("""COMPUTED_VALUE"""),"H5_B30_BG21.png")</f>
        <v>H5_B30_BG21.png</v>
      </c>
      <c r="L2485" s="13" t="str">
        <f ca="1">IFERROR(__xludf.DUMMYFUNCTION("""COMPUTED_VALUE"""),"B30_21.mp3")</f>
        <v>B30_21.mp3</v>
      </c>
      <c r="M2485" s="13" t="str">
        <f ca="1">IFERROR(__xludf.DUMMYFUNCTION("""COMPUTED_VALUE"""),"B30_VD_21.mp3")</f>
        <v>B30_VD_21.mp3</v>
      </c>
    </row>
    <row r="2486" spans="1:13">
      <c r="A2486" s="13">
        <f ca="1">IFERROR(__xludf.DUMMYFUNCTION("""COMPUTED_VALUE"""),22)</f>
        <v>22</v>
      </c>
      <c r="B2486" s="13"/>
      <c r="C2486" s="13" t="str">
        <f ca="1">IFERROR(__xludf.DUMMYFUNCTION("""COMPUTED_VALUE"""),"核心")</f>
        <v>核心</v>
      </c>
      <c r="D2486" s="13" t="str">
        <f ca="1">IFERROR(__xludf.DUMMYFUNCTION("""COMPUTED_VALUE"""),"&lt;ruby&gt;核心&lt;rt&gt;héxīn&lt;/rt&gt;&lt;/ruby&gt;")</f>
        <v>&lt;ruby&gt;核心&lt;rt&gt;héxīn&lt;/rt&gt;&lt;/ruby&gt;</v>
      </c>
      <c r="E2486" s="13" t="str">
        <f ca="1">IFERROR(__xludf.DUMMYFUNCTION("""COMPUTED_VALUE"""),"héxīn")</f>
        <v>héxīn</v>
      </c>
      <c r="F2486" s="13" t="str">
        <f ca="1">IFERROR(__xludf.DUMMYFUNCTION("""COMPUTED_VALUE"""),"Danh từ")</f>
        <v>Danh từ</v>
      </c>
      <c r="G2486" s="13" t="str">
        <f ca="1">IFERROR(__xludf.DUMMYFUNCTION("""COMPUTED_VALUE"""),"phần cốt lõi, nòng cốt")</f>
        <v>phần cốt lõi, nòng cốt</v>
      </c>
      <c r="H2486" s="13" t="str">
        <f ca="1">IFERROR(__xludf.DUMMYFUNCTION("""COMPUTED_VALUE"""),"团队合作是成功的核心。")</f>
        <v>团队合作是成功的核心。</v>
      </c>
      <c r="I2486" s="13"/>
      <c r="J2486" s="13" t="str">
        <f ca="1">IFERROR(__xludf.DUMMYFUNCTION("""COMPUTED_VALUE"""),"Làm việc nhóm là cốt lõi của sự thành công.")</f>
        <v>Làm việc nhóm là cốt lõi của sự thành công.</v>
      </c>
      <c r="K2486" s="13" t="str">
        <f ca="1">IFERROR(__xludf.DUMMYFUNCTION("""COMPUTED_VALUE"""),"H5_B30_BG22.png")</f>
        <v>H5_B30_BG22.png</v>
      </c>
      <c r="L2486" s="13" t="str">
        <f ca="1">IFERROR(__xludf.DUMMYFUNCTION("""COMPUTED_VALUE"""),"B30_22.mp3")</f>
        <v>B30_22.mp3</v>
      </c>
      <c r="M2486" s="13" t="str">
        <f ca="1">IFERROR(__xludf.DUMMYFUNCTION("""COMPUTED_VALUE"""),"B30_VD_22.mp3")</f>
        <v>B30_VD_22.mp3</v>
      </c>
    </row>
    <row r="2487" spans="1:13">
      <c r="A2487" s="13">
        <f ca="1">IFERROR(__xludf.DUMMYFUNCTION("""COMPUTED_VALUE"""),23)</f>
        <v>23</v>
      </c>
      <c r="B2487" s="13"/>
      <c r="C2487" s="13" t="str">
        <f ca="1">IFERROR(__xludf.DUMMYFUNCTION("""COMPUTED_VALUE"""),"刺激")</f>
        <v>刺激</v>
      </c>
      <c r="D2487" s="13" t="str">
        <f ca="1">IFERROR(__xludf.DUMMYFUNCTION("""COMPUTED_VALUE"""),"&lt;ruby&gt;刺激&lt;rt&gt;cìjī&lt;/rt&gt;&lt;/ruby&gt;")</f>
        <v>&lt;ruby&gt;刺激&lt;rt&gt;cìjī&lt;/rt&gt;&lt;/ruby&gt;</v>
      </c>
      <c r="E2487" s="13" t="str">
        <f ca="1">IFERROR(__xludf.DUMMYFUNCTION("""COMPUTED_VALUE"""),"cìjī")</f>
        <v>cìjī</v>
      </c>
      <c r="F2487" s="13" t="str">
        <f ca="1">IFERROR(__xludf.DUMMYFUNCTION("""COMPUTED_VALUE"""),"Động từ")</f>
        <v>Động từ</v>
      </c>
      <c r="G2487" s="13" t="str">
        <f ca="1">IFERROR(__xludf.DUMMYFUNCTION("""COMPUTED_VALUE"""),"kích thích, thúc đẩy")</f>
        <v>kích thích, thúc đẩy</v>
      </c>
      <c r="H2487" s="13" t="str">
        <f ca="1">IFERROR(__xludf.DUMMYFUNCTION("""COMPUTED_VALUE"""),"这种音乐可以刺激大脑活动")</f>
        <v>这种音乐可以刺激大脑活动</v>
      </c>
      <c r="I2487" s="13"/>
      <c r="J2487" s="13" t="str">
        <f ca="1">IFERROR(__xludf.DUMMYFUNCTION("""COMPUTED_VALUE"""),"Loại nhạc này có thể kích thích hoạt động não bộ.")</f>
        <v>Loại nhạc này có thể kích thích hoạt động não bộ.</v>
      </c>
      <c r="K2487" s="13" t="str">
        <f ca="1">IFERROR(__xludf.DUMMYFUNCTION("""COMPUTED_VALUE"""),"H5_B30_BG23.png")</f>
        <v>H5_B30_BG23.png</v>
      </c>
      <c r="L2487" s="13" t="str">
        <f ca="1">IFERROR(__xludf.DUMMYFUNCTION("""COMPUTED_VALUE"""),"B30_23.mp3")</f>
        <v>B30_23.mp3</v>
      </c>
      <c r="M2487" s="13" t="str">
        <f ca="1">IFERROR(__xludf.DUMMYFUNCTION("""COMPUTED_VALUE"""),"B30_VD_23.mp3")</f>
        <v>B30_VD_23.mp3</v>
      </c>
    </row>
    <row r="2488" spans="1:13">
      <c r="A2488" s="13">
        <f ca="1">IFERROR(__xludf.DUMMYFUNCTION("""COMPUTED_VALUE"""),24)</f>
        <v>24</v>
      </c>
      <c r="B2488" s="13"/>
      <c r="C2488" s="13" t="str">
        <f ca="1">IFERROR(__xludf.DUMMYFUNCTION("""COMPUTED_VALUE"""),"活力")</f>
        <v>活力</v>
      </c>
      <c r="D2488" s="13" t="str">
        <f ca="1">IFERROR(__xludf.DUMMYFUNCTION("""COMPUTED_VALUE"""),"&lt;ruby&gt;活力&lt;rt&gt;huólì&lt;/rt&gt;&lt;/ruby&gt;")</f>
        <v>&lt;ruby&gt;活力&lt;rt&gt;huólì&lt;/rt&gt;&lt;/ruby&gt;</v>
      </c>
      <c r="E2488" s="13" t="str">
        <f ca="1">IFERROR(__xludf.DUMMYFUNCTION("""COMPUTED_VALUE"""),"huólì")</f>
        <v>huólì</v>
      </c>
      <c r="F2488" s="13" t="str">
        <f ca="1">IFERROR(__xludf.DUMMYFUNCTION("""COMPUTED_VALUE"""),"Danh từ")</f>
        <v>Danh từ</v>
      </c>
      <c r="G2488" s="13" t="str">
        <f ca="1">IFERROR(__xludf.DUMMYFUNCTION("""COMPUTED_VALUE"""),"sức sống")</f>
        <v>sức sống</v>
      </c>
      <c r="H2488" s="13" t="str">
        <f ca="1">IFERROR(__xludf.DUMMYFUNCTION("""COMPUTED_VALUE"""),"早晨跑步能让人充满活力。")</f>
        <v>早晨跑步能让人充满活力。</v>
      </c>
      <c r="I2488" s="13"/>
      <c r="J2488" s="13" t="str">
        <f ca="1">IFERROR(__xludf.DUMMYFUNCTION("""COMPUTED_VALUE"""),"Chạy bộ buổi sáng có thể giúp con người tràn đầy sức sống.")</f>
        <v>Chạy bộ buổi sáng có thể giúp con người tràn đầy sức sống.</v>
      </c>
      <c r="K2488" s="13" t="str">
        <f ca="1">IFERROR(__xludf.DUMMYFUNCTION("""COMPUTED_VALUE"""),"H5_B30_BG24.png")</f>
        <v>H5_B30_BG24.png</v>
      </c>
      <c r="L2488" s="13" t="str">
        <f ca="1">IFERROR(__xludf.DUMMYFUNCTION("""COMPUTED_VALUE"""),"B30_24.mp3")</f>
        <v>B30_24.mp3</v>
      </c>
      <c r="M2488" s="13" t="str">
        <f ca="1">IFERROR(__xludf.DUMMYFUNCTION("""COMPUTED_VALUE"""),"B30_VD_24.mp3")</f>
        <v>B30_VD_24.mp3</v>
      </c>
    </row>
    <row r="2489" spans="1:13">
      <c r="A2489" s="13">
        <f ca="1">IFERROR(__xludf.DUMMYFUNCTION("""COMPUTED_VALUE"""),25)</f>
        <v>25</v>
      </c>
      <c r="B2489" s="13"/>
      <c r="C2489" s="13" t="str">
        <f ca="1">IFERROR(__xludf.DUMMYFUNCTION("""COMPUTED_VALUE"""),"感想")</f>
        <v>感想</v>
      </c>
      <c r="D2489" s="13" t="str">
        <f ca="1">IFERROR(__xludf.DUMMYFUNCTION("""COMPUTED_VALUE"""),"&lt;ruby&gt;感想&lt;rt&gt;gǎnxiǎng&lt;/rt&gt;&lt;/ruby&gt;")</f>
        <v>&lt;ruby&gt;感想&lt;rt&gt;gǎnxiǎng&lt;/rt&gt;&lt;/ruby&gt;</v>
      </c>
      <c r="E2489" s="13" t="str">
        <f ca="1">IFERROR(__xludf.DUMMYFUNCTION("""COMPUTED_VALUE"""),"gǎnxiǎng")</f>
        <v>gǎnxiǎng</v>
      </c>
      <c r="F2489" s="13" t="str">
        <f ca="1">IFERROR(__xludf.DUMMYFUNCTION("""COMPUTED_VALUE"""),"Danh từ")</f>
        <v>Danh từ</v>
      </c>
      <c r="G2489" s="13" t="str">
        <f ca="1">IFERROR(__xludf.DUMMYFUNCTION("""COMPUTED_VALUE"""),"cảm tưởng, cảm nghĩ")</f>
        <v>cảm tưởng, cảm nghĩ</v>
      </c>
      <c r="H2489" s="13" t="str">
        <f ca="1">IFERROR(__xludf.DUMMYFUNCTION("""COMPUTED_VALUE"""),"读完这本书后，我有很多感想。")</f>
        <v>读完这本书后，我有很多感想。</v>
      </c>
      <c r="I2489" s="13"/>
      <c r="J2489" s="13" t="str">
        <f ca="1">IFERROR(__xludf.DUMMYFUNCTION("""COMPUTED_VALUE"""),"Sau khi đọc xong cuốn sách này, tôi có rất nhiều cảm nghĩ.")</f>
        <v>Sau khi đọc xong cuốn sách này, tôi có rất nhiều cảm nghĩ.</v>
      </c>
      <c r="K2489" s="13" t="str">
        <f ca="1">IFERROR(__xludf.DUMMYFUNCTION("""COMPUTED_VALUE"""),"H5_B30_BG25.png")</f>
        <v>H5_B30_BG25.png</v>
      </c>
      <c r="L2489" s="13" t="str">
        <f ca="1">IFERROR(__xludf.DUMMYFUNCTION("""COMPUTED_VALUE"""),"B30_25.mp3")</f>
        <v>B30_25.mp3</v>
      </c>
      <c r="M2489" s="13" t="str">
        <f ca="1">IFERROR(__xludf.DUMMYFUNCTION("""COMPUTED_VALUE"""),"B30_VD_25.mp3")</f>
        <v>B30_VD_25.mp3</v>
      </c>
    </row>
    <row r="2490" spans="1:13">
      <c r="A2490" s="13">
        <f ca="1">IFERROR(__xludf.DUMMYFUNCTION("""COMPUTED_VALUE"""),26)</f>
        <v>26</v>
      </c>
      <c r="B2490" s="13"/>
      <c r="C2490" s="13" t="str">
        <f ca="1">IFERROR(__xludf.DUMMYFUNCTION("""COMPUTED_VALUE"""),"体会")</f>
        <v>体会</v>
      </c>
      <c r="D2490" s="13" t="str">
        <f ca="1">IFERROR(__xludf.DUMMYFUNCTION("""COMPUTED_VALUE"""),"&lt;ruby&gt;体会&lt;rt&gt;tǐhuì&lt;/rt&gt;&lt;/ruby&gt;")</f>
        <v>&lt;ruby&gt;体会&lt;rt&gt;tǐhuì&lt;/rt&gt;&lt;/ruby&gt;</v>
      </c>
      <c r="E2490" s="13" t="str">
        <f ca="1">IFERROR(__xludf.DUMMYFUNCTION("""COMPUTED_VALUE"""),"tǐhuì")</f>
        <v>tǐhuì</v>
      </c>
      <c r="F2490" s="13" t="str">
        <f ca="1">IFERROR(__xludf.DUMMYFUNCTION("""COMPUTED_VALUE"""),"Danh từ")</f>
        <v>Danh từ</v>
      </c>
      <c r="G2490" s="13" t="str">
        <f ca="1">IFERROR(__xludf.DUMMYFUNCTION("""COMPUTED_VALUE"""),"nhận thức, sự hiểu biết")</f>
        <v>nhận thức, sự hiểu biết</v>
      </c>
      <c r="H2490" s="13" t="str">
        <f ca="1">IFERROR(__xludf.DUMMYFUNCTION("""COMPUTED_VALUE"""),"登上山顶后，他深深体会到了成功的喜悦。")</f>
        <v>登上山顶后，他深深体会到了成功的喜悦。</v>
      </c>
      <c r="I2490" s="13"/>
      <c r="J2490" s="13" t="str">
        <f ca="1">IFERROR(__xludf.DUMMYFUNCTION("""COMPUTED_VALUE"""),"Sau khi leo lên đỉnh núi, anh ấy cảm nhận sâu sắc niềm vui của thành công.")</f>
        <v>Sau khi leo lên đỉnh núi, anh ấy cảm nhận sâu sắc niềm vui của thành công.</v>
      </c>
      <c r="K2490" s="13" t="str">
        <f ca="1">IFERROR(__xludf.DUMMYFUNCTION("""COMPUTED_VALUE"""),"H5_B30_BG26.png")</f>
        <v>H5_B30_BG26.png</v>
      </c>
      <c r="L2490" s="13" t="str">
        <f ca="1">IFERROR(__xludf.DUMMYFUNCTION("""COMPUTED_VALUE"""),"B30_26.mp3")</f>
        <v>B30_26.mp3</v>
      </c>
      <c r="M2490" s="13" t="str">
        <f ca="1">IFERROR(__xludf.DUMMYFUNCTION("""COMPUTED_VALUE"""),"B30_VD_26.mp3")</f>
        <v>B30_VD_26.mp3</v>
      </c>
    </row>
    <row r="2491" spans="1:13">
      <c r="A2491" s="13">
        <f ca="1">IFERROR(__xludf.DUMMYFUNCTION("""COMPUTED_VALUE"""),27)</f>
        <v>27</v>
      </c>
      <c r="B2491" s="13"/>
      <c r="C2491" s="13" t="str">
        <f ca="1">IFERROR(__xludf.DUMMYFUNCTION("""COMPUTED_VALUE"""),"的确")</f>
        <v>的确</v>
      </c>
      <c r="D2491" s="13" t="str">
        <f ca="1">IFERROR(__xludf.DUMMYFUNCTION("""COMPUTED_VALUE"""),"&lt;ruby&gt;的确&lt;rt&gt;díquè&lt;/rt&gt;&lt;/ruby&gt;")</f>
        <v>&lt;ruby&gt;的确&lt;rt&gt;díquè&lt;/rt&gt;&lt;/ruby&gt;</v>
      </c>
      <c r="E2491" s="13" t="str">
        <f ca="1">IFERROR(__xludf.DUMMYFUNCTION("""COMPUTED_VALUE"""),"díquè")</f>
        <v>díquè</v>
      </c>
      <c r="F2491" s="13" t="str">
        <f ca="1">IFERROR(__xludf.DUMMYFUNCTION("""COMPUTED_VALUE"""),"Phó từ")</f>
        <v>Phó từ</v>
      </c>
      <c r="G2491" s="13" t="str">
        <f ca="1">IFERROR(__xludf.DUMMYFUNCTION("""COMPUTED_VALUE"""),"đích thực, quả thực")</f>
        <v>đích thực, quả thực</v>
      </c>
      <c r="H2491" s="13" t="str">
        <f ca="1">IFERROR(__xludf.DUMMYFUNCTION("""COMPUTED_VALUE"""),"这部电影的确很感人。")</f>
        <v>这部电影的确很感人。</v>
      </c>
      <c r="I2491" s="13"/>
      <c r="J2491" s="13" t="str">
        <f ca="1">IFERROR(__xludf.DUMMYFUNCTION("""COMPUTED_VALUE"""),"Bộ phim này quả thực rất cảm động.")</f>
        <v>Bộ phim này quả thực rất cảm động.</v>
      </c>
      <c r="K2491" s="13" t="str">
        <f ca="1">IFERROR(__xludf.DUMMYFUNCTION("""COMPUTED_VALUE"""),"H5_B30_BG27.png")</f>
        <v>H5_B30_BG27.png</v>
      </c>
      <c r="L2491" s="13" t="str">
        <f ca="1">IFERROR(__xludf.DUMMYFUNCTION("""COMPUTED_VALUE"""),"B30_27.mp3")</f>
        <v>B30_27.mp3</v>
      </c>
      <c r="M2491" s="13" t="str">
        <f ca="1">IFERROR(__xludf.DUMMYFUNCTION("""COMPUTED_VALUE"""),"B30_VD_27.mp3")</f>
        <v>B30_VD_27.mp3</v>
      </c>
    </row>
    <row r="2492" spans="1:13">
      <c r="A2492" s="13">
        <f ca="1">IFERROR(__xludf.DUMMYFUNCTION("""COMPUTED_VALUE"""),28)</f>
        <v>28</v>
      </c>
      <c r="B2492" s="13"/>
      <c r="C2492" s="13" t="str">
        <f ca="1">IFERROR(__xludf.DUMMYFUNCTION("""COMPUTED_VALUE"""),"本质")</f>
        <v>本质</v>
      </c>
      <c r="D2492" s="13" t="str">
        <f ca="1">IFERROR(__xludf.DUMMYFUNCTION("""COMPUTED_VALUE"""),"&lt;ruby&gt;本质&lt;rt&gt;běnzhì&lt;/rt&gt;&lt;/ruby&gt;")</f>
        <v>&lt;ruby&gt;本质&lt;rt&gt;běnzhì&lt;/rt&gt;&lt;/ruby&gt;</v>
      </c>
      <c r="E2492" s="13" t="str">
        <f ca="1">IFERROR(__xludf.DUMMYFUNCTION("""COMPUTED_VALUE"""),"běnzhì")</f>
        <v>běnzhì</v>
      </c>
      <c r="F2492" s="13" t="str">
        <f ca="1">IFERROR(__xludf.DUMMYFUNCTION("""COMPUTED_VALUE"""),"Danh từ")</f>
        <v>Danh từ</v>
      </c>
      <c r="G2492" s="13" t="str">
        <f ca="1">IFERROR(__xludf.DUMMYFUNCTION("""COMPUTED_VALUE"""),"bản chất")</f>
        <v>bản chất</v>
      </c>
      <c r="H2492" s="13" t="str">
        <f ca="1">IFERROR(__xludf.DUMMYFUNCTION("""COMPUTED_VALUE"""),"资本主义的本质是剥削劳动人民。")</f>
        <v>资本主义的本质是剥削劳动人民。</v>
      </c>
      <c r="I2492" s="13"/>
      <c r="J2492" s="13" t="str">
        <f ca="1">IFERROR(__xludf.DUMMYFUNCTION("""COMPUTED_VALUE"""),"Bản chất tư bản là bóc lột người lao động.")</f>
        <v>Bản chất tư bản là bóc lột người lao động.</v>
      </c>
      <c r="K2492" s="13" t="str">
        <f ca="1">IFERROR(__xludf.DUMMYFUNCTION("""COMPUTED_VALUE"""),"H5_B30_BG28.png")</f>
        <v>H5_B30_BG28.png</v>
      </c>
      <c r="L2492" s="13" t="str">
        <f ca="1">IFERROR(__xludf.DUMMYFUNCTION("""COMPUTED_VALUE"""),"B30_28.mp3")</f>
        <v>B30_28.mp3</v>
      </c>
      <c r="M2492" s="13" t="str">
        <f ca="1">IFERROR(__xludf.DUMMYFUNCTION("""COMPUTED_VALUE"""),"B30_VD_28.mp3")</f>
        <v>B30_VD_28.mp3</v>
      </c>
    </row>
    <row r="2493" spans="1:13">
      <c r="A2493" s="13">
        <f ca="1">IFERROR(__xludf.DUMMYFUNCTION("""COMPUTED_VALUE"""),29)</f>
        <v>29</v>
      </c>
      <c r="B2493" s="13"/>
      <c r="C2493" s="13" t="str">
        <f ca="1">IFERROR(__xludf.DUMMYFUNCTION("""COMPUTED_VALUE"""),"逃避")</f>
        <v>逃避</v>
      </c>
      <c r="D2493" s="13" t="str">
        <f ca="1">IFERROR(__xludf.DUMMYFUNCTION("""COMPUTED_VALUE"""),"&lt;ruby&gt;逃避&lt;rt&gt;táobì&lt;/rt&gt;&lt;/ruby&gt;")</f>
        <v>&lt;ruby&gt;逃避&lt;rt&gt;táobì&lt;/rt&gt;&lt;/ruby&gt;</v>
      </c>
      <c r="E2493" s="13" t="str">
        <f ca="1">IFERROR(__xludf.DUMMYFUNCTION("""COMPUTED_VALUE"""),"táobì")</f>
        <v>táobì</v>
      </c>
      <c r="F2493" s="13" t="str">
        <f ca="1">IFERROR(__xludf.DUMMYFUNCTION("""COMPUTED_VALUE"""),"Động từ")</f>
        <v>Động từ</v>
      </c>
      <c r="G2493" s="13" t="str">
        <f ca="1">IFERROR(__xludf.DUMMYFUNCTION("""COMPUTED_VALUE"""),"chạy trốn, trốn tránh")</f>
        <v>chạy trốn, trốn tránh</v>
      </c>
      <c r="H2493" s="13" t="str">
        <f ca="1">IFERROR(__xludf.DUMMYFUNCTION("""COMPUTED_VALUE"""),"他总是逃避困难，从不正面面对问题。")</f>
        <v>他总是逃避困难，从不正面面对问题。</v>
      </c>
      <c r="I2493" s="13"/>
      <c r="J2493" s="13" t="str">
        <f ca="1">IFERROR(__xludf.DUMMYFUNCTION("""COMPUTED_VALUE"""),"Anh ấy luôn trốn tránh khó khăn, không bao giờ đối mặt trực tiếp với vấn đề.")</f>
        <v>Anh ấy luôn trốn tránh khó khăn, không bao giờ đối mặt trực tiếp với vấn đề.</v>
      </c>
      <c r="K2493" s="13" t="str">
        <f ca="1">IFERROR(__xludf.DUMMYFUNCTION("""COMPUTED_VALUE"""),"H5_B30_BG29.png")</f>
        <v>H5_B30_BG29.png</v>
      </c>
      <c r="L2493" s="13" t="str">
        <f ca="1">IFERROR(__xludf.DUMMYFUNCTION("""COMPUTED_VALUE"""),"B30_29.mp3")</f>
        <v>B30_29.mp3</v>
      </c>
      <c r="M2493" s="13" t="str">
        <f ca="1">IFERROR(__xludf.DUMMYFUNCTION("""COMPUTED_VALUE"""),"B30_VD_29.mp3")</f>
        <v>B30_VD_29.mp3</v>
      </c>
    </row>
    <row r="2494" spans="1:13">
      <c r="A2494" s="13">
        <f ca="1">IFERROR(__xludf.DUMMYFUNCTION("""COMPUTED_VALUE"""),30)</f>
        <v>30</v>
      </c>
      <c r="B2494" s="13"/>
      <c r="C2494" s="13" t="str">
        <f ca="1">IFERROR(__xludf.DUMMYFUNCTION("""COMPUTED_VALUE"""),"不断")</f>
        <v>不断</v>
      </c>
      <c r="D2494" s="13" t="str">
        <f ca="1">IFERROR(__xludf.DUMMYFUNCTION("""COMPUTED_VALUE"""),"&lt;ruby&gt;不断&lt;rt&gt;bùduàn&lt;/rt&gt;&lt;/ruby&gt;")</f>
        <v>&lt;ruby&gt;不断&lt;rt&gt;bùduàn&lt;/rt&gt;&lt;/ruby&gt;</v>
      </c>
      <c r="E2494" s="13" t="str">
        <f ca="1">IFERROR(__xludf.DUMMYFUNCTION("""COMPUTED_VALUE"""),"bùduàn")</f>
        <v>bùduàn</v>
      </c>
      <c r="F2494" s="13" t="str">
        <f ca="1">IFERROR(__xludf.DUMMYFUNCTION("""COMPUTED_VALUE"""),"Phó từ")</f>
        <v>Phó từ</v>
      </c>
      <c r="G2494" s="13" t="str">
        <f ca="1">IFERROR(__xludf.DUMMYFUNCTION("""COMPUTED_VALUE"""),"không ngừng, liên tục")</f>
        <v>không ngừng, liên tục</v>
      </c>
      <c r="H2494" s="13" t="str">
        <f ca="1">IFERROR(__xludf.DUMMYFUNCTION("""COMPUTED_VALUE"""),"他不断地学习新知识。")</f>
        <v>他不断地学习新知识。</v>
      </c>
      <c r="I2494" s="13"/>
      <c r="J2494" s="13" t="str">
        <f ca="1">IFERROR(__xludf.DUMMYFUNCTION("""COMPUTED_VALUE"""),"Anh ấy không ngừng học hỏi kiến thức mới.")</f>
        <v>Anh ấy không ngừng học hỏi kiến thức mới.</v>
      </c>
      <c r="K2494" s="13" t="str">
        <f ca="1">IFERROR(__xludf.DUMMYFUNCTION("""COMPUTED_VALUE"""),"H5_B30_BG30.png")</f>
        <v>H5_B30_BG30.png</v>
      </c>
      <c r="L2494" s="13" t="str">
        <f ca="1">IFERROR(__xludf.DUMMYFUNCTION("""COMPUTED_VALUE"""),"B30_30.mp3")</f>
        <v>B30_30.mp3</v>
      </c>
      <c r="M2494" s="13" t="str">
        <f ca="1">IFERROR(__xludf.DUMMYFUNCTION("""COMPUTED_VALUE"""),"B30_VD_30.mp3")</f>
        <v>B30_VD_30.mp3</v>
      </c>
    </row>
    <row r="2495" spans="1:13">
      <c r="A2495" s="13">
        <f ca="1">IFERROR(__xludf.DUMMYFUNCTION("""COMPUTED_VALUE"""),31)</f>
        <v>31</v>
      </c>
      <c r="B2495" s="13"/>
      <c r="C2495" s="13" t="str">
        <f ca="1">IFERROR(__xludf.DUMMYFUNCTION("""COMPUTED_VALUE"""),"旺盛")</f>
        <v>旺盛</v>
      </c>
      <c r="D2495" s="13" t="str">
        <f ca="1">IFERROR(__xludf.DUMMYFUNCTION("""COMPUTED_VALUE"""),"&lt;ruby&gt;旺盛&lt;rt&gt;wàngshèng&lt;/rt&gt;&lt;/ruby&gt;")</f>
        <v>&lt;ruby&gt;旺盛&lt;rt&gt;wàngshèng&lt;/rt&gt;&lt;/ruby&gt;</v>
      </c>
      <c r="E2495" s="13" t="str">
        <f ca="1">IFERROR(__xludf.DUMMYFUNCTION("""COMPUTED_VALUE"""),"wàngshèng")</f>
        <v>wàngshèng</v>
      </c>
      <c r="F2495" s="13" t="str">
        <f ca="1">IFERROR(__xludf.DUMMYFUNCTION("""COMPUTED_VALUE"""),"Tính từ")</f>
        <v>Tính từ</v>
      </c>
      <c r="G2495" s="13" t="str">
        <f ca="1">IFERROR(__xludf.DUMMYFUNCTION("""COMPUTED_VALUE"""),"dồi dào, mạnh mẽ")</f>
        <v>dồi dào, mạnh mẽ</v>
      </c>
      <c r="H2495" s="13" t="str">
        <f ca="1">IFERROR(__xludf.DUMMYFUNCTION("""COMPUTED_VALUE"""),"他的精力非常旺盛。")</f>
        <v>他的精力非常旺盛。</v>
      </c>
      <c r="I2495" s="13"/>
      <c r="J2495" s="13" t="str">
        <f ca="1">IFERROR(__xludf.DUMMYFUNCTION("""COMPUTED_VALUE"""),"Anh ấy có năng lượng dồi dào.")</f>
        <v>Anh ấy có năng lượng dồi dào.</v>
      </c>
      <c r="K2495" s="13" t="str">
        <f ca="1">IFERROR(__xludf.DUMMYFUNCTION("""COMPUTED_VALUE"""),"H5_B30_BG31.png")</f>
        <v>H5_B30_BG31.png</v>
      </c>
      <c r="L2495" s="13" t="str">
        <f ca="1">IFERROR(__xludf.DUMMYFUNCTION("""COMPUTED_VALUE"""),"B30_31.mp3")</f>
        <v>B30_31.mp3</v>
      </c>
      <c r="M2495" s="13" t="str">
        <f ca="1">IFERROR(__xludf.DUMMYFUNCTION("""COMPUTED_VALUE"""),"B30_VD_31.mp3")</f>
        <v>B30_VD_31.mp3</v>
      </c>
    </row>
    <row r="2496" spans="1:13">
      <c r="A2496" s="13">
        <f ca="1">IFERROR(__xludf.DUMMYFUNCTION("""COMPUTED_VALUE"""),32)</f>
        <v>32</v>
      </c>
      <c r="B2496" s="13"/>
      <c r="C2496" s="13" t="str">
        <f ca="1">IFERROR(__xludf.DUMMYFUNCTION("""COMPUTED_VALUE"""),"落后")</f>
        <v>落后</v>
      </c>
      <c r="D2496" s="13" t="str">
        <f ca="1">IFERROR(__xludf.DUMMYFUNCTION("""COMPUTED_VALUE"""),"&lt;ruby&gt;落后&lt;rt&gt;luòhòu&lt;/rt&gt;&lt;/ruby&gt;")</f>
        <v>&lt;ruby&gt;落后&lt;rt&gt;luòhòu&lt;/rt&gt;&lt;/ruby&gt;</v>
      </c>
      <c r="E2496" s="13" t="str">
        <f ca="1">IFERROR(__xludf.DUMMYFUNCTION("""COMPUTED_VALUE"""),"luòhòu")</f>
        <v>luòhòu</v>
      </c>
      <c r="F2496" s="13" t="str">
        <f ca="1">IFERROR(__xludf.DUMMYFUNCTION("""COMPUTED_VALUE"""),"Động từ")</f>
        <v>Động từ</v>
      </c>
      <c r="G2496" s="13" t="str">
        <f ca="1">IFERROR(__xludf.DUMMYFUNCTION("""COMPUTED_VALUE"""),"tụt lại đằng sau, thụt lùi")</f>
        <v>tụt lại đằng sau, thụt lùi</v>
      </c>
      <c r="H2496" s="13" t="str">
        <f ca="1">IFERROR(__xludf.DUMMYFUNCTION("""COMPUTED_VALUE"""),"如果不努力，我们就会落后。")</f>
        <v>如果不努力，我们就会落后。</v>
      </c>
      <c r="I2496" s="13"/>
      <c r="J2496" s="13" t="str">
        <f ca="1">IFERROR(__xludf.DUMMYFUNCTION("""COMPUTED_VALUE"""),"Nếu không cố gắng, chúng ta sẽ bị tụt lại phía sau.")</f>
        <v>Nếu không cố gắng, chúng ta sẽ bị tụt lại phía sau.</v>
      </c>
      <c r="K2496" s="13" t="str">
        <f ca="1">IFERROR(__xludf.DUMMYFUNCTION("""COMPUTED_VALUE"""),"H5_B30_BG32.png")</f>
        <v>H5_B30_BG32.png</v>
      </c>
      <c r="L2496" s="13" t="str">
        <f ca="1">IFERROR(__xludf.DUMMYFUNCTION("""COMPUTED_VALUE"""),"B30_32.mp3")</f>
        <v>B30_32.mp3</v>
      </c>
      <c r="M2496" s="13" t="str">
        <f ca="1">IFERROR(__xludf.DUMMYFUNCTION("""COMPUTED_VALUE"""),"B30_VD_32.mp3")</f>
        <v>B30_VD_32.mp3</v>
      </c>
    </row>
    <row r="2497" spans="1:13">
      <c r="A2497" s="13">
        <f ca="1">IFERROR(__xludf.DUMMYFUNCTION("""COMPUTED_VALUE"""),33)</f>
        <v>33</v>
      </c>
      <c r="B2497" s="13"/>
      <c r="C2497" s="13" t="str">
        <f ca="1">IFERROR(__xludf.DUMMYFUNCTION("""COMPUTED_VALUE"""),"危机")</f>
        <v>危机</v>
      </c>
      <c r="D2497" s="13" t="str">
        <f ca="1">IFERROR(__xludf.DUMMYFUNCTION("""COMPUTED_VALUE"""),"&lt;ruby&gt;危机&lt;rt&gt;wēijī&lt;/rt&gt;&lt;/ruby&gt;")</f>
        <v>&lt;ruby&gt;危机&lt;rt&gt;wēijī&lt;/rt&gt;&lt;/ruby&gt;</v>
      </c>
      <c r="E2497" s="13" t="str">
        <f ca="1">IFERROR(__xludf.DUMMYFUNCTION("""COMPUTED_VALUE"""),"wēijī")</f>
        <v>wēijī</v>
      </c>
      <c r="F2497" s="13" t="str">
        <f ca="1">IFERROR(__xludf.DUMMYFUNCTION("""COMPUTED_VALUE"""),"Danh từ")</f>
        <v>Danh từ</v>
      </c>
      <c r="G2497" s="13" t="str">
        <f ca="1">IFERROR(__xludf.DUMMYFUNCTION("""COMPUTED_VALUE"""),"sự khủng hoảng")</f>
        <v>sự khủng hoảng</v>
      </c>
      <c r="H2497" s="13" t="str">
        <f ca="1">IFERROR(__xludf.DUMMYFUNCTION("""COMPUTED_VALUE"""),"这家公司正面临经济危机。")</f>
        <v>这家公司正面临经济危机。</v>
      </c>
      <c r="I2497" s="13"/>
      <c r="J2497" s="13" t="str">
        <f ca="1">IFERROR(__xludf.DUMMYFUNCTION("""COMPUTED_VALUE"""),"Công ty này đang đối mặt với khủng hoảng kinh tế.")</f>
        <v>Công ty này đang đối mặt với khủng hoảng kinh tế.</v>
      </c>
      <c r="K2497" s="13" t="str">
        <f ca="1">IFERROR(__xludf.DUMMYFUNCTION("""COMPUTED_VALUE"""),"H5_B30_BG33.png")</f>
        <v>H5_B30_BG33.png</v>
      </c>
      <c r="L2497" s="13" t="str">
        <f ca="1">IFERROR(__xludf.DUMMYFUNCTION("""COMPUTED_VALUE"""),"B30_33.mp3")</f>
        <v>B30_33.mp3</v>
      </c>
      <c r="M2497" s="13" t="str">
        <f ca="1">IFERROR(__xludf.DUMMYFUNCTION("""COMPUTED_VALUE"""),"B30_VD_33.mp3")</f>
        <v>B30_VD_33.mp3</v>
      </c>
    </row>
    <row r="2498" spans="1:13">
      <c r="A2498" s="13">
        <f ca="1">IFERROR(__xludf.DUMMYFUNCTION("""COMPUTED_VALUE"""),34)</f>
        <v>34</v>
      </c>
      <c r="B2498" s="13"/>
      <c r="C2498" s="13" t="str">
        <f ca="1">IFERROR(__xludf.DUMMYFUNCTION("""COMPUTED_VALUE"""),"决赛")</f>
        <v>决赛</v>
      </c>
      <c r="D2498" s="13" t="str">
        <f ca="1">IFERROR(__xludf.DUMMYFUNCTION("""COMPUTED_VALUE"""),"&lt;ruby&gt;决赛&lt;rt&gt;juésài&lt;/rt&gt;&lt;/ruby&gt;")</f>
        <v>&lt;ruby&gt;决赛&lt;rt&gt;juésài&lt;/rt&gt;&lt;/ruby&gt;</v>
      </c>
      <c r="E2498" s="13" t="str">
        <f ca="1">IFERROR(__xludf.DUMMYFUNCTION("""COMPUTED_VALUE"""),"juésài")</f>
        <v>juésài</v>
      </c>
      <c r="F2498" s="13" t="str">
        <f ca="1">IFERROR(__xludf.DUMMYFUNCTION("""COMPUTED_VALUE"""),"Động từ")</f>
        <v>Động từ</v>
      </c>
      <c r="G2498" s="13" t="str">
        <f ca="1">IFERROR(__xludf.DUMMYFUNCTION("""COMPUTED_VALUE"""),"thi đấu chung kết")</f>
        <v>thi đấu chung kết</v>
      </c>
      <c r="H2498" s="13" t="str">
        <f ca="1">IFERROR(__xludf.DUMMYFUNCTION("""COMPUTED_VALUE"""),"我们队进入了决赛。")</f>
        <v>我们队进入了决赛。</v>
      </c>
      <c r="I2498" s="13"/>
      <c r="J2498" s="13" t="str">
        <f ca="1">IFERROR(__xludf.DUMMYFUNCTION("""COMPUTED_VALUE"""),"Đội của chúng tôi đã vào chung kết.")</f>
        <v>Đội của chúng tôi đã vào chung kết.</v>
      </c>
      <c r="K2498" s="13" t="str">
        <f ca="1">IFERROR(__xludf.DUMMYFUNCTION("""COMPUTED_VALUE"""),"H5_B30_BG34.png")</f>
        <v>H5_B30_BG34.png</v>
      </c>
      <c r="L2498" s="13" t="str">
        <f ca="1">IFERROR(__xludf.DUMMYFUNCTION("""COMPUTED_VALUE"""),"B30_34.mp3")</f>
        <v>B30_34.mp3</v>
      </c>
      <c r="M2498" s="13" t="str">
        <f ca="1">IFERROR(__xludf.DUMMYFUNCTION("""COMPUTED_VALUE"""),"B30_VD_34.mp3")</f>
        <v>B30_VD_34.mp3</v>
      </c>
    </row>
    <row r="2499" spans="1:13">
      <c r="A2499" s="13">
        <f ca="1">IFERROR(__xludf.DUMMYFUNCTION("""COMPUTED_VALUE"""),35)</f>
        <v>35</v>
      </c>
      <c r="B2499" s="13"/>
      <c r="C2499" s="13" t="str">
        <f ca="1">IFERROR(__xludf.DUMMYFUNCTION("""COMPUTED_VALUE"""),"接近")</f>
        <v>接近</v>
      </c>
      <c r="D2499" s="13" t="str">
        <f ca="1">IFERROR(__xludf.DUMMYFUNCTION("""COMPUTED_VALUE"""),"&lt;ruby&gt;接近&lt;rt&gt;jiējìn&lt;/rt&gt;&lt;/ruby&gt;")</f>
        <v>&lt;ruby&gt;接近&lt;rt&gt;jiējìn&lt;/rt&gt;&lt;/ruby&gt;</v>
      </c>
      <c r="E2499" s="13" t="str">
        <f ca="1">IFERROR(__xludf.DUMMYFUNCTION("""COMPUTED_VALUE"""),"jiējìn")</f>
        <v>jiējìn</v>
      </c>
      <c r="F2499" s="13" t="str">
        <f ca="1">IFERROR(__xludf.DUMMYFUNCTION("""COMPUTED_VALUE"""),"Động từ")</f>
        <v>Động từ</v>
      </c>
      <c r="G2499" s="13" t="str">
        <f ca="1">IFERROR(__xludf.DUMMYFUNCTION("""COMPUTED_VALUE"""),"đến gần, tới gần")</f>
        <v>đến gần, tới gần</v>
      </c>
      <c r="H2499" s="13" t="str">
        <f ca="1">IFERROR(__xludf.DUMMYFUNCTION("""COMPUTED_VALUE"""),"冬天快要到了，气温逐渐接近零度。")</f>
        <v>冬天快要到了，气温逐渐接近零度。</v>
      </c>
      <c r="I2499" s="13"/>
      <c r="J2499" s="13" t="str">
        <f ca="1">IFERROR(__xludf.DUMMYFUNCTION("""COMPUTED_VALUE"""),"Mùa đông sắp đến, nhiệt độ dần dần chạm mức 0 độ.")</f>
        <v>Mùa đông sắp đến, nhiệt độ dần dần chạm mức 0 độ.</v>
      </c>
      <c r="K2499" s="13" t="str">
        <f ca="1">IFERROR(__xludf.DUMMYFUNCTION("""COMPUTED_VALUE"""),"H5_B30_BG35.png")</f>
        <v>H5_B30_BG35.png</v>
      </c>
      <c r="L2499" s="13" t="str">
        <f ca="1">IFERROR(__xludf.DUMMYFUNCTION("""COMPUTED_VALUE"""),"B30_35.mp3")</f>
        <v>B30_35.mp3</v>
      </c>
      <c r="M2499" s="13" t="str">
        <f ca="1">IFERROR(__xludf.DUMMYFUNCTION("""COMPUTED_VALUE"""),"B30_VD_35.mp3")</f>
        <v>B30_VD_35.mp3</v>
      </c>
    </row>
    <row r="2500" spans="1:13">
      <c r="A2500" s="13">
        <f ca="1">IFERROR(__xludf.DUMMYFUNCTION("""COMPUTED_VALUE"""),36)</f>
        <v>36</v>
      </c>
      <c r="B2500" s="13"/>
      <c r="C2500" s="13" t="str">
        <f ca="1">IFERROR(__xludf.DUMMYFUNCTION("""COMPUTED_VALUE"""),"佳")</f>
        <v>佳</v>
      </c>
      <c r="D2500" s="13" t="str">
        <f ca="1">IFERROR(__xludf.DUMMYFUNCTION("""COMPUTED_VALUE"""),"&lt;ruby&gt;佳&lt;rt&gt;jiā&lt;/rt&gt;&lt;/ruby&gt;")</f>
        <v>&lt;ruby&gt;佳&lt;rt&gt;jiā&lt;/rt&gt;&lt;/ruby&gt;</v>
      </c>
      <c r="E2500" s="13" t="str">
        <f ca="1">IFERROR(__xludf.DUMMYFUNCTION("""COMPUTED_VALUE"""),"jiā")</f>
        <v>jiā</v>
      </c>
      <c r="F2500" s="13" t="str">
        <f ca="1">IFERROR(__xludf.DUMMYFUNCTION("""COMPUTED_VALUE"""),"Tính từ")</f>
        <v>Tính từ</v>
      </c>
      <c r="G2500" s="13" t="str">
        <f ca="1">IFERROR(__xludf.DUMMYFUNCTION("""COMPUTED_VALUE"""),"tốt, đẹp, hay")</f>
        <v>tốt, đẹp, hay</v>
      </c>
      <c r="H2500" s="13" t="str">
        <f ca="1">IFERROR(__xludf.DUMMYFUNCTION("""COMPUTED_VALUE"""),"这是一个最佳的选择。")</f>
        <v>这是一个最佳的选择。</v>
      </c>
      <c r="I2500" s="13"/>
      <c r="J2500" s="13" t="str">
        <f ca="1">IFERROR(__xludf.DUMMYFUNCTION("""COMPUTED_VALUE"""),"Đây là lựa chọn tốt nhất.")</f>
        <v>Đây là lựa chọn tốt nhất.</v>
      </c>
      <c r="K2500" s="13" t="str">
        <f ca="1">IFERROR(__xludf.DUMMYFUNCTION("""COMPUTED_VALUE"""),"H5_B30_BG36.png")</f>
        <v>H5_B30_BG36.png</v>
      </c>
      <c r="L2500" s="13" t="str">
        <f ca="1">IFERROR(__xludf.DUMMYFUNCTION("""COMPUTED_VALUE"""),"B30_36.mp3")</f>
        <v>B30_36.mp3</v>
      </c>
      <c r="M2500" s="13" t="str">
        <f ca="1">IFERROR(__xludf.DUMMYFUNCTION("""COMPUTED_VALUE"""),"B30_VD_36.mp3")</f>
        <v>B30_VD_36.mp3</v>
      </c>
    </row>
    <row r="2501" spans="1:13">
      <c r="A2501" s="13">
        <f ca="1">IFERROR(__xludf.DUMMYFUNCTION("""COMPUTED_VALUE"""),1)</f>
        <v>1</v>
      </c>
      <c r="B2501" s="13"/>
      <c r="C2501" s="13" t="str">
        <f ca="1">IFERROR(__xludf.DUMMYFUNCTION("""COMPUTED_VALUE"""),"门槛")</f>
        <v>门槛</v>
      </c>
      <c r="D2501" s="13" t="str">
        <f ca="1">IFERROR(__xludf.DUMMYFUNCTION("""COMPUTED_VALUE"""),"&lt;ruby&gt;门槛&lt;rt&gt;ménkǎn&lt;/rt&gt;&lt;/ruby&gt;")</f>
        <v>&lt;ruby&gt;门槛&lt;rt&gt;ménkǎn&lt;/rt&gt;&lt;/ruby&gt;</v>
      </c>
      <c r="E2501" s="13" t="str">
        <f ca="1">IFERROR(__xludf.DUMMYFUNCTION("""COMPUTED_VALUE"""),"ménkǎn")</f>
        <v>ménkǎn</v>
      </c>
      <c r="F2501" s="13" t="str">
        <f ca="1">IFERROR(__xludf.DUMMYFUNCTION("""COMPUTED_VALUE"""),"Danh từ")</f>
        <v>Danh từ</v>
      </c>
      <c r="G2501" s="13" t="str">
        <f ca="1">IFERROR(__xludf.DUMMYFUNCTION("""COMPUTED_VALUE"""),"ngưỡng cửa, bậc cửa")</f>
        <v>ngưỡng cửa, bậc cửa</v>
      </c>
      <c r="H2501" s="13" t="str">
        <f ca="1">IFERROR(__xludf.DUMMYFUNCTION("""COMPUTED_VALUE"""),"奶奶坐在门槛上晒太阳。")</f>
        <v>奶奶坐在门槛上晒太阳。</v>
      </c>
      <c r="I2501" s="13"/>
      <c r="J2501" s="13" t="str">
        <f ca="1">IFERROR(__xludf.DUMMYFUNCTION("""COMPUTED_VALUE"""),"Bà ngồi trên bậc cửa phơi nắng.")</f>
        <v>Bà ngồi trên bậc cửa phơi nắng.</v>
      </c>
      <c r="K2501" s="13" t="str">
        <f ca="1">IFERROR(__xludf.DUMMYFUNCTION("""COMPUTED_VALUE"""),"H5_B31_BG1-8.png")</f>
        <v>H5_B31_BG1-8.png</v>
      </c>
      <c r="L2501" s="13" t="str">
        <f ca="1">IFERROR(__xludf.DUMMYFUNCTION("""COMPUTED_VALUE"""),"B31_1.mp3")</f>
        <v>B31_1.mp3</v>
      </c>
      <c r="M2501" s="13" t="str">
        <f ca="1">IFERROR(__xludf.DUMMYFUNCTION("""COMPUTED_VALUE"""),"B31_VD_1.mp3")</f>
        <v>B31_VD_1.mp3</v>
      </c>
    </row>
    <row r="2502" spans="1:13">
      <c r="A2502" s="13">
        <f ca="1">IFERROR(__xludf.DUMMYFUNCTION("""COMPUTED_VALUE"""),2)</f>
        <v>2</v>
      </c>
      <c r="B2502" s="13"/>
      <c r="C2502" s="13" t="str">
        <f ca="1">IFERROR(__xludf.DUMMYFUNCTION("""COMPUTED_VALUE"""),"报社")</f>
        <v>报社</v>
      </c>
      <c r="D2502" s="13" t="str">
        <f ca="1">IFERROR(__xludf.DUMMYFUNCTION("""COMPUTED_VALUE"""),"&lt;ruby&gt;报社&lt;rt&gt;bàoshè&lt;/rt&gt;&lt;/ruby&gt;")</f>
        <v>&lt;ruby&gt;报社&lt;rt&gt;bàoshè&lt;/rt&gt;&lt;/ruby&gt;</v>
      </c>
      <c r="E2502" s="13" t="str">
        <f ca="1">IFERROR(__xludf.DUMMYFUNCTION("""COMPUTED_VALUE"""),"bàoshè")</f>
        <v>bàoshè</v>
      </c>
      <c r="F2502" s="13" t="str">
        <f ca="1">IFERROR(__xludf.DUMMYFUNCTION("""COMPUTED_VALUE"""),"Danh từ")</f>
        <v>Danh từ</v>
      </c>
      <c r="G2502" s="13" t="str">
        <f ca="1">IFERROR(__xludf.DUMMYFUNCTION("""COMPUTED_VALUE"""),"tòa soạn")</f>
        <v>tòa soạn</v>
      </c>
      <c r="H2502" s="13" t="str">
        <f ca="1">IFERROR(__xludf.DUMMYFUNCTION("""COMPUTED_VALUE"""),"他在一家报社工作。")</f>
        <v>他在一家报社工作。</v>
      </c>
      <c r="I2502" s="13"/>
      <c r="J2502" s="13" t="str">
        <f ca="1">IFERROR(__xludf.DUMMYFUNCTION("""COMPUTED_VALUE"""),"Cô ấy làm việc ở một tòa soạn báo.")</f>
        <v>Cô ấy làm việc ở một tòa soạn báo.</v>
      </c>
      <c r="K2502" s="13" t="str">
        <f ca="1">IFERROR(__xludf.DUMMYFUNCTION("""COMPUTED_VALUE"""),"H5_B31_BG2-8.png")</f>
        <v>H5_B31_BG2-8.png</v>
      </c>
      <c r="L2502" s="13" t="str">
        <f ca="1">IFERROR(__xludf.DUMMYFUNCTION("""COMPUTED_VALUE"""),"B31_2.mp3")</f>
        <v>B31_2.mp3</v>
      </c>
      <c r="M2502" s="13" t="str">
        <f ca="1">IFERROR(__xludf.DUMMYFUNCTION("""COMPUTED_VALUE"""),"B31_VD_2.mp3")</f>
        <v>B31_VD_2.mp3</v>
      </c>
    </row>
    <row r="2503" spans="1:13">
      <c r="A2503" s="13">
        <f ca="1">IFERROR(__xludf.DUMMYFUNCTION("""COMPUTED_VALUE"""),3)</f>
        <v>3</v>
      </c>
      <c r="B2503" s="13"/>
      <c r="C2503" s="13" t="str">
        <f ca="1">IFERROR(__xludf.DUMMYFUNCTION("""COMPUTED_VALUE"""),"编辑")</f>
        <v>编辑</v>
      </c>
      <c r="D2503" s="13" t="str">
        <f ca="1">IFERROR(__xludf.DUMMYFUNCTION("""COMPUTED_VALUE"""),"&lt;ruby&gt;编辑&lt;rt&gt;biānjí&lt;/rt&gt;&lt;/ruby&gt;")</f>
        <v>&lt;ruby&gt;编辑&lt;rt&gt;biānjí&lt;/rt&gt;&lt;/ruby&gt;</v>
      </c>
      <c r="E2503" s="13" t="str">
        <f ca="1">IFERROR(__xludf.DUMMYFUNCTION("""COMPUTED_VALUE"""),"biānjí")</f>
        <v>biānjí</v>
      </c>
      <c r="F2503" s="13" t="str">
        <f ca="1">IFERROR(__xludf.DUMMYFUNCTION("""COMPUTED_VALUE"""),"Danh từ")</f>
        <v>Danh từ</v>
      </c>
      <c r="G2503" s="13" t="str">
        <f ca="1">IFERROR(__xludf.DUMMYFUNCTION("""COMPUTED_VALUE""")," biên tập viên")</f>
        <v xml:space="preserve"> biên tập viên</v>
      </c>
      <c r="H2503" s="13" t="str">
        <f ca="1">IFERROR(__xludf.DUMMYFUNCTION("""COMPUTED_VALUE"""),"这位编辑正在修改文章。")</f>
        <v>这位编辑正在修改文章。</v>
      </c>
      <c r="I2503" s="13"/>
      <c r="J2503" s="13" t="str">
        <f ca="1">IFERROR(__xludf.DUMMYFUNCTION("""COMPUTED_VALUE"""),"Biên tập viên này đang chỉnh sửa bài viết.")</f>
        <v>Biên tập viên này đang chỉnh sửa bài viết.</v>
      </c>
      <c r="K2503" s="13" t="str">
        <f ca="1">IFERROR(__xludf.DUMMYFUNCTION("""COMPUTED_VALUE"""),"H5_B31_BG3-8.png")</f>
        <v>H5_B31_BG3-8.png</v>
      </c>
      <c r="L2503" s="13" t="str">
        <f ca="1">IFERROR(__xludf.DUMMYFUNCTION("""COMPUTED_VALUE"""),"B31_3.mp3")</f>
        <v>B31_3.mp3</v>
      </c>
      <c r="M2503" s="13" t="str">
        <f ca="1">IFERROR(__xludf.DUMMYFUNCTION("""COMPUTED_VALUE"""),"B31_VD_3.mp3")</f>
        <v>B31_VD_3.mp3</v>
      </c>
    </row>
    <row r="2504" spans="1:13">
      <c r="A2504" s="13">
        <f ca="1">IFERROR(__xludf.DUMMYFUNCTION("""COMPUTED_VALUE"""),4)</f>
        <v>4</v>
      </c>
      <c r="B2504" s="13"/>
      <c r="C2504" s="13" t="str">
        <f ca="1">IFERROR(__xludf.DUMMYFUNCTION("""COMPUTED_VALUE"""),"社区")</f>
        <v>社区</v>
      </c>
      <c r="D2504" s="13" t="str">
        <f ca="1">IFERROR(__xludf.DUMMYFUNCTION("""COMPUTED_VALUE"""),"&lt;ruby&gt;社区&lt;rt&gt;shèqū&lt;/rt&gt;&lt;/ruby&gt;")</f>
        <v>&lt;ruby&gt;社区&lt;rt&gt;shèqū&lt;/rt&gt;&lt;/ruby&gt;</v>
      </c>
      <c r="E2504" s="13" t="str">
        <f ca="1">IFERROR(__xludf.DUMMYFUNCTION("""COMPUTED_VALUE"""),"shèqū")</f>
        <v>shèqū</v>
      </c>
      <c r="F2504" s="13" t="str">
        <f ca="1">IFERROR(__xludf.DUMMYFUNCTION("""COMPUTED_VALUE"""),"Danh từ")</f>
        <v>Danh từ</v>
      </c>
      <c r="G2504" s="13" t="str">
        <f ca="1">IFERROR(__xludf.DUMMYFUNCTION("""COMPUTED_VALUE"""),"phường xã, khu vực, phố")</f>
        <v>phường xã, khu vực, phố</v>
      </c>
      <c r="H2504" s="13" t="str">
        <f ca="1">IFERROR(__xludf.DUMMYFUNCTION("""COMPUTED_VALUE"""),"我们的社区环境很好。")</f>
        <v>我们的社区环境很好。</v>
      </c>
      <c r="I2504" s="13"/>
      <c r="J2504" s="13" t="str">
        <f ca="1">IFERROR(__xludf.DUMMYFUNCTION("""COMPUTED_VALUE"""),"Môi trường khu phố của chúng tôi rất tốt.")</f>
        <v>Môi trường khu phố của chúng tôi rất tốt.</v>
      </c>
      <c r="K2504" s="13" t="str">
        <f ca="1">IFERROR(__xludf.DUMMYFUNCTION("""COMPUTED_VALUE"""),"H5_B31_BG4-8.png")</f>
        <v>H5_B31_BG4-8.png</v>
      </c>
      <c r="L2504" s="13" t="str">
        <f ca="1">IFERROR(__xludf.DUMMYFUNCTION("""COMPUTED_VALUE"""),"B31_4.mp3")</f>
        <v>B31_4.mp3</v>
      </c>
      <c r="M2504" s="13" t="str">
        <f ca="1">IFERROR(__xludf.DUMMYFUNCTION("""COMPUTED_VALUE"""),"B31_VD_4.mp3")</f>
        <v>B31_VD_4.mp3</v>
      </c>
    </row>
    <row r="2505" spans="1:13">
      <c r="A2505" s="13">
        <f ca="1">IFERROR(__xludf.DUMMYFUNCTION("""COMPUTED_VALUE"""),5)</f>
        <v>5</v>
      </c>
      <c r="B2505" s="13"/>
      <c r="C2505" s="13" t="str">
        <f ca="1">IFERROR(__xludf.DUMMYFUNCTION("""COMPUTED_VALUE"""),"出示")</f>
        <v>出示</v>
      </c>
      <c r="D2505" s="13" t="str">
        <f ca="1">IFERROR(__xludf.DUMMYFUNCTION("""COMPUTED_VALUE"""),"&lt;ruby&gt;出示&lt;rt&gt;chūshì&lt;/rt&gt;&lt;/ruby&gt;")</f>
        <v>&lt;ruby&gt;出示&lt;rt&gt;chūshì&lt;/rt&gt;&lt;/ruby&gt;</v>
      </c>
      <c r="E2505" s="13" t="str">
        <f ca="1">IFERROR(__xludf.DUMMYFUNCTION("""COMPUTED_VALUE"""),"chūshì")</f>
        <v>chūshì</v>
      </c>
      <c r="F2505" s="13" t="str">
        <f ca="1">IFERROR(__xludf.DUMMYFUNCTION("""COMPUTED_VALUE"""),"Động từ")</f>
        <v>Động từ</v>
      </c>
      <c r="G2505" s="13" t="str">
        <f ca="1">IFERROR(__xludf.DUMMYFUNCTION("""COMPUTED_VALUE"""),"trình ra, đưa cho xem")</f>
        <v>trình ra, đưa cho xem</v>
      </c>
      <c r="H2505" s="13" t="str">
        <f ca="1">IFERROR(__xludf.DUMMYFUNCTION("""COMPUTED_VALUE"""),"进入大楼前请出示身份证。")</f>
        <v>进入大楼前请出示身份证。</v>
      </c>
      <c r="I2505" s="13"/>
      <c r="J2505" s="13" t="str">
        <f ca="1">IFERROR(__xludf.DUMMYFUNCTION("""COMPUTED_VALUE"""),"Vui lòng xuất trình CMND trước khi vào tòa nhà.")</f>
        <v>Vui lòng xuất trình CMND trước khi vào tòa nhà.</v>
      </c>
      <c r="K2505" s="13" t="str">
        <f ca="1">IFERROR(__xludf.DUMMYFUNCTION("""COMPUTED_VALUE"""),"H5_B31_BG5-8.png")</f>
        <v>H5_B31_BG5-8.png</v>
      </c>
      <c r="L2505" s="13" t="str">
        <f ca="1">IFERROR(__xludf.DUMMYFUNCTION("""COMPUTED_VALUE"""),"B31_5.mp3")</f>
        <v>B31_5.mp3</v>
      </c>
      <c r="M2505" s="13" t="str">
        <f ca="1">IFERROR(__xludf.DUMMYFUNCTION("""COMPUTED_VALUE"""),"B31_VD_5.mp3")</f>
        <v>B31_VD_5.mp3</v>
      </c>
    </row>
    <row r="2506" spans="1:13">
      <c r="A2506" s="13">
        <f ca="1">IFERROR(__xludf.DUMMYFUNCTION("""COMPUTED_VALUE"""),6)</f>
        <v>6</v>
      </c>
      <c r="B2506" s="13"/>
      <c r="C2506" s="13" t="str">
        <f ca="1">IFERROR(__xludf.DUMMYFUNCTION("""COMPUTED_VALUE"""),"值班")</f>
        <v>值班</v>
      </c>
      <c r="D2506" s="13" t="str">
        <f ca="1">IFERROR(__xludf.DUMMYFUNCTION("""COMPUTED_VALUE"""),"&lt;ruby&gt;值班&lt;rt&gt;zhíbān&lt;/rt&gt;&lt;/ruby&gt;")</f>
        <v>&lt;ruby&gt;值班&lt;rt&gt;zhíbān&lt;/rt&gt;&lt;/ruby&gt;</v>
      </c>
      <c r="E2506" s="13" t="str">
        <f ca="1">IFERROR(__xludf.DUMMYFUNCTION("""COMPUTED_VALUE"""),"zhíbān")</f>
        <v>zhíbān</v>
      </c>
      <c r="F2506" s="13" t="str">
        <f ca="1">IFERROR(__xludf.DUMMYFUNCTION("""COMPUTED_VALUE"""),"Động từ")</f>
        <v>Động từ</v>
      </c>
      <c r="G2506" s="13" t="str">
        <f ca="1">IFERROR(__xludf.DUMMYFUNCTION("""COMPUTED_VALUE"""),"trực ban")</f>
        <v>trực ban</v>
      </c>
      <c r="H2506" s="13" t="str">
        <f ca="1">IFERROR(__xludf.DUMMYFUNCTION("""COMPUTED_VALUE"""),"今晚保安值班。")</f>
        <v>今晚保安值班。</v>
      </c>
      <c r="I2506" s="13"/>
      <c r="J2506" s="13" t="str">
        <f ca="1">IFERROR(__xludf.DUMMYFUNCTION("""COMPUTED_VALUE"""),"Tối nay anh bảo vệ trực ban đêm.")</f>
        <v>Tối nay anh bảo vệ trực ban đêm.</v>
      </c>
      <c r="K2506" s="13" t="str">
        <f ca="1">IFERROR(__xludf.DUMMYFUNCTION("""COMPUTED_VALUE"""),"H5_B31_BG6-8.png")</f>
        <v>H5_B31_BG6-8.png</v>
      </c>
      <c r="L2506" s="13" t="str">
        <f ca="1">IFERROR(__xludf.DUMMYFUNCTION("""COMPUTED_VALUE"""),"B31_6.mp3")</f>
        <v>B31_6.mp3</v>
      </c>
      <c r="M2506" s="13" t="str">
        <f ca="1">IFERROR(__xludf.DUMMYFUNCTION("""COMPUTED_VALUE"""),"B31_VD_6.mp3")</f>
        <v>B31_VD_6.mp3</v>
      </c>
    </row>
    <row r="2507" spans="1:13">
      <c r="A2507" s="13">
        <f ca="1">IFERROR(__xludf.DUMMYFUNCTION("""COMPUTED_VALUE"""),7)</f>
        <v>7</v>
      </c>
      <c r="B2507" s="13"/>
      <c r="C2507" s="13" t="str">
        <f ca="1">IFERROR(__xludf.DUMMYFUNCTION("""COMPUTED_VALUE"""),"报告")</f>
        <v>报告</v>
      </c>
      <c r="D2507" s="13" t="str">
        <f ca="1">IFERROR(__xludf.DUMMYFUNCTION("""COMPUTED_VALUE"""),"&lt;ruby&gt;报告&lt;rt&gt;bàogào&lt;/rt&gt;&lt;/ruby&gt;")</f>
        <v>&lt;ruby&gt;报告&lt;rt&gt;bàogào&lt;/rt&gt;&lt;/ruby&gt;</v>
      </c>
      <c r="E2507" s="13" t="str">
        <f ca="1">IFERROR(__xludf.DUMMYFUNCTION("""COMPUTED_VALUE"""),"bàogào")</f>
        <v>bàogào</v>
      </c>
      <c r="F2507" s="13" t="str">
        <f ca="1">IFERROR(__xludf.DUMMYFUNCTION("""COMPUTED_VALUE"""),"Danh từ")</f>
        <v>Danh từ</v>
      </c>
      <c r="G2507" s="13" t="str">
        <f ca="1">IFERROR(__xludf.DUMMYFUNCTION("""COMPUTED_VALUE"""),"bản báo cáo")</f>
        <v>bản báo cáo</v>
      </c>
      <c r="H2507" s="13" t="str">
        <f ca="1">IFERROR(__xludf.DUMMYFUNCTION("""COMPUTED_VALUE"""),"他正在写一份工作报告。")</f>
        <v>他正在写一份工作报告。</v>
      </c>
      <c r="I2507" s="13"/>
      <c r="J2507" s="13" t="str">
        <f ca="1">IFERROR(__xludf.DUMMYFUNCTION("""COMPUTED_VALUE"""),"Anh ấy đang viết một bản báo cáo công việc.")</f>
        <v>Anh ấy đang viết một bản báo cáo công việc.</v>
      </c>
      <c r="K2507" s="13" t="str">
        <f ca="1">IFERROR(__xludf.DUMMYFUNCTION("""COMPUTED_VALUE"""),"H5_B31_BG7-8.png")</f>
        <v>H5_B31_BG7-8.png</v>
      </c>
      <c r="L2507" s="13" t="str">
        <f ca="1">IFERROR(__xludf.DUMMYFUNCTION("""COMPUTED_VALUE"""),"B31_7.mp3")</f>
        <v>B31_7.mp3</v>
      </c>
      <c r="M2507" s="13" t="str">
        <f ca="1">IFERROR(__xludf.DUMMYFUNCTION("""COMPUTED_VALUE"""),"B31_VD_7.mp3")</f>
        <v>B31_VD_7.mp3</v>
      </c>
    </row>
    <row r="2508" spans="1:13">
      <c r="A2508" s="13">
        <f ca="1">IFERROR(__xludf.DUMMYFUNCTION("""COMPUTED_VALUE"""),8)</f>
        <v>8</v>
      </c>
      <c r="B2508" s="13"/>
      <c r="C2508" s="13" t="str">
        <f ca="1">IFERROR(__xludf.DUMMYFUNCTION("""COMPUTED_VALUE"""),"请愿书")</f>
        <v>请愿书</v>
      </c>
      <c r="D2508" s="13" t="str">
        <f ca="1">IFERROR(__xludf.DUMMYFUNCTION("""COMPUTED_VALUE"""),"&lt;ruby&gt;请愿书&lt;rt&gt;qǐngyuànshū&lt;/rt&gt;&lt;/ruby&gt;")</f>
        <v>&lt;ruby&gt;请愿书&lt;rt&gt;qǐngyuànshū&lt;/rt&gt;&lt;/ruby&gt;</v>
      </c>
      <c r="E2508" s="13" t="str">
        <f ca="1">IFERROR(__xludf.DUMMYFUNCTION("""COMPUTED_VALUE"""),"qǐngyuànshū")</f>
        <v>qǐngyuànshū</v>
      </c>
      <c r="F2508" s="13" t="str">
        <f ca="1">IFERROR(__xludf.DUMMYFUNCTION("""COMPUTED_VALUE"""),"Danh từ")</f>
        <v>Danh từ</v>
      </c>
      <c r="G2508" s="13" t="str">
        <f ca="1">IFERROR(__xludf.DUMMYFUNCTION("""COMPUTED_VALUE"""),"đơn xin, đơn thỉnh cầu")</f>
        <v>đơn xin, đơn thỉnh cầu</v>
      </c>
      <c r="H2508" s="13" t="str">
        <f ca="1">IFERROR(__xludf.DUMMYFUNCTION("""COMPUTED_VALUE"""),"他们递交了一份请愿书。")</f>
        <v>他们递交了一份请愿书。</v>
      </c>
      <c r="I2508" s="13"/>
      <c r="J2508" s="13" t="str">
        <f ca="1">IFERROR(__xludf.DUMMYFUNCTION("""COMPUTED_VALUE"""),"Họ đã nộp một lá đơn thỉnh cầu.")</f>
        <v>Họ đã nộp một lá đơn thỉnh cầu.</v>
      </c>
      <c r="K2508" s="13" t="str">
        <f ca="1">IFERROR(__xludf.DUMMYFUNCTION("""COMPUTED_VALUE"""),"H5_B31_BG8-8.png")</f>
        <v>H5_B31_BG8-8.png</v>
      </c>
      <c r="L2508" s="13" t="str">
        <f ca="1">IFERROR(__xludf.DUMMYFUNCTION("""COMPUTED_VALUE"""),"B31_8.mp3")</f>
        <v>B31_8.mp3</v>
      </c>
      <c r="M2508" s="13" t="str">
        <f ca="1">IFERROR(__xludf.DUMMYFUNCTION("""COMPUTED_VALUE"""),"B31_VD_8.mp3")</f>
        <v>B31_VD_8.mp3</v>
      </c>
    </row>
    <row r="2509" spans="1:13">
      <c r="A2509" s="13">
        <f ca="1">IFERROR(__xludf.DUMMYFUNCTION("""COMPUTED_VALUE"""),9)</f>
        <v>9</v>
      </c>
      <c r="B2509" s="13"/>
      <c r="C2509" s="13" t="str">
        <f ca="1">IFERROR(__xludf.DUMMYFUNCTION("""COMPUTED_VALUE"""),"标志")</f>
        <v>标志</v>
      </c>
      <c r="D2509" s="13" t="str">
        <f ca="1">IFERROR(__xludf.DUMMYFUNCTION("""COMPUTED_VALUE"""),"&lt;ruby&gt;标志&lt;rt&gt;biāozhì&lt;/rt&gt;&lt;/ruby&gt;")</f>
        <v>&lt;ruby&gt;标志&lt;rt&gt;biāozhì&lt;/rt&gt;&lt;/ruby&gt;</v>
      </c>
      <c r="E2509" s="13" t="str">
        <f ca="1">IFERROR(__xludf.DUMMYFUNCTION("""COMPUTED_VALUE"""),"biāozhì")</f>
        <v>biāozhì</v>
      </c>
      <c r="F2509" s="13" t="str">
        <f ca="1">IFERROR(__xludf.DUMMYFUNCTION("""COMPUTED_VALUE"""),"Danh từ")</f>
        <v>Danh từ</v>
      </c>
      <c r="G2509" s="13" t="str">
        <f ca="1">IFERROR(__xludf.DUMMYFUNCTION("""COMPUTED_VALUE"""),"ký hiệu")</f>
        <v>ký hiệu</v>
      </c>
      <c r="H2509" s="13" t="str">
        <f ca="1">IFERROR(__xludf.DUMMYFUNCTION("""COMPUTED_VALUE"""),"这个标志表示禁止吸烟。")</f>
        <v>这个标志表示禁止吸烟。</v>
      </c>
      <c r="I2509" s="13"/>
      <c r="J2509" s="13" t="str">
        <f ca="1">IFERROR(__xludf.DUMMYFUNCTION("""COMPUTED_VALUE"""),"Biểu tượng này có nghĩa là cấm hút thuốc.")</f>
        <v>Biểu tượng này có nghĩa là cấm hút thuốc.</v>
      </c>
      <c r="K2509" s="13" t="str">
        <f ca="1">IFERROR(__xludf.DUMMYFUNCTION("""COMPUTED_VALUE"""),"H5_B31_BG9-8.png")</f>
        <v>H5_B31_BG9-8.png</v>
      </c>
      <c r="L2509" s="13" t="str">
        <f ca="1">IFERROR(__xludf.DUMMYFUNCTION("""COMPUTED_VALUE"""),"B31_9.mp3")</f>
        <v>B31_9.mp3</v>
      </c>
      <c r="M2509" s="13" t="str">
        <f ca="1">IFERROR(__xludf.DUMMYFUNCTION("""COMPUTED_VALUE"""),"B31_VD_9.mp3")</f>
        <v>B31_VD_9.mp3</v>
      </c>
    </row>
    <row r="2510" spans="1:13">
      <c r="A2510" s="13">
        <f ca="1">IFERROR(__xludf.DUMMYFUNCTION("""COMPUTED_VALUE"""),10)</f>
        <v>10</v>
      </c>
      <c r="B2510" s="13"/>
      <c r="C2510" s="13" t="str">
        <f ca="1">IFERROR(__xludf.DUMMYFUNCTION("""COMPUTED_VALUE"""),"处理")</f>
        <v>处理</v>
      </c>
      <c r="D2510" s="13" t="str">
        <f ca="1">IFERROR(__xludf.DUMMYFUNCTION("""COMPUTED_VALUE"""),"&lt;ruby&gt;处理&lt;rt&gt;chǔlǐ&lt;/rt&gt;&lt;/ruby&gt;")</f>
        <v>&lt;ruby&gt;处理&lt;rt&gt;chǔlǐ&lt;/rt&gt;&lt;/ruby&gt;</v>
      </c>
      <c r="E2510" s="13" t="str">
        <f ca="1">IFERROR(__xludf.DUMMYFUNCTION("""COMPUTED_VALUE"""),"chǔlǐ")</f>
        <v>chǔlǐ</v>
      </c>
      <c r="F2510" s="13" t="str">
        <f ca="1">IFERROR(__xludf.DUMMYFUNCTION("""COMPUTED_VALUE"""),"Động từ")</f>
        <v>Động từ</v>
      </c>
      <c r="G2510" s="13" t="str">
        <f ca="1">IFERROR(__xludf.DUMMYFUNCTION("""COMPUTED_VALUE"""),"giải quyết, xử lý")</f>
        <v>giải quyết, xử lý</v>
      </c>
      <c r="H2510" s="13" t="str">
        <f ca="1">IFERROR(__xludf.DUMMYFUNCTION("""COMPUTED_VALUE"""),"经理正在处理客户投诉。")</f>
        <v>经理正在处理客户投诉。</v>
      </c>
      <c r="I2510" s="13"/>
      <c r="J2510" s="13" t="str">
        <f ca="1">IFERROR(__xludf.DUMMYFUNCTION("""COMPUTED_VALUE"""),"Giám đốc đang xử lý khiếu nại của khách hàng.")</f>
        <v>Giám đốc đang xử lý khiếu nại của khách hàng.</v>
      </c>
      <c r="K2510" s="13" t="str">
        <f ca="1">IFERROR(__xludf.DUMMYFUNCTION("""COMPUTED_VALUE"""),"H5_B31_BG10-8.png")</f>
        <v>H5_B31_BG10-8.png</v>
      </c>
      <c r="L2510" s="13" t="str">
        <f ca="1">IFERROR(__xludf.DUMMYFUNCTION("""COMPUTED_VALUE"""),"B31_10.mp3")</f>
        <v>B31_10.mp3</v>
      </c>
      <c r="M2510" s="13" t="str">
        <f ca="1">IFERROR(__xludf.DUMMYFUNCTION("""COMPUTED_VALUE"""),"B31_VD_10.mp3")</f>
        <v>B31_VD_10.mp3</v>
      </c>
    </row>
    <row r="2511" spans="1:13">
      <c r="A2511" s="13">
        <f ca="1">IFERROR(__xludf.DUMMYFUNCTION("""COMPUTED_VALUE"""),11)</f>
        <v>11</v>
      </c>
      <c r="B2511" s="13"/>
      <c r="C2511" s="13" t="str">
        <f ca="1">IFERROR(__xludf.DUMMYFUNCTION("""COMPUTED_VALUE"""),"劝")</f>
        <v>劝</v>
      </c>
      <c r="D2511" s="13" t="str">
        <f ca="1">IFERROR(__xludf.DUMMYFUNCTION("""COMPUTED_VALUE"""),"&lt;ruby&gt;劝&lt;rt&gt;quàn&lt;/rt&gt;&lt;/ruby&gt;")</f>
        <v>&lt;ruby&gt;劝&lt;rt&gt;quàn&lt;/rt&gt;&lt;/ruby&gt;</v>
      </c>
      <c r="E2511" s="13" t="str">
        <f ca="1">IFERROR(__xludf.DUMMYFUNCTION("""COMPUTED_VALUE"""),"quàn")</f>
        <v>quàn</v>
      </c>
      <c r="F2511" s="13" t="str">
        <f ca="1">IFERROR(__xludf.DUMMYFUNCTION("""COMPUTED_VALUE"""),"Động từ")</f>
        <v>Động từ</v>
      </c>
      <c r="G2511" s="13" t="str">
        <f ca="1">IFERROR(__xludf.DUMMYFUNCTION("""COMPUTED_VALUE"""),"khuyên")</f>
        <v>khuyên</v>
      </c>
      <c r="H2511" s="13" t="str">
        <f ca="1">IFERROR(__xludf.DUMMYFUNCTION("""COMPUTED_VALUE"""),"妈妈劝我早点睡觉。")</f>
        <v>妈妈劝我早点睡觉。</v>
      </c>
      <c r="I2511" s="13"/>
      <c r="J2511" s="13" t="str">
        <f ca="1">IFERROR(__xludf.DUMMYFUNCTION("""COMPUTED_VALUE"""),"Mẹ khuyên tôi nên ngủ sớm.")</f>
        <v>Mẹ khuyên tôi nên ngủ sớm.</v>
      </c>
      <c r="K2511" s="13" t="str">
        <f ca="1">IFERROR(__xludf.DUMMYFUNCTION("""COMPUTED_VALUE"""),"H5_B31_BG11-8.png")</f>
        <v>H5_B31_BG11-8.png</v>
      </c>
      <c r="L2511" s="13" t="str">
        <f ca="1">IFERROR(__xludf.DUMMYFUNCTION("""COMPUTED_VALUE"""),"B31_11.mp3")</f>
        <v>B31_11.mp3</v>
      </c>
      <c r="M2511" s="13" t="str">
        <f ca="1">IFERROR(__xludf.DUMMYFUNCTION("""COMPUTED_VALUE"""),"B31_VD_11.mp3")</f>
        <v>B31_VD_11.mp3</v>
      </c>
    </row>
    <row r="2512" spans="1:13">
      <c r="A2512" s="13">
        <f ca="1">IFERROR(__xludf.DUMMYFUNCTION("""COMPUTED_VALUE"""),12)</f>
        <v>12</v>
      </c>
      <c r="B2512" s="13"/>
      <c r="C2512" s="13" t="str">
        <f ca="1">IFERROR(__xludf.DUMMYFUNCTION("""COMPUTED_VALUE"""),"嗯")</f>
        <v>嗯</v>
      </c>
      <c r="D2512" s="13" t="str">
        <f ca="1">IFERROR(__xludf.DUMMYFUNCTION("""COMPUTED_VALUE"""),"&lt;ruby&gt;嗯&lt;rt&gt;ǹg&lt;/rt&gt;&lt;/ruby&gt;")</f>
        <v>&lt;ruby&gt;嗯&lt;rt&gt;ǹg&lt;/rt&gt;&lt;/ruby&gt;</v>
      </c>
      <c r="E2512" s="13" t="str">
        <f ca="1">IFERROR(__xludf.DUMMYFUNCTION("""COMPUTED_VALUE"""),"ǹg")</f>
        <v>ǹg</v>
      </c>
      <c r="F2512" s="13" t="str">
        <f ca="1">IFERROR(__xludf.DUMMYFUNCTION("""COMPUTED_VALUE"""),"Từ cảm thán")</f>
        <v>Từ cảm thán</v>
      </c>
      <c r="G2512" s="13" t="str">
        <f ca="1">IFERROR(__xludf.DUMMYFUNCTION("""COMPUTED_VALUE"""),"được dùng để chỉ sự đồng ý, khẳng định")</f>
        <v>được dùng để chỉ sự đồng ý, khẳng định</v>
      </c>
      <c r="H2512" s="13" t="str">
        <f ca="1">IFERROR(__xludf.DUMMYFUNCTION("""COMPUTED_VALUE"""),"你听懂了吗？” “嗯，我听懂了。”")</f>
        <v>你听懂了吗？” “嗯，我听懂了。”</v>
      </c>
      <c r="I2512" s="13"/>
      <c r="J2512" s="13" t="str">
        <f ca="1">IFERROR(__xludf.DUMMYFUNCTION("""COMPUTED_VALUE"""),"Cậu hiểu chưa?"" – ""Ừ, tớ hiểu rồi.""")</f>
        <v>Cậu hiểu chưa?" – "Ừ, tớ hiểu rồi."</v>
      </c>
      <c r="K2512" s="13" t="str">
        <f ca="1">IFERROR(__xludf.DUMMYFUNCTION("""COMPUTED_VALUE"""),"H5_B31_BG12-8.png")</f>
        <v>H5_B31_BG12-8.png</v>
      </c>
      <c r="L2512" s="13" t="str">
        <f ca="1">IFERROR(__xludf.DUMMYFUNCTION("""COMPUTED_VALUE"""),"B31_12.mp3")</f>
        <v>B31_12.mp3</v>
      </c>
      <c r="M2512" s="13" t="str">
        <f ca="1">IFERROR(__xludf.DUMMYFUNCTION("""COMPUTED_VALUE"""),"B31_VD_12.mp3")</f>
        <v>B31_VD_12.mp3</v>
      </c>
    </row>
    <row r="2513" spans="1:13">
      <c r="A2513" s="13">
        <f ca="1">IFERROR(__xludf.DUMMYFUNCTION("""COMPUTED_VALUE"""),13)</f>
        <v>13</v>
      </c>
      <c r="B2513" s="13"/>
      <c r="C2513" s="13" t="str">
        <f ca="1">IFERROR(__xludf.DUMMYFUNCTION("""COMPUTED_VALUE"""),"轻易")</f>
        <v>轻易</v>
      </c>
      <c r="D2513" s="13" t="str">
        <f ca="1">IFERROR(__xludf.DUMMYFUNCTION("""COMPUTED_VALUE"""),"&lt;ruby&gt;轻易&lt;rt&gt;qīngyì&lt;/rt&gt;&lt;/ruby&gt;")</f>
        <v>&lt;ruby&gt;轻易&lt;rt&gt;qīngyì&lt;/rt&gt;&lt;/ruby&gt;</v>
      </c>
      <c r="E2513" s="13" t="str">
        <f ca="1">IFERROR(__xludf.DUMMYFUNCTION("""COMPUTED_VALUE"""),"qīngyì")</f>
        <v>qīngyì</v>
      </c>
      <c r="F2513" s="13" t="str">
        <f ca="1">IFERROR(__xludf.DUMMYFUNCTION("""COMPUTED_VALUE"""),"Tính từ")</f>
        <v>Tính từ</v>
      </c>
      <c r="G2513" s="13" t="str">
        <f ca="1">IFERROR(__xludf.DUMMYFUNCTION("""COMPUTED_VALUE"""),"dễ dàng")</f>
        <v>dễ dàng</v>
      </c>
      <c r="H2513" s="13" t="str">
        <f ca="1">IFERROR(__xludf.DUMMYFUNCTION("""COMPUTED_VALUE"""),"这个问题不轻易解决。")</f>
        <v>这个问题不轻易解决。</v>
      </c>
      <c r="I2513" s="13"/>
      <c r="J2513" s="13" t="str">
        <f ca="1">IFERROR(__xludf.DUMMYFUNCTION("""COMPUTED_VALUE"""),"Vấn đề này không dễ dàng giải quyết.")</f>
        <v>Vấn đề này không dễ dàng giải quyết.</v>
      </c>
      <c r="K2513" s="13" t="str">
        <f ca="1">IFERROR(__xludf.DUMMYFUNCTION("""COMPUTED_VALUE"""),"H5_B31_BG13-8.png")</f>
        <v>H5_B31_BG13-8.png</v>
      </c>
      <c r="L2513" s="13" t="str">
        <f ca="1">IFERROR(__xludf.DUMMYFUNCTION("""COMPUTED_VALUE"""),"B31_13.mp3")</f>
        <v>B31_13.mp3</v>
      </c>
      <c r="M2513" s="13" t="str">
        <f ca="1">IFERROR(__xludf.DUMMYFUNCTION("""COMPUTED_VALUE"""),"B31_VD_13.mp3")</f>
        <v>B31_VD_13.mp3</v>
      </c>
    </row>
    <row r="2514" spans="1:13">
      <c r="A2514" s="13">
        <f ca="1">IFERROR(__xludf.DUMMYFUNCTION("""COMPUTED_VALUE"""),14)</f>
        <v>14</v>
      </c>
      <c r="B2514" s="13"/>
      <c r="C2514" s="13" t="str">
        <f ca="1">IFERROR(__xludf.DUMMYFUNCTION("""COMPUTED_VALUE"""),"冷淡")</f>
        <v>冷淡</v>
      </c>
      <c r="D2514" s="13" t="str">
        <f ca="1">IFERROR(__xludf.DUMMYFUNCTION("""COMPUTED_VALUE"""),"&lt;ruby&gt;冷淡&lt;rt&gt;lěngdàn&lt;/rt&gt;&lt;/ruby&gt;")</f>
        <v>&lt;ruby&gt;冷淡&lt;rt&gt;lěngdàn&lt;/rt&gt;&lt;/ruby&gt;</v>
      </c>
      <c r="E2514" s="13" t="str">
        <f ca="1">IFERROR(__xludf.DUMMYFUNCTION("""COMPUTED_VALUE"""),"lěngdàn")</f>
        <v>lěngdàn</v>
      </c>
      <c r="F2514" s="13" t="str">
        <f ca="1">IFERROR(__xludf.DUMMYFUNCTION("""COMPUTED_VALUE"""),"Tính từ")</f>
        <v>Tính từ</v>
      </c>
      <c r="G2514" s="13" t="str">
        <f ca="1">IFERROR(__xludf.DUMMYFUNCTION("""COMPUTED_VALUE"""),"lạnh nhạt, hờ hững")</f>
        <v>lạnh nhạt, hờ hững</v>
      </c>
      <c r="H2514" s="13" t="str">
        <f ca="1">IFERROR(__xludf.DUMMYFUNCTION("""COMPUTED_VALUE"""),"他对朋友的态度很冷淡。")</f>
        <v>他对朋友的态度很冷淡。</v>
      </c>
      <c r="I2514" s="13"/>
      <c r="J2514" s="13" t="str">
        <f ca="1">IFERROR(__xludf.DUMMYFUNCTION("""COMPUTED_VALUE"""),"Anh ấy tỏ thái độ lạnh nhạt với bạn bè.")</f>
        <v>Anh ấy tỏ thái độ lạnh nhạt với bạn bè.</v>
      </c>
      <c r="K2514" s="13" t="str">
        <f ca="1">IFERROR(__xludf.DUMMYFUNCTION("""COMPUTED_VALUE"""),"H5_B31_BG14-8.png")</f>
        <v>H5_B31_BG14-8.png</v>
      </c>
      <c r="L2514" s="13" t="str">
        <f ca="1">IFERROR(__xludf.DUMMYFUNCTION("""COMPUTED_VALUE"""),"B31_14.mp3")</f>
        <v>B31_14.mp3</v>
      </c>
      <c r="M2514" s="13" t="str">
        <f ca="1">IFERROR(__xludf.DUMMYFUNCTION("""COMPUTED_VALUE"""),"B31_VD_14.mp3")</f>
        <v>B31_VD_14.mp3</v>
      </c>
    </row>
    <row r="2515" spans="1:13">
      <c r="A2515" s="13">
        <f ca="1">IFERROR(__xludf.DUMMYFUNCTION("""COMPUTED_VALUE"""),15)</f>
        <v>15</v>
      </c>
      <c r="B2515" s="13"/>
      <c r="C2515" s="13" t="str">
        <f ca="1">IFERROR(__xludf.DUMMYFUNCTION("""COMPUTED_VALUE"""),"犹豫")</f>
        <v>犹豫</v>
      </c>
      <c r="D2515" s="13" t="str">
        <f ca="1">IFERROR(__xludf.DUMMYFUNCTION("""COMPUTED_VALUE"""),"&lt;ruby&gt;犹豫&lt;rt&gt;yóuyù&lt;/rt&gt;&lt;/ruby&gt;")</f>
        <v>&lt;ruby&gt;犹豫&lt;rt&gt;yóuyù&lt;/rt&gt;&lt;/ruby&gt;</v>
      </c>
      <c r="E2515" s="13" t="str">
        <f ca="1">IFERROR(__xludf.DUMMYFUNCTION("""COMPUTED_VALUE"""),"yóuyù")</f>
        <v>yóuyù</v>
      </c>
      <c r="F2515" s="13" t="str">
        <f ca="1">IFERROR(__xludf.DUMMYFUNCTION("""COMPUTED_VALUE"""),"Tính từ")</f>
        <v>Tính từ</v>
      </c>
      <c r="G2515" s="13" t="str">
        <f ca="1">IFERROR(__xludf.DUMMYFUNCTION("""COMPUTED_VALUE"""),"do dự, lưỡng lự")</f>
        <v>do dự, lưỡng lự</v>
      </c>
      <c r="H2515" s="13" t="str">
        <f ca="1">IFERROR(__xludf.DUMMYFUNCTION("""COMPUTED_VALUE"""),"他犹豫了很久，最后还是决定放弃。")</f>
        <v>他犹豫了很久，最后还是决定放弃。</v>
      </c>
      <c r="I2515" s="13"/>
      <c r="J2515" s="13" t="str">
        <f ca="1">IFERROR(__xludf.DUMMYFUNCTION("""COMPUTED_VALUE"""),"Cậu bé ấy do dự rất lâu, cuối cùng vẫn quyết định từ bỏ.")</f>
        <v>Cậu bé ấy do dự rất lâu, cuối cùng vẫn quyết định từ bỏ.</v>
      </c>
      <c r="K2515" s="13" t="str">
        <f ca="1">IFERROR(__xludf.DUMMYFUNCTION("""COMPUTED_VALUE"""),"H5_B31_BG15-8.png")</f>
        <v>H5_B31_BG15-8.png</v>
      </c>
      <c r="L2515" s="13" t="str">
        <f ca="1">IFERROR(__xludf.DUMMYFUNCTION("""COMPUTED_VALUE"""),"B31_15.mp3")</f>
        <v>B31_15.mp3</v>
      </c>
      <c r="M2515" s="13" t="str">
        <f ca="1">IFERROR(__xludf.DUMMYFUNCTION("""COMPUTED_VALUE"""),"B31_VD_15.mp3")</f>
        <v>B31_VD_15.mp3</v>
      </c>
    </row>
    <row r="2516" spans="1:13">
      <c r="A2516" s="13">
        <f ca="1">IFERROR(__xludf.DUMMYFUNCTION("""COMPUTED_VALUE"""),16)</f>
        <v>16</v>
      </c>
      <c r="B2516" s="13"/>
      <c r="C2516" s="13" t="str">
        <f ca="1">IFERROR(__xludf.DUMMYFUNCTION("""COMPUTED_VALUE"""),"无所谓")</f>
        <v>无所谓</v>
      </c>
      <c r="D2516" s="13" t="str">
        <f ca="1">IFERROR(__xludf.DUMMYFUNCTION("""COMPUTED_VALUE"""),"&lt;ruby&gt;无所谓&lt;rt&gt;wúsuǒwèi&lt;/rt&gt;&lt;/ruby&gt;")</f>
        <v>&lt;ruby&gt;无所谓&lt;rt&gt;wúsuǒwèi&lt;/rt&gt;&lt;/ruby&gt;</v>
      </c>
      <c r="E2516" s="13" t="str">
        <f ca="1">IFERROR(__xludf.DUMMYFUNCTION("""COMPUTED_VALUE"""),"wúsuǒwèi")</f>
        <v>wúsuǒwèi</v>
      </c>
      <c r="F2516" s="13" t="str">
        <f ca="1">IFERROR(__xludf.DUMMYFUNCTION("""COMPUTED_VALUE"""),"Động từ")</f>
        <v>Động từ</v>
      </c>
      <c r="G2516" s="13" t="str">
        <f ca="1">IFERROR(__xludf.DUMMYFUNCTION("""COMPUTED_VALUE"""),"không sao cả, không hề gì")</f>
        <v>không sao cả, không hề gì</v>
      </c>
      <c r="H2516" s="13" t="str">
        <f ca="1">IFERROR(__xludf.DUMMYFUNCTION("""COMPUTED_VALUE"""),"面对关于自己的无根据传言，他完全无所谓。")</f>
        <v>面对关于自己的无根据传言，他完全无所谓。</v>
      </c>
      <c r="I2516" s="13"/>
      <c r="J2516" s="13" t="str">
        <f ca="1">IFERROR(__xludf.DUMMYFUNCTION("""COMPUTED_VALUE"""),"Đối diện với những lời đồn vô căn cứ về mình, anh ấy tuyệt nhiên không quan tâm.")</f>
        <v>Đối diện với những lời đồn vô căn cứ về mình, anh ấy tuyệt nhiên không quan tâm.</v>
      </c>
      <c r="K2516" s="13" t="str">
        <f ca="1">IFERROR(__xludf.DUMMYFUNCTION("""COMPUTED_VALUE"""),"H5_B31_BG16-8.png")</f>
        <v>H5_B31_BG16-8.png</v>
      </c>
      <c r="L2516" s="13" t="str">
        <f ca="1">IFERROR(__xludf.DUMMYFUNCTION("""COMPUTED_VALUE"""),"B31_16.mp3")</f>
        <v>B31_16.mp3</v>
      </c>
      <c r="M2516" s="13" t="str">
        <f ca="1">IFERROR(__xludf.DUMMYFUNCTION("""COMPUTED_VALUE"""),"B31_VD_16.mp3")</f>
        <v>B31_VD_16.mp3</v>
      </c>
    </row>
    <row r="2517" spans="1:13">
      <c r="A2517" s="13">
        <f ca="1">IFERROR(__xludf.DUMMYFUNCTION("""COMPUTED_VALUE"""),17)</f>
        <v>17</v>
      </c>
      <c r="B2517" s="13"/>
      <c r="C2517" s="13" t="str">
        <f ca="1">IFERROR(__xludf.DUMMYFUNCTION("""COMPUTED_VALUE"""),"迫切")</f>
        <v>迫切</v>
      </c>
      <c r="D2517" s="13" t="str">
        <f ca="1">IFERROR(__xludf.DUMMYFUNCTION("""COMPUTED_VALUE"""),"&lt;ruby&gt;迫切&lt;rt&gt;pòqiè&lt;/rt&gt;&lt;/ruby&gt;")</f>
        <v>&lt;ruby&gt;迫切&lt;rt&gt;pòqiè&lt;/rt&gt;&lt;/ruby&gt;</v>
      </c>
      <c r="E2517" s="13" t="str">
        <f ca="1">IFERROR(__xludf.DUMMYFUNCTION("""COMPUTED_VALUE"""),"pòqiè")</f>
        <v>pòqiè</v>
      </c>
      <c r="F2517" s="13" t="str">
        <f ca="1">IFERROR(__xludf.DUMMYFUNCTION("""COMPUTED_VALUE"""),"Tính từ")</f>
        <v>Tính từ</v>
      </c>
      <c r="G2517" s="13" t="str">
        <f ca="1">IFERROR(__xludf.DUMMYFUNCTION("""COMPUTED_VALUE"""),"cấp bách, khẩn cấp, bức thiết, thiết tha")</f>
        <v>cấp bách, khẩn cấp, bức thiết, thiết tha</v>
      </c>
      <c r="H2517" s="13" t="str">
        <f ca="1">IFERROR(__xludf.DUMMYFUNCTION("""COMPUTED_VALUE"""),"闹钟响个不停，提醒我有迫切的事情需要完成。")</f>
        <v>闹钟响个不停，提醒我有迫切的事情需要完成。</v>
      </c>
      <c r="I2517" s="13"/>
      <c r="J2517" s="13" t="str">
        <f ca="1">IFERROR(__xludf.DUMMYFUNCTION("""COMPUTED_VALUE"""),"Chuông báo thức reo liên tục, nhắc tôi rằng có việc cấp thiết cần phải hoàn thành.")</f>
        <v>Chuông báo thức reo liên tục, nhắc tôi rằng có việc cấp thiết cần phải hoàn thành.</v>
      </c>
      <c r="K2517" s="13" t="str">
        <f ca="1">IFERROR(__xludf.DUMMYFUNCTION("""COMPUTED_VALUE"""),"H5_B31_BG17-8.png")</f>
        <v>H5_B31_BG17-8.png</v>
      </c>
      <c r="L2517" s="13" t="str">
        <f ca="1">IFERROR(__xludf.DUMMYFUNCTION("""COMPUTED_VALUE"""),"B31_17.mp3")</f>
        <v>B31_17.mp3</v>
      </c>
      <c r="M2517" s="13" t="str">
        <f ca="1">IFERROR(__xludf.DUMMYFUNCTION("""COMPUTED_VALUE"""),"B31_VD_17.mp3")</f>
        <v>B31_VD_17.mp3</v>
      </c>
    </row>
    <row r="2518" spans="1:13">
      <c r="A2518" s="13">
        <f ca="1">IFERROR(__xludf.DUMMYFUNCTION("""COMPUTED_VALUE"""),18)</f>
        <v>18</v>
      </c>
      <c r="B2518" s="13"/>
      <c r="C2518" s="13" t="str">
        <f ca="1">IFERROR(__xludf.DUMMYFUNCTION("""COMPUTED_VALUE"""),"赞成")</f>
        <v>赞成</v>
      </c>
      <c r="D2518" s="13" t="str">
        <f ca="1">IFERROR(__xludf.DUMMYFUNCTION("""COMPUTED_VALUE"""),"&lt;ruby&gt;赞成&lt;rt&gt;zànchéng&lt;/rt&gt;&lt;/ruby&gt;")</f>
        <v>&lt;ruby&gt;赞成&lt;rt&gt;zànchéng&lt;/rt&gt;&lt;/ruby&gt;</v>
      </c>
      <c r="E2518" s="13" t="str">
        <f ca="1">IFERROR(__xludf.DUMMYFUNCTION("""COMPUTED_VALUE"""),"zànchéng")</f>
        <v>zànchéng</v>
      </c>
      <c r="F2518" s="13" t="str">
        <f ca="1">IFERROR(__xludf.DUMMYFUNCTION("""COMPUTED_VALUE"""),"Động từ")</f>
        <v>Động từ</v>
      </c>
      <c r="G2518" s="13" t="str">
        <f ca="1">IFERROR(__xludf.DUMMYFUNCTION("""COMPUTED_VALUE"""),"đồng ý, tán thành")</f>
        <v>đồng ý, tán thành</v>
      </c>
      <c r="H2518" s="13" t="str">
        <f ca="1">IFERROR(__xludf.DUMMYFUNCTION("""COMPUTED_VALUE"""),"我完全赞成你的想法。")</f>
        <v>我完全赞成你的想法。</v>
      </c>
      <c r="I2518" s="13"/>
      <c r="J2518" s="13" t="str">
        <f ca="1">IFERROR(__xludf.DUMMYFUNCTION("""COMPUTED_VALUE"""),"Tôi hoàn toàn đồng ý với ý kiến của bạn.")</f>
        <v>Tôi hoàn toàn đồng ý với ý kiến của bạn.</v>
      </c>
      <c r="K2518" s="13" t="str">
        <f ca="1">IFERROR(__xludf.DUMMYFUNCTION("""COMPUTED_VALUE"""),"H5_B31_BG18-8.png")</f>
        <v>H5_B31_BG18-8.png</v>
      </c>
      <c r="L2518" s="13" t="str">
        <f ca="1">IFERROR(__xludf.DUMMYFUNCTION("""COMPUTED_VALUE"""),"B31_18.mp3")</f>
        <v>B31_18.mp3</v>
      </c>
      <c r="M2518" s="13" t="str">
        <f ca="1">IFERROR(__xludf.DUMMYFUNCTION("""COMPUTED_VALUE"""),"B31_VD_18.mp3")</f>
        <v>B31_VD_18.mp3</v>
      </c>
    </row>
    <row r="2519" spans="1:13">
      <c r="A2519" s="13">
        <f ca="1">IFERROR(__xludf.DUMMYFUNCTION("""COMPUTED_VALUE"""),19)</f>
        <v>19</v>
      </c>
      <c r="B2519" s="13"/>
      <c r="C2519" s="13" t="str">
        <f ca="1">IFERROR(__xludf.DUMMYFUNCTION("""COMPUTED_VALUE"""),"狡猾")</f>
        <v>狡猾</v>
      </c>
      <c r="D2519" s="13" t="str">
        <f ca="1">IFERROR(__xludf.DUMMYFUNCTION("""COMPUTED_VALUE"""),"&lt;ruby&gt;狡猾&lt;rt&gt;jiǎohuá&lt;/rt&gt;&lt;/ruby&gt;")</f>
        <v>&lt;ruby&gt;狡猾&lt;rt&gt;jiǎohuá&lt;/rt&gt;&lt;/ruby&gt;</v>
      </c>
      <c r="E2519" s="13" t="str">
        <f ca="1">IFERROR(__xludf.DUMMYFUNCTION("""COMPUTED_VALUE"""),"jiǎohuá")</f>
        <v>jiǎohuá</v>
      </c>
      <c r="F2519" s="13" t="str">
        <f ca="1">IFERROR(__xludf.DUMMYFUNCTION("""COMPUTED_VALUE"""),"Tính từ")</f>
        <v>Tính từ</v>
      </c>
      <c r="G2519" s="13" t="str">
        <f ca="1">IFERROR(__xludf.DUMMYFUNCTION("""COMPUTED_VALUE"""),"xảo quyệt, xảo trá")</f>
        <v>xảo quyệt, xảo trá</v>
      </c>
      <c r="H2519" s="13" t="str">
        <f ca="1">IFERROR(__xludf.DUMMYFUNCTION("""COMPUTED_VALUE"""),"这个人非常狡猾，不容易被骗。")</f>
        <v>这个人非常狡猾，不容易被骗。</v>
      </c>
      <c r="I2519" s="13"/>
      <c r="J2519" s="13" t="str">
        <f ca="1">IFERROR(__xludf.DUMMYFUNCTION("""COMPUTED_VALUE"""),"Người này rất xảo quyệt, không dễ bị lừa.")</f>
        <v>Người này rất xảo quyệt, không dễ bị lừa.</v>
      </c>
      <c r="K2519" s="13" t="str">
        <f ca="1">IFERROR(__xludf.DUMMYFUNCTION("""COMPUTED_VALUE"""),"H5_B31_BG19-8.png")</f>
        <v>H5_B31_BG19-8.png</v>
      </c>
      <c r="L2519" s="13" t="str">
        <f ca="1">IFERROR(__xludf.DUMMYFUNCTION("""COMPUTED_VALUE"""),"B31_19.mp3")</f>
        <v>B31_19.mp3</v>
      </c>
      <c r="M2519" s="13" t="str">
        <f ca="1">IFERROR(__xludf.DUMMYFUNCTION("""COMPUTED_VALUE"""),"B31_VD_19.mp3")</f>
        <v>B31_VD_19.mp3</v>
      </c>
    </row>
    <row r="2520" spans="1:13">
      <c r="A2520" s="13">
        <f ca="1">IFERROR(__xludf.DUMMYFUNCTION("""COMPUTED_VALUE"""),20)</f>
        <v>20</v>
      </c>
      <c r="B2520" s="13"/>
      <c r="C2520" s="13" t="str">
        <f ca="1">IFERROR(__xludf.DUMMYFUNCTION("""COMPUTED_VALUE"""),"谦虚")</f>
        <v>谦虚</v>
      </c>
      <c r="D2520" s="13" t="str">
        <f ca="1">IFERROR(__xludf.DUMMYFUNCTION("""COMPUTED_VALUE"""),"&lt;ruby&gt;谦虚&lt;rt&gt;qiānxū&lt;/rt&gt;&lt;/ruby&gt;")</f>
        <v>&lt;ruby&gt;谦虚&lt;rt&gt;qiānxū&lt;/rt&gt;&lt;/ruby&gt;</v>
      </c>
      <c r="E2520" s="13" t="str">
        <f ca="1">IFERROR(__xludf.DUMMYFUNCTION("""COMPUTED_VALUE"""),"qiānxū")</f>
        <v>qiānxū</v>
      </c>
      <c r="F2520" s="13" t="str">
        <f ca="1">IFERROR(__xludf.DUMMYFUNCTION("""COMPUTED_VALUE"""),"Tính từ")</f>
        <v>Tính từ</v>
      </c>
      <c r="G2520" s="13" t="str">
        <f ca="1">IFERROR(__xludf.DUMMYFUNCTION("""COMPUTED_VALUE"""),"khiêm tốn")</f>
        <v>khiêm tốn</v>
      </c>
      <c r="H2520" s="13" t="str">
        <f ca="1">IFERROR(__xludf.DUMMYFUNCTION("""COMPUTED_VALUE"""),"她虽然很优秀，但非常谦虚。")</f>
        <v>她虽然很优秀，但非常谦虚。</v>
      </c>
      <c r="I2520" s="13"/>
      <c r="J2520" s="13" t="str">
        <f ca="1">IFERROR(__xludf.DUMMYFUNCTION("""COMPUTED_VALUE"""),"Dù cô ấy rất xuất sắc, nhưng vẫn rất khiêm tốn.")</f>
        <v>Dù cô ấy rất xuất sắc, nhưng vẫn rất khiêm tốn.</v>
      </c>
      <c r="K2520" s="13" t="str">
        <f ca="1">IFERROR(__xludf.DUMMYFUNCTION("""COMPUTED_VALUE"""),"H5_B31_BG20-8.png")</f>
        <v>H5_B31_BG20-8.png</v>
      </c>
      <c r="L2520" s="13" t="str">
        <f ca="1">IFERROR(__xludf.DUMMYFUNCTION("""COMPUTED_VALUE"""),"B31_20.mp3")</f>
        <v>B31_20.mp3</v>
      </c>
      <c r="M2520" s="13" t="str">
        <f ca="1">IFERROR(__xludf.DUMMYFUNCTION("""COMPUTED_VALUE"""),"B31_VD_20.mp3")</f>
        <v>B31_VD_20.mp3</v>
      </c>
    </row>
    <row r="2521" spans="1:13">
      <c r="A2521" s="13">
        <f ca="1">IFERROR(__xludf.DUMMYFUNCTION("""COMPUTED_VALUE"""),21)</f>
        <v>21</v>
      </c>
      <c r="B2521" s="13"/>
      <c r="C2521" s="13" t="str">
        <f ca="1">IFERROR(__xludf.DUMMYFUNCTION("""COMPUTED_VALUE"""),"了不起")</f>
        <v>了不起</v>
      </c>
      <c r="D2521" s="13" t="str">
        <f ca="1">IFERROR(__xludf.DUMMYFUNCTION("""COMPUTED_VALUE"""),"&lt;ruby&gt;了不起&lt;rt&gt;liǎobuqǐ&lt;/rt&gt;&lt;/ruby&gt;")</f>
        <v>&lt;ruby&gt;了不起&lt;rt&gt;liǎobuqǐ&lt;/rt&gt;&lt;/ruby&gt;</v>
      </c>
      <c r="E2521" s="13" t="str">
        <f ca="1">IFERROR(__xludf.DUMMYFUNCTION("""COMPUTED_VALUE"""),"liǎobuqǐ")</f>
        <v>liǎobuqǐ</v>
      </c>
      <c r="F2521" s="13" t="str">
        <f ca="1">IFERROR(__xludf.DUMMYFUNCTION("""COMPUTED_VALUE"""),"Tính từ")</f>
        <v>Tính từ</v>
      </c>
      <c r="G2521" s="13" t="str">
        <f ca="1">IFERROR(__xludf.DUMMYFUNCTION("""COMPUTED_VALUE"""),"tài ba, giỏi, vĩ đại")</f>
        <v>tài ba, giỏi, vĩ đại</v>
      </c>
      <c r="H2521" s="13" t="str">
        <f ca="1">IFERROR(__xludf.DUMMYFUNCTION("""COMPUTED_VALUE"""),"他在科学领域取得了了不起的成就。")</f>
        <v>他在科学领域取得了了不起的成就。</v>
      </c>
      <c r="I2521" s="13"/>
      <c r="J2521" s="13" t="str">
        <f ca="1">IFERROR(__xludf.DUMMYFUNCTION("""COMPUTED_VALUE"""),"Anh ấy đạt được thành tựu vĩ đại trong lĩnh vực khoa học.")</f>
        <v>Anh ấy đạt được thành tựu vĩ đại trong lĩnh vực khoa học.</v>
      </c>
      <c r="K2521" s="13" t="str">
        <f ca="1">IFERROR(__xludf.DUMMYFUNCTION("""COMPUTED_VALUE"""),"H5_B31_BG21-8.png")</f>
        <v>H5_B31_BG21-8.png</v>
      </c>
      <c r="L2521" s="13" t="str">
        <f ca="1">IFERROR(__xludf.DUMMYFUNCTION("""COMPUTED_VALUE"""),"B31_21.mp3")</f>
        <v>B31_21.mp3</v>
      </c>
      <c r="M2521" s="13" t="str">
        <f ca="1">IFERROR(__xludf.DUMMYFUNCTION("""COMPUTED_VALUE"""),"B31_VD_21.mp3")</f>
        <v>B31_VD_21.mp3</v>
      </c>
    </row>
    <row r="2522" spans="1:13">
      <c r="A2522" s="13">
        <f ca="1">IFERROR(__xludf.DUMMYFUNCTION("""COMPUTED_VALUE"""),22)</f>
        <v>22</v>
      </c>
      <c r="B2522" s="13"/>
      <c r="C2522" s="13" t="str">
        <f ca="1">IFERROR(__xludf.DUMMYFUNCTION("""COMPUTED_VALUE"""),"看不起")</f>
        <v>看不起</v>
      </c>
      <c r="D2522" s="13" t="str">
        <f ca="1">IFERROR(__xludf.DUMMYFUNCTION("""COMPUTED_VALUE"""),"&lt;ruby&gt;看不起&lt;rt&gt;kànbuqǐ&lt;/rt&gt;&lt;/ruby&gt;")</f>
        <v>&lt;ruby&gt;看不起&lt;rt&gt;kànbuqǐ&lt;/rt&gt;&lt;/ruby&gt;</v>
      </c>
      <c r="E2522" s="13" t="str">
        <f ca="1">IFERROR(__xludf.DUMMYFUNCTION("""COMPUTED_VALUE"""),"kànbuqǐ")</f>
        <v>kànbuqǐ</v>
      </c>
      <c r="F2522" s="13" t="str">
        <f ca="1">IFERROR(__xludf.DUMMYFUNCTION("""COMPUTED_VALUE"""),"Động từ")</f>
        <v>Động từ</v>
      </c>
      <c r="G2522" s="13" t="str">
        <f ca="1">IFERROR(__xludf.DUMMYFUNCTION("""COMPUTED_VALUE"""),"khinh thường, xem thường")</f>
        <v>khinh thường, xem thường</v>
      </c>
      <c r="H2522" s="13" t="str">
        <f ca="1">IFERROR(__xludf.DUMMYFUNCTION("""COMPUTED_VALUE"""),"不要看不起任何人，每个人都有自己的价值。")</f>
        <v>不要看不起任何人，每个人都有自己的价值。</v>
      </c>
      <c r="I2522" s="13"/>
      <c r="J2522" s="13" t="str">
        <f ca="1">IFERROR(__xludf.DUMMYFUNCTION("""COMPUTED_VALUE"""),"Đừng khinh thường ai cả, ai cũng có giá trị riêng.")</f>
        <v>Đừng khinh thường ai cả, ai cũng có giá trị riêng.</v>
      </c>
      <c r="K2522" s="13" t="str">
        <f ca="1">IFERROR(__xludf.DUMMYFUNCTION("""COMPUTED_VALUE"""),"H5_B31_BG22-8.png")</f>
        <v>H5_B31_BG22-8.png</v>
      </c>
      <c r="L2522" s="13" t="str">
        <f ca="1">IFERROR(__xludf.DUMMYFUNCTION("""COMPUTED_VALUE"""),"B31_22.mp3")</f>
        <v>B31_22.mp3</v>
      </c>
      <c r="M2522" s="13" t="str">
        <f ca="1">IFERROR(__xludf.DUMMYFUNCTION("""COMPUTED_VALUE"""),"B31_VD_22.mp3")</f>
        <v>B31_VD_22.mp3</v>
      </c>
    </row>
    <row r="2523" spans="1:13">
      <c r="A2523" s="13">
        <f ca="1">IFERROR(__xludf.DUMMYFUNCTION("""COMPUTED_VALUE"""),23)</f>
        <v>23</v>
      </c>
      <c r="B2523" s="13"/>
      <c r="C2523" s="13" t="str">
        <f ca="1">IFERROR(__xludf.DUMMYFUNCTION("""COMPUTED_VALUE"""),"圆")</f>
        <v>圆</v>
      </c>
      <c r="D2523" s="13" t="str">
        <f ca="1">IFERROR(__xludf.DUMMYFUNCTION("""COMPUTED_VALUE"""),"&lt;ruby&gt;圆&lt;rt&gt;yuán&lt;/rt&gt;&lt;/ruby&gt;")</f>
        <v>&lt;ruby&gt;圆&lt;rt&gt;yuán&lt;/rt&gt;&lt;/ruby&gt;</v>
      </c>
      <c r="E2523" s="13" t="str">
        <f ca="1">IFERROR(__xludf.DUMMYFUNCTION("""COMPUTED_VALUE"""),"yuán")</f>
        <v>yuán</v>
      </c>
      <c r="F2523" s="13" t="str">
        <f ca="1">IFERROR(__xludf.DUMMYFUNCTION("""COMPUTED_VALUE"""),"Tính từ")</f>
        <v>Tính từ</v>
      </c>
      <c r="G2523" s="13" t="str">
        <f ca="1">IFERROR(__xludf.DUMMYFUNCTION("""COMPUTED_VALUE"""),"tròn")</f>
        <v>tròn</v>
      </c>
      <c r="H2523" s="13" t="str">
        <f ca="1">IFERROR(__xludf.DUMMYFUNCTION("""COMPUTED_VALUE"""),"这张桌子是圆的。")</f>
        <v>这张桌子是圆的。</v>
      </c>
      <c r="I2523" s="13"/>
      <c r="J2523" s="13" t="str">
        <f ca="1">IFERROR(__xludf.DUMMYFUNCTION("""COMPUTED_VALUE"""),"Chiếc bàn này có hình tròn.")</f>
        <v>Chiếc bàn này có hình tròn.</v>
      </c>
      <c r="K2523" s="13" t="str">
        <f ca="1">IFERROR(__xludf.DUMMYFUNCTION("""COMPUTED_VALUE"""),"H5_B31_BG23-8.png")</f>
        <v>H5_B31_BG23-8.png</v>
      </c>
      <c r="L2523" s="13" t="str">
        <f ca="1">IFERROR(__xludf.DUMMYFUNCTION("""COMPUTED_VALUE"""),"B31_23.mp3")</f>
        <v>B31_23.mp3</v>
      </c>
      <c r="M2523" s="13" t="str">
        <f ca="1">IFERROR(__xludf.DUMMYFUNCTION("""COMPUTED_VALUE"""),"B31_VD_23.mp3")</f>
        <v>B31_VD_23.mp3</v>
      </c>
    </row>
    <row r="2524" spans="1:13">
      <c r="A2524" s="13">
        <f ca="1">IFERROR(__xludf.DUMMYFUNCTION("""COMPUTED_VALUE"""),24)</f>
        <v>24</v>
      </c>
      <c r="B2524" s="13"/>
      <c r="C2524" s="13" t="str">
        <f ca="1">IFERROR(__xludf.DUMMYFUNCTION("""COMPUTED_VALUE"""),"恋爱")</f>
        <v>恋爱</v>
      </c>
      <c r="D2524" s="13" t="str">
        <f ca="1">IFERROR(__xludf.DUMMYFUNCTION("""COMPUTED_VALUE"""),"&lt;ruby&gt;恋爱&lt;rt&gt;liàn'ài&lt;/rt&gt;&lt;/ruby&gt;")</f>
        <v>&lt;ruby&gt;恋爱&lt;rt&gt;liàn'ài&lt;/rt&gt;&lt;/ruby&gt;</v>
      </c>
      <c r="E2524" s="13" t="str">
        <f ca="1">IFERROR(__xludf.DUMMYFUNCTION("""COMPUTED_VALUE"""),"liàn'ài")</f>
        <v>liàn'ài</v>
      </c>
      <c r="F2524" s="13" t="str">
        <f ca="1">IFERROR(__xludf.DUMMYFUNCTION("""COMPUTED_VALUE"""),"Danh từ")</f>
        <v>Danh từ</v>
      </c>
      <c r="G2524" s="13" t="str">
        <f ca="1">IFERROR(__xludf.DUMMYFUNCTION("""COMPUTED_VALUE"""),"tình yêu")</f>
        <v>tình yêu</v>
      </c>
      <c r="H2524" s="13" t="str">
        <f ca="1">IFERROR(__xludf.DUMMYFUNCTION("""COMPUTED_VALUE""")," 他们正在甜蜜地恋爱。")</f>
        <v xml:space="preserve"> 他们正在甜蜜地恋爱。</v>
      </c>
      <c r="I2524" s="13"/>
      <c r="J2524" s="13" t="str">
        <f ca="1">IFERROR(__xludf.DUMMYFUNCTION("""COMPUTED_VALUE"""),"Họ đang yêu nhau ngọt ngào.")</f>
        <v>Họ đang yêu nhau ngọt ngào.</v>
      </c>
      <c r="K2524" s="13" t="str">
        <f ca="1">IFERROR(__xludf.DUMMYFUNCTION("""COMPUTED_VALUE"""),"H5_B31_BG24-8.png")</f>
        <v>H5_B31_BG24-8.png</v>
      </c>
      <c r="L2524" s="13" t="str">
        <f ca="1">IFERROR(__xludf.DUMMYFUNCTION("""COMPUTED_VALUE"""),"B31_24.mp3")</f>
        <v>B31_24.mp3</v>
      </c>
      <c r="M2524" s="13" t="str">
        <f ca="1">IFERROR(__xludf.DUMMYFUNCTION("""COMPUTED_VALUE"""),"B31_VD_24.mp3")</f>
        <v>B31_VD_24.mp3</v>
      </c>
    </row>
    <row r="2525" spans="1:13">
      <c r="A2525" s="13">
        <f ca="1">IFERROR(__xludf.DUMMYFUNCTION("""COMPUTED_VALUE"""),25)</f>
        <v>25</v>
      </c>
      <c r="B2525" s="13"/>
      <c r="C2525" s="13" t="str">
        <f ca="1">IFERROR(__xludf.DUMMYFUNCTION("""COMPUTED_VALUE"""),"八成（儿）")</f>
        <v>八成（儿）</v>
      </c>
      <c r="D2525" s="13" t="str">
        <f ca="1">IFERROR(__xludf.DUMMYFUNCTION("""COMPUTED_VALUE"""),"&lt;ruby&gt;八成（儿）&lt;rt&gt;bāchéng (r)&lt;/rt&gt;&lt;/ruby&gt;")</f>
        <v>&lt;ruby&gt;八成（儿）&lt;rt&gt;bāchéng (r)&lt;/rt&gt;&lt;/ruby&gt;</v>
      </c>
      <c r="E2525" s="13" t="str">
        <f ca="1">IFERROR(__xludf.DUMMYFUNCTION("""COMPUTED_VALUE"""),"bāchéng (r)")</f>
        <v>bāchéng (r)</v>
      </c>
      <c r="F2525" s="13" t="str">
        <f ca="1">IFERROR(__xludf.DUMMYFUNCTION("""COMPUTED_VALUE"""),"Phó từ")</f>
        <v>Phó từ</v>
      </c>
      <c r="G2525" s="13" t="str">
        <f ca="1">IFERROR(__xludf.DUMMYFUNCTION("""COMPUTED_VALUE"""),"hầu như, chắc chắn")</f>
        <v>hầu như, chắc chắn</v>
      </c>
      <c r="H2525" s="13" t="str">
        <f ca="1">IFERROR(__xludf.DUMMYFUNCTION("""COMPUTED_VALUE"""),"他八成不会来了。")</f>
        <v>他八成不会来了。</v>
      </c>
      <c r="I2525" s="13"/>
      <c r="J2525" s="13" t="str">
        <f ca="1">IFERROR(__xludf.DUMMYFUNCTION("""COMPUTED_VALUE"""),"Chắc là anh ấy sẽ không đến.")</f>
        <v>Chắc là anh ấy sẽ không đến.</v>
      </c>
      <c r="K2525" s="13" t="str">
        <f ca="1">IFERROR(__xludf.DUMMYFUNCTION("""COMPUTED_VALUE"""),"H5_B31_BG25-8.png")</f>
        <v>H5_B31_BG25-8.png</v>
      </c>
      <c r="L2525" s="13" t="str">
        <f ca="1">IFERROR(__xludf.DUMMYFUNCTION("""COMPUTED_VALUE"""),"B31_25.mp3")</f>
        <v>B31_25.mp3</v>
      </c>
      <c r="M2525" s="13" t="str">
        <f ca="1">IFERROR(__xludf.DUMMYFUNCTION("""COMPUTED_VALUE"""),"B31_VD_25.mp3")</f>
        <v>B31_VD_25.mp3</v>
      </c>
    </row>
    <row r="2526" spans="1:13">
      <c r="A2526" s="13">
        <f ca="1">IFERROR(__xludf.DUMMYFUNCTION("""COMPUTED_VALUE"""),26)</f>
        <v>26</v>
      </c>
      <c r="B2526" s="13"/>
      <c r="C2526" s="13" t="str">
        <f ca="1">IFERROR(__xludf.DUMMYFUNCTION("""COMPUTED_VALUE"""),"模糊")</f>
        <v>模糊</v>
      </c>
      <c r="D2526" s="13" t="str">
        <f ca="1">IFERROR(__xludf.DUMMYFUNCTION("""COMPUTED_VALUE"""),"&lt;ruby&gt;模糊&lt;rt&gt;móhú&lt;/rt&gt;&lt;/ruby&gt;")</f>
        <v>&lt;ruby&gt;模糊&lt;rt&gt;móhú&lt;/rt&gt;&lt;/ruby&gt;</v>
      </c>
      <c r="E2526" s="13" t="str">
        <f ca="1">IFERROR(__xludf.DUMMYFUNCTION("""COMPUTED_VALUE"""),"móhú")</f>
        <v>móhú</v>
      </c>
      <c r="F2526" s="13" t="str">
        <f ca="1">IFERROR(__xludf.DUMMYFUNCTION("""COMPUTED_VALUE"""),"Tính từ")</f>
        <v>Tính từ</v>
      </c>
      <c r="G2526" s="13" t="str">
        <f ca="1">IFERROR(__xludf.DUMMYFUNCTION("""COMPUTED_VALUE"""),"mơ hồ, mập mờ")</f>
        <v>mơ hồ, mập mờ</v>
      </c>
      <c r="H2526" s="13" t="str">
        <f ca="1">IFERROR(__xludf.DUMMYFUNCTION("""COMPUTED_VALUE"""),"这张照片太模糊了，看不清楚。")</f>
        <v>这张照片太模糊了，看不清楚。</v>
      </c>
      <c r="I2526" s="13"/>
      <c r="J2526" s="13" t="str">
        <f ca="1">IFERROR(__xludf.DUMMYFUNCTION("""COMPUTED_VALUE"""),"Bức ảnh này quá mờ, không nhìn rõ được.")</f>
        <v>Bức ảnh này quá mờ, không nhìn rõ được.</v>
      </c>
      <c r="K2526" s="13" t="str">
        <f ca="1">IFERROR(__xludf.DUMMYFUNCTION("""COMPUTED_VALUE"""),"H5_B31_BG26-8.png")</f>
        <v>H5_B31_BG26-8.png</v>
      </c>
      <c r="L2526" s="13" t="str">
        <f ca="1">IFERROR(__xludf.DUMMYFUNCTION("""COMPUTED_VALUE"""),"B31_26.mp3")</f>
        <v>B31_26.mp3</v>
      </c>
      <c r="M2526" s="13" t="str">
        <f ca="1">IFERROR(__xludf.DUMMYFUNCTION("""COMPUTED_VALUE"""),"B31_VD_26.mp3")</f>
        <v>B31_VD_26.mp3</v>
      </c>
    </row>
    <row r="2527" spans="1:13">
      <c r="A2527" s="13">
        <f ca="1">IFERROR(__xludf.DUMMYFUNCTION("""COMPUTED_VALUE"""),27)</f>
        <v>27</v>
      </c>
      <c r="B2527" s="13"/>
      <c r="C2527" s="13" t="str">
        <f ca="1">IFERROR(__xludf.DUMMYFUNCTION("""COMPUTED_VALUE"""),"身段")</f>
        <v>身段</v>
      </c>
      <c r="D2527" s="13" t="str">
        <f ca="1">IFERROR(__xludf.DUMMYFUNCTION("""COMPUTED_VALUE"""),"&lt;ruby&gt;身段&lt;rt&gt;shēnduàn&lt;/rt&gt;&lt;/ruby&gt;")</f>
        <v>&lt;ruby&gt;身段&lt;rt&gt;shēnduàn&lt;/rt&gt;&lt;/ruby&gt;</v>
      </c>
      <c r="E2527" s="13" t="str">
        <f ca="1">IFERROR(__xludf.DUMMYFUNCTION("""COMPUTED_VALUE"""),"shēnduàn")</f>
        <v>shēnduàn</v>
      </c>
      <c r="F2527" s="13" t="str">
        <f ca="1">IFERROR(__xludf.DUMMYFUNCTION("""COMPUTED_VALUE"""),"Danh từ")</f>
        <v>Danh từ</v>
      </c>
      <c r="G2527" s="13" t="str">
        <f ca="1">IFERROR(__xludf.DUMMYFUNCTION("""COMPUTED_VALUE"""),"dáng vẻ, thái độ")</f>
        <v>dáng vẻ, thái độ</v>
      </c>
      <c r="H2527" s="13" t="str">
        <f ca="1">IFERROR(__xludf.DUMMYFUNCTION("""COMPUTED_VALUE"""),"她跳舞时身段优美。")</f>
        <v>她跳舞时身段优美。</v>
      </c>
      <c r="I2527" s="13"/>
      <c r="J2527" s="13" t="str">
        <f ca="1">IFERROR(__xludf.DUMMYFUNCTION("""COMPUTED_VALUE"""),"Khi nhảy múa, cô ấy có dáng vẻ rất uyển chuyển.")</f>
        <v>Khi nhảy múa, cô ấy có dáng vẻ rất uyển chuyển.</v>
      </c>
      <c r="K2527" s="13" t="str">
        <f ca="1">IFERROR(__xludf.DUMMYFUNCTION("""COMPUTED_VALUE"""),"H5_B31_BG27-8.png")</f>
        <v>H5_B31_BG27-8.png</v>
      </c>
      <c r="L2527" s="13" t="str">
        <f ca="1">IFERROR(__xludf.DUMMYFUNCTION("""COMPUTED_VALUE"""),"B31_27.mp3")</f>
        <v>B31_27.mp3</v>
      </c>
      <c r="M2527" s="13" t="str">
        <f ca="1">IFERROR(__xludf.DUMMYFUNCTION("""COMPUTED_VALUE"""),"B31_VD_27.mp3")</f>
        <v>B31_VD_27.mp3</v>
      </c>
    </row>
    <row r="2528" spans="1:13">
      <c r="A2528" s="13">
        <f ca="1">IFERROR(__xludf.DUMMYFUNCTION("""COMPUTED_VALUE"""),28)</f>
        <v>28</v>
      </c>
      <c r="B2528" s="13"/>
      <c r="C2528" s="13" t="str">
        <f ca="1">IFERROR(__xludf.DUMMYFUNCTION("""COMPUTED_VALUE"""),"缩短")</f>
        <v>缩短</v>
      </c>
      <c r="D2528" s="13" t="str">
        <f ca="1">IFERROR(__xludf.DUMMYFUNCTION("""COMPUTED_VALUE"""),"&lt;ruby&gt;缩短&lt;rt&gt;suōduǎn&lt;/rt&gt;&lt;/ruby&gt;")</f>
        <v>&lt;ruby&gt;缩短&lt;rt&gt;suōduǎn&lt;/rt&gt;&lt;/ruby&gt;</v>
      </c>
      <c r="E2528" s="13" t="str">
        <f ca="1">IFERROR(__xludf.DUMMYFUNCTION("""COMPUTED_VALUE"""),"suōduǎn")</f>
        <v>suōduǎn</v>
      </c>
      <c r="F2528" s="13" t="str">
        <f ca="1">IFERROR(__xludf.DUMMYFUNCTION("""COMPUTED_VALUE"""),"Động từ")</f>
        <v>Động từ</v>
      </c>
      <c r="G2528" s="13" t="str">
        <f ca="1">IFERROR(__xludf.DUMMYFUNCTION("""COMPUTED_VALUE"""),"rút ngắn")</f>
        <v>rút ngắn</v>
      </c>
      <c r="H2528" s="13" t="str">
        <f ca="1">IFERROR(__xludf.DUMMYFUNCTION("""COMPUTED_VALUE"""),"这条新建的高速公路大大缩短了我们的行程时间。")</f>
        <v>这条新建的高速公路大大缩短了我们的行程时间。</v>
      </c>
      <c r="I2528" s="13"/>
      <c r="J2528" s="13" t="str">
        <f ca="1">IFERROR(__xludf.DUMMYFUNCTION("""COMPUTED_VALUE"""),"Tuyến đường cao tốc mới này đã rút ngắn đáng kể thời gian hành trình của chúng tôi.")</f>
        <v>Tuyến đường cao tốc mới này đã rút ngắn đáng kể thời gian hành trình của chúng tôi.</v>
      </c>
      <c r="K2528" s="13" t="str">
        <f ca="1">IFERROR(__xludf.DUMMYFUNCTION("""COMPUTED_VALUE"""),"H5_B31_BG28-8.png")</f>
        <v>H5_B31_BG28-8.png</v>
      </c>
      <c r="L2528" s="13" t="str">
        <f ca="1">IFERROR(__xludf.DUMMYFUNCTION("""COMPUTED_VALUE"""),"B31_28.mp3")</f>
        <v>B31_28.mp3</v>
      </c>
      <c r="M2528" s="13" t="str">
        <f ca="1">IFERROR(__xludf.DUMMYFUNCTION("""COMPUTED_VALUE"""),"B31_VD_28.mp3")</f>
        <v>B31_VD_28.mp3</v>
      </c>
    </row>
    <row r="2529" spans="1:13">
      <c r="A2529" s="13">
        <f ca="1">IFERROR(__xludf.DUMMYFUNCTION("""COMPUTED_VALUE"""),29)</f>
        <v>29</v>
      </c>
      <c r="B2529" s="13"/>
      <c r="C2529" s="13" t="str">
        <f ca="1">IFERROR(__xludf.DUMMYFUNCTION("""COMPUTED_VALUE"""),"实践")</f>
        <v>实践</v>
      </c>
      <c r="D2529" s="13" t="str">
        <f ca="1">IFERROR(__xludf.DUMMYFUNCTION("""COMPUTED_VALUE"""),"&lt;ruby&gt;实践&lt;rt&gt;shíjiàn&lt;/rt&gt;&lt;/ruby&gt;")</f>
        <v>&lt;ruby&gt;实践&lt;rt&gt;shíjiàn&lt;/rt&gt;&lt;/ruby&gt;</v>
      </c>
      <c r="E2529" s="13" t="str">
        <f ca="1">IFERROR(__xludf.DUMMYFUNCTION("""COMPUTED_VALUE"""),"shíjiàn")</f>
        <v>shíjiàn</v>
      </c>
      <c r="F2529" s="13" t="str">
        <f ca="1">IFERROR(__xludf.DUMMYFUNCTION("""COMPUTED_VALUE"""),"Danh từ/Động từ")</f>
        <v>Danh từ/Động từ</v>
      </c>
      <c r="G2529" s="13" t="str">
        <f ca="1">IFERROR(__xludf.DUMMYFUNCTION("""COMPUTED_VALUE"""),"thực tiễn; thực hành")</f>
        <v>thực tiễn; thực hành</v>
      </c>
      <c r="H2529" s="13" t="str">
        <f ca="1">IFERROR(__xludf.DUMMYFUNCTION("""COMPUTED_VALUE"""),"理论要与实践相结合。")</f>
        <v>理论要与实践相结合。</v>
      </c>
      <c r="I2529" s="13"/>
      <c r="J2529" s="13" t="str">
        <f ca="1">IFERROR(__xludf.DUMMYFUNCTION("""COMPUTED_VALUE"""),"Lý thuyết phải kết hợp với thực tiễn.")</f>
        <v>Lý thuyết phải kết hợp với thực tiễn.</v>
      </c>
      <c r="K2529" s="13" t="str">
        <f ca="1">IFERROR(__xludf.DUMMYFUNCTION("""COMPUTED_VALUE"""),"H5_B31_BG29-8.png")</f>
        <v>H5_B31_BG29-8.png</v>
      </c>
      <c r="L2529" s="13" t="str">
        <f ca="1">IFERROR(__xludf.DUMMYFUNCTION("""COMPUTED_VALUE"""),"B31_29.mp3")</f>
        <v>B31_29.mp3</v>
      </c>
      <c r="M2529" s="13" t="str">
        <f ca="1">IFERROR(__xludf.DUMMYFUNCTION("""COMPUTED_VALUE"""),"B31_VD_29.mp3")</f>
        <v>B31_VD_29.mp3</v>
      </c>
    </row>
    <row r="2530" spans="1:13">
      <c r="A2530" s="13">
        <f ca="1">IFERROR(__xludf.DUMMYFUNCTION("""COMPUTED_VALUE"""),1)</f>
        <v>1</v>
      </c>
      <c r="B2530" s="13"/>
      <c r="C2530" s="13" t="str">
        <f ca="1">IFERROR(__xludf.DUMMYFUNCTION("""COMPUTED_VALUE"""),"消失")</f>
        <v>消失</v>
      </c>
      <c r="D2530" s="13" t="str">
        <f ca="1">IFERROR(__xludf.DUMMYFUNCTION("""COMPUTED_VALUE"""),"&lt;ruby&gt;消失&lt;rt&gt;xiāoshī&lt;/rt&gt;&lt;/ruby&gt;")</f>
        <v>&lt;ruby&gt;消失&lt;rt&gt;xiāoshī&lt;/rt&gt;&lt;/ruby&gt;</v>
      </c>
      <c r="E2530" s="13" t="str">
        <f ca="1">IFERROR(__xludf.DUMMYFUNCTION("""COMPUTED_VALUE"""),"xiāoshī")</f>
        <v>xiāoshī</v>
      </c>
      <c r="F2530" s="13" t="str">
        <f ca="1">IFERROR(__xludf.DUMMYFUNCTION("""COMPUTED_VALUE"""),"Động từ")</f>
        <v>Động từ</v>
      </c>
      <c r="G2530" s="13" t="str">
        <f ca="1">IFERROR(__xludf.DUMMYFUNCTION("""COMPUTED_VALUE"""),"biến mất")</f>
        <v>biến mất</v>
      </c>
      <c r="H2530" s="13" t="str">
        <f ca="1">IFERROR(__xludf.DUMMYFUNCTION("""COMPUTED_VALUE"""),"夜空中的星星消失在云层里了。")</f>
        <v>夜空中的星星消失在云层里了。</v>
      </c>
      <c r="I2530" s="13"/>
      <c r="J2530" s="13" t="str">
        <f ca="1">IFERROR(__xludf.DUMMYFUNCTION("""COMPUTED_VALUE"""),"Những vì sao trên bầu trời đêm đã biến mất trong đám mây.")</f>
        <v>Những vì sao trên bầu trời đêm đã biến mất trong đám mây.</v>
      </c>
      <c r="K2530" s="13" t="str">
        <f ca="1">IFERROR(__xludf.DUMMYFUNCTION("""COMPUTED_VALUE"""),"H5_B32_BG-01.png")</f>
        <v>H5_B32_BG-01.png</v>
      </c>
      <c r="L2530" s="13" t="str">
        <f ca="1">IFERROR(__xludf.DUMMYFUNCTION("""COMPUTED_VALUE"""),"B32_1.mp3")</f>
        <v>B32_1.mp3</v>
      </c>
      <c r="M2530" s="13" t="str">
        <f ca="1">IFERROR(__xludf.DUMMYFUNCTION("""COMPUTED_VALUE"""),"B32_VD_1.mp3")</f>
        <v>B32_VD_1.mp3</v>
      </c>
    </row>
    <row r="2531" spans="1:13">
      <c r="A2531" s="13">
        <f ca="1">IFERROR(__xludf.DUMMYFUNCTION("""COMPUTED_VALUE"""),2)</f>
        <v>2</v>
      </c>
      <c r="B2531" s="13"/>
      <c r="C2531" s="13" t="str">
        <f ca="1">IFERROR(__xludf.DUMMYFUNCTION("""COMPUTED_VALUE"""),"洪水")</f>
        <v>洪水</v>
      </c>
      <c r="D2531" s="13" t="str">
        <f ca="1">IFERROR(__xludf.DUMMYFUNCTION("""COMPUTED_VALUE"""),"&lt;ruby&gt;洪水&lt;rt&gt;hóngshuǐ&lt;/rt&gt;&lt;/ruby&gt;")</f>
        <v>&lt;ruby&gt;洪水&lt;rt&gt;hóngshuǐ&lt;/rt&gt;&lt;/ruby&gt;</v>
      </c>
      <c r="E2531" s="13" t="str">
        <f ca="1">IFERROR(__xludf.DUMMYFUNCTION("""COMPUTED_VALUE"""),"hóngshuǐ")</f>
        <v>hóngshuǐ</v>
      </c>
      <c r="F2531" s="13" t="str">
        <f ca="1">IFERROR(__xludf.DUMMYFUNCTION("""COMPUTED_VALUE"""),"Danh từ")</f>
        <v>Danh từ</v>
      </c>
      <c r="G2531" s="13" t="str">
        <f ca="1">IFERROR(__xludf.DUMMYFUNCTION("""COMPUTED_VALUE"""),"nước lũ")</f>
        <v>nước lũ</v>
      </c>
      <c r="H2531" s="13" t="str">
        <f ca="1">IFERROR(__xludf.DUMMYFUNCTION("""COMPUTED_VALUE"""),"由于持续大雨，这座城市发生了严重的洪水。")</f>
        <v>由于持续大雨，这座城市发生了严重的洪水。</v>
      </c>
      <c r="I2531" s="13"/>
      <c r="J2531" s="13" t="str">
        <f ca="1">IFERROR(__xludf.DUMMYFUNCTION("""COMPUTED_VALUE"""),"Do mưa lớn liên tục, thành phố đã xảy ra lũ lụt nghiêm trọng.")</f>
        <v>Do mưa lớn liên tục, thành phố đã xảy ra lũ lụt nghiêm trọng.</v>
      </c>
      <c r="K2531" s="13" t="str">
        <f ca="1">IFERROR(__xludf.DUMMYFUNCTION("""COMPUTED_VALUE"""),"H5_B32_BG-02.png")</f>
        <v>H5_B32_BG-02.png</v>
      </c>
      <c r="L2531" s="13" t="str">
        <f ca="1">IFERROR(__xludf.DUMMYFUNCTION("""COMPUTED_VALUE"""),"B32_2.mp3")</f>
        <v>B32_2.mp3</v>
      </c>
      <c r="M2531" s="13" t="str">
        <f ca="1">IFERROR(__xludf.DUMMYFUNCTION("""COMPUTED_VALUE"""),"B32_VD_2.mp3")</f>
        <v>B32_VD_2.mp3</v>
      </c>
    </row>
    <row r="2532" spans="1:13">
      <c r="A2532" s="13">
        <f ca="1">IFERROR(__xludf.DUMMYFUNCTION("""COMPUTED_VALUE"""),3)</f>
        <v>3</v>
      </c>
      <c r="B2532" s="13"/>
      <c r="C2532" s="13" t="str">
        <f ca="1">IFERROR(__xludf.DUMMYFUNCTION("""COMPUTED_VALUE"""),"地震")</f>
        <v>地震</v>
      </c>
      <c r="D2532" s="13" t="str">
        <f ca="1">IFERROR(__xludf.DUMMYFUNCTION("""COMPUTED_VALUE"""),"&lt;ruby&gt;地震&lt;rt&gt;dìzhèn&lt;/rt&gt;&lt;/ruby&gt;")</f>
        <v>&lt;ruby&gt;地震&lt;rt&gt;dìzhèn&lt;/rt&gt;&lt;/ruby&gt;</v>
      </c>
      <c r="E2532" s="13" t="str">
        <f ca="1">IFERROR(__xludf.DUMMYFUNCTION("""COMPUTED_VALUE"""),"dìzhèn")</f>
        <v>dìzhèn</v>
      </c>
      <c r="F2532" s="13" t="str">
        <f ca="1">IFERROR(__xludf.DUMMYFUNCTION("""COMPUTED_VALUE"""),"Danh từ")</f>
        <v>Danh từ</v>
      </c>
      <c r="G2532" s="13" t="str">
        <f ca="1">IFERROR(__xludf.DUMMYFUNCTION("""COMPUTED_VALUE"""),"động đất")</f>
        <v>động đất</v>
      </c>
      <c r="H2532" s="13" t="str">
        <f ca="1">IFERROR(__xludf.DUMMYFUNCTION("""COMPUTED_VALUE"""),"这次地震在整个城市造成了严重的倒塌。")</f>
        <v>这次地震在整个城市造成了严重的倒塌。</v>
      </c>
      <c r="I2532" s="13"/>
      <c r="J2532" s="13" t="str">
        <f ca="1">IFERROR(__xludf.DUMMYFUNCTION("""COMPUTED_VALUE"""),"Cơn động đất lần này đã gây ra sự sập đổ nghiêm trọng trên toàn thành phố.")</f>
        <v>Cơn động đất lần này đã gây ra sự sập đổ nghiêm trọng trên toàn thành phố.</v>
      </c>
      <c r="K2532" s="13" t="str">
        <f ca="1">IFERROR(__xludf.DUMMYFUNCTION("""COMPUTED_VALUE"""),"H5_B32_BG-03.png")</f>
        <v>H5_B32_BG-03.png</v>
      </c>
      <c r="L2532" s="13" t="str">
        <f ca="1">IFERROR(__xludf.DUMMYFUNCTION("""COMPUTED_VALUE"""),"B32_3.mp3")</f>
        <v>B32_3.mp3</v>
      </c>
      <c r="M2532" s="13" t="str">
        <f ca="1">IFERROR(__xludf.DUMMYFUNCTION("""COMPUTED_VALUE"""),"B32_VD_3.mp3")</f>
        <v>B32_VD_3.mp3</v>
      </c>
    </row>
    <row r="2533" spans="1:13">
      <c r="A2533" s="13">
        <f ca="1">IFERROR(__xludf.DUMMYFUNCTION("""COMPUTED_VALUE"""),4)</f>
        <v>4</v>
      </c>
      <c r="B2533" s="13"/>
      <c r="C2533" s="13" t="str">
        <f ca="1">IFERROR(__xludf.DUMMYFUNCTION("""COMPUTED_VALUE"""),"破坏")</f>
        <v>破坏</v>
      </c>
      <c r="D2533" s="13" t="str">
        <f ca="1">IFERROR(__xludf.DUMMYFUNCTION("""COMPUTED_VALUE"""),"&lt;ruby&gt;破坏&lt;rt&gt;pòhuài&lt;/rt&gt;&lt;/ruby&gt;")</f>
        <v>&lt;ruby&gt;破坏&lt;rt&gt;pòhuài&lt;/rt&gt;&lt;/ruby&gt;</v>
      </c>
      <c r="E2533" s="13" t="str">
        <f ca="1">IFERROR(__xludf.DUMMYFUNCTION("""COMPUTED_VALUE"""),"pòhuài")</f>
        <v>pòhuài</v>
      </c>
      <c r="F2533" s="13" t="str">
        <f ca="1">IFERROR(__xludf.DUMMYFUNCTION("""COMPUTED_VALUE"""),"Động từ")</f>
        <v>Động từ</v>
      </c>
      <c r="G2533" s="13" t="str">
        <f ca="1">IFERROR(__xludf.DUMMYFUNCTION("""COMPUTED_VALUE"""),"phá hủy, tàn phá")</f>
        <v>phá hủy, tàn phá</v>
      </c>
      <c r="H2533" s="13" t="str">
        <f ca="1">IFERROR(__xludf.DUMMYFUNCTION("""COMPUTED_VALUE"""),"非法捕猎正在破坏野生动物的生存环境。")</f>
        <v>非法捕猎正在破坏野生动物的生存环境。</v>
      </c>
      <c r="I2533" s="13"/>
      <c r="J2533" s="13" t="str">
        <f ca="1">IFERROR(__xludf.DUMMYFUNCTION("""COMPUTED_VALUE"""),"Việc săn bắn trái phép đang tàn phá môi trường sống của động vật hoang dã.")</f>
        <v>Việc săn bắn trái phép đang tàn phá môi trường sống của động vật hoang dã.</v>
      </c>
      <c r="K2533" s="13" t="str">
        <f ca="1">IFERROR(__xludf.DUMMYFUNCTION("""COMPUTED_VALUE"""),"H5_B32_BG-04.png")</f>
        <v>H5_B32_BG-04.png</v>
      </c>
      <c r="L2533" s="13" t="str">
        <f ca="1">IFERROR(__xludf.DUMMYFUNCTION("""COMPUTED_VALUE"""),"B32_4.mp3")</f>
        <v>B32_4.mp3</v>
      </c>
      <c r="M2533" s="13" t="str">
        <f ca="1">IFERROR(__xludf.DUMMYFUNCTION("""COMPUTED_VALUE"""),"B32_VD_4.mp3")</f>
        <v>B32_VD_4.mp3</v>
      </c>
    </row>
    <row r="2534" spans="1:13">
      <c r="A2534" s="13">
        <f ca="1">IFERROR(__xludf.DUMMYFUNCTION("""COMPUTED_VALUE"""),5)</f>
        <v>5</v>
      </c>
      <c r="B2534" s="13"/>
      <c r="C2534" s="13" t="str">
        <f ca="1">IFERROR(__xludf.DUMMYFUNCTION("""COMPUTED_VALUE"""),"砍")</f>
        <v>砍</v>
      </c>
      <c r="D2534" s="13" t="str">
        <f ca="1">IFERROR(__xludf.DUMMYFUNCTION("""COMPUTED_VALUE"""),"&lt;ruby&gt;砍&lt;rt&gt;kǎn&lt;/rt&gt;&lt;/ruby&gt;")</f>
        <v>&lt;ruby&gt;砍&lt;rt&gt;kǎn&lt;/rt&gt;&lt;/ruby&gt;</v>
      </c>
      <c r="E2534" s="13" t="str">
        <f ca="1">IFERROR(__xludf.DUMMYFUNCTION("""COMPUTED_VALUE"""),"kǎn")</f>
        <v>kǎn</v>
      </c>
      <c r="F2534" s="13" t="str">
        <f ca="1">IFERROR(__xludf.DUMMYFUNCTION("""COMPUTED_VALUE"""),"Động từ")</f>
        <v>Động từ</v>
      </c>
      <c r="G2534" s="13" t="str">
        <f ca="1">IFERROR(__xludf.DUMMYFUNCTION("""COMPUTED_VALUE"""),"chặt, chẻ, bổ")</f>
        <v>chặt, chẻ, bổ</v>
      </c>
      <c r="H2534" s="13" t="str">
        <f ca="1">IFERROR(__xludf.DUMMYFUNCTION("""COMPUTED_VALUE""")," 他用斧头砍了几大块木头。")</f>
        <v xml:space="preserve"> 他用斧头砍了几大块木头。</v>
      </c>
      <c r="I2534" s="13"/>
      <c r="J2534" s="13" t="str">
        <f ca="1">IFERROR(__xludf.DUMMYFUNCTION("""COMPUTED_VALUE"""),"Anh ấy dùng rìu bổ mấy khúc gỗ lớn.")</f>
        <v>Anh ấy dùng rìu bổ mấy khúc gỗ lớn.</v>
      </c>
      <c r="K2534" s="13" t="str">
        <f ca="1">IFERROR(__xludf.DUMMYFUNCTION("""COMPUTED_VALUE"""),"H5_B32_BG-05.png")</f>
        <v>H5_B32_BG-05.png</v>
      </c>
      <c r="L2534" s="13" t="str">
        <f ca="1">IFERROR(__xludf.DUMMYFUNCTION("""COMPUTED_VALUE"""),"B32_5.mp3")</f>
        <v>B32_5.mp3</v>
      </c>
      <c r="M2534" s="13" t="str">
        <f ca="1">IFERROR(__xludf.DUMMYFUNCTION("""COMPUTED_VALUE"""),"B32_VD_5.mp3")</f>
        <v>B32_VD_5.mp3</v>
      </c>
    </row>
    <row r="2535" spans="1:13">
      <c r="A2535" s="13">
        <f ca="1">IFERROR(__xludf.DUMMYFUNCTION("""COMPUTED_VALUE"""),6)</f>
        <v>6</v>
      </c>
      <c r="B2535" s="13"/>
      <c r="C2535" s="13" t="str">
        <f ca="1">IFERROR(__xludf.DUMMYFUNCTION("""COMPUTED_VALUE"""),"生存")</f>
        <v>生存</v>
      </c>
      <c r="D2535" s="13" t="str">
        <f ca="1">IFERROR(__xludf.DUMMYFUNCTION("""COMPUTED_VALUE"""),"&lt;ruby&gt;生存&lt;rt&gt;shēngcún&lt;/rt&gt;&lt;/ruby&gt;")</f>
        <v>&lt;ruby&gt;生存&lt;rt&gt;shēngcún&lt;/rt&gt;&lt;/ruby&gt;</v>
      </c>
      <c r="E2535" s="13" t="str">
        <f ca="1">IFERROR(__xludf.DUMMYFUNCTION("""COMPUTED_VALUE"""),"shēngcún")</f>
        <v>shēngcún</v>
      </c>
      <c r="F2535" s="13" t="str">
        <f ca="1">IFERROR(__xludf.DUMMYFUNCTION("""COMPUTED_VALUE"""),"Động từ")</f>
        <v>Động từ</v>
      </c>
      <c r="G2535" s="13" t="str">
        <f ca="1">IFERROR(__xludf.DUMMYFUNCTION("""COMPUTED_VALUE"""),"sinh sống, sống")</f>
        <v>sinh sống, sống</v>
      </c>
      <c r="H2535" s="13" t="str">
        <f ca="1">IFERROR(__xludf.DUMMYFUNCTION("""COMPUTED_VALUE"""),"为了生存，人每天都需要摄取足够的营养。")</f>
        <v>为了生存，人每天都需要摄取足够的营养。</v>
      </c>
      <c r="I2535" s="13"/>
      <c r="J2535" s="13" t="str">
        <f ca="1">IFERROR(__xludf.DUMMYFUNCTION("""COMPUTED_VALUE"""),"Để sinh tồn, con người cần hấp thụ đủ chất dinh dưỡng mỗi ngày.")</f>
        <v>Để sinh tồn, con người cần hấp thụ đủ chất dinh dưỡng mỗi ngày.</v>
      </c>
      <c r="K2535" s="13" t="str">
        <f ca="1">IFERROR(__xludf.DUMMYFUNCTION("""COMPUTED_VALUE"""),"H5_B32_BG-06.png")</f>
        <v>H5_B32_BG-06.png</v>
      </c>
      <c r="L2535" s="13" t="str">
        <f ca="1">IFERROR(__xludf.DUMMYFUNCTION("""COMPUTED_VALUE"""),"B32_6.mp3")</f>
        <v>B32_6.mp3</v>
      </c>
      <c r="M2535" s="13" t="str">
        <f ca="1">IFERROR(__xludf.DUMMYFUNCTION("""COMPUTED_VALUE"""),"B32_VD_6.mp3")</f>
        <v>B32_VD_6.mp3</v>
      </c>
    </row>
    <row r="2536" spans="1:13">
      <c r="A2536" s="13">
        <f ca="1">IFERROR(__xludf.DUMMYFUNCTION("""COMPUTED_VALUE"""),7)</f>
        <v>7</v>
      </c>
      <c r="B2536" s="13"/>
      <c r="C2536" s="13" t="str">
        <f ca="1">IFERROR(__xludf.DUMMYFUNCTION("""COMPUTED_VALUE"""),"沙漠")</f>
        <v>沙漠</v>
      </c>
      <c r="D2536" s="13" t="str">
        <f ca="1">IFERROR(__xludf.DUMMYFUNCTION("""COMPUTED_VALUE"""),"&lt;ruby&gt;沙漠&lt;rt&gt;shāmò&lt;/rt&gt;&lt;/ruby&gt;")</f>
        <v>&lt;ruby&gt;沙漠&lt;rt&gt;shāmò&lt;/rt&gt;&lt;/ruby&gt;</v>
      </c>
      <c r="E2536" s="13" t="str">
        <f ca="1">IFERROR(__xludf.DUMMYFUNCTION("""COMPUTED_VALUE"""),"shāmò")</f>
        <v>shāmò</v>
      </c>
      <c r="F2536" s="13" t="str">
        <f ca="1">IFERROR(__xludf.DUMMYFUNCTION("""COMPUTED_VALUE"""),"Danh từ")</f>
        <v>Danh từ</v>
      </c>
      <c r="G2536" s="13" t="str">
        <f ca="1">IFERROR(__xludf.DUMMYFUNCTION("""COMPUTED_VALUE"""),"sa mạc")</f>
        <v>sa mạc</v>
      </c>
      <c r="H2536" s="13" t="str">
        <f ca="1">IFERROR(__xludf.DUMMYFUNCTION("""COMPUTED_VALUE"""),"沙漠虽然荒凉，但也有它独特的美。")</f>
        <v>沙漠虽然荒凉，但也有它独特的美。</v>
      </c>
      <c r="I2536" s="13"/>
      <c r="J2536" s="13" t="str">
        <f ca="1">IFERROR(__xludf.DUMMYFUNCTION("""COMPUTED_VALUE"""),"Sa mạc tuy hoang vắng nhưng cũng có vẻ đẹp độc đáo của nó.")</f>
        <v>Sa mạc tuy hoang vắng nhưng cũng có vẻ đẹp độc đáo của nó.</v>
      </c>
      <c r="K2536" s="13" t="str">
        <f ca="1">IFERROR(__xludf.DUMMYFUNCTION("""COMPUTED_VALUE"""),"H5_B32_BG-07.png")</f>
        <v>H5_B32_BG-07.png</v>
      </c>
      <c r="L2536" s="13" t="str">
        <f ca="1">IFERROR(__xludf.DUMMYFUNCTION("""COMPUTED_VALUE"""),"B32_7.mp3")</f>
        <v>B32_7.mp3</v>
      </c>
      <c r="M2536" s="13" t="str">
        <f ca="1">IFERROR(__xludf.DUMMYFUNCTION("""COMPUTED_VALUE"""),"B32_VD_7.mp3")</f>
        <v>B32_VD_7.mp3</v>
      </c>
    </row>
    <row r="2537" spans="1:13">
      <c r="A2537" s="13">
        <f ca="1">IFERROR(__xludf.DUMMYFUNCTION("""COMPUTED_VALUE"""),8)</f>
        <v>8</v>
      </c>
      <c r="B2537" s="13"/>
      <c r="C2537" s="13" t="str">
        <f ca="1">IFERROR(__xludf.DUMMYFUNCTION("""COMPUTED_VALUE"""),"资源")</f>
        <v>资源</v>
      </c>
      <c r="D2537" s="13" t="str">
        <f ca="1">IFERROR(__xludf.DUMMYFUNCTION("""COMPUTED_VALUE"""),"&lt;ruby&gt;资源&lt;rt&gt;zīyuán&lt;/rt&gt;&lt;/ruby&gt;")</f>
        <v>&lt;ruby&gt;资源&lt;rt&gt;zīyuán&lt;/rt&gt;&lt;/ruby&gt;</v>
      </c>
      <c r="E2537" s="13" t="str">
        <f ca="1">IFERROR(__xludf.DUMMYFUNCTION("""COMPUTED_VALUE"""),"zīyuán")</f>
        <v>zīyuán</v>
      </c>
      <c r="F2537" s="13" t="str">
        <f ca="1">IFERROR(__xludf.DUMMYFUNCTION("""COMPUTED_VALUE"""),"Danh từ")</f>
        <v>Danh từ</v>
      </c>
      <c r="G2537" s="13" t="str">
        <f ca="1">IFERROR(__xludf.DUMMYFUNCTION("""COMPUTED_VALUE"""),"tài nguyên")</f>
        <v>tài nguyên</v>
      </c>
      <c r="H2537" s="13" t="str">
        <f ca="1">IFERROR(__xludf.DUMMYFUNCTION("""COMPUTED_VALUE"""),"森林是地球上重要的自然资源，在环境保护中起着关键作用。")</f>
        <v>森林是地球上重要的自然资源，在环境保护中起着关键作用。</v>
      </c>
      <c r="I2537" s="13"/>
      <c r="J2537" s="13" t="str">
        <f ca="1">IFERROR(__xludf.DUMMYFUNCTION("""COMPUTED_VALUE"""),"Rừng là tài nguyên thiên nhiên quan trọng trên trái đất, đóng vai trò thiết yếu trong việc bảo vệ môi trường.")</f>
        <v>Rừng là tài nguyên thiên nhiên quan trọng trên trái đất, đóng vai trò thiết yếu trong việc bảo vệ môi trường.</v>
      </c>
      <c r="K2537" s="13" t="str">
        <f ca="1">IFERROR(__xludf.DUMMYFUNCTION("""COMPUTED_VALUE"""),"H5_B32_BG-08.png")</f>
        <v>H5_B32_BG-08.png</v>
      </c>
      <c r="L2537" s="13" t="str">
        <f ca="1">IFERROR(__xludf.DUMMYFUNCTION("""COMPUTED_VALUE"""),"B32_8.mp3")</f>
        <v>B32_8.mp3</v>
      </c>
      <c r="M2537" s="13" t="str">
        <f ca="1">IFERROR(__xludf.DUMMYFUNCTION("""COMPUTED_VALUE"""),"B32_VD_8.mp3")</f>
        <v>B32_VD_8.mp3</v>
      </c>
    </row>
    <row r="2538" spans="1:13">
      <c r="A2538" s="13">
        <f ca="1">IFERROR(__xludf.DUMMYFUNCTION("""COMPUTED_VALUE"""),9)</f>
        <v>9</v>
      </c>
      <c r="B2538" s="13"/>
      <c r="C2538" s="13" t="str">
        <f ca="1">IFERROR(__xludf.DUMMYFUNCTION("""COMPUTED_VALUE"""),"车祸")</f>
        <v>车祸</v>
      </c>
      <c r="D2538" s="13" t="str">
        <f ca="1">IFERROR(__xludf.DUMMYFUNCTION("""COMPUTED_VALUE"""),"&lt;ruby&gt;车祸&lt;rt&gt;chēhuò&lt;/rt&gt;&lt;/ruby&gt;")</f>
        <v>&lt;ruby&gt;车祸&lt;rt&gt;chēhuò&lt;/rt&gt;&lt;/ruby&gt;</v>
      </c>
      <c r="E2538" s="13" t="str">
        <f ca="1">IFERROR(__xludf.DUMMYFUNCTION("""COMPUTED_VALUE"""),"chēhuò")</f>
        <v>chēhuò</v>
      </c>
      <c r="F2538" s="13" t="str">
        <f ca="1">IFERROR(__xludf.DUMMYFUNCTION("""COMPUTED_VALUE"""),"Danh từ")</f>
        <v>Danh từ</v>
      </c>
      <c r="G2538" s="13" t="str">
        <f ca="1">IFERROR(__xludf.DUMMYFUNCTION("""COMPUTED_VALUE"""),"tai nạn giao thông")</f>
        <v>tai nạn giao thông</v>
      </c>
      <c r="H2538" s="13" t="str">
        <f ca="1">IFERROR(__xludf.DUMMYFUNCTION("""COMPUTED_VALUE"""),"我在路上看到了一起严重的车祸，幸运的是没有人受伤。")</f>
        <v>我在路上看到了一起严重的车祸，幸运的是没有人受伤。</v>
      </c>
      <c r="I2538" s="13"/>
      <c r="J2538" s="13" t="str">
        <f ca="1">IFERROR(__xludf.DUMMYFUNCTION("""COMPUTED_VALUE"""),"Tôi đã thấy một tai nạn giao thông nghiêm trọng trên đường, may mắn là không có ai bị thương.")</f>
        <v>Tôi đã thấy một tai nạn giao thông nghiêm trọng trên đường, may mắn là không có ai bị thương.</v>
      </c>
      <c r="K2538" s="13" t="str">
        <f ca="1">IFERROR(__xludf.DUMMYFUNCTION("""COMPUTED_VALUE"""),"H5_B32_BG-09.png")</f>
        <v>H5_B32_BG-09.png</v>
      </c>
      <c r="L2538" s="13" t="str">
        <f ca="1">IFERROR(__xludf.DUMMYFUNCTION("""COMPUTED_VALUE"""),"B32_9.mp3")</f>
        <v>B32_9.mp3</v>
      </c>
      <c r="M2538" s="13" t="str">
        <f ca="1">IFERROR(__xludf.DUMMYFUNCTION("""COMPUTED_VALUE"""),"B32_VD_9.mp3")</f>
        <v>B32_VD_9.mp3</v>
      </c>
    </row>
    <row r="2539" spans="1:13">
      <c r="A2539" s="13">
        <f ca="1">IFERROR(__xludf.DUMMYFUNCTION("""COMPUTED_VALUE"""),10)</f>
        <v>10</v>
      </c>
      <c r="B2539" s="13"/>
      <c r="C2539" s="13" t="str">
        <f ca="1">IFERROR(__xludf.DUMMYFUNCTION("""COMPUTED_VALUE"""),"尾气")</f>
        <v>尾气</v>
      </c>
      <c r="D2539" s="13" t="str">
        <f ca="1">IFERROR(__xludf.DUMMYFUNCTION("""COMPUTED_VALUE"""),"&lt;ruby&gt;尾气&lt;rt&gt;wěiqì&lt;/rt&gt;&lt;/ruby&gt;")</f>
        <v>&lt;ruby&gt;尾气&lt;rt&gt;wěiqì&lt;/rt&gt;&lt;/ruby&gt;</v>
      </c>
      <c r="E2539" s="13" t="str">
        <f ca="1">IFERROR(__xludf.DUMMYFUNCTION("""COMPUTED_VALUE"""),"wěiqì")</f>
        <v>wěiqì</v>
      </c>
      <c r="F2539" s="13" t="str">
        <f ca="1">IFERROR(__xludf.DUMMYFUNCTION("""COMPUTED_VALUE"""),"Danh từ")</f>
        <v>Danh từ</v>
      </c>
      <c r="G2539" s="13" t="str">
        <f ca="1">IFERROR(__xludf.DUMMYFUNCTION("""COMPUTED_VALUE"""),"khí thải")</f>
        <v>khí thải</v>
      </c>
      <c r="H2539" s="13" t="str">
        <f ca="1">IFERROR(__xludf.DUMMYFUNCTION("""COMPUTED_VALUE""")," 汽车尾气对空气污染影响很大。")</f>
        <v xml:space="preserve"> 汽车尾气对空气污染影响很大。</v>
      </c>
      <c r="I2539" s="13"/>
      <c r="J2539" s="13" t="str">
        <f ca="1">IFERROR(__xludf.DUMMYFUNCTION("""COMPUTED_VALUE"""),"Khí thải từ ô tô có ảnh hưởng lớn đến ô nhiễm không khí.")</f>
        <v>Khí thải từ ô tô có ảnh hưởng lớn đến ô nhiễm không khí.</v>
      </c>
      <c r="K2539" s="13" t="str">
        <f ca="1">IFERROR(__xludf.DUMMYFUNCTION("""COMPUTED_VALUE"""),"H5_B32_BG-10.png")</f>
        <v>H5_B32_BG-10.png</v>
      </c>
      <c r="L2539" s="13" t="str">
        <f ca="1">IFERROR(__xludf.DUMMYFUNCTION("""COMPUTED_VALUE"""),"B32_10.mp3")</f>
        <v>B32_10.mp3</v>
      </c>
      <c r="M2539" s="13" t="str">
        <f ca="1">IFERROR(__xludf.DUMMYFUNCTION("""COMPUTED_VALUE"""),"B32_VD_10.mp3")</f>
        <v>B32_VD_10.mp3</v>
      </c>
    </row>
    <row r="2540" spans="1:13">
      <c r="A2540" s="13">
        <f ca="1">IFERROR(__xludf.DUMMYFUNCTION("""COMPUTED_VALUE"""),11)</f>
        <v>11</v>
      </c>
      <c r="B2540" s="13"/>
      <c r="C2540" s="13" t="str">
        <f ca="1">IFERROR(__xludf.DUMMYFUNCTION("""COMPUTED_VALUE"""),"燃烧")</f>
        <v>燃烧</v>
      </c>
      <c r="D2540" s="13" t="str">
        <f ca="1">IFERROR(__xludf.DUMMYFUNCTION("""COMPUTED_VALUE"""),"&lt;ruby&gt;燃烧&lt;rt&gt;ránshāo&lt;/rt&gt;&lt;/ruby&gt;")</f>
        <v>&lt;ruby&gt;燃烧&lt;rt&gt;ránshāo&lt;/rt&gt;&lt;/ruby&gt;</v>
      </c>
      <c r="E2540" s="13" t="str">
        <f ca="1">IFERROR(__xludf.DUMMYFUNCTION("""COMPUTED_VALUE"""),"ránshāo")</f>
        <v>ránshāo</v>
      </c>
      <c r="F2540" s="13" t="str">
        <f ca="1">IFERROR(__xludf.DUMMYFUNCTION("""COMPUTED_VALUE"""),"Động từ")</f>
        <v>Động từ</v>
      </c>
      <c r="G2540" s="13" t="str">
        <f ca="1">IFERROR(__xludf.DUMMYFUNCTION("""COMPUTED_VALUE"""),"bốc cháy, đốt cháy")</f>
        <v>bốc cháy, đốt cháy</v>
      </c>
      <c r="H2540" s="13" t="str">
        <f ca="1">IFERROR(__xludf.DUMMYFUNCTION("""COMPUTED_VALUE"""),"木头在火中燃烧得很快。")</f>
        <v>木头在火中燃烧得很快。</v>
      </c>
      <c r="I2540" s="13"/>
      <c r="J2540" s="13" t="str">
        <f ca="1">IFERROR(__xludf.DUMMYFUNCTION("""COMPUTED_VALUE"""),"Gỗ bốc cháy rất nhanh trong lửa.")</f>
        <v>Gỗ bốc cháy rất nhanh trong lửa.</v>
      </c>
      <c r="K2540" s="13" t="str">
        <f ca="1">IFERROR(__xludf.DUMMYFUNCTION("""COMPUTED_VALUE"""),"H5_B32_BG-11.png")</f>
        <v>H5_B32_BG-11.png</v>
      </c>
      <c r="L2540" s="13" t="str">
        <f ca="1">IFERROR(__xludf.DUMMYFUNCTION("""COMPUTED_VALUE"""),"B32_11.mp3")</f>
        <v>B32_11.mp3</v>
      </c>
      <c r="M2540" s="13" t="str">
        <f ca="1">IFERROR(__xludf.DUMMYFUNCTION("""COMPUTED_VALUE"""),"B32_VD_11.mp3")</f>
        <v>B32_VD_11.mp3</v>
      </c>
    </row>
    <row r="2541" spans="1:13">
      <c r="A2541" s="13">
        <f ca="1">IFERROR(__xludf.DUMMYFUNCTION("""COMPUTED_VALUE"""),12)</f>
        <v>12</v>
      </c>
      <c r="B2541" s="13"/>
      <c r="C2541" s="13" t="str">
        <f ca="1">IFERROR(__xludf.DUMMYFUNCTION("""COMPUTED_VALUE"""),"煤炭")</f>
        <v>煤炭</v>
      </c>
      <c r="D2541" s="13" t="str">
        <f ca="1">IFERROR(__xludf.DUMMYFUNCTION("""COMPUTED_VALUE"""),"&lt;ruby&gt;煤炭&lt;rt&gt;méitàn&lt;/rt&gt;&lt;/ruby&gt;")</f>
        <v>&lt;ruby&gt;煤炭&lt;rt&gt;méitàn&lt;/rt&gt;&lt;/ruby&gt;</v>
      </c>
      <c r="E2541" s="13" t="str">
        <f ca="1">IFERROR(__xludf.DUMMYFUNCTION("""COMPUTED_VALUE"""),"méitàn")</f>
        <v>méitàn</v>
      </c>
      <c r="F2541" s="13" t="str">
        <f ca="1">IFERROR(__xludf.DUMMYFUNCTION("""COMPUTED_VALUE"""),"Danh từ")</f>
        <v>Danh từ</v>
      </c>
      <c r="G2541" s="13" t="str">
        <f ca="1">IFERROR(__xludf.DUMMYFUNCTION("""COMPUTED_VALUE"""),"than đá")</f>
        <v>than đá</v>
      </c>
      <c r="H2541" s="13" t="str">
        <f ca="1">IFERROR(__xludf.DUMMYFUNCTION("""COMPUTED_VALUE"""),"煤炭是重要的能源之一。")</f>
        <v>煤炭是重要的能源之一。</v>
      </c>
      <c r="I2541" s="13"/>
      <c r="J2541" s="13" t="str">
        <f ca="1">IFERROR(__xludf.DUMMYFUNCTION("""COMPUTED_VALUE"""),"Than đá là một trong những nguồn năng lượng quan trọng.")</f>
        <v>Than đá là một trong những nguồn năng lượng quan trọng.</v>
      </c>
      <c r="K2541" s="13" t="str">
        <f ca="1">IFERROR(__xludf.DUMMYFUNCTION("""COMPUTED_VALUE"""),"H5_B32_BG-12.png")</f>
        <v>H5_B32_BG-12.png</v>
      </c>
      <c r="L2541" s="13" t="str">
        <f ca="1">IFERROR(__xludf.DUMMYFUNCTION("""COMPUTED_VALUE"""),"B32_12.mp3")</f>
        <v>B32_12.mp3</v>
      </c>
      <c r="M2541" s="13" t="str">
        <f ca="1">IFERROR(__xludf.DUMMYFUNCTION("""COMPUTED_VALUE"""),"B32_VD_12.mp3")</f>
        <v>B32_VD_12.mp3</v>
      </c>
    </row>
    <row r="2542" spans="1:13">
      <c r="A2542" s="13">
        <f ca="1">IFERROR(__xludf.DUMMYFUNCTION("""COMPUTED_VALUE"""),13)</f>
        <v>13</v>
      </c>
      <c r="B2542" s="13"/>
      <c r="C2542" s="13" t="str">
        <f ca="1">IFERROR(__xludf.DUMMYFUNCTION("""COMPUTED_VALUE"""),"能源")</f>
        <v>能源</v>
      </c>
      <c r="D2542" s="13" t="str">
        <f ca="1">IFERROR(__xludf.DUMMYFUNCTION("""COMPUTED_VALUE"""),"&lt;ruby&gt;能源&lt;rt&gt;néngyuán&lt;/rt&gt;&lt;/ruby&gt;")</f>
        <v>&lt;ruby&gt;能源&lt;rt&gt;néngyuán&lt;/rt&gt;&lt;/ruby&gt;</v>
      </c>
      <c r="E2542" s="13" t="str">
        <f ca="1">IFERROR(__xludf.DUMMYFUNCTION("""COMPUTED_VALUE"""),"néngyuán")</f>
        <v>néngyuán</v>
      </c>
      <c r="F2542" s="13" t="str">
        <f ca="1">IFERROR(__xludf.DUMMYFUNCTION("""COMPUTED_VALUE"""),"Danh từ")</f>
        <v>Danh từ</v>
      </c>
      <c r="G2542" s="13" t="str">
        <f ca="1">IFERROR(__xludf.DUMMYFUNCTION("""COMPUTED_VALUE"""),"nguồn năng lượng")</f>
        <v>nguồn năng lượng</v>
      </c>
      <c r="H2542" s="13" t="str">
        <f ca="1">IFERROR(__xludf.DUMMYFUNCTION("""COMPUTED_VALUE"""),"太阳能是一种清洁的可再生能源。")</f>
        <v>太阳能是一种清洁的可再生能源。</v>
      </c>
      <c r="I2542" s="13"/>
      <c r="J2542" s="13" t="str">
        <f ca="1">IFERROR(__xludf.DUMMYFUNCTION("""COMPUTED_VALUE"""),"Năng lượng mặt trời là một nguồn năng lượng tái tạo sạch.")</f>
        <v>Năng lượng mặt trời là một nguồn năng lượng tái tạo sạch.</v>
      </c>
      <c r="K2542" s="13" t="str">
        <f ca="1">IFERROR(__xludf.DUMMYFUNCTION("""COMPUTED_VALUE"""),"H5_B32_BG-13.png")</f>
        <v>H5_B32_BG-13.png</v>
      </c>
      <c r="L2542" s="13" t="str">
        <f ca="1">IFERROR(__xludf.DUMMYFUNCTION("""COMPUTED_VALUE"""),"B32_13.mp3")</f>
        <v>B32_13.mp3</v>
      </c>
      <c r="M2542" s="13" t="str">
        <f ca="1">IFERROR(__xludf.DUMMYFUNCTION("""COMPUTED_VALUE"""),"B32_VD_13.mp3")</f>
        <v>B32_VD_13.mp3</v>
      </c>
    </row>
    <row r="2543" spans="1:13">
      <c r="A2543" s="13">
        <f ca="1">IFERROR(__xludf.DUMMYFUNCTION("""COMPUTED_VALUE"""),14)</f>
        <v>14</v>
      </c>
      <c r="B2543" s="13"/>
      <c r="C2543" s="13" t="str">
        <f ca="1">IFERROR(__xludf.DUMMYFUNCTION("""COMPUTED_VALUE"""),"公布")</f>
        <v>公布</v>
      </c>
      <c r="D2543" s="13" t="str">
        <f ca="1">IFERROR(__xludf.DUMMYFUNCTION("""COMPUTED_VALUE"""),"&lt;ruby&gt;公布&lt;rt&gt;gōngbù&lt;/rt&gt;&lt;/ruby&gt;")</f>
        <v>&lt;ruby&gt;公布&lt;rt&gt;gōngbù&lt;/rt&gt;&lt;/ruby&gt;</v>
      </c>
      <c r="E2543" s="13" t="str">
        <f ca="1">IFERROR(__xludf.DUMMYFUNCTION("""COMPUTED_VALUE"""),"gōngbù")</f>
        <v>gōngbù</v>
      </c>
      <c r="F2543" s="13" t="str">
        <f ca="1">IFERROR(__xludf.DUMMYFUNCTION("""COMPUTED_VALUE"""),"Động từ")</f>
        <v>Động từ</v>
      </c>
      <c r="G2543" s="13" t="str">
        <f ca="1">IFERROR(__xludf.DUMMYFUNCTION("""COMPUTED_VALUE"""),"công bố")</f>
        <v>công bố</v>
      </c>
      <c r="H2543" s="13" t="str">
        <f ca="1">IFERROR(__xludf.DUMMYFUNCTION("""COMPUTED_VALUE"""),"这个计划将在会议上公布，大家可以提出意见。")</f>
        <v>这个计划将在会议上公布，大家可以提出意见。</v>
      </c>
      <c r="I2543" s="13"/>
      <c r="J2543" s="13" t="str">
        <f ca="1">IFERROR(__xludf.DUMMYFUNCTION("""COMPUTED_VALUE"""),"Kế hoạch này sẽ được công bố tại cuộc họp, mọi người có thể đưa ra ý kiến.")</f>
        <v>Kế hoạch này sẽ được công bố tại cuộc họp, mọi người có thể đưa ra ý kiến.</v>
      </c>
      <c r="K2543" s="13" t="str">
        <f ca="1">IFERROR(__xludf.DUMMYFUNCTION("""COMPUTED_VALUE"""),"H5_B32_BG-14.png")</f>
        <v>H5_B32_BG-14.png</v>
      </c>
      <c r="L2543" s="13" t="str">
        <f ca="1">IFERROR(__xludf.DUMMYFUNCTION("""COMPUTED_VALUE"""),"B32_14.mp3")</f>
        <v>B32_14.mp3</v>
      </c>
      <c r="M2543" s="13" t="str">
        <f ca="1">IFERROR(__xludf.DUMMYFUNCTION("""COMPUTED_VALUE"""),"B32_VD_14.mp3")</f>
        <v>B32_VD_14.mp3</v>
      </c>
    </row>
    <row r="2544" spans="1:13">
      <c r="A2544" s="13">
        <f ca="1">IFERROR(__xludf.DUMMYFUNCTION("""COMPUTED_VALUE"""),15)</f>
        <v>15</v>
      </c>
      <c r="B2544" s="13"/>
      <c r="C2544" s="13" t="str">
        <f ca="1">IFERROR(__xludf.DUMMYFUNCTION("""COMPUTED_VALUE"""),"数据")</f>
        <v>数据</v>
      </c>
      <c r="D2544" s="13" t="str">
        <f ca="1">IFERROR(__xludf.DUMMYFUNCTION("""COMPUTED_VALUE"""),"&lt;ruby&gt;数据&lt;rt&gt;shùjù&lt;/rt&gt;&lt;/ruby&gt;")</f>
        <v>&lt;ruby&gt;数据&lt;rt&gt;shùjù&lt;/rt&gt;&lt;/ruby&gt;</v>
      </c>
      <c r="E2544" s="13" t="str">
        <f ca="1">IFERROR(__xludf.DUMMYFUNCTION("""COMPUTED_VALUE"""),"shùjù")</f>
        <v>shùjù</v>
      </c>
      <c r="F2544" s="13" t="str">
        <f ca="1">IFERROR(__xludf.DUMMYFUNCTION("""COMPUTED_VALUE"""),"Danh từ")</f>
        <v>Danh từ</v>
      </c>
      <c r="G2544" s="13" t="str">
        <f ca="1">IFERROR(__xludf.DUMMYFUNCTION("""COMPUTED_VALUE"""),"số liệu")</f>
        <v>số liệu</v>
      </c>
      <c r="H2544" s="13" t="str">
        <f ca="1">IFERROR(__xludf.DUMMYFUNCTION("""COMPUTED_VALUE"""),"这些数据可以帮助我们更好地了解消费者的行为。")</f>
        <v>这些数据可以帮助我们更好地了解消费者的行为。</v>
      </c>
      <c r="I2544" s="13"/>
      <c r="J2544" s="13" t="str">
        <f ca="1">IFERROR(__xludf.DUMMYFUNCTION("""COMPUTED_VALUE"""),"Những số liệu này giúp chúng ta hiểu rõ hơn về hành vi của người tiêu dùng.")</f>
        <v>Những số liệu này giúp chúng ta hiểu rõ hơn về hành vi của người tiêu dùng.</v>
      </c>
      <c r="K2544" s="13" t="str">
        <f ca="1">IFERROR(__xludf.DUMMYFUNCTION("""COMPUTED_VALUE"""),"H5_B32_BG-15.png")</f>
        <v>H5_B32_BG-15.png</v>
      </c>
      <c r="L2544" s="13" t="str">
        <f ca="1">IFERROR(__xludf.DUMMYFUNCTION("""COMPUTED_VALUE"""),"B32_15.mp3")</f>
        <v>B32_15.mp3</v>
      </c>
      <c r="M2544" s="13" t="str">
        <f ca="1">IFERROR(__xludf.DUMMYFUNCTION("""COMPUTED_VALUE"""),"B32_VD_15.mp3")</f>
        <v>B32_VD_15.mp3</v>
      </c>
    </row>
    <row r="2545" spans="1:13">
      <c r="A2545" s="13">
        <f ca="1">IFERROR(__xludf.DUMMYFUNCTION("""COMPUTED_VALUE"""),16)</f>
        <v>16</v>
      </c>
      <c r="B2545" s="13"/>
      <c r="C2545" s="13" t="str">
        <f ca="1">IFERROR(__xludf.DUMMYFUNCTION("""COMPUTED_VALUE"""),"真实")</f>
        <v>真实</v>
      </c>
      <c r="D2545" s="13" t="str">
        <f ca="1">IFERROR(__xludf.DUMMYFUNCTION("""COMPUTED_VALUE"""),"&lt;ruby&gt;真实&lt;rt&gt;zhēnshí&lt;/rt&gt;&lt;/ruby&gt;")</f>
        <v>&lt;ruby&gt;真实&lt;rt&gt;zhēnshí&lt;/rt&gt;&lt;/ruby&gt;</v>
      </c>
      <c r="E2545" s="13" t="str">
        <f ca="1">IFERROR(__xludf.DUMMYFUNCTION("""COMPUTED_VALUE"""),"zhēnshí")</f>
        <v>zhēnshí</v>
      </c>
      <c r="F2545" s="13" t="str">
        <f ca="1">IFERROR(__xludf.DUMMYFUNCTION("""COMPUTED_VALUE"""),"Tính từ")</f>
        <v>Tính từ</v>
      </c>
      <c r="G2545" s="13" t="str">
        <f ca="1">IFERROR(__xludf.DUMMYFUNCTION("""COMPUTED_VALUE"""),"thực tế, có thực")</f>
        <v>thực tế, có thực</v>
      </c>
      <c r="H2545" s="13" t="str">
        <f ca="1">IFERROR(__xludf.DUMMYFUNCTION("""COMPUTED_VALUE"""),"他的工作经验非常真实，不像有些人夸大其词。")</f>
        <v>他的工作经验非常真实，不像有些人夸大其词。</v>
      </c>
      <c r="I2545" s="13"/>
      <c r="J2545" s="13" t="str">
        <f ca="1">IFERROR(__xludf.DUMMYFUNCTION("""COMPUTED_VALUE"""),"Kinh nghiệm làm việc của anh ấy rất thực tế, không giống như một số người phóng đại.")</f>
        <v>Kinh nghiệm làm việc của anh ấy rất thực tế, không giống như một số người phóng đại.</v>
      </c>
      <c r="K2545" s="13" t="str">
        <f ca="1">IFERROR(__xludf.DUMMYFUNCTION("""COMPUTED_VALUE"""),"H5_B32_BG-16.png")</f>
        <v>H5_B32_BG-16.png</v>
      </c>
      <c r="L2545" s="13" t="str">
        <f ca="1">IFERROR(__xludf.DUMMYFUNCTION("""COMPUTED_VALUE"""),"B32_16.mp3")</f>
        <v>B32_16.mp3</v>
      </c>
      <c r="M2545" s="13" t="str">
        <f ca="1">IFERROR(__xludf.DUMMYFUNCTION("""COMPUTED_VALUE"""),"B32_VD_16.mp3")</f>
        <v>B32_VD_16.mp3</v>
      </c>
    </row>
    <row r="2546" spans="1:13">
      <c r="A2546" s="13">
        <f ca="1">IFERROR(__xludf.DUMMYFUNCTION("""COMPUTED_VALUE"""),17)</f>
        <v>17</v>
      </c>
      <c r="B2546" s="13"/>
      <c r="C2546" s="13" t="str">
        <f ca="1">IFERROR(__xludf.DUMMYFUNCTION("""COMPUTED_VALUE"""),"工业")</f>
        <v>工业</v>
      </c>
      <c r="D2546" s="13" t="str">
        <f ca="1">IFERROR(__xludf.DUMMYFUNCTION("""COMPUTED_VALUE"""),"&lt;ruby&gt;工业&lt;rt&gt;gōngyè&lt;/rt&gt;&lt;/ruby&gt;")</f>
        <v>&lt;ruby&gt;工业&lt;rt&gt;gōngyè&lt;/rt&gt;&lt;/ruby&gt;</v>
      </c>
      <c r="E2546" s="13" t="str">
        <f ca="1">IFERROR(__xludf.DUMMYFUNCTION("""COMPUTED_VALUE"""),"gōngyè")</f>
        <v>gōngyè</v>
      </c>
      <c r="F2546" s="13" t="str">
        <f ca="1">IFERROR(__xludf.DUMMYFUNCTION("""COMPUTED_VALUE"""),"Danh từ")</f>
        <v>Danh từ</v>
      </c>
      <c r="G2546" s="13" t="str">
        <f ca="1">IFERROR(__xludf.DUMMYFUNCTION("""COMPUTED_VALUE"""),"công nghiệp")</f>
        <v>công nghiệp</v>
      </c>
      <c r="H2546" s="13" t="str">
        <f ca="1">IFERROR(__xludf.DUMMYFUNCTION("""COMPUTED_VALUE"""),"工业改变了全球的生产方式，推动了全球化进程。")</f>
        <v>工业改变了全球的生产方式，推动了全球化进程。</v>
      </c>
      <c r="I2546" s="13"/>
      <c r="J2546" s="13" t="str">
        <f ca="1">IFERROR(__xludf.DUMMYFUNCTION("""COMPUTED_VALUE"""),"Ngành công nghiệp đã thay đổi cách thức sản xuất trên toàn thế giới, thúc đẩy quá trình toàn cầu hóa.")</f>
        <v>Ngành công nghiệp đã thay đổi cách thức sản xuất trên toàn thế giới, thúc đẩy quá trình toàn cầu hóa.</v>
      </c>
      <c r="K2546" s="13" t="str">
        <f ca="1">IFERROR(__xludf.DUMMYFUNCTION("""COMPUTED_VALUE"""),"H5_B32_BG-17.png")</f>
        <v>H5_B32_BG-17.png</v>
      </c>
      <c r="L2546" s="13" t="str">
        <f ca="1">IFERROR(__xludf.DUMMYFUNCTION("""COMPUTED_VALUE"""),"B32_17.mp3")</f>
        <v>B32_17.mp3</v>
      </c>
      <c r="M2546" s="13" t="str">
        <f ca="1">IFERROR(__xludf.DUMMYFUNCTION("""COMPUTED_VALUE"""),"B32_VD_17.mp3")</f>
        <v>B32_VD_17.mp3</v>
      </c>
    </row>
    <row r="2547" spans="1:13">
      <c r="A2547" s="13">
        <f ca="1">IFERROR(__xludf.DUMMYFUNCTION("""COMPUTED_VALUE"""),18)</f>
        <v>18</v>
      </c>
      <c r="B2547" s="13"/>
      <c r="C2547" s="13" t="str">
        <f ca="1">IFERROR(__xludf.DUMMYFUNCTION("""COMPUTED_VALUE"""),"农业")</f>
        <v>农业</v>
      </c>
      <c r="D2547" s="13" t="str">
        <f ca="1">IFERROR(__xludf.DUMMYFUNCTION("""COMPUTED_VALUE"""),"&lt;ruby&gt;农业&lt;rt&gt;nóngyè&lt;/rt&gt;&lt;/ruby&gt;")</f>
        <v>&lt;ruby&gt;农业&lt;rt&gt;nóngyè&lt;/rt&gt;&lt;/ruby&gt;</v>
      </c>
      <c r="E2547" s="13" t="str">
        <f ca="1">IFERROR(__xludf.DUMMYFUNCTION("""COMPUTED_VALUE"""),"nóngyè")</f>
        <v>nóngyè</v>
      </c>
      <c r="F2547" s="13" t="str">
        <f ca="1">IFERROR(__xludf.DUMMYFUNCTION("""COMPUTED_VALUE"""),"Danh từ")</f>
        <v>Danh từ</v>
      </c>
      <c r="G2547" s="13" t="str">
        <f ca="1">IFERROR(__xludf.DUMMYFUNCTION("""COMPUTED_VALUE"""),"nông nghiệp")</f>
        <v>nông nghiệp</v>
      </c>
      <c r="H2547" s="13" t="str">
        <f ca="1">IFERROR(__xludf.DUMMYFUNCTION("""COMPUTED_VALUE""")," 中国的农业发展迅速，已成为世界上最大的农产品生产国之一。")</f>
        <v xml:space="preserve"> 中国的农业发展迅速，已成为世界上最大的农产品生产国之一。</v>
      </c>
      <c r="I2547" s="13"/>
      <c r="J2547" s="13" t="str">
        <f ca="1">IFERROR(__xludf.DUMMYFUNCTION("""COMPUTED_VALUE"""),"Ngành nông nghiệp của Trung Quốc phát triển nhanh chóng, trở thành một trong những quốc gia sản xuất nông sản lớn nhất thế giới.")</f>
        <v>Ngành nông nghiệp của Trung Quốc phát triển nhanh chóng, trở thành một trong những quốc gia sản xuất nông sản lớn nhất thế giới.</v>
      </c>
      <c r="K2547" s="13" t="str">
        <f ca="1">IFERROR(__xludf.DUMMYFUNCTION("""COMPUTED_VALUE"""),"H5_B32_BG-18.png")</f>
        <v>H5_B32_BG-18.png</v>
      </c>
      <c r="L2547" s="13" t="str">
        <f ca="1">IFERROR(__xludf.DUMMYFUNCTION("""COMPUTED_VALUE"""),"B32_18.mp3")</f>
        <v>B32_18.mp3</v>
      </c>
      <c r="M2547" s="13" t="str">
        <f ca="1">IFERROR(__xludf.DUMMYFUNCTION("""COMPUTED_VALUE"""),"B32_VD_18.mp3")</f>
        <v>B32_VD_18.mp3</v>
      </c>
    </row>
    <row r="2548" spans="1:13">
      <c r="A2548" s="13">
        <f ca="1">IFERROR(__xludf.DUMMYFUNCTION("""COMPUTED_VALUE"""),19)</f>
        <v>19</v>
      </c>
      <c r="B2548" s="13"/>
      <c r="C2548" s="13" t="str">
        <f ca="1">IFERROR(__xludf.DUMMYFUNCTION("""COMPUTED_VALUE"""),"生产")</f>
        <v>生产</v>
      </c>
      <c r="D2548" s="13" t="str">
        <f ca="1">IFERROR(__xludf.DUMMYFUNCTION("""COMPUTED_VALUE"""),"&lt;ruby&gt;生产&lt;rt&gt;shēngchǎn&lt;/rt&gt;&lt;/ruby&gt;")</f>
        <v>&lt;ruby&gt;生产&lt;rt&gt;shēngchǎn&lt;/rt&gt;&lt;/ruby&gt;</v>
      </c>
      <c r="E2548" s="13" t="str">
        <f ca="1">IFERROR(__xludf.DUMMYFUNCTION("""COMPUTED_VALUE"""),"shēngchǎn")</f>
        <v>shēngchǎn</v>
      </c>
      <c r="F2548" s="13" t="str">
        <f ca="1">IFERROR(__xludf.DUMMYFUNCTION("""COMPUTED_VALUE"""),"Động từ")</f>
        <v>Động từ</v>
      </c>
      <c r="G2548" s="13" t="str">
        <f ca="1">IFERROR(__xludf.DUMMYFUNCTION("""COMPUTED_VALUE"""),"sản xuất")</f>
        <v>sản xuất</v>
      </c>
      <c r="H2548" s="13" t="str">
        <f ca="1">IFERROR(__xludf.DUMMYFUNCTION("""COMPUTED_VALUE"""),"中国是世界上最大的汽车生产国之一。")</f>
        <v>中国是世界上最大的汽车生产国之一。</v>
      </c>
      <c r="I2548" s="13"/>
      <c r="J2548" s="13" t="str">
        <f ca="1">IFERROR(__xludf.DUMMYFUNCTION("""COMPUTED_VALUE"""),"Trung Quốc là một trong những quốc gia sản xuất ô tô lớn nhất thế giới.")</f>
        <v>Trung Quốc là một trong những quốc gia sản xuất ô tô lớn nhất thế giới.</v>
      </c>
      <c r="K2548" s="13" t="str">
        <f ca="1">IFERROR(__xludf.DUMMYFUNCTION("""COMPUTED_VALUE"""),"H5_B32_BG-19.png")</f>
        <v>H5_B32_BG-19.png</v>
      </c>
      <c r="L2548" s="13" t="str">
        <f ca="1">IFERROR(__xludf.DUMMYFUNCTION("""COMPUTED_VALUE"""),"B32_19.mp3")</f>
        <v>B32_19.mp3</v>
      </c>
      <c r="M2548" s="13" t="str">
        <f ca="1">IFERROR(__xludf.DUMMYFUNCTION("""COMPUTED_VALUE"""),"B32_VD_19.mp3")</f>
        <v>B32_VD_19.mp3</v>
      </c>
    </row>
    <row r="2549" spans="1:13">
      <c r="A2549" s="13">
        <f ca="1">IFERROR(__xludf.DUMMYFUNCTION("""COMPUTED_VALUE"""),20)</f>
        <v>20</v>
      </c>
      <c r="B2549" s="13"/>
      <c r="C2549" s="13" t="str">
        <f ca="1">IFERROR(__xludf.DUMMYFUNCTION("""COMPUTED_VALUE"""),"大型")</f>
        <v>大型</v>
      </c>
      <c r="D2549" s="13" t="str">
        <f ca="1">IFERROR(__xludf.DUMMYFUNCTION("""COMPUTED_VALUE"""),"&lt;ruby&gt;大型&lt;rt&gt;dàxíng&lt;/rt&gt;&lt;/ruby&gt;")</f>
        <v>&lt;ruby&gt;大型&lt;rt&gt;dàxíng&lt;/rt&gt;&lt;/ruby&gt;</v>
      </c>
      <c r="E2549" s="13" t="str">
        <f ca="1">IFERROR(__xludf.DUMMYFUNCTION("""COMPUTED_VALUE"""),"dàxíng")</f>
        <v>dàxíng</v>
      </c>
      <c r="F2549" s="13" t="str">
        <f ca="1">IFERROR(__xludf.DUMMYFUNCTION("""COMPUTED_VALUE"""),"Tính từ")</f>
        <v>Tính từ</v>
      </c>
      <c r="G2549" s="13" t="str">
        <f ca="1">IFERROR(__xludf.DUMMYFUNCTION("""COMPUTED_VALUE"""),"quy mô lớn, khổng lồ")</f>
        <v>quy mô lớn, khổng lồ</v>
      </c>
      <c r="H2549" s="13" t="str">
        <f ca="1">IFERROR(__xludf.DUMMYFUNCTION("""COMPUTED_VALUE"""),"这座城市建造了大型地铁系统来解决交通问题。")</f>
        <v>这座城市建造了大型地铁系统来解决交通问题。</v>
      </c>
      <c r="I2549" s="13"/>
      <c r="J2549" s="13" t="str">
        <f ca="1">IFERROR(__xludf.DUMMYFUNCTION("""COMPUTED_VALUE"""),"Thành phố này đã xây dựng một hệ thống tàu điện ngầm quy mô lớn để giải quyết vấn đề giao thông.")</f>
        <v>Thành phố này đã xây dựng một hệ thống tàu điện ngầm quy mô lớn để giải quyết vấn đề giao thông.</v>
      </c>
      <c r="K2549" s="13" t="str">
        <f ca="1">IFERROR(__xludf.DUMMYFUNCTION("""COMPUTED_VALUE"""),"H5_B32_BG-20.png")</f>
        <v>H5_B32_BG-20.png</v>
      </c>
      <c r="L2549" s="13" t="str">
        <f ca="1">IFERROR(__xludf.DUMMYFUNCTION("""COMPUTED_VALUE"""),"B32_20.mp3")</f>
        <v>B32_20.mp3</v>
      </c>
      <c r="M2549" s="13" t="str">
        <f ca="1">IFERROR(__xludf.DUMMYFUNCTION("""COMPUTED_VALUE"""),"B32_VD_20.mp3")</f>
        <v>B32_VD_20.mp3</v>
      </c>
    </row>
    <row r="2550" spans="1:13">
      <c r="A2550" s="13">
        <f ca="1">IFERROR(__xludf.DUMMYFUNCTION("""COMPUTED_VALUE"""),21)</f>
        <v>21</v>
      </c>
      <c r="B2550" s="13"/>
      <c r="C2550" s="13" t="str">
        <f ca="1">IFERROR(__xludf.DUMMYFUNCTION("""COMPUTED_VALUE"""),"工厂")</f>
        <v>工厂</v>
      </c>
      <c r="D2550" s="13" t="str">
        <f ca="1">IFERROR(__xludf.DUMMYFUNCTION("""COMPUTED_VALUE"""),"&lt;ruby&gt;工厂&lt;rt&gt;gōngchǎng&lt;/rt&gt;&lt;/ruby&gt;")</f>
        <v>&lt;ruby&gt;工厂&lt;rt&gt;gōngchǎng&lt;/rt&gt;&lt;/ruby&gt;</v>
      </c>
      <c r="E2550" s="13" t="str">
        <f ca="1">IFERROR(__xludf.DUMMYFUNCTION("""COMPUTED_VALUE"""),"gōngchǎng")</f>
        <v>gōngchǎng</v>
      </c>
      <c r="F2550" s="13" t="str">
        <f ca="1">IFERROR(__xludf.DUMMYFUNCTION("""COMPUTED_VALUE"""),"Danh từ")</f>
        <v>Danh từ</v>
      </c>
      <c r="G2550" s="13" t="str">
        <f ca="1">IFERROR(__xludf.DUMMYFUNCTION("""COMPUTED_VALUE"""),"công xưởng, nhà máy")</f>
        <v>công xưởng, nhà máy</v>
      </c>
      <c r="H2550" s="13" t="str">
        <f ca="1">IFERROR(__xludf.DUMMYFUNCTION("""COMPUTED_VALUE"""),"这家工厂生产各种电子产品，并出口到世界各地。")</f>
        <v>这家工厂生产各种电子产品，并出口到世界各地。</v>
      </c>
      <c r="I2550" s="13"/>
      <c r="J2550" s="13" t="str">
        <f ca="1">IFERROR(__xludf.DUMMYFUNCTION("""COMPUTED_VALUE"""),"Nhà máy này sản xuất đủ loại sản phẩm điện tử và xuất khẩu đi khắp nơi trên thế giới.")</f>
        <v>Nhà máy này sản xuất đủ loại sản phẩm điện tử và xuất khẩu đi khắp nơi trên thế giới.</v>
      </c>
      <c r="K2550" s="13" t="str">
        <f ca="1">IFERROR(__xludf.DUMMYFUNCTION("""COMPUTED_VALUE"""),"H5_B32_BG-21.png")</f>
        <v>H5_B32_BG-21.png</v>
      </c>
      <c r="L2550" s="13" t="str">
        <f ca="1">IFERROR(__xludf.DUMMYFUNCTION("""COMPUTED_VALUE"""),"B32_21.mp3")</f>
        <v>B32_21.mp3</v>
      </c>
      <c r="M2550" s="13" t="str">
        <f ca="1">IFERROR(__xludf.DUMMYFUNCTION("""COMPUTED_VALUE"""),"B32_VD_21.mp3")</f>
        <v>B32_VD_21.mp3</v>
      </c>
    </row>
    <row r="2551" spans="1:13">
      <c r="A2551" s="13">
        <f ca="1">IFERROR(__xludf.DUMMYFUNCTION("""COMPUTED_VALUE"""),22)</f>
        <v>22</v>
      </c>
      <c r="B2551" s="13"/>
      <c r="C2551" s="13" t="str">
        <f ca="1">IFERROR(__xludf.DUMMYFUNCTION("""COMPUTED_VALUE"""),"废")</f>
        <v>废</v>
      </c>
      <c r="D2551" s="13" t="str">
        <f ca="1">IFERROR(__xludf.DUMMYFUNCTION("""COMPUTED_VALUE"""),"&lt;ruby&gt;废&lt;rt&gt;fèi&lt;/rt&gt;&lt;/ruby&gt;")</f>
        <v>&lt;ruby&gt;废&lt;rt&gt;fèi&lt;/rt&gt;&lt;/ruby&gt;</v>
      </c>
      <c r="E2551" s="13" t="str">
        <f ca="1">IFERROR(__xludf.DUMMYFUNCTION("""COMPUTED_VALUE"""),"fèi")</f>
        <v>fèi</v>
      </c>
      <c r="F2551" s="13" t="str">
        <f ca="1">IFERROR(__xludf.DUMMYFUNCTION("""COMPUTED_VALUE"""),"Tính từ")</f>
        <v>Tính từ</v>
      </c>
      <c r="G2551" s="13" t="str">
        <f ca="1">IFERROR(__xludf.DUMMYFUNCTION("""COMPUTED_VALUE"""),"thải, bỏ")</f>
        <v>thải, bỏ</v>
      </c>
      <c r="H2551" s="13" t="str">
        <f ca="1">IFERROR(__xludf.DUMMYFUNCTION("""COMPUTED_VALUE"""),"废水被排放到河流中，造成了严重的污染。")</f>
        <v>废水被排放到河流中，造成了严重的污染。</v>
      </c>
      <c r="I2551" s="13"/>
      <c r="J2551" s="13" t="str">
        <f ca="1">IFERROR(__xludf.DUMMYFUNCTION("""COMPUTED_VALUE"""),"Nước thải được xả ra sông, gây ra ô nhiễm nghiêm trọng.")</f>
        <v>Nước thải được xả ra sông, gây ra ô nhiễm nghiêm trọng.</v>
      </c>
      <c r="K2551" s="13" t="str">
        <f ca="1">IFERROR(__xludf.DUMMYFUNCTION("""COMPUTED_VALUE"""),"H5_B32_BG-22.png")</f>
        <v>H5_B32_BG-22.png</v>
      </c>
      <c r="L2551" s="13" t="str">
        <f ca="1">IFERROR(__xludf.DUMMYFUNCTION("""COMPUTED_VALUE"""),"B32_22.mp3")</f>
        <v>B32_22.mp3</v>
      </c>
      <c r="M2551" s="13" t="str">
        <f ca="1">IFERROR(__xludf.DUMMYFUNCTION("""COMPUTED_VALUE"""),"B32_VD_22.mp3")</f>
        <v>B32_VD_22.mp3</v>
      </c>
    </row>
    <row r="2552" spans="1:13">
      <c r="A2552" s="13">
        <f ca="1">IFERROR(__xludf.DUMMYFUNCTION("""COMPUTED_VALUE"""),23)</f>
        <v>23</v>
      </c>
      <c r="B2552" s="13"/>
      <c r="C2552" s="13" t="str">
        <f ca="1">IFERROR(__xludf.DUMMYFUNCTION("""COMPUTED_VALUE"""),"逐步")</f>
        <v>逐步</v>
      </c>
      <c r="D2552" s="13" t="str">
        <f ca="1">IFERROR(__xludf.DUMMYFUNCTION("""COMPUTED_VALUE"""),"&lt;ruby&gt;逐步&lt;rt&gt;zhúbù&lt;/rt&gt;&lt;/ruby&gt;")</f>
        <v>&lt;ruby&gt;逐步&lt;rt&gt;zhúbù&lt;/rt&gt;&lt;/ruby&gt;</v>
      </c>
      <c r="E2552" s="13" t="str">
        <f ca="1">IFERROR(__xludf.DUMMYFUNCTION("""COMPUTED_VALUE"""),"zhúbù")</f>
        <v>zhúbù</v>
      </c>
      <c r="F2552" s="13" t="str">
        <f ca="1">IFERROR(__xludf.DUMMYFUNCTION("""COMPUTED_VALUE"""),"Phó từ")</f>
        <v>Phó từ</v>
      </c>
      <c r="G2552" s="13" t="str">
        <f ca="1">IFERROR(__xludf.DUMMYFUNCTION("""COMPUTED_VALUE"""),"từng bước, dần dần")</f>
        <v>từng bước, dần dần</v>
      </c>
      <c r="H2552" s="13" t="str">
        <f ca="1">IFERROR(__xludf.DUMMYFUNCTION("""COMPUTED_VALUE"""),"随着科技的发展，越来越多的工作逐步被自动化取代。")</f>
        <v>随着科技的发展，越来越多的工作逐步被自动化取代。</v>
      </c>
      <c r="I2552" s="13"/>
      <c r="J2552" s="13" t="str">
        <f ca="1">IFERROR(__xludf.DUMMYFUNCTION("""COMPUTED_VALUE"""),"Với sự phát triển của công nghệ, ngày càng nhiều công việc dần dần được thay thế bằng tự động hóa.")</f>
        <v>Với sự phát triển của công nghệ, ngày càng nhiều công việc dần dần được thay thế bằng tự động hóa.</v>
      </c>
      <c r="K2552" s="13" t="str">
        <f ca="1">IFERROR(__xludf.DUMMYFUNCTION("""COMPUTED_VALUE"""),"H5_B32_BG-23.png")</f>
        <v>H5_B32_BG-23.png</v>
      </c>
      <c r="L2552" s="13" t="str">
        <f ca="1">IFERROR(__xludf.DUMMYFUNCTION("""COMPUTED_VALUE"""),"B32_23.mp3")</f>
        <v>B32_23.mp3</v>
      </c>
      <c r="M2552" s="13" t="str">
        <f ca="1">IFERROR(__xludf.DUMMYFUNCTION("""COMPUTED_VALUE"""),"B32_VD_23.mp3")</f>
        <v>B32_VD_23.mp3</v>
      </c>
    </row>
    <row r="2553" spans="1:13">
      <c r="A2553" s="13">
        <f ca="1">IFERROR(__xludf.DUMMYFUNCTION("""COMPUTED_VALUE"""),24)</f>
        <v>24</v>
      </c>
      <c r="B2553" s="13"/>
      <c r="C2553" s="13" t="str">
        <f ca="1">IFERROR(__xludf.DUMMYFUNCTION("""COMPUTED_VALUE"""),"尽量")</f>
        <v>尽量</v>
      </c>
      <c r="D2553" s="13" t="str">
        <f ca="1">IFERROR(__xludf.DUMMYFUNCTION("""COMPUTED_VALUE"""),"&lt;ruby&gt;尽量&lt;rt&gt;jìnliàng&lt;/rt&gt;&lt;/ruby&gt;")</f>
        <v>&lt;ruby&gt;尽量&lt;rt&gt;jìnliàng&lt;/rt&gt;&lt;/ruby&gt;</v>
      </c>
      <c r="E2553" s="13" t="str">
        <f ca="1">IFERROR(__xludf.DUMMYFUNCTION("""COMPUTED_VALUE"""),"jìnliàng")</f>
        <v>jìnliàng</v>
      </c>
      <c r="F2553" s="13" t="str">
        <f ca="1">IFERROR(__xludf.DUMMYFUNCTION("""COMPUTED_VALUE"""),"Phó từ")</f>
        <v>Phó từ</v>
      </c>
      <c r="G2553" s="13" t="str">
        <f ca="1">IFERROR(__xludf.DUMMYFUNCTION("""COMPUTED_VALUE"""),"cố gắng hết sức")</f>
        <v>cố gắng hết sức</v>
      </c>
      <c r="H2553" s="13" t="str">
        <f ca="1">IFERROR(__xludf.DUMMYFUNCTION("""COMPUTED_VALUE"""),"为了通过考试，我尽量多复习。")</f>
        <v>为了通过考试，我尽量多复习。</v>
      </c>
      <c r="I2553" s="13"/>
      <c r="J2553" s="13" t="str">
        <f ca="1">IFERROR(__xludf.DUMMYFUNCTION("""COMPUTED_VALUE"""),"Để vượt qua kỳ thi, tôi đã cố gắng ôn tập nhiều..")</f>
        <v>Để vượt qua kỳ thi, tôi đã cố gắng ôn tập nhiều..</v>
      </c>
      <c r="K2553" s="13" t="str">
        <f ca="1">IFERROR(__xludf.DUMMYFUNCTION("""COMPUTED_VALUE"""),"H5_B32_BG-24.png")</f>
        <v>H5_B32_BG-24.png</v>
      </c>
      <c r="L2553" s="13" t="str">
        <f ca="1">IFERROR(__xludf.DUMMYFUNCTION("""COMPUTED_VALUE"""),"B32_24.mp3")</f>
        <v>B32_24.mp3</v>
      </c>
      <c r="M2553" s="13" t="str">
        <f ca="1">IFERROR(__xludf.DUMMYFUNCTION("""COMPUTED_VALUE"""),"B32_VD_24.mp3")</f>
        <v>B32_VD_24.mp3</v>
      </c>
    </row>
    <row r="2554" spans="1:13">
      <c r="A2554" s="13">
        <f ca="1">IFERROR(__xludf.DUMMYFUNCTION("""COMPUTED_VALUE"""),25)</f>
        <v>25</v>
      </c>
      <c r="B2554" s="13"/>
      <c r="C2554" s="13" t="str">
        <f ca="1">IFERROR(__xludf.DUMMYFUNCTION("""COMPUTED_VALUE"""),"私（人）")</f>
        <v>私（人）</v>
      </c>
      <c r="D2554" s="13" t="str">
        <f ca="1">IFERROR(__xludf.DUMMYFUNCTION("""COMPUTED_VALUE"""),"&lt;ruby&gt;私（人）&lt;rt&gt;sī (rén)&lt;/rt&gt;&lt;/ruby&gt;")</f>
        <v>&lt;ruby&gt;私（人）&lt;rt&gt;sī (rén)&lt;/rt&gt;&lt;/ruby&gt;</v>
      </c>
      <c r="E2554" s="13" t="str">
        <f ca="1">IFERROR(__xludf.DUMMYFUNCTION("""COMPUTED_VALUE"""),"sī (rén)")</f>
        <v>sī (rén)</v>
      </c>
      <c r="F2554" s="13" t="str">
        <f ca="1">IFERROR(__xludf.DUMMYFUNCTION("""COMPUTED_VALUE"""),"Danh từ")</f>
        <v>Danh từ</v>
      </c>
      <c r="G2554" s="13" t="str">
        <f ca="1">IFERROR(__xludf.DUMMYFUNCTION("""COMPUTED_VALUE"""),"riêng, cá nhân")</f>
        <v>riêng, cá nhân</v>
      </c>
      <c r="H2554" s="13" t="str">
        <f ca="1">IFERROR(__xludf.DUMMYFUNCTION("""COMPUTED_VALUE"""),"这些书是我的私人收藏，不借给别人。")</f>
        <v>这些书是我的私人收藏，不借给别人。</v>
      </c>
      <c r="I2554" s="13"/>
      <c r="J2554" s="13" t="str">
        <f ca="1">IFERROR(__xludf.DUMMYFUNCTION("""COMPUTED_VALUE"""),"Những cuốn sách này là bộ sưu tập cá nhân của tôi, tôi không cho người khác mượn.")</f>
        <v>Những cuốn sách này là bộ sưu tập cá nhân của tôi, tôi không cho người khác mượn.</v>
      </c>
      <c r="K2554" s="13" t="str">
        <f ca="1">IFERROR(__xludf.DUMMYFUNCTION("""COMPUTED_VALUE"""),"H5_B32_BG-25.png")</f>
        <v>H5_B32_BG-25.png</v>
      </c>
      <c r="L2554" s="13" t="str">
        <f ca="1">IFERROR(__xludf.DUMMYFUNCTION("""COMPUTED_VALUE"""),"B32_25.mp3")</f>
        <v>B32_25.mp3</v>
      </c>
      <c r="M2554" s="13" t="str">
        <f ca="1">IFERROR(__xludf.DUMMYFUNCTION("""COMPUTED_VALUE"""),"B32_VD_25.mp3")</f>
        <v>B32_VD_25.mp3</v>
      </c>
    </row>
    <row r="2555" spans="1:13">
      <c r="A2555" s="13">
        <f ca="1">IFERROR(__xludf.DUMMYFUNCTION("""COMPUTED_VALUE"""),26)</f>
        <v>26</v>
      </c>
      <c r="B2555" s="13"/>
      <c r="C2555" s="13" t="str">
        <f ca="1">IFERROR(__xludf.DUMMYFUNCTION("""COMPUTED_VALUE"""),"设施")</f>
        <v>设施</v>
      </c>
      <c r="D2555" s="13" t="str">
        <f ca="1">IFERROR(__xludf.DUMMYFUNCTION("""COMPUTED_VALUE"""),"&lt;ruby&gt;设施&lt;rt&gt;shèshī&lt;/rt&gt;&lt;/ruby&gt;")</f>
        <v>&lt;ruby&gt;设施&lt;rt&gt;shèshī&lt;/rt&gt;&lt;/ruby&gt;</v>
      </c>
      <c r="E2555" s="13" t="str">
        <f ca="1">IFERROR(__xludf.DUMMYFUNCTION("""COMPUTED_VALUE"""),"shèshī")</f>
        <v>shèshī</v>
      </c>
      <c r="F2555" s="13" t="str">
        <f ca="1">IFERROR(__xludf.DUMMYFUNCTION("""COMPUTED_VALUE"""),"Danh từ")</f>
        <v>Danh từ</v>
      </c>
      <c r="G2555" s="13" t="str">
        <f ca="1">IFERROR(__xludf.DUMMYFUNCTION("""COMPUTED_VALUE"""),"thiết bị, phương tiện")</f>
        <v>thiết bị, phương tiện</v>
      </c>
      <c r="H2555" s="13" t="str">
        <f ca="1">IFERROR(__xludf.DUMMYFUNCTION("""COMPUTED_VALUE"""),"这个工厂的设施很好，到处都有摄像头保证安全。")</f>
        <v>这个工厂的设施很好，到处都有摄像头保证安全。</v>
      </c>
      <c r="I2555" s="13"/>
      <c r="J2555" s="13" t="str">
        <f ca="1">IFERROR(__xludf.DUMMYFUNCTION("""COMPUTED_VALUE"""),"Nhà máy này có cơ sở vật chất rất tốt, có camera khắp nơi để đảm bảo an toàn.")</f>
        <v>Nhà máy này có cơ sở vật chất rất tốt, có camera khắp nơi để đảm bảo an toàn.</v>
      </c>
      <c r="K2555" s="13" t="str">
        <f ca="1">IFERROR(__xludf.DUMMYFUNCTION("""COMPUTED_VALUE"""),"H5_B32_BG-26.png")</f>
        <v>H5_B32_BG-26.png</v>
      </c>
      <c r="L2555" s="13" t="str">
        <f ca="1">IFERROR(__xludf.DUMMYFUNCTION("""COMPUTED_VALUE"""),"B32_26.mp3")</f>
        <v>B32_26.mp3</v>
      </c>
      <c r="M2555" s="13" t="str">
        <f ca="1">IFERROR(__xludf.DUMMYFUNCTION("""COMPUTED_VALUE"""),"B32_VD_26.mp3")</f>
        <v>B32_VD_26.mp3</v>
      </c>
    </row>
    <row r="2556" spans="1:13">
      <c r="A2556" s="13">
        <f ca="1">IFERROR(__xludf.DUMMYFUNCTION("""COMPUTED_VALUE"""),27)</f>
        <v>27</v>
      </c>
      <c r="B2556" s="13"/>
      <c r="C2556" s="13" t="str">
        <f ca="1">IFERROR(__xludf.DUMMYFUNCTION("""COMPUTED_VALUE"""),"夸张")</f>
        <v>夸张</v>
      </c>
      <c r="D2556" s="13" t="str">
        <f ca="1">IFERROR(__xludf.DUMMYFUNCTION("""COMPUTED_VALUE"""),"&lt;ruby&gt;夸张&lt;rt&gt;kuāzhāng&lt;/rt&gt;&lt;/ruby&gt;")</f>
        <v>&lt;ruby&gt;夸张&lt;rt&gt;kuāzhāng&lt;/rt&gt;&lt;/ruby&gt;</v>
      </c>
      <c r="E2556" s="13" t="str">
        <f ca="1">IFERROR(__xludf.DUMMYFUNCTION("""COMPUTED_VALUE"""),"kuāzhāng")</f>
        <v>kuāzhāng</v>
      </c>
      <c r="F2556" s="13" t="str">
        <f ca="1">IFERROR(__xludf.DUMMYFUNCTION("""COMPUTED_VALUE"""),"Tính từ")</f>
        <v>Tính từ</v>
      </c>
      <c r="G2556" s="13" t="str">
        <f ca="1">IFERROR(__xludf.DUMMYFUNCTION("""COMPUTED_VALUE"""),"phóng đại, cường điệu")</f>
        <v>phóng đại, cường điệu</v>
      </c>
      <c r="H2556" s="13" t="str">
        <f ca="1">IFERROR(__xludf.DUMMYFUNCTION("""COMPUTED_VALUE"""),"他说的话太夸张了。")</f>
        <v>他说的话太夸张了。</v>
      </c>
      <c r="I2556" s="13"/>
      <c r="J2556" s="13" t="str">
        <f ca="1">IFERROR(__xludf.DUMMYFUNCTION("""COMPUTED_VALUE"""),"Những gì anh ấy nói có đều là phóng đại.")</f>
        <v>Những gì anh ấy nói có đều là phóng đại.</v>
      </c>
      <c r="K2556" s="13" t="str">
        <f ca="1">IFERROR(__xludf.DUMMYFUNCTION("""COMPUTED_VALUE"""),"H5_B32_BG-27.png")</f>
        <v>H5_B32_BG-27.png</v>
      </c>
      <c r="L2556" s="13" t="str">
        <f ca="1">IFERROR(__xludf.DUMMYFUNCTION("""COMPUTED_VALUE"""),"B32_27.mp3")</f>
        <v>B32_27.mp3</v>
      </c>
      <c r="M2556" s="13" t="str">
        <f ca="1">IFERROR(__xludf.DUMMYFUNCTION("""COMPUTED_VALUE"""),"B32_VD_27.mp3")</f>
        <v>B32_VD_27.mp3</v>
      </c>
    </row>
    <row r="2557" spans="1:13">
      <c r="A2557" s="13">
        <f ca="1">IFERROR(__xludf.DUMMYFUNCTION("""COMPUTED_VALUE"""),28)</f>
        <v>28</v>
      </c>
      <c r="B2557" s="13"/>
      <c r="C2557" s="13" t="str">
        <f ca="1">IFERROR(__xludf.DUMMYFUNCTION("""COMPUTED_VALUE"""),"不安")</f>
        <v>不安</v>
      </c>
      <c r="D2557" s="13" t="str">
        <f ca="1">IFERROR(__xludf.DUMMYFUNCTION("""COMPUTED_VALUE"""),"&lt;ruby&gt;不安&lt;rt&gt;bù'ān&lt;/rt&gt;&lt;/ruby&gt;")</f>
        <v>&lt;ruby&gt;不安&lt;rt&gt;bù'ān&lt;/rt&gt;&lt;/ruby&gt;</v>
      </c>
      <c r="E2557" s="13" t="str">
        <f ca="1">IFERROR(__xludf.DUMMYFUNCTION("""COMPUTED_VALUE"""),"bù'ān")</f>
        <v>bù'ān</v>
      </c>
      <c r="F2557" s="13" t="str">
        <f ca="1">IFERROR(__xludf.DUMMYFUNCTION("""COMPUTED_VALUE"""),"Tính từ")</f>
        <v>Tính từ</v>
      </c>
      <c r="G2557" s="13" t="str">
        <f ca="1">IFERROR(__xludf.DUMMYFUNCTION("""COMPUTED_VALUE"""),"lo lắng, không an lòng")</f>
        <v>lo lắng, không an lòng</v>
      </c>
      <c r="H2557" s="13" t="str">
        <f ca="1">IFERROR(__xludf.DUMMYFUNCTION("""COMPUTED_VALUE"""),"因为即将到来的重要考试，我感到非常不安。")</f>
        <v>因为即将到来的重要考试，我感到非常不安。</v>
      </c>
      <c r="I2557" s="13"/>
      <c r="J2557" s="13" t="str">
        <f ca="1">IFERROR(__xludf.DUMMYFUNCTION("""COMPUTED_VALUE"""),"Tôi cảm thấy rất lo lắng vì kỳ thi quan trọng sắp tới.")</f>
        <v>Tôi cảm thấy rất lo lắng vì kỳ thi quan trọng sắp tới.</v>
      </c>
      <c r="K2557" s="13" t="str">
        <f ca="1">IFERROR(__xludf.DUMMYFUNCTION("""COMPUTED_VALUE"""),"H5_B32_BG-28.png")</f>
        <v>H5_B32_BG-28.png</v>
      </c>
      <c r="L2557" s="13" t="str">
        <f ca="1">IFERROR(__xludf.DUMMYFUNCTION("""COMPUTED_VALUE"""),"B32_28.mp3")</f>
        <v>B32_28.mp3</v>
      </c>
      <c r="M2557" s="13" t="str">
        <f ca="1">IFERROR(__xludf.DUMMYFUNCTION("""COMPUTED_VALUE"""),"B32_VD_28.mp3")</f>
        <v>B32_VD_28.mp3</v>
      </c>
    </row>
    <row r="2558" spans="1:13">
      <c r="A2558" s="13">
        <f ca="1">IFERROR(__xludf.DUMMYFUNCTION("""COMPUTED_VALUE"""),29)</f>
        <v>29</v>
      </c>
      <c r="B2558" s="13"/>
      <c r="C2558" s="13" t="str">
        <f ca="1">IFERROR(__xludf.DUMMYFUNCTION("""COMPUTED_VALUE"""),"密切")</f>
        <v>密切</v>
      </c>
      <c r="D2558" s="13" t="str">
        <f ca="1">IFERROR(__xludf.DUMMYFUNCTION("""COMPUTED_VALUE"""),"&lt;ruby&gt;密切&lt;rt&gt;mìqiè&lt;/rt&gt;&lt;/ruby&gt;")</f>
        <v>&lt;ruby&gt;密切&lt;rt&gt;mìqiè&lt;/rt&gt;&lt;/ruby&gt;</v>
      </c>
      <c r="E2558" s="13" t="str">
        <f ca="1">IFERROR(__xludf.DUMMYFUNCTION("""COMPUTED_VALUE"""),"mìqiè")</f>
        <v>mìqiè</v>
      </c>
      <c r="F2558" s="13" t="str">
        <f ca="1">IFERROR(__xludf.DUMMYFUNCTION("""COMPUTED_VALUE"""),"Tính từ")</f>
        <v>Tính từ</v>
      </c>
      <c r="G2558" s="13" t="str">
        <f ca="1">IFERROR(__xludf.DUMMYFUNCTION("""COMPUTED_VALUE"""),"mật thiết, thân mật")</f>
        <v>mật thiết, thân mật</v>
      </c>
      <c r="H2558" s="13" t="str">
        <f ca="1">IFERROR(__xludf.DUMMYFUNCTION("""COMPUTED_VALUE"""),"他们家的关系非常密切，经常一起去度假。")</f>
        <v>他们家的关系非常密切，经常一起去度假。</v>
      </c>
      <c r="I2558" s="13"/>
      <c r="J2558" s="13" t="str">
        <f ca="1">IFERROR(__xludf.DUMMYFUNCTION("""COMPUTED_VALUE"""),"Mối quan hệ trong gia đình họ rất thân mật, thường xuyên đi nghỉ dưỡng cùng nhau.")</f>
        <v>Mối quan hệ trong gia đình họ rất thân mật, thường xuyên đi nghỉ dưỡng cùng nhau.</v>
      </c>
      <c r="K2558" s="13" t="str">
        <f ca="1">IFERROR(__xludf.DUMMYFUNCTION("""COMPUTED_VALUE"""),"H5_B32_BG-29.png")</f>
        <v>H5_B32_BG-29.png</v>
      </c>
      <c r="L2558" s="13" t="str">
        <f ca="1">IFERROR(__xludf.DUMMYFUNCTION("""COMPUTED_VALUE"""),"B32_29.mp3")</f>
        <v>B32_29.mp3</v>
      </c>
      <c r="M2558" s="13" t="str">
        <f ca="1">IFERROR(__xludf.DUMMYFUNCTION("""COMPUTED_VALUE"""),"B32_VD_29.mp3")</f>
        <v>B32_VD_29.mp3</v>
      </c>
    </row>
    <row r="2559" spans="1:13">
      <c r="A2559" s="13">
        <f ca="1">IFERROR(__xludf.DUMMYFUNCTION("""COMPUTED_VALUE"""),30)</f>
        <v>30</v>
      </c>
      <c r="B2559" s="13"/>
      <c r="C2559" s="13" t="str">
        <f ca="1">IFERROR(__xludf.DUMMYFUNCTION("""COMPUTED_VALUE"""),"幸运")</f>
        <v>幸运</v>
      </c>
      <c r="D2559" s="13" t="str">
        <f ca="1">IFERROR(__xludf.DUMMYFUNCTION("""COMPUTED_VALUE"""),"&lt;ruby&gt;幸运&lt;rt&gt;xìngyùn&lt;/rt&gt;&lt;/ruby&gt;")</f>
        <v>&lt;ruby&gt;幸运&lt;rt&gt;xìngyùn&lt;/rt&gt;&lt;/ruby&gt;</v>
      </c>
      <c r="E2559" s="13" t="str">
        <f ca="1">IFERROR(__xludf.DUMMYFUNCTION("""COMPUTED_VALUE"""),"xìngyùn")</f>
        <v>xìngyùn</v>
      </c>
      <c r="F2559" s="13" t="str">
        <f ca="1">IFERROR(__xludf.DUMMYFUNCTION("""COMPUTED_VALUE"""),"Tính từ")</f>
        <v>Tính từ</v>
      </c>
      <c r="G2559" s="13" t="str">
        <f ca="1">IFERROR(__xludf.DUMMYFUNCTION("""COMPUTED_VALUE"""),"may mắn")</f>
        <v>may mắn</v>
      </c>
      <c r="H2559" s="13" t="str">
        <f ca="1">IFERROR(__xludf.DUMMYFUNCTION("""COMPUTED_VALUE""")," 我们很幸运遇到了好朋友。")</f>
        <v xml:space="preserve"> 我们很幸运遇到了好朋友。</v>
      </c>
      <c r="I2559" s="13"/>
      <c r="J2559" s="13" t="str">
        <f ca="1">IFERROR(__xludf.DUMMYFUNCTION("""COMPUTED_VALUE"""),"Chúng tôi thật may mắn khi gặp được những người bạn tốt.")</f>
        <v>Chúng tôi thật may mắn khi gặp được những người bạn tốt.</v>
      </c>
      <c r="K2559" s="13" t="str">
        <f ca="1">IFERROR(__xludf.DUMMYFUNCTION("""COMPUTED_VALUE"""),"H5_B32_BG-30.png")</f>
        <v>H5_B32_BG-30.png</v>
      </c>
      <c r="L2559" s="13" t="str">
        <f ca="1">IFERROR(__xludf.DUMMYFUNCTION("""COMPUTED_VALUE"""),"B32_30.mp3")</f>
        <v>B32_30.mp3</v>
      </c>
      <c r="M2559" s="13" t="str">
        <f ca="1">IFERROR(__xludf.DUMMYFUNCTION("""COMPUTED_VALUE"""),"B32_VD_30.mp3")</f>
        <v>B32_VD_30.mp3</v>
      </c>
    </row>
    <row r="2560" spans="1:13">
      <c r="A2560" s="13">
        <f ca="1">IFERROR(__xludf.DUMMYFUNCTION("""COMPUTED_VALUE"""),31)</f>
        <v>31</v>
      </c>
      <c r="B2560" s="13"/>
      <c r="C2560" s="13" t="str">
        <f ca="1">IFERROR(__xludf.DUMMYFUNCTION("""COMPUTED_VALUE"""),"敏感")</f>
        <v>敏感</v>
      </c>
      <c r="D2560" s="13" t="str">
        <f ca="1">IFERROR(__xludf.DUMMYFUNCTION("""COMPUTED_VALUE"""),"&lt;ruby&gt;敏感&lt;rt&gt;mǐngǎn&lt;/rt&gt;&lt;/ruby&gt;")</f>
        <v>&lt;ruby&gt;敏感&lt;rt&gt;mǐngǎn&lt;/rt&gt;&lt;/ruby&gt;</v>
      </c>
      <c r="E2560" s="13" t="str">
        <f ca="1">IFERROR(__xludf.DUMMYFUNCTION("""COMPUTED_VALUE"""),"mǐngǎn")</f>
        <v>mǐngǎn</v>
      </c>
      <c r="F2560" s="13" t="str">
        <f ca="1">IFERROR(__xludf.DUMMYFUNCTION("""COMPUTED_VALUE"""),"Tính từ")</f>
        <v>Tính từ</v>
      </c>
      <c r="G2560" s="13" t="str">
        <f ca="1">IFERROR(__xludf.DUMMYFUNCTION("""COMPUTED_VALUE"""),"nhạy cảm")</f>
        <v>nhạy cảm</v>
      </c>
      <c r="H2560" s="13" t="str">
        <f ca="1">IFERROR(__xludf.DUMMYFUNCTION("""COMPUTED_VALUE"""),"他的皮肤很敏感，经常会过敏。")</f>
        <v>他的皮肤很敏感，经常会过敏。</v>
      </c>
      <c r="I2560" s="13"/>
      <c r="J2560" s="13" t="str">
        <f ca="1">IFERROR(__xludf.DUMMYFUNCTION("""COMPUTED_VALUE"""),"Da của anh ấy rất nhạy cảm, thường xuyên bị kích ứng.")</f>
        <v>Da của anh ấy rất nhạy cảm, thường xuyên bị kích ứng.</v>
      </c>
      <c r="K2560" s="13" t="str">
        <f ca="1">IFERROR(__xludf.DUMMYFUNCTION("""COMPUTED_VALUE"""),"H5_B32_BG-31.png")</f>
        <v>H5_B32_BG-31.png</v>
      </c>
      <c r="L2560" s="13" t="str">
        <f ca="1">IFERROR(__xludf.DUMMYFUNCTION("""COMPUTED_VALUE"""),"B32_31.mp3")</f>
        <v>B32_31.mp3</v>
      </c>
      <c r="M2560" s="13" t="str">
        <f ca="1">IFERROR(__xludf.DUMMYFUNCTION("""COMPUTED_VALUE"""),"B32_VD_31.mp3")</f>
        <v>B32_VD_31.mp3</v>
      </c>
    </row>
    <row r="2561" spans="1:13">
      <c r="A2561" s="13">
        <f ca="1">IFERROR(__xludf.DUMMYFUNCTION("""COMPUTED_VALUE"""),32)</f>
        <v>32</v>
      </c>
      <c r="B2561" s="13"/>
      <c r="C2561" s="13" t="str">
        <f ca="1">IFERROR(__xludf.DUMMYFUNCTION("""COMPUTED_VALUE"""),"自觉")</f>
        <v>自觉</v>
      </c>
      <c r="D2561" s="13" t="str">
        <f ca="1">IFERROR(__xludf.DUMMYFUNCTION("""COMPUTED_VALUE"""),"&lt;ruby&gt;自觉&lt;rt&gt;zìjué&lt;/rt&gt;&lt;/ruby&gt;")</f>
        <v>&lt;ruby&gt;自觉&lt;rt&gt;zìjué&lt;/rt&gt;&lt;/ruby&gt;</v>
      </c>
      <c r="E2561" s="13" t="str">
        <f ca="1">IFERROR(__xludf.DUMMYFUNCTION("""COMPUTED_VALUE"""),"zìjué")</f>
        <v>zìjué</v>
      </c>
      <c r="F2561" s="13" t="str">
        <f ca="1">IFERROR(__xludf.DUMMYFUNCTION("""COMPUTED_VALUE"""),"Tính từ")</f>
        <v>Tính từ</v>
      </c>
      <c r="G2561" s="13" t="str">
        <f ca="1">IFERROR(__xludf.DUMMYFUNCTION("""COMPUTED_VALUE"""),"tự giác, có ý thức")</f>
        <v>tự giác, có ý thức</v>
      </c>
      <c r="H2561" s="13" t="str">
        <f ca="1">IFERROR(__xludf.DUMMYFUNCTION("""COMPUTED_VALUE"""),"我每天早上都会自觉起床，不需要妈妈叫我。")</f>
        <v>我每天早上都会自觉起床，不需要妈妈叫我。</v>
      </c>
      <c r="I2561" s="13"/>
      <c r="J2561" s="13" t="str">
        <f ca="1">IFERROR(__xludf.DUMMYFUNCTION("""COMPUTED_VALUE"""),"Tôi luôn tự giác dậy sớm mỗi ngày, không cần mẹ gọi.")</f>
        <v>Tôi luôn tự giác dậy sớm mỗi ngày, không cần mẹ gọi.</v>
      </c>
      <c r="K2561" s="13" t="str">
        <f ca="1">IFERROR(__xludf.DUMMYFUNCTION("""COMPUTED_VALUE"""),"H5_B32_BG-32.png")</f>
        <v>H5_B32_BG-32.png</v>
      </c>
      <c r="L2561" s="13" t="str">
        <f ca="1">IFERROR(__xludf.DUMMYFUNCTION("""COMPUTED_VALUE"""),"B32_32.mp3")</f>
        <v>B32_32.mp3</v>
      </c>
      <c r="M2561" s="13" t="str">
        <f ca="1">IFERROR(__xludf.DUMMYFUNCTION("""COMPUTED_VALUE"""),"B32_VD_32.mp3")</f>
        <v>B32_VD_32.mp3</v>
      </c>
    </row>
    <row r="2562" spans="1:13">
      <c r="A2562" s="13">
        <f ca="1">IFERROR(__xludf.DUMMYFUNCTION("""COMPUTED_VALUE"""),33)</f>
        <v>33</v>
      </c>
      <c r="B2562" s="13"/>
      <c r="C2562" s="13" t="str">
        <f ca="1">IFERROR(__xludf.DUMMYFUNCTION("""COMPUTED_VALUE"""),"尊敬")</f>
        <v>尊敬</v>
      </c>
      <c r="D2562" s="13" t="str">
        <f ca="1">IFERROR(__xludf.DUMMYFUNCTION("""COMPUTED_VALUE"""),"&lt;ruby&gt;尊敬&lt;rt&gt;zūnjìng&lt;/rt&gt;&lt;/ruby&gt;")</f>
        <v>&lt;ruby&gt;尊敬&lt;rt&gt;zūnjìng&lt;/rt&gt;&lt;/ruby&gt;</v>
      </c>
      <c r="E2562" s="13" t="str">
        <f ca="1">IFERROR(__xludf.DUMMYFUNCTION("""COMPUTED_VALUE"""),"zūnjìng")</f>
        <v>zūnjìng</v>
      </c>
      <c r="F2562" s="13" t="str">
        <f ca="1">IFERROR(__xludf.DUMMYFUNCTION("""COMPUTED_VALUE"""),"Động từ")</f>
        <v>Động từ</v>
      </c>
      <c r="G2562" s="13" t="str">
        <f ca="1">IFERROR(__xludf.DUMMYFUNCTION("""COMPUTED_VALUE"""),"kính trọng")</f>
        <v>kính trọng</v>
      </c>
      <c r="H2562" s="13" t="str">
        <f ca="1">IFERROR(__xludf.DUMMYFUNCTION("""COMPUTED_VALUE""")," 我一直尊敬我的父母，并感谢他们为我们所做的一切。")</f>
        <v xml:space="preserve"> 我一直尊敬我的父母，并感谢他们为我们所做的一切。</v>
      </c>
      <c r="I2562" s="13"/>
      <c r="J2562" s="13" t="str">
        <f ca="1">IFERROR(__xludf.DUMMYFUNCTION("""COMPUTED_VALUE"""),"Tôi luôn kính trọng cha mẹ của mình và cảm ơn những gì họ đã làm cho chúng ta.")</f>
        <v>Tôi luôn kính trọng cha mẹ của mình và cảm ơn những gì họ đã làm cho chúng ta.</v>
      </c>
      <c r="K2562" s="13" t="str">
        <f ca="1">IFERROR(__xludf.DUMMYFUNCTION("""COMPUTED_VALUE"""),"H5_B32_BG-33.png")</f>
        <v>H5_B32_BG-33.png</v>
      </c>
      <c r="L2562" s="13" t="str">
        <f ca="1">IFERROR(__xludf.DUMMYFUNCTION("""COMPUTED_VALUE"""),"B32_33.mp3")</f>
        <v>B32_33.mp3</v>
      </c>
      <c r="M2562" s="13" t="str">
        <f ca="1">IFERROR(__xludf.DUMMYFUNCTION("""COMPUTED_VALUE"""),"B32_VD_33.mp3")</f>
        <v>B32_VD_33.mp3</v>
      </c>
    </row>
    <row r="2563" spans="1:13">
      <c r="A2563" s="13">
        <f ca="1">IFERROR(__xludf.DUMMYFUNCTION("""COMPUTED_VALUE"""),34)</f>
        <v>34</v>
      </c>
      <c r="B2563" s="13"/>
      <c r="C2563" s="13" t="str">
        <f ca="1">IFERROR(__xludf.DUMMYFUNCTION("""COMPUTED_VALUE"""),"鼓舞")</f>
        <v>鼓舞</v>
      </c>
      <c r="D2563" s="13" t="str">
        <f ca="1">IFERROR(__xludf.DUMMYFUNCTION("""COMPUTED_VALUE"""),"&lt;ruby&gt;鼓舞&lt;rt&gt;gǔwǔ&lt;/rt&gt;&lt;/ruby&gt;")</f>
        <v>&lt;ruby&gt;鼓舞&lt;rt&gt;gǔwǔ&lt;/rt&gt;&lt;/ruby&gt;</v>
      </c>
      <c r="E2563" s="13" t="str">
        <f ca="1">IFERROR(__xludf.DUMMYFUNCTION("""COMPUTED_VALUE"""),"gǔwǔ")</f>
        <v>gǔwǔ</v>
      </c>
      <c r="F2563" s="13" t="str">
        <f ca="1">IFERROR(__xludf.DUMMYFUNCTION("""COMPUTED_VALUE"""),"Động từ")</f>
        <v>Động từ</v>
      </c>
      <c r="G2563" s="13" t="str">
        <f ca="1">IFERROR(__xludf.DUMMYFUNCTION("""COMPUTED_VALUE"""),"cổ vũ, khích lệ")</f>
        <v>cổ vũ, khích lệ</v>
      </c>
      <c r="H2563" s="13" t="str">
        <f ca="1">IFERROR(__xludf.DUMMYFUNCTION("""COMPUTED_VALUE"""),"老师的鼓舞让我更加努力学习。")</f>
        <v>老师的鼓舞让我更加努力学习。</v>
      </c>
      <c r="I2563" s="13"/>
      <c r="J2563" s="13" t="str">
        <f ca="1">IFERROR(__xludf.DUMMYFUNCTION("""COMPUTED_VALUE"""),"Lời khích lệ của cô giáo khiến tôi cố gắng học tập hơn nữa.")</f>
        <v>Lời khích lệ của cô giáo khiến tôi cố gắng học tập hơn nữa.</v>
      </c>
      <c r="K2563" s="13" t="str">
        <f ca="1">IFERROR(__xludf.DUMMYFUNCTION("""COMPUTED_VALUE"""),"H5_B32_BG-34.png")</f>
        <v>H5_B32_BG-34.png</v>
      </c>
      <c r="L2563" s="13" t="str">
        <f ca="1">IFERROR(__xludf.DUMMYFUNCTION("""COMPUTED_VALUE"""),"B32_34.mp3")</f>
        <v>B32_34.mp3</v>
      </c>
      <c r="M2563" s="13" t="str">
        <f ca="1">IFERROR(__xludf.DUMMYFUNCTION("""COMPUTED_VALUE"""),"B32_VD_34.mp3")</f>
        <v>B32_VD_34.mp3</v>
      </c>
    </row>
    <row r="2564" spans="1:13">
      <c r="A2564" s="13">
        <f ca="1">IFERROR(__xludf.DUMMYFUNCTION("""COMPUTED_VALUE"""),35)</f>
        <v>35</v>
      </c>
      <c r="B2564" s="13"/>
      <c r="C2564" s="13" t="str">
        <f ca="1">IFERROR(__xludf.DUMMYFUNCTION("""COMPUTED_VALUE"""),"消极")</f>
        <v>消极</v>
      </c>
      <c r="D2564" s="13" t="str">
        <f ca="1">IFERROR(__xludf.DUMMYFUNCTION("""COMPUTED_VALUE"""),"&lt;ruby&gt;消极&lt;rt&gt;xiāojí&lt;/rt&gt;&lt;/ruby&gt;")</f>
        <v>&lt;ruby&gt;消极&lt;rt&gt;xiāojí&lt;/rt&gt;&lt;/ruby&gt;</v>
      </c>
      <c r="E2564" s="13" t="str">
        <f ca="1">IFERROR(__xludf.DUMMYFUNCTION("""COMPUTED_VALUE"""),"xiāojí")</f>
        <v>xiāojí</v>
      </c>
      <c r="F2564" s="13" t="str">
        <f ca="1">IFERROR(__xludf.DUMMYFUNCTION("""COMPUTED_VALUE"""),"Tính từ")</f>
        <v>Tính từ</v>
      </c>
      <c r="G2564" s="13" t="str">
        <f ca="1">IFERROR(__xludf.DUMMYFUNCTION("""COMPUTED_VALUE"""),"tiêu cực")</f>
        <v>tiêu cực</v>
      </c>
      <c r="H2564" s="13" t="str">
        <f ca="1">IFERROR(__xludf.DUMMYFUNCTION("""COMPUTED_VALUE"""),"我的腿不能走路了，我总是有消极的想法。")</f>
        <v>我的腿不能走路了，我总是有消极的想法。</v>
      </c>
      <c r="I2564" s="13"/>
      <c r="J2564" s="13" t="str">
        <f ca="1">IFERROR(__xludf.DUMMYFUNCTION("""COMPUTED_VALUE"""),"Tôi luôn có suy nghĩ tiêu cực khi đôi chân của mình không thể đi lại được.")</f>
        <v>Tôi luôn có suy nghĩ tiêu cực khi đôi chân của mình không thể đi lại được.</v>
      </c>
      <c r="K2564" s="13" t="str">
        <f ca="1">IFERROR(__xludf.DUMMYFUNCTION("""COMPUTED_VALUE"""),"H5_B32_BG-35.png")</f>
        <v>H5_B32_BG-35.png</v>
      </c>
      <c r="L2564" s="13" t="str">
        <f ca="1">IFERROR(__xludf.DUMMYFUNCTION("""COMPUTED_VALUE"""),"B32_35.mp3")</f>
        <v>B32_35.mp3</v>
      </c>
      <c r="M2564" s="13" t="str">
        <f ca="1">IFERROR(__xludf.DUMMYFUNCTION("""COMPUTED_VALUE"""),"B32_VD_35.mp3")</f>
        <v>B32_VD_35.mp3</v>
      </c>
    </row>
    <row r="2565" spans="1:13">
      <c r="A2565" s="13">
        <f ca="1">IFERROR(__xludf.DUMMYFUNCTION("""COMPUTED_VALUE"""),36)</f>
        <v>36</v>
      </c>
      <c r="B2565" s="13"/>
      <c r="C2565" s="13" t="str">
        <f ca="1">IFERROR(__xludf.DUMMYFUNCTION("""COMPUTED_VALUE"""),"幻想")</f>
        <v>幻想</v>
      </c>
      <c r="D2565" s="13" t="str">
        <f ca="1">IFERROR(__xludf.DUMMYFUNCTION("""COMPUTED_VALUE"""),"&lt;ruby&gt;幻想&lt;rt&gt;huànxiǎng&lt;/rt&gt;&lt;/ruby&gt;")</f>
        <v>&lt;ruby&gt;幻想&lt;rt&gt;huànxiǎng&lt;/rt&gt;&lt;/ruby&gt;</v>
      </c>
      <c r="E2565" s="13" t="str">
        <f ca="1">IFERROR(__xludf.DUMMYFUNCTION("""COMPUTED_VALUE"""),"huànxiǎng")</f>
        <v>huànxiǎng</v>
      </c>
      <c r="F2565" s="13" t="str">
        <f ca="1">IFERROR(__xludf.DUMMYFUNCTION("""COMPUTED_VALUE"""),"Danh từ")</f>
        <v>Danh từ</v>
      </c>
      <c r="G2565" s="13" t="str">
        <f ca="1">IFERROR(__xludf.DUMMYFUNCTION("""COMPUTED_VALUE"""),"ảo tưởng, hoang tưởng")</f>
        <v>ảo tưởng, hoang tưởng</v>
      </c>
      <c r="H2565" s="13" t="str">
        <f ca="1">IFERROR(__xludf.DUMMYFUNCTION("""COMPUTED_VALUE"""),"他幻想自己成为超级英雄。")</f>
        <v>他幻想自己成为超级英雄。</v>
      </c>
      <c r="I2565" s="13"/>
      <c r="J2565" s="13" t="str">
        <f ca="1">IFERROR(__xludf.DUMMYFUNCTION("""COMPUTED_VALUE"""),"Anh ta ảo tưởng trở thành siêu anh hùng.")</f>
        <v>Anh ta ảo tưởng trở thành siêu anh hùng.</v>
      </c>
      <c r="K2565" s="13" t="str">
        <f ca="1">IFERROR(__xludf.DUMMYFUNCTION("""COMPUTED_VALUE"""),"H5_B32_BG-36.png")</f>
        <v>H5_B32_BG-36.png</v>
      </c>
      <c r="L2565" s="13" t="str">
        <f ca="1">IFERROR(__xludf.DUMMYFUNCTION("""COMPUTED_VALUE"""),"B32_36.mp3")</f>
        <v>B32_36.mp3</v>
      </c>
      <c r="M2565" s="13" t="str">
        <f ca="1">IFERROR(__xludf.DUMMYFUNCTION("""COMPUTED_VALUE"""),"B32_VD_36.mp3")</f>
        <v>B32_VD_36.mp3</v>
      </c>
    </row>
    <row r="2566" spans="1:13">
      <c r="A2566" s="13">
        <f ca="1">IFERROR(__xludf.DUMMYFUNCTION("""COMPUTED_VALUE"""),37)</f>
        <v>37</v>
      </c>
      <c r="B2566" s="13"/>
      <c r="C2566" s="13" t="str">
        <f ca="1">IFERROR(__xludf.DUMMYFUNCTION("""COMPUTED_VALUE"""),"贡献")</f>
        <v>贡献</v>
      </c>
      <c r="D2566" s="13" t="str">
        <f ca="1">IFERROR(__xludf.DUMMYFUNCTION("""COMPUTED_VALUE"""),"&lt;ruby&gt;贡献&lt;rt&gt;gòngxiàn&lt;/rt&gt;&lt;/ruby&gt;")</f>
        <v>&lt;ruby&gt;贡献&lt;rt&gt;gòngxiàn&lt;/rt&gt;&lt;/ruby&gt;</v>
      </c>
      <c r="E2566" s="13" t="str">
        <f ca="1">IFERROR(__xludf.DUMMYFUNCTION("""COMPUTED_VALUE"""),"gòngxiàn")</f>
        <v>gòngxiàn</v>
      </c>
      <c r="F2566" s="13" t="str">
        <f ca="1">IFERROR(__xludf.DUMMYFUNCTION("""COMPUTED_VALUE"""),"Danh từ/Động từ")</f>
        <v>Danh từ/Động từ</v>
      </c>
      <c r="G2566" s="13" t="str">
        <f ca="1">IFERROR(__xludf.DUMMYFUNCTION("""COMPUTED_VALUE"""),"sự đóng góp; cống hiến")</f>
        <v>sự đóng góp; cống hiến</v>
      </c>
      <c r="H2566" s="13" t="str">
        <f ca="1">IFERROR(__xludf.DUMMYFUNCTION("""COMPUTED_VALUE"""),"他的贡献虽然看起来微不足道，但对团队来说非常重要。")</f>
        <v>他的贡献虽然看起来微不足道，但对团队来说非常重要。</v>
      </c>
      <c r="I2566" s="13"/>
      <c r="J2566" s="13" t="str">
        <f ca="1">IFERROR(__xludf.DUMMYFUNCTION("""COMPUTED_VALUE"""),"Những đóng góp của anh ấy dù có vẻ nhỏ bé, nhưng lại vô cùng quan trọng đối với đội nhóm.")</f>
        <v>Những đóng góp của anh ấy dù có vẻ nhỏ bé, nhưng lại vô cùng quan trọng đối với đội nhóm.</v>
      </c>
      <c r="K2566" s="13" t="str">
        <f ca="1">IFERROR(__xludf.DUMMYFUNCTION("""COMPUTED_VALUE"""),"H5_B32_BG-37.png")</f>
        <v>H5_B32_BG-37.png</v>
      </c>
      <c r="L2566" s="13" t="str">
        <f ca="1">IFERROR(__xludf.DUMMYFUNCTION("""COMPUTED_VALUE"""),"B32_37.mp3")</f>
        <v>B32_37.mp3</v>
      </c>
      <c r="M2566" s="13" t="str">
        <f ca="1">IFERROR(__xludf.DUMMYFUNCTION("""COMPUTED_VALUE"""),"B32_VD_37.mp3")</f>
        <v>B32_VD_37.mp3</v>
      </c>
    </row>
    <row r="2567" spans="1:13">
      <c r="A2567" s="13">
        <f ca="1">IFERROR(__xludf.DUMMYFUNCTION("""COMPUTED_VALUE"""),38)</f>
        <v>38</v>
      </c>
      <c r="B2567" s="13"/>
      <c r="C2567" s="13" t="str">
        <f ca="1">IFERROR(__xludf.DUMMYFUNCTION("""COMPUTED_VALUE"""),"命运")</f>
        <v>命运</v>
      </c>
      <c r="D2567" s="13" t="str">
        <f ca="1">IFERROR(__xludf.DUMMYFUNCTION("""COMPUTED_VALUE"""),"&lt;ruby&gt;命运&lt;rt&gt;mìngyùn&lt;/rt&gt;&lt;/ruby&gt;")</f>
        <v>&lt;ruby&gt;命运&lt;rt&gt;mìngyùn&lt;/rt&gt;&lt;/ruby&gt;</v>
      </c>
      <c r="E2567" s="13" t="str">
        <f ca="1">IFERROR(__xludf.DUMMYFUNCTION("""COMPUTED_VALUE"""),"mìngyùn")</f>
        <v>mìngyùn</v>
      </c>
      <c r="F2567" s="13" t="str">
        <f ca="1">IFERROR(__xludf.DUMMYFUNCTION("""COMPUTED_VALUE"""),"Danh từ")</f>
        <v>Danh từ</v>
      </c>
      <c r="G2567" s="13" t="str">
        <f ca="1">IFERROR(__xludf.DUMMYFUNCTION("""COMPUTED_VALUE"""),"số phận, vận mệnh")</f>
        <v>số phận, vận mệnh</v>
      </c>
      <c r="H2567" s="13" t="str">
        <f ca="1">IFERROR(__xludf.DUMMYFUNCTION("""COMPUTED_VALUE"""),"命运让我们走到了一起，创造了一段美好的爱情。")</f>
        <v>命运让我们走到了一起，创造了一段美好的爱情。</v>
      </c>
      <c r="I2567" s="13"/>
      <c r="J2567" s="13" t="str">
        <f ca="1">IFERROR(__xludf.DUMMYFUNCTION("""COMPUTED_VALUE"""),"Số phận đã sắp đặt chúng tôi bên nhau, tạo nên một tình yêu đẹp.")</f>
        <v>Số phận đã sắp đặt chúng tôi bên nhau, tạo nên một tình yêu đẹp.</v>
      </c>
      <c r="K2567" s="13" t="str">
        <f ca="1">IFERROR(__xludf.DUMMYFUNCTION("""COMPUTED_VALUE"""),"H5_B32_BG-38.png")</f>
        <v>H5_B32_BG-38.png</v>
      </c>
      <c r="L2567" s="13" t="str">
        <f ca="1">IFERROR(__xludf.DUMMYFUNCTION("""COMPUTED_VALUE"""),"B32_38.mp3")</f>
        <v>B32_38.mp3</v>
      </c>
      <c r="M2567" s="13" t="str">
        <f ca="1">IFERROR(__xludf.DUMMYFUNCTION("""COMPUTED_VALUE"""),"B32_VD_38.mp3")</f>
        <v>B32_VD_38.mp3</v>
      </c>
    </row>
    <row r="2568" spans="1:13">
      <c r="A2568" s="13">
        <f ca="1">IFERROR(__xludf.DUMMYFUNCTION("""COMPUTED_VALUE"""),39)</f>
        <v>39</v>
      </c>
      <c r="B2568" s="13"/>
      <c r="C2568" s="13" t="str">
        <f ca="1">IFERROR(__xludf.DUMMYFUNCTION("""COMPUTED_VALUE"""),"掌握")</f>
        <v>掌握</v>
      </c>
      <c r="D2568" s="13" t="str">
        <f ca="1">IFERROR(__xludf.DUMMYFUNCTION("""COMPUTED_VALUE"""),"&lt;ruby&gt;掌握&lt;rt&gt;zhǎngwò&lt;/rt&gt;&lt;/ruby&gt;")</f>
        <v>&lt;ruby&gt;掌握&lt;rt&gt;zhǎngwò&lt;/rt&gt;&lt;/ruby&gt;</v>
      </c>
      <c r="E2568" s="13" t="str">
        <f ca="1">IFERROR(__xludf.DUMMYFUNCTION("""COMPUTED_VALUE"""),"zhǎngwò")</f>
        <v>zhǎngwò</v>
      </c>
      <c r="F2568" s="13" t="str">
        <f ca="1">IFERROR(__xludf.DUMMYFUNCTION("""COMPUTED_VALUE"""),"Động từ")</f>
        <v>Động từ</v>
      </c>
      <c r="G2568" s="13" t="str">
        <f ca="1">IFERROR(__xludf.DUMMYFUNCTION("""COMPUTED_VALUE"""),"nắm chắc, nắm vững, hiểu rõ")</f>
        <v>nắm chắc, nắm vững, hiểu rõ</v>
      </c>
      <c r="H2568" s="13" t="str">
        <f ca="1">IFERROR(__xludf.DUMMYFUNCTION("""COMPUTED_VALUE""")," 我已经掌握了所有知识，并在考试中取得了满分。")</f>
        <v xml:space="preserve"> 我已经掌握了所有知识，并在考试中取得了满分。</v>
      </c>
      <c r="I2568" s="13"/>
      <c r="J2568" s="13" t="str">
        <f ca="1">IFERROR(__xludf.DUMMYFUNCTION("""COMPUTED_VALUE"""),"Tôi đã nắm chắc kiến thức trong tay và đạt được điểm tối đa trong kì thi vừa qua.")</f>
        <v>Tôi đã nắm chắc kiến thức trong tay và đạt được điểm tối đa trong kì thi vừa qua.</v>
      </c>
      <c r="K2568" s="13" t="str">
        <f ca="1">IFERROR(__xludf.DUMMYFUNCTION("""COMPUTED_VALUE"""),"H5_B32_BG-39.png")</f>
        <v>H5_B32_BG-39.png</v>
      </c>
      <c r="L2568" s="13" t="str">
        <f ca="1">IFERROR(__xludf.DUMMYFUNCTION("""COMPUTED_VALUE"""),"B32_39.mp3")</f>
        <v>B32_39.mp3</v>
      </c>
      <c r="M2568" s="13" t="str">
        <f ca="1">IFERROR(__xludf.DUMMYFUNCTION("""COMPUTED_VALUE"""),"B32_VD_39.mp3")</f>
        <v>B32_VD_39.mp3</v>
      </c>
    </row>
    <row r="2569" spans="1:13">
      <c r="A2569" s="13">
        <f ca="1">IFERROR(__xludf.DUMMYFUNCTION("""COMPUTED_VALUE"""),1)</f>
        <v>1</v>
      </c>
      <c r="B2569" s="13"/>
      <c r="C2569" s="13" t="str">
        <f ca="1">IFERROR(__xludf.DUMMYFUNCTION("""COMPUTED_VALUE"""),"缓解")</f>
        <v>缓解</v>
      </c>
      <c r="D2569" s="13" t="str">
        <f ca="1">IFERROR(__xludf.DUMMYFUNCTION("""COMPUTED_VALUE"""),"&lt;ruby&gt;缓解&lt;rt&gt;huǎnjiě&lt;/rt&gt;&lt;/ruby&gt;")</f>
        <v>&lt;ruby&gt;缓解&lt;rt&gt;huǎnjiě&lt;/rt&gt;&lt;/ruby&gt;</v>
      </c>
      <c r="E2569" s="13" t="str">
        <f ca="1">IFERROR(__xludf.DUMMYFUNCTION("""COMPUTED_VALUE"""),"huǎnjiě")</f>
        <v>huǎnjiě</v>
      </c>
      <c r="F2569" s="13" t="str">
        <f ca="1">IFERROR(__xludf.DUMMYFUNCTION("""COMPUTED_VALUE"""),"Động từ")</f>
        <v>Động từ</v>
      </c>
      <c r="G2569" s="13" t="str">
        <f ca="1">IFERROR(__xludf.DUMMYFUNCTION("""COMPUTED_VALUE"""),"làm dịu, xoa dịu")</f>
        <v>làm dịu, xoa dịu</v>
      </c>
      <c r="H2569" s="13" t="str">
        <f ca="1">IFERROR(__xludf.DUMMYFUNCTION("""COMPUTED_VALUE"""),"这种药可以缓解头痛。")</f>
        <v>这种药可以缓解头痛。</v>
      </c>
      <c r="I2569" s="13"/>
      <c r="J2569" s="13" t="str">
        <f ca="1">IFERROR(__xludf.DUMMYFUNCTION("""COMPUTED_VALUE"""),"Loại thuốc này có thể làm dịu cơn đau đầu.")</f>
        <v>Loại thuốc này có thể làm dịu cơn đau đầu.</v>
      </c>
      <c r="K2569" s="13" t="str">
        <f ca="1">IFERROR(__xludf.DUMMYFUNCTION("""COMPUTED_VALUE"""),"H5_B33_BG-01.png")</f>
        <v>H5_B33_BG-01.png</v>
      </c>
      <c r="L2569" s="13" t="str">
        <f ca="1">IFERROR(__xludf.DUMMYFUNCTION("""COMPUTED_VALUE"""),"B33_1.mp3")</f>
        <v>B33_1.mp3</v>
      </c>
      <c r="M2569" s="13" t="str">
        <f ca="1">IFERROR(__xludf.DUMMYFUNCTION("""COMPUTED_VALUE"""),"B33_VD_1.mp3")</f>
        <v>B33_VD_1.mp3</v>
      </c>
    </row>
    <row r="2570" spans="1:13">
      <c r="A2570" s="13">
        <f ca="1">IFERROR(__xludf.DUMMYFUNCTION("""COMPUTED_VALUE"""),2)</f>
        <v>2</v>
      </c>
      <c r="B2570" s="13"/>
      <c r="C2570" s="13" t="str">
        <f ca="1">IFERROR(__xludf.DUMMYFUNCTION("""COMPUTED_VALUE"""),"招（儿）")</f>
        <v>招（儿）</v>
      </c>
      <c r="D2570" s="13" t="str">
        <f ca="1">IFERROR(__xludf.DUMMYFUNCTION("""COMPUTED_VALUE"""),"&lt;ruby&gt;招（儿）&lt;rt&gt;zhāo(r)&lt;/rt&gt;&lt;/ruby&gt;")</f>
        <v>&lt;ruby&gt;招（儿）&lt;rt&gt;zhāo(r)&lt;/rt&gt;&lt;/ruby&gt;</v>
      </c>
      <c r="E2570" s="13" t="str">
        <f ca="1">IFERROR(__xludf.DUMMYFUNCTION("""COMPUTED_VALUE"""),"zhāo(r)")</f>
        <v>zhāo(r)</v>
      </c>
      <c r="F2570" s="13" t="str">
        <f ca="1">IFERROR(__xludf.DUMMYFUNCTION("""COMPUTED_VALUE"""),"Danh từ")</f>
        <v>Danh từ</v>
      </c>
      <c r="G2570" s="13" t="str">
        <f ca="1">IFERROR(__xludf.DUMMYFUNCTION("""COMPUTED_VALUE"""),"biện pháp, phương pháp")</f>
        <v>biện pháp, phương pháp</v>
      </c>
      <c r="H2570" s="13" t="str">
        <f ca="1">IFERROR(__xludf.DUMMYFUNCTION("""COMPUTED_VALUE"""),"他想出了一个很好的招儿来推广产品。")</f>
        <v>他想出了一个很好的招儿来推广产品。</v>
      </c>
      <c r="I2570" s="13"/>
      <c r="J2570" s="13" t="str">
        <f ca="1">IFERROR(__xludf.DUMMYFUNCTION("""COMPUTED_VALUE"""),"Anh ấy đã nghĩ ra một biện pháp tốt để quảng bá sản phẩm.")</f>
        <v>Anh ấy đã nghĩ ra một biện pháp tốt để quảng bá sản phẩm.</v>
      </c>
      <c r="K2570" s="13" t="str">
        <f ca="1">IFERROR(__xludf.DUMMYFUNCTION("""COMPUTED_VALUE"""),"H5_B33_BG-02.png")</f>
        <v>H5_B33_BG-02.png</v>
      </c>
      <c r="L2570" s="13" t="str">
        <f ca="1">IFERROR(__xludf.DUMMYFUNCTION("""COMPUTED_VALUE"""),"B33_2.mp3")</f>
        <v>B33_2.mp3</v>
      </c>
      <c r="M2570" s="13" t="str">
        <f ca="1">IFERROR(__xludf.DUMMYFUNCTION("""COMPUTED_VALUE"""),"B33_VD_2.mp3")</f>
        <v>B33_VD_2.mp3</v>
      </c>
    </row>
    <row r="2571" spans="1:13">
      <c r="A2571" s="13">
        <f ca="1">IFERROR(__xludf.DUMMYFUNCTION("""COMPUTED_VALUE"""),3)</f>
        <v>3</v>
      </c>
      <c r="B2571" s="13"/>
      <c r="C2571" s="13" t="str">
        <f ca="1">IFERROR(__xludf.DUMMYFUNCTION("""COMPUTED_VALUE"""),"家常")</f>
        <v>家常</v>
      </c>
      <c r="D2571" s="13" t="str">
        <f ca="1">IFERROR(__xludf.DUMMYFUNCTION("""COMPUTED_VALUE"""),"&lt;ruby&gt;家常&lt;rt&gt;jiācháng&lt;/rt&gt;&lt;/ruby&gt;")</f>
        <v>&lt;ruby&gt;家常&lt;rt&gt;jiācháng&lt;/rt&gt;&lt;/ruby&gt;</v>
      </c>
      <c r="E2571" s="13" t="str">
        <f ca="1">IFERROR(__xludf.DUMMYFUNCTION("""COMPUTED_VALUE"""),"jiācháng")</f>
        <v>jiācháng</v>
      </c>
      <c r="F2571" s="13" t="str">
        <f ca="1">IFERROR(__xludf.DUMMYFUNCTION("""COMPUTED_VALUE"""),"Danh từ")</f>
        <v>Danh từ</v>
      </c>
      <c r="G2571" s="13" t="str">
        <f ca="1">IFERROR(__xludf.DUMMYFUNCTION("""COMPUTED_VALUE"""),"việc thường ngày")</f>
        <v>việc thường ngày</v>
      </c>
      <c r="H2571" s="13" t="str">
        <f ca="1">IFERROR(__xludf.DUMMYFUNCTION("""COMPUTED_VALUE"""),"我们聊了很多家常。")</f>
        <v>我们聊了很多家常。</v>
      </c>
      <c r="I2571" s="13"/>
      <c r="J2571" s="13" t="str">
        <f ca="1">IFERROR(__xludf.DUMMYFUNCTION("""COMPUTED_VALUE"""),"Chúng tôi đã trò chuyện nhiều về chuyện gia đình.")</f>
        <v>Chúng tôi đã trò chuyện nhiều về chuyện gia đình.</v>
      </c>
      <c r="K2571" s="13" t="str">
        <f ca="1">IFERROR(__xludf.DUMMYFUNCTION("""COMPUTED_VALUE"""),"H5_B33_BG-03.png")</f>
        <v>H5_B33_BG-03.png</v>
      </c>
      <c r="L2571" s="13" t="str">
        <f ca="1">IFERROR(__xludf.DUMMYFUNCTION("""COMPUTED_VALUE"""),"B33_3.mp3")</f>
        <v>B33_3.mp3</v>
      </c>
      <c r="M2571" s="13" t="str">
        <f ca="1">IFERROR(__xludf.DUMMYFUNCTION("""COMPUTED_VALUE"""),"B33_VD_3.mp3")</f>
        <v>B33_VD_3.mp3</v>
      </c>
    </row>
    <row r="2572" spans="1:13">
      <c r="A2572" s="13">
        <f ca="1">IFERROR(__xludf.DUMMYFUNCTION("""COMPUTED_VALUE"""),4)</f>
        <v>4</v>
      </c>
      <c r="B2572" s="13"/>
      <c r="C2572" s="13" t="str">
        <f ca="1">IFERROR(__xludf.DUMMYFUNCTION("""COMPUTED_VALUE"""),"健身")</f>
        <v>健身</v>
      </c>
      <c r="D2572" s="13" t="str">
        <f ca="1">IFERROR(__xludf.DUMMYFUNCTION("""COMPUTED_VALUE"""),"&lt;ruby&gt;健身&lt;rt&gt;jiànshēn&lt;/rt&gt;&lt;/ruby&gt;")</f>
        <v>&lt;ruby&gt;健身&lt;rt&gt;jiànshēn&lt;/rt&gt;&lt;/ruby&gt;</v>
      </c>
      <c r="E2572" s="13" t="str">
        <f ca="1">IFERROR(__xludf.DUMMYFUNCTION("""COMPUTED_VALUE"""),"jiànshēn")</f>
        <v>jiànshēn</v>
      </c>
      <c r="F2572" s="13" t="str">
        <f ca="1">IFERROR(__xludf.DUMMYFUNCTION("""COMPUTED_VALUE"""),"Động từ")</f>
        <v>Động từ</v>
      </c>
      <c r="G2572" s="13" t="str">
        <f ca="1">IFERROR(__xludf.DUMMYFUNCTION("""COMPUTED_VALUE"""),"tâp thể dục")</f>
        <v>tâp thể dục</v>
      </c>
      <c r="H2572" s="13" t="str">
        <f ca="1">IFERROR(__xludf.DUMMYFUNCTION("""COMPUTED_VALUE"""),"我喜欢健身，特别是跑步。")</f>
        <v>我喜欢健身，特别是跑步。</v>
      </c>
      <c r="I2572" s="13"/>
      <c r="J2572" s="13" t="str">
        <f ca="1">IFERROR(__xludf.DUMMYFUNCTION("""COMPUTED_VALUE"""),"Tôi thích tập thể dục, đặc biệt là chạy bộ")</f>
        <v>Tôi thích tập thể dục, đặc biệt là chạy bộ</v>
      </c>
      <c r="K2572" s="13" t="str">
        <f ca="1">IFERROR(__xludf.DUMMYFUNCTION("""COMPUTED_VALUE"""),"H5_B33_BG-04.png")</f>
        <v>H5_B33_BG-04.png</v>
      </c>
      <c r="L2572" s="13" t="str">
        <f ca="1">IFERROR(__xludf.DUMMYFUNCTION("""COMPUTED_VALUE"""),"B33_4.mp3")</f>
        <v>B33_4.mp3</v>
      </c>
      <c r="M2572" s="13" t="str">
        <f ca="1">IFERROR(__xludf.DUMMYFUNCTION("""COMPUTED_VALUE"""),"B33_VD_4.mp3")</f>
        <v>B33_VD_4.mp3</v>
      </c>
    </row>
    <row r="2573" spans="1:13">
      <c r="A2573" s="13">
        <f ca="1">IFERROR(__xludf.DUMMYFUNCTION("""COMPUTED_VALUE"""),5)</f>
        <v>5</v>
      </c>
      <c r="B2573" s="13"/>
      <c r="C2573" s="13" t="str">
        <f ca="1">IFERROR(__xludf.DUMMYFUNCTION("""COMPUTED_VALUE"""),"受（伤）")</f>
        <v>受（伤）</v>
      </c>
      <c r="D2573" s="13" t="str">
        <f ca="1">IFERROR(__xludf.DUMMYFUNCTION("""COMPUTED_VALUE"""),"&lt;ruby&gt;受（伤）&lt;rt&gt;shòu (shāng)&lt;/rt&gt;&lt;/ruby&gt;")</f>
        <v>&lt;ruby&gt;受（伤）&lt;rt&gt;shòu (shāng)&lt;/rt&gt;&lt;/ruby&gt;</v>
      </c>
      <c r="E2573" s="13" t="str">
        <f ca="1">IFERROR(__xludf.DUMMYFUNCTION("""COMPUTED_VALUE"""),"shòu (shāng)")</f>
        <v>shòu (shāng)</v>
      </c>
      <c r="F2573" s="13" t="str">
        <f ca="1">IFERROR(__xludf.DUMMYFUNCTION("""COMPUTED_VALUE"""),"Động từ")</f>
        <v>Động từ</v>
      </c>
      <c r="G2573" s="13" t="str">
        <f ca="1">IFERROR(__xludf.DUMMYFUNCTION("""COMPUTED_VALUE"""),"bị (thương)")</f>
        <v>bị (thương)</v>
      </c>
      <c r="H2573" s="13" t="str">
        <f ca="1">IFERROR(__xludf.DUMMYFUNCTION("""COMPUTED_VALUE"""),"他受伤后需要休息一段时间。")</f>
        <v>他受伤后需要休息一段时间。</v>
      </c>
      <c r="I2573" s="13"/>
      <c r="J2573" s="13" t="str">
        <f ca="1">IFERROR(__xludf.DUMMYFUNCTION("""COMPUTED_VALUE"""),"Sau khi bị thương, anh ấy cần nghỉ ngơi vài một thời gian.")</f>
        <v>Sau khi bị thương, anh ấy cần nghỉ ngơi vài một thời gian.</v>
      </c>
      <c r="K2573" s="13" t="str">
        <f ca="1">IFERROR(__xludf.DUMMYFUNCTION("""COMPUTED_VALUE"""),"H5_B33_BG-05.png")</f>
        <v>H5_B33_BG-05.png</v>
      </c>
      <c r="L2573" s="13" t="str">
        <f ca="1">IFERROR(__xludf.DUMMYFUNCTION("""COMPUTED_VALUE"""),"B33_5.mp3")</f>
        <v>B33_5.mp3</v>
      </c>
      <c r="M2573" s="13" t="str">
        <f ca="1">IFERROR(__xludf.DUMMYFUNCTION("""COMPUTED_VALUE"""),"B33_VD_5.mp3")</f>
        <v>B33_VD_5.mp3</v>
      </c>
    </row>
    <row r="2574" spans="1:13">
      <c r="A2574" s="13">
        <f ca="1">IFERROR(__xludf.DUMMYFUNCTION("""COMPUTED_VALUE"""),6)</f>
        <v>6</v>
      </c>
      <c r="B2574" s="13"/>
      <c r="C2574" s="13" t="str">
        <f ca="1">IFERROR(__xludf.DUMMYFUNCTION("""COMPUTED_VALUE"""),"照常")</f>
        <v>照常</v>
      </c>
      <c r="D2574" s="13" t="str">
        <f ca="1">IFERROR(__xludf.DUMMYFUNCTION("""COMPUTED_VALUE"""),"&lt;ruby&gt;照常&lt;rt&gt;zhàocháng&lt;/rt&gt;&lt;/ruby&gt;")</f>
        <v>&lt;ruby&gt;照常&lt;rt&gt;zhàocháng&lt;/rt&gt;&lt;/ruby&gt;</v>
      </c>
      <c r="E2574" s="13" t="str">
        <f ca="1">IFERROR(__xludf.DUMMYFUNCTION("""COMPUTED_VALUE"""),"zhàocháng")</f>
        <v>zhàocháng</v>
      </c>
      <c r="F2574" s="13" t="str">
        <f ca="1">IFERROR(__xludf.DUMMYFUNCTION("""COMPUTED_VALUE"""),"Phó từ")</f>
        <v>Phó từ</v>
      </c>
      <c r="G2574" s="13" t="str">
        <f ca="1">IFERROR(__xludf.DUMMYFUNCTION("""COMPUTED_VALUE"""),"như thường lệ")</f>
        <v>như thường lệ</v>
      </c>
      <c r="H2574" s="13" t="str">
        <f ca="1">IFERROR(__xludf.DUMMYFUNCTION("""COMPUTED_VALUE"""),"尽管今天下雨，我仍然照常上学。")</f>
        <v>尽管今天下雨，我仍然照常上学。</v>
      </c>
      <c r="I2574" s="13"/>
      <c r="J2574" s="13" t="str">
        <f ca="1">IFERROR(__xludf.DUMMYFUNCTION("""COMPUTED_VALUE"""),"Mặc dù hôm nay trời mưa, tôi vẫn đi học như thường lệ.")</f>
        <v>Mặc dù hôm nay trời mưa, tôi vẫn đi học như thường lệ.</v>
      </c>
      <c r="K2574" s="13" t="str">
        <f ca="1">IFERROR(__xludf.DUMMYFUNCTION("""COMPUTED_VALUE"""),"H5_B33_BG-06.png")</f>
        <v>H5_B33_BG-06.png</v>
      </c>
      <c r="L2574" s="13" t="str">
        <f ca="1">IFERROR(__xludf.DUMMYFUNCTION("""COMPUTED_VALUE"""),"B33_6.mp3")</f>
        <v>B33_6.mp3</v>
      </c>
      <c r="M2574" s="13" t="str">
        <f ca="1">IFERROR(__xludf.DUMMYFUNCTION("""COMPUTED_VALUE"""),"B33_VD_6.mp3")</f>
        <v>B33_VD_6.mp3</v>
      </c>
    </row>
    <row r="2575" spans="1:13">
      <c r="A2575" s="13">
        <f ca="1">IFERROR(__xludf.DUMMYFUNCTION("""COMPUTED_VALUE"""),7)</f>
        <v>7</v>
      </c>
      <c r="B2575" s="13"/>
      <c r="C2575" s="13" t="str">
        <f ca="1">IFERROR(__xludf.DUMMYFUNCTION("""COMPUTED_VALUE"""),"保险")</f>
        <v>保险</v>
      </c>
      <c r="D2575" s="13" t="str">
        <f ca="1">IFERROR(__xludf.DUMMYFUNCTION("""COMPUTED_VALUE"""),"&lt;ruby&gt;保险&lt;rt&gt;bǎoxiǎn&lt;/rt&gt;&lt;/ruby&gt;")</f>
        <v>&lt;ruby&gt;保险&lt;rt&gt;bǎoxiǎn&lt;/rt&gt;&lt;/ruby&gt;</v>
      </c>
      <c r="E2575" s="13" t="str">
        <f ca="1">IFERROR(__xludf.DUMMYFUNCTION("""COMPUTED_VALUE"""),"bǎoxiǎn")</f>
        <v>bǎoxiǎn</v>
      </c>
      <c r="F2575" s="13" t="str">
        <f ca="1">IFERROR(__xludf.DUMMYFUNCTION("""COMPUTED_VALUE"""),"Danh từ")</f>
        <v>Danh từ</v>
      </c>
      <c r="G2575" s="13" t="str">
        <f ca="1">IFERROR(__xludf.DUMMYFUNCTION("""COMPUTED_VALUE"""),"hợp đồng bảo hiểm")</f>
        <v>hợp đồng bảo hiểm</v>
      </c>
      <c r="H2575" s="13" t="str">
        <f ca="1">IFERROR(__xludf.DUMMYFUNCTION("""COMPUTED_VALUE"""),"他决定买一份医疗保险以防生病。")</f>
        <v>他决定买一份医疗保险以防生病。</v>
      </c>
      <c r="I2575" s="13"/>
      <c r="J2575" s="13" t="str">
        <f ca="1">IFERROR(__xludf.DUMMYFUNCTION("""COMPUTED_VALUE"""),"Anh ấy quyết định mua một hợp đồng bảo hiểm y tế để phòng trường hợp ốm đau.")</f>
        <v>Anh ấy quyết định mua một hợp đồng bảo hiểm y tế để phòng trường hợp ốm đau.</v>
      </c>
      <c r="K2575" s="13" t="str">
        <f ca="1">IFERROR(__xludf.DUMMYFUNCTION("""COMPUTED_VALUE"""),"H5_B33_BG-07.png")</f>
        <v>H5_B33_BG-07.png</v>
      </c>
      <c r="L2575" s="13" t="str">
        <f ca="1">IFERROR(__xludf.DUMMYFUNCTION("""COMPUTED_VALUE"""),"B33_7.mp3")</f>
        <v>B33_7.mp3</v>
      </c>
      <c r="M2575" s="13" t="str">
        <f ca="1">IFERROR(__xludf.DUMMYFUNCTION("""COMPUTED_VALUE"""),"B33_VD_7.mp3")</f>
        <v>B33_VD_7.mp3</v>
      </c>
    </row>
    <row r="2576" spans="1:13">
      <c r="A2576" s="13">
        <f ca="1">IFERROR(__xludf.DUMMYFUNCTION("""COMPUTED_VALUE"""),8)</f>
        <v>8</v>
      </c>
      <c r="B2576" s="13"/>
      <c r="C2576" s="13" t="str">
        <f ca="1">IFERROR(__xludf.DUMMYFUNCTION("""COMPUTED_VALUE"""),"赔偿")</f>
        <v>赔偿</v>
      </c>
      <c r="D2576" s="13" t="str">
        <f ca="1">IFERROR(__xludf.DUMMYFUNCTION("""COMPUTED_VALUE"""),"&lt;ruby&gt;赔偿&lt;rt&gt;péicháng&lt;/rt&gt;&lt;/ruby&gt;")</f>
        <v>&lt;ruby&gt;赔偿&lt;rt&gt;péicháng&lt;/rt&gt;&lt;/ruby&gt;</v>
      </c>
      <c r="E2576" s="13" t="str">
        <f ca="1">IFERROR(__xludf.DUMMYFUNCTION("""COMPUTED_VALUE"""),"péicháng")</f>
        <v>péicháng</v>
      </c>
      <c r="F2576" s="13" t="str">
        <f ca="1">IFERROR(__xludf.DUMMYFUNCTION("""COMPUTED_VALUE"""),"Động từ")</f>
        <v>Động từ</v>
      </c>
      <c r="G2576" s="13" t="str">
        <f ca="1">IFERROR(__xludf.DUMMYFUNCTION("""COMPUTED_VALUE"""),"bồi thường, đền bù")</f>
        <v>bồi thường, đền bù</v>
      </c>
      <c r="H2576" s="13" t="str">
        <f ca="1">IFERROR(__xludf.DUMMYFUNCTION("""COMPUTED_VALUE"""),"如果发生事故，保险公司会赔偿损失。")</f>
        <v>如果发生事故，保险公司会赔偿损失。</v>
      </c>
      <c r="I2576" s="13"/>
      <c r="J2576" s="13" t="str">
        <f ca="1">IFERROR(__xludf.DUMMYFUNCTION("""COMPUTED_VALUE"""),"Nếu xảy ra tai nạn, công ty bảo hiểm sẽ bồi thường thiệt hại.")</f>
        <v>Nếu xảy ra tai nạn, công ty bảo hiểm sẽ bồi thường thiệt hại.</v>
      </c>
      <c r="K2576" s="13" t="str">
        <f ca="1">IFERROR(__xludf.DUMMYFUNCTION("""COMPUTED_VALUE"""),"H5_B33_BG-08.png")</f>
        <v>H5_B33_BG-08.png</v>
      </c>
      <c r="L2576" s="13" t="str">
        <f ca="1">IFERROR(__xludf.DUMMYFUNCTION("""COMPUTED_VALUE"""),"B33_8.mp3")</f>
        <v>B33_8.mp3</v>
      </c>
      <c r="M2576" s="13" t="str">
        <f ca="1">IFERROR(__xludf.DUMMYFUNCTION("""COMPUTED_VALUE"""),"B33_VD_8.mp3")</f>
        <v>B33_VD_8.mp3</v>
      </c>
    </row>
    <row r="2577" spans="1:13">
      <c r="A2577" s="13">
        <f ca="1">IFERROR(__xludf.DUMMYFUNCTION("""COMPUTED_VALUE"""),9)</f>
        <v>9</v>
      </c>
      <c r="B2577" s="13"/>
      <c r="C2577" s="13" t="str">
        <f ca="1">IFERROR(__xludf.DUMMYFUNCTION("""COMPUTED_VALUE"""),"拥挤")</f>
        <v>拥挤</v>
      </c>
      <c r="D2577" s="13" t="str">
        <f ca="1">IFERROR(__xludf.DUMMYFUNCTION("""COMPUTED_VALUE"""),"&lt;ruby&gt;拥挤&lt;rt&gt;yōngjǐ&lt;/rt&gt;&lt;/ruby&gt;")</f>
        <v>&lt;ruby&gt;拥挤&lt;rt&gt;yōngjǐ&lt;/rt&gt;&lt;/ruby&gt;</v>
      </c>
      <c r="E2577" s="13" t="str">
        <f ca="1">IFERROR(__xludf.DUMMYFUNCTION("""COMPUTED_VALUE"""),"yōngjǐ")</f>
        <v>yōngjǐ</v>
      </c>
      <c r="F2577" s="13" t="str">
        <f ca="1">IFERROR(__xludf.DUMMYFUNCTION("""COMPUTED_VALUE"""),"Tính từ")</f>
        <v>Tính từ</v>
      </c>
      <c r="G2577" s="13" t="str">
        <f ca="1">IFERROR(__xludf.DUMMYFUNCTION("""COMPUTED_VALUE"""),"đông nghịt, chật ních")</f>
        <v>đông nghịt, chật ních</v>
      </c>
      <c r="H2577" s="13" t="str">
        <f ca="1">IFERROR(__xludf.DUMMYFUNCTION("""COMPUTED_VALUE"""),"早上的道路特别拥挤。")</f>
        <v>早上的道路特别拥挤。</v>
      </c>
      <c r="I2577" s="13"/>
      <c r="J2577" s="13" t="str">
        <f ca="1">IFERROR(__xludf.DUMMYFUNCTION("""COMPUTED_VALUE"""),"Đường vào buổi sáng đặc biệt đông đúc.")</f>
        <v>Đường vào buổi sáng đặc biệt đông đúc.</v>
      </c>
      <c r="K2577" s="13" t="str">
        <f ca="1">IFERROR(__xludf.DUMMYFUNCTION("""COMPUTED_VALUE"""),"H5_B33_BG-09.png")</f>
        <v>H5_B33_BG-09.png</v>
      </c>
      <c r="L2577" s="13" t="str">
        <f ca="1">IFERROR(__xludf.DUMMYFUNCTION("""COMPUTED_VALUE"""),"B33_9.mp3")</f>
        <v>B33_9.mp3</v>
      </c>
      <c r="M2577" s="13" t="str">
        <f ca="1">IFERROR(__xludf.DUMMYFUNCTION("""COMPUTED_VALUE"""),"B33_VD_9.mp3")</f>
        <v>B33_VD_9.mp3</v>
      </c>
    </row>
    <row r="2578" spans="1:13">
      <c r="A2578" s="13">
        <f ca="1">IFERROR(__xludf.DUMMYFUNCTION("""COMPUTED_VALUE"""),10)</f>
        <v>10</v>
      </c>
      <c r="B2578" s="13"/>
      <c r="C2578" s="13" t="str">
        <f ca="1">IFERROR(__xludf.DUMMYFUNCTION("""COMPUTED_VALUE"""),"根治")</f>
        <v>根治</v>
      </c>
      <c r="D2578" s="13" t="str">
        <f ca="1">IFERROR(__xludf.DUMMYFUNCTION("""COMPUTED_VALUE"""),"&lt;ruby&gt;根治&lt;rt&gt;gēnzhì&lt;/rt&gt;&lt;/ruby&gt;")</f>
        <v>&lt;ruby&gt;根治&lt;rt&gt;gēnzhì&lt;/rt&gt;&lt;/ruby&gt;</v>
      </c>
      <c r="E2578" s="13" t="str">
        <f ca="1">IFERROR(__xludf.DUMMYFUNCTION("""COMPUTED_VALUE"""),"gēnzhì")</f>
        <v>gēnzhì</v>
      </c>
      <c r="F2578" s="13" t="str">
        <f ca="1">IFERROR(__xludf.DUMMYFUNCTION("""COMPUTED_VALUE"""),"Động từ")</f>
        <v>Động từ</v>
      </c>
      <c r="G2578" s="13" t="str">
        <f ca="1">IFERROR(__xludf.DUMMYFUNCTION("""COMPUTED_VALUE"""),"trị tận gốc")</f>
        <v>trị tận gốc</v>
      </c>
      <c r="H2578" s="13" t="str">
        <f ca="1">IFERROR(__xludf.DUMMYFUNCTION("""COMPUTED_VALUE"""),"他的病可以通过手术根治。")</f>
        <v>他的病可以通过手术根治。</v>
      </c>
      <c r="I2578" s="13"/>
      <c r="J2578" s="13" t="str">
        <f ca="1">IFERROR(__xludf.DUMMYFUNCTION("""COMPUTED_VALUE"""),"Bệnh của anh ấy có thể trị tận gốc bệnh này bằng cách phẫu thuật.")</f>
        <v>Bệnh của anh ấy có thể trị tận gốc bệnh này bằng cách phẫu thuật.</v>
      </c>
      <c r="K2578" s="13" t="str">
        <f ca="1">IFERROR(__xludf.DUMMYFUNCTION("""COMPUTED_VALUE"""),"H5_B33_BG-10.png")</f>
        <v>H5_B33_BG-10.png</v>
      </c>
      <c r="L2578" s="13" t="str">
        <f ca="1">IFERROR(__xludf.DUMMYFUNCTION("""COMPUTED_VALUE"""),"B33_10.mp3")</f>
        <v>B33_10.mp3</v>
      </c>
      <c r="M2578" s="13" t="str">
        <f ca="1">IFERROR(__xludf.DUMMYFUNCTION("""COMPUTED_VALUE"""),"B33_VD_10.mp3")</f>
        <v>B33_VD_10.mp3</v>
      </c>
    </row>
    <row r="2579" spans="1:13">
      <c r="A2579" s="13">
        <f ca="1">IFERROR(__xludf.DUMMYFUNCTION("""COMPUTED_VALUE"""),11)</f>
        <v>11</v>
      </c>
      <c r="B2579" s="13"/>
      <c r="C2579" s="13" t="str">
        <f ca="1">IFERROR(__xludf.DUMMYFUNCTION("""COMPUTED_VALUE"""),"汽油")</f>
        <v>汽油</v>
      </c>
      <c r="D2579" s="13" t="str">
        <f ca="1">IFERROR(__xludf.DUMMYFUNCTION("""COMPUTED_VALUE"""),"&lt;ruby&gt;汽油&lt;rt&gt;qìyóu&lt;/rt&gt;&lt;/ruby&gt;")</f>
        <v>&lt;ruby&gt;汽油&lt;rt&gt;qìyóu&lt;/rt&gt;&lt;/ruby&gt;</v>
      </c>
      <c r="E2579" s="13" t="str">
        <f ca="1">IFERROR(__xludf.DUMMYFUNCTION("""COMPUTED_VALUE"""),"qìyóu")</f>
        <v>qìyóu</v>
      </c>
      <c r="F2579" s="13" t="str">
        <f ca="1">IFERROR(__xludf.DUMMYFUNCTION("""COMPUTED_VALUE"""),"Danh từ")</f>
        <v>Danh từ</v>
      </c>
      <c r="G2579" s="13" t="str">
        <f ca="1">IFERROR(__xludf.DUMMYFUNCTION("""COMPUTED_VALUE"""),"xăng")</f>
        <v>xăng</v>
      </c>
      <c r="H2579" s="13" t="str">
        <f ca="1">IFERROR(__xludf.DUMMYFUNCTION("""COMPUTED_VALUE"""),"我的车快没汽油了，我得去加油站。")</f>
        <v>我的车快没汽油了，我得去加油站。</v>
      </c>
      <c r="I2579" s="13"/>
      <c r="J2579" s="13" t="str">
        <f ca="1">IFERROR(__xludf.DUMMYFUNCTION("""COMPUTED_VALUE"""),"Xe tôi sắp hết xăng rồi, tôi phải đến trạm xăng thôi.")</f>
        <v>Xe tôi sắp hết xăng rồi, tôi phải đến trạm xăng thôi.</v>
      </c>
      <c r="K2579" s="13" t="str">
        <f ca="1">IFERROR(__xludf.DUMMYFUNCTION("""COMPUTED_VALUE"""),"H5_B33_BG-11.png")</f>
        <v>H5_B33_BG-11.png</v>
      </c>
      <c r="L2579" s="13" t="str">
        <f ca="1">IFERROR(__xludf.DUMMYFUNCTION("""COMPUTED_VALUE"""),"B33_11.mp3")</f>
        <v>B33_11.mp3</v>
      </c>
      <c r="M2579" s="13" t="str">
        <f ca="1">IFERROR(__xludf.DUMMYFUNCTION("""COMPUTED_VALUE"""),"B33_VD_11.mp3")</f>
        <v>B33_VD_11.mp3</v>
      </c>
    </row>
    <row r="2580" spans="1:13">
      <c r="A2580" s="13">
        <f ca="1">IFERROR(__xludf.DUMMYFUNCTION("""COMPUTED_VALUE"""),12)</f>
        <v>12</v>
      </c>
      <c r="B2580" s="13"/>
      <c r="C2580" s="13" t="str">
        <f ca="1">IFERROR(__xludf.DUMMYFUNCTION("""COMPUTED_VALUE"""),"繁荣")</f>
        <v>繁荣</v>
      </c>
      <c r="D2580" s="13" t="str">
        <f ca="1">IFERROR(__xludf.DUMMYFUNCTION("""COMPUTED_VALUE"""),"&lt;ruby&gt;繁荣&lt;rt&gt;fánróng&lt;/rt&gt;&lt;/ruby&gt;")</f>
        <v>&lt;ruby&gt;繁荣&lt;rt&gt;fánróng&lt;/rt&gt;&lt;/ruby&gt;</v>
      </c>
      <c r="E2580" s="13" t="str">
        <f ca="1">IFERROR(__xludf.DUMMYFUNCTION("""COMPUTED_VALUE"""),"fánróng")</f>
        <v>fánróng</v>
      </c>
      <c r="F2580" s="13" t="str">
        <f ca="1">IFERROR(__xludf.DUMMYFUNCTION("""COMPUTED_VALUE"""),"Tính từ")</f>
        <v>Tính từ</v>
      </c>
      <c r="G2580" s="13" t="str">
        <f ca="1">IFERROR(__xludf.DUMMYFUNCTION("""COMPUTED_VALUE"""),"phồn thịnh, phát triển mạnh")</f>
        <v>phồn thịnh, phát triển mạnh</v>
      </c>
      <c r="H2580" s="13" t="str">
        <f ca="1">IFERROR(__xludf.DUMMYFUNCTION("""COMPUTED_VALUE"""),"大城市的繁荣吸引了很多年轻人来这里工作。
")</f>
        <v xml:space="preserve">大城市的繁荣吸引了很多年轻人来这里工作。
</v>
      </c>
      <c r="I2580" s="13"/>
      <c r="J2580" s="13" t="str">
        <f ca="1">IFERROR(__xludf.DUMMYFUNCTION("""COMPUTED_VALUE"""),"Sự phồn thịnh của các thành phố lớn thu hút rất nhiều người trẻ đến đây làm việc.")</f>
        <v>Sự phồn thịnh của các thành phố lớn thu hút rất nhiều người trẻ đến đây làm việc.</v>
      </c>
      <c r="K2580" s="13" t="str">
        <f ca="1">IFERROR(__xludf.DUMMYFUNCTION("""COMPUTED_VALUE"""),"H5_B33_BG-12.png")</f>
        <v>H5_B33_BG-12.png</v>
      </c>
      <c r="L2580" s="13" t="str">
        <f ca="1">IFERROR(__xludf.DUMMYFUNCTION("""COMPUTED_VALUE"""),"B33_12.mp3")</f>
        <v>B33_12.mp3</v>
      </c>
      <c r="M2580" s="13" t="str">
        <f ca="1">IFERROR(__xludf.DUMMYFUNCTION("""COMPUTED_VALUE"""),"B33_VD_12.mp3")</f>
        <v>B33_VD_12.mp3</v>
      </c>
    </row>
    <row r="2581" spans="1:13">
      <c r="A2581" s="13">
        <f ca="1">IFERROR(__xludf.DUMMYFUNCTION("""COMPUTED_VALUE"""),13)</f>
        <v>13</v>
      </c>
      <c r="B2581" s="13"/>
      <c r="C2581" s="13" t="str">
        <f ca="1">IFERROR(__xludf.DUMMYFUNCTION("""COMPUTED_VALUE"""),"面积")</f>
        <v>面积</v>
      </c>
      <c r="D2581" s="13" t="str">
        <f ca="1">IFERROR(__xludf.DUMMYFUNCTION("""COMPUTED_VALUE"""),"&lt;ruby&gt;面积&lt;rt&gt;miànjī&lt;/rt&gt;&lt;/ruby&gt;")</f>
        <v>&lt;ruby&gt;面积&lt;rt&gt;miànjī&lt;/rt&gt;&lt;/ruby&gt;</v>
      </c>
      <c r="E2581" s="13" t="str">
        <f ca="1">IFERROR(__xludf.DUMMYFUNCTION("""COMPUTED_VALUE"""),"miànjī")</f>
        <v>miànjī</v>
      </c>
      <c r="F2581" s="13" t="str">
        <f ca="1">IFERROR(__xludf.DUMMYFUNCTION("""COMPUTED_VALUE"""),"Danh từ")</f>
        <v>Danh từ</v>
      </c>
      <c r="G2581" s="13" t="str">
        <f ca="1">IFERROR(__xludf.DUMMYFUNCTION("""COMPUTED_VALUE"""),"diện tích")</f>
        <v>diện tích</v>
      </c>
      <c r="H2581" s="13" t="str">
        <f ca="1">IFERROR(__xludf.DUMMYFUNCTION("""COMPUTED_VALUE"""),"这个房间的面积大约是40平方米。")</f>
        <v>这个房间的面积大约是40平方米。</v>
      </c>
      <c r="I2581" s="13"/>
      <c r="J2581" s="13" t="str">
        <f ca="1">IFERROR(__xludf.DUMMYFUNCTION("""COMPUTED_VALUE"""),"Diện tích của phòng này khoảng 40 mét vuông.")</f>
        <v>Diện tích của phòng này khoảng 40 mét vuông.</v>
      </c>
      <c r="K2581" s="13" t="str">
        <f ca="1">IFERROR(__xludf.DUMMYFUNCTION("""COMPUTED_VALUE"""),"H5_B33_BG-13.png")</f>
        <v>H5_B33_BG-13.png</v>
      </c>
      <c r="L2581" s="13" t="str">
        <f ca="1">IFERROR(__xludf.DUMMYFUNCTION("""COMPUTED_VALUE"""),"B33_13.mp3")</f>
        <v>B33_13.mp3</v>
      </c>
      <c r="M2581" s="13" t="str">
        <f ca="1">IFERROR(__xludf.DUMMYFUNCTION("""COMPUTED_VALUE"""),"B33_VD_13.mp3")</f>
        <v>B33_VD_13.mp3</v>
      </c>
    </row>
    <row r="2582" spans="1:13">
      <c r="A2582" s="13">
        <f ca="1">IFERROR(__xludf.DUMMYFUNCTION("""COMPUTED_VALUE"""),14)</f>
        <v>14</v>
      </c>
      <c r="B2582" s="13"/>
      <c r="C2582" s="13" t="str">
        <f ca="1">IFERROR(__xludf.DUMMYFUNCTION("""COMPUTED_VALUE"""),"宽")</f>
        <v>宽</v>
      </c>
      <c r="D2582" s="13" t="str">
        <f ca="1">IFERROR(__xludf.DUMMYFUNCTION("""COMPUTED_VALUE"""),"&lt;ruby&gt;宽&lt;rt&gt;kuān&lt;/rt&gt;&lt;/ruby&gt;")</f>
        <v>&lt;ruby&gt;宽&lt;rt&gt;kuān&lt;/rt&gt;&lt;/ruby&gt;</v>
      </c>
      <c r="E2582" s="13" t="str">
        <f ca="1">IFERROR(__xludf.DUMMYFUNCTION("""COMPUTED_VALUE"""),"kuān")</f>
        <v>kuān</v>
      </c>
      <c r="F2582" s="13" t="str">
        <f ca="1">IFERROR(__xludf.DUMMYFUNCTION("""COMPUTED_VALUE"""),"Tính từ")</f>
        <v>Tính từ</v>
      </c>
      <c r="G2582" s="13" t="str">
        <f ca="1">IFERROR(__xludf.DUMMYFUNCTION("""COMPUTED_VALUE"""),"rộng")</f>
        <v>rộng</v>
      </c>
      <c r="H2582" s="13" t="str">
        <f ca="1">IFERROR(__xludf.DUMMYFUNCTION("""COMPUTED_VALUE"""),"这条路很宽，交通非常顺畅。")</f>
        <v>这条路很宽，交通非常顺畅。</v>
      </c>
      <c r="I2582" s="13"/>
      <c r="J2582" s="13" t="str">
        <f ca="1">IFERROR(__xludf.DUMMYFUNCTION("""COMPUTED_VALUE"""),"Con đường này rất rộng, lưu thông xe cộ rất thuận lợi.")</f>
        <v>Con đường này rất rộng, lưu thông xe cộ rất thuận lợi.</v>
      </c>
      <c r="K2582" s="13" t="str">
        <f ca="1">IFERROR(__xludf.DUMMYFUNCTION("""COMPUTED_VALUE"""),"H5_B33_BG-14.png")</f>
        <v>H5_B33_BG-14.png</v>
      </c>
      <c r="L2582" s="13" t="str">
        <f ca="1">IFERROR(__xludf.DUMMYFUNCTION("""COMPUTED_VALUE"""),"B33_14.mp3")</f>
        <v>B33_14.mp3</v>
      </c>
      <c r="M2582" s="13" t="str">
        <f ca="1">IFERROR(__xludf.DUMMYFUNCTION("""COMPUTED_VALUE"""),"B33_VD_14.mp3")</f>
        <v>B33_VD_14.mp3</v>
      </c>
    </row>
    <row r="2583" spans="1:13">
      <c r="A2583" s="13">
        <f ca="1">IFERROR(__xludf.DUMMYFUNCTION("""COMPUTED_VALUE"""),15)</f>
        <v>15</v>
      </c>
      <c r="B2583" s="13"/>
      <c r="C2583" s="13" t="str">
        <f ca="1">IFERROR(__xludf.DUMMYFUNCTION("""COMPUTED_VALUE"""),"扩（大）")</f>
        <v>扩（大）</v>
      </c>
      <c r="D2583" s="13" t="str">
        <f ca="1">IFERROR(__xludf.DUMMYFUNCTION("""COMPUTED_VALUE"""),"&lt;ruby&gt;扩（大）&lt;rt&gt;kuò(dà)&lt;/rt&gt;&lt;/ruby&gt;")</f>
        <v>&lt;ruby&gt;扩（大）&lt;rt&gt;kuò(dà)&lt;/rt&gt;&lt;/ruby&gt;</v>
      </c>
      <c r="E2583" s="13" t="str">
        <f ca="1">IFERROR(__xludf.DUMMYFUNCTION("""COMPUTED_VALUE"""),"kuò(dà)")</f>
        <v>kuò(dà)</v>
      </c>
      <c r="F2583" s="13" t="str">
        <f ca="1">IFERROR(__xludf.DUMMYFUNCTION("""COMPUTED_VALUE"""),"Động từ")</f>
        <v>Động từ</v>
      </c>
      <c r="G2583" s="13" t="str">
        <f ca="1">IFERROR(__xludf.DUMMYFUNCTION("""COMPUTED_VALUE"""),"mở rộng")</f>
        <v>mở rộng</v>
      </c>
      <c r="H2583" s="13" t="str">
        <f ca="1">IFERROR(__xludf.DUMMYFUNCTION("""COMPUTED_VALUE"""),"我们决定扩大合作关系，展开更多项目。")</f>
        <v>我们决定扩大合作关系，展开更多项目。</v>
      </c>
      <c r="I2583" s="13"/>
      <c r="J2583" s="13" t="str">
        <f ca="1">IFERROR(__xludf.DUMMYFUNCTION("""COMPUTED_VALUE"""),"Chúng tôi quyết định mở rộng quan hệ hợp tác, triển khai thêm nhiều dự án.")</f>
        <v>Chúng tôi quyết định mở rộng quan hệ hợp tác, triển khai thêm nhiều dự án.</v>
      </c>
      <c r="K2583" s="13" t="str">
        <f ca="1">IFERROR(__xludf.DUMMYFUNCTION("""COMPUTED_VALUE"""),"H5_B33_BG-15.png")</f>
        <v>H5_B33_BG-15.png</v>
      </c>
      <c r="L2583" s="13" t="str">
        <f ca="1">IFERROR(__xludf.DUMMYFUNCTION("""COMPUTED_VALUE"""),"B33_15.mp3")</f>
        <v>B33_15.mp3</v>
      </c>
      <c r="M2583" s="13" t="str">
        <f ca="1">IFERROR(__xludf.DUMMYFUNCTION("""COMPUTED_VALUE"""),"B33_VD_15.mp3")</f>
        <v>B33_VD_15.mp3</v>
      </c>
    </row>
    <row r="2584" spans="1:13">
      <c r="A2584" s="13">
        <f ca="1">IFERROR(__xludf.DUMMYFUNCTION("""COMPUTED_VALUE"""),16)</f>
        <v>16</v>
      </c>
      <c r="B2584" s="13"/>
      <c r="C2584" s="13" t="str">
        <f ca="1">IFERROR(__xludf.DUMMYFUNCTION("""COMPUTED_VALUE"""),"展开")</f>
        <v>展开</v>
      </c>
      <c r="D2584" s="13" t="str">
        <f ca="1">IFERROR(__xludf.DUMMYFUNCTION("""COMPUTED_VALUE"""),"&lt;ruby&gt;展开&lt;rt&gt;zhǎnkāi&lt;/rt&gt;&lt;/ruby&gt;")</f>
        <v>&lt;ruby&gt;展开&lt;rt&gt;zhǎnkāi&lt;/rt&gt;&lt;/ruby&gt;</v>
      </c>
      <c r="E2584" s="13" t="str">
        <f ca="1">IFERROR(__xludf.DUMMYFUNCTION("""COMPUTED_VALUE"""),"zhǎnkāi")</f>
        <v>zhǎnkāi</v>
      </c>
      <c r="F2584" s="13" t="str">
        <f ca="1">IFERROR(__xludf.DUMMYFUNCTION("""COMPUTED_VALUE"""),"Động từ")</f>
        <v>Động từ</v>
      </c>
      <c r="G2584" s="13" t="str">
        <f ca="1">IFERROR(__xludf.DUMMYFUNCTION("""COMPUTED_VALUE"""),"triển khai, tiến hành")</f>
        <v>triển khai, tiến hành</v>
      </c>
      <c r="H2584" s="13" t="str">
        <f ca="1">IFERROR(__xludf.DUMMYFUNCTION("""COMPUTED_VALUE"""),"会议一开始，大家就展开了关于项目的讨论。")</f>
        <v>会议一开始，大家就展开了关于项目的讨论。</v>
      </c>
      <c r="I2584" s="13"/>
      <c r="J2584" s="13" t="str">
        <f ca="1">IFERROR(__xludf.DUMMYFUNCTION("""COMPUTED_VALUE"""),"Khi cuộc họp bắt đầu, mọi người đã triển khai cuộc thảo luận về dự án.")</f>
        <v>Khi cuộc họp bắt đầu, mọi người đã triển khai cuộc thảo luận về dự án.</v>
      </c>
      <c r="K2584" s="13" t="str">
        <f ca="1">IFERROR(__xludf.DUMMYFUNCTION("""COMPUTED_VALUE"""),"H5_B33_BG-16.png")</f>
        <v>H5_B33_BG-16.png</v>
      </c>
      <c r="L2584" s="13" t="str">
        <f ca="1">IFERROR(__xludf.DUMMYFUNCTION("""COMPUTED_VALUE"""),"B33_16.mp3")</f>
        <v>B33_16.mp3</v>
      </c>
      <c r="M2584" s="13" t="str">
        <f ca="1">IFERROR(__xludf.DUMMYFUNCTION("""COMPUTED_VALUE"""),"B33_VD_16.mp3")</f>
        <v>B33_VD_16.mp3</v>
      </c>
    </row>
    <row r="2585" spans="1:13">
      <c r="A2585" s="13">
        <f ca="1">IFERROR(__xludf.DUMMYFUNCTION("""COMPUTED_VALUE"""),17)</f>
        <v>17</v>
      </c>
      <c r="B2585" s="13"/>
      <c r="C2585" s="13" t="str">
        <f ca="1">IFERROR(__xludf.DUMMYFUNCTION("""COMPUTED_VALUE"""),"政府")</f>
        <v>政府</v>
      </c>
      <c r="D2585" s="13" t="str">
        <f ca="1">IFERROR(__xludf.DUMMYFUNCTION("""COMPUTED_VALUE"""),"&lt;ruby&gt;政府&lt;rt&gt;zhèngfǔ&lt;/rt&gt;&lt;/ruby&gt;")</f>
        <v>&lt;ruby&gt;政府&lt;rt&gt;zhèngfǔ&lt;/rt&gt;&lt;/ruby&gt;</v>
      </c>
      <c r="E2585" s="13" t="str">
        <f ca="1">IFERROR(__xludf.DUMMYFUNCTION("""COMPUTED_VALUE"""),"zhèngfǔ")</f>
        <v>zhèngfǔ</v>
      </c>
      <c r="F2585" s="13" t="str">
        <f ca="1">IFERROR(__xludf.DUMMYFUNCTION("""COMPUTED_VALUE"""),"Danh từ")</f>
        <v>Danh từ</v>
      </c>
      <c r="G2585" s="13" t="str">
        <f ca="1">IFERROR(__xludf.DUMMYFUNCTION("""COMPUTED_VALUE"""),"chính phủ/chính quyền")</f>
        <v>chính phủ/chính quyền</v>
      </c>
      <c r="H2585" s="13" t="str">
        <f ca="1">IFERROR(__xludf.DUMMYFUNCTION("""COMPUTED_VALUE"""),"在这次国际会议上，政府代表发表了一个重要问题。")</f>
        <v>在这次国际会议上，政府代表发表了一个重要问题。</v>
      </c>
      <c r="I2585" s="13"/>
      <c r="J2585" s="13" t="str">
        <f ca="1">IFERROR(__xludf.DUMMYFUNCTION("""COMPUTED_VALUE""")," Tại hội nghị quốc tế lần này, đại diện chính phủ đã phát biểu một vấn đề quan trọng.")</f>
        <v xml:space="preserve"> Tại hội nghị quốc tế lần này, đại diện chính phủ đã phát biểu một vấn đề quan trọng.</v>
      </c>
      <c r="K2585" s="13" t="str">
        <f ca="1">IFERROR(__xludf.DUMMYFUNCTION("""COMPUTED_VALUE"""),"H5_B33_BG-17.png")</f>
        <v>H5_B33_BG-17.png</v>
      </c>
      <c r="L2585" s="13" t="str">
        <f ca="1">IFERROR(__xludf.DUMMYFUNCTION("""COMPUTED_VALUE"""),"B33_17.mp3")</f>
        <v>B33_17.mp3</v>
      </c>
      <c r="M2585" s="13" t="str">
        <f ca="1">IFERROR(__xludf.DUMMYFUNCTION("""COMPUTED_VALUE"""),"B33_VD_17.mp3")</f>
        <v>B33_VD_17.mp3</v>
      </c>
    </row>
    <row r="2586" spans="1:13">
      <c r="A2586" s="13">
        <f ca="1">IFERROR(__xludf.DUMMYFUNCTION("""COMPUTED_VALUE"""),18)</f>
        <v>18</v>
      </c>
      <c r="B2586" s="13"/>
      <c r="C2586" s="13" t="str">
        <f ca="1">IFERROR(__xludf.DUMMYFUNCTION("""COMPUTED_VALUE"""),"批准")</f>
        <v>批准</v>
      </c>
      <c r="D2586" s="13" t="str">
        <f ca="1">IFERROR(__xludf.DUMMYFUNCTION("""COMPUTED_VALUE"""),"&lt;ruby&gt;批准&lt;rt&gt;pīzhǔn&lt;/rt&gt;&lt;/ruby&gt;")</f>
        <v>&lt;ruby&gt;批准&lt;rt&gt;pīzhǔn&lt;/rt&gt;&lt;/ruby&gt;</v>
      </c>
      <c r="E2586" s="13" t="str">
        <f ca="1">IFERROR(__xludf.DUMMYFUNCTION("""COMPUTED_VALUE"""),"pīzhǔn")</f>
        <v>pīzhǔn</v>
      </c>
      <c r="F2586" s="13" t="str">
        <f ca="1">IFERROR(__xludf.DUMMYFUNCTION("""COMPUTED_VALUE"""),"Động từ")</f>
        <v>Động từ</v>
      </c>
      <c r="G2586" s="13" t="str">
        <f ca="1">IFERROR(__xludf.DUMMYFUNCTION("""COMPUTED_VALUE"""),"phê chuẩn, phê duyệt")</f>
        <v>phê chuẩn, phê duyệt</v>
      </c>
      <c r="H2586" s="13" t="str">
        <f ca="1">IFERROR(__xludf.DUMMYFUNCTION("""COMPUTED_VALUE"""),"我们公司已经批准了与另一家公司签订的合作合同。")</f>
        <v>我们公司已经批准了与另一家公司签订的合作合同。</v>
      </c>
      <c r="I2586" s="13"/>
      <c r="J2586" s="13" t="str">
        <f ca="1">IFERROR(__xludf.DUMMYFUNCTION("""COMPUTED_VALUE"""),"Công ty chúng tôi đã phê duyệt hợp đồng hợp tác với một công ty khác.")</f>
        <v>Công ty chúng tôi đã phê duyệt hợp đồng hợp tác với một công ty khác.</v>
      </c>
      <c r="K2586" s="13" t="str">
        <f ca="1">IFERROR(__xludf.DUMMYFUNCTION("""COMPUTED_VALUE"""),"H5_B33_BG-18.png")</f>
        <v>H5_B33_BG-18.png</v>
      </c>
      <c r="L2586" s="13" t="str">
        <f ca="1">IFERROR(__xludf.DUMMYFUNCTION("""COMPUTED_VALUE"""),"B33_18.mp3")</f>
        <v>B33_18.mp3</v>
      </c>
      <c r="M2586" s="13" t="str">
        <f ca="1">IFERROR(__xludf.DUMMYFUNCTION("""COMPUTED_VALUE"""),"B33_VD_18.mp3")</f>
        <v>B33_VD_18.mp3</v>
      </c>
    </row>
    <row r="2587" spans="1:13">
      <c r="A2587" s="13">
        <f ca="1">IFERROR(__xludf.DUMMYFUNCTION("""COMPUTED_VALUE"""),19)</f>
        <v>19</v>
      </c>
      <c r="B2587" s="13"/>
      <c r="C2587" s="13" t="str">
        <f ca="1">IFERROR(__xludf.DUMMYFUNCTION("""COMPUTED_VALUE"""),"改革")</f>
        <v>改革</v>
      </c>
      <c r="D2587" s="13" t="str">
        <f ca="1">IFERROR(__xludf.DUMMYFUNCTION("""COMPUTED_VALUE"""),"&lt;ruby&gt;改革&lt;rt&gt;gǎigé&lt;/rt&gt;&lt;/ruby&gt;")</f>
        <v>&lt;ruby&gt;改革&lt;rt&gt;gǎigé&lt;/rt&gt;&lt;/ruby&gt;</v>
      </c>
      <c r="E2587" s="13" t="str">
        <f ca="1">IFERROR(__xludf.DUMMYFUNCTION("""COMPUTED_VALUE"""),"gǎigé")</f>
        <v>gǎigé</v>
      </c>
      <c r="F2587" s="13" t="str">
        <f ca="1">IFERROR(__xludf.DUMMYFUNCTION("""COMPUTED_VALUE"""),"Động từ")</f>
        <v>Động từ</v>
      </c>
      <c r="G2587" s="13" t="str">
        <f ca="1">IFERROR(__xludf.DUMMYFUNCTION("""COMPUTED_VALUE"""),"cải cách, sửa đổi")</f>
        <v>cải cách, sửa đổi</v>
      </c>
      <c r="H2587" s="13" t="str">
        <f ca="1">IFERROR(__xludf.DUMMYFUNCTION("""COMPUTED_VALUE"""),"学校决定改革教育方法，采用更多教学方式。")</f>
        <v>学校决定改革教育方法，采用更多教学方式。</v>
      </c>
      <c r="I2587" s="13"/>
      <c r="J2587" s="13" t="str">
        <f ca="1">IFERROR(__xludf.DUMMYFUNCTION("""COMPUTED_VALUE"""),"Trường học quyết định cải cách phương pháp giáo dục, áp dụng nhiều phương pháp giảng dạy hơn.")</f>
        <v>Trường học quyết định cải cách phương pháp giáo dục, áp dụng nhiều phương pháp giảng dạy hơn.</v>
      </c>
      <c r="K2587" s="13" t="str">
        <f ca="1">IFERROR(__xludf.DUMMYFUNCTION("""COMPUTED_VALUE"""),"H5_B33_BG-19.png")</f>
        <v>H5_B33_BG-19.png</v>
      </c>
      <c r="L2587" s="13" t="str">
        <f ca="1">IFERROR(__xludf.DUMMYFUNCTION("""COMPUTED_VALUE"""),"B33_19.mp3")</f>
        <v>B33_19.mp3</v>
      </c>
      <c r="M2587" s="13" t="str">
        <f ca="1">IFERROR(__xludf.DUMMYFUNCTION("""COMPUTED_VALUE"""),"B33_VD_19.mp3")</f>
        <v>B33_VD_19.mp3</v>
      </c>
    </row>
    <row r="2588" spans="1:13">
      <c r="A2588" s="13">
        <f ca="1">IFERROR(__xludf.DUMMYFUNCTION("""COMPUTED_VALUE"""),20)</f>
        <v>20</v>
      </c>
      <c r="B2588" s="13"/>
      <c r="C2588" s="13" t="str">
        <f ca="1">IFERROR(__xludf.DUMMYFUNCTION("""COMPUTED_VALUE"""),"取消")</f>
        <v>取消</v>
      </c>
      <c r="D2588" s="13" t="str">
        <f ca="1">IFERROR(__xludf.DUMMYFUNCTION("""COMPUTED_VALUE"""),"&lt;ruby&gt;取消&lt;rt&gt;qǔxiāo&lt;/rt&gt;&lt;/ruby&gt;")</f>
        <v>&lt;ruby&gt;取消&lt;rt&gt;qǔxiāo&lt;/rt&gt;&lt;/ruby&gt;</v>
      </c>
      <c r="E2588" s="13" t="str">
        <f ca="1">IFERROR(__xludf.DUMMYFUNCTION("""COMPUTED_VALUE"""),"qǔxiāo")</f>
        <v>qǔxiāo</v>
      </c>
      <c r="F2588" s="13" t="str">
        <f ca="1">IFERROR(__xludf.DUMMYFUNCTION("""COMPUTED_VALUE"""),"Động từ")</f>
        <v>Động từ</v>
      </c>
      <c r="G2588" s="13" t="str">
        <f ca="1">IFERROR(__xludf.DUMMYFUNCTION("""COMPUTED_VALUE"""),"hủy bỏ, xóa bỏ")</f>
        <v>hủy bỏ, xóa bỏ</v>
      </c>
      <c r="H2588" s="13" t="str">
        <f ca="1">IFERROR(__xludf.DUMMYFUNCTION("""COMPUTED_VALUE"""),"由于天气不好，我们决定取消今天的旅游计划。")</f>
        <v>由于天气不好，我们决定取消今天的旅游计划。</v>
      </c>
      <c r="I2588" s="13"/>
      <c r="J2588" s="13" t="str">
        <f ca="1">IFERROR(__xludf.DUMMYFUNCTION("""COMPUTED_VALUE"""),"Vì thời tiết không tốt, chúng tôi quyết định hủy bỏ kế hoạch du lịch hôm nay.")</f>
        <v>Vì thời tiết không tốt, chúng tôi quyết định hủy bỏ kế hoạch du lịch hôm nay.</v>
      </c>
      <c r="K2588" s="13" t="str">
        <f ca="1">IFERROR(__xludf.DUMMYFUNCTION("""COMPUTED_VALUE"""),"H5_B33_BG-20.png")</f>
        <v>H5_B33_BG-20.png</v>
      </c>
      <c r="L2588" s="13" t="str">
        <f ca="1">IFERROR(__xludf.DUMMYFUNCTION("""COMPUTED_VALUE"""),"B33_20.mp3")</f>
        <v>B33_20.mp3</v>
      </c>
      <c r="M2588" s="13" t="str">
        <f ca="1">IFERROR(__xludf.DUMMYFUNCTION("""COMPUTED_VALUE"""),"B33_VD_20.mp3")</f>
        <v>B33_VD_20.mp3</v>
      </c>
    </row>
    <row r="2589" spans="1:13">
      <c r="A2589" s="13">
        <f ca="1">IFERROR(__xludf.DUMMYFUNCTION("""COMPUTED_VALUE"""),21)</f>
        <v>21</v>
      </c>
      <c r="B2589" s="13"/>
      <c r="C2589" s="13" t="str">
        <f ca="1">IFERROR(__xludf.DUMMYFUNCTION("""COMPUTED_VALUE"""),"行人")</f>
        <v>行人</v>
      </c>
      <c r="D2589" s="13" t="str">
        <f ca="1">IFERROR(__xludf.DUMMYFUNCTION("""COMPUTED_VALUE"""),"&lt;ruby&gt;行人&lt;rt&gt;xíngrén&lt;/rt&gt;&lt;/ruby&gt;")</f>
        <v>&lt;ruby&gt;行人&lt;rt&gt;xíngrén&lt;/rt&gt;&lt;/ruby&gt;</v>
      </c>
      <c r="E2589" s="13" t="str">
        <f ca="1">IFERROR(__xludf.DUMMYFUNCTION("""COMPUTED_VALUE"""),"xíngrén")</f>
        <v>xíngrén</v>
      </c>
      <c r="F2589" s="13" t="str">
        <f ca="1">IFERROR(__xludf.DUMMYFUNCTION("""COMPUTED_VALUE"""),"Danh từ")</f>
        <v>Danh từ</v>
      </c>
      <c r="G2589" s="13" t="str">
        <f ca="1">IFERROR(__xludf.DUMMYFUNCTION("""COMPUTED_VALUE"""),"người đi bộ")</f>
        <v>người đi bộ</v>
      </c>
      <c r="H2589" s="13" t="str">
        <f ca="1">IFERROR(__xludf.DUMMYFUNCTION("""COMPUTED_VALUE"""),"当红绿灯变绿时，行人可以过马路。")</f>
        <v>当红绿灯变绿时，行人可以过马路。</v>
      </c>
      <c r="I2589" s="13"/>
      <c r="J2589" s="13" t="str">
        <f ca="1">IFERROR(__xludf.DUMMYFUNCTION("""COMPUTED_VALUE"""),"Khi đèn giao thông chuyển sang màu xanh, người đi bộ có thể qua đường.")</f>
        <v>Khi đèn giao thông chuyển sang màu xanh, người đi bộ có thể qua đường.</v>
      </c>
      <c r="K2589" s="13" t="str">
        <f ca="1">IFERROR(__xludf.DUMMYFUNCTION("""COMPUTED_VALUE"""),"H5_B33_BG-21.png")</f>
        <v>H5_B33_BG-21.png</v>
      </c>
      <c r="L2589" s="13" t="str">
        <f ca="1">IFERROR(__xludf.DUMMYFUNCTION("""COMPUTED_VALUE"""),"B33_21.mp3")</f>
        <v>B33_21.mp3</v>
      </c>
      <c r="M2589" s="13" t="str">
        <f ca="1">IFERROR(__xludf.DUMMYFUNCTION("""COMPUTED_VALUE"""),"B33_VD_21.mp3")</f>
        <v>B33_VD_21.mp3</v>
      </c>
    </row>
    <row r="2590" spans="1:13">
      <c r="A2590" s="13">
        <f ca="1">IFERROR(__xludf.DUMMYFUNCTION("""COMPUTED_VALUE"""),22)</f>
        <v>22</v>
      </c>
      <c r="B2590" s="13"/>
      <c r="C2590" s="13" t="str">
        <f ca="1">IFERROR(__xludf.DUMMYFUNCTION("""COMPUTED_VALUE"""),"广场")</f>
        <v>广场</v>
      </c>
      <c r="D2590" s="13" t="str">
        <f ca="1">IFERROR(__xludf.DUMMYFUNCTION("""COMPUTED_VALUE"""),"&lt;ruby&gt;广场&lt;rt&gt;guǎngchǎng&lt;/rt&gt;&lt;/ruby&gt;")</f>
        <v>&lt;ruby&gt;广场&lt;rt&gt;guǎngchǎng&lt;/rt&gt;&lt;/ruby&gt;</v>
      </c>
      <c r="E2590" s="13" t="str">
        <f ca="1">IFERROR(__xludf.DUMMYFUNCTION("""COMPUTED_VALUE"""),"guǎngchǎng")</f>
        <v>guǎngchǎng</v>
      </c>
      <c r="F2590" s="13" t="str">
        <f ca="1">IFERROR(__xludf.DUMMYFUNCTION("""COMPUTED_VALUE"""),"Danh từ")</f>
        <v>Danh từ</v>
      </c>
      <c r="G2590" s="13" t="str">
        <f ca="1">IFERROR(__xludf.DUMMYFUNCTION("""COMPUTED_VALUE"""),"quảng trường")</f>
        <v>quảng trường</v>
      </c>
      <c r="H2590" s="13" t="str">
        <f ca="1">IFERROR(__xludf.DUMMYFUNCTION("""COMPUTED_VALUE"""),"广场中心有一个很漂亮的喷泉。")</f>
        <v>广场中心有一个很漂亮的喷泉。</v>
      </c>
      <c r="I2590" s="13"/>
      <c r="J2590" s="13" t="str">
        <f ca="1">IFERROR(__xludf.DUMMYFUNCTION("""COMPUTED_VALUE"""),"Ở trung tâm quảng trường có một đài phun nước rất đẹp.")</f>
        <v>Ở trung tâm quảng trường có một đài phun nước rất đẹp.</v>
      </c>
      <c r="K2590" s="13" t="str">
        <f ca="1">IFERROR(__xludf.DUMMYFUNCTION("""COMPUTED_VALUE"""),"H5_B33_BG-22.png")</f>
        <v>H5_B33_BG-22.png</v>
      </c>
      <c r="L2590" s="13" t="str">
        <f ca="1">IFERROR(__xludf.DUMMYFUNCTION("""COMPUTED_VALUE"""),"B33_22.mp3")</f>
        <v>B33_22.mp3</v>
      </c>
      <c r="M2590" s="13" t="str">
        <f ca="1">IFERROR(__xludf.DUMMYFUNCTION("""COMPUTED_VALUE"""),"B33_VD_22.mp3")</f>
        <v>B33_VD_22.mp3</v>
      </c>
    </row>
    <row r="2591" spans="1:13">
      <c r="A2591" s="13">
        <f ca="1">IFERROR(__xludf.DUMMYFUNCTION("""COMPUTED_VALUE"""),23)</f>
        <v>23</v>
      </c>
      <c r="B2591" s="13"/>
      <c r="C2591" s="13" t="str">
        <f ca="1">IFERROR(__xludf.DUMMYFUNCTION("""COMPUTED_VALUE"""),"商务")</f>
        <v>商务</v>
      </c>
      <c r="D2591" s="13" t="str">
        <f ca="1">IFERROR(__xludf.DUMMYFUNCTION("""COMPUTED_VALUE"""),"&lt;ruby&gt;商务&lt;rt&gt;shāngwù&lt;/rt&gt;&lt;/ruby&gt;")</f>
        <v>&lt;ruby&gt;商务&lt;rt&gt;shāngwù&lt;/rt&gt;&lt;/ruby&gt;</v>
      </c>
      <c r="E2591" s="13" t="str">
        <f ca="1">IFERROR(__xludf.DUMMYFUNCTION("""COMPUTED_VALUE"""),"shāngwù")</f>
        <v>shāngwù</v>
      </c>
      <c r="F2591" s="13" t="str">
        <f ca="1">IFERROR(__xludf.DUMMYFUNCTION("""COMPUTED_VALUE"""),"Danh từ")</f>
        <v>Danh từ</v>
      </c>
      <c r="G2591" s="13" t="str">
        <f ca="1">IFERROR(__xludf.DUMMYFUNCTION("""COMPUTED_VALUE"""),"thương vụ, công việc buôn bán")</f>
        <v>thương vụ, công việc buôn bán</v>
      </c>
      <c r="H2591" s="13" t="str">
        <f ca="1">IFERROR(__xludf.DUMMYFUNCTION("""COMPUTED_VALUE"""),"他们公司签订了一份重要的商务合同。")</f>
        <v>他们公司签订了一份重要的商务合同。</v>
      </c>
      <c r="I2591" s="13"/>
      <c r="J2591" s="13" t="str">
        <f ca="1">IFERROR(__xludf.DUMMYFUNCTION("""COMPUTED_VALUE"""),"Công ty họ đã ký một hợp đồng thương mại quan trọng.")</f>
        <v>Công ty họ đã ký một hợp đồng thương mại quan trọng.</v>
      </c>
      <c r="K2591" s="13" t="str">
        <f ca="1">IFERROR(__xludf.DUMMYFUNCTION("""COMPUTED_VALUE"""),"H5_B33_BG-23.png")</f>
        <v>H5_B33_BG-23.png</v>
      </c>
      <c r="L2591" s="13" t="str">
        <f ca="1">IFERROR(__xludf.DUMMYFUNCTION("""COMPUTED_VALUE"""),"B33_23.mp3")</f>
        <v>B33_23.mp3</v>
      </c>
      <c r="M2591" s="13" t="str">
        <f ca="1">IFERROR(__xludf.DUMMYFUNCTION("""COMPUTED_VALUE"""),"B33_VD_23.mp3")</f>
        <v>B33_VD_23.mp3</v>
      </c>
    </row>
    <row r="2592" spans="1:13">
      <c r="A2592" s="13">
        <f ca="1">IFERROR(__xludf.DUMMYFUNCTION("""COMPUTED_VALUE"""),24)</f>
        <v>24</v>
      </c>
      <c r="B2592" s="13"/>
      <c r="C2592" s="13" t="str">
        <f ca="1">IFERROR(__xludf.DUMMYFUNCTION("""COMPUTED_VALUE"""),"大厦")</f>
        <v>大厦</v>
      </c>
      <c r="D2592" s="13" t="str">
        <f ca="1">IFERROR(__xludf.DUMMYFUNCTION("""COMPUTED_VALUE"""),"&lt;ruby&gt;大厦&lt;rt&gt;dàshà&lt;/rt&gt;&lt;/ruby&gt;")</f>
        <v>&lt;ruby&gt;大厦&lt;rt&gt;dàshà&lt;/rt&gt;&lt;/ruby&gt;</v>
      </c>
      <c r="E2592" s="13" t="str">
        <f ca="1">IFERROR(__xludf.DUMMYFUNCTION("""COMPUTED_VALUE"""),"dàshà")</f>
        <v>dàshà</v>
      </c>
      <c r="F2592" s="13" t="str">
        <f ca="1">IFERROR(__xludf.DUMMYFUNCTION("""COMPUTED_VALUE"""),"Danh từ")</f>
        <v>Danh từ</v>
      </c>
      <c r="G2592" s="13" t="str">
        <f ca="1">IFERROR(__xludf.DUMMYFUNCTION("""COMPUTED_VALUE"""),"cao ốc, tòa nhà đồ sộ")</f>
        <v>cao ốc, tòa nhà đồ sộ</v>
      </c>
      <c r="H2592" s="13" t="str">
        <f ca="1">IFERROR(__xludf.DUMMYFUNCTION("""COMPUTED_VALUE"""),"这座大厦非常现代化。")</f>
        <v>这座大厦非常现代化。</v>
      </c>
      <c r="I2592" s="13"/>
      <c r="J2592" s="13" t="str">
        <f ca="1">IFERROR(__xludf.DUMMYFUNCTION("""COMPUTED_VALUE"""),"Tòa cao ốc này rất hiện đại.")</f>
        <v>Tòa cao ốc này rất hiện đại.</v>
      </c>
      <c r="K2592" s="13" t="str">
        <f ca="1">IFERROR(__xludf.DUMMYFUNCTION("""COMPUTED_VALUE"""),"H5_B33_BG-24.png")</f>
        <v>H5_B33_BG-24.png</v>
      </c>
      <c r="L2592" s="13" t="str">
        <f ca="1">IFERROR(__xludf.DUMMYFUNCTION("""COMPUTED_VALUE"""),"B33_24.mp3")</f>
        <v>B33_24.mp3</v>
      </c>
      <c r="M2592" s="13" t="str">
        <f ca="1">IFERROR(__xludf.DUMMYFUNCTION("""COMPUTED_VALUE"""),"B33_VD_24.mp3")</f>
        <v>B33_VD_24.mp3</v>
      </c>
    </row>
    <row r="2593" spans="1:13">
      <c r="A2593" s="13">
        <f ca="1">IFERROR(__xludf.DUMMYFUNCTION("""COMPUTED_VALUE"""),25)</f>
        <v>25</v>
      </c>
      <c r="B2593" s="13"/>
      <c r="C2593" s="13" t="str">
        <f ca="1">IFERROR(__xludf.DUMMYFUNCTION("""COMPUTED_VALUE"""),"解放")</f>
        <v>解放</v>
      </c>
      <c r="D2593" s="13" t="str">
        <f ca="1">IFERROR(__xludf.DUMMYFUNCTION("""COMPUTED_VALUE"""),"&lt;ruby&gt;解放&lt;rt&gt;jiěfàng&lt;/rt&gt;&lt;/ruby&gt;")</f>
        <v>&lt;ruby&gt;解放&lt;rt&gt;jiěfàng&lt;/rt&gt;&lt;/ruby&gt;</v>
      </c>
      <c r="E2593" s="13" t="str">
        <f ca="1">IFERROR(__xludf.DUMMYFUNCTION("""COMPUTED_VALUE"""),"jiěfàng")</f>
        <v>jiěfàng</v>
      </c>
      <c r="F2593" s="13" t="str">
        <f ca="1">IFERROR(__xludf.DUMMYFUNCTION("""COMPUTED_VALUE"""),"Động từ")</f>
        <v>Động từ</v>
      </c>
      <c r="G2593" s="13" t="str">
        <f ca="1">IFERROR(__xludf.DUMMYFUNCTION("""COMPUTED_VALUE"""),"giải phóng, thả tự do")</f>
        <v>giải phóng, thả tự do</v>
      </c>
      <c r="H2593" s="13" t="str">
        <f ca="1">IFERROR(__xludf.DUMMYFUNCTION("""COMPUTED_VALUE"""),"读书可以解放我们的思想。")</f>
        <v>读书可以解放我们的思想。</v>
      </c>
      <c r="I2593" s="13"/>
      <c r="J2593" s="13" t="str">
        <f ca="1">IFERROR(__xludf.DUMMYFUNCTION("""COMPUTED_VALUE"""),"Đọc sách có thể giải phóng tư tưởng của chúng ta.")</f>
        <v>Đọc sách có thể giải phóng tư tưởng của chúng ta.</v>
      </c>
      <c r="K2593" s="13" t="str">
        <f ca="1">IFERROR(__xludf.DUMMYFUNCTION("""COMPUTED_VALUE"""),"H5_B33_BG-25.png")</f>
        <v>H5_B33_BG-25.png</v>
      </c>
      <c r="L2593" s="13" t="str">
        <f ca="1">IFERROR(__xludf.DUMMYFUNCTION("""COMPUTED_VALUE"""),"B33_25.mp3")</f>
        <v>B33_25.mp3</v>
      </c>
      <c r="M2593" s="13" t="str">
        <f ca="1">IFERROR(__xludf.DUMMYFUNCTION("""COMPUTED_VALUE"""),"B33_VD_25.mp3")</f>
        <v>B33_VD_25.mp3</v>
      </c>
    </row>
    <row r="2594" spans="1:13">
      <c r="A2594" s="13">
        <f ca="1">IFERROR(__xludf.DUMMYFUNCTION("""COMPUTED_VALUE"""),26)</f>
        <v>26</v>
      </c>
      <c r="B2594" s="13"/>
      <c r="C2594" s="13" t="str">
        <f ca="1">IFERROR(__xludf.DUMMYFUNCTION("""COMPUTED_VALUE"""),"体现")</f>
        <v>体现</v>
      </c>
      <c r="D2594" s="13" t="str">
        <f ca="1">IFERROR(__xludf.DUMMYFUNCTION("""COMPUTED_VALUE"""),"&lt;ruby&gt;体现&lt;rt&gt;tǐxiàn&lt;/rt&gt;&lt;/ruby&gt;")</f>
        <v>&lt;ruby&gt;体现&lt;rt&gt;tǐxiàn&lt;/rt&gt;&lt;/ruby&gt;</v>
      </c>
      <c r="E2594" s="13" t="str">
        <f ca="1">IFERROR(__xludf.DUMMYFUNCTION("""COMPUTED_VALUE"""),"tǐxiàn")</f>
        <v>tǐxiàn</v>
      </c>
      <c r="F2594" s="13" t="str">
        <f ca="1">IFERROR(__xludf.DUMMYFUNCTION("""COMPUTED_VALUE"""),"Động từ")</f>
        <v>Động từ</v>
      </c>
      <c r="G2594" s="13" t="str">
        <f ca="1">IFERROR(__xludf.DUMMYFUNCTION("""COMPUTED_VALUE"""),"thể hiện, phản ánh")</f>
        <v>thể hiện, phản ánh</v>
      </c>
      <c r="H2594" s="13" t="str">
        <f ca="1">IFERROR(__xludf.DUMMYFUNCTION("""COMPUTED_VALUE"""),"这本书体现了作者对社会问题的深刻思考。")</f>
        <v>这本书体现了作者对社会问题的深刻思考。</v>
      </c>
      <c r="I2594" s="13"/>
      <c r="J2594" s="13" t="str">
        <f ca="1">IFERROR(__xludf.DUMMYFUNCTION("""COMPUTED_VALUE"""),"Cuốn sách này đã phản ánh suy nghĩ sâu sắc của tác giả về các vấn đề xã hội.")</f>
        <v>Cuốn sách này đã phản ánh suy nghĩ sâu sắc của tác giả về các vấn đề xã hội.</v>
      </c>
      <c r="K2594" s="13" t="str">
        <f ca="1">IFERROR(__xludf.DUMMYFUNCTION("""COMPUTED_VALUE"""),"H5_B33_BG-26.png")</f>
        <v>H5_B33_BG-26.png</v>
      </c>
      <c r="L2594" s="13" t="str">
        <f ca="1">IFERROR(__xludf.DUMMYFUNCTION("""COMPUTED_VALUE"""),"B33_26.mp3")</f>
        <v>B33_26.mp3</v>
      </c>
      <c r="M2594" s="13" t="str">
        <f ca="1">IFERROR(__xludf.DUMMYFUNCTION("""COMPUTED_VALUE"""),"B33_VD_26.mp3")</f>
        <v>B33_VD_26.mp3</v>
      </c>
    </row>
    <row r="2595" spans="1:13">
      <c r="A2595" s="13">
        <f ca="1">IFERROR(__xludf.DUMMYFUNCTION("""COMPUTED_VALUE"""),27)</f>
        <v>27</v>
      </c>
      <c r="B2595" s="13"/>
      <c r="C2595" s="13" t="str">
        <f ca="1">IFERROR(__xludf.DUMMYFUNCTION("""COMPUTED_VALUE"""),"主观")</f>
        <v>主观</v>
      </c>
      <c r="D2595" s="13" t="str">
        <f ca="1">IFERROR(__xludf.DUMMYFUNCTION("""COMPUTED_VALUE"""),"&lt;ruby&gt;主观&lt;rt&gt;zhǔguān&lt;/rt&gt;&lt;/ruby&gt;")</f>
        <v>&lt;ruby&gt;主观&lt;rt&gt;zhǔguān&lt;/rt&gt;&lt;/ruby&gt;</v>
      </c>
      <c r="E2595" s="13" t="str">
        <f ca="1">IFERROR(__xludf.DUMMYFUNCTION("""COMPUTED_VALUE"""),"zhǔguān")</f>
        <v>zhǔguān</v>
      </c>
      <c r="F2595" s="13" t="str">
        <f ca="1">IFERROR(__xludf.DUMMYFUNCTION("""COMPUTED_VALUE"""),"Tính từ")</f>
        <v>Tính từ</v>
      </c>
      <c r="G2595" s="13" t="str">
        <f ca="1">IFERROR(__xludf.DUMMYFUNCTION("""COMPUTED_VALUE"""),"chủ quan")</f>
        <v>chủ quan</v>
      </c>
      <c r="H2595" s="13" t="str">
        <f ca="1">IFERROR(__xludf.DUMMYFUNCTION("""COMPUTED_VALUE"""),"他的主观观点让他很难接受别人的意见。")</f>
        <v>他的主观观点让他很难接受别人的意见。</v>
      </c>
      <c r="I2595" s="13"/>
      <c r="J2595" s="13" t="str">
        <f ca="1">IFERROR(__xludf.DUMMYFUNCTION("""COMPUTED_VALUE"""),"Quan điểm chủ quan của anh ấy khiến anh ấy rất khó chấp nhận quan điểm của người khác.")</f>
        <v>Quan điểm chủ quan của anh ấy khiến anh ấy rất khó chấp nhận quan điểm của người khác.</v>
      </c>
      <c r="K2595" s="13" t="str">
        <f ca="1">IFERROR(__xludf.DUMMYFUNCTION("""COMPUTED_VALUE"""),"H5_B33_BG-27.png")</f>
        <v>H5_B33_BG-27.png</v>
      </c>
      <c r="L2595" s="13" t="str">
        <f ca="1">IFERROR(__xludf.DUMMYFUNCTION("""COMPUTED_VALUE"""),"B33_27.mp3")</f>
        <v>B33_27.mp3</v>
      </c>
      <c r="M2595" s="13" t="str">
        <f ca="1">IFERROR(__xludf.DUMMYFUNCTION("""COMPUTED_VALUE"""),"B33_VD_27.mp3")</f>
        <v>B33_VD_27.mp3</v>
      </c>
    </row>
    <row r="2596" spans="1:13">
      <c r="A2596" s="13">
        <f ca="1">IFERROR(__xludf.DUMMYFUNCTION("""COMPUTED_VALUE"""),28)</f>
        <v>28</v>
      </c>
      <c r="B2596" s="13"/>
      <c r="C2596" s="13" t="str">
        <f ca="1">IFERROR(__xludf.DUMMYFUNCTION("""COMPUTED_VALUE"""),"不妨")</f>
        <v>不妨</v>
      </c>
      <c r="D2596" s="13" t="str">
        <f ca="1">IFERROR(__xludf.DUMMYFUNCTION("""COMPUTED_VALUE"""),"&lt;ruby&gt;不妨&lt;rt&gt;bùfáng&lt;/rt&gt;&lt;/ruby&gt;")</f>
        <v>&lt;ruby&gt;不妨&lt;rt&gt;bùfáng&lt;/rt&gt;&lt;/ruby&gt;</v>
      </c>
      <c r="E2596" s="13" t="str">
        <f ca="1">IFERROR(__xludf.DUMMYFUNCTION("""COMPUTED_VALUE"""),"bùfáng")</f>
        <v>bùfáng</v>
      </c>
      <c r="F2596" s="13" t="str">
        <f ca="1">IFERROR(__xludf.DUMMYFUNCTION("""COMPUTED_VALUE"""),"Phó từ")</f>
        <v>Phó từ</v>
      </c>
      <c r="G2596" s="13" t="str">
        <f ca="1">IFERROR(__xludf.DUMMYFUNCTION("""COMPUTED_VALUE"""),"đừng ngại, có thể làm")</f>
        <v>đừng ngại, có thể làm</v>
      </c>
      <c r="H2596" s="13" t="str">
        <f ca="1">IFERROR(__xludf.DUMMYFUNCTION("""COMPUTED_VALUE"""),"你不妨试试新产品。")</f>
        <v>你不妨试试新产品。</v>
      </c>
      <c r="I2596" s="13"/>
      <c r="J2596" s="13" t="str">
        <f ca="1">IFERROR(__xludf.DUMMYFUNCTION("""COMPUTED_VALUE"""),"Bạn có thể thử sản phẩm mới.")</f>
        <v>Bạn có thể thử sản phẩm mới.</v>
      </c>
      <c r="K2596" s="13" t="str">
        <f ca="1">IFERROR(__xludf.DUMMYFUNCTION("""COMPUTED_VALUE"""),"H5_B33_BG-28.png")</f>
        <v>H5_B33_BG-28.png</v>
      </c>
      <c r="L2596" s="13" t="str">
        <f ca="1">IFERROR(__xludf.DUMMYFUNCTION("""COMPUTED_VALUE"""),"B33_28.mp3")</f>
        <v>B33_28.mp3</v>
      </c>
      <c r="M2596" s="13" t="str">
        <f ca="1">IFERROR(__xludf.DUMMYFUNCTION("""COMPUTED_VALUE"""),"B33_VD_28.mp3")</f>
        <v>B33_VD_28.mp3</v>
      </c>
    </row>
    <row r="2597" spans="1:13">
      <c r="A2597" s="13">
        <f ca="1">IFERROR(__xludf.DUMMYFUNCTION("""COMPUTED_VALUE"""),29)</f>
        <v>29</v>
      </c>
      <c r="B2597" s="13"/>
      <c r="C2597" s="13" t="str">
        <f ca="1">IFERROR(__xludf.DUMMYFUNCTION("""COMPUTED_VALUE"""),"归纳")</f>
        <v>归纳</v>
      </c>
      <c r="D2597" s="13" t="str">
        <f ca="1">IFERROR(__xludf.DUMMYFUNCTION("""COMPUTED_VALUE"""),"&lt;ruby&gt;归纳&lt;rt&gt;guīnà&lt;/rt&gt;&lt;/ruby&gt;")</f>
        <v>&lt;ruby&gt;归纳&lt;rt&gt;guīnà&lt;/rt&gt;&lt;/ruby&gt;</v>
      </c>
      <c r="E2597" s="13" t="str">
        <f ca="1">IFERROR(__xludf.DUMMYFUNCTION("""COMPUTED_VALUE"""),"guīnà")</f>
        <v>guīnà</v>
      </c>
      <c r="F2597" s="13" t="str">
        <f ca="1">IFERROR(__xludf.DUMMYFUNCTION("""COMPUTED_VALUE"""),"Động từ")</f>
        <v>Động từ</v>
      </c>
      <c r="G2597" s="13" t="str">
        <f ca="1">IFERROR(__xludf.DUMMYFUNCTION("""COMPUTED_VALUE"""),"tổng kết, tóm tắt")</f>
        <v>tổng kết, tóm tắt</v>
      </c>
      <c r="H2597" s="13" t="str">
        <f ca="1">IFERROR(__xludf.DUMMYFUNCTION("""COMPUTED_VALUE"""),"会议结束时，我们需要归纳今天讨论的要点。")</f>
        <v>会议结束时，我们需要归纳今天讨论的要点。</v>
      </c>
      <c r="I2597" s="13"/>
      <c r="J2597" s="13" t="str">
        <f ca="1">IFERROR(__xludf.DUMMYFUNCTION("""COMPUTED_VALUE"""),"Vào cuối cuộc họp, chúng ta cần tổng kết lại những điểm chính đã thảo luận hôm nay.")</f>
        <v>Vào cuối cuộc họp, chúng ta cần tổng kết lại những điểm chính đã thảo luận hôm nay.</v>
      </c>
      <c r="K2597" s="13" t="str">
        <f ca="1">IFERROR(__xludf.DUMMYFUNCTION("""COMPUTED_VALUE"""),"H5_B33_BG-29.png")</f>
        <v>H5_B33_BG-29.png</v>
      </c>
      <c r="L2597" s="13" t="str">
        <f ca="1">IFERROR(__xludf.DUMMYFUNCTION("""COMPUTED_VALUE"""),"B33_29.mp3")</f>
        <v>B33_29.mp3</v>
      </c>
      <c r="M2597" s="13" t="str">
        <f ca="1">IFERROR(__xludf.DUMMYFUNCTION("""COMPUTED_VALUE"""),"B33_VD_29.mp3")</f>
        <v>B33_VD_29.mp3</v>
      </c>
    </row>
    <row r="2598" spans="1:13">
      <c r="A2598" s="13">
        <f ca="1">IFERROR(__xludf.DUMMYFUNCTION("""COMPUTED_VALUE"""),30)</f>
        <v>30</v>
      </c>
      <c r="B2598" s="13"/>
      <c r="C2598" s="13" t="str">
        <f ca="1">IFERROR(__xludf.DUMMYFUNCTION("""COMPUTED_VALUE"""),"虚心")</f>
        <v>虚心</v>
      </c>
      <c r="D2598" s="13" t="str">
        <f ca="1">IFERROR(__xludf.DUMMYFUNCTION("""COMPUTED_VALUE"""),"&lt;ruby&gt;虚心&lt;rt&gt;xūxīn&lt;/rt&gt;&lt;/ruby&gt;")</f>
        <v>&lt;ruby&gt;虚心&lt;rt&gt;xūxīn&lt;/rt&gt;&lt;/ruby&gt;</v>
      </c>
      <c r="E2598" s="13" t="str">
        <f ca="1">IFERROR(__xludf.DUMMYFUNCTION("""COMPUTED_VALUE"""),"xūxīn")</f>
        <v>xūxīn</v>
      </c>
      <c r="F2598" s="13" t="str">
        <f ca="1">IFERROR(__xludf.DUMMYFUNCTION("""COMPUTED_VALUE"""),"Tính từ")</f>
        <v>Tính từ</v>
      </c>
      <c r="G2598" s="13" t="str">
        <f ca="1">IFERROR(__xludf.DUMMYFUNCTION("""COMPUTED_VALUE"""),"khiêm tốn")</f>
        <v>khiêm tốn</v>
      </c>
      <c r="H2598" s="13" t="str">
        <f ca="1">IFERROR(__xludf.DUMMYFUNCTION("""COMPUTED_VALUE"""),"他是一个非常虚心的人，总是学习新技能，不断提高自己。")</f>
        <v>他是一个非常虚心的人，总是学习新技能，不断提高自己。</v>
      </c>
      <c r="I2598" s="13"/>
      <c r="J2598" s="13" t="str">
        <f ca="1">IFERROR(__xludf.DUMMYFUNCTION("""COMPUTED_VALUE"""),"Anh ấy là một người rất khiêm tốn, luôn học hỏi mọi kỹ năng mới và không ngừng nâng cao bản thân.")</f>
        <v>Anh ấy là một người rất khiêm tốn, luôn học hỏi mọi kỹ năng mới và không ngừng nâng cao bản thân.</v>
      </c>
      <c r="K2598" s="13" t="str">
        <f ca="1">IFERROR(__xludf.DUMMYFUNCTION("""COMPUTED_VALUE"""),"H5_B33_BG-30.png")</f>
        <v>H5_B33_BG-30.png</v>
      </c>
      <c r="L2598" s="13" t="str">
        <f ca="1">IFERROR(__xludf.DUMMYFUNCTION("""COMPUTED_VALUE"""),"B33_30.mp3")</f>
        <v>B33_30.mp3</v>
      </c>
      <c r="M2598" s="13" t="str">
        <f ca="1">IFERROR(__xludf.DUMMYFUNCTION("""COMPUTED_VALUE"""),"B33_VD_30.mp3")</f>
        <v>B33_VD_30.mp3</v>
      </c>
    </row>
    <row r="2599" spans="1:13">
      <c r="A2599" s="13">
        <f ca="1">IFERROR(__xludf.DUMMYFUNCTION("""COMPUTED_VALUE"""),31)</f>
        <v>31</v>
      </c>
      <c r="B2599" s="13"/>
      <c r="C2599" s="13" t="str">
        <f ca="1">IFERROR(__xludf.DUMMYFUNCTION("""COMPUTED_VALUE"""),"咨询")</f>
        <v>咨询</v>
      </c>
      <c r="D2599" s="13" t="str">
        <f ca="1">IFERROR(__xludf.DUMMYFUNCTION("""COMPUTED_VALUE"""),"&lt;ruby&gt;咨询&lt;rt&gt;zīxún&lt;/rt&gt;&lt;/ruby&gt;")</f>
        <v>&lt;ruby&gt;咨询&lt;rt&gt;zīxún&lt;/rt&gt;&lt;/ruby&gt;</v>
      </c>
      <c r="E2599" s="13" t="str">
        <f ca="1">IFERROR(__xludf.DUMMYFUNCTION("""COMPUTED_VALUE"""),"zīxún")</f>
        <v>zīxún</v>
      </c>
      <c r="F2599" s="13" t="str">
        <f ca="1">IFERROR(__xludf.DUMMYFUNCTION("""COMPUTED_VALUE"""),"Động từ")</f>
        <v>Động từ</v>
      </c>
      <c r="G2599" s="13" t="str">
        <f ca="1">IFERROR(__xludf.DUMMYFUNCTION("""COMPUTED_VALUE"""),"tư vấn, hỏi ý kiến")</f>
        <v>tư vấn, hỏi ý kiến</v>
      </c>
      <c r="H2599" s="13" t="str">
        <f ca="1">IFERROR(__xludf.DUMMYFUNCTION("""COMPUTED_VALUE"""),"他在一家咨询公司工作，专门为企业提供管理建议。")</f>
        <v>他在一家咨询公司工作，专门为企业提供管理建议。</v>
      </c>
      <c r="I2599" s="13"/>
      <c r="J2599" s="13" t="str">
        <f ca="1">IFERROR(__xludf.DUMMYFUNCTION("""COMPUTED_VALUE"""),"Anh ấy làm việc tại một công ty tư vấn, chuyên cung cấp lời khuyên quản lý cho các doanh nghiệp.")</f>
        <v>Anh ấy làm việc tại một công ty tư vấn, chuyên cung cấp lời khuyên quản lý cho các doanh nghiệp.</v>
      </c>
      <c r="K2599" s="13" t="str">
        <f ca="1">IFERROR(__xludf.DUMMYFUNCTION("""COMPUTED_VALUE"""),"H5_B33_BG-31.png")</f>
        <v>H5_B33_BG-31.png</v>
      </c>
      <c r="L2599" s="13" t="str">
        <f ca="1">IFERROR(__xludf.DUMMYFUNCTION("""COMPUTED_VALUE"""),"B33_31.mp3")</f>
        <v>B33_31.mp3</v>
      </c>
      <c r="M2599" s="13" t="str">
        <f ca="1">IFERROR(__xludf.DUMMYFUNCTION("""COMPUTED_VALUE"""),"B33_VD_31.mp3")</f>
        <v>B33_VD_31.mp3</v>
      </c>
    </row>
    <row r="2600" spans="1:13">
      <c r="A2600" s="13">
        <f ca="1">IFERROR(__xludf.DUMMYFUNCTION("""COMPUTED_VALUE"""),32)</f>
        <v>32</v>
      </c>
      <c r="B2600" s="13"/>
      <c r="C2600" s="13" t="str">
        <f ca="1">IFERROR(__xludf.DUMMYFUNCTION("""COMPUTED_VALUE"""),"中旬")</f>
        <v>中旬</v>
      </c>
      <c r="D2600" s="13" t="str">
        <f ca="1">IFERROR(__xludf.DUMMYFUNCTION("""COMPUTED_VALUE"""),"&lt;ruby&gt;中旬&lt;rt&gt;zhōngxún&lt;/rt&gt;&lt;/ruby&gt;")</f>
        <v>&lt;ruby&gt;中旬&lt;rt&gt;zhōngxún&lt;/rt&gt;&lt;/ruby&gt;</v>
      </c>
      <c r="E2600" s="13" t="str">
        <f ca="1">IFERROR(__xludf.DUMMYFUNCTION("""COMPUTED_VALUE"""),"zhōngxún")</f>
        <v>zhōngxún</v>
      </c>
      <c r="F2600" s="13" t="str">
        <f ca="1">IFERROR(__xludf.DUMMYFUNCTION("""COMPUTED_VALUE"""),"Danh từ")</f>
        <v>Danh từ</v>
      </c>
      <c r="G2600" s="13" t="str">
        <f ca="1">IFERROR(__xludf.DUMMYFUNCTION("""COMPUTED_VALUE"""),"trung tuần")</f>
        <v>trung tuần</v>
      </c>
      <c r="H2600" s="13" t="str">
        <f ca="1">IFERROR(__xludf.DUMMYFUNCTION("""COMPUTED_VALUE"""),"12月中旬有一个会议。")</f>
        <v>12月中旬有一个会议。</v>
      </c>
      <c r="I2600" s="13"/>
      <c r="J2600" s="13" t="str">
        <f ca="1">IFERROR(__xludf.DUMMYFUNCTION("""COMPUTED_VALUE"""),"Giữa tháng 12 có một cuộc họp.")</f>
        <v>Giữa tháng 12 có một cuộc họp.</v>
      </c>
      <c r="K2600" s="13" t="str">
        <f ca="1">IFERROR(__xludf.DUMMYFUNCTION("""COMPUTED_VALUE"""),"H5_B33_BG-32.png")</f>
        <v>H5_B33_BG-32.png</v>
      </c>
      <c r="L2600" s="13" t="str">
        <f ca="1">IFERROR(__xludf.DUMMYFUNCTION("""COMPUTED_VALUE"""),"B33_32.mp3")</f>
        <v>B33_32.mp3</v>
      </c>
      <c r="M2600" s="13" t="str">
        <f ca="1">IFERROR(__xludf.DUMMYFUNCTION("""COMPUTED_VALUE"""),"B33_VD_32.mp3")</f>
        <v>B33_VD_32.mp3</v>
      </c>
    </row>
    <row r="2601" spans="1:13">
      <c r="A2601" s="13">
        <f ca="1">IFERROR(__xludf.DUMMYFUNCTION("""COMPUTED_VALUE"""),33)</f>
        <v>33</v>
      </c>
      <c r="B2601" s="13"/>
      <c r="C2601" s="13" t="str">
        <f ca="1">IFERROR(__xludf.DUMMYFUNCTION("""COMPUTED_VALUE"""),"图")</f>
        <v>图</v>
      </c>
      <c r="D2601" s="13" t="str">
        <f ca="1">IFERROR(__xludf.DUMMYFUNCTION("""COMPUTED_VALUE"""),"&lt;ruby&gt;图&lt;rt&gt;tú&lt;/rt&gt;&lt;/ruby&gt;")</f>
        <v>&lt;ruby&gt;图&lt;rt&gt;tú&lt;/rt&gt;&lt;/ruby&gt;</v>
      </c>
      <c r="E2601" s="13" t="str">
        <f ca="1">IFERROR(__xludf.DUMMYFUNCTION("""COMPUTED_VALUE"""),"tú")</f>
        <v>tú</v>
      </c>
      <c r="F2601" s="13" t="str">
        <f ca="1">IFERROR(__xludf.DUMMYFUNCTION("""COMPUTED_VALUE"""),"Động từ")</f>
        <v>Động từ</v>
      </c>
      <c r="G2601" s="13" t="str">
        <f ca="1">IFERROR(__xludf.DUMMYFUNCTION("""COMPUTED_VALUE"""),"ham muốn")</f>
        <v>ham muốn</v>
      </c>
      <c r="H2601" s="13" t="str">
        <f ca="1">IFERROR(__xludf.DUMMYFUNCTION("""COMPUTED_VALUE"""),"他图谋占有这块土地。")</f>
        <v>他图谋占有这块土地。</v>
      </c>
      <c r="I2601" s="13"/>
      <c r="J2601" s="13" t="str">
        <f ca="1">IFERROR(__xludf.DUMMYFUNCTION("""COMPUTED_VALUE"""),"Anh ta âm mưu chiếm lấy mảnh đất này.")</f>
        <v>Anh ta âm mưu chiếm lấy mảnh đất này.</v>
      </c>
      <c r="K2601" s="13" t="str">
        <f ca="1">IFERROR(__xludf.DUMMYFUNCTION("""COMPUTED_VALUE"""),"H5_B33_BG-33.png")</f>
        <v>H5_B33_BG-33.png</v>
      </c>
      <c r="L2601" s="13" t="str">
        <f ca="1">IFERROR(__xludf.DUMMYFUNCTION("""COMPUTED_VALUE"""),"B33_33.mp3")</f>
        <v>B33_33.mp3</v>
      </c>
      <c r="M2601" s="13" t="str">
        <f ca="1">IFERROR(__xludf.DUMMYFUNCTION("""COMPUTED_VALUE"""),"B33_VD_33.mp3")</f>
        <v>B33_VD_33.mp3</v>
      </c>
    </row>
    <row r="2602" spans="1:13">
      <c r="A2602" s="13">
        <f ca="1">IFERROR(__xludf.DUMMYFUNCTION("""COMPUTED_VALUE"""),34)</f>
        <v>34</v>
      </c>
      <c r="B2602" s="13"/>
      <c r="C2602" s="13" t="str">
        <f ca="1">IFERROR(__xludf.DUMMYFUNCTION("""COMPUTED_VALUE"""),"自愿")</f>
        <v>自愿</v>
      </c>
      <c r="D2602" s="13" t="str">
        <f ca="1">IFERROR(__xludf.DUMMYFUNCTION("""COMPUTED_VALUE"""),"&lt;ruby&gt;自愿&lt;rt&gt;zìyuàn&lt;/rt&gt;&lt;/ruby&gt;")</f>
        <v>&lt;ruby&gt;自愿&lt;rt&gt;zìyuàn&lt;/rt&gt;&lt;/ruby&gt;</v>
      </c>
      <c r="E2602" s="13" t="str">
        <f ca="1">IFERROR(__xludf.DUMMYFUNCTION("""COMPUTED_VALUE"""),"zìyuàn")</f>
        <v>zìyuàn</v>
      </c>
      <c r="F2602" s="13" t="str">
        <f ca="1">IFERROR(__xludf.DUMMYFUNCTION("""COMPUTED_VALUE"""),"Tính từ")</f>
        <v>Tính từ</v>
      </c>
      <c r="G2602" s="13" t="str">
        <f ca="1">IFERROR(__xludf.DUMMYFUNCTION("""COMPUTED_VALUE"""),"tự nguyện, tự ý")</f>
        <v>tự nguyện, tự ý</v>
      </c>
      <c r="H2602" s="13" t="str">
        <f ca="1">IFERROR(__xludf.DUMMYFUNCTION("""COMPUTED_VALUE"""),"他自愿做这份工作吗？")</f>
        <v>他自愿做这份工作吗？</v>
      </c>
      <c r="I2602" s="13"/>
      <c r="J2602" s="13" t="str">
        <f ca="1">IFERROR(__xludf.DUMMYFUNCTION("""COMPUTED_VALUE"""),"Anh ấy có tự nguyện làm công việc này không?")</f>
        <v>Anh ấy có tự nguyện làm công việc này không?</v>
      </c>
      <c r="K2602" s="13" t="str">
        <f ca="1">IFERROR(__xludf.DUMMYFUNCTION("""COMPUTED_VALUE"""),"H5_B33_BG-34.png")</f>
        <v>H5_B33_BG-34.png</v>
      </c>
      <c r="L2602" s="13" t="str">
        <f ca="1">IFERROR(__xludf.DUMMYFUNCTION("""COMPUTED_VALUE"""),"B33_34.mp3")</f>
        <v>B33_34.mp3</v>
      </c>
      <c r="M2602" s="13" t="str">
        <f ca="1">IFERROR(__xludf.DUMMYFUNCTION("""COMPUTED_VALUE"""),"B33_VD_34.mp3")</f>
        <v>B33_VD_34.mp3</v>
      </c>
    </row>
    <row r="2603" spans="1:13">
      <c r="A2603" s="13">
        <f ca="1">IFERROR(__xludf.DUMMYFUNCTION("""COMPUTED_VALUE"""),35)</f>
        <v>35</v>
      </c>
      <c r="B2603" s="13"/>
      <c r="C2603" s="13" t="str">
        <f ca="1">IFERROR(__xludf.DUMMYFUNCTION("""COMPUTED_VALUE"""),"难怪")</f>
        <v>难怪</v>
      </c>
      <c r="D2603" s="13" t="str">
        <f ca="1">IFERROR(__xludf.DUMMYFUNCTION("""COMPUTED_VALUE"""),"&lt;ruby&gt;难怪&lt;rt&gt;nánguài&lt;/rt&gt;&lt;/ruby&gt;")</f>
        <v>&lt;ruby&gt;难怪&lt;rt&gt;nánguài&lt;/rt&gt;&lt;/ruby&gt;</v>
      </c>
      <c r="E2603" s="13" t="str">
        <f ca="1">IFERROR(__xludf.DUMMYFUNCTION("""COMPUTED_VALUE"""),"nánguài")</f>
        <v>nánguài</v>
      </c>
      <c r="F2603" s="13" t="str">
        <f ca="1">IFERROR(__xludf.DUMMYFUNCTION("""COMPUTED_VALUE"""),"Động từ")</f>
        <v>Động từ</v>
      </c>
      <c r="G2603" s="13" t="str">
        <f ca="1">IFERROR(__xludf.DUMMYFUNCTION("""COMPUTED_VALUE"""),"có thể hiểu được, khó trách")</f>
        <v>có thể hiểu được, khó trách</v>
      </c>
      <c r="H2603" s="13" t="str">
        <f ca="1">IFERROR(__xludf.DUMMYFUNCTION("""COMPUTED_VALUE"""),"难怪他不高兴，原来他失业了。")</f>
        <v>难怪他不高兴，原来他失业了。</v>
      </c>
      <c r="I2603" s="13"/>
      <c r="J2603" s="13" t="str">
        <f ca="1">IFERROR(__xludf.DUMMYFUNCTION("""COMPUTED_VALUE"""),"Khó trách anh ấy không vui, hóa ra anh ấy đã bị thất nghiệp.")</f>
        <v>Khó trách anh ấy không vui, hóa ra anh ấy đã bị thất nghiệp.</v>
      </c>
      <c r="K2603" s="13" t="str">
        <f ca="1">IFERROR(__xludf.DUMMYFUNCTION("""COMPUTED_VALUE"""),"H5_B33_BG-35.png")</f>
        <v>H5_B33_BG-35.png</v>
      </c>
      <c r="L2603" s="13" t="str">
        <f ca="1">IFERROR(__xludf.DUMMYFUNCTION("""COMPUTED_VALUE"""),"B33_35.mp3")</f>
        <v>B33_35.mp3</v>
      </c>
      <c r="M2603" s="13" t="str">
        <f ca="1">IFERROR(__xludf.DUMMYFUNCTION("""COMPUTED_VALUE"""),"B33_VD_35.mp3")</f>
        <v>B33_VD_35.mp3</v>
      </c>
    </row>
    <row r="2604" spans="1:13">
      <c r="A2604" s="13">
        <f ca="1">IFERROR(__xludf.DUMMYFUNCTION("""COMPUTED_VALUE"""),36)</f>
        <v>36</v>
      </c>
      <c r="B2604" s="13"/>
      <c r="C2604" s="13" t="str">
        <f ca="1">IFERROR(__xludf.DUMMYFUNCTION("""COMPUTED_VALUE"""),"与其")</f>
        <v>与其</v>
      </c>
      <c r="D2604" s="13" t="str">
        <f ca="1">IFERROR(__xludf.DUMMYFUNCTION("""COMPUTED_VALUE"""),"&lt;ruby&gt;与其&lt;rt&gt;yǔqí&lt;/rt&gt;&lt;/ruby&gt;")</f>
        <v>&lt;ruby&gt;与其&lt;rt&gt;yǔqí&lt;/rt&gt;&lt;/ruby&gt;</v>
      </c>
      <c r="E2604" s="13" t="str">
        <f ca="1">IFERROR(__xludf.DUMMYFUNCTION("""COMPUTED_VALUE"""),"yǔqí")</f>
        <v>yǔqí</v>
      </c>
      <c r="F2604" s="13" t="str">
        <f ca="1">IFERROR(__xludf.DUMMYFUNCTION("""COMPUTED_VALUE"""),"Liên từ")</f>
        <v>Liên từ</v>
      </c>
      <c r="G2604" s="13" t="str">
        <f ca="1">IFERROR(__xludf.DUMMYFUNCTION("""COMPUTED_VALUE"""),"thà... còn hơn...")</f>
        <v>thà... còn hơn...</v>
      </c>
      <c r="H2604" s="13" t="str">
        <f ca="1">IFERROR(__xludf.DUMMYFUNCTION("""COMPUTED_VALUE"""),"与其吃快餐，不如选择健康的食物。")</f>
        <v>与其吃快餐，不如选择健康的食物。</v>
      </c>
      <c r="I2604" s="13"/>
      <c r="J2604" s="13" t="str">
        <f ca="1">IFERROR(__xludf.DUMMYFUNCTION("""COMPUTED_VALUE"""),"Thà chọn những món ăn lành mạnh, còn hơn là ăn đồ ăn nhanh.")</f>
        <v>Thà chọn những món ăn lành mạnh, còn hơn là ăn đồ ăn nhanh.</v>
      </c>
      <c r="K2604" s="13" t="str">
        <f ca="1">IFERROR(__xludf.DUMMYFUNCTION("""COMPUTED_VALUE"""),"H5_B33_BG-36.png")</f>
        <v>H5_B33_BG-36.png</v>
      </c>
      <c r="L2604" s="13" t="str">
        <f ca="1">IFERROR(__xludf.DUMMYFUNCTION("""COMPUTED_VALUE"""),"B33_36.mp3")</f>
        <v>B33_36.mp3</v>
      </c>
      <c r="M2604" s="13" t="str">
        <f ca="1">IFERROR(__xludf.DUMMYFUNCTION("""COMPUTED_VALUE"""),"B33_VD_36.mp3")</f>
        <v>B33_VD_36.mp3</v>
      </c>
    </row>
    <row r="2605" spans="1:13">
      <c r="A2605" s="13">
        <f ca="1">IFERROR(__xludf.DUMMYFUNCTION("""COMPUTED_VALUE"""),37)</f>
        <v>37</v>
      </c>
      <c r="B2605" s="13"/>
      <c r="C2605" s="13" t="str">
        <f ca="1">IFERROR(__xludf.DUMMYFUNCTION("""COMPUTED_VALUE"""),"明确")</f>
        <v>明确</v>
      </c>
      <c r="D2605" s="13" t="str">
        <f ca="1">IFERROR(__xludf.DUMMYFUNCTION("""COMPUTED_VALUE"""),"&lt;ruby&gt;明确&lt;rt&gt;míngquè&lt;/rt&gt;&lt;/ruby&gt;")</f>
        <v>&lt;ruby&gt;明确&lt;rt&gt;míngquè&lt;/rt&gt;&lt;/ruby&gt;</v>
      </c>
      <c r="E2605" s="13" t="str">
        <f ca="1">IFERROR(__xludf.DUMMYFUNCTION("""COMPUTED_VALUE"""),"míngquè")</f>
        <v>míngquè</v>
      </c>
      <c r="F2605" s="13" t="str">
        <f ca="1">IFERROR(__xludf.DUMMYFUNCTION("""COMPUTED_VALUE"""),"Tính từ")</f>
        <v>Tính từ</v>
      </c>
      <c r="G2605" s="13" t="str">
        <f ca="1">IFERROR(__xludf.DUMMYFUNCTION("""COMPUTED_VALUE"""),"rõ ràng")</f>
        <v>rõ ràng</v>
      </c>
      <c r="H2605" s="13" t="str">
        <f ca="1">IFERROR(__xludf.DUMMYFUNCTION("""COMPUTED_VALUE"""),"在会议上，经理提出了下一年的明确目标。")</f>
        <v>在会议上，经理提出了下一年的明确目标。</v>
      </c>
      <c r="I2605" s="13"/>
      <c r="J2605" s="13" t="str">
        <f ca="1">IFERROR(__xludf.DUMMYFUNCTION("""COMPUTED_VALUE"""),"Trong cuộc họp giám đốc đã đưa ra mục tiêu rõ ràng cho năm tiếp theo.")</f>
        <v>Trong cuộc họp giám đốc đã đưa ra mục tiêu rõ ràng cho năm tiếp theo.</v>
      </c>
      <c r="K2605" s="13" t="str">
        <f ca="1">IFERROR(__xludf.DUMMYFUNCTION("""COMPUTED_VALUE"""),"H5_B33_BG-37.png")</f>
        <v>H5_B33_BG-37.png</v>
      </c>
      <c r="L2605" s="13" t="str">
        <f ca="1">IFERROR(__xludf.DUMMYFUNCTION("""COMPUTED_VALUE"""),"B33_37.mp3")</f>
        <v>B33_37.mp3</v>
      </c>
      <c r="M2605" s="13" t="str">
        <f ca="1">IFERROR(__xludf.DUMMYFUNCTION("""COMPUTED_VALUE"""),"B33_VD_37.mp3")</f>
        <v>B33_VD_37.mp3</v>
      </c>
    </row>
    <row r="2606" spans="1:13">
      <c r="A2606" s="13">
        <f ca="1">IFERROR(__xludf.DUMMYFUNCTION("""COMPUTED_VALUE"""),38)</f>
        <v>38</v>
      </c>
      <c r="B2606" s="13"/>
      <c r="C2606" s="13" t="str">
        <f ca="1">IFERROR(__xludf.DUMMYFUNCTION("""COMPUTED_VALUE"""),"期待")</f>
        <v>期待</v>
      </c>
      <c r="D2606" s="13" t="str">
        <f ca="1">IFERROR(__xludf.DUMMYFUNCTION("""COMPUTED_VALUE"""),"&lt;ruby&gt;期待&lt;rt&gt;qīdài&lt;/rt&gt;&lt;/ruby&gt;")</f>
        <v>&lt;ruby&gt;期待&lt;rt&gt;qīdài&lt;/rt&gt;&lt;/ruby&gt;</v>
      </c>
      <c r="E2606" s="13" t="str">
        <f ca="1">IFERROR(__xludf.DUMMYFUNCTION("""COMPUTED_VALUE"""),"qīdài")</f>
        <v>qīdài</v>
      </c>
      <c r="F2606" s="13" t="str">
        <f ca="1">IFERROR(__xludf.DUMMYFUNCTION("""COMPUTED_VALUE"""),"Động từ")</f>
        <v>Động từ</v>
      </c>
      <c r="G2606" s="13" t="str">
        <f ca="1">IFERROR(__xludf.DUMMYFUNCTION("""COMPUTED_VALUE"""),"mong đợi, kỳ vọng")</f>
        <v>mong đợi, kỳ vọng</v>
      </c>
      <c r="H2606" s="13" t="str">
        <f ca="1">IFERROR(__xludf.DUMMYFUNCTION("""COMPUTED_VALUE"""),"我非常期待即将到来的家庭旅行。")</f>
        <v>我非常期待即将到来的家庭旅行。</v>
      </c>
      <c r="I2606" s="13"/>
      <c r="J2606" s="13" t="str">
        <f ca="1">IFERROR(__xludf.DUMMYFUNCTION("""COMPUTED_VALUE"""),"Tôi rất mong đợi chuyến du lịch sắp tới với gia đình.")</f>
        <v>Tôi rất mong đợi chuyến du lịch sắp tới với gia đình.</v>
      </c>
      <c r="K2606" s="13" t="str">
        <f ca="1">IFERROR(__xludf.DUMMYFUNCTION("""COMPUTED_VALUE"""),"H5_B33_BG-38.png")</f>
        <v>H5_B33_BG-38.png</v>
      </c>
      <c r="L2606" s="13" t="str">
        <f ca="1">IFERROR(__xludf.DUMMYFUNCTION("""COMPUTED_VALUE"""),"B33_38.mp3")</f>
        <v>B33_38.mp3</v>
      </c>
      <c r="M2606" s="13" t="str">
        <f ca="1">IFERROR(__xludf.DUMMYFUNCTION("""COMPUTED_VALUE"""),"B33_VD_38.mp3")</f>
        <v>B33_VD_38.mp3</v>
      </c>
    </row>
    <row r="2607" spans="1:13">
      <c r="A2607" s="13">
        <f ca="1">IFERROR(__xludf.DUMMYFUNCTION("""COMPUTED_VALUE"""),1)</f>
        <v>1</v>
      </c>
      <c r="B2607" s="13"/>
      <c r="C2607" s="13" t="str">
        <f ca="1">IFERROR(__xludf.DUMMYFUNCTION("""COMPUTED_VALUE"""),"接触")</f>
        <v>接触</v>
      </c>
      <c r="D2607" s="13" t="str">
        <f ca="1">IFERROR(__xludf.DUMMYFUNCTION("""COMPUTED_VALUE"""),"&lt;ruby&gt;接触&lt;rt&gt;jiēchù&lt;/rt&gt;&lt;/ruby&gt;")</f>
        <v>&lt;ruby&gt;接触&lt;rt&gt;jiēchù&lt;/rt&gt;&lt;/ruby&gt;</v>
      </c>
      <c r="E2607" s="13" t="str">
        <f ca="1">IFERROR(__xludf.DUMMYFUNCTION("""COMPUTED_VALUE"""),"jiēchù")</f>
        <v>jiēchù</v>
      </c>
      <c r="F2607" s="13" t="str">
        <f ca="1">IFERROR(__xludf.DUMMYFUNCTION("""COMPUTED_VALUE"""),"Động từ")</f>
        <v>Động từ</v>
      </c>
      <c r="G2607" s="13" t="str">
        <f ca="1">IFERROR(__xludf.DUMMYFUNCTION("""COMPUTED_VALUE"""),"tiếp xúc")</f>
        <v>tiếp xúc</v>
      </c>
      <c r="H2607" s="13" t="str">
        <f ca="1">IFERROR(__xludf.DUMMYFUNCTION("""COMPUTED_VALUE"""),"他从小就接触了很多不同的音乐风格。")</f>
        <v>他从小就接触了很多不同的音乐风格。</v>
      </c>
      <c r="I2607" s="13"/>
      <c r="J2607" s="13" t="str">
        <f ca="1">IFERROR(__xludf.DUMMYFUNCTION("""COMPUTED_VALUE"""),"Anh ấy đã tiếp xúc với rất nhiều phong cách âm nhạc khác nhau từ khi còn nhỏ.")</f>
        <v>Anh ấy đã tiếp xúc với rất nhiều phong cách âm nhạc khác nhau từ khi còn nhỏ.</v>
      </c>
      <c r="K2607" s="13" t="str">
        <f ca="1">IFERROR(__xludf.DUMMYFUNCTION("""COMPUTED_VALUE"""),"H5_B34_BG-01.png")</f>
        <v>H5_B34_BG-01.png</v>
      </c>
      <c r="L2607" s="13" t="str">
        <f ca="1">IFERROR(__xludf.DUMMYFUNCTION("""COMPUTED_VALUE"""),"B34_1.mp3")</f>
        <v>B34_1.mp3</v>
      </c>
      <c r="M2607" s="13" t="str">
        <f ca="1">IFERROR(__xludf.DUMMYFUNCTION("""COMPUTED_VALUE"""),"B34_VD_1.mp3")</f>
        <v>B34_VD_1.mp3</v>
      </c>
    </row>
    <row r="2608" spans="1:13">
      <c r="A2608" s="13">
        <f ca="1">IFERROR(__xludf.DUMMYFUNCTION("""COMPUTED_VALUE"""),2)</f>
        <v>2</v>
      </c>
      <c r="B2608" s="13"/>
      <c r="C2608" s="13" t="str">
        <f ca="1">IFERROR(__xludf.DUMMYFUNCTION("""COMPUTED_VALUE"""),"特征")</f>
        <v>特征</v>
      </c>
      <c r="D2608" s="13" t="str">
        <f ca="1">IFERROR(__xludf.DUMMYFUNCTION("""COMPUTED_VALUE"""),"&lt;ruby&gt;特征&lt;rt&gt;tèzhēng&lt;/rt&gt;&lt;/ruby&gt;")</f>
        <v>&lt;ruby&gt;特征&lt;rt&gt;tèzhēng&lt;/rt&gt;&lt;/ruby&gt;</v>
      </c>
      <c r="E2608" s="13" t="str">
        <f ca="1">IFERROR(__xludf.DUMMYFUNCTION("""COMPUTED_VALUE"""),"tèzhēng")</f>
        <v>tèzhēng</v>
      </c>
      <c r="F2608" s="13" t="str">
        <f ca="1">IFERROR(__xludf.DUMMYFUNCTION("""COMPUTED_VALUE"""),"Danh từ")</f>
        <v>Danh từ</v>
      </c>
      <c r="G2608" s="13" t="str">
        <f ca="1">IFERROR(__xludf.DUMMYFUNCTION("""COMPUTED_VALUE"""),"điểm đặc trưng, nét đặc biệt")</f>
        <v>điểm đặc trưng, nét đặc biệt</v>
      </c>
      <c r="H2608" s="13" t="str">
        <f ca="1">IFERROR(__xludf.DUMMYFUNCTION("""COMPUTED_VALUE"""),"这只鹦鹉的特征是五彩斑斓的羽毛和长长的嘴巴。")</f>
        <v>这只鹦鹉的特征是五彩斑斓的羽毛和长长的嘴巴。</v>
      </c>
      <c r="I2608" s="13"/>
      <c r="J2608" s="13" t="str">
        <f ca="1">IFERROR(__xludf.DUMMYFUNCTION("""COMPUTED_VALUE"""),"Đặc trưng của con vẹt này là bộ lông sặc sỡ và chiếc mỏ dài.")</f>
        <v>Đặc trưng của con vẹt này là bộ lông sặc sỡ và chiếc mỏ dài.</v>
      </c>
      <c r="K2608" s="13" t="str">
        <f ca="1">IFERROR(__xludf.DUMMYFUNCTION("""COMPUTED_VALUE"""),"H5_B34_BG-02.png")</f>
        <v>H5_B34_BG-02.png</v>
      </c>
      <c r="L2608" s="13" t="str">
        <f ca="1">IFERROR(__xludf.DUMMYFUNCTION("""COMPUTED_VALUE"""),"B34_2.mp3")</f>
        <v>B34_2.mp3</v>
      </c>
      <c r="M2608" s="13" t="str">
        <f ca="1">IFERROR(__xludf.DUMMYFUNCTION("""COMPUTED_VALUE"""),"B34_VD_2.mp3")</f>
        <v>B34_VD_2.mp3</v>
      </c>
    </row>
    <row r="2609" spans="1:13">
      <c r="A2609" s="13">
        <f ca="1">IFERROR(__xludf.DUMMYFUNCTION("""COMPUTED_VALUE"""),3)</f>
        <v>3</v>
      </c>
      <c r="B2609" s="13"/>
      <c r="C2609" s="13" t="str">
        <f ca="1">IFERROR(__xludf.DUMMYFUNCTION("""COMPUTED_VALUE"""),"翅膀")</f>
        <v>翅膀</v>
      </c>
      <c r="D2609" s="13" t="str">
        <f ca="1">IFERROR(__xludf.DUMMYFUNCTION("""COMPUTED_VALUE"""),"&lt;ruby&gt;翅膀&lt;rt&gt;chìbǎng&lt;/rt&gt;&lt;/ruby&gt;")</f>
        <v>&lt;ruby&gt;翅膀&lt;rt&gt;chìbǎng&lt;/rt&gt;&lt;/ruby&gt;</v>
      </c>
      <c r="E2609" s="13" t="str">
        <f ca="1">IFERROR(__xludf.DUMMYFUNCTION("""COMPUTED_VALUE"""),"chìbǎng")</f>
        <v>chìbǎng</v>
      </c>
      <c r="F2609" s="13" t="str">
        <f ca="1">IFERROR(__xludf.DUMMYFUNCTION("""COMPUTED_VALUE"""),"Danh từ")</f>
        <v>Danh từ</v>
      </c>
      <c r="G2609" s="13" t="str">
        <f ca="1">IFERROR(__xludf.DUMMYFUNCTION("""COMPUTED_VALUE"""),"cánh (côn trùng, chim)")</f>
        <v>cánh (côn trùng, chim)</v>
      </c>
      <c r="H2609" s="13" t="str">
        <f ca="1">IFERROR(__xludf.DUMMYFUNCTION("""COMPUTED_VALUE"""),"鸟儿用它的翅膀在天空中翱翔。")</f>
        <v>鸟儿用它的翅膀在天空中翱翔。</v>
      </c>
      <c r="I2609" s="13"/>
      <c r="J2609" s="13" t="str">
        <f ca="1">IFERROR(__xludf.DUMMYFUNCTION("""COMPUTED_VALUE"""),"Con chim bay lượn trên bầu trời bằng đôi cánh của nó.")</f>
        <v>Con chim bay lượn trên bầu trời bằng đôi cánh của nó.</v>
      </c>
      <c r="K2609" s="13" t="str">
        <f ca="1">IFERROR(__xludf.DUMMYFUNCTION("""COMPUTED_VALUE"""),"H5_B34_BG-03.png")</f>
        <v>H5_B34_BG-03.png</v>
      </c>
      <c r="L2609" s="13" t="str">
        <f ca="1">IFERROR(__xludf.DUMMYFUNCTION("""COMPUTED_VALUE"""),"B34_3.mp3")</f>
        <v>B34_3.mp3</v>
      </c>
      <c r="M2609" s="13" t="str">
        <f ca="1">IFERROR(__xludf.DUMMYFUNCTION("""COMPUTED_VALUE"""),"B34_VD_3.mp3")</f>
        <v>B34_VD_3.mp3</v>
      </c>
    </row>
    <row r="2610" spans="1:13">
      <c r="A2610" s="13">
        <f ca="1">IFERROR(__xludf.DUMMYFUNCTION("""COMPUTED_VALUE"""),4)</f>
        <v>4</v>
      </c>
      <c r="B2610" s="13"/>
      <c r="C2610" s="13" t="str">
        <f ca="1">IFERROR(__xludf.DUMMYFUNCTION("""COMPUTED_VALUE"""),"昆虫")</f>
        <v>昆虫</v>
      </c>
      <c r="D2610" s="13" t="str">
        <f ca="1">IFERROR(__xludf.DUMMYFUNCTION("""COMPUTED_VALUE"""),"&lt;ruby&gt;昆虫&lt;rt&gt;kūnchóng&lt;/rt&gt;&lt;/ruby&gt;")</f>
        <v>&lt;ruby&gt;昆虫&lt;rt&gt;kūnchóng&lt;/rt&gt;&lt;/ruby&gt;</v>
      </c>
      <c r="E2610" s="13" t="str">
        <f ca="1">IFERROR(__xludf.DUMMYFUNCTION("""COMPUTED_VALUE"""),"kūnchóng")</f>
        <v>kūnchóng</v>
      </c>
      <c r="F2610" s="13" t="str">
        <f ca="1">IFERROR(__xludf.DUMMYFUNCTION("""COMPUTED_VALUE"""),"Danh từ")</f>
        <v>Danh từ</v>
      </c>
      <c r="G2610" s="13" t="str">
        <f ca="1">IFERROR(__xludf.DUMMYFUNCTION("""COMPUTED_VALUE"""),"côn trùng, sâu bọ")</f>
        <v>côn trùng, sâu bọ</v>
      </c>
      <c r="H2610" s="13" t="str">
        <f ca="1">IFERROR(__xludf.DUMMYFUNCTION("""COMPUTED_VALUE"""),"绿毛虫是一种昆虫。")</f>
        <v>绿毛虫是一种昆虫。</v>
      </c>
      <c r="I2610" s="13"/>
      <c r="J2610" s="13" t="str">
        <f ca="1">IFERROR(__xludf.DUMMYFUNCTION("""COMPUTED_VALUE"""),"Sâu xanh là một loài côn trùng.")</f>
        <v>Sâu xanh là một loài côn trùng.</v>
      </c>
      <c r="K2610" s="13" t="str">
        <f ca="1">IFERROR(__xludf.DUMMYFUNCTION("""COMPUTED_VALUE"""),"H5_B34_BG-04.png")</f>
        <v>H5_B34_BG-04.png</v>
      </c>
      <c r="L2610" s="13" t="str">
        <f ca="1">IFERROR(__xludf.DUMMYFUNCTION("""COMPUTED_VALUE"""),"B34_4.mp3")</f>
        <v>B34_4.mp3</v>
      </c>
      <c r="M2610" s="13" t="str">
        <f ca="1">IFERROR(__xludf.DUMMYFUNCTION("""COMPUTED_VALUE"""),"B34_VD_4.mp3")</f>
        <v>B34_VD_4.mp3</v>
      </c>
    </row>
    <row r="2611" spans="1:13">
      <c r="A2611" s="13">
        <f ca="1">IFERROR(__xludf.DUMMYFUNCTION("""COMPUTED_VALUE"""),5)</f>
        <v>5</v>
      </c>
      <c r="B2611" s="13"/>
      <c r="C2611" s="13" t="str">
        <f ca="1">IFERROR(__xludf.DUMMYFUNCTION("""COMPUTED_VALUE"""),"天空")</f>
        <v>天空</v>
      </c>
      <c r="D2611" s="13" t="str">
        <f ca="1">IFERROR(__xludf.DUMMYFUNCTION("""COMPUTED_VALUE"""),"&lt;ruby&gt;天空&lt;rt&gt;tiānkōng&lt;/rt&gt;&lt;/ruby&gt;")</f>
        <v>&lt;ruby&gt;天空&lt;rt&gt;tiānkōng&lt;/rt&gt;&lt;/ruby&gt;</v>
      </c>
      <c r="E2611" s="13" t="str">
        <f ca="1">IFERROR(__xludf.DUMMYFUNCTION("""COMPUTED_VALUE"""),"tiānkōng")</f>
        <v>tiānkōng</v>
      </c>
      <c r="F2611" s="13" t="str">
        <f ca="1">IFERROR(__xludf.DUMMYFUNCTION("""COMPUTED_VALUE"""),"Danh từ")</f>
        <v>Danh từ</v>
      </c>
      <c r="G2611" s="13" t="str">
        <f ca="1">IFERROR(__xludf.DUMMYFUNCTION("""COMPUTED_VALUE"""),"bầu trời")</f>
        <v>bầu trời</v>
      </c>
      <c r="H2611" s="13" t="str">
        <f ca="1">IFERROR(__xludf.DUMMYFUNCTION("""COMPUTED_VALUE"""),"黄昏时分，天空染上了橙色的夕阳光辉。")</f>
        <v>黄昏时分，天空染上了橙色的夕阳光辉。</v>
      </c>
      <c r="I2611" s="13"/>
      <c r="J2611" s="13" t="str">
        <f ca="1">IFERROR(__xludf.DUMMYFUNCTION("""COMPUTED_VALUE"""),"Vào lúc chạng vạng, bầu trời đã nhuốm màu cam của hoàng hôn.")</f>
        <v>Vào lúc chạng vạng, bầu trời đã nhuốm màu cam của hoàng hôn.</v>
      </c>
      <c r="K2611" s="13" t="str">
        <f ca="1">IFERROR(__xludf.DUMMYFUNCTION("""COMPUTED_VALUE"""),"H5_B34_BG-05.png")</f>
        <v>H5_B34_BG-05.png</v>
      </c>
      <c r="L2611" s="13" t="str">
        <f ca="1">IFERROR(__xludf.DUMMYFUNCTION("""COMPUTED_VALUE"""),"B34_5.mp3")</f>
        <v>B34_5.mp3</v>
      </c>
      <c r="M2611" s="13" t="str">
        <f ca="1">IFERROR(__xludf.DUMMYFUNCTION("""COMPUTED_VALUE"""),"B34_VD_5.mp3")</f>
        <v>B34_VD_5.mp3</v>
      </c>
    </row>
    <row r="2612" spans="1:13">
      <c r="A2612" s="13">
        <f ca="1">IFERROR(__xludf.DUMMYFUNCTION("""COMPUTED_VALUE"""),6)</f>
        <v>6</v>
      </c>
      <c r="B2612" s="13"/>
      <c r="C2612" s="13" t="str">
        <f ca="1">IFERROR(__xludf.DUMMYFUNCTION("""COMPUTED_VALUE"""),"啄")</f>
        <v>啄</v>
      </c>
      <c r="D2612" s="13" t="str">
        <f ca="1">IFERROR(__xludf.DUMMYFUNCTION("""COMPUTED_VALUE"""),"&lt;ruby&gt;啄&lt;rt&gt;zhuó&lt;/rt&gt;&lt;/ruby&gt;")</f>
        <v>&lt;ruby&gt;啄&lt;rt&gt;zhuó&lt;/rt&gt;&lt;/ruby&gt;</v>
      </c>
      <c r="E2612" s="13" t="str">
        <f ca="1">IFERROR(__xludf.DUMMYFUNCTION("""COMPUTED_VALUE"""),"zhuó")</f>
        <v>zhuó</v>
      </c>
      <c r="F2612" s="13" t="str">
        <f ca="1">IFERROR(__xludf.DUMMYFUNCTION("""COMPUTED_VALUE"""),"Động từ")</f>
        <v>Động từ</v>
      </c>
      <c r="G2612" s="13" t="str">
        <f ca="1">IFERROR(__xludf.DUMMYFUNCTION("""COMPUTED_VALUE"""),"mổ, rỉa")</f>
        <v>mổ, rỉa</v>
      </c>
      <c r="H2612" s="13" t="str">
        <f ca="1">IFERROR(__xludf.DUMMYFUNCTION("""COMPUTED_VALUE"""),"鸡在院子里啄食谷粒。")</f>
        <v>鸡在院子里啄食谷粒。</v>
      </c>
      <c r="I2612" s="13"/>
      <c r="J2612" s="13" t="str">
        <f ca="1">IFERROR(__xludf.DUMMYFUNCTION("""COMPUTED_VALUE"""),"Con gà mổ hạt trong sân.")</f>
        <v>Con gà mổ hạt trong sân.</v>
      </c>
      <c r="K2612" s="13" t="str">
        <f ca="1">IFERROR(__xludf.DUMMYFUNCTION("""COMPUTED_VALUE"""),"H5_B34_BG-06.png")</f>
        <v>H5_B34_BG-06.png</v>
      </c>
      <c r="L2612" s="13" t="str">
        <f ca="1">IFERROR(__xludf.DUMMYFUNCTION("""COMPUTED_VALUE"""),"B34_6.mp3")</f>
        <v>B34_6.mp3</v>
      </c>
      <c r="M2612" s="13" t="str">
        <f ca="1">IFERROR(__xludf.DUMMYFUNCTION("""COMPUTED_VALUE"""),"B34_VD_6.mp3")</f>
        <v>B34_VD_6.mp3</v>
      </c>
    </row>
    <row r="2613" spans="1:13">
      <c r="A2613" s="13">
        <f ca="1">IFERROR(__xludf.DUMMYFUNCTION("""COMPUTED_VALUE"""),7)</f>
        <v>7</v>
      </c>
      <c r="B2613" s="13"/>
      <c r="C2613" s="13" t="str">
        <f ca="1">IFERROR(__xludf.DUMMYFUNCTION("""COMPUTED_VALUE"""),"光滑")</f>
        <v>光滑</v>
      </c>
      <c r="D2613" s="13" t="str">
        <f ca="1">IFERROR(__xludf.DUMMYFUNCTION("""COMPUTED_VALUE"""),"&lt;ruby&gt;光滑&lt;rt&gt;guānghuá&lt;/rt&gt;&lt;/ruby&gt;")</f>
        <v>&lt;ruby&gt;光滑&lt;rt&gt;guānghuá&lt;/rt&gt;&lt;/ruby&gt;</v>
      </c>
      <c r="E2613" s="13" t="str">
        <f ca="1">IFERROR(__xludf.DUMMYFUNCTION("""COMPUTED_VALUE"""),"guānghuá")</f>
        <v>guānghuá</v>
      </c>
      <c r="F2613" s="13" t="str">
        <f ca="1">IFERROR(__xludf.DUMMYFUNCTION("""COMPUTED_VALUE"""),"Tính từ")</f>
        <v>Tính từ</v>
      </c>
      <c r="G2613" s="13" t="str">
        <f ca="1">IFERROR(__xludf.DUMMYFUNCTION("""COMPUTED_VALUE"""),"trơn, mượt, bóng loáng")</f>
        <v>trơn, mượt, bóng loáng</v>
      </c>
      <c r="H2613" s="13" t="str">
        <f ca="1">IFERROR(__xludf.DUMMYFUNCTION("""COMPUTED_VALUE"""),"婴儿的皮肤非常光滑。")</f>
        <v>婴儿的皮肤非常光滑。</v>
      </c>
      <c r="I2613" s="13"/>
      <c r="J2613" s="13" t="str">
        <f ca="1">IFERROR(__xludf.DUMMYFUNCTION("""COMPUTED_VALUE"""),"Làn da của em bé rất mịn màng.")</f>
        <v>Làn da của em bé rất mịn màng.</v>
      </c>
      <c r="K2613" s="13" t="str">
        <f ca="1">IFERROR(__xludf.DUMMYFUNCTION("""COMPUTED_VALUE"""),"H5_B34_BG-07.png")</f>
        <v>H5_B34_BG-07.png</v>
      </c>
      <c r="L2613" s="13" t="str">
        <f ca="1">IFERROR(__xludf.DUMMYFUNCTION("""COMPUTED_VALUE"""),"B34_7.mp3")</f>
        <v>B34_7.mp3</v>
      </c>
      <c r="M2613" s="13" t="str">
        <f ca="1">IFERROR(__xludf.DUMMYFUNCTION("""COMPUTED_VALUE"""),"B34_VD_7.mp3")</f>
        <v>B34_VD_7.mp3</v>
      </c>
    </row>
    <row r="2614" spans="1:13">
      <c r="A2614" s="13">
        <f ca="1">IFERROR(__xludf.DUMMYFUNCTION("""COMPUTED_VALUE"""),8)</f>
        <v>8</v>
      </c>
      <c r="B2614" s="13"/>
      <c r="C2614" s="13" t="str">
        <f ca="1">IFERROR(__xludf.DUMMYFUNCTION("""COMPUTED_VALUE"""),"区分")</f>
        <v>区分</v>
      </c>
      <c r="D2614" s="13" t="str">
        <f ca="1">IFERROR(__xludf.DUMMYFUNCTION("""COMPUTED_VALUE"""),"&lt;ruby&gt;区分&lt;rt&gt;qūfēn&lt;/rt&gt;&lt;/ruby&gt;")</f>
        <v>&lt;ruby&gt;区分&lt;rt&gt;qūfēn&lt;/rt&gt;&lt;/ruby&gt;</v>
      </c>
      <c r="E2614" s="13" t="str">
        <f ca="1">IFERROR(__xludf.DUMMYFUNCTION("""COMPUTED_VALUE"""),"qūfēn")</f>
        <v>qūfēn</v>
      </c>
      <c r="F2614" s="13" t="str">
        <f ca="1">IFERROR(__xludf.DUMMYFUNCTION("""COMPUTED_VALUE"""),"Động từ")</f>
        <v>Động từ</v>
      </c>
      <c r="G2614" s="13" t="str">
        <f ca="1">IFERROR(__xludf.DUMMYFUNCTION("""COMPUTED_VALUE"""),"phân biệt")</f>
        <v>phân biệt</v>
      </c>
      <c r="H2614" s="13" t="str">
        <f ca="1">IFERROR(__xludf.DUMMYFUNCTION("""COMPUTED_VALUE"""),"做饭时，我们需要区分不同的调料，以确保丰富的口感。")</f>
        <v>做饭时，我们需要区分不同的调料，以确保丰富的口感。</v>
      </c>
      <c r="I2614" s="13"/>
      <c r="J2614" s="13" t="str">
        <f ca="1">IFERROR(__xludf.DUMMYFUNCTION("""COMPUTED_VALUE"""),"Khi nấu ăn, chúng ta cần phân biệt các loại gia vị khác nhau để đảm bảo hương vị phong phú.")</f>
        <v>Khi nấu ăn, chúng ta cần phân biệt các loại gia vị khác nhau để đảm bảo hương vị phong phú.</v>
      </c>
      <c r="K2614" s="13" t="str">
        <f ca="1">IFERROR(__xludf.DUMMYFUNCTION("""COMPUTED_VALUE"""),"H5_B34_BG-08.png")</f>
        <v>H5_B34_BG-08.png</v>
      </c>
      <c r="L2614" s="13" t="str">
        <f ca="1">IFERROR(__xludf.DUMMYFUNCTION("""COMPUTED_VALUE"""),"B34_8.mp3")</f>
        <v>B34_8.mp3</v>
      </c>
      <c r="M2614" s="13" t="str">
        <f ca="1">IFERROR(__xludf.DUMMYFUNCTION("""COMPUTED_VALUE"""),"B34_VD_8.mp3")</f>
        <v>B34_VD_8.mp3</v>
      </c>
    </row>
    <row r="2615" spans="1:13">
      <c r="A2615" s="13">
        <f ca="1">IFERROR(__xludf.DUMMYFUNCTION("""COMPUTED_VALUE"""),9)</f>
        <v>9</v>
      </c>
      <c r="B2615" s="13"/>
      <c r="C2615" s="13" t="str">
        <f ca="1">IFERROR(__xludf.DUMMYFUNCTION("""COMPUTED_VALUE"""),"唯一")</f>
        <v>唯一</v>
      </c>
      <c r="D2615" s="13" t="str">
        <f ca="1">IFERROR(__xludf.DUMMYFUNCTION("""COMPUTED_VALUE"""),"&lt;ruby&gt;唯一&lt;rt&gt;wéiyī&lt;/rt&gt;&lt;/ruby&gt;")</f>
        <v>&lt;ruby&gt;唯一&lt;rt&gt;wéiyī&lt;/rt&gt;&lt;/ruby&gt;</v>
      </c>
      <c r="E2615" s="13" t="str">
        <f ca="1">IFERROR(__xludf.DUMMYFUNCTION("""COMPUTED_VALUE"""),"wéiyī")</f>
        <v>wéiyī</v>
      </c>
      <c r="F2615" s="13" t="str">
        <f ca="1">IFERROR(__xludf.DUMMYFUNCTION("""COMPUTED_VALUE"""),"Tính từ")</f>
        <v>Tính từ</v>
      </c>
      <c r="G2615" s="13" t="str">
        <f ca="1">IFERROR(__xludf.DUMMYFUNCTION("""COMPUTED_VALUE"""),"duy nhất, độc nhất")</f>
        <v>duy nhất, độc nhất</v>
      </c>
      <c r="H2615" s="13" t="str">
        <f ca="1">IFERROR(__xludf.DUMMYFUNCTION("""COMPUTED_VALUE"""),"他是我唯一的朋友，我非常珍惜这段友谊。")</f>
        <v>他是我唯一的朋友，我非常珍惜这段友谊。</v>
      </c>
      <c r="I2615" s="13"/>
      <c r="J2615" s="13" t="str">
        <f ca="1">IFERROR(__xludf.DUMMYFUNCTION("""COMPUTED_VALUE"""),"Anh ấy là người bạn duy nhất của tôi, tôi rất trân trọng tình bạn này.")</f>
        <v>Anh ấy là người bạn duy nhất của tôi, tôi rất trân trọng tình bạn này.</v>
      </c>
      <c r="K2615" s="13" t="str">
        <f ca="1">IFERROR(__xludf.DUMMYFUNCTION("""COMPUTED_VALUE"""),"H5_B34_BG-09.png")</f>
        <v>H5_B34_BG-09.png</v>
      </c>
      <c r="L2615" s="13" t="str">
        <f ca="1">IFERROR(__xludf.DUMMYFUNCTION("""COMPUTED_VALUE"""),"B34_9.mp3")</f>
        <v>B34_9.mp3</v>
      </c>
      <c r="M2615" s="13" t="str">
        <f ca="1">IFERROR(__xludf.DUMMYFUNCTION("""COMPUTED_VALUE"""),"B34_VD_9.mp3")</f>
        <v>B34_VD_9.mp3</v>
      </c>
    </row>
    <row r="2616" spans="1:13">
      <c r="A2616" s="13">
        <f ca="1">IFERROR(__xludf.DUMMYFUNCTION("""COMPUTED_VALUE"""),10)</f>
        <v>10</v>
      </c>
      <c r="B2616" s="13"/>
      <c r="C2616" s="13" t="str">
        <f ca="1">IFERROR(__xludf.DUMMYFUNCTION("""COMPUTED_VALUE"""),"斑")</f>
        <v>斑</v>
      </c>
      <c r="D2616" s="13" t="str">
        <f ca="1">IFERROR(__xludf.DUMMYFUNCTION("""COMPUTED_VALUE"""),"&lt;ruby&gt;斑&lt;rt&gt;bān&lt;/rt&gt;&lt;/ruby&gt;")</f>
        <v>&lt;ruby&gt;斑&lt;rt&gt;bān&lt;/rt&gt;&lt;/ruby&gt;</v>
      </c>
      <c r="E2616" s="13" t="str">
        <f ca="1">IFERROR(__xludf.DUMMYFUNCTION("""COMPUTED_VALUE"""),"bān")</f>
        <v>bān</v>
      </c>
      <c r="F2616" s="13" t="str">
        <f ca="1">IFERROR(__xludf.DUMMYFUNCTION("""COMPUTED_VALUE"""),"Danh từ")</f>
        <v>Danh từ</v>
      </c>
      <c r="G2616" s="13" t="str">
        <f ca="1">IFERROR(__xludf.DUMMYFUNCTION("""COMPUTED_VALUE"""),"bớt, vết lốm đốm")</f>
        <v>bớt, vết lốm đốm</v>
      </c>
      <c r="H2616" s="13" t="str">
        <f ca="1">IFERROR(__xludf.DUMMYFUNCTION("""COMPUTED_VALUE"""),"老虎的身上有黑色的斑纹。")</f>
        <v>老虎的身上有黑色的斑纹。</v>
      </c>
      <c r="I2616" s="13"/>
      <c r="J2616" s="13" t="str">
        <f ca="1">IFERROR(__xludf.DUMMYFUNCTION("""COMPUTED_VALUE"""),"Trên thân con hổ có vằn đen.")</f>
        <v>Trên thân con hổ có vằn đen.</v>
      </c>
      <c r="K2616" s="13" t="str">
        <f ca="1">IFERROR(__xludf.DUMMYFUNCTION("""COMPUTED_VALUE"""),"H5_B34_BG-10.png")</f>
        <v>H5_B34_BG-10.png</v>
      </c>
      <c r="L2616" s="13" t="str">
        <f ca="1">IFERROR(__xludf.DUMMYFUNCTION("""COMPUTED_VALUE"""),"B34_10.mp3")</f>
        <v>B34_10.mp3</v>
      </c>
      <c r="M2616" s="13" t="str">
        <f ca="1">IFERROR(__xludf.DUMMYFUNCTION("""COMPUTED_VALUE"""),"B34_VD_10.mp3")</f>
        <v>B34_VD_10.mp3</v>
      </c>
    </row>
    <row r="2617" spans="1:13">
      <c r="A2617" s="13">
        <f ca="1">IFERROR(__xludf.DUMMYFUNCTION("""COMPUTED_VALUE"""),11)</f>
        <v>11</v>
      </c>
      <c r="B2617" s="13"/>
      <c r="C2617" s="13" t="str">
        <f ca="1">IFERROR(__xludf.DUMMYFUNCTION("""COMPUTED_VALUE"""),"抓")</f>
        <v>抓</v>
      </c>
      <c r="D2617" s="13" t="str">
        <f ca="1">IFERROR(__xludf.DUMMYFUNCTION("""COMPUTED_VALUE"""),"&lt;ruby&gt;抓&lt;rt&gt;zhuā&lt;/rt&gt;&lt;/ruby&gt;")</f>
        <v>&lt;ruby&gt;抓&lt;rt&gt;zhuā&lt;/rt&gt;&lt;/ruby&gt;</v>
      </c>
      <c r="E2617" s="13" t="str">
        <f ca="1">IFERROR(__xludf.DUMMYFUNCTION("""COMPUTED_VALUE"""),"zhuā")</f>
        <v>zhuā</v>
      </c>
      <c r="F2617" s="13" t="str">
        <f ca="1">IFERROR(__xludf.DUMMYFUNCTION("""COMPUTED_VALUE"""),"Động từ")</f>
        <v>Động từ</v>
      </c>
      <c r="G2617" s="13" t="str">
        <f ca="1">IFERROR(__xludf.DUMMYFUNCTION("""COMPUTED_VALUE"""),"bắt, tóm")</f>
        <v>bắt, tóm</v>
      </c>
      <c r="H2617" s="13" t="str">
        <f ca="1">IFERROR(__xludf.DUMMYFUNCTION("""COMPUTED_VALUE"""),"小猫抓住了一只老鼠。")</f>
        <v>小猫抓住了一只老鼠。</v>
      </c>
      <c r="I2617" s="13"/>
      <c r="J2617" s="13" t="str">
        <f ca="1">IFERROR(__xludf.DUMMYFUNCTION("""COMPUTED_VALUE"""),"Con mèo nhỏ đã bắt được một con chuột.")</f>
        <v>Con mèo nhỏ đã bắt được một con chuột.</v>
      </c>
      <c r="K2617" s="13" t="str">
        <f ca="1">IFERROR(__xludf.DUMMYFUNCTION("""COMPUTED_VALUE"""),"H5_B34_BG-11.png")</f>
        <v>H5_B34_BG-11.png</v>
      </c>
      <c r="L2617" s="13" t="str">
        <f ca="1">IFERROR(__xludf.DUMMYFUNCTION("""COMPUTED_VALUE"""),"B34_11.mp3")</f>
        <v>B34_11.mp3</v>
      </c>
      <c r="M2617" s="13" t="str">
        <f ca="1">IFERROR(__xludf.DUMMYFUNCTION("""COMPUTED_VALUE"""),"B34_VD_11.mp3")</f>
        <v>B34_VD_11.mp3</v>
      </c>
    </row>
    <row r="2618" spans="1:13">
      <c r="A2618" s="13">
        <f ca="1">IFERROR(__xludf.DUMMYFUNCTION("""COMPUTED_VALUE"""),12)</f>
        <v>12</v>
      </c>
      <c r="B2618" s="13"/>
      <c r="C2618" s="13" t="str">
        <f ca="1">IFERROR(__xludf.DUMMYFUNCTION("""COMPUTED_VALUE"""),"寄生")</f>
        <v>寄生</v>
      </c>
      <c r="D2618" s="13" t="str">
        <f ca="1">IFERROR(__xludf.DUMMYFUNCTION("""COMPUTED_VALUE"""),"&lt;ruby&gt;寄生&lt;rt&gt;jìshēng&lt;/rt&gt;&lt;/ruby&gt;")</f>
        <v>&lt;ruby&gt;寄生&lt;rt&gt;jìshēng&lt;/rt&gt;&lt;/ruby&gt;</v>
      </c>
      <c r="E2618" s="13" t="str">
        <f ca="1">IFERROR(__xludf.DUMMYFUNCTION("""COMPUTED_VALUE"""),"jìshēng")</f>
        <v>jìshēng</v>
      </c>
      <c r="F2618" s="13" t="str">
        <f ca="1">IFERROR(__xludf.DUMMYFUNCTION("""COMPUTED_VALUE"""),"Động từ")</f>
        <v>Động từ</v>
      </c>
      <c r="G2618" s="13" t="str">
        <f ca="1">IFERROR(__xludf.DUMMYFUNCTION("""COMPUTED_VALUE"""),"ký sinh, ăn bám")</f>
        <v>ký sinh, ăn bám</v>
      </c>
      <c r="H2618" s="13" t="str">
        <f ca="1">IFERROR(__xludf.DUMMYFUNCTION("""COMPUTED_VALUE"""),"这种寄生虫会寄生在人类肠道内，导致消化问题。")</f>
        <v>这种寄生虫会寄生在人类肠道内，导致消化问题。</v>
      </c>
      <c r="I2618" s="13"/>
      <c r="J2618" s="13" t="str">
        <f ca="1">IFERROR(__xludf.DUMMYFUNCTION("""COMPUTED_VALUE"""),"Loại ký sinh trùng này sẽ ký sinh trong ruột của con người, gây ra các vấn đề về tiêu hóa.")</f>
        <v>Loại ký sinh trùng này sẽ ký sinh trong ruột của con người, gây ra các vấn đề về tiêu hóa.</v>
      </c>
      <c r="K2618" s="13" t="str">
        <f ca="1">IFERROR(__xludf.DUMMYFUNCTION("""COMPUTED_VALUE"""),"H5_B34_BG-12.png")</f>
        <v>H5_B34_BG-12.png</v>
      </c>
      <c r="L2618" s="13" t="str">
        <f ca="1">IFERROR(__xludf.DUMMYFUNCTION("""COMPUTED_VALUE"""),"B34_12.mp3")</f>
        <v>B34_12.mp3</v>
      </c>
      <c r="M2618" s="13" t="str">
        <f ca="1">IFERROR(__xludf.DUMMYFUNCTION("""COMPUTED_VALUE"""),"B34_VD_12.mp3")</f>
        <v>B34_VD_12.mp3</v>
      </c>
    </row>
    <row r="2619" spans="1:13">
      <c r="A2619" s="13">
        <f ca="1">IFERROR(__xludf.DUMMYFUNCTION("""COMPUTED_VALUE"""),13)</f>
        <v>13</v>
      </c>
      <c r="B2619" s="13"/>
      <c r="C2619" s="13" t="str">
        <f ca="1">IFERROR(__xludf.DUMMYFUNCTION("""COMPUTED_VALUE"""),"岛屿")</f>
        <v>岛屿</v>
      </c>
      <c r="D2619" s="13" t="str">
        <f ca="1">IFERROR(__xludf.DUMMYFUNCTION("""COMPUTED_VALUE"""),"&lt;ruby&gt;岛屿&lt;rt&gt;dǎoyǔ&lt;/rt&gt;&lt;/ruby&gt;")</f>
        <v>&lt;ruby&gt;岛屿&lt;rt&gt;dǎoyǔ&lt;/rt&gt;&lt;/ruby&gt;</v>
      </c>
      <c r="E2619" s="13" t="str">
        <f ca="1">IFERROR(__xludf.DUMMYFUNCTION("""COMPUTED_VALUE"""),"dǎoyǔ")</f>
        <v>dǎoyǔ</v>
      </c>
      <c r="F2619" s="13" t="str">
        <f ca="1">IFERROR(__xludf.DUMMYFUNCTION("""COMPUTED_VALUE"""),"Danh từ")</f>
        <v>Danh từ</v>
      </c>
      <c r="G2619" s="13" t="str">
        <f ca="1">IFERROR(__xludf.DUMMYFUNCTION("""COMPUTED_VALUE"""),"(hòn) đảo")</f>
        <v>(hòn) đảo</v>
      </c>
      <c r="H2619" s="13" t="str">
        <f ca="1">IFERROR(__xludf.DUMMYFUNCTION("""COMPUTED_VALUE"""),"这个岛屿拥有丰富的资源。")</f>
        <v>这个岛屿拥有丰富的资源。</v>
      </c>
      <c r="I2619" s="13"/>
      <c r="J2619" s="13" t="str">
        <f ca="1">IFERROR(__xludf.DUMMYFUNCTION("""COMPUTED_VALUE"""),"Hòn đảo này có nguồn tài nguyên phong phú.")</f>
        <v>Hòn đảo này có nguồn tài nguyên phong phú.</v>
      </c>
      <c r="K2619" s="13" t="str">
        <f ca="1">IFERROR(__xludf.DUMMYFUNCTION("""COMPUTED_VALUE"""),"H5_B34_BG-13.png")</f>
        <v>H5_B34_BG-13.png</v>
      </c>
      <c r="L2619" s="13" t="str">
        <f ca="1">IFERROR(__xludf.DUMMYFUNCTION("""COMPUTED_VALUE"""),"B34_13.mp3")</f>
        <v>B34_13.mp3</v>
      </c>
      <c r="M2619" s="13" t="str">
        <f ca="1">IFERROR(__xludf.DUMMYFUNCTION("""COMPUTED_VALUE"""),"B34_VD_13.mp3")</f>
        <v>B34_VD_13.mp3</v>
      </c>
    </row>
    <row r="2620" spans="1:13">
      <c r="A2620" s="13">
        <f ca="1">IFERROR(__xludf.DUMMYFUNCTION("""COMPUTED_VALUE"""),14)</f>
        <v>14</v>
      </c>
      <c r="B2620" s="13"/>
      <c r="C2620" s="13" t="str">
        <f ca="1">IFERROR(__xludf.DUMMYFUNCTION("""COMPUTED_VALUE"""),"知更鸟")</f>
        <v>知更鸟</v>
      </c>
      <c r="D2620" s="13" t="str">
        <f ca="1">IFERROR(__xludf.DUMMYFUNCTION("""COMPUTED_VALUE"""),"&lt;ruby&gt;知更鸟&lt;rt&gt;zhīgēngniǎo&lt;/rt&gt;&lt;/ruby&gt;")</f>
        <v>&lt;ruby&gt;知更鸟&lt;rt&gt;zhīgēngniǎo&lt;/rt&gt;&lt;/ruby&gt;</v>
      </c>
      <c r="E2620" s="13" t="str">
        <f ca="1">IFERROR(__xludf.DUMMYFUNCTION("""COMPUTED_VALUE"""),"zhīgēngniǎo")</f>
        <v>zhīgēngniǎo</v>
      </c>
      <c r="F2620" s="13" t="str">
        <f ca="1">IFERROR(__xludf.DUMMYFUNCTION("""COMPUTED_VALUE"""),"Danh từ")</f>
        <v>Danh từ</v>
      </c>
      <c r="G2620" s="13" t="str">
        <f ca="1">IFERROR(__xludf.DUMMYFUNCTION("""COMPUTED_VALUE"""),"chim cổ đỏ")</f>
        <v>chim cổ đỏ</v>
      </c>
      <c r="H2620" s="13" t="str">
        <f ca="1">IFERROR(__xludf.DUMMYFUNCTION("""COMPUTED_VALUE"""),"我看到了一只知更鸟，它非常漂亮。")</f>
        <v>我看到了一只知更鸟，它非常漂亮。</v>
      </c>
      <c r="I2620" s="13"/>
      <c r="J2620" s="13" t="str">
        <f ca="1">IFERROR(__xludf.DUMMYFUNCTION("""COMPUTED_VALUE"""),"Tôi đã thấy một con chim cổ đỏ, nó rất đẹp.")</f>
        <v>Tôi đã thấy một con chim cổ đỏ, nó rất đẹp.</v>
      </c>
      <c r="K2620" s="13" t="str">
        <f ca="1">IFERROR(__xludf.DUMMYFUNCTION("""COMPUTED_VALUE"""),"H5_B34_BG-14.png")</f>
        <v>H5_B34_BG-14.png</v>
      </c>
      <c r="L2620" s="13" t="str">
        <f ca="1">IFERROR(__xludf.DUMMYFUNCTION("""COMPUTED_VALUE"""),"B34_14.mp3")</f>
        <v>B34_14.mp3</v>
      </c>
      <c r="M2620" s="13" t="str">
        <f ca="1">IFERROR(__xludf.DUMMYFUNCTION("""COMPUTED_VALUE"""),"B34_VD_14.mp3")</f>
        <v>B34_VD_14.mp3</v>
      </c>
    </row>
    <row r="2621" spans="1:13">
      <c r="A2621" s="13">
        <f ca="1">IFERROR(__xludf.DUMMYFUNCTION("""COMPUTED_VALUE"""),15)</f>
        <v>15</v>
      </c>
      <c r="B2621" s="13"/>
      <c r="C2621" s="13" t="str">
        <f ca="1">IFERROR(__xludf.DUMMYFUNCTION("""COMPUTED_VALUE"""),"坑")</f>
        <v>坑</v>
      </c>
      <c r="D2621" s="13" t="str">
        <f ca="1">IFERROR(__xludf.DUMMYFUNCTION("""COMPUTED_VALUE"""),"&lt;ruby&gt;坑&lt;rt&gt;kēng&lt;/rt&gt;&lt;/ruby&gt;")</f>
        <v>&lt;ruby&gt;坑&lt;rt&gt;kēng&lt;/rt&gt;&lt;/ruby&gt;</v>
      </c>
      <c r="E2621" s="13" t="str">
        <f ca="1">IFERROR(__xludf.DUMMYFUNCTION("""COMPUTED_VALUE"""),"kēng")</f>
        <v>kēng</v>
      </c>
      <c r="F2621" s="13" t="str">
        <f ca="1">IFERROR(__xludf.DUMMYFUNCTION("""COMPUTED_VALUE"""),"Danh từ")</f>
        <v>Danh từ</v>
      </c>
      <c r="G2621" s="13" t="str">
        <f ca="1">IFERROR(__xludf.DUMMYFUNCTION("""COMPUTED_VALUE"""),"hố, vũng")</f>
        <v>hố, vũng</v>
      </c>
      <c r="H2621" s="13" t="str">
        <f ca="1">IFERROR(__xludf.DUMMYFUNCTION("""COMPUTED_VALUE"""),"我不小心掉进了一个泥坑。")</f>
        <v>我不小心掉进了一个泥坑。</v>
      </c>
      <c r="I2621" s="13"/>
      <c r="J2621" s="13" t="str">
        <f ca="1">IFERROR(__xludf.DUMMYFUNCTION("""COMPUTED_VALUE"""),"Tôi không cẩn thận rơi vào vũng bùn.")</f>
        <v>Tôi không cẩn thận rơi vào vũng bùn.</v>
      </c>
      <c r="K2621" s="13" t="str">
        <f ca="1">IFERROR(__xludf.DUMMYFUNCTION("""COMPUTED_VALUE"""),"H5_B34_BG-15.png")</f>
        <v>H5_B34_BG-15.png</v>
      </c>
      <c r="L2621" s="13" t="str">
        <f ca="1">IFERROR(__xludf.DUMMYFUNCTION("""COMPUTED_VALUE"""),"B34_15.mp3")</f>
        <v>B34_15.mp3</v>
      </c>
      <c r="M2621" s="13" t="str">
        <f ca="1">IFERROR(__xludf.DUMMYFUNCTION("""COMPUTED_VALUE"""),"B34_VD_15.mp3")</f>
        <v>B34_VD_15.mp3</v>
      </c>
    </row>
    <row r="2622" spans="1:13">
      <c r="A2622" s="13">
        <f ca="1">IFERROR(__xludf.DUMMYFUNCTION("""COMPUTED_VALUE"""),16)</f>
        <v>16</v>
      </c>
      <c r="B2622" s="13"/>
      <c r="C2622" s="13" t="str">
        <f ca="1">IFERROR(__xludf.DUMMYFUNCTION("""COMPUTED_VALUE"""),"池塘")</f>
        <v>池塘</v>
      </c>
      <c r="D2622" s="13" t="str">
        <f ca="1">IFERROR(__xludf.DUMMYFUNCTION("""COMPUTED_VALUE"""),"&lt;ruby&gt;池塘&lt;rt&gt;chítáng&lt;/rt&gt;&lt;/ruby&gt;")</f>
        <v>&lt;ruby&gt;池塘&lt;rt&gt;chítáng&lt;/rt&gt;&lt;/ruby&gt;</v>
      </c>
      <c r="E2622" s="13" t="str">
        <f ca="1">IFERROR(__xludf.DUMMYFUNCTION("""COMPUTED_VALUE"""),"chítáng")</f>
        <v>chítáng</v>
      </c>
      <c r="F2622" s="13" t="str">
        <f ca="1">IFERROR(__xludf.DUMMYFUNCTION("""COMPUTED_VALUE"""),"Danh từ")</f>
        <v>Danh từ</v>
      </c>
      <c r="G2622" s="13" t="str">
        <f ca="1">IFERROR(__xludf.DUMMYFUNCTION("""COMPUTED_VALUE"""),"ao, đầm")</f>
        <v>ao, đầm</v>
      </c>
      <c r="H2622" s="13" t="str">
        <f ca="1">IFERROR(__xludf.DUMMYFUNCTION("""COMPUTED_VALUE"""),"小青蛙静静地坐在池塘边。
")</f>
        <v xml:space="preserve">小青蛙静静地坐在池塘边。
</v>
      </c>
      <c r="I2622" s="13"/>
      <c r="J2622" s="13" t="str">
        <f ca="1">IFERROR(__xludf.DUMMYFUNCTION("""COMPUTED_VALUE"""),"Chú ếch con lặng lẽ ngồi bên bờ ao.")</f>
        <v>Chú ếch con lặng lẽ ngồi bên bờ ao.</v>
      </c>
      <c r="K2622" s="13" t="str">
        <f ca="1">IFERROR(__xludf.DUMMYFUNCTION("""COMPUTED_VALUE"""),"H5_B34_BG-16.png")</f>
        <v>H5_B34_BG-16.png</v>
      </c>
      <c r="L2622" s="13" t="str">
        <f ca="1">IFERROR(__xludf.DUMMYFUNCTION("""COMPUTED_VALUE"""),"B34_16.mp3")</f>
        <v>B34_16.mp3</v>
      </c>
      <c r="M2622" s="13" t="str">
        <f ca="1">IFERROR(__xludf.DUMMYFUNCTION("""COMPUTED_VALUE"""),"B34_VD_16.mp3")</f>
        <v>B34_VD_16.mp3</v>
      </c>
    </row>
    <row r="2623" spans="1:13">
      <c r="A2623" s="13">
        <f ca="1">IFERROR(__xludf.DUMMYFUNCTION("""COMPUTED_VALUE"""),17)</f>
        <v>17</v>
      </c>
      <c r="B2623" s="13"/>
      <c r="C2623" s="13" t="str">
        <f ca="1">IFERROR(__xludf.DUMMYFUNCTION("""COMPUTED_VALUE"""),"老鹰")</f>
        <v>老鹰</v>
      </c>
      <c r="D2623" s="13" t="str">
        <f ca="1">IFERROR(__xludf.DUMMYFUNCTION("""COMPUTED_VALUE"""),"&lt;ruby&gt;老鹰&lt;rt&gt;lǎoyīng&lt;/rt&gt;&lt;/ruby&gt;")</f>
        <v>&lt;ruby&gt;老鹰&lt;rt&gt;lǎoyīng&lt;/rt&gt;&lt;/ruby&gt;</v>
      </c>
      <c r="E2623" s="13" t="str">
        <f ca="1">IFERROR(__xludf.DUMMYFUNCTION("""COMPUTED_VALUE"""),"lǎoyīng")</f>
        <v>lǎoyīng</v>
      </c>
      <c r="F2623" s="13" t="str">
        <f ca="1">IFERROR(__xludf.DUMMYFUNCTION("""COMPUTED_VALUE"""),"Danh từ")</f>
        <v>Danh từ</v>
      </c>
      <c r="G2623" s="13" t="str">
        <f ca="1">IFERROR(__xludf.DUMMYFUNCTION("""COMPUTED_VALUE"""),"diều hâu")</f>
        <v>diều hâu</v>
      </c>
      <c r="H2623" s="13" t="str">
        <f ca="1">IFERROR(__xludf.DUMMYFUNCTION("""COMPUTED_VALUE"""),"一只强壮的老鹰正在天空中翱翔。")</f>
        <v>一只强壮的老鹰正在天空中翱翔。</v>
      </c>
      <c r="I2623" s="13"/>
      <c r="J2623" s="13" t="str">
        <f ca="1">IFERROR(__xludf.DUMMYFUNCTION("""COMPUTED_VALUE"""),"Một con diều hâu mạnh mẽ đang bay trên bầu trời.")</f>
        <v>Một con diều hâu mạnh mẽ đang bay trên bầu trời.</v>
      </c>
      <c r="K2623" s="13" t="str">
        <f ca="1">IFERROR(__xludf.DUMMYFUNCTION("""COMPUTED_VALUE"""),"H5_B34_BG-17.png")</f>
        <v>H5_B34_BG-17.png</v>
      </c>
      <c r="L2623" s="13" t="str">
        <f ca="1">IFERROR(__xludf.DUMMYFUNCTION("""COMPUTED_VALUE"""),"B34_17.mp3")</f>
        <v>B34_17.mp3</v>
      </c>
      <c r="M2623" s="13" t="str">
        <f ca="1">IFERROR(__xludf.DUMMYFUNCTION("""COMPUTED_VALUE"""),"B34_VD_17.mp3")</f>
        <v>B34_VD_17.mp3</v>
      </c>
    </row>
    <row r="2624" spans="1:13">
      <c r="A2624" s="13">
        <f ca="1">IFERROR(__xludf.DUMMYFUNCTION("""COMPUTED_VALUE"""),18)</f>
        <v>18</v>
      </c>
      <c r="B2624" s="13"/>
      <c r="C2624" s="13" t="str">
        <f ca="1">IFERROR(__xludf.DUMMYFUNCTION("""COMPUTED_VALUE"""),"种类")</f>
        <v>种类</v>
      </c>
      <c r="D2624" s="13" t="str">
        <f ca="1">IFERROR(__xludf.DUMMYFUNCTION("""COMPUTED_VALUE"""),"&lt;ruby&gt;种类&lt;rt&gt;zhǒnglèi&lt;/rt&gt;&lt;/ruby&gt;")</f>
        <v>&lt;ruby&gt;种类&lt;rt&gt;zhǒnglèi&lt;/rt&gt;&lt;/ruby&gt;</v>
      </c>
      <c r="E2624" s="13" t="str">
        <f ca="1">IFERROR(__xludf.DUMMYFUNCTION("""COMPUTED_VALUE"""),"zhǒnglèi")</f>
        <v>zhǒnglèi</v>
      </c>
      <c r="F2624" s="13" t="str">
        <f ca="1">IFERROR(__xludf.DUMMYFUNCTION("""COMPUTED_VALUE"""),"Danh từ")</f>
        <v>Danh từ</v>
      </c>
      <c r="G2624" s="13" t="str">
        <f ca="1">IFERROR(__xludf.DUMMYFUNCTION("""COMPUTED_VALUE"""),"chủng loại, loại")</f>
        <v>chủng loại, loại</v>
      </c>
      <c r="H2624" s="13" t="str">
        <f ca="1">IFERROR(__xludf.DUMMYFUNCTION("""COMPUTED_VALUE"""),"这家商店有很多种类的水果，顾客可以随意挑选。")</f>
        <v>这家商店有很多种类的水果，顾客可以随意挑选。</v>
      </c>
      <c r="I2624" s="13"/>
      <c r="J2624" s="13" t="str">
        <f ca="1">IFERROR(__xludf.DUMMYFUNCTION("""COMPUTED_VALUE"""),"Cửa hàng này có rất nhiều loại trái cây, khách hàng có thể thoải mái lựa chọn.")</f>
        <v>Cửa hàng này có rất nhiều loại trái cây, khách hàng có thể thoải mái lựa chọn.</v>
      </c>
      <c r="K2624" s="13" t="str">
        <f ca="1">IFERROR(__xludf.DUMMYFUNCTION("""COMPUTED_VALUE"""),"H5_B34_BG-18.png")</f>
        <v>H5_B34_BG-18.png</v>
      </c>
      <c r="L2624" s="13" t="str">
        <f ca="1">IFERROR(__xludf.DUMMYFUNCTION("""COMPUTED_VALUE"""),"B34_18.mp3")</f>
        <v>B34_18.mp3</v>
      </c>
      <c r="M2624" s="13" t="str">
        <f ca="1">IFERROR(__xludf.DUMMYFUNCTION("""COMPUTED_VALUE"""),"B34_VD_18.mp3")</f>
        <v>B34_VD_18.mp3</v>
      </c>
    </row>
    <row r="2625" spans="1:13">
      <c r="A2625" s="13">
        <f ca="1">IFERROR(__xludf.DUMMYFUNCTION("""COMPUTED_VALUE"""),19)</f>
        <v>19</v>
      </c>
      <c r="B2625" s="13"/>
      <c r="C2625" s="13" t="str">
        <f ca="1">IFERROR(__xludf.DUMMYFUNCTION("""COMPUTED_VALUE"""),"充当")</f>
        <v>充当</v>
      </c>
      <c r="D2625" s="13" t="str">
        <f ca="1">IFERROR(__xludf.DUMMYFUNCTION("""COMPUTED_VALUE"""),"&lt;ruby&gt;充当&lt;rt&gt;chōngdāng&lt;/rt&gt;&lt;/ruby&gt;")</f>
        <v>&lt;ruby&gt;充当&lt;rt&gt;chōngdāng&lt;/rt&gt;&lt;/ruby&gt;</v>
      </c>
      <c r="E2625" s="13" t="str">
        <f ca="1">IFERROR(__xludf.DUMMYFUNCTION("""COMPUTED_VALUE"""),"chōngdāng")</f>
        <v>chōngdāng</v>
      </c>
      <c r="F2625" s="13" t="str">
        <f ca="1">IFERROR(__xludf.DUMMYFUNCTION("""COMPUTED_VALUE"""),"Động từ")</f>
        <v>Động từ</v>
      </c>
      <c r="G2625" s="13" t="str">
        <f ca="1">IFERROR(__xludf.DUMMYFUNCTION("""COMPUTED_VALUE"""),"làm, đảm nhiệm")</f>
        <v>làm, đảm nhiệm</v>
      </c>
      <c r="H2625" s="13" t="str">
        <f ca="1">IFERROR(__xludf.DUMMYFUNCTION("""COMPUTED_VALUE"""),"他在公司充当总监的角色，负责管理团队。")</f>
        <v>他在公司充当总监的角色，负责管理团队。</v>
      </c>
      <c r="I2625" s="13"/>
      <c r="J2625" s="13" t="str">
        <f ca="1">IFERROR(__xludf.DUMMYFUNCTION("""COMPUTED_VALUE"""),"Anh ấy đảm nhiệm vai trò giám đốc trong công ty, chịu trách nhiệm quản lý đội ngũ.")</f>
        <v>Anh ấy đảm nhiệm vai trò giám đốc trong công ty, chịu trách nhiệm quản lý đội ngũ.</v>
      </c>
      <c r="K2625" s="13" t="str">
        <f ca="1">IFERROR(__xludf.DUMMYFUNCTION("""COMPUTED_VALUE"""),"H5_B34_BG-19.png")</f>
        <v>H5_B34_BG-19.png</v>
      </c>
      <c r="L2625" s="13" t="str">
        <f ca="1">IFERROR(__xludf.DUMMYFUNCTION("""COMPUTED_VALUE"""),"B34_19.mp3")</f>
        <v>B34_19.mp3</v>
      </c>
      <c r="M2625" s="13" t="str">
        <f ca="1">IFERROR(__xludf.DUMMYFUNCTION("""COMPUTED_VALUE"""),"B34_VD_19.mp3")</f>
        <v>B34_VD_19.mp3</v>
      </c>
    </row>
    <row r="2626" spans="1:13">
      <c r="A2626" s="13">
        <f ca="1">IFERROR(__xludf.DUMMYFUNCTION("""COMPUTED_VALUE"""),20)</f>
        <v>20</v>
      </c>
      <c r="B2626" s="13"/>
      <c r="C2626" s="13" t="str">
        <f ca="1">IFERROR(__xludf.DUMMYFUNCTION("""COMPUTED_VALUE"""),"总之")</f>
        <v>总之</v>
      </c>
      <c r="D2626" s="13" t="str">
        <f ca="1">IFERROR(__xludf.DUMMYFUNCTION("""COMPUTED_VALUE"""),"&lt;ruby&gt;总之&lt;rt&gt;zǒngzhī&lt;/rt&gt;&lt;/ruby&gt;")</f>
        <v>&lt;ruby&gt;总之&lt;rt&gt;zǒngzhī&lt;/rt&gt;&lt;/ruby&gt;</v>
      </c>
      <c r="E2626" s="13" t="str">
        <f ca="1">IFERROR(__xludf.DUMMYFUNCTION("""COMPUTED_VALUE"""),"zǒngzhī")</f>
        <v>zǒngzhī</v>
      </c>
      <c r="F2626" s="13" t="str">
        <f ca="1">IFERROR(__xludf.DUMMYFUNCTION("""COMPUTED_VALUE"""),"Liên từ")</f>
        <v>Liên từ</v>
      </c>
      <c r="G2626" s="13" t="str">
        <f ca="1">IFERROR(__xludf.DUMMYFUNCTION("""COMPUTED_VALUE"""),"nói chung, tóm lại")</f>
        <v>nói chung, tóm lại</v>
      </c>
      <c r="H2626" s="13" t="str">
        <f ca="1">IFERROR(__xludf.DUMMYFUNCTION("""COMPUTED_VALUE"""),"我们讨论了很多问题，总之，大家都同意这个计划。")</f>
        <v>我们讨论了很多问题，总之，大家都同意这个计划。</v>
      </c>
      <c r="I2626" s="13"/>
      <c r="J2626" s="13" t="str">
        <f ca="1">IFERROR(__xludf.DUMMYFUNCTION("""COMPUTED_VALUE"""),"Chúng tôi đã thảo luận rất nhiều vấn đề, nói chung, mọi người đều đồng ý với kế hoạch này.")</f>
        <v>Chúng tôi đã thảo luận rất nhiều vấn đề, nói chung, mọi người đều đồng ý với kế hoạch này.</v>
      </c>
      <c r="K2626" s="13" t="str">
        <f ca="1">IFERROR(__xludf.DUMMYFUNCTION("""COMPUTED_VALUE"""),"H5_B34_BG-20.png")</f>
        <v>H5_B34_BG-20.png</v>
      </c>
      <c r="L2626" s="13" t="str">
        <f ca="1">IFERROR(__xludf.DUMMYFUNCTION("""COMPUTED_VALUE"""),"B34_20.mp3")</f>
        <v>B34_20.mp3</v>
      </c>
      <c r="M2626" s="13" t="str">
        <f ca="1">IFERROR(__xludf.DUMMYFUNCTION("""COMPUTED_VALUE"""),"B34_VD_20.mp3")</f>
        <v>B34_VD_20.mp3</v>
      </c>
    </row>
    <row r="2627" spans="1:13">
      <c r="A2627" s="13">
        <f ca="1">IFERROR(__xludf.DUMMYFUNCTION("""COMPUTED_VALUE"""),21)</f>
        <v>21</v>
      </c>
      <c r="B2627" s="13"/>
      <c r="C2627" s="13" t="str">
        <f ca="1">IFERROR(__xludf.DUMMYFUNCTION("""COMPUTED_VALUE"""),"角色")</f>
        <v>角色</v>
      </c>
      <c r="D2627" s="13" t="str">
        <f ca="1">IFERROR(__xludf.DUMMYFUNCTION("""COMPUTED_VALUE"""),"&lt;ruby&gt;角色&lt;rt&gt;juésè&lt;/rt&gt;&lt;/ruby&gt;")</f>
        <v>&lt;ruby&gt;角色&lt;rt&gt;juésè&lt;/rt&gt;&lt;/ruby&gt;</v>
      </c>
      <c r="E2627" s="13" t="str">
        <f ca="1">IFERROR(__xludf.DUMMYFUNCTION("""COMPUTED_VALUE"""),"juésè")</f>
        <v>juésè</v>
      </c>
      <c r="F2627" s="13" t="str">
        <f ca="1">IFERROR(__xludf.DUMMYFUNCTION("""COMPUTED_VALUE"""),"Danh từ")</f>
        <v>Danh từ</v>
      </c>
      <c r="G2627" s="13" t="str">
        <f ca="1">IFERROR(__xludf.DUMMYFUNCTION("""COMPUTED_VALUE"""),"vai trò, vai")</f>
        <v>vai trò, vai</v>
      </c>
      <c r="H2627" s="13" t="str">
        <f ca="1">IFERROR(__xludf.DUMMYFUNCTION("""COMPUTED_VALUE"""),"他在这个项目中担任领导角色，带领团队完成任务。")</f>
        <v>他在这个项目中担任领导角色，带领团队完成任务。</v>
      </c>
      <c r="I2627" s="13"/>
      <c r="J2627" s="13" t="str">
        <f ca="1">IFERROR(__xludf.DUMMYFUNCTION("""COMPUTED_VALUE"""),"Anh ấy đảm nhiệm vai trò là người lãnh đạo trong dự án này, dẫn dắt đội nhóm hoàn thành nhiệm vụ.")</f>
        <v>Anh ấy đảm nhiệm vai trò là người lãnh đạo trong dự án này, dẫn dắt đội nhóm hoàn thành nhiệm vụ.</v>
      </c>
      <c r="K2627" s="13" t="str">
        <f ca="1">IFERROR(__xludf.DUMMYFUNCTION("""COMPUTED_VALUE"""),"H5_B34_BG-21.png")</f>
        <v>H5_B34_BG-21.png</v>
      </c>
      <c r="L2627" s="13" t="str">
        <f ca="1">IFERROR(__xludf.DUMMYFUNCTION("""COMPUTED_VALUE"""),"B34_21.mp3")</f>
        <v>B34_21.mp3</v>
      </c>
      <c r="M2627" s="13" t="str">
        <f ca="1">IFERROR(__xludf.DUMMYFUNCTION("""COMPUTED_VALUE"""),"B34_VD_21.mp3")</f>
        <v>B34_VD_21.mp3</v>
      </c>
    </row>
    <row r="2628" spans="1:13">
      <c r="A2628" s="13">
        <f ca="1">IFERROR(__xludf.DUMMYFUNCTION("""COMPUTED_VALUE"""),22)</f>
        <v>22</v>
      </c>
      <c r="B2628" s="13"/>
      <c r="C2628" s="13" t="str">
        <f ca="1">IFERROR(__xludf.DUMMYFUNCTION("""COMPUTED_VALUE"""),"爱惜")</f>
        <v>爱惜</v>
      </c>
      <c r="D2628" s="13" t="str">
        <f ca="1">IFERROR(__xludf.DUMMYFUNCTION("""COMPUTED_VALUE"""),"&lt;ruby&gt;爱惜&lt;rt&gt;àixī&lt;/rt&gt;&lt;/ruby&gt;")</f>
        <v>&lt;ruby&gt;爱惜&lt;rt&gt;àixī&lt;/rt&gt;&lt;/ruby&gt;</v>
      </c>
      <c r="E2628" s="13" t="str">
        <f ca="1">IFERROR(__xludf.DUMMYFUNCTION("""COMPUTED_VALUE"""),"àixī")</f>
        <v>àixī</v>
      </c>
      <c r="F2628" s="13" t="str">
        <f ca="1">IFERROR(__xludf.DUMMYFUNCTION("""COMPUTED_VALUE"""),"Động từ")</f>
        <v>Động từ</v>
      </c>
      <c r="G2628" s="13" t="str">
        <f ca="1">IFERROR(__xludf.DUMMYFUNCTION("""COMPUTED_VALUE"""),"yêu quý, quý trọng")</f>
        <v>yêu quý, quý trọng</v>
      </c>
      <c r="H2628" s="13" t="str">
        <f ca="1">IFERROR(__xludf.DUMMYFUNCTION("""COMPUTED_VALUE"""),"他非常爱惜自己的健康，每天都会锻炼身体。")</f>
        <v>他非常爱惜自己的健康，每天都会锻炼身体。</v>
      </c>
      <c r="I2628" s="13"/>
      <c r="J2628" s="13" t="str">
        <f ca="1">IFERROR(__xludf.DUMMYFUNCTION("""COMPUTED_VALUE"""),"Anh ấy rất yêu quý sức khỏe của mình, mỗi ngày đều luyện tập thể dục, thể thao.")</f>
        <v>Anh ấy rất yêu quý sức khỏe của mình, mỗi ngày đều luyện tập thể dục, thể thao.</v>
      </c>
      <c r="K2628" s="13" t="str">
        <f ca="1">IFERROR(__xludf.DUMMYFUNCTION("""COMPUTED_VALUE"""),"H5_B34_BG-22.png")</f>
        <v>H5_B34_BG-22.png</v>
      </c>
      <c r="L2628" s="13" t="str">
        <f ca="1">IFERROR(__xludf.DUMMYFUNCTION("""COMPUTED_VALUE"""),"B34_22.mp3")</f>
        <v>B34_22.mp3</v>
      </c>
      <c r="M2628" s="13" t="str">
        <f ca="1">IFERROR(__xludf.DUMMYFUNCTION("""COMPUTED_VALUE"""),"B34_VD_22.mp3")</f>
        <v>B34_VD_22.mp3</v>
      </c>
    </row>
    <row r="2629" spans="1:13">
      <c r="A2629" s="13">
        <f ca="1">IFERROR(__xludf.DUMMYFUNCTION("""COMPUTED_VALUE"""),23)</f>
        <v>23</v>
      </c>
      <c r="B2629" s="13"/>
      <c r="C2629" s="13" t="str">
        <f ca="1">IFERROR(__xludf.DUMMYFUNCTION("""COMPUTED_VALUE"""),"保养")</f>
        <v>保养</v>
      </c>
      <c r="D2629" s="13" t="str">
        <f ca="1">IFERROR(__xludf.DUMMYFUNCTION("""COMPUTED_VALUE"""),"&lt;ruby&gt;保养&lt;rt&gt;bǎoyǎng&lt;/rt&gt;&lt;/ruby&gt;")</f>
        <v>&lt;ruby&gt;保养&lt;rt&gt;bǎoyǎng&lt;/rt&gt;&lt;/ruby&gt;</v>
      </c>
      <c r="E2629" s="13" t="str">
        <f ca="1">IFERROR(__xludf.DUMMYFUNCTION("""COMPUTED_VALUE"""),"bǎoyǎng")</f>
        <v>bǎoyǎng</v>
      </c>
      <c r="F2629" s="13" t="str">
        <f ca="1">IFERROR(__xludf.DUMMYFUNCTION("""COMPUTED_VALUE"""),"Động từ")</f>
        <v>Động từ</v>
      </c>
      <c r="G2629" s="13" t="str">
        <f ca="1">IFERROR(__xludf.DUMMYFUNCTION("""COMPUTED_VALUE"""),"chăm sóc, bảo quản")</f>
        <v>chăm sóc, bảo quản</v>
      </c>
      <c r="H2629" s="13" t="str">
        <f ca="1">IFERROR(__xludf.DUMMYFUNCTION("""COMPUTED_VALUE"""),"为了延长汽车的使用寿命，车主应该定期保养汽车。")</f>
        <v>为了延长汽车的使用寿命，车主应该定期保养汽车。</v>
      </c>
      <c r="I2629" s="13"/>
      <c r="J2629" s="13" t="str">
        <f ca="1">IFERROR(__xludf.DUMMYFUNCTION("""COMPUTED_VALUE"""),"Để kéo dài tuổi thọ của ô tô, chủ xe nên bảo dưỡng ô tô định kỳ.")</f>
        <v>Để kéo dài tuổi thọ của ô tô, chủ xe nên bảo dưỡng ô tô định kỳ.</v>
      </c>
      <c r="K2629" s="13" t="str">
        <f ca="1">IFERROR(__xludf.DUMMYFUNCTION("""COMPUTED_VALUE"""),"H5_B34_BG-23.png")</f>
        <v>H5_B34_BG-23.png</v>
      </c>
      <c r="L2629" s="13" t="str">
        <f ca="1">IFERROR(__xludf.DUMMYFUNCTION("""COMPUTED_VALUE"""),"B34_23.mp3")</f>
        <v>B34_23.mp3</v>
      </c>
      <c r="M2629" s="13" t="str">
        <f ca="1">IFERROR(__xludf.DUMMYFUNCTION("""COMPUTED_VALUE"""),"B34_VD_23.mp3")</f>
        <v>B34_VD_23.mp3</v>
      </c>
    </row>
    <row r="2630" spans="1:13">
      <c r="A2630" s="13">
        <f ca="1">IFERROR(__xludf.DUMMYFUNCTION("""COMPUTED_VALUE"""),24)</f>
        <v>24</v>
      </c>
      <c r="B2630" s="13"/>
      <c r="C2630" s="13" t="str">
        <f ca="1">IFERROR(__xludf.DUMMYFUNCTION("""COMPUTED_VALUE"""),"概括")</f>
        <v>概括</v>
      </c>
      <c r="D2630" s="13" t="str">
        <f ca="1">IFERROR(__xludf.DUMMYFUNCTION("""COMPUTED_VALUE"""),"&lt;ruby&gt;概括&lt;rt&gt;gàikuò&lt;/rt&gt;&lt;/ruby&gt;")</f>
        <v>&lt;ruby&gt;概括&lt;rt&gt;gàikuò&lt;/rt&gt;&lt;/ruby&gt;</v>
      </c>
      <c r="E2630" s="13" t="str">
        <f ca="1">IFERROR(__xludf.DUMMYFUNCTION("""COMPUTED_VALUE"""),"gàikuò")</f>
        <v>gàikuò</v>
      </c>
      <c r="F2630" s="13" t="str">
        <f ca="1">IFERROR(__xludf.DUMMYFUNCTION("""COMPUTED_VALUE"""),"Tính từ/Động từ")</f>
        <v>Tính từ/Động từ</v>
      </c>
      <c r="G2630" s="13" t="str">
        <f ca="1">IFERROR(__xludf.DUMMYFUNCTION("""COMPUTED_VALUE"""),"khái quát; tóm tắt")</f>
        <v>khái quát; tóm tắt</v>
      </c>
      <c r="H2630" s="13" t="str">
        <f ca="1">IFERROR(__xludf.DUMMYFUNCTION("""COMPUTED_VALUE"""),"她的演讲非常精彩，能够概括社会问题的核心。")</f>
        <v>她的演讲非常精彩，能够概括社会问题的核心。</v>
      </c>
      <c r="I2630" s="13"/>
      <c r="J2630" s="13" t="str">
        <f ca="1">IFERROR(__xludf.DUMMYFUNCTION("""COMPUTED_VALUE"""),"Bài thuyết trình của cô ấy rất ấn tượng, có thể khái quát được cốt lõi của các vấn đề xã hội.")</f>
        <v>Bài thuyết trình của cô ấy rất ấn tượng, có thể khái quát được cốt lõi của các vấn đề xã hội.</v>
      </c>
      <c r="K2630" s="13" t="str">
        <f ca="1">IFERROR(__xludf.DUMMYFUNCTION("""COMPUTED_VALUE"""),"H5_B34_BG-24.png")</f>
        <v>H5_B34_BG-24.png</v>
      </c>
      <c r="L2630" s="13" t="str">
        <f ca="1">IFERROR(__xludf.DUMMYFUNCTION("""COMPUTED_VALUE"""),"B34_24.mp3")</f>
        <v>B34_24.mp3</v>
      </c>
      <c r="M2630" s="13" t="str">
        <f ca="1">IFERROR(__xludf.DUMMYFUNCTION("""COMPUTED_VALUE"""),"B34_VD_24.mp3")</f>
        <v>B34_VD_24.mp3</v>
      </c>
    </row>
    <row r="2631" spans="1:13">
      <c r="A2631" s="13">
        <f ca="1">IFERROR(__xludf.DUMMYFUNCTION("""COMPUTED_VALUE"""),25)</f>
        <v>25</v>
      </c>
      <c r="B2631" s="13"/>
      <c r="C2631" s="13" t="str">
        <f ca="1">IFERROR(__xludf.DUMMYFUNCTION("""COMPUTED_VALUE"""),"痛快")</f>
        <v>痛快</v>
      </c>
      <c r="D2631" s="13" t="str">
        <f ca="1">IFERROR(__xludf.DUMMYFUNCTION("""COMPUTED_VALUE"""),"&lt;ruby&gt;痛快&lt;rt&gt;tòngkuài&lt;/rt&gt;&lt;/ruby&gt;")</f>
        <v>&lt;ruby&gt;痛快&lt;rt&gt;tòngkuài&lt;/rt&gt;&lt;/ruby&gt;</v>
      </c>
      <c r="E2631" s="13" t="str">
        <f ca="1">IFERROR(__xludf.DUMMYFUNCTION("""COMPUTED_VALUE"""),"tòngkuài")</f>
        <v>tòngkuài</v>
      </c>
      <c r="F2631" s="13" t="str">
        <f ca="1">IFERROR(__xludf.DUMMYFUNCTION("""COMPUTED_VALUE"""),"Tính từ")</f>
        <v>Tính từ</v>
      </c>
      <c r="G2631" s="13" t="str">
        <f ca="1">IFERROR(__xludf.DUMMYFUNCTION("""COMPUTED_VALUE"""),"vui sướng, thích thú, đã, sướng")</f>
        <v>vui sướng, thích thú, đã, sướng</v>
      </c>
      <c r="H2631" s="13" t="str">
        <f ca="1">IFERROR(__xludf.DUMMYFUNCTION("""COMPUTED_VALUE"""),"赢得这场比赛让我感到非常痛快。")</f>
        <v>赢得这场比赛让我感到非常痛快。</v>
      </c>
      <c r="I2631" s="13"/>
      <c r="J2631" s="13" t="str">
        <f ca="1">IFERROR(__xludf.DUMMYFUNCTION("""COMPUTED_VALUE"""),"Tôi rất vui sướng khi đã dành chiến thắng trong trận đấu này.")</f>
        <v>Tôi rất vui sướng khi đã dành chiến thắng trong trận đấu này.</v>
      </c>
      <c r="K2631" s="13" t="str">
        <f ca="1">IFERROR(__xludf.DUMMYFUNCTION("""COMPUTED_VALUE"""),"H5_B34_BG-25.png")</f>
        <v>H5_B34_BG-25.png</v>
      </c>
      <c r="L2631" s="13" t="str">
        <f ca="1">IFERROR(__xludf.DUMMYFUNCTION("""COMPUTED_VALUE"""),"B34_25.mp3")</f>
        <v>B34_25.mp3</v>
      </c>
      <c r="M2631" s="13" t="str">
        <f ca="1">IFERROR(__xludf.DUMMYFUNCTION("""COMPUTED_VALUE"""),"B34_VD_25.mp3")</f>
        <v>B34_VD_25.mp3</v>
      </c>
    </row>
    <row r="2632" spans="1:13">
      <c r="A2632" s="13">
        <f ca="1">IFERROR(__xludf.DUMMYFUNCTION("""COMPUTED_VALUE"""),26)</f>
        <v>26</v>
      </c>
      <c r="B2632" s="13"/>
      <c r="C2632" s="13" t="str">
        <f ca="1">IFERROR(__xludf.DUMMYFUNCTION("""COMPUTED_VALUE"""),"迎接")</f>
        <v>迎接</v>
      </c>
      <c r="D2632" s="13" t="str">
        <f ca="1">IFERROR(__xludf.DUMMYFUNCTION("""COMPUTED_VALUE"""),"&lt;ruby&gt;迎接&lt;rt&gt;yíngjiē&lt;/rt&gt;&lt;/ruby&gt;")</f>
        <v>&lt;ruby&gt;迎接&lt;rt&gt;yíngjiē&lt;/rt&gt;&lt;/ruby&gt;</v>
      </c>
      <c r="E2632" s="13" t="str">
        <f ca="1">IFERROR(__xludf.DUMMYFUNCTION("""COMPUTED_VALUE"""),"yíngjiē")</f>
        <v>yíngjiē</v>
      </c>
      <c r="F2632" s="13" t="str">
        <f ca="1">IFERROR(__xludf.DUMMYFUNCTION("""COMPUTED_VALUE"""),"Động từ")</f>
        <v>Động từ</v>
      </c>
      <c r="G2632" s="13" t="str">
        <f ca="1">IFERROR(__xludf.DUMMYFUNCTION("""COMPUTED_VALUE"""),"nghênh đón, chào đón, đón nhận")</f>
        <v>nghênh đón, chào đón, đón nhận</v>
      </c>
      <c r="H2632" s="13" t="str">
        <f ca="1">IFERROR(__xludf.DUMMYFUNCTION("""COMPUTED_VALUE"""),"他们全家站在门口迎接我的归来。")</f>
        <v>他们全家站在门口迎接我的归来。</v>
      </c>
      <c r="I2632" s="13"/>
      <c r="J2632" s="13" t="str">
        <f ca="1">IFERROR(__xludf.DUMMYFUNCTION("""COMPUTED_VALUE"""),"Cả gia đình họ đứng ở cửa để chào đón sự trở về của tôi.")</f>
        <v>Cả gia đình họ đứng ở cửa để chào đón sự trở về của tôi.</v>
      </c>
      <c r="K2632" s="13" t="str">
        <f ca="1">IFERROR(__xludf.DUMMYFUNCTION("""COMPUTED_VALUE"""),"H5_B34_BG-26.png")</f>
        <v>H5_B34_BG-26.png</v>
      </c>
      <c r="L2632" s="13" t="str">
        <f ca="1">IFERROR(__xludf.DUMMYFUNCTION("""COMPUTED_VALUE"""),"B34_26.mp3")</f>
        <v>B34_26.mp3</v>
      </c>
      <c r="M2632" s="13" t="str">
        <f ca="1">IFERROR(__xludf.DUMMYFUNCTION("""COMPUTED_VALUE"""),"B34_VD_26.mp3")</f>
        <v>B34_VD_26.mp3</v>
      </c>
    </row>
    <row r="2633" spans="1:13">
      <c r="A2633" s="13">
        <f ca="1">IFERROR(__xludf.DUMMYFUNCTION("""COMPUTED_VALUE"""),27)</f>
        <v>27</v>
      </c>
      <c r="B2633" s="13"/>
      <c r="C2633" s="13" t="str">
        <f ca="1">IFERROR(__xludf.DUMMYFUNCTION("""COMPUTED_VALUE"""),"反复")</f>
        <v>反复</v>
      </c>
      <c r="D2633" s="13" t="str">
        <f ca="1">IFERROR(__xludf.DUMMYFUNCTION("""COMPUTED_VALUE"""),"&lt;ruby&gt;反复&lt;rt&gt;fǎnfù&lt;/rt&gt;&lt;/ruby&gt;")</f>
        <v>&lt;ruby&gt;反复&lt;rt&gt;fǎnfù&lt;/rt&gt;&lt;/ruby&gt;</v>
      </c>
      <c r="E2633" s="13" t="str">
        <f ca="1">IFERROR(__xludf.DUMMYFUNCTION("""COMPUTED_VALUE"""),"fǎnfù")</f>
        <v>fǎnfù</v>
      </c>
      <c r="F2633" s="13" t="str">
        <f ca="1">IFERROR(__xludf.DUMMYFUNCTION("""COMPUTED_VALUE"""),"Phó từ")</f>
        <v>Phó từ</v>
      </c>
      <c r="G2633" s="13" t="str">
        <f ca="1">IFERROR(__xludf.DUMMYFUNCTION("""COMPUTED_VALUE"""),"nhiều lần, lặp đi lặp lại")</f>
        <v>nhiều lần, lặp đi lặp lại</v>
      </c>
      <c r="H2633" s="13" t="str">
        <f ca="1">IFERROR(__xludf.DUMMYFUNCTION("""COMPUTED_VALUE"""),"她反复练习，最终赢得了比赛。")</f>
        <v>她反复练习，最终赢得了比赛。</v>
      </c>
      <c r="I2633" s="13"/>
      <c r="J2633" s="13" t="str">
        <f ca="1">IFERROR(__xludf.DUMMYFUNCTION("""COMPUTED_VALUE"""),"Cô ấy luyện tập nhiều lần, cuối cùng đã chiến thắng trong cuộc thi.")</f>
        <v>Cô ấy luyện tập nhiều lần, cuối cùng đã chiến thắng trong cuộc thi.</v>
      </c>
      <c r="K2633" s="13" t="str">
        <f ca="1">IFERROR(__xludf.DUMMYFUNCTION("""COMPUTED_VALUE"""),"H5_B34_BG-27.png")</f>
        <v>H5_B34_BG-27.png</v>
      </c>
      <c r="L2633" s="13" t="str">
        <f ca="1">IFERROR(__xludf.DUMMYFUNCTION("""COMPUTED_VALUE"""),"B34_27.mp3")</f>
        <v>B34_27.mp3</v>
      </c>
      <c r="M2633" s="13" t="str">
        <f ca="1">IFERROR(__xludf.DUMMYFUNCTION("""COMPUTED_VALUE"""),"B34_VD_27.mp3")</f>
        <v>B34_VD_27.mp3</v>
      </c>
    </row>
    <row r="2634" spans="1:13">
      <c r="A2634" s="13">
        <f ca="1">IFERROR(__xludf.DUMMYFUNCTION("""COMPUTED_VALUE"""),28)</f>
        <v>28</v>
      </c>
      <c r="B2634" s="13"/>
      <c r="C2634" s="13" t="str">
        <f ca="1">IFERROR(__xludf.DUMMYFUNCTION("""COMPUTED_VALUE"""),"随身")</f>
        <v>随身</v>
      </c>
      <c r="D2634" s="13" t="str">
        <f ca="1">IFERROR(__xludf.DUMMYFUNCTION("""COMPUTED_VALUE"""),"&lt;ruby&gt;随身&lt;rt&gt;suíshēn&lt;/rt&gt;&lt;/ruby&gt;")</f>
        <v>&lt;ruby&gt;随身&lt;rt&gt;suíshēn&lt;/rt&gt;&lt;/ruby&gt;</v>
      </c>
      <c r="E2634" s="13" t="str">
        <f ca="1">IFERROR(__xludf.DUMMYFUNCTION("""COMPUTED_VALUE"""),"suíshēn")</f>
        <v>suíshēn</v>
      </c>
      <c r="F2634" s="13" t="str">
        <f ca="1">IFERROR(__xludf.DUMMYFUNCTION("""COMPUTED_VALUE"""),"Tính từ")</f>
        <v>Tính từ</v>
      </c>
      <c r="G2634" s="13" t="str">
        <f ca="1">IFERROR(__xludf.DUMMYFUNCTION("""COMPUTED_VALUE"""),"mang bên mình, theo bên người")</f>
        <v>mang bên mình, theo bên người</v>
      </c>
      <c r="H2634" s="13" t="str">
        <f ca="1">IFERROR(__xludf.DUMMYFUNCTION("""COMPUTED_VALUE"""),"我每次出门都会随身带一把伞。")</f>
        <v>我每次出门都会随身带一把伞。</v>
      </c>
      <c r="I2634" s="13"/>
      <c r="J2634" s="13" t="str">
        <f ca="1">IFERROR(__xludf.DUMMYFUNCTION("""COMPUTED_VALUE"""),"Tôi luôn mang bên mình 1 chiếc ô mỗi khi ra ngoài.")</f>
        <v>Tôi luôn mang bên mình 1 chiếc ô mỗi khi ra ngoài.</v>
      </c>
      <c r="K2634" s="13" t="str">
        <f ca="1">IFERROR(__xludf.DUMMYFUNCTION("""COMPUTED_VALUE"""),"H5_B34_BG-28.png")</f>
        <v>H5_B34_BG-28.png</v>
      </c>
      <c r="L2634" s="13" t="str">
        <f ca="1">IFERROR(__xludf.DUMMYFUNCTION("""COMPUTED_VALUE"""),"B34_28.mp3")</f>
        <v>B34_28.mp3</v>
      </c>
      <c r="M2634" s="13" t="str">
        <f ca="1">IFERROR(__xludf.DUMMYFUNCTION("""COMPUTED_VALUE"""),"B34_VD_28.mp3")</f>
        <v>B34_VD_28.mp3</v>
      </c>
    </row>
    <row r="2635" spans="1:13">
      <c r="A2635" s="13">
        <f ca="1">IFERROR(__xludf.DUMMYFUNCTION("""COMPUTED_VALUE"""),29)</f>
        <v>29</v>
      </c>
      <c r="B2635" s="13"/>
      <c r="C2635" s="13" t="str">
        <f ca="1">IFERROR(__xludf.DUMMYFUNCTION("""COMPUTED_VALUE"""),"梳子")</f>
        <v>梳子</v>
      </c>
      <c r="D2635" s="13" t="str">
        <f ca="1">IFERROR(__xludf.DUMMYFUNCTION("""COMPUTED_VALUE"""),"&lt;ruby&gt;梳子&lt;rt&gt;shūzi&lt;/rt&gt;&lt;/ruby&gt;")</f>
        <v>&lt;ruby&gt;梳子&lt;rt&gt;shūzi&lt;/rt&gt;&lt;/ruby&gt;</v>
      </c>
      <c r="E2635" s="13" t="str">
        <f ca="1">IFERROR(__xludf.DUMMYFUNCTION("""COMPUTED_VALUE"""),"shūzi")</f>
        <v>shūzi</v>
      </c>
      <c r="F2635" s="13" t="str">
        <f ca="1">IFERROR(__xludf.DUMMYFUNCTION("""COMPUTED_VALUE"""),"Danh từ")</f>
        <v>Danh từ</v>
      </c>
      <c r="G2635" s="13" t="str">
        <f ca="1">IFERROR(__xludf.DUMMYFUNCTION("""COMPUTED_VALUE"""),"(cái) lược")</f>
        <v>(cái) lược</v>
      </c>
      <c r="H2635" s="13" t="str">
        <f ca="1">IFERROR(__xludf.DUMMYFUNCTION("""COMPUTED_VALUE"""),"妈妈送给我一把金色的梳子。")</f>
        <v>妈妈送给我一把金色的梳子。</v>
      </c>
      <c r="I2635" s="13"/>
      <c r="J2635" s="13" t="str">
        <f ca="1">IFERROR(__xludf.DUMMYFUNCTION("""COMPUTED_VALUE"""),"Tôi được mẹ tặng 1 chiếc lược màu vàng.")</f>
        <v>Tôi được mẹ tặng 1 chiếc lược màu vàng.</v>
      </c>
      <c r="K2635" s="13" t="str">
        <f ca="1">IFERROR(__xludf.DUMMYFUNCTION("""COMPUTED_VALUE"""),"H5_B34_BG-29.png")</f>
        <v>H5_B34_BG-29.png</v>
      </c>
      <c r="L2635" s="13" t="str">
        <f ca="1">IFERROR(__xludf.DUMMYFUNCTION("""COMPUTED_VALUE"""),"B34_29.mp3")</f>
        <v>B34_29.mp3</v>
      </c>
      <c r="M2635" s="13" t="str">
        <f ca="1">IFERROR(__xludf.DUMMYFUNCTION("""COMPUTED_VALUE"""),"B34_VD_29.mp3")</f>
        <v>B34_VD_29.mp3</v>
      </c>
    </row>
    <row r="2636" spans="1:13">
      <c r="A2636" s="13">
        <f ca="1">IFERROR(__xludf.DUMMYFUNCTION("""COMPUTED_VALUE"""),30)</f>
        <v>30</v>
      </c>
      <c r="B2636" s="13"/>
      <c r="C2636" s="13" t="str">
        <f ca="1">IFERROR(__xludf.DUMMYFUNCTION("""COMPUTED_VALUE"""),"肥皂")</f>
        <v>肥皂</v>
      </c>
      <c r="D2636" s="13" t="str">
        <f ca="1">IFERROR(__xludf.DUMMYFUNCTION("""COMPUTED_VALUE"""),"&lt;ruby&gt;肥皂&lt;rt&gt;féizào&lt;/rt&gt;&lt;/ruby&gt;")</f>
        <v>&lt;ruby&gt;肥皂&lt;rt&gt;féizào&lt;/rt&gt;&lt;/ruby&gt;</v>
      </c>
      <c r="E2636" s="13" t="str">
        <f ca="1">IFERROR(__xludf.DUMMYFUNCTION("""COMPUTED_VALUE"""),"féizào")</f>
        <v>féizào</v>
      </c>
      <c r="F2636" s="13" t="str">
        <f ca="1">IFERROR(__xludf.DUMMYFUNCTION("""COMPUTED_VALUE"""),"Danh từ")</f>
        <v>Danh từ</v>
      </c>
      <c r="G2636" s="13" t="str">
        <f ca="1">IFERROR(__xludf.DUMMYFUNCTION("""COMPUTED_VALUE"""),"xà phòng")</f>
        <v>xà phòng</v>
      </c>
      <c r="H2636" s="13" t="str">
        <f ca="1">IFERROR(__xludf.DUMMYFUNCTION("""COMPUTED_VALUE"""),"我吃饭前都会用肥皂洗手。")</f>
        <v>我吃饭前都会用肥皂洗手。</v>
      </c>
      <c r="I2636" s="13"/>
      <c r="J2636" s="13" t="str">
        <f ca="1">IFERROR(__xludf.DUMMYFUNCTION("""COMPUTED_VALUE"""),"Tôi luôn dùng xà phòng để rửa tay trước khi ăn.")</f>
        <v>Tôi luôn dùng xà phòng để rửa tay trước khi ăn.</v>
      </c>
      <c r="K2636" s="13" t="str">
        <f ca="1">IFERROR(__xludf.DUMMYFUNCTION("""COMPUTED_VALUE"""),"H5_B34_BG-30.png")</f>
        <v>H5_B34_BG-30.png</v>
      </c>
      <c r="L2636" s="13" t="str">
        <f ca="1">IFERROR(__xludf.DUMMYFUNCTION("""COMPUTED_VALUE"""),"B34_30.mp3")</f>
        <v>B34_30.mp3</v>
      </c>
      <c r="M2636" s="13" t="str">
        <f ca="1">IFERROR(__xludf.DUMMYFUNCTION("""COMPUTED_VALUE"""),"B34_VD_30.mp3")</f>
        <v>B34_VD_30.mp3</v>
      </c>
    </row>
    <row r="2637" spans="1:13">
      <c r="A2637" s="13">
        <f ca="1">IFERROR(__xludf.DUMMYFUNCTION("""COMPUTED_VALUE"""),31)</f>
        <v>31</v>
      </c>
      <c r="B2637" s="13"/>
      <c r="C2637" s="13" t="str">
        <f ca="1">IFERROR(__xludf.DUMMYFUNCTION("""COMPUTED_VALUE"""),"洗礼")</f>
        <v>洗礼</v>
      </c>
      <c r="D2637" s="13" t="str">
        <f ca="1">IFERROR(__xludf.DUMMYFUNCTION("""COMPUTED_VALUE"""),"&lt;ruby&gt;洗礼&lt;rt&gt;xǐlǐ&lt;/rt&gt;&lt;/ruby&gt;")</f>
        <v>&lt;ruby&gt;洗礼&lt;rt&gt;xǐlǐ&lt;/rt&gt;&lt;/ruby&gt;</v>
      </c>
      <c r="E2637" s="13" t="str">
        <f ca="1">IFERROR(__xludf.DUMMYFUNCTION("""COMPUTED_VALUE"""),"xǐlǐ")</f>
        <v>xǐlǐ</v>
      </c>
      <c r="F2637" s="13" t="str">
        <f ca="1">IFERROR(__xludf.DUMMYFUNCTION("""COMPUTED_VALUE"""),"Danh từ")</f>
        <v>Danh từ</v>
      </c>
      <c r="G2637" s="13" t="str">
        <f ca="1">IFERROR(__xludf.DUMMYFUNCTION("""COMPUTED_VALUE"""),"lễ rửa tội")</f>
        <v>lễ rửa tội</v>
      </c>
      <c r="H2637" s="13" t="str">
        <f ca="1">IFERROR(__xludf.DUMMYFUNCTION("""COMPUTED_VALUE"""),"那个婴儿昨天刚接受了洗礼。")</f>
        <v>那个婴儿昨天刚接受了洗礼。</v>
      </c>
      <c r="I2637" s="13"/>
      <c r="J2637" s="13" t="str">
        <f ca="1">IFERROR(__xludf.DUMMYFUNCTION("""COMPUTED_VALUE"""),"Cô bé ấy vừa mới nhận lễ rửa tội hôm qua.")</f>
        <v>Cô bé ấy vừa mới nhận lễ rửa tội hôm qua.</v>
      </c>
      <c r="K2637" s="13" t="str">
        <f ca="1">IFERROR(__xludf.DUMMYFUNCTION("""COMPUTED_VALUE"""),"H5_B34_BG-31.png")</f>
        <v>H5_B34_BG-31.png</v>
      </c>
      <c r="L2637" s="13" t="str">
        <f ca="1">IFERROR(__xludf.DUMMYFUNCTION("""COMPUTED_VALUE"""),"B34_31.mp3")</f>
        <v>B34_31.mp3</v>
      </c>
      <c r="M2637" s="13" t="str">
        <f ca="1">IFERROR(__xludf.DUMMYFUNCTION("""COMPUTED_VALUE"""),"B34_VD_31.mp3")</f>
        <v>B34_VD_31.mp3</v>
      </c>
    </row>
    <row r="2638" spans="1:13">
      <c r="A2638" s="13">
        <f ca="1">IFERROR(__xludf.DUMMYFUNCTION("""COMPUTED_VALUE"""),32)</f>
        <v>32</v>
      </c>
      <c r="B2638" s="13"/>
      <c r="C2638" s="13" t="str">
        <f ca="1">IFERROR(__xludf.DUMMYFUNCTION("""COMPUTED_VALUE"""),"沙子")</f>
        <v>沙子</v>
      </c>
      <c r="D2638" s="13" t="str">
        <f ca="1">IFERROR(__xludf.DUMMYFUNCTION("""COMPUTED_VALUE"""),"&lt;ruby&gt;沙子&lt;rt&gt;shāzi&lt;/rt&gt;&lt;/ruby&gt;")</f>
        <v>&lt;ruby&gt;沙子&lt;rt&gt;shāzi&lt;/rt&gt;&lt;/ruby&gt;</v>
      </c>
      <c r="E2638" s="13" t="str">
        <f ca="1">IFERROR(__xludf.DUMMYFUNCTION("""COMPUTED_VALUE"""),"shāzi")</f>
        <v>shāzi</v>
      </c>
      <c r="F2638" s="13" t="str">
        <f ca="1">IFERROR(__xludf.DUMMYFUNCTION("""COMPUTED_VALUE"""),"Danh từ")</f>
        <v>Danh từ</v>
      </c>
      <c r="G2638" s="13" t="str">
        <f ca="1">IFERROR(__xludf.DUMMYFUNCTION("""COMPUTED_VALUE"""),"hạt cát")</f>
        <v>hạt cát</v>
      </c>
      <c r="H2638" s="13" t="str">
        <f ca="1">IFERROR(__xludf.DUMMYFUNCTION("""COMPUTED_VALUE"""),"这座城堡是我在海边用沙子建造的。")</f>
        <v>这座城堡是我在海边用沙子建造的。</v>
      </c>
      <c r="I2638" s="13"/>
      <c r="J2638" s="13" t="str">
        <f ca="1">IFERROR(__xludf.DUMMYFUNCTION("""COMPUTED_VALUE"""),"Lâu đài này được tôi xây bằng cát ở ngoài biển.")</f>
        <v>Lâu đài này được tôi xây bằng cát ở ngoài biển.</v>
      </c>
      <c r="K2638" s="13" t="str">
        <f ca="1">IFERROR(__xludf.DUMMYFUNCTION("""COMPUTED_VALUE"""),"H5_B34_BG-32.png")</f>
        <v>H5_B34_BG-32.png</v>
      </c>
      <c r="L2638" s="13" t="str">
        <f ca="1">IFERROR(__xludf.DUMMYFUNCTION("""COMPUTED_VALUE"""),"B34_32.mp3")</f>
        <v>B34_32.mp3</v>
      </c>
      <c r="M2638" s="13" t="str">
        <f ca="1">IFERROR(__xludf.DUMMYFUNCTION("""COMPUTED_VALUE"""),"B34_VD_32.mp3")</f>
        <v>B34_VD_32.mp3</v>
      </c>
    </row>
    <row r="2639" spans="1:13">
      <c r="A2639" s="13">
        <f ca="1">IFERROR(__xludf.DUMMYFUNCTION("""COMPUTED_VALUE"""),33)</f>
        <v>33</v>
      </c>
      <c r="B2639" s="13"/>
      <c r="C2639" s="13" t="str">
        <f ca="1">IFERROR(__xludf.DUMMYFUNCTION("""COMPUTED_VALUE"""),"干燥")</f>
        <v>干燥</v>
      </c>
      <c r="D2639" s="13" t="str">
        <f ca="1">IFERROR(__xludf.DUMMYFUNCTION("""COMPUTED_VALUE"""),"&lt;ruby&gt;干燥&lt;rt&gt;gānzào&lt;/rt&gt;&lt;/ruby&gt;")</f>
        <v>&lt;ruby&gt;干燥&lt;rt&gt;gānzào&lt;/rt&gt;&lt;/ruby&gt;</v>
      </c>
      <c r="E2639" s="13" t="str">
        <f ca="1">IFERROR(__xludf.DUMMYFUNCTION("""COMPUTED_VALUE"""),"gānzào")</f>
        <v>gānzào</v>
      </c>
      <c r="F2639" s="13" t="str">
        <f ca="1">IFERROR(__xludf.DUMMYFUNCTION("""COMPUTED_VALUE"""),"Tính từ")</f>
        <v>Tính từ</v>
      </c>
      <c r="G2639" s="13" t="str">
        <f ca="1">IFERROR(__xludf.DUMMYFUNCTION("""COMPUTED_VALUE"""),"khô")</f>
        <v>khô</v>
      </c>
      <c r="H2639" s="13" t="str">
        <f ca="1">IFERROR(__xludf.DUMMYFUNCTION("""COMPUTED_VALUE"""),"因为长期没有下雨，这片土地变得非常干燥。")</f>
        <v>因为长期没有下雨，这片土地变得非常干燥。</v>
      </c>
      <c r="I2639" s="13"/>
      <c r="J2639" s="13" t="str">
        <f ca="1">IFERROR(__xludf.DUMMYFUNCTION("""COMPUTED_VALUE"""),"Vì không có mưa trong một thời gian dài, đất nơi đây trở nên khô cạn.")</f>
        <v>Vì không có mưa trong một thời gian dài, đất nơi đây trở nên khô cạn.</v>
      </c>
      <c r="K2639" s="13" t="str">
        <f ca="1">IFERROR(__xludf.DUMMYFUNCTION("""COMPUTED_VALUE"""),"H5_B34_BG-33.png")</f>
        <v>H5_B34_BG-33.png</v>
      </c>
      <c r="L2639" s="13" t="str">
        <f ca="1">IFERROR(__xludf.DUMMYFUNCTION("""COMPUTED_VALUE"""),"B34_33.mp3")</f>
        <v>B34_33.mp3</v>
      </c>
      <c r="M2639" s="13" t="str">
        <f ca="1">IFERROR(__xludf.DUMMYFUNCTION("""COMPUTED_VALUE"""),"B34_VD_33.mp3")</f>
        <v>B34_VD_33.mp3</v>
      </c>
    </row>
    <row r="2640" spans="1:13">
      <c r="A2640" s="13">
        <f ca="1">IFERROR(__xludf.DUMMYFUNCTION("""COMPUTED_VALUE"""),34)</f>
        <v>34</v>
      </c>
      <c r="B2640" s="13"/>
      <c r="C2640" s="13" t="str">
        <f ca="1">IFERROR(__xludf.DUMMYFUNCTION("""COMPUTED_VALUE"""),"秘密")</f>
        <v>秘密</v>
      </c>
      <c r="D2640" s="13" t="str">
        <f ca="1">IFERROR(__xludf.DUMMYFUNCTION("""COMPUTED_VALUE"""),"&lt;ruby&gt;秘密&lt;rt&gt;mìmì&lt;/rt&gt;&lt;/ruby&gt;")</f>
        <v>&lt;ruby&gt;秘密&lt;rt&gt;mìmì&lt;/rt&gt;&lt;/ruby&gt;</v>
      </c>
      <c r="E2640" s="13" t="str">
        <f ca="1">IFERROR(__xludf.DUMMYFUNCTION("""COMPUTED_VALUE"""),"mìmì")</f>
        <v>mìmì</v>
      </c>
      <c r="F2640" s="13" t="str">
        <f ca="1">IFERROR(__xludf.DUMMYFUNCTION("""COMPUTED_VALUE"""),"Tính từ/Danh từ")</f>
        <v>Tính từ/Danh từ</v>
      </c>
      <c r="G2640" s="13" t="str">
        <f ca="1">IFERROR(__xludf.DUMMYFUNCTION("""COMPUTED_VALUE"""),"bí mật; điều bí mật")</f>
        <v>bí mật; điều bí mật</v>
      </c>
      <c r="H2640" s="13" t="str">
        <f ca="1">IFERROR(__xludf.DUMMYFUNCTION("""COMPUTED_VALUE"""),"我们之间有一个秘密，不能告诉别人。")</f>
        <v>我们之间有一个秘密，不能告诉别人。</v>
      </c>
      <c r="I2640" s="13"/>
      <c r="J2640" s="13" t="str">
        <f ca="1">IFERROR(__xludf.DUMMYFUNCTION("""COMPUTED_VALUE"""),"Giữa chúng tôi có một bí mật, không thể nói cho người khác biết.")</f>
        <v>Giữa chúng tôi có một bí mật, không thể nói cho người khác biết.</v>
      </c>
      <c r="K2640" s="13" t="str">
        <f ca="1">IFERROR(__xludf.DUMMYFUNCTION("""COMPUTED_VALUE"""),"H5_B34_BG-34.png")</f>
        <v>H5_B34_BG-34.png</v>
      </c>
      <c r="L2640" s="13" t="str">
        <f ca="1">IFERROR(__xludf.DUMMYFUNCTION("""COMPUTED_VALUE"""),"B34_34.mp3")</f>
        <v>B34_34.mp3</v>
      </c>
      <c r="M2640" s="13" t="str">
        <f ca="1">IFERROR(__xludf.DUMMYFUNCTION("""COMPUTED_VALUE"""),"B34_VD_34.mp3")</f>
        <v>B34_VD_34.mp3</v>
      </c>
    </row>
    <row r="2641" spans="1:13">
      <c r="A2641" s="13">
        <f ca="1">IFERROR(__xludf.DUMMYFUNCTION("""COMPUTED_VALUE"""),1)</f>
        <v>1</v>
      </c>
      <c r="B2641" s="13"/>
      <c r="C2641" s="13" t="str">
        <f ca="1">IFERROR(__xludf.DUMMYFUNCTION("""COMPUTED_VALUE"""),"炎热")</f>
        <v>炎热</v>
      </c>
      <c r="D2641" s="13" t="str">
        <f ca="1">IFERROR(__xludf.DUMMYFUNCTION("""COMPUTED_VALUE"""),"&lt;ruby&gt;炎热&lt;rt&gt;yánrè&lt;/rt&gt;&lt;/ruby&gt;")</f>
        <v>&lt;ruby&gt;炎热&lt;rt&gt;yánrè&lt;/rt&gt;&lt;/ruby&gt;</v>
      </c>
      <c r="E2641" s="13" t="str">
        <f ca="1">IFERROR(__xludf.DUMMYFUNCTION("""COMPUTED_VALUE"""),"yánrè")</f>
        <v>yánrè</v>
      </c>
      <c r="F2641" s="13" t="str">
        <f ca="1">IFERROR(__xludf.DUMMYFUNCTION("""COMPUTED_VALUE"""),"Tính từ")</f>
        <v>Tính từ</v>
      </c>
      <c r="G2641" s="13" t="str">
        <f ca="1">IFERROR(__xludf.DUMMYFUNCTION("""COMPUTED_VALUE"""),"nóng bức")</f>
        <v>nóng bức</v>
      </c>
      <c r="H2641" s="13" t="str">
        <f ca="1">IFERROR(__xludf.DUMMYFUNCTION("""COMPUTED_VALUE"""),"今天的天气非常炎热。")</f>
        <v>今天的天气非常炎热。</v>
      </c>
      <c r="I2641" s="13"/>
      <c r="J2641" s="13" t="str">
        <f ca="1">IFERROR(__xludf.DUMMYFUNCTION("""COMPUTED_VALUE"""),"Hôm nay thời tiết rất nóng bức quá.")</f>
        <v>Hôm nay thời tiết rất nóng bức quá.</v>
      </c>
      <c r="K2641" s="13" t="str">
        <f ca="1">IFERROR(__xludf.DUMMYFUNCTION("""COMPUTED_VALUE"""),"H5_B35_BG-01.png")</f>
        <v>H5_B35_BG-01.png</v>
      </c>
      <c r="L2641" s="13" t="str">
        <f ca="1">IFERROR(__xludf.DUMMYFUNCTION("""COMPUTED_VALUE"""),"B35_1.mp3")</f>
        <v>B35_1.mp3</v>
      </c>
      <c r="M2641" s="13" t="str">
        <f ca="1">IFERROR(__xludf.DUMMYFUNCTION("""COMPUTED_VALUE"""),"B35_VD_1.mp3")</f>
        <v>B35_VD_1.mp3</v>
      </c>
    </row>
    <row r="2642" spans="1:13">
      <c r="A2642" s="13">
        <f ca="1">IFERROR(__xludf.DUMMYFUNCTION("""COMPUTED_VALUE"""),2)</f>
        <v>2</v>
      </c>
      <c r="B2642" s="13"/>
      <c r="C2642" s="13" t="str">
        <f ca="1">IFERROR(__xludf.DUMMYFUNCTION("""COMPUTED_VALUE"""),"歇")</f>
        <v>歇</v>
      </c>
      <c r="D2642" s="13" t="str">
        <f ca="1">IFERROR(__xludf.DUMMYFUNCTION("""COMPUTED_VALUE"""),"&lt;ruby&gt;歇&lt;rt&gt;xiē&lt;/rt&gt;&lt;/ruby&gt;")</f>
        <v>&lt;ruby&gt;歇&lt;rt&gt;xiē&lt;/rt&gt;&lt;/ruby&gt;</v>
      </c>
      <c r="E2642" s="13" t="str">
        <f ca="1">IFERROR(__xludf.DUMMYFUNCTION("""COMPUTED_VALUE"""),"xiē")</f>
        <v>xiē</v>
      </c>
      <c r="F2642" s="13" t="str">
        <f ca="1">IFERROR(__xludf.DUMMYFUNCTION("""COMPUTED_VALUE"""),"Động từ")</f>
        <v>Động từ</v>
      </c>
      <c r="G2642" s="13" t="str">
        <f ca="1">IFERROR(__xludf.DUMMYFUNCTION("""COMPUTED_VALUE"""),"nghỉ ngơi")</f>
        <v>nghỉ ngơi</v>
      </c>
      <c r="H2642" s="13" t="str">
        <f ca="1">IFERROR(__xludf.DUMMYFUNCTION("""COMPUTED_VALUE"""),"跑步后，我停下来歇一会儿。")</f>
        <v>跑步后，我停下来歇一会儿。</v>
      </c>
      <c r="I2642" s="13"/>
      <c r="J2642" s="13" t="str">
        <f ca="1">IFERROR(__xludf.DUMMYFUNCTION("""COMPUTED_VALUE"""),"Sau khi chạy bộ tôi dừng lại nghỉ ngơi một chút.")</f>
        <v>Sau khi chạy bộ tôi dừng lại nghỉ ngơi một chút.</v>
      </c>
      <c r="K2642" s="13" t="str">
        <f ca="1">IFERROR(__xludf.DUMMYFUNCTION("""COMPUTED_VALUE"""),"H5_B35_BG-02.png")</f>
        <v>H5_B35_BG-02.png</v>
      </c>
      <c r="L2642" s="13" t="str">
        <f ca="1">IFERROR(__xludf.DUMMYFUNCTION("""COMPUTED_VALUE"""),"B35_2.mp3")</f>
        <v>B35_2.mp3</v>
      </c>
      <c r="M2642" s="13" t="str">
        <f ca="1">IFERROR(__xludf.DUMMYFUNCTION("""COMPUTED_VALUE"""),"B35_VD_2.mp3")</f>
        <v>B35_VD_2.mp3</v>
      </c>
    </row>
    <row r="2643" spans="1:13">
      <c r="A2643" s="13">
        <f ca="1">IFERROR(__xludf.DUMMYFUNCTION("""COMPUTED_VALUE"""),3)</f>
        <v>3</v>
      </c>
      <c r="B2643" s="13"/>
      <c r="C2643" s="13" t="str">
        <f ca="1">IFERROR(__xludf.DUMMYFUNCTION("""COMPUTED_VALUE"""),"开水")</f>
        <v>开水</v>
      </c>
      <c r="D2643" s="13" t="str">
        <f ca="1">IFERROR(__xludf.DUMMYFUNCTION("""COMPUTED_VALUE"""),"&lt;ruby&gt;开水&lt;rt&gt;kāishuǐ&lt;/rt&gt;&lt;/ruby&gt;")</f>
        <v>&lt;ruby&gt;开水&lt;rt&gt;kāishuǐ&lt;/rt&gt;&lt;/ruby&gt;</v>
      </c>
      <c r="E2643" s="13" t="str">
        <f ca="1">IFERROR(__xludf.DUMMYFUNCTION("""COMPUTED_VALUE"""),"kāishuǐ")</f>
        <v>kāishuǐ</v>
      </c>
      <c r="F2643" s="13" t="str">
        <f ca="1">IFERROR(__xludf.DUMMYFUNCTION("""COMPUTED_VALUE"""),"Danh từ")</f>
        <v>Danh từ</v>
      </c>
      <c r="G2643" s="13" t="str">
        <f ca="1">IFERROR(__xludf.DUMMYFUNCTION("""COMPUTED_VALUE"""),"nước sôi")</f>
        <v>nước sôi</v>
      </c>
      <c r="H2643" s="13" t="str">
        <f ca="1">IFERROR(__xludf.DUMMYFUNCTION("""COMPUTED_VALUE"""),"你可以用开水泡茶。")</f>
        <v>你可以用开水泡茶。</v>
      </c>
      <c r="I2643" s="13"/>
      <c r="J2643" s="13" t="str">
        <f ca="1">IFERROR(__xludf.DUMMYFUNCTION("""COMPUTED_VALUE"""),"Bạn có thể dùng nước sôi pha trà.")</f>
        <v>Bạn có thể dùng nước sôi pha trà.</v>
      </c>
      <c r="K2643" s="13" t="str">
        <f ca="1">IFERROR(__xludf.DUMMYFUNCTION("""COMPUTED_VALUE"""),"H5_B35_BG-03.png")</f>
        <v>H5_B35_BG-03.png</v>
      </c>
      <c r="L2643" s="13" t="str">
        <f ca="1">IFERROR(__xludf.DUMMYFUNCTION("""COMPUTED_VALUE"""),"B35_3.mp3")</f>
        <v>B35_3.mp3</v>
      </c>
      <c r="M2643" s="13" t="str">
        <f ca="1">IFERROR(__xludf.DUMMYFUNCTION("""COMPUTED_VALUE"""),"B35_VD_3.mp3")</f>
        <v>B35_VD_3.mp3</v>
      </c>
    </row>
    <row r="2644" spans="1:13">
      <c r="A2644" s="13">
        <f ca="1">IFERROR(__xludf.DUMMYFUNCTION("""COMPUTED_VALUE"""),4)</f>
        <v>4</v>
      </c>
      <c r="B2644" s="13"/>
      <c r="C2644" s="13" t="str">
        <f ca="1">IFERROR(__xludf.DUMMYFUNCTION("""COMPUTED_VALUE"""),"蒸腾")</f>
        <v>蒸腾</v>
      </c>
      <c r="D2644" s="13" t="str">
        <f ca="1">IFERROR(__xludf.DUMMYFUNCTION("""COMPUTED_VALUE"""),"&lt;ruby&gt;蒸腾&lt;rt&gt;zhēngténg&lt;/rt&gt;&lt;/ruby&gt;")</f>
        <v>&lt;ruby&gt;蒸腾&lt;rt&gt;zhēngténg&lt;/rt&gt;&lt;/ruby&gt;</v>
      </c>
      <c r="E2644" s="13" t="str">
        <f ca="1">IFERROR(__xludf.DUMMYFUNCTION("""COMPUTED_VALUE"""),"zhēngténg")</f>
        <v>zhēngténg</v>
      </c>
      <c r="F2644" s="13" t="str">
        <f ca="1">IFERROR(__xludf.DUMMYFUNCTION("""COMPUTED_VALUE"""),"Động từ")</f>
        <v>Động từ</v>
      </c>
      <c r="G2644" s="13" t="str">
        <f ca="1">IFERROR(__xludf.DUMMYFUNCTION("""COMPUTED_VALUE"""),"bốc hơi")</f>
        <v>bốc hơi</v>
      </c>
      <c r="H2644" s="13" t="str">
        <f ca="1">IFERROR(__xludf.DUMMYFUNCTION("""COMPUTED_VALUE"""),"在高温下，水蒸腾得很快。")</f>
        <v>在高温下，水蒸腾得很快。</v>
      </c>
      <c r="I2644" s="13"/>
      <c r="J2644" s="13" t="str">
        <f ca="1">IFERROR(__xludf.DUMMYFUNCTION("""COMPUTED_VALUE"""),"Ở nhiệt độ cao, nước bốc hơi rất nhanh.")</f>
        <v>Ở nhiệt độ cao, nước bốc hơi rất nhanh.</v>
      </c>
      <c r="K2644" s="13" t="str">
        <f ca="1">IFERROR(__xludf.DUMMYFUNCTION("""COMPUTED_VALUE"""),"H5_B35_BG-04.png")</f>
        <v>H5_B35_BG-04.png</v>
      </c>
      <c r="L2644" s="13" t="str">
        <f ca="1">IFERROR(__xludf.DUMMYFUNCTION("""COMPUTED_VALUE"""),"B35_4.mp3")</f>
        <v>B35_4.mp3</v>
      </c>
      <c r="M2644" s="13" t="str">
        <f ca="1">IFERROR(__xludf.DUMMYFUNCTION("""COMPUTED_VALUE"""),"B35_VD_4.mp3")</f>
        <v>B35_VD_4.mp3</v>
      </c>
    </row>
    <row r="2645" spans="1:13">
      <c r="A2645" s="13">
        <f ca="1">IFERROR(__xludf.DUMMYFUNCTION("""COMPUTED_VALUE"""),5)</f>
        <v>5</v>
      </c>
      <c r="B2645" s="13"/>
      <c r="C2645" s="13" t="str">
        <f ca="1">IFERROR(__xludf.DUMMYFUNCTION("""COMPUTED_VALUE"""),"冰激凌")</f>
        <v>冰激凌</v>
      </c>
      <c r="D2645" s="13" t="str">
        <f ca="1">IFERROR(__xludf.DUMMYFUNCTION("""COMPUTED_VALUE"""),"&lt;ruby&gt;冰激凌&lt;rt&gt;bīngjīlíng&lt;/rt&gt;&lt;/ruby&gt;")</f>
        <v>&lt;ruby&gt;冰激凌&lt;rt&gt;bīngjīlíng&lt;/rt&gt;&lt;/ruby&gt;</v>
      </c>
      <c r="E2645" s="13" t="str">
        <f ca="1">IFERROR(__xludf.DUMMYFUNCTION("""COMPUTED_VALUE"""),"bīngjīlíng")</f>
        <v>bīngjīlíng</v>
      </c>
      <c r="F2645" s="13" t="str">
        <f ca="1">IFERROR(__xludf.DUMMYFUNCTION("""COMPUTED_VALUE"""),"Danh từ")</f>
        <v>Danh từ</v>
      </c>
      <c r="G2645" s="13" t="str">
        <f ca="1">IFERROR(__xludf.DUMMYFUNCTION("""COMPUTED_VALUE"""),"kem")</f>
        <v>kem</v>
      </c>
      <c r="H2645" s="13" t="str">
        <f ca="1">IFERROR(__xludf.DUMMYFUNCTION("""COMPUTED_VALUE"""),"夏天我喜欢吃冰激凌，特别是巧克力味的。")</f>
        <v>夏天我喜欢吃冰激凌，特别是巧克力味的。</v>
      </c>
      <c r="I2645" s="13"/>
      <c r="J2645" s="13" t="str">
        <f ca="1">IFERROR(__xludf.DUMMYFUNCTION("""COMPUTED_VALUE"""),"Vào mùa hè, tôi thích ăn kem, đặc biệt là kem vị sô cô la.")</f>
        <v>Vào mùa hè, tôi thích ăn kem, đặc biệt là kem vị sô cô la.</v>
      </c>
      <c r="K2645" s="13" t="str">
        <f ca="1">IFERROR(__xludf.DUMMYFUNCTION("""COMPUTED_VALUE"""),"H5_B35_BG-05.png")</f>
        <v>H5_B35_BG-05.png</v>
      </c>
      <c r="L2645" s="13" t="str">
        <f ca="1">IFERROR(__xludf.DUMMYFUNCTION("""COMPUTED_VALUE"""),"B35_5.mp3")</f>
        <v>B35_5.mp3</v>
      </c>
      <c r="M2645" s="13" t="str">
        <f ca="1">IFERROR(__xludf.DUMMYFUNCTION("""COMPUTED_VALUE"""),"B35_VD_5.mp3")</f>
        <v>B35_VD_5.mp3</v>
      </c>
    </row>
    <row r="2646" spans="1:13">
      <c r="A2646" s="13">
        <f ca="1">IFERROR(__xludf.DUMMYFUNCTION("""COMPUTED_VALUE"""),6)</f>
        <v>6</v>
      </c>
      <c r="B2646" s="13"/>
      <c r="C2646" s="13" t="str">
        <f ca="1">IFERROR(__xludf.DUMMYFUNCTION("""COMPUTED_VALUE"""),"肌肉")</f>
        <v>肌肉</v>
      </c>
      <c r="D2646" s="13" t="str">
        <f ca="1">IFERROR(__xludf.DUMMYFUNCTION("""COMPUTED_VALUE"""),"&lt;ruby&gt;肌肉&lt;rt&gt;jīròu&lt;/rt&gt;&lt;/ruby&gt;")</f>
        <v>&lt;ruby&gt;肌肉&lt;rt&gt;jīròu&lt;/rt&gt;&lt;/ruby&gt;</v>
      </c>
      <c r="E2646" s="13" t="str">
        <f ca="1">IFERROR(__xludf.DUMMYFUNCTION("""COMPUTED_VALUE"""),"jīròu")</f>
        <v>jīròu</v>
      </c>
      <c r="F2646" s="13" t="str">
        <f ca="1">IFERROR(__xludf.DUMMYFUNCTION("""COMPUTED_VALUE"""),"Danh từ")</f>
        <v>Danh từ</v>
      </c>
      <c r="G2646" s="13" t="str">
        <f ca="1">IFERROR(__xludf.DUMMYFUNCTION("""COMPUTED_VALUE"""),"bắp thịt, cơ")</f>
        <v>bắp thịt, cơ</v>
      </c>
      <c r="H2646" s="13" t="str">
        <f ca="1">IFERROR(__xludf.DUMMYFUNCTION("""COMPUTED_VALUE"""),"他通过游泳锻炼肌肉，身体变得更加强壮。")</f>
        <v>他通过游泳锻炼肌肉，身体变得更加强壮。</v>
      </c>
      <c r="I2646" s="13"/>
      <c r="J2646" s="13" t="str">
        <f ca="1">IFERROR(__xludf.DUMMYFUNCTION("""COMPUTED_VALUE"""),"Anh ấy luyện cơ bắp bằng cách bơi lội, cơ thể trở nên khỏe mạnh hơn.")</f>
        <v>Anh ấy luyện cơ bắp bằng cách bơi lội, cơ thể trở nên khỏe mạnh hơn.</v>
      </c>
      <c r="K2646" s="13" t="str">
        <f ca="1">IFERROR(__xludf.DUMMYFUNCTION("""COMPUTED_VALUE"""),"H5_B35_BG-06.png")</f>
        <v>H5_B35_BG-06.png</v>
      </c>
      <c r="L2646" s="13" t="str">
        <f ca="1">IFERROR(__xludf.DUMMYFUNCTION("""COMPUTED_VALUE"""),"B35_6.mp3")</f>
        <v>B35_6.mp3</v>
      </c>
      <c r="M2646" s="13" t="str">
        <f ca="1">IFERROR(__xludf.DUMMYFUNCTION("""COMPUTED_VALUE"""),"B35_VD_6.mp3")</f>
        <v>B35_VD_6.mp3</v>
      </c>
    </row>
    <row r="2647" spans="1:13">
      <c r="A2647" s="13">
        <f ca="1">IFERROR(__xludf.DUMMYFUNCTION("""COMPUTED_VALUE"""),7)</f>
        <v>7</v>
      </c>
      <c r="B2647" s="13"/>
      <c r="C2647" s="13" t="str">
        <f ca="1">IFERROR(__xludf.DUMMYFUNCTION("""COMPUTED_VALUE"""),"恢复")</f>
        <v>恢复</v>
      </c>
      <c r="D2647" s="13" t="str">
        <f ca="1">IFERROR(__xludf.DUMMYFUNCTION("""COMPUTED_VALUE"""),"&lt;ruby&gt;恢复&lt;rt&gt;huīfù&lt;/rt&gt;&lt;/ruby&gt;")</f>
        <v>&lt;ruby&gt;恢复&lt;rt&gt;huīfù&lt;/rt&gt;&lt;/ruby&gt;</v>
      </c>
      <c r="E2647" s="13" t="str">
        <f ca="1">IFERROR(__xludf.DUMMYFUNCTION("""COMPUTED_VALUE"""),"huīfù")</f>
        <v>huīfù</v>
      </c>
      <c r="F2647" s="13" t="str">
        <f ca="1">IFERROR(__xludf.DUMMYFUNCTION("""COMPUTED_VALUE"""),"Động từ")</f>
        <v>Động từ</v>
      </c>
      <c r="G2647" s="13" t="str">
        <f ca="1">IFERROR(__xludf.DUMMYFUNCTION("""COMPUTED_VALUE"""),"phục hồi, lấy lại")</f>
        <v>phục hồi, lấy lại</v>
      </c>
      <c r="H2647" s="13" t="str">
        <f ca="1">IFERROR(__xludf.DUMMYFUNCTION("""COMPUTED_VALUE"""),"工厂的生产已经恢复正常。")</f>
        <v>工厂的生产已经恢复正常。</v>
      </c>
      <c r="I2647" s="13"/>
      <c r="J2647" s="13" t="str">
        <f ca="1">IFERROR(__xludf.DUMMYFUNCTION("""COMPUTED_VALUE"""),"Sản xuất của nhà máy đã khôi phục bình thường.")</f>
        <v>Sản xuất của nhà máy đã khôi phục bình thường.</v>
      </c>
      <c r="K2647" s="13" t="str">
        <f ca="1">IFERROR(__xludf.DUMMYFUNCTION("""COMPUTED_VALUE"""),"H5_B35_BG-07.png")</f>
        <v>H5_B35_BG-07.png</v>
      </c>
      <c r="L2647" s="13" t="str">
        <f ca="1">IFERROR(__xludf.DUMMYFUNCTION("""COMPUTED_VALUE"""),"B35_7.mp3")</f>
        <v>B35_7.mp3</v>
      </c>
      <c r="M2647" s="13" t="str">
        <f ca="1">IFERROR(__xludf.DUMMYFUNCTION("""COMPUTED_VALUE"""),"B35_VD_7.mp3")</f>
        <v>B35_VD_7.mp3</v>
      </c>
    </row>
    <row r="2648" spans="1:13">
      <c r="A2648" s="13">
        <f ca="1">IFERROR(__xludf.DUMMYFUNCTION("""COMPUTED_VALUE"""),8)</f>
        <v>8</v>
      </c>
      <c r="B2648" s="13"/>
      <c r="C2648" s="13" t="str">
        <f ca="1">IFERROR(__xludf.DUMMYFUNCTION("""COMPUTED_VALUE"""),"湿润")</f>
        <v>湿润</v>
      </c>
      <c r="D2648" s="13" t="str">
        <f ca="1">IFERROR(__xludf.DUMMYFUNCTION("""COMPUTED_VALUE"""),"&lt;ruby&gt;湿润&lt;rt&gt;shīrùn&lt;/rt&gt;&lt;/ruby&gt;")</f>
        <v>&lt;ruby&gt;湿润&lt;rt&gt;shīrùn&lt;/rt&gt;&lt;/ruby&gt;</v>
      </c>
      <c r="E2648" s="13" t="str">
        <f ca="1">IFERROR(__xludf.DUMMYFUNCTION("""COMPUTED_VALUE"""),"shīrùn")</f>
        <v>shīrùn</v>
      </c>
      <c r="F2648" s="13" t="str">
        <f ca="1">IFERROR(__xludf.DUMMYFUNCTION("""COMPUTED_VALUE"""),"Tính từ")</f>
        <v>Tính từ</v>
      </c>
      <c r="G2648" s="13" t="str">
        <f ca="1">IFERROR(__xludf.DUMMYFUNCTION("""COMPUTED_VALUE"""),"ẩm ướt")</f>
        <v>ẩm ướt</v>
      </c>
      <c r="H2648" s="13" t="str">
        <f ca="1">IFERROR(__xludf.DUMMYFUNCTION("""COMPUTED_VALUE"""),"森林里的空气很湿润，树木生长得很茂盛。")</f>
        <v>森林里的空气很湿润，树木生长得很茂盛。</v>
      </c>
      <c r="I2648" s="13"/>
      <c r="J2648" s="13" t="str">
        <f ca="1">IFERROR(__xludf.DUMMYFUNCTION("""COMPUTED_VALUE"""),"Không khí trong rừng rất ẩm ướt, cây cối phát triển rất tươi tốt.")</f>
        <v>Không khí trong rừng rất ẩm ướt, cây cối phát triển rất tươi tốt.</v>
      </c>
      <c r="K2648" s="13" t="str">
        <f ca="1">IFERROR(__xludf.DUMMYFUNCTION("""COMPUTED_VALUE"""),"H5_B35_BG-08.png")</f>
        <v>H5_B35_BG-08.png</v>
      </c>
      <c r="L2648" s="13" t="str">
        <f ca="1">IFERROR(__xludf.DUMMYFUNCTION("""COMPUTED_VALUE"""),"B35_8.mp3")</f>
        <v>B35_8.mp3</v>
      </c>
      <c r="M2648" s="13" t="str">
        <f ca="1">IFERROR(__xludf.DUMMYFUNCTION("""COMPUTED_VALUE"""),"B35_VD_8.mp3")</f>
        <v>B35_VD_8.mp3</v>
      </c>
    </row>
    <row r="2649" spans="1:13">
      <c r="A2649" s="13">
        <f ca="1">IFERROR(__xludf.DUMMYFUNCTION("""COMPUTED_VALUE"""),9)</f>
        <v>9</v>
      </c>
      <c r="B2649" s="13"/>
      <c r="C2649" s="13" t="str">
        <f ca="1">IFERROR(__xludf.DUMMYFUNCTION("""COMPUTED_VALUE"""),"荫凉")</f>
        <v>荫凉</v>
      </c>
      <c r="D2649" s="13" t="str">
        <f ca="1">IFERROR(__xludf.DUMMYFUNCTION("""COMPUTED_VALUE"""),"&lt;ruby&gt;荫凉&lt;rt&gt;yìnliáng&lt;/rt&gt;&lt;/ruby&gt;")</f>
        <v>&lt;ruby&gt;荫凉&lt;rt&gt;yìnliáng&lt;/rt&gt;&lt;/ruby&gt;</v>
      </c>
      <c r="E2649" s="13" t="str">
        <f ca="1">IFERROR(__xludf.DUMMYFUNCTION("""COMPUTED_VALUE"""),"yìnliáng")</f>
        <v>yìnliáng</v>
      </c>
      <c r="F2649" s="13" t="str">
        <f ca="1">IFERROR(__xludf.DUMMYFUNCTION("""COMPUTED_VALUE"""),"Tính từ")</f>
        <v>Tính từ</v>
      </c>
      <c r="G2649" s="13" t="str">
        <f ca="1">IFERROR(__xludf.DUMMYFUNCTION("""COMPUTED_VALUE"""),"râm mát")</f>
        <v>râm mát</v>
      </c>
      <c r="H2649" s="13" t="str">
        <f ca="1">IFERROR(__xludf.DUMMYFUNCTION("""COMPUTED_VALUE"""),"下午公园里很荫凉，是散步的理想场所。")</f>
        <v>下午公园里很荫凉，是散步的理想场所。</v>
      </c>
      <c r="I2649" s="13"/>
      <c r="J2649" s="13" t="str">
        <f ca="1">IFERROR(__xludf.DUMMYFUNCTION("""COMPUTED_VALUE"""),"Vào buổi chiều, công viên rất râm mát, là nơi lý tưởng để đi dạo.")</f>
        <v>Vào buổi chiều, công viên rất râm mát, là nơi lý tưởng để đi dạo.</v>
      </c>
      <c r="K2649" s="13" t="str">
        <f ca="1">IFERROR(__xludf.DUMMYFUNCTION("""COMPUTED_VALUE"""),"H5_B35_BG-09.png")</f>
        <v>H5_B35_BG-09.png</v>
      </c>
      <c r="L2649" s="13" t="str">
        <f ca="1">IFERROR(__xludf.DUMMYFUNCTION("""COMPUTED_VALUE"""),"B35_9.mp3")</f>
        <v>B35_9.mp3</v>
      </c>
      <c r="M2649" s="13" t="str">
        <f ca="1">IFERROR(__xludf.DUMMYFUNCTION("""COMPUTED_VALUE"""),"B35_VD_9.mp3")</f>
        <v>B35_VD_9.mp3</v>
      </c>
    </row>
    <row r="2650" spans="1:13">
      <c r="A2650" s="13">
        <f ca="1">IFERROR(__xludf.DUMMYFUNCTION("""COMPUTED_VALUE"""),10)</f>
        <v>10</v>
      </c>
      <c r="B2650" s="13"/>
      <c r="C2650" s="13" t="str">
        <f ca="1">IFERROR(__xludf.DUMMYFUNCTION("""COMPUTED_VALUE"""),"汗腺")</f>
        <v>汗腺</v>
      </c>
      <c r="D2650" s="13" t="str">
        <f ca="1">IFERROR(__xludf.DUMMYFUNCTION("""COMPUTED_VALUE"""),"&lt;ruby&gt;汗腺&lt;rt&gt;hànxiàn&lt;/rt&gt;&lt;/ruby&gt;")</f>
        <v>&lt;ruby&gt;汗腺&lt;rt&gt;hànxiàn&lt;/rt&gt;&lt;/ruby&gt;</v>
      </c>
      <c r="E2650" s="13" t="str">
        <f ca="1">IFERROR(__xludf.DUMMYFUNCTION("""COMPUTED_VALUE"""),"hànxiàn")</f>
        <v>hànxiàn</v>
      </c>
      <c r="F2650" s="13" t="str">
        <f ca="1">IFERROR(__xludf.DUMMYFUNCTION("""COMPUTED_VALUE"""),"Danh từ")</f>
        <v>Danh từ</v>
      </c>
      <c r="G2650" s="13" t="str">
        <f ca="1">IFERROR(__xludf.DUMMYFUNCTION("""COMPUTED_VALUE"""),"tuyến mồ hôi")</f>
        <v>tuyến mồ hôi</v>
      </c>
      <c r="H2650" s="13" t="str">
        <f ca="1">IFERROR(__xludf.DUMMYFUNCTION("""COMPUTED_VALUE"""),"运动时，汗腺会分泌大量的汗水来帮助身体降温。")</f>
        <v>运动时，汗腺会分泌大量的汗水来帮助身体降温。</v>
      </c>
      <c r="I2650" s="13"/>
      <c r="J2650" s="13" t="str">
        <f ca="1">IFERROR(__xludf.DUMMYFUNCTION("""COMPUTED_VALUE"""),"Khi chơi thể thao, tuyến mồ hôi sẽ tiết ra một lượng lớn mồ hôi để giúp cơ thể hạ nhiệt.")</f>
        <v>Khi chơi thể thao, tuyến mồ hôi sẽ tiết ra một lượng lớn mồ hôi để giúp cơ thể hạ nhiệt.</v>
      </c>
      <c r="K2650" s="13" t="str">
        <f ca="1">IFERROR(__xludf.DUMMYFUNCTION("""COMPUTED_VALUE"""),"H5_B35_BG-10.png")</f>
        <v>H5_B35_BG-10.png</v>
      </c>
      <c r="L2650" s="13" t="str">
        <f ca="1">IFERROR(__xludf.DUMMYFUNCTION("""COMPUTED_VALUE"""),"B35_10.mp3")</f>
        <v>B35_10.mp3</v>
      </c>
      <c r="M2650" s="13" t="str">
        <f ca="1">IFERROR(__xludf.DUMMYFUNCTION("""COMPUTED_VALUE"""),"B35_VD_10.mp3")</f>
        <v>B35_VD_10.mp3</v>
      </c>
    </row>
    <row r="2651" spans="1:13">
      <c r="A2651" s="13">
        <f ca="1">IFERROR(__xludf.DUMMYFUNCTION("""COMPUTED_VALUE"""),11)</f>
        <v>11</v>
      </c>
      <c r="B2651" s="13"/>
      <c r="C2651" s="13" t="str">
        <f ca="1">IFERROR(__xludf.DUMMYFUNCTION("""COMPUTED_VALUE"""),"毛孔")</f>
        <v>毛孔</v>
      </c>
      <c r="D2651" s="13" t="str">
        <f ca="1">IFERROR(__xludf.DUMMYFUNCTION("""COMPUTED_VALUE"""),"&lt;ruby&gt;毛孔&lt;rt&gt;máokǒng&lt;/rt&gt;&lt;/ruby&gt;")</f>
        <v>&lt;ruby&gt;毛孔&lt;rt&gt;máokǒng&lt;/rt&gt;&lt;/ruby&gt;</v>
      </c>
      <c r="E2651" s="13" t="str">
        <f ca="1">IFERROR(__xludf.DUMMYFUNCTION("""COMPUTED_VALUE"""),"máokǒng")</f>
        <v>máokǒng</v>
      </c>
      <c r="F2651" s="13" t="str">
        <f ca="1">IFERROR(__xludf.DUMMYFUNCTION("""COMPUTED_VALUE"""),"Danh từ")</f>
        <v>Danh từ</v>
      </c>
      <c r="G2651" s="13" t="str">
        <f ca="1">IFERROR(__xludf.DUMMYFUNCTION("""COMPUTED_VALUE"""),"lỗ chân lông")</f>
        <v>lỗ chân lông</v>
      </c>
      <c r="H2651" s="13" t="str">
        <f ca="1">IFERROR(__xludf.DUMMYFUNCTION("""COMPUTED_VALUE"""),"使用深层清洁面膜可以清洁毛孔，改善皮肤状况。")</f>
        <v>使用深层清洁面膜可以清洁毛孔，改善皮肤状况。</v>
      </c>
      <c r="I2651" s="13"/>
      <c r="J2651" s="13" t="str">
        <f ca="1">IFERROR(__xludf.DUMMYFUNCTION("""COMPUTED_VALUE"""),"Sử dụng mặt nạ làm sạch sâu giúp làm sạch lỗ chân lông và cải thiện tình trạng da.")</f>
        <v>Sử dụng mặt nạ làm sạch sâu giúp làm sạch lỗ chân lông và cải thiện tình trạng da.</v>
      </c>
      <c r="K2651" s="13" t="str">
        <f ca="1">IFERROR(__xludf.DUMMYFUNCTION("""COMPUTED_VALUE"""),"H5_B35_BG-11.png")</f>
        <v>H5_B35_BG-11.png</v>
      </c>
      <c r="L2651" s="13" t="str">
        <f ca="1">IFERROR(__xludf.DUMMYFUNCTION("""COMPUTED_VALUE"""),"B35_11.mp3")</f>
        <v>B35_11.mp3</v>
      </c>
      <c r="M2651" s="13" t="str">
        <f ca="1">IFERROR(__xludf.DUMMYFUNCTION("""COMPUTED_VALUE"""),"B35_VD_11.mp3")</f>
        <v>B35_VD_11.mp3</v>
      </c>
    </row>
    <row r="2652" spans="1:13">
      <c r="A2652" s="13">
        <f ca="1">IFERROR(__xludf.DUMMYFUNCTION("""COMPUTED_VALUE"""),12)</f>
        <v>12</v>
      </c>
      <c r="B2652" s="13"/>
      <c r="C2652" s="13" t="str">
        <f ca="1">IFERROR(__xludf.DUMMYFUNCTION("""COMPUTED_VALUE"""),"冒")</f>
        <v>冒</v>
      </c>
      <c r="D2652" s="13" t="str">
        <f ca="1">IFERROR(__xludf.DUMMYFUNCTION("""COMPUTED_VALUE"""),"&lt;ruby&gt;冒&lt;rt&gt;mào&lt;/rt&gt;&lt;/ruby&gt;")</f>
        <v>&lt;ruby&gt;冒&lt;rt&gt;mào&lt;/rt&gt;&lt;/ruby&gt;</v>
      </c>
      <c r="E2652" s="13" t="str">
        <f ca="1">IFERROR(__xludf.DUMMYFUNCTION("""COMPUTED_VALUE"""),"mào")</f>
        <v>mào</v>
      </c>
      <c r="F2652" s="13" t="str">
        <f ca="1">IFERROR(__xludf.DUMMYFUNCTION("""COMPUTED_VALUE"""),"Động từ")</f>
        <v>Động từ</v>
      </c>
      <c r="G2652" s="13" t="str">
        <f ca="1">IFERROR(__xludf.DUMMYFUNCTION("""COMPUTED_VALUE"""),"bốc lên, toát ra, phả ra")</f>
        <v>bốc lên, toát ra, phả ra</v>
      </c>
      <c r="H2652" s="13" t="str">
        <f ca="1">IFERROR(__xludf.DUMMYFUNCTION("""COMPUTED_VALUE"""),"烟雾四处冒着。")</f>
        <v>烟雾四处冒着。</v>
      </c>
      <c r="I2652" s="13"/>
      <c r="J2652" s="13" t="str">
        <f ca="1">IFERROR(__xludf.DUMMYFUNCTION("""COMPUTED_VALUE"""),"Khói tỏa ra khắp nơi.")</f>
        <v>Khói tỏa ra khắp nơi.</v>
      </c>
      <c r="K2652" s="13" t="str">
        <f ca="1">IFERROR(__xludf.DUMMYFUNCTION("""COMPUTED_VALUE"""),"H5_B35_BG-12.png")</f>
        <v>H5_B35_BG-12.png</v>
      </c>
      <c r="L2652" s="13" t="str">
        <f ca="1">IFERROR(__xludf.DUMMYFUNCTION("""COMPUTED_VALUE"""),"B35_12.mp3")</f>
        <v>B35_12.mp3</v>
      </c>
      <c r="M2652" s="13" t="str">
        <f ca="1">IFERROR(__xludf.DUMMYFUNCTION("""COMPUTED_VALUE"""),"B35_VD_12.mp3")</f>
        <v>B35_VD_12.mp3</v>
      </c>
    </row>
    <row r="2653" spans="1:13">
      <c r="A2653" s="13">
        <f ca="1">IFERROR(__xludf.DUMMYFUNCTION("""COMPUTED_VALUE"""),13)</f>
        <v>13</v>
      </c>
      <c r="B2653" s="13"/>
      <c r="C2653" s="13" t="str">
        <f ca="1">IFERROR(__xludf.DUMMYFUNCTION("""COMPUTED_VALUE"""),"指挥")</f>
        <v>指挥</v>
      </c>
      <c r="D2653" s="13" t="str">
        <f ca="1">IFERROR(__xludf.DUMMYFUNCTION("""COMPUTED_VALUE"""),"&lt;ruby&gt;指挥&lt;rt&gt;zhǐhuī&lt;/rt&gt;&lt;/ruby&gt;")</f>
        <v>&lt;ruby&gt;指挥&lt;rt&gt;zhǐhuī&lt;/rt&gt;&lt;/ruby&gt;</v>
      </c>
      <c r="E2653" s="13" t="str">
        <f ca="1">IFERROR(__xludf.DUMMYFUNCTION("""COMPUTED_VALUE"""),"zhǐhuī")</f>
        <v>zhǐhuī</v>
      </c>
      <c r="F2653" s="13" t="str">
        <f ca="1">IFERROR(__xludf.DUMMYFUNCTION("""COMPUTED_VALUE"""),"Động từ")</f>
        <v>Động từ</v>
      </c>
      <c r="G2653" s="13" t="str">
        <f ca="1">IFERROR(__xludf.DUMMYFUNCTION("""COMPUTED_VALUE"""),"chỉ huy, điều khiển, ra lệnh")</f>
        <v>chỉ huy, điều khiển, ra lệnh</v>
      </c>
      <c r="H2653" s="13" t="str">
        <f ca="1">IFERROR(__xludf.DUMMYFUNCTION("""COMPUTED_VALUE"""),"他正在指挥交通。")</f>
        <v>他正在指挥交通。</v>
      </c>
      <c r="I2653" s="13"/>
      <c r="J2653" s="13" t="str">
        <f ca="1">IFERROR(__xludf.DUMMYFUNCTION("""COMPUTED_VALUE"""),"Anh ấy đang chỉ huy giao thông.")</f>
        <v>Anh ấy đang chỉ huy giao thông.</v>
      </c>
      <c r="K2653" s="13" t="str">
        <f ca="1">IFERROR(__xludf.DUMMYFUNCTION("""COMPUTED_VALUE"""),"H5_B35_BG-13.png")</f>
        <v>H5_B35_BG-13.png</v>
      </c>
      <c r="L2653" s="13" t="str">
        <f ca="1">IFERROR(__xludf.DUMMYFUNCTION("""COMPUTED_VALUE"""),"B35_13.mp3")</f>
        <v>B35_13.mp3</v>
      </c>
      <c r="M2653" s="13" t="str">
        <f ca="1">IFERROR(__xludf.DUMMYFUNCTION("""COMPUTED_VALUE"""),"B35_VD_13.mp3")</f>
        <v>B35_VD_13.mp3</v>
      </c>
    </row>
    <row r="2654" spans="1:13">
      <c r="A2654" s="13">
        <f ca="1">IFERROR(__xludf.DUMMYFUNCTION("""COMPUTED_VALUE"""),14)</f>
        <v>14</v>
      </c>
      <c r="B2654" s="13"/>
      <c r="C2654" s="13" t="str">
        <f ca="1">IFERROR(__xludf.DUMMYFUNCTION("""COMPUTED_VALUE"""),"赶快")</f>
        <v>赶快</v>
      </c>
      <c r="D2654" s="13" t="str">
        <f ca="1">IFERROR(__xludf.DUMMYFUNCTION("""COMPUTED_VALUE"""),"&lt;ruby&gt;赶快&lt;rt&gt;gǎnkuài&lt;/rt&gt;&lt;/ruby&gt;")</f>
        <v>&lt;ruby&gt;赶快&lt;rt&gt;gǎnkuài&lt;/rt&gt;&lt;/ruby&gt;</v>
      </c>
      <c r="E2654" s="13" t="str">
        <f ca="1">IFERROR(__xludf.DUMMYFUNCTION("""COMPUTED_VALUE"""),"gǎnkuài")</f>
        <v>gǎnkuài</v>
      </c>
      <c r="F2654" s="13" t="str">
        <f ca="1">IFERROR(__xludf.DUMMYFUNCTION("""COMPUTED_VALUE"""),"Phó từ")</f>
        <v>Phó từ</v>
      </c>
      <c r="G2654" s="13" t="str">
        <f ca="1">IFERROR(__xludf.DUMMYFUNCTION("""COMPUTED_VALUE"""),"mau mau, nhanh")</f>
        <v>mau mau, nhanh</v>
      </c>
      <c r="H2654" s="13" t="str">
        <f ca="1">IFERROR(__xludf.DUMMYFUNCTION("""COMPUTED_VALUE"""),"快迟到了，赶快去上学吧！")</f>
        <v>快迟到了，赶快去上学吧！</v>
      </c>
      <c r="I2654" s="13"/>
      <c r="J2654" s="13" t="str">
        <f ca="1">IFERROR(__xludf.DUMMYFUNCTION("""COMPUTED_VALUE"""),"Sắp muộn rồi, mau mau đi học thôi!")</f>
        <v>Sắp muộn rồi, mau mau đi học thôi!</v>
      </c>
      <c r="K2654" s="13" t="str">
        <f ca="1">IFERROR(__xludf.DUMMYFUNCTION("""COMPUTED_VALUE"""),"H5_B35_BG-14.png")</f>
        <v>H5_B35_BG-14.png</v>
      </c>
      <c r="L2654" s="13" t="str">
        <f ca="1">IFERROR(__xludf.DUMMYFUNCTION("""COMPUTED_VALUE"""),"B35_14.mp3")</f>
        <v>B35_14.mp3</v>
      </c>
      <c r="M2654" s="13" t="str">
        <f ca="1">IFERROR(__xludf.DUMMYFUNCTION("""COMPUTED_VALUE"""),"B35_VD_14.mp3")</f>
        <v>B35_VD_14.mp3</v>
      </c>
    </row>
    <row r="2655" spans="1:13">
      <c r="A2655" s="13">
        <f ca="1">IFERROR(__xludf.DUMMYFUNCTION("""COMPUTED_VALUE"""),15)</f>
        <v>15</v>
      </c>
      <c r="B2655" s="13"/>
      <c r="C2655" s="13" t="str">
        <f ca="1">IFERROR(__xludf.DUMMYFUNCTION("""COMPUTED_VALUE"""),"片")</f>
        <v>片</v>
      </c>
      <c r="D2655" s="13" t="str">
        <f ca="1">IFERROR(__xludf.DUMMYFUNCTION("""COMPUTED_VALUE"""),"&lt;ruby&gt;片&lt;rt&gt;piàn&lt;/rt&gt;&lt;/ruby&gt;")</f>
        <v>&lt;ruby&gt;片&lt;rt&gt;piàn&lt;/rt&gt;&lt;/ruby&gt;</v>
      </c>
      <c r="E2655" s="13" t="str">
        <f ca="1">IFERROR(__xludf.DUMMYFUNCTION("""COMPUTED_VALUE"""),"piàn")</f>
        <v>piàn</v>
      </c>
      <c r="F2655" s="13" t="str">
        <f ca="1">IFERROR(__xludf.DUMMYFUNCTION("""COMPUTED_VALUE"""),"Danh từ")</f>
        <v>Danh từ</v>
      </c>
      <c r="G2655" s="13" t="str">
        <f ca="1">IFERROR(__xludf.DUMMYFUNCTION("""COMPUTED_VALUE"""),"tấm, mảnh")</f>
        <v>tấm, mảnh</v>
      </c>
      <c r="H2655" s="13" t="str">
        <f ca="1">IFERROR(__xludf.DUMMYFUNCTION("""COMPUTED_VALUE"""),"树叶一片片地落下。")</f>
        <v>树叶一片片地落下。</v>
      </c>
      <c r="I2655" s="13"/>
      <c r="J2655" s="13" t="str">
        <f ca="1">IFERROR(__xludf.DUMMYFUNCTION("""COMPUTED_VALUE"""),"Lá cây từng chiếc rơi xuống.")</f>
        <v>Lá cây từng chiếc rơi xuống.</v>
      </c>
      <c r="K2655" s="13" t="str">
        <f ca="1">IFERROR(__xludf.DUMMYFUNCTION("""COMPUTED_VALUE"""),"H5_B35_BG-15.png")</f>
        <v>H5_B35_BG-15.png</v>
      </c>
      <c r="L2655" s="13" t="str">
        <f ca="1">IFERROR(__xludf.DUMMYFUNCTION("""COMPUTED_VALUE"""),"B35_15.mp3")</f>
        <v>B35_15.mp3</v>
      </c>
      <c r="M2655" s="13" t="str">
        <f ca="1">IFERROR(__xludf.DUMMYFUNCTION("""COMPUTED_VALUE"""),"B35_VD_15.mp3")</f>
        <v>B35_VD_15.mp3</v>
      </c>
    </row>
    <row r="2656" spans="1:13">
      <c r="A2656" s="13">
        <f ca="1">IFERROR(__xludf.DUMMYFUNCTION("""COMPUTED_VALUE"""),16)</f>
        <v>16</v>
      </c>
      <c r="B2656" s="13"/>
      <c r="C2656" s="13" t="str">
        <f ca="1">IFERROR(__xludf.DUMMYFUNCTION("""COMPUTED_VALUE"""),"控制")</f>
        <v>控制</v>
      </c>
      <c r="D2656" s="13" t="str">
        <f ca="1">IFERROR(__xludf.DUMMYFUNCTION("""COMPUTED_VALUE"""),"&lt;ruby&gt;控制&lt;rt&gt;kòngzhì&lt;/rt&gt;&lt;/ruby&gt;")</f>
        <v>&lt;ruby&gt;控制&lt;rt&gt;kòngzhì&lt;/rt&gt;&lt;/ruby&gt;</v>
      </c>
      <c r="E2656" s="13" t="str">
        <f ca="1">IFERROR(__xludf.DUMMYFUNCTION("""COMPUTED_VALUE"""),"kòngzhì")</f>
        <v>kòngzhì</v>
      </c>
      <c r="F2656" s="13" t="str">
        <f ca="1">IFERROR(__xludf.DUMMYFUNCTION("""COMPUTED_VALUE"""),"Động từ")</f>
        <v>Động từ</v>
      </c>
      <c r="G2656" s="13" t="str">
        <f ca="1">IFERROR(__xludf.DUMMYFUNCTION("""COMPUTED_VALUE"""),"kiểm soát, điều khiển")</f>
        <v>kiểm soát, điều khiển</v>
      </c>
      <c r="H2656" s="13" t="str">
        <f ca="1">IFERROR(__xludf.DUMMYFUNCTION("""COMPUTED_VALUE"""),"开车时，她必须控制车速以确保安全。")</f>
        <v>开车时，她必须控制车速以确保安全。</v>
      </c>
      <c r="I2656" s="13"/>
      <c r="J2656" s="13" t="str">
        <f ca="1">IFERROR(__xludf.DUMMYFUNCTION("""COMPUTED_VALUE"""),"Khi lái xe, cô ấy phải kiểm soát tốc độ xe để đảm bảo an toàn.")</f>
        <v>Khi lái xe, cô ấy phải kiểm soát tốc độ xe để đảm bảo an toàn.</v>
      </c>
      <c r="K2656" s="13" t="str">
        <f ca="1">IFERROR(__xludf.DUMMYFUNCTION("""COMPUTED_VALUE"""),"H5_B35_BG-16.png")</f>
        <v>H5_B35_BG-16.png</v>
      </c>
      <c r="L2656" s="13" t="str">
        <f ca="1">IFERROR(__xludf.DUMMYFUNCTION("""COMPUTED_VALUE"""),"B35_16.mp3")</f>
        <v>B35_16.mp3</v>
      </c>
      <c r="M2656" s="13" t="str">
        <f ca="1">IFERROR(__xludf.DUMMYFUNCTION("""COMPUTED_VALUE"""),"B35_VD_16.mp3")</f>
        <v>B35_VD_16.mp3</v>
      </c>
    </row>
    <row r="2657" spans="1:13">
      <c r="A2657" s="13">
        <f ca="1">IFERROR(__xludf.DUMMYFUNCTION("""COMPUTED_VALUE"""),17)</f>
        <v>17</v>
      </c>
      <c r="B2657" s="13"/>
      <c r="C2657" s="13" t="str">
        <f ca="1">IFERROR(__xludf.DUMMYFUNCTION("""COMPUTED_VALUE"""),"管子")</f>
        <v>管子</v>
      </c>
      <c r="D2657" s="13" t="str">
        <f ca="1">IFERROR(__xludf.DUMMYFUNCTION("""COMPUTED_VALUE"""),"&lt;ruby&gt;管子&lt;rt&gt;guǎnzi&lt;/rt&gt;&lt;/ruby&gt;")</f>
        <v>&lt;ruby&gt;管子&lt;rt&gt;guǎnzi&lt;/rt&gt;&lt;/ruby&gt;</v>
      </c>
      <c r="E2657" s="13" t="str">
        <f ca="1">IFERROR(__xludf.DUMMYFUNCTION("""COMPUTED_VALUE"""),"guǎnzi")</f>
        <v>guǎnzi</v>
      </c>
      <c r="F2657" s="13" t="str">
        <f ca="1">IFERROR(__xludf.DUMMYFUNCTION("""COMPUTED_VALUE"""),"Danh từ")</f>
        <v>Danh từ</v>
      </c>
      <c r="G2657" s="13" t="str">
        <f ca="1">IFERROR(__xludf.DUMMYFUNCTION("""COMPUTED_VALUE"""),"ống, ống dẫn")</f>
        <v>ống, ống dẫn</v>
      </c>
      <c r="H2657" s="13" t="str">
        <f ca="1">IFERROR(__xludf.DUMMYFUNCTION("""COMPUTED_VALUE"""),"管子坏了，需要修理。")</f>
        <v>管子坏了，需要修理。</v>
      </c>
      <c r="I2657" s="13"/>
      <c r="J2657" s="13" t="str">
        <f ca="1">IFERROR(__xludf.DUMMYFUNCTION("""COMPUTED_VALUE"""),"Cái ống này bị hỏng rồi, cần phải sửa chữa.")</f>
        <v>Cái ống này bị hỏng rồi, cần phải sửa chữa.</v>
      </c>
      <c r="K2657" s="13" t="str">
        <f ca="1">IFERROR(__xludf.DUMMYFUNCTION("""COMPUTED_VALUE"""),"H5_B35_BG-17.png")</f>
        <v>H5_B35_BG-17.png</v>
      </c>
      <c r="L2657" s="13" t="str">
        <f ca="1">IFERROR(__xludf.DUMMYFUNCTION("""COMPUTED_VALUE"""),"B35_17.mp3")</f>
        <v>B35_17.mp3</v>
      </c>
      <c r="M2657" s="13" t="str">
        <f ca="1">IFERROR(__xludf.DUMMYFUNCTION("""COMPUTED_VALUE"""),"B35_VD_17.mp3")</f>
        <v>B35_VD_17.mp3</v>
      </c>
    </row>
    <row r="2658" spans="1:13">
      <c r="A2658" s="13">
        <f ca="1">IFERROR(__xludf.DUMMYFUNCTION("""COMPUTED_VALUE"""),18)</f>
        <v>18</v>
      </c>
      <c r="B2658" s="13"/>
      <c r="C2658" s="13" t="str">
        <f ca="1">IFERROR(__xludf.DUMMYFUNCTION("""COMPUTED_VALUE"""),"玻璃")</f>
        <v>玻璃</v>
      </c>
      <c r="D2658" s="13" t="str">
        <f ca="1">IFERROR(__xludf.DUMMYFUNCTION("""COMPUTED_VALUE"""),"&lt;ruby&gt;玻璃&lt;rt&gt;bōli&lt;/rt&gt;&lt;/ruby&gt;")</f>
        <v>&lt;ruby&gt;玻璃&lt;rt&gt;bōli&lt;/rt&gt;&lt;/ruby&gt;</v>
      </c>
      <c r="E2658" s="13" t="str">
        <f ca="1">IFERROR(__xludf.DUMMYFUNCTION("""COMPUTED_VALUE"""),"bōli")</f>
        <v>bōli</v>
      </c>
      <c r="F2658" s="13" t="str">
        <f ca="1">IFERROR(__xludf.DUMMYFUNCTION("""COMPUTED_VALUE"""),"Danh từ")</f>
        <v>Danh từ</v>
      </c>
      <c r="G2658" s="13" t="str">
        <f ca="1">IFERROR(__xludf.DUMMYFUNCTION("""COMPUTED_VALUE"""),"pha-lê, thủy tinh, kính")</f>
        <v>pha-lê, thủy tinh, kính</v>
      </c>
      <c r="H2658" s="13" t="str">
        <f ca="1">IFERROR(__xludf.DUMMYFUNCTION("""COMPUTED_VALUE"""),"这些杯子是用玻璃做的。")</f>
        <v>这些杯子是用玻璃做的。</v>
      </c>
      <c r="I2658" s="13"/>
      <c r="J2658" s="13" t="str">
        <f ca="1">IFERROR(__xludf.DUMMYFUNCTION("""COMPUTED_VALUE"""),"Những chiếc ly này được làm bằng thủy tinh.")</f>
        <v>Những chiếc ly này được làm bằng thủy tinh.</v>
      </c>
      <c r="K2658" s="13" t="str">
        <f ca="1">IFERROR(__xludf.DUMMYFUNCTION("""COMPUTED_VALUE"""),"H5_B35_BG-18.png")</f>
        <v>H5_B35_BG-18.png</v>
      </c>
      <c r="L2658" s="13" t="str">
        <f ca="1">IFERROR(__xludf.DUMMYFUNCTION("""COMPUTED_VALUE"""),"B35_18.mp3")</f>
        <v>B35_18.mp3</v>
      </c>
      <c r="M2658" s="13" t="str">
        <f ca="1">IFERROR(__xludf.DUMMYFUNCTION("""COMPUTED_VALUE"""),"B35_VD_18.mp3")</f>
        <v>B35_VD_18.mp3</v>
      </c>
    </row>
    <row r="2659" spans="1:13">
      <c r="A2659" s="13">
        <f ca="1">IFERROR(__xludf.DUMMYFUNCTION("""COMPUTED_VALUE"""),19)</f>
        <v>19</v>
      </c>
      <c r="B2659" s="13"/>
      <c r="C2659" s="13" t="str">
        <f ca="1">IFERROR(__xludf.DUMMYFUNCTION("""COMPUTED_VALUE"""),"测验")</f>
        <v>测验</v>
      </c>
      <c r="D2659" s="13" t="str">
        <f ca="1">IFERROR(__xludf.DUMMYFUNCTION("""COMPUTED_VALUE"""),"&lt;ruby&gt;测验&lt;rt&gt;cèyàn&lt;/rt&gt;&lt;/ruby&gt;")</f>
        <v>&lt;ruby&gt;测验&lt;rt&gt;cèyàn&lt;/rt&gt;&lt;/ruby&gt;</v>
      </c>
      <c r="E2659" s="13" t="str">
        <f ca="1">IFERROR(__xludf.DUMMYFUNCTION("""COMPUTED_VALUE"""),"cèyàn")</f>
        <v>cèyàn</v>
      </c>
      <c r="F2659" s="13" t="str">
        <f ca="1">IFERROR(__xludf.DUMMYFUNCTION("""COMPUTED_VALUE"""),"Động từ")</f>
        <v>Động từ</v>
      </c>
      <c r="G2659" s="13" t="str">
        <f ca="1">IFERROR(__xludf.DUMMYFUNCTION("""COMPUTED_VALUE"""),"kiểm tra")</f>
        <v>kiểm tra</v>
      </c>
      <c r="H2659" s="13" t="str">
        <f ca="1">IFERROR(__xludf.DUMMYFUNCTION("""COMPUTED_VALUE"""),"化验员已经测验了样品。")</f>
        <v>化验员已经测验了样品。</v>
      </c>
      <c r="I2659" s="13"/>
      <c r="J2659" s="13" t="str">
        <f ca="1">IFERROR(__xludf.DUMMYFUNCTION("""COMPUTED_VALUE"""),"Nhân viên hóa nghiệm đã kiểm nghiệm mẫu vật.")</f>
        <v>Nhân viên hóa nghiệm đã kiểm nghiệm mẫu vật.</v>
      </c>
      <c r="K2659" s="13" t="str">
        <f ca="1">IFERROR(__xludf.DUMMYFUNCTION("""COMPUTED_VALUE"""),"H5_B35_BG-19.png")</f>
        <v>H5_B35_BG-19.png</v>
      </c>
      <c r="L2659" s="13" t="str">
        <f ca="1">IFERROR(__xludf.DUMMYFUNCTION("""COMPUTED_VALUE"""),"B35_19.mp3")</f>
        <v>B35_19.mp3</v>
      </c>
      <c r="M2659" s="13" t="str">
        <f ca="1">IFERROR(__xludf.DUMMYFUNCTION("""COMPUTED_VALUE"""),"B35_VD_19.mp3")</f>
        <v>B35_VD_19.mp3</v>
      </c>
    </row>
    <row r="2660" spans="1:13">
      <c r="A2660" s="13">
        <f ca="1">IFERROR(__xludf.DUMMYFUNCTION("""COMPUTED_VALUE"""),20)</f>
        <v>20</v>
      </c>
      <c r="B2660" s="13"/>
      <c r="C2660" s="13" t="str">
        <f ca="1">IFERROR(__xludf.DUMMYFUNCTION("""COMPUTED_VALUE"""),"根本")</f>
        <v>根本</v>
      </c>
      <c r="D2660" s="13" t="str">
        <f ca="1">IFERROR(__xludf.DUMMYFUNCTION("""COMPUTED_VALUE"""),"&lt;ruby&gt;根本&lt;rt&gt;gēnběn&lt;/rt&gt;&lt;/ruby&gt;")</f>
        <v>&lt;ruby&gt;根本&lt;rt&gt;gēnběn&lt;/rt&gt;&lt;/ruby&gt;</v>
      </c>
      <c r="E2660" s="13" t="str">
        <f ca="1">IFERROR(__xludf.DUMMYFUNCTION("""COMPUTED_VALUE"""),"gēnběn")</f>
        <v>gēnběn</v>
      </c>
      <c r="F2660" s="13" t="str">
        <f ca="1">IFERROR(__xludf.DUMMYFUNCTION("""COMPUTED_VALUE"""),"Phó từ")</f>
        <v>Phó từ</v>
      </c>
      <c r="G2660" s="13" t="str">
        <f ca="1">IFERROR(__xludf.DUMMYFUNCTION("""COMPUTED_VALUE"""),"(thường được dùng trong câu phủ định) tuyệt nhiên, không hề")</f>
        <v>(thường được dùng trong câu phủ định) tuyệt nhiên, không hề</v>
      </c>
      <c r="H2660" s="13" t="str">
        <f ca="1">IFERROR(__xludf.DUMMYFUNCTION("""COMPUTED_VALUE"""),"我们根本不了解彼此。")</f>
        <v>我们根本不了解彼此。</v>
      </c>
      <c r="I2660" s="13"/>
      <c r="J2660" s="13" t="str">
        <f ca="1">IFERROR(__xludf.DUMMYFUNCTION("""COMPUTED_VALUE"""),"Chúng ta căn bản không hiểu nhau.")</f>
        <v>Chúng ta căn bản không hiểu nhau.</v>
      </c>
      <c r="K2660" s="13" t="str">
        <f ca="1">IFERROR(__xludf.DUMMYFUNCTION("""COMPUTED_VALUE"""),"H5_B35_BG-20.png")</f>
        <v>H5_B35_BG-20.png</v>
      </c>
      <c r="L2660" s="13" t="str">
        <f ca="1">IFERROR(__xludf.DUMMYFUNCTION("""COMPUTED_VALUE"""),"B35_20.mp3")</f>
        <v>B35_20.mp3</v>
      </c>
      <c r="M2660" s="13" t="str">
        <f ca="1">IFERROR(__xludf.DUMMYFUNCTION("""COMPUTED_VALUE"""),"B35_VD_20.mp3")</f>
        <v>B35_VD_20.mp3</v>
      </c>
    </row>
    <row r="2661" spans="1:13">
      <c r="A2661" s="13">
        <f ca="1">IFERROR(__xludf.DUMMYFUNCTION("""COMPUTED_VALUE"""),21)</f>
        <v>21</v>
      </c>
      <c r="B2661" s="13"/>
      <c r="C2661" s="13" t="str">
        <f ca="1">IFERROR(__xludf.DUMMYFUNCTION("""COMPUTED_VALUE"""),"内部")</f>
        <v>内部</v>
      </c>
      <c r="D2661" s="13" t="str">
        <f ca="1">IFERROR(__xludf.DUMMYFUNCTION("""COMPUTED_VALUE"""),"&lt;ruby&gt;内部&lt;rt&gt;nèibù&lt;/rt&gt;&lt;/ruby&gt;")</f>
        <v>&lt;ruby&gt;内部&lt;rt&gt;nèibù&lt;/rt&gt;&lt;/ruby&gt;</v>
      </c>
      <c r="E2661" s="13" t="str">
        <f ca="1">IFERROR(__xludf.DUMMYFUNCTION("""COMPUTED_VALUE"""),"nèibù")</f>
        <v>nèibù</v>
      </c>
      <c r="F2661" s="13" t="str">
        <f ca="1">IFERROR(__xludf.DUMMYFUNCTION("""COMPUTED_VALUE"""),"Danh từ")</f>
        <v>Danh từ</v>
      </c>
      <c r="G2661" s="13" t="str">
        <f ca="1">IFERROR(__xludf.DUMMYFUNCTION("""COMPUTED_VALUE"""),"nội bộ, bên trong")</f>
        <v>nội bộ, bên trong</v>
      </c>
      <c r="H2661" s="13" t="str">
        <f ca="1">IFERROR(__xludf.DUMMYFUNCTION("""COMPUTED_VALUE"""),"这是我们公司的内部文件。")</f>
        <v>这是我们公司的内部文件。</v>
      </c>
      <c r="I2661" s="13"/>
      <c r="J2661" s="13" t="str">
        <f ca="1">IFERROR(__xludf.DUMMYFUNCTION("""COMPUTED_VALUE"""),"Đây là tài liệu nội bộ của công ty tôi.")</f>
        <v>Đây là tài liệu nội bộ của công ty tôi.</v>
      </c>
      <c r="K2661" s="13" t="str">
        <f ca="1">IFERROR(__xludf.DUMMYFUNCTION("""COMPUTED_VALUE"""),"H5_B35_BG-21.png")</f>
        <v>H5_B35_BG-21.png</v>
      </c>
      <c r="L2661" s="13" t="str">
        <f ca="1">IFERROR(__xludf.DUMMYFUNCTION("""COMPUTED_VALUE"""),"B35_21.mp3")</f>
        <v>B35_21.mp3</v>
      </c>
      <c r="M2661" s="13" t="str">
        <f ca="1">IFERROR(__xludf.DUMMYFUNCTION("""COMPUTED_VALUE"""),"B35_VD_21.mp3")</f>
        <v>B35_VD_21.mp3</v>
      </c>
    </row>
    <row r="2662" spans="1:13">
      <c r="A2662" s="13">
        <f ca="1">IFERROR(__xludf.DUMMYFUNCTION("""COMPUTED_VALUE"""),22)</f>
        <v>22</v>
      </c>
      <c r="B2662" s="13"/>
      <c r="C2662" s="13" t="str">
        <f ca="1">IFERROR(__xludf.DUMMYFUNCTION("""COMPUTED_VALUE"""),"系统")</f>
        <v>系统</v>
      </c>
      <c r="D2662" s="13" t="str">
        <f ca="1">IFERROR(__xludf.DUMMYFUNCTION("""COMPUTED_VALUE"""),"&lt;ruby&gt;系统&lt;rt&gt;xìtǒng&lt;/rt&gt;&lt;/ruby&gt;")</f>
        <v>&lt;ruby&gt;系统&lt;rt&gt;xìtǒng&lt;/rt&gt;&lt;/ruby&gt;</v>
      </c>
      <c r="E2662" s="13" t="str">
        <f ca="1">IFERROR(__xludf.DUMMYFUNCTION("""COMPUTED_VALUE"""),"xìtǒng")</f>
        <v>xìtǒng</v>
      </c>
      <c r="F2662" s="13" t="str">
        <f ca="1">IFERROR(__xludf.DUMMYFUNCTION("""COMPUTED_VALUE"""),"Danh từ")</f>
        <v>Danh từ</v>
      </c>
      <c r="G2662" s="13" t="str">
        <f ca="1">IFERROR(__xludf.DUMMYFUNCTION("""COMPUTED_VALUE"""),"hệ thống")</f>
        <v>hệ thống</v>
      </c>
      <c r="H2662" s="13" t="str">
        <f ca="1">IFERROR(__xludf.DUMMYFUNCTION("""COMPUTED_VALUE"""),"这家医院的医疗系统非常先进。")</f>
        <v>这家医院的医疗系统非常先进。</v>
      </c>
      <c r="I2662" s="13"/>
      <c r="J2662" s="13" t="str">
        <f ca="1">IFERROR(__xludf.DUMMYFUNCTION("""COMPUTED_VALUE"""),"Hệ thống y tế của bệnh viện này rất tiên tiến.")</f>
        <v>Hệ thống y tế của bệnh viện này rất tiên tiến.</v>
      </c>
      <c r="K2662" s="13" t="str">
        <f ca="1">IFERROR(__xludf.DUMMYFUNCTION("""COMPUTED_VALUE"""),"H5_B35_BG-22.png")</f>
        <v>H5_B35_BG-22.png</v>
      </c>
      <c r="L2662" s="13" t="str">
        <f ca="1">IFERROR(__xludf.DUMMYFUNCTION("""COMPUTED_VALUE"""),"B35_22.mp3")</f>
        <v>B35_22.mp3</v>
      </c>
      <c r="M2662" s="13" t="str">
        <f ca="1">IFERROR(__xludf.DUMMYFUNCTION("""COMPUTED_VALUE"""),"B35_VD_22.mp3")</f>
        <v>B35_VD_22.mp3</v>
      </c>
    </row>
    <row r="2663" spans="1:13">
      <c r="A2663" s="13">
        <f ca="1">IFERROR(__xludf.DUMMYFUNCTION("""COMPUTED_VALUE"""),23)</f>
        <v>23</v>
      </c>
      <c r="B2663" s="13"/>
      <c r="C2663" s="13" t="str">
        <f ca="1">IFERROR(__xludf.DUMMYFUNCTION("""COMPUTED_VALUE"""),"状况")</f>
        <v>状况</v>
      </c>
      <c r="D2663" s="13" t="str">
        <f ca="1">IFERROR(__xludf.DUMMYFUNCTION("""COMPUTED_VALUE"""),"&lt;ruby&gt;状况&lt;rt&gt;zhuàngkuàng&lt;/rt&gt;&lt;/ruby&gt;")</f>
        <v>&lt;ruby&gt;状况&lt;rt&gt;zhuàngkuàng&lt;/rt&gt;&lt;/ruby&gt;</v>
      </c>
      <c r="E2663" s="13" t="str">
        <f ca="1">IFERROR(__xludf.DUMMYFUNCTION("""COMPUTED_VALUE"""),"zhuàngkuàng")</f>
        <v>zhuàngkuàng</v>
      </c>
      <c r="F2663" s="13" t="str">
        <f ca="1">IFERROR(__xludf.DUMMYFUNCTION("""COMPUTED_VALUE"""),"Danh từ")</f>
        <v>Danh từ</v>
      </c>
      <c r="G2663" s="13" t="str">
        <f ca="1">IFERROR(__xludf.DUMMYFUNCTION("""COMPUTED_VALUE"""),"tình hình, tình trạng")</f>
        <v>tình hình, tình trạng</v>
      </c>
      <c r="H2663" s="13" t="str">
        <f ca="1">IFERROR(__xludf.DUMMYFUNCTION("""COMPUTED_VALUE"""),"由于天气状况不好，航班被取消了。")</f>
        <v>由于天气状况不好，航班被取消了。</v>
      </c>
      <c r="I2663" s="13"/>
      <c r="J2663" s="13" t="str">
        <f ca="1">IFERROR(__xludf.DUMMYFUNCTION("""COMPUTED_VALUE"""),"Do tình hình thời tiết không tốt, chuyến bay đã bị hủy.")</f>
        <v>Do tình hình thời tiết không tốt, chuyến bay đã bị hủy.</v>
      </c>
      <c r="K2663" s="13" t="str">
        <f ca="1">IFERROR(__xludf.DUMMYFUNCTION("""COMPUTED_VALUE"""),"H5_B35_BG-23.png")</f>
        <v>H5_B35_BG-23.png</v>
      </c>
      <c r="L2663" s="13" t="str">
        <f ca="1">IFERROR(__xludf.DUMMYFUNCTION("""COMPUTED_VALUE"""),"B35_23.mp3")</f>
        <v>B35_23.mp3</v>
      </c>
      <c r="M2663" s="13" t="str">
        <f ca="1">IFERROR(__xludf.DUMMYFUNCTION("""COMPUTED_VALUE"""),"B35_VD_23.mp3")</f>
        <v>B35_VD_23.mp3</v>
      </c>
    </row>
    <row r="2664" spans="1:13">
      <c r="A2664" s="13">
        <f ca="1">IFERROR(__xludf.DUMMYFUNCTION("""COMPUTED_VALUE"""),24)</f>
        <v>24</v>
      </c>
      <c r="B2664" s="13"/>
      <c r="C2664" s="13" t="str">
        <f ca="1">IFERROR(__xludf.DUMMYFUNCTION("""COMPUTED_VALUE"""),"秩序")</f>
        <v>秩序</v>
      </c>
      <c r="D2664" s="13" t="str">
        <f ca="1">IFERROR(__xludf.DUMMYFUNCTION("""COMPUTED_VALUE"""),"&lt;ruby&gt;秩序&lt;rt&gt;zhìxù&lt;/rt&gt;&lt;/ruby&gt;")</f>
        <v>&lt;ruby&gt;秩序&lt;rt&gt;zhìxù&lt;/rt&gt;&lt;/ruby&gt;</v>
      </c>
      <c r="E2664" s="13" t="str">
        <f ca="1">IFERROR(__xludf.DUMMYFUNCTION("""COMPUTED_VALUE"""),"zhìxù")</f>
        <v>zhìxù</v>
      </c>
      <c r="F2664" s="13" t="str">
        <f ca="1">IFERROR(__xludf.DUMMYFUNCTION("""COMPUTED_VALUE"""),"Danh từ")</f>
        <v>Danh từ</v>
      </c>
      <c r="G2664" s="13" t="str">
        <f ca="1">IFERROR(__xludf.DUMMYFUNCTION("""COMPUTED_VALUE"""),"trật tự")</f>
        <v>trật tự</v>
      </c>
      <c r="H2664" s="13" t="str">
        <f ca="1">IFERROR(__xludf.DUMMYFUNCTION("""COMPUTED_VALUE"""),"这个城市的公共秩序很好。")</f>
        <v>这个城市的公共秩序很好。</v>
      </c>
      <c r="I2664" s="13"/>
      <c r="J2664" s="13" t="str">
        <f ca="1">IFERROR(__xludf.DUMMYFUNCTION("""COMPUTED_VALUE"""),"Trật tự công cộng của thành phố này rất tốt.")</f>
        <v>Trật tự công cộng của thành phố này rất tốt.</v>
      </c>
      <c r="K2664" s="13" t="str">
        <f ca="1">IFERROR(__xludf.DUMMYFUNCTION("""COMPUTED_VALUE"""),"H5_B35_BG-24.png")</f>
        <v>H5_B35_BG-24.png</v>
      </c>
      <c r="L2664" s="13" t="str">
        <f ca="1">IFERROR(__xludf.DUMMYFUNCTION("""COMPUTED_VALUE"""),"B35_24.mp3")</f>
        <v>B35_24.mp3</v>
      </c>
      <c r="M2664" s="13" t="str">
        <f ca="1">IFERROR(__xludf.DUMMYFUNCTION("""COMPUTED_VALUE"""),"B35_VD_24.mp3")</f>
        <v>B35_VD_24.mp3</v>
      </c>
    </row>
    <row r="2665" spans="1:13">
      <c r="A2665" s="13">
        <f ca="1">IFERROR(__xludf.DUMMYFUNCTION("""COMPUTED_VALUE"""),25)</f>
        <v>25</v>
      </c>
      <c r="B2665" s="13"/>
      <c r="C2665" s="13" t="str">
        <f ca="1">IFERROR(__xludf.DUMMYFUNCTION("""COMPUTED_VALUE"""),"特殊")</f>
        <v>特殊</v>
      </c>
      <c r="D2665" s="13" t="str">
        <f ca="1">IFERROR(__xludf.DUMMYFUNCTION("""COMPUTED_VALUE"""),"&lt;ruby&gt;特殊&lt;rt&gt;tèshū&lt;/rt&gt;&lt;/ruby&gt;")</f>
        <v>&lt;ruby&gt;特殊&lt;rt&gt;tèshū&lt;/rt&gt;&lt;/ruby&gt;</v>
      </c>
      <c r="E2665" s="13" t="str">
        <f ca="1">IFERROR(__xludf.DUMMYFUNCTION("""COMPUTED_VALUE"""),"tèshū")</f>
        <v>tèshū</v>
      </c>
      <c r="F2665" s="13" t="str">
        <f ca="1">IFERROR(__xludf.DUMMYFUNCTION("""COMPUTED_VALUE"""),"Tính từ")</f>
        <v>Tính từ</v>
      </c>
      <c r="G2665" s="13" t="str">
        <f ca="1">IFERROR(__xludf.DUMMYFUNCTION("""COMPUTED_VALUE"""),"đặc biệt, đặc thù")</f>
        <v>đặc biệt, đặc thù</v>
      </c>
      <c r="H2665" s="13" t="str">
        <f ca="1">IFERROR(__xludf.DUMMYFUNCTION("""COMPUTED_VALUE"""),"他有一种特殊的才能，可以轻松学会任何语言。")</f>
        <v>他有一种特殊的才能，可以轻松学会任何语言。</v>
      </c>
      <c r="I2665" s="13"/>
      <c r="J2665" s="13" t="str">
        <f ca="1">IFERROR(__xludf.DUMMYFUNCTION("""COMPUTED_VALUE"""),"Anh ấy có một tài năng đặc biệt, có thể học bất kỳ ngôn ngữ nào một cách dễ dàng.")</f>
        <v>Anh ấy có một tài năng đặc biệt, có thể học bất kỳ ngôn ngữ nào một cách dễ dàng.</v>
      </c>
      <c r="K2665" s="13" t="str">
        <f ca="1">IFERROR(__xludf.DUMMYFUNCTION("""COMPUTED_VALUE"""),"H5_B35_BG-25.png")</f>
        <v>H5_B35_BG-25.png</v>
      </c>
      <c r="L2665" s="13" t="str">
        <f ca="1">IFERROR(__xludf.DUMMYFUNCTION("""COMPUTED_VALUE"""),"B35_25.mp3")</f>
        <v>B35_25.mp3</v>
      </c>
      <c r="M2665" s="13" t="str">
        <f ca="1">IFERROR(__xludf.DUMMYFUNCTION("""COMPUTED_VALUE"""),"B35_VD_25.mp3")</f>
        <v>B35_VD_25.mp3</v>
      </c>
    </row>
    <row r="2666" spans="1:13">
      <c r="A2666" s="13">
        <f ca="1">IFERROR(__xludf.DUMMYFUNCTION("""COMPUTED_VALUE"""),26)</f>
        <v>26</v>
      </c>
      <c r="B2666" s="13"/>
      <c r="C2666" s="13" t="str">
        <f ca="1">IFERROR(__xludf.DUMMYFUNCTION("""COMPUTED_VALUE"""),"常识")</f>
        <v>常识</v>
      </c>
      <c r="D2666" s="13" t="str">
        <f ca="1">IFERROR(__xludf.DUMMYFUNCTION("""COMPUTED_VALUE"""),"&lt;ruby&gt;常识&lt;rt&gt;chángshí&lt;/rt&gt;&lt;/ruby&gt;")</f>
        <v>&lt;ruby&gt;常识&lt;rt&gt;chángshí&lt;/rt&gt;&lt;/ruby&gt;</v>
      </c>
      <c r="E2666" s="13" t="str">
        <f ca="1">IFERROR(__xludf.DUMMYFUNCTION("""COMPUTED_VALUE"""),"chángshí")</f>
        <v>chángshí</v>
      </c>
      <c r="F2666" s="13" t="str">
        <f ca="1">IFERROR(__xludf.DUMMYFUNCTION("""COMPUTED_VALUE"""),"Danh từ")</f>
        <v>Danh từ</v>
      </c>
      <c r="G2666" s="13" t="str">
        <f ca="1">IFERROR(__xludf.DUMMYFUNCTION("""COMPUTED_VALUE"""),"kiến thức thông thường")</f>
        <v>kiến thức thông thường</v>
      </c>
      <c r="H2666" s="13" t="str">
        <f ca="1">IFERROR(__xludf.DUMMYFUNCTION("""COMPUTED_VALUE"""),"这门课程讲解法律常识。")</f>
        <v>这门课程讲解法律常识。</v>
      </c>
      <c r="I2666" s="13"/>
      <c r="J2666" s="13" t="str">
        <f ca="1">IFERROR(__xludf.DUMMYFUNCTION("""COMPUTED_VALUE"""),"Khóa học này giải thích kiến thức pháp luật.")</f>
        <v>Khóa học này giải thích kiến thức pháp luật.</v>
      </c>
      <c r="K2666" s="13" t="str">
        <f ca="1">IFERROR(__xludf.DUMMYFUNCTION("""COMPUTED_VALUE"""),"H5_B35_BG-26.png")</f>
        <v>H5_B35_BG-26.png</v>
      </c>
      <c r="L2666" s="13" t="str">
        <f ca="1">IFERROR(__xludf.DUMMYFUNCTION("""COMPUTED_VALUE"""),"B35_26.mp3")</f>
        <v>B35_26.mp3</v>
      </c>
      <c r="M2666" s="13" t="str">
        <f ca="1">IFERROR(__xludf.DUMMYFUNCTION("""COMPUTED_VALUE"""),"B35_VD_26.mp3")</f>
        <v>B35_VD_26.mp3</v>
      </c>
    </row>
    <row r="2667" spans="1:13">
      <c r="A2667" s="13">
        <f ca="1">IFERROR(__xludf.DUMMYFUNCTION("""COMPUTED_VALUE"""),27)</f>
        <v>27</v>
      </c>
      <c r="B2667" s="13"/>
      <c r="C2667" s="13" t="str">
        <f ca="1">IFERROR(__xludf.DUMMYFUNCTION("""COMPUTED_VALUE"""),"根")</f>
        <v>根</v>
      </c>
      <c r="D2667" s="13" t="str">
        <f ca="1">IFERROR(__xludf.DUMMYFUNCTION("""COMPUTED_VALUE"""),"&lt;ruby&gt;根&lt;rt&gt;gēn&lt;/rt&gt;&lt;/ruby&gt;")</f>
        <v>&lt;ruby&gt;根&lt;rt&gt;gēn&lt;/rt&gt;&lt;/ruby&gt;</v>
      </c>
      <c r="E2667" s="13" t="str">
        <f ca="1">IFERROR(__xludf.DUMMYFUNCTION("""COMPUTED_VALUE"""),"gēn")</f>
        <v>gēn</v>
      </c>
      <c r="F2667" s="13" t="str">
        <f ca="1">IFERROR(__xludf.DUMMYFUNCTION("""COMPUTED_VALUE"""),"Danh từ")</f>
        <v>Danh từ</v>
      </c>
      <c r="G2667" s="13" t="str">
        <f ca="1">IFERROR(__xludf.DUMMYFUNCTION("""COMPUTED_VALUE"""),"rễ cây")</f>
        <v>rễ cây</v>
      </c>
      <c r="H2667" s="13" t="str">
        <f ca="1">IFERROR(__xludf.DUMMYFUNCTION("""COMPUTED_VALUE"""),"树根是树木吸收水分和养分的地方。")</f>
        <v>树根是树木吸收水分和养分的地方。</v>
      </c>
      <c r="I2667" s="13"/>
      <c r="J2667" s="13" t="str">
        <f ca="1">IFERROR(__xludf.DUMMYFUNCTION("""COMPUTED_VALUE"""),"Rễ cây là nơi cây hút nước và chất dinh dưỡng.")</f>
        <v>Rễ cây là nơi cây hút nước và chất dinh dưỡng.</v>
      </c>
      <c r="K2667" s="13" t="str">
        <f ca="1">IFERROR(__xludf.DUMMYFUNCTION("""COMPUTED_VALUE"""),"H5_B35_BG-27.png")</f>
        <v>H5_B35_BG-27.png</v>
      </c>
      <c r="L2667" s="13" t="str">
        <f ca="1">IFERROR(__xludf.DUMMYFUNCTION("""COMPUTED_VALUE"""),"B35_27.mp3")</f>
        <v>B35_27.mp3</v>
      </c>
      <c r="M2667" s="13" t="str">
        <f ca="1">IFERROR(__xludf.DUMMYFUNCTION("""COMPUTED_VALUE"""),"B35_VD_27.mp3")</f>
        <v>B35_VD_27.mp3</v>
      </c>
    </row>
    <row r="2668" spans="1:13">
      <c r="A2668" s="13">
        <f ca="1">IFERROR(__xludf.DUMMYFUNCTION("""COMPUTED_VALUE"""),28)</f>
        <v>28</v>
      </c>
      <c r="B2668" s="13"/>
      <c r="C2668" s="13" t="str">
        <f ca="1">IFERROR(__xludf.DUMMYFUNCTION("""COMPUTED_VALUE"""),"吸收")</f>
        <v>吸收</v>
      </c>
      <c r="D2668" s="13" t="str">
        <f ca="1">IFERROR(__xludf.DUMMYFUNCTION("""COMPUTED_VALUE"""),"&lt;ruby&gt;吸收&lt;rt&gt;xīshōu&lt;/rt&gt;&lt;/ruby&gt;")</f>
        <v>&lt;ruby&gt;吸收&lt;rt&gt;xīshōu&lt;/rt&gt;&lt;/ruby&gt;</v>
      </c>
      <c r="E2668" s="13" t="str">
        <f ca="1">IFERROR(__xludf.DUMMYFUNCTION("""COMPUTED_VALUE"""),"xīshōu")</f>
        <v>xīshōu</v>
      </c>
      <c r="F2668" s="13" t="str">
        <f ca="1">IFERROR(__xludf.DUMMYFUNCTION("""COMPUTED_VALUE"""),"Động từ")</f>
        <v>Động từ</v>
      </c>
      <c r="G2668" s="13" t="str">
        <f ca="1">IFERROR(__xludf.DUMMYFUNCTION("""COMPUTED_VALUE"""),"hấp thu, hút")</f>
        <v>hấp thu, hút</v>
      </c>
      <c r="H2668" s="13" t="str">
        <f ca="1">IFERROR(__xludf.DUMMYFUNCTION("""COMPUTED_VALUE"""),"树木从土壤中吸收水分和养分。")</f>
        <v>树木从土壤中吸收水分和养分。</v>
      </c>
      <c r="I2668" s="13"/>
      <c r="J2668" s="13" t="str">
        <f ca="1">IFERROR(__xludf.DUMMYFUNCTION("""COMPUTED_VALUE"""),"Cây cối hấp thụ nước và chất dinh dưỡng ở đất.")</f>
        <v>Cây cối hấp thụ nước và chất dinh dưỡng ở đất.</v>
      </c>
      <c r="K2668" s="13" t="str">
        <f ca="1">IFERROR(__xludf.DUMMYFUNCTION("""COMPUTED_VALUE"""),"H5_B35_BG-28.png")</f>
        <v>H5_B35_BG-28.png</v>
      </c>
      <c r="L2668" s="13" t="str">
        <f ca="1">IFERROR(__xludf.DUMMYFUNCTION("""COMPUTED_VALUE"""),"B35_28.mp3")</f>
        <v>B35_28.mp3</v>
      </c>
      <c r="M2668" s="13" t="str">
        <f ca="1">IFERROR(__xludf.DUMMYFUNCTION("""COMPUTED_VALUE"""),"B35_VD_28.mp3")</f>
        <v>B35_VD_28.mp3</v>
      </c>
    </row>
    <row r="2669" spans="1:13">
      <c r="A2669" s="13">
        <f ca="1">IFERROR(__xludf.DUMMYFUNCTION("""COMPUTED_VALUE"""),29)</f>
        <v>29</v>
      </c>
      <c r="B2669" s="13"/>
      <c r="C2669" s="13" t="str">
        <f ca="1">IFERROR(__xludf.DUMMYFUNCTION("""COMPUTED_VALUE"""),"成分")</f>
        <v>成分</v>
      </c>
      <c r="D2669" s="13" t="str">
        <f ca="1">IFERROR(__xludf.DUMMYFUNCTION("""COMPUTED_VALUE"""),"&lt;ruby&gt;成分&lt;rt&gt;chéngfèn&lt;/rt&gt;&lt;/ruby&gt;")</f>
        <v>&lt;ruby&gt;成分&lt;rt&gt;chéngfèn&lt;/rt&gt;&lt;/ruby&gt;</v>
      </c>
      <c r="E2669" s="13" t="str">
        <f ca="1">IFERROR(__xludf.DUMMYFUNCTION("""COMPUTED_VALUE"""),"chéngfèn")</f>
        <v>chéngfèn</v>
      </c>
      <c r="F2669" s="13" t="str">
        <f ca="1">IFERROR(__xludf.DUMMYFUNCTION("""COMPUTED_VALUE"""),"Danh từ")</f>
        <v>Danh từ</v>
      </c>
      <c r="G2669" s="13" t="str">
        <f ca="1">IFERROR(__xludf.DUMMYFUNCTION("""COMPUTED_VALUE"""),"thành phần")</f>
        <v>thành phần</v>
      </c>
      <c r="H2669" s="13" t="str">
        <f ca="1">IFERROR(__xludf.DUMMYFUNCTION("""COMPUTED_VALUE"""),"这种药的成分包括抗生素和维生素。")</f>
        <v>这种药的成分包括抗生素和维生素。</v>
      </c>
      <c r="I2669" s="13"/>
      <c r="J2669" s="13" t="str">
        <f ca="1">IFERROR(__xludf.DUMMYFUNCTION("""COMPUTED_VALUE"""),"Thành phần của loại thuốc này bao gồm kháng sinh và vitamin.")</f>
        <v>Thành phần của loại thuốc này bao gồm kháng sinh và vitamin.</v>
      </c>
      <c r="K2669" s="13" t="str">
        <f ca="1">IFERROR(__xludf.DUMMYFUNCTION("""COMPUTED_VALUE"""),"H5_B35_BG-29.png")</f>
        <v>H5_B35_BG-29.png</v>
      </c>
      <c r="L2669" s="13" t="str">
        <f ca="1">IFERROR(__xludf.DUMMYFUNCTION("""COMPUTED_VALUE"""),"B35_29.mp3")</f>
        <v>B35_29.mp3</v>
      </c>
      <c r="M2669" s="13" t="str">
        <f ca="1">IFERROR(__xludf.DUMMYFUNCTION("""COMPUTED_VALUE"""),"B35_VD_29.mp3")</f>
        <v>B35_VD_29.mp3</v>
      </c>
    </row>
    <row r="2670" spans="1:13">
      <c r="A2670" s="13">
        <f ca="1">IFERROR(__xludf.DUMMYFUNCTION("""COMPUTED_VALUE"""),30)</f>
        <v>30</v>
      </c>
      <c r="B2670" s="13"/>
      <c r="C2670" s="13" t="str">
        <f ca="1">IFERROR(__xludf.DUMMYFUNCTION("""COMPUTED_VALUE"""),"梢")</f>
        <v>梢</v>
      </c>
      <c r="D2670" s="13" t="str">
        <f ca="1">IFERROR(__xludf.DUMMYFUNCTION("""COMPUTED_VALUE"""),"&lt;ruby&gt;梢&lt;rt&gt;shāo&lt;/rt&gt;&lt;/ruby&gt;")</f>
        <v>&lt;ruby&gt;梢&lt;rt&gt;shāo&lt;/rt&gt;&lt;/ruby&gt;</v>
      </c>
      <c r="E2670" s="13" t="str">
        <f ca="1">IFERROR(__xludf.DUMMYFUNCTION("""COMPUTED_VALUE"""),"shāo")</f>
        <v>shāo</v>
      </c>
      <c r="F2670" s="13" t="str">
        <f ca="1">IFERROR(__xludf.DUMMYFUNCTION("""COMPUTED_VALUE"""),"Danh từ")</f>
        <v>Danh từ</v>
      </c>
      <c r="G2670" s="13" t="str">
        <f ca="1">IFERROR(__xludf.DUMMYFUNCTION("""COMPUTED_VALUE"""),"ngọn (cây)")</f>
        <v>ngọn (cây)</v>
      </c>
      <c r="H2670" s="13" t="str">
        <f ca="1">IFERROR(__xludf.DUMMYFUNCTION("""COMPUTED_VALUE"""),"风吹过高高的树梢。")</f>
        <v>风吹过高高的树梢。</v>
      </c>
      <c r="I2670" s="13"/>
      <c r="J2670" s="13" t="str">
        <f ca="1">IFERROR(__xludf.DUMMYFUNCTION("""COMPUTED_VALUE"""),"Cơn gió đã thổi qua những ngọn cây cao.")</f>
        <v>Cơn gió đã thổi qua những ngọn cây cao.</v>
      </c>
      <c r="K2670" s="13" t="str">
        <f ca="1">IFERROR(__xludf.DUMMYFUNCTION("""COMPUTED_VALUE"""),"H5_B35_BG-30.png")</f>
        <v>H5_B35_BG-30.png</v>
      </c>
      <c r="L2670" s="13" t="str">
        <f ca="1">IFERROR(__xludf.DUMMYFUNCTION("""COMPUTED_VALUE"""),"B35_30.mp3")</f>
        <v>B35_30.mp3</v>
      </c>
      <c r="M2670" s="13" t="str">
        <f ca="1">IFERROR(__xludf.DUMMYFUNCTION("""COMPUTED_VALUE"""),"B35_VD_30.mp3")</f>
        <v>B35_VD_30.mp3</v>
      </c>
    </row>
    <row r="2671" spans="1:13">
      <c r="A2671" s="13">
        <f ca="1">IFERROR(__xludf.DUMMYFUNCTION("""COMPUTED_VALUE"""),31)</f>
        <v>31</v>
      </c>
      <c r="B2671" s="13"/>
      <c r="C2671" s="13" t="str">
        <f ca="1">IFERROR(__xludf.DUMMYFUNCTION("""COMPUTED_VALUE"""),"枝干")</f>
        <v>枝干</v>
      </c>
      <c r="D2671" s="13" t="str">
        <f ca="1">IFERROR(__xludf.DUMMYFUNCTION("""COMPUTED_VALUE"""),"&lt;ruby&gt;枝干&lt;rt&gt;zhīgàn&lt;/rt&gt;&lt;/ruby&gt;")</f>
        <v>&lt;ruby&gt;枝干&lt;rt&gt;zhīgàn&lt;/rt&gt;&lt;/ruby&gt;</v>
      </c>
      <c r="E2671" s="13" t="str">
        <f ca="1">IFERROR(__xludf.DUMMYFUNCTION("""COMPUTED_VALUE"""),"zhīgàn")</f>
        <v>zhīgàn</v>
      </c>
      <c r="F2671" s="13" t="str">
        <f ca="1">IFERROR(__xludf.DUMMYFUNCTION("""COMPUTED_VALUE"""),"Danh từ")</f>
        <v>Danh từ</v>
      </c>
      <c r="G2671" s="13" t="str">
        <f ca="1">IFERROR(__xludf.DUMMYFUNCTION("""COMPUTED_VALUE"""),"cành cây")</f>
        <v>cành cây</v>
      </c>
      <c r="H2671" s="13" t="str">
        <f ca="1">IFERROR(__xludf.DUMMYFUNCTION("""COMPUTED_VALUE"""),"小鸟停在枝干上。")</f>
        <v>小鸟停在枝干上。</v>
      </c>
      <c r="I2671" s="13"/>
      <c r="J2671" s="13" t="str">
        <f ca="1">IFERROR(__xludf.DUMMYFUNCTION("""COMPUTED_VALUE"""),"Mấy chú chim đang đậu trên cành cây.")</f>
        <v>Mấy chú chim đang đậu trên cành cây.</v>
      </c>
      <c r="K2671" s="13" t="str">
        <f ca="1">IFERROR(__xludf.DUMMYFUNCTION("""COMPUTED_VALUE"""),"H5_B35_BG-31.png")</f>
        <v>H5_B35_BG-31.png</v>
      </c>
      <c r="L2671" s="13" t="str">
        <f ca="1">IFERROR(__xludf.DUMMYFUNCTION("""COMPUTED_VALUE"""),"B35_31.mp3")</f>
        <v>B35_31.mp3</v>
      </c>
      <c r="M2671" s="13" t="str">
        <f ca="1">IFERROR(__xludf.DUMMYFUNCTION("""COMPUTED_VALUE"""),"B35_VD_31.mp3")</f>
        <v>B35_VD_31.mp3</v>
      </c>
    </row>
    <row r="2672" spans="1:13">
      <c r="A2672" s="13">
        <f ca="1">IFERROR(__xludf.DUMMYFUNCTION("""COMPUTED_VALUE"""),32)</f>
        <v>32</v>
      </c>
      <c r="B2672" s="13"/>
      <c r="C2672" s="13" t="str">
        <f ca="1">IFERROR(__xludf.DUMMYFUNCTION("""COMPUTED_VALUE"""),"释放")</f>
        <v>释放</v>
      </c>
      <c r="D2672" s="13" t="str">
        <f ca="1">IFERROR(__xludf.DUMMYFUNCTION("""COMPUTED_VALUE"""),"&lt;ruby&gt;释放&lt;rt&gt;shìfàng&lt;/rt&gt;&lt;/ruby&gt;")</f>
        <v>&lt;ruby&gt;释放&lt;rt&gt;shìfàng&lt;/rt&gt;&lt;/ruby&gt;</v>
      </c>
      <c r="E2672" s="13" t="str">
        <f ca="1">IFERROR(__xludf.DUMMYFUNCTION("""COMPUTED_VALUE"""),"shìfàng")</f>
        <v>shìfàng</v>
      </c>
      <c r="F2672" s="13" t="str">
        <f ca="1">IFERROR(__xludf.DUMMYFUNCTION("""COMPUTED_VALUE"""),"Động từ")</f>
        <v>Động từ</v>
      </c>
      <c r="G2672" s="13" t="str">
        <f ca="1">IFERROR(__xludf.DUMMYFUNCTION("""COMPUTED_VALUE"""),"phóng thích, tỏa ra")</f>
        <v>phóng thích, tỏa ra</v>
      </c>
      <c r="H2672" s="13" t="str">
        <f ca="1">IFERROR(__xludf.DUMMYFUNCTION("""COMPUTED_VALUE"""),"核电站释放了大量能量。")</f>
        <v>核电站释放了大量能量。</v>
      </c>
      <c r="I2672" s="13"/>
      <c r="J2672" s="13" t="str">
        <f ca="1">IFERROR(__xludf.DUMMYFUNCTION("""COMPUTED_VALUE"""),"Nhà máy điện hạt nhân đã phóng thích một lượng lớn năng lượng.")</f>
        <v>Nhà máy điện hạt nhân đã phóng thích một lượng lớn năng lượng.</v>
      </c>
      <c r="K2672" s="13" t="str">
        <f ca="1">IFERROR(__xludf.DUMMYFUNCTION("""COMPUTED_VALUE"""),"H5_B35_BG-32.png")</f>
        <v>H5_B35_BG-32.png</v>
      </c>
      <c r="L2672" s="13" t="str">
        <f ca="1">IFERROR(__xludf.DUMMYFUNCTION("""COMPUTED_VALUE"""),"B35_32.mp3")</f>
        <v>B35_32.mp3</v>
      </c>
      <c r="M2672" s="13" t="str">
        <f ca="1">IFERROR(__xludf.DUMMYFUNCTION("""COMPUTED_VALUE"""),"B35_VD_32.mp3")</f>
        <v>B35_VD_32.mp3</v>
      </c>
    </row>
    <row r="2673" spans="1:13">
      <c r="A2673" s="13">
        <f ca="1">IFERROR(__xludf.DUMMYFUNCTION("""COMPUTED_VALUE"""),33)</f>
        <v>33</v>
      </c>
      <c r="B2673" s="13"/>
      <c r="C2673" s="13" t="str">
        <f ca="1">IFERROR(__xludf.DUMMYFUNCTION("""COMPUTED_VALUE"""),"自动")</f>
        <v>自动</v>
      </c>
      <c r="D2673" s="13" t="str">
        <f ca="1">IFERROR(__xludf.DUMMYFUNCTION("""COMPUTED_VALUE"""),"&lt;ruby&gt;自动&lt;rt&gt;zìdòng&lt;/rt&gt;&lt;/ruby&gt;")</f>
        <v>&lt;ruby&gt;自动&lt;rt&gt;zìdòng&lt;/rt&gt;&lt;/ruby&gt;</v>
      </c>
      <c r="E2673" s="13" t="str">
        <f ca="1">IFERROR(__xludf.DUMMYFUNCTION("""COMPUTED_VALUE"""),"zìdòng")</f>
        <v>zìdòng</v>
      </c>
      <c r="F2673" s="13" t="str">
        <f ca="1">IFERROR(__xludf.DUMMYFUNCTION("""COMPUTED_VALUE"""),"Phó từ")</f>
        <v>Phó từ</v>
      </c>
      <c r="G2673" s="13" t="str">
        <f ca="1">IFERROR(__xludf.DUMMYFUNCTION("""COMPUTED_VALUE"""),"tự động, tự")</f>
        <v>tự động, tự</v>
      </c>
      <c r="H2673" s="13" t="str">
        <f ca="1">IFERROR(__xludf.DUMMYFUNCTION("""COMPUTED_VALUE"""),"这辆车是自动驾驶的，不需要人操作。")</f>
        <v>这辆车是自动驾驶的，不需要人操作。</v>
      </c>
      <c r="I2673" s="13"/>
      <c r="J2673" s="13" t="str">
        <f ca="1">IFERROR(__xludf.DUMMYFUNCTION("""COMPUTED_VALUE"""),"Chiếc xe này là xe tự lái, không cần người điều khiển.")</f>
        <v>Chiếc xe này là xe tự lái, không cần người điều khiển.</v>
      </c>
      <c r="K2673" s="13" t="str">
        <f ca="1">IFERROR(__xludf.DUMMYFUNCTION("""COMPUTED_VALUE"""),"H5_B35_BG-33.png")</f>
        <v>H5_B35_BG-33.png</v>
      </c>
      <c r="L2673" s="13" t="str">
        <f ca="1">IFERROR(__xludf.DUMMYFUNCTION("""COMPUTED_VALUE"""),"B35_33.mp3")</f>
        <v>B35_33.mp3</v>
      </c>
      <c r="M2673" s="13" t="str">
        <f ca="1">IFERROR(__xludf.DUMMYFUNCTION("""COMPUTED_VALUE"""),"B35_VD_33.mp3")</f>
        <v>B35_VD_33.mp3</v>
      </c>
    </row>
    <row r="2674" spans="1:13">
      <c r="A2674" s="13">
        <f ca="1">IFERROR(__xludf.DUMMYFUNCTION("""COMPUTED_VALUE"""),34)</f>
        <v>34</v>
      </c>
      <c r="B2674" s="13"/>
      <c r="C2674" s="13" t="str">
        <f ca="1">IFERROR(__xludf.DUMMYFUNCTION("""COMPUTED_VALUE"""),"补充")</f>
        <v>补充</v>
      </c>
      <c r="D2674" s="13" t="str">
        <f ca="1">IFERROR(__xludf.DUMMYFUNCTION("""COMPUTED_VALUE"""),"&lt;ruby&gt;补充&lt;rt&gt;bǔchōng&lt;/rt&gt;&lt;/ruby&gt;")</f>
        <v>&lt;ruby&gt;补充&lt;rt&gt;bǔchōng&lt;/rt&gt;&lt;/ruby&gt;</v>
      </c>
      <c r="E2674" s="13" t="str">
        <f ca="1">IFERROR(__xludf.DUMMYFUNCTION("""COMPUTED_VALUE"""),"bǔchōng")</f>
        <v>bǔchōng</v>
      </c>
      <c r="F2674" s="13" t="str">
        <f ca="1">IFERROR(__xludf.DUMMYFUNCTION("""COMPUTED_VALUE"""),"Động từ")</f>
        <v>Động từ</v>
      </c>
      <c r="G2674" s="13" t="str">
        <f ca="1">IFERROR(__xludf.DUMMYFUNCTION("""COMPUTED_VALUE"""),"cung cấp thêm, bổ sung")</f>
        <v>cung cấp thêm, bổ sung</v>
      </c>
      <c r="H2674" s="13" t="str">
        <f ca="1">IFERROR(__xludf.DUMMYFUNCTION("""COMPUTED_VALUE"""),"你可以通过吃水果来补充维生素。")</f>
        <v>你可以通过吃水果来补充维生素。</v>
      </c>
      <c r="I2674" s="13"/>
      <c r="J2674" s="13" t="str">
        <f ca="1">IFERROR(__xludf.DUMMYFUNCTION("""COMPUTED_VALUE"""),"Bạn có thể bổ sung vitamin bằng cách ăn trái cây.")</f>
        <v>Bạn có thể bổ sung vitamin bằng cách ăn trái cây.</v>
      </c>
      <c r="K2674" s="13" t="str">
        <f ca="1">IFERROR(__xludf.DUMMYFUNCTION("""COMPUTED_VALUE"""),"H5_B35_BG-34.png")</f>
        <v>H5_B35_BG-34.png</v>
      </c>
      <c r="L2674" s="13" t="str">
        <f ca="1">IFERROR(__xludf.DUMMYFUNCTION("""COMPUTED_VALUE"""),"B35_34.mp3")</f>
        <v>B35_34.mp3</v>
      </c>
      <c r="M2674" s="13" t="str">
        <f ca="1">IFERROR(__xludf.DUMMYFUNCTION("""COMPUTED_VALUE"""),"B35_VD_34.mp3")</f>
        <v>B35_VD_34.mp3</v>
      </c>
    </row>
    <row r="2675" spans="1:13">
      <c r="A2675" s="13">
        <f ca="1">IFERROR(__xludf.DUMMYFUNCTION("""COMPUTED_VALUE"""),35)</f>
        <v>35</v>
      </c>
      <c r="B2675" s="13"/>
      <c r="C2675" s="13" t="str">
        <f ca="1">IFERROR(__xludf.DUMMYFUNCTION("""COMPUTED_VALUE"""),"抽")</f>
        <v>抽</v>
      </c>
      <c r="D2675" s="13" t="str">
        <f ca="1">IFERROR(__xludf.DUMMYFUNCTION("""COMPUTED_VALUE"""),"&lt;ruby&gt;抽&lt;rt&gt;chōu&lt;/rt&gt;&lt;/ruby&gt;")</f>
        <v>&lt;ruby&gt;抽&lt;rt&gt;chōu&lt;/rt&gt;&lt;/ruby&gt;</v>
      </c>
      <c r="E2675" s="13" t="str">
        <f ca="1">IFERROR(__xludf.DUMMYFUNCTION("""COMPUTED_VALUE"""),"chōu")</f>
        <v>chōu</v>
      </c>
      <c r="F2675" s="13" t="str">
        <f ca="1">IFERROR(__xludf.DUMMYFUNCTION("""COMPUTED_VALUE"""),"Động từ")</f>
        <v>Động từ</v>
      </c>
      <c r="G2675" s="13" t="str">
        <f ca="1">IFERROR(__xludf.DUMMYFUNCTION("""COMPUTED_VALUE"""),"rút ra, hút, bơm")</f>
        <v>rút ra, hút, bơm</v>
      </c>
      <c r="H2675" s="13" t="str">
        <f ca="1">IFERROR(__xludf.DUMMYFUNCTION("""COMPUTED_VALUE"""),"抽烟对身体有害。")</f>
        <v>抽烟对身体有害。</v>
      </c>
      <c r="I2675" s="13"/>
      <c r="J2675" s="13" t="str">
        <f ca="1">IFERROR(__xludf.DUMMYFUNCTION("""COMPUTED_VALUE"""),"Hút thuốc có hại cho cơ thể.")</f>
        <v>Hút thuốc có hại cho cơ thể.</v>
      </c>
      <c r="K2675" s="13" t="str">
        <f ca="1">IFERROR(__xludf.DUMMYFUNCTION("""COMPUTED_VALUE"""),"H5_B35_BG-35.png")</f>
        <v>H5_B35_BG-35.png</v>
      </c>
      <c r="L2675" s="13" t="str">
        <f ca="1">IFERROR(__xludf.DUMMYFUNCTION("""COMPUTED_VALUE"""),"B35_35.mp3")</f>
        <v>B35_35.mp3</v>
      </c>
      <c r="M2675" s="13" t="str">
        <f ca="1">IFERROR(__xludf.DUMMYFUNCTION("""COMPUTED_VALUE"""),"B35_VD_35.mp3")</f>
        <v>B35_VD_35.mp3</v>
      </c>
    </row>
    <row r="2676" spans="1:13">
      <c r="A2676" s="13">
        <f ca="1">IFERROR(__xludf.DUMMYFUNCTION("""COMPUTED_VALUE"""),1)</f>
        <v>1</v>
      </c>
      <c r="B2676" s="13"/>
      <c r="C2676" s="13" t="str">
        <f ca="1">IFERROR(__xludf.DUMMYFUNCTION("""COMPUTED_VALUE"""),"养")</f>
        <v>养</v>
      </c>
      <c r="D2676" s="13" t="str">
        <f ca="1">IFERROR(__xludf.DUMMYFUNCTION("""COMPUTED_VALUE"""),"&lt;ruby&gt;养&lt;rt&gt;yǎng&lt;/rt&gt;&lt;/ruby&gt;")</f>
        <v>&lt;ruby&gt;养&lt;rt&gt;yǎng&lt;/rt&gt;&lt;/ruby&gt;</v>
      </c>
      <c r="E2676" s="13" t="str">
        <f ca="1">IFERROR(__xludf.DUMMYFUNCTION("""COMPUTED_VALUE"""),"yǎng")</f>
        <v>yǎng</v>
      </c>
      <c r="F2676" s="13" t="str">
        <f ca="1">IFERROR(__xludf.DUMMYFUNCTION("""COMPUTED_VALUE"""),"Động từ")</f>
        <v>Động từ</v>
      </c>
      <c r="G2676" s="13" t="str">
        <f ca="1">IFERROR(__xludf.DUMMYFUNCTION("""COMPUTED_VALUE"""),"nuôi, trồng")</f>
        <v>nuôi, trồng</v>
      </c>
      <c r="H2676" s="13" t="str">
        <f ca="1">IFERROR(__xludf.DUMMYFUNCTION("""COMPUTED_VALUE"""),"他养了一只兔子。")</f>
        <v>他养了一只兔子。</v>
      </c>
      <c r="I2676" s="13"/>
      <c r="J2676" s="13" t="str">
        <f ca="1">IFERROR(__xludf.DUMMYFUNCTION("""COMPUTED_VALUE"""),"Anh ấy nuôi một con thỏ.")</f>
        <v>Anh ấy nuôi một con thỏ.</v>
      </c>
      <c r="K2676" s="13" t="str">
        <f ca="1">IFERROR(__xludf.DUMMYFUNCTION("""COMPUTED_VALUE"""),"H5_B36_BG-01.png")</f>
        <v>H5_B36_BG-01.png</v>
      </c>
      <c r="L2676" s="13" t="str">
        <f ca="1">IFERROR(__xludf.DUMMYFUNCTION("""COMPUTED_VALUE"""),"B36_1.mp3")</f>
        <v>B36_1.mp3</v>
      </c>
      <c r="M2676" s="13" t="str">
        <f ca="1">IFERROR(__xludf.DUMMYFUNCTION("""COMPUTED_VALUE"""),"B36_VD_1.mp3")</f>
        <v>B36_VD_1.mp3</v>
      </c>
    </row>
    <row r="2677" spans="1:13">
      <c r="A2677" s="13">
        <f ca="1">IFERROR(__xludf.DUMMYFUNCTION("""COMPUTED_VALUE"""),2)</f>
        <v>2</v>
      </c>
      <c r="B2677" s="13"/>
      <c r="C2677" s="13" t="str">
        <f ca="1">IFERROR(__xludf.DUMMYFUNCTION("""COMPUTED_VALUE"""),"朵")</f>
        <v>朵</v>
      </c>
      <c r="D2677" s="13" t="str">
        <f ca="1">IFERROR(__xludf.DUMMYFUNCTION("""COMPUTED_VALUE"""),"&lt;ruby&gt;朵&lt;rt&gt;duǒ&lt;/rt&gt;&lt;/ruby&gt;")</f>
        <v>&lt;ruby&gt;朵&lt;rt&gt;duǒ&lt;/rt&gt;&lt;/ruby&gt;</v>
      </c>
      <c r="E2677" s="13" t="str">
        <f ca="1">IFERROR(__xludf.DUMMYFUNCTION("""COMPUTED_VALUE"""),"duǒ")</f>
        <v>duǒ</v>
      </c>
      <c r="F2677" s="13" t="str">
        <f ca="1">IFERROR(__xludf.DUMMYFUNCTION("""COMPUTED_VALUE"""),"Lượng từ")</f>
        <v>Lượng từ</v>
      </c>
      <c r="G2677" s="13" t="str">
        <f ca="1">IFERROR(__xludf.DUMMYFUNCTION("""COMPUTED_VALUE"""),"đóa, đám")</f>
        <v>đóa, đám</v>
      </c>
      <c r="H2677" s="13" t="str">
        <f ca="1">IFERROR(__xludf.DUMMYFUNCTION("""COMPUTED_VALUE"""),"这朵花真漂亮。")</f>
        <v>这朵花真漂亮。</v>
      </c>
      <c r="I2677" s="13"/>
      <c r="J2677" s="13" t="str">
        <f ca="1">IFERROR(__xludf.DUMMYFUNCTION("""COMPUTED_VALUE"""),"Bông hoa này thật đẹp.")</f>
        <v>Bông hoa này thật đẹp.</v>
      </c>
      <c r="K2677" s="13" t="str">
        <f ca="1">IFERROR(__xludf.DUMMYFUNCTION("""COMPUTED_VALUE"""),"H5_B36_BG-02.png")</f>
        <v>H5_B36_BG-02.png</v>
      </c>
      <c r="L2677" s="13" t="str">
        <f ca="1">IFERROR(__xludf.DUMMYFUNCTION("""COMPUTED_VALUE"""),"B36_2.mp3")</f>
        <v>B36_2.mp3</v>
      </c>
      <c r="M2677" s="13" t="str">
        <f ca="1">IFERROR(__xludf.DUMMYFUNCTION("""COMPUTED_VALUE"""),"B36_VD_2.mp3")</f>
        <v>B36_VD_2.mp3</v>
      </c>
    </row>
    <row r="2678" spans="1:13">
      <c r="A2678" s="13">
        <f ca="1">IFERROR(__xludf.DUMMYFUNCTION("""COMPUTED_VALUE"""),3)</f>
        <v>3</v>
      </c>
      <c r="B2678" s="13"/>
      <c r="C2678" s="13" t="str">
        <f ca="1">IFERROR(__xludf.DUMMYFUNCTION("""COMPUTED_VALUE"""),"剪刀")</f>
        <v>剪刀</v>
      </c>
      <c r="D2678" s="13" t="str">
        <f ca="1">IFERROR(__xludf.DUMMYFUNCTION("""COMPUTED_VALUE"""),"&lt;ruby&gt;剪刀&lt;rt&gt;jiǎndāo&lt;/rt&gt;&lt;/ruby&gt;")</f>
        <v>&lt;ruby&gt;剪刀&lt;rt&gt;jiǎndāo&lt;/rt&gt;&lt;/ruby&gt;</v>
      </c>
      <c r="E2678" s="13" t="str">
        <f ca="1">IFERROR(__xludf.DUMMYFUNCTION("""COMPUTED_VALUE"""),"jiǎndāo")</f>
        <v>jiǎndāo</v>
      </c>
      <c r="F2678" s="13" t="str">
        <f ca="1">IFERROR(__xludf.DUMMYFUNCTION("""COMPUTED_VALUE"""),"Danh từ")</f>
        <v>Danh từ</v>
      </c>
      <c r="G2678" s="13" t="str">
        <f ca="1">IFERROR(__xludf.DUMMYFUNCTION("""COMPUTED_VALUE"""),"cái kéo")</f>
        <v>cái kéo</v>
      </c>
      <c r="H2678" s="13" t="str">
        <f ca="1">IFERROR(__xludf.DUMMYFUNCTION("""COMPUTED_VALUE"""),"这把剪刀很锋利。")</f>
        <v>这把剪刀很锋利。</v>
      </c>
      <c r="I2678" s="13"/>
      <c r="J2678" s="13" t="str">
        <f ca="1">IFERROR(__xludf.DUMMYFUNCTION("""COMPUTED_VALUE"""),"Cái kéo này rất sắc.")</f>
        <v>Cái kéo này rất sắc.</v>
      </c>
      <c r="K2678" s="13" t="str">
        <f ca="1">IFERROR(__xludf.DUMMYFUNCTION("""COMPUTED_VALUE"""),"H5_B36_BG-03.png")</f>
        <v>H5_B36_BG-03.png</v>
      </c>
      <c r="L2678" s="13" t="str">
        <f ca="1">IFERROR(__xludf.DUMMYFUNCTION("""COMPUTED_VALUE"""),"B36_3.mp3")</f>
        <v>B36_3.mp3</v>
      </c>
      <c r="M2678" s="13" t="str">
        <f ca="1">IFERROR(__xludf.DUMMYFUNCTION("""COMPUTED_VALUE"""),"B36_VD_3.mp3")</f>
        <v>B36_VD_3.mp3</v>
      </c>
    </row>
    <row r="2679" spans="1:13">
      <c r="A2679" s="13">
        <f ca="1">IFERROR(__xludf.DUMMYFUNCTION("""COMPUTED_VALUE"""),4)</f>
        <v>4</v>
      </c>
      <c r="B2679" s="13"/>
      <c r="C2679" s="13" t="str">
        <f ca="1">IFERROR(__xludf.DUMMYFUNCTION("""COMPUTED_VALUE"""),"捡")</f>
        <v>捡</v>
      </c>
      <c r="D2679" s="13" t="str">
        <f ca="1">IFERROR(__xludf.DUMMYFUNCTION("""COMPUTED_VALUE"""),"&lt;ruby&gt;捡&lt;rt&gt;jiǎn&lt;/rt&gt;&lt;/ruby&gt;")</f>
        <v>&lt;ruby&gt;捡&lt;rt&gt;jiǎn&lt;/rt&gt;&lt;/ruby&gt;</v>
      </c>
      <c r="E2679" s="13" t="str">
        <f ca="1">IFERROR(__xludf.DUMMYFUNCTION("""COMPUTED_VALUE"""),"jiǎn")</f>
        <v>jiǎn</v>
      </c>
      <c r="F2679" s="13" t="str">
        <f ca="1">IFERROR(__xludf.DUMMYFUNCTION("""COMPUTED_VALUE"""),"Động từ")</f>
        <v>Động từ</v>
      </c>
      <c r="G2679" s="13" t="str">
        <f ca="1">IFERROR(__xludf.DUMMYFUNCTION("""COMPUTED_VALUE"""),"nhặt, lượm")</f>
        <v>nhặt, lượm</v>
      </c>
      <c r="H2679" s="13" t="str">
        <f ca="1">IFERROR(__xludf.DUMMYFUNCTION("""COMPUTED_VALUE"""),"猴子们跳下来捡地上的水果。")</f>
        <v>猴子们跳下来捡地上的水果。</v>
      </c>
      <c r="I2679" s="13"/>
      <c r="J2679" s="13" t="str">
        <f ca="1">IFERROR(__xludf.DUMMYFUNCTION("""COMPUTED_VALUE"""),"Những chú khỉ nhảy xuống nhặt đống quả dưới đất.")</f>
        <v>Những chú khỉ nhảy xuống nhặt đống quả dưới đất.</v>
      </c>
      <c r="K2679" s="13" t="str">
        <f ca="1">IFERROR(__xludf.DUMMYFUNCTION("""COMPUTED_VALUE"""),"H5_B36_BG-04.png")</f>
        <v>H5_B36_BG-04.png</v>
      </c>
      <c r="L2679" s="13" t="str">
        <f ca="1">IFERROR(__xludf.DUMMYFUNCTION("""COMPUTED_VALUE"""),"B36_4.mp3")</f>
        <v>B36_4.mp3</v>
      </c>
      <c r="M2679" s="13" t="str">
        <f ca="1">IFERROR(__xludf.DUMMYFUNCTION("""COMPUTED_VALUE"""),"B36_VD_4.mp3")</f>
        <v>B36_VD_4.mp3</v>
      </c>
    </row>
    <row r="2680" spans="1:13">
      <c r="A2680" s="13">
        <f ca="1">IFERROR(__xludf.DUMMYFUNCTION("""COMPUTED_VALUE"""),5)</f>
        <v>5</v>
      </c>
      <c r="B2680" s="13"/>
      <c r="C2680" s="13" t="str">
        <f ca="1">IFERROR(__xludf.DUMMYFUNCTION("""COMPUTED_VALUE"""),"暴雨")</f>
        <v>暴雨</v>
      </c>
      <c r="D2680" s="13" t="str">
        <f ca="1">IFERROR(__xludf.DUMMYFUNCTION("""COMPUTED_VALUE"""),"&lt;ruby&gt;暴雨&lt;rt&gt;bàoyǔ&lt;/rt&gt;&lt;/ruby&gt;")</f>
        <v>&lt;ruby&gt;暴雨&lt;rt&gt;bàoyǔ&lt;/rt&gt;&lt;/ruby&gt;</v>
      </c>
      <c r="E2680" s="13" t="str">
        <f ca="1">IFERROR(__xludf.DUMMYFUNCTION("""COMPUTED_VALUE"""),"bàoyǔ")</f>
        <v>bàoyǔ</v>
      </c>
      <c r="F2680" s="13" t="str">
        <f ca="1">IFERROR(__xludf.DUMMYFUNCTION("""COMPUTED_VALUE"""),"Danh từ")</f>
        <v>Danh từ</v>
      </c>
      <c r="G2680" s="13" t="str">
        <f ca="1">IFERROR(__xludf.DUMMYFUNCTION("""COMPUTED_VALUE"""),"mưa xối xả")</f>
        <v>mưa xối xả</v>
      </c>
      <c r="H2680" s="13" t="str">
        <f ca="1">IFERROR(__xludf.DUMMYFUNCTION("""COMPUTED_VALUE"""),"昨天晚上又下一场暴雨。")</f>
        <v>昨天晚上又下一场暴雨。</v>
      </c>
      <c r="I2680" s="13"/>
      <c r="J2680" s="13" t="str">
        <f ca="1">IFERROR(__xludf.DUMMYFUNCTION("""COMPUTED_VALUE"""),"Tối hôm qua lại có một trận mưa to.")</f>
        <v>Tối hôm qua lại có một trận mưa to.</v>
      </c>
      <c r="K2680" s="13" t="str">
        <f ca="1">IFERROR(__xludf.DUMMYFUNCTION("""COMPUTED_VALUE"""),"H5_B36_BG-05.png")</f>
        <v>H5_B36_BG-05.png</v>
      </c>
      <c r="L2680" s="13" t="str">
        <f ca="1">IFERROR(__xludf.DUMMYFUNCTION("""COMPUTED_VALUE"""),"B36_5.mp3")</f>
        <v>B36_5.mp3</v>
      </c>
      <c r="M2680" s="13" t="str">
        <f ca="1">IFERROR(__xludf.DUMMYFUNCTION("""COMPUTED_VALUE"""),"B36_VD_5.mp3")</f>
        <v>B36_VD_5.mp3</v>
      </c>
    </row>
    <row r="2681" spans="1:13">
      <c r="A2681" s="13">
        <f ca="1">IFERROR(__xludf.DUMMYFUNCTION("""COMPUTED_VALUE"""),6)</f>
        <v>6</v>
      </c>
      <c r="B2681" s="13"/>
      <c r="C2681" s="13" t="str">
        <f ca="1">IFERROR(__xludf.DUMMYFUNCTION("""COMPUTED_VALUE"""),"潮湿")</f>
        <v>潮湿</v>
      </c>
      <c r="D2681" s="13" t="str">
        <f ca="1">IFERROR(__xludf.DUMMYFUNCTION("""COMPUTED_VALUE"""),"&lt;ruby&gt;潮湿&lt;rt&gt;cháoshī&lt;/rt&gt;&lt;/ruby&gt;")</f>
        <v>&lt;ruby&gt;潮湿&lt;rt&gt;cháoshī&lt;/rt&gt;&lt;/ruby&gt;</v>
      </c>
      <c r="E2681" s="13" t="str">
        <f ca="1">IFERROR(__xludf.DUMMYFUNCTION("""COMPUTED_VALUE"""),"cháoshī")</f>
        <v>cháoshī</v>
      </c>
      <c r="F2681" s="13" t="str">
        <f ca="1">IFERROR(__xludf.DUMMYFUNCTION("""COMPUTED_VALUE"""),"Tính từ")</f>
        <v>Tính từ</v>
      </c>
      <c r="G2681" s="13" t="str">
        <f ca="1">IFERROR(__xludf.DUMMYFUNCTION("""COMPUTED_VALUE"""),"ẩm ướt, ẩm thấp, ướt")</f>
        <v>ẩm ướt, ẩm thấp, ướt</v>
      </c>
      <c r="H2681" s="13" t="str">
        <f ca="1">IFERROR(__xludf.DUMMYFUNCTION("""COMPUTED_VALUE"""),"靴子被雨水弄潮湿了。")</f>
        <v>靴子被雨水弄潮湿了。</v>
      </c>
      <c r="I2681" s="13"/>
      <c r="J2681" s="13" t="str">
        <f ca="1">IFERROR(__xludf.DUMMYFUNCTION("""COMPUTED_VALUE"""),"Đôi ủng dính nước mưa nên bị ẩm rồi.")</f>
        <v>Đôi ủng dính nước mưa nên bị ẩm rồi.</v>
      </c>
      <c r="K2681" s="13" t="str">
        <f ca="1">IFERROR(__xludf.DUMMYFUNCTION("""COMPUTED_VALUE"""),"H5_B36_BG-06.png")</f>
        <v>H5_B36_BG-06.png</v>
      </c>
      <c r="L2681" s="13" t="str">
        <f ca="1">IFERROR(__xludf.DUMMYFUNCTION("""COMPUTED_VALUE"""),"B36_6.mp3")</f>
        <v>B36_6.mp3</v>
      </c>
      <c r="M2681" s="13" t="str">
        <f ca="1">IFERROR(__xludf.DUMMYFUNCTION("""COMPUTED_VALUE"""),"B36_VD_6.mp3")</f>
        <v>B36_VD_6.mp3</v>
      </c>
    </row>
    <row r="2682" spans="1:13">
      <c r="A2682" s="13">
        <f ca="1">IFERROR(__xludf.DUMMYFUNCTION("""COMPUTED_VALUE"""),7)</f>
        <v>7</v>
      </c>
      <c r="B2682" s="13"/>
      <c r="C2682" s="13" t="str">
        <f ca="1">IFERROR(__xludf.DUMMYFUNCTION("""COMPUTED_VALUE"""),"施肥")</f>
        <v>施肥</v>
      </c>
      <c r="D2682" s="13" t="str">
        <f ca="1">IFERROR(__xludf.DUMMYFUNCTION("""COMPUTED_VALUE"""),"&lt;ruby&gt;施肥&lt;rt&gt;shī féi&lt;/rt&gt;&lt;/ruby&gt;")</f>
        <v>&lt;ruby&gt;施肥&lt;rt&gt;shī féi&lt;/rt&gt;&lt;/ruby&gt;</v>
      </c>
      <c r="E2682" s="13" t="str">
        <f ca="1">IFERROR(__xludf.DUMMYFUNCTION("""COMPUTED_VALUE"""),"shī féi")</f>
        <v>shī féi</v>
      </c>
      <c r="F2682" s="13" t="str">
        <f ca="1">IFERROR(__xludf.DUMMYFUNCTION("""COMPUTED_VALUE"""),"Động từ")</f>
        <v>Động từ</v>
      </c>
      <c r="G2682" s="13" t="str">
        <f ca="1">IFERROR(__xludf.DUMMYFUNCTION("""COMPUTED_VALUE"""),"bón phân")</f>
        <v>bón phân</v>
      </c>
      <c r="H2682" s="13" t="str">
        <f ca="1">IFERROR(__xludf.DUMMYFUNCTION("""COMPUTED_VALUE"""),"她正在给植物施肥。")</f>
        <v>她正在给植物施肥。</v>
      </c>
      <c r="I2682" s="13"/>
      <c r="J2682" s="13" t="str">
        <f ca="1">IFERROR(__xludf.DUMMYFUNCTION("""COMPUTED_VALUE"""),"Cô ấy đang bón phân cho cây trồng.")</f>
        <v>Cô ấy đang bón phân cho cây trồng.</v>
      </c>
      <c r="K2682" s="13" t="str">
        <f ca="1">IFERROR(__xludf.DUMMYFUNCTION("""COMPUTED_VALUE"""),"H5_B36_BG-07.png")</f>
        <v>H5_B36_BG-07.png</v>
      </c>
      <c r="L2682" s="13" t="str">
        <f ca="1">IFERROR(__xludf.DUMMYFUNCTION("""COMPUTED_VALUE"""),"B36_7.mp3")</f>
        <v>B36_7.mp3</v>
      </c>
      <c r="M2682" s="13" t="str">
        <f ca="1">IFERROR(__xludf.DUMMYFUNCTION("""COMPUTED_VALUE"""),"B36_VD_7.mp3")</f>
        <v>B36_VD_7.mp3</v>
      </c>
    </row>
    <row r="2683" spans="1:13">
      <c r="A2683" s="13">
        <f ca="1">IFERROR(__xludf.DUMMYFUNCTION("""COMPUTED_VALUE"""),8)</f>
        <v>8</v>
      </c>
      <c r="B2683" s="13"/>
      <c r="C2683" s="13" t="str">
        <f ca="1">IFERROR(__xludf.DUMMYFUNCTION("""COMPUTED_VALUE"""),"浇")</f>
        <v>浇</v>
      </c>
      <c r="D2683" s="13" t="str">
        <f ca="1">IFERROR(__xludf.DUMMYFUNCTION("""COMPUTED_VALUE"""),"&lt;ruby&gt;浇&lt;rt&gt;jiāo&lt;/rt&gt;&lt;/ruby&gt;")</f>
        <v>&lt;ruby&gt;浇&lt;rt&gt;jiāo&lt;/rt&gt;&lt;/ruby&gt;</v>
      </c>
      <c r="E2683" s="13" t="str">
        <f ca="1">IFERROR(__xludf.DUMMYFUNCTION("""COMPUTED_VALUE"""),"jiāo")</f>
        <v>jiāo</v>
      </c>
      <c r="F2683" s="13" t="str">
        <f ca="1">IFERROR(__xludf.DUMMYFUNCTION("""COMPUTED_VALUE"""),"Động từ")</f>
        <v>Động từ</v>
      </c>
      <c r="G2683" s="13" t="str">
        <f ca="1">IFERROR(__xludf.DUMMYFUNCTION("""COMPUTED_VALUE"""),"tưới, dội, đổ")</f>
        <v>tưới, dội, đổ</v>
      </c>
      <c r="H2683" s="13" t="str">
        <f ca="1">IFERROR(__xludf.DUMMYFUNCTION("""COMPUTED_VALUE"""),"他每天都去浇花。")</f>
        <v>他每天都去浇花。</v>
      </c>
      <c r="I2683" s="13"/>
      <c r="J2683" s="13" t="str">
        <f ca="1">IFERROR(__xludf.DUMMYFUNCTION("""COMPUTED_VALUE"""),"Anh ấy mỗi ngày đều đi tưới cây.")</f>
        <v>Anh ấy mỗi ngày đều đi tưới cây.</v>
      </c>
      <c r="K2683" s="13" t="str">
        <f ca="1">IFERROR(__xludf.DUMMYFUNCTION("""COMPUTED_VALUE"""),"H5_B36_BG-08.png")</f>
        <v>H5_B36_BG-08.png</v>
      </c>
      <c r="L2683" s="13" t="str">
        <f ca="1">IFERROR(__xludf.DUMMYFUNCTION("""COMPUTED_VALUE"""),"B36_8.mp3")</f>
        <v>B36_8.mp3</v>
      </c>
      <c r="M2683" s="13" t="str">
        <f ca="1">IFERROR(__xludf.DUMMYFUNCTION("""COMPUTED_VALUE"""),"B36_VD_8.mp3")</f>
        <v>B36_VD_8.mp3</v>
      </c>
    </row>
    <row r="2684" spans="1:13">
      <c r="A2684" s="13">
        <f ca="1">IFERROR(__xludf.DUMMYFUNCTION("""COMPUTED_VALUE"""),9)</f>
        <v>9</v>
      </c>
      <c r="B2684" s="13"/>
      <c r="C2684" s="13" t="str">
        <f ca="1">IFERROR(__xludf.DUMMYFUNCTION("""COMPUTED_VALUE"""),"鲜艳")</f>
        <v>鲜艳</v>
      </c>
      <c r="D2684" s="13" t="str">
        <f ca="1">IFERROR(__xludf.DUMMYFUNCTION("""COMPUTED_VALUE"""),"&lt;ruby&gt;鲜艳&lt;rt&gt;xiānyàn&lt;/rt&gt;&lt;/ruby&gt;")</f>
        <v>&lt;ruby&gt;鲜艳&lt;rt&gt;xiānyàn&lt;/rt&gt;&lt;/ruby&gt;</v>
      </c>
      <c r="E2684" s="13" t="str">
        <f ca="1">IFERROR(__xludf.DUMMYFUNCTION("""COMPUTED_VALUE"""),"xiānyàn")</f>
        <v>xiānyàn</v>
      </c>
      <c r="F2684" s="13" t="str">
        <f ca="1">IFERROR(__xludf.DUMMYFUNCTION("""COMPUTED_VALUE"""),"Tính từ")</f>
        <v>Tính từ</v>
      </c>
      <c r="G2684" s="13" t="str">
        <f ca="1">IFERROR(__xludf.DUMMYFUNCTION("""COMPUTED_VALUE"""),"tươi đẹp")</f>
        <v>tươi đẹp</v>
      </c>
      <c r="H2684" s="13" t="str">
        <f ca="1">IFERROR(__xludf.DUMMYFUNCTION("""COMPUTED_VALUE"""),"这些花盆很鲜艳。")</f>
        <v>这些花盆很鲜艳。</v>
      </c>
      <c r="I2684" s="13"/>
      <c r="J2684" s="13" t="str">
        <f ca="1">IFERROR(__xludf.DUMMYFUNCTION("""COMPUTED_VALUE"""),"những chậu hoa này thật đẹp")</f>
        <v>những chậu hoa này thật đẹp</v>
      </c>
      <c r="K2684" s="13" t="str">
        <f ca="1">IFERROR(__xludf.DUMMYFUNCTION("""COMPUTED_VALUE"""),"H5_B36_BG-09.png")</f>
        <v>H5_B36_BG-09.png</v>
      </c>
      <c r="L2684" s="13" t="str">
        <f ca="1">IFERROR(__xludf.DUMMYFUNCTION("""COMPUTED_VALUE"""),"B36_9.mp3")</f>
        <v>B36_9.mp3</v>
      </c>
      <c r="M2684" s="13" t="str">
        <f ca="1">IFERROR(__xludf.DUMMYFUNCTION("""COMPUTED_VALUE"""),"B36_VD_9.mp3")</f>
        <v>B36_VD_9.mp3</v>
      </c>
    </row>
    <row r="2685" spans="1:13">
      <c r="A2685" s="13">
        <f ca="1">IFERROR(__xludf.DUMMYFUNCTION("""COMPUTED_VALUE"""),10)</f>
        <v>10</v>
      </c>
      <c r="B2685" s="13"/>
      <c r="C2685" s="13" t="str">
        <f ca="1">IFERROR(__xludf.DUMMYFUNCTION("""COMPUTED_VALUE"""),"昙花")</f>
        <v>昙花</v>
      </c>
      <c r="D2685" s="13" t="str">
        <f ca="1">IFERROR(__xludf.DUMMYFUNCTION("""COMPUTED_VALUE"""),"&lt;ruby&gt;昙花&lt;rt&gt;tánhuā&lt;/rt&gt;&lt;/ruby&gt;")</f>
        <v>&lt;ruby&gt;昙花&lt;rt&gt;tánhuā&lt;/rt&gt;&lt;/ruby&gt;</v>
      </c>
      <c r="E2685" s="13" t="str">
        <f ca="1">IFERROR(__xludf.DUMMYFUNCTION("""COMPUTED_VALUE"""),"tánhuā")</f>
        <v>tánhuā</v>
      </c>
      <c r="F2685" s="13" t="str">
        <f ca="1">IFERROR(__xludf.DUMMYFUNCTION("""COMPUTED_VALUE"""),"Danh từ")</f>
        <v>Danh từ</v>
      </c>
      <c r="G2685" s="13" t="str">
        <f ca="1">IFERROR(__xludf.DUMMYFUNCTION("""COMPUTED_VALUE"""),"hoa quỳnh")</f>
        <v>hoa quỳnh</v>
      </c>
      <c r="H2685" s="13" t="str">
        <f ca="1">IFERROR(__xludf.DUMMYFUNCTION("""COMPUTED_VALUE"""),"这些昙花真漂亮。")</f>
        <v>这些昙花真漂亮。</v>
      </c>
      <c r="I2685" s="13"/>
      <c r="J2685" s="13" t="str">
        <f ca="1">IFERROR(__xludf.DUMMYFUNCTION("""COMPUTED_VALUE"""),"Những đóa hoa quỳnh này thật đẹp.")</f>
        <v>Những đóa hoa quỳnh này thật đẹp.</v>
      </c>
      <c r="K2685" s="13" t="str">
        <f ca="1">IFERROR(__xludf.DUMMYFUNCTION("""COMPUTED_VALUE"""),"H5_B36_BG-10.png")</f>
        <v>H5_B36_BG-10.png</v>
      </c>
      <c r="L2685" s="13" t="str">
        <f ca="1">IFERROR(__xludf.DUMMYFUNCTION("""COMPUTED_VALUE"""),"B36_10.mp3")</f>
        <v>B36_10.mp3</v>
      </c>
      <c r="M2685" s="13" t="str">
        <f ca="1">IFERROR(__xludf.DUMMYFUNCTION("""COMPUTED_VALUE"""),"B36_VD_10.mp3")</f>
        <v>B36_VD_10.mp3</v>
      </c>
    </row>
    <row r="2686" spans="1:13">
      <c r="A2686" s="13">
        <f ca="1">IFERROR(__xludf.DUMMYFUNCTION("""COMPUTED_VALUE"""),11)</f>
        <v>11</v>
      </c>
      <c r="B2686" s="13"/>
      <c r="C2686" s="13" t="str">
        <f ca="1">IFERROR(__xludf.DUMMYFUNCTION("""COMPUTED_VALUE"""),"菊花")</f>
        <v>菊花</v>
      </c>
      <c r="D2686" s="13" t="str">
        <f ca="1">IFERROR(__xludf.DUMMYFUNCTION("""COMPUTED_VALUE"""),"&lt;ruby&gt;菊花&lt;rt&gt;júhuā&lt;/rt&gt;&lt;/ruby&gt;")</f>
        <v>&lt;ruby&gt;菊花&lt;rt&gt;júhuā&lt;/rt&gt;&lt;/ruby&gt;</v>
      </c>
      <c r="E2686" s="13" t="str">
        <f ca="1">IFERROR(__xludf.DUMMYFUNCTION("""COMPUTED_VALUE"""),"júhuā")</f>
        <v>júhuā</v>
      </c>
      <c r="F2686" s="13" t="str">
        <f ca="1">IFERROR(__xludf.DUMMYFUNCTION("""COMPUTED_VALUE"""),"Danh từ")</f>
        <v>Danh từ</v>
      </c>
      <c r="G2686" s="13" t="str">
        <f ca="1">IFERROR(__xludf.DUMMYFUNCTION("""COMPUTED_VALUE"""),"cây hoa cúc, hoa cúc")</f>
        <v>cây hoa cúc, hoa cúc</v>
      </c>
      <c r="H2686" s="13" t="str">
        <f ca="1">IFERROR(__xludf.DUMMYFUNCTION("""COMPUTED_VALUE"""),"她喜欢菊花的香味。")</f>
        <v>她喜欢菊花的香味。</v>
      </c>
      <c r="I2686" s="13"/>
      <c r="J2686" s="13" t="str">
        <f ca="1">IFERROR(__xludf.DUMMYFUNCTION("""COMPUTED_VALUE"""),"Cô ấy thích hương thơm của hoa cúc.")</f>
        <v>Cô ấy thích hương thơm của hoa cúc.</v>
      </c>
      <c r="K2686" s="13" t="str">
        <f ca="1">IFERROR(__xludf.DUMMYFUNCTION("""COMPUTED_VALUE"""),"H5_B36_BG-11.png")</f>
        <v>H5_B36_BG-11.png</v>
      </c>
      <c r="L2686" s="13" t="str">
        <f ca="1">IFERROR(__xludf.DUMMYFUNCTION("""COMPUTED_VALUE"""),"B36_11.mp3")</f>
        <v>B36_11.mp3</v>
      </c>
      <c r="M2686" s="13" t="str">
        <f ca="1">IFERROR(__xludf.DUMMYFUNCTION("""COMPUTED_VALUE"""),"B36_VD_11.mp3")</f>
        <v>B36_VD_11.mp3</v>
      </c>
    </row>
    <row r="2687" spans="1:13">
      <c r="A2687" s="13">
        <f ca="1">IFERROR(__xludf.DUMMYFUNCTION("""COMPUTED_VALUE"""),12)</f>
        <v>12</v>
      </c>
      <c r="B2687" s="13"/>
      <c r="C2687" s="13" t="str">
        <f ca="1">IFERROR(__xludf.DUMMYFUNCTION("""COMPUTED_VALUE"""),"砸")</f>
        <v>砸</v>
      </c>
      <c r="D2687" s="13" t="str">
        <f ca="1">IFERROR(__xludf.DUMMYFUNCTION("""COMPUTED_VALUE"""),"&lt;ruby&gt;砸&lt;rt&gt;zá&lt;/rt&gt;&lt;/ruby&gt;")</f>
        <v>&lt;ruby&gt;砸&lt;rt&gt;zá&lt;/rt&gt;&lt;/ruby&gt;</v>
      </c>
      <c r="E2687" s="13" t="str">
        <f ca="1">IFERROR(__xludf.DUMMYFUNCTION("""COMPUTED_VALUE"""),"zá")</f>
        <v>zá</v>
      </c>
      <c r="F2687" s="13" t="str">
        <f ca="1">IFERROR(__xludf.DUMMYFUNCTION("""COMPUTED_VALUE"""),"Động từ")</f>
        <v>Động từ</v>
      </c>
      <c r="G2687" s="13" t="str">
        <f ca="1">IFERROR(__xludf.DUMMYFUNCTION("""COMPUTED_VALUE"""),"đè nát, đè bẹp, đập")</f>
        <v>đè nát, đè bẹp, đập</v>
      </c>
      <c r="H2687" s="13" t="str">
        <f ca="1">IFERROR(__xludf.DUMMYFUNCTION("""COMPUTED_VALUE"""),"他砸碎了那个水桶。")</f>
        <v>他砸碎了那个水桶。</v>
      </c>
      <c r="I2687" s="13"/>
      <c r="J2687" s="13" t="str">
        <f ca="1">IFERROR(__xludf.DUMMYFUNCTION("""COMPUTED_VALUE"""),"Anh ấy đập vỡ thùng nước đó.")</f>
        <v>Anh ấy đập vỡ thùng nước đó.</v>
      </c>
      <c r="K2687" s="13" t="str">
        <f ca="1">IFERROR(__xludf.DUMMYFUNCTION("""COMPUTED_VALUE"""),"H5_B36_BG-12.png")</f>
        <v>H5_B36_BG-12.png</v>
      </c>
      <c r="L2687" s="13" t="str">
        <f ca="1">IFERROR(__xludf.DUMMYFUNCTION("""COMPUTED_VALUE"""),"B36_12.mp3")</f>
        <v>B36_12.mp3</v>
      </c>
      <c r="M2687" s="13" t="str">
        <f ca="1">IFERROR(__xludf.DUMMYFUNCTION("""COMPUTED_VALUE"""),"B36_VD_12.mp3")</f>
        <v>B36_VD_12.mp3</v>
      </c>
    </row>
    <row r="2688" spans="1:13">
      <c r="A2688" s="13">
        <f ca="1">IFERROR(__xludf.DUMMYFUNCTION("""COMPUTED_VALUE"""),13)</f>
        <v>13</v>
      </c>
      <c r="B2688" s="13"/>
      <c r="C2688" s="13" t="str">
        <f ca="1">IFERROR(__xludf.DUMMYFUNCTION("""COMPUTED_VALUE"""),"熟练")</f>
        <v>熟练</v>
      </c>
      <c r="D2688" s="13" t="str">
        <f ca="1">IFERROR(__xludf.DUMMYFUNCTION("""COMPUTED_VALUE"""),"&lt;ruby&gt;熟练&lt;rt&gt;shúliàn&lt;/rt&gt;&lt;/ruby&gt;")</f>
        <v>&lt;ruby&gt;熟练&lt;rt&gt;shúliàn&lt;/rt&gt;&lt;/ruby&gt;</v>
      </c>
      <c r="E2688" s="13" t="str">
        <f ca="1">IFERROR(__xludf.DUMMYFUNCTION("""COMPUTED_VALUE"""),"shúliàn")</f>
        <v>shúliàn</v>
      </c>
      <c r="F2688" s="13" t="str">
        <f ca="1">IFERROR(__xludf.DUMMYFUNCTION("""COMPUTED_VALUE"""),"Tính từ")</f>
        <v>Tính từ</v>
      </c>
      <c r="G2688" s="13" t="str">
        <f ca="1">IFERROR(__xludf.DUMMYFUNCTION("""COMPUTED_VALUE"""),"thuần thục, thông thạo")</f>
        <v>thuần thục, thông thạo</v>
      </c>
      <c r="H2688" s="13" t="str">
        <f ca="1">IFERROR(__xludf.DUMMYFUNCTION("""COMPUTED_VALUE"""),"他熟练地说多种语言。")</f>
        <v>他熟练地说多种语言。</v>
      </c>
      <c r="I2688" s="13"/>
      <c r="J2688" s="13" t="str">
        <f ca="1">IFERROR(__xludf.DUMMYFUNCTION("""COMPUTED_VALUE"""),"Anh ấy nói thành thạo nhiều thứ tiếng.")</f>
        <v>Anh ấy nói thành thạo nhiều thứ tiếng.</v>
      </c>
      <c r="K2688" s="13" t="str">
        <f ca="1">IFERROR(__xludf.DUMMYFUNCTION("""COMPUTED_VALUE"""),"H5_B36_BG-13.png")</f>
        <v>H5_B36_BG-13.png</v>
      </c>
      <c r="L2688" s="13" t="str">
        <f ca="1">IFERROR(__xludf.DUMMYFUNCTION("""COMPUTED_VALUE"""),"B36_13.mp3")</f>
        <v>B36_13.mp3</v>
      </c>
      <c r="M2688" s="13" t="str">
        <f ca="1">IFERROR(__xludf.DUMMYFUNCTION("""COMPUTED_VALUE"""),"B36_VD_13.mp3")</f>
        <v>B36_VD_13.mp3</v>
      </c>
    </row>
    <row r="2689" spans="1:13">
      <c r="A2689" s="13">
        <f ca="1">IFERROR(__xludf.DUMMYFUNCTION("""COMPUTED_VALUE"""),14)</f>
        <v>14</v>
      </c>
      <c r="B2689" s="13"/>
      <c r="C2689" s="13" t="str">
        <f ca="1">IFERROR(__xludf.DUMMYFUNCTION("""COMPUTED_VALUE"""),"除非")</f>
        <v>除非</v>
      </c>
      <c r="D2689" s="13" t="str">
        <f ca="1">IFERROR(__xludf.DUMMYFUNCTION("""COMPUTED_VALUE"""),"&lt;ruby&gt;除非&lt;rt&gt;chúfēi&lt;/rt&gt;&lt;/ruby&gt;")</f>
        <v>&lt;ruby&gt;除非&lt;rt&gt;chúfēi&lt;/rt&gt;&lt;/ruby&gt;</v>
      </c>
      <c r="E2689" s="13" t="str">
        <f ca="1">IFERROR(__xludf.DUMMYFUNCTION("""COMPUTED_VALUE"""),"chúfēi")</f>
        <v>chúfēi</v>
      </c>
      <c r="F2689" s="13" t="str">
        <f ca="1">IFERROR(__xludf.DUMMYFUNCTION("""COMPUTED_VALUE"""),"Liên từ")</f>
        <v>Liên từ</v>
      </c>
      <c r="G2689" s="13" t="str">
        <f ca="1">IFERROR(__xludf.DUMMYFUNCTION("""COMPUTED_VALUE"""),"trừ phi, chỉ với điều kiện là")</f>
        <v>trừ phi, chỉ với điều kiện là</v>
      </c>
      <c r="H2689" s="13" t="str">
        <f ca="1">IFERROR(__xludf.DUMMYFUNCTION("""COMPUTED_VALUE"""),"她不太喜欢吃沙拉，除非里面有西兰花。")</f>
        <v>她不太喜欢吃沙拉，除非里面有西兰花。</v>
      </c>
      <c r="I2689" s="13"/>
      <c r="J2689" s="13" t="str">
        <f ca="1">IFERROR(__xludf.DUMMYFUNCTION("""COMPUTED_VALUE"""),"Cô ấy không thích ăn salad lắm trừ khi món salad đó có súp lơ.")</f>
        <v>Cô ấy không thích ăn salad lắm trừ khi món salad đó có súp lơ.</v>
      </c>
      <c r="K2689" s="13" t="str">
        <f ca="1">IFERROR(__xludf.DUMMYFUNCTION("""COMPUTED_VALUE"""),"H5_B36_BG-14.png")</f>
        <v>H5_B36_BG-14.png</v>
      </c>
      <c r="L2689" s="13" t="str">
        <f ca="1">IFERROR(__xludf.DUMMYFUNCTION("""COMPUTED_VALUE"""),"B36_14.mp3")</f>
        <v>B36_14.mp3</v>
      </c>
      <c r="M2689" s="13" t="str">
        <f ca="1">IFERROR(__xludf.DUMMYFUNCTION("""COMPUTED_VALUE"""),"B36_VD_14.mp3")</f>
        <v>B36_VD_14.mp3</v>
      </c>
    </row>
    <row r="2690" spans="1:13">
      <c r="A2690" s="13">
        <f ca="1">IFERROR(__xludf.DUMMYFUNCTION("""COMPUTED_VALUE"""),15)</f>
        <v>15</v>
      </c>
      <c r="B2690" s="13"/>
      <c r="C2690" s="13" t="str">
        <f ca="1">IFERROR(__xludf.DUMMYFUNCTION("""COMPUTED_VALUE"""),"装饰")</f>
        <v>装饰</v>
      </c>
      <c r="D2690" s="13" t="str">
        <f ca="1">IFERROR(__xludf.DUMMYFUNCTION("""COMPUTED_VALUE"""),"&lt;ruby&gt;装饰&lt;rt&gt;zhuāngshì&lt;/rt&gt;&lt;/ruby&gt;")</f>
        <v>&lt;ruby&gt;装饰&lt;rt&gt;zhuāngshì&lt;/rt&gt;&lt;/ruby&gt;</v>
      </c>
      <c r="E2690" s="13" t="str">
        <f ca="1">IFERROR(__xludf.DUMMYFUNCTION("""COMPUTED_VALUE"""),"zhuāngshì")</f>
        <v>zhuāngshì</v>
      </c>
      <c r="F2690" s="13" t="str">
        <f ca="1">IFERROR(__xludf.DUMMYFUNCTION("""COMPUTED_VALUE"""),"Danh từ")</f>
        <v>Danh từ</v>
      </c>
      <c r="G2690" s="13" t="str">
        <f ca="1">IFERROR(__xludf.DUMMYFUNCTION("""COMPUTED_VALUE"""),"sự trang hoàng, đồ trang trí")</f>
        <v>sự trang hoàng, đồ trang trí</v>
      </c>
      <c r="H2690" s="13" t="str">
        <f ca="1">IFERROR(__xludf.DUMMYFUNCTION("""COMPUTED_VALUE"""),"圣诞树上装饰了很多饰品。")</f>
        <v>圣诞树上装饰了很多饰品。</v>
      </c>
      <c r="I2690" s="13"/>
      <c r="J2690" s="13" t="str">
        <f ca="1">IFERROR(__xludf.DUMMYFUNCTION("""COMPUTED_VALUE"""),"Cây thông noel gắn rất nhiều đồ trang trí.")</f>
        <v>Cây thông noel gắn rất nhiều đồ trang trí.</v>
      </c>
      <c r="K2690" s="13" t="str">
        <f ca="1">IFERROR(__xludf.DUMMYFUNCTION("""COMPUTED_VALUE"""),"H5_B36_BG-15.png")</f>
        <v>H5_B36_BG-15.png</v>
      </c>
      <c r="L2690" s="13" t="str">
        <f ca="1">IFERROR(__xludf.DUMMYFUNCTION("""COMPUTED_VALUE"""),"B36_15.mp3")</f>
        <v>B36_15.mp3</v>
      </c>
      <c r="M2690" s="13" t="str">
        <f ca="1">IFERROR(__xludf.DUMMYFUNCTION("""COMPUTED_VALUE"""),"B36_VD_15.mp3")</f>
        <v>B36_VD_15.mp3</v>
      </c>
    </row>
    <row r="2691" spans="1:13">
      <c r="A2691" s="13">
        <f ca="1">IFERROR(__xludf.DUMMYFUNCTION("""COMPUTED_VALUE"""),16)</f>
        <v>16</v>
      </c>
      <c r="B2691" s="13"/>
      <c r="C2691" s="13" t="str">
        <f ca="1">IFERROR(__xludf.DUMMYFUNCTION("""COMPUTED_VALUE"""),"结合")</f>
        <v>结合</v>
      </c>
      <c r="D2691" s="13" t="str">
        <f ca="1">IFERROR(__xludf.DUMMYFUNCTION("""COMPUTED_VALUE"""),"&lt;ruby&gt;结合&lt;rt&gt;jiéhé&lt;/rt&gt;&lt;/ruby&gt;")</f>
        <v>&lt;ruby&gt;结合&lt;rt&gt;jiéhé&lt;/rt&gt;&lt;/ruby&gt;</v>
      </c>
      <c r="E2691" s="13" t="str">
        <f ca="1">IFERROR(__xludf.DUMMYFUNCTION("""COMPUTED_VALUE"""),"jiéhé")</f>
        <v>jiéhé</v>
      </c>
      <c r="F2691" s="13" t="str">
        <f ca="1">IFERROR(__xludf.DUMMYFUNCTION("""COMPUTED_VALUE"""),"Động từ")</f>
        <v>Động từ</v>
      </c>
      <c r="G2691" s="13" t="str">
        <f ca="1">IFERROR(__xludf.DUMMYFUNCTION("""COMPUTED_VALUE"""),"kết hợp")</f>
        <v>kết hợp</v>
      </c>
      <c r="H2691" s="13" t="str">
        <f ca="1">IFERROR(__xludf.DUMMYFUNCTION("""COMPUTED_VALUE"""),"他们在文艺表演中结合了弹琴和唱歌。")</f>
        <v>他们在文艺表演中结合了弹琴和唱歌。</v>
      </c>
      <c r="I2691" s="13"/>
      <c r="J2691" s="13" t="str">
        <f ca="1">IFERROR(__xludf.DUMMYFUNCTION("""COMPUTED_VALUE"""),"Hai bạn kết hợp đàn hát trong tiết mục văn nghệ.")</f>
        <v>Hai bạn kết hợp đàn hát trong tiết mục văn nghệ.</v>
      </c>
      <c r="K2691" s="13" t="str">
        <f ca="1">IFERROR(__xludf.DUMMYFUNCTION("""COMPUTED_VALUE"""),"H5_B36_BG-16.png")</f>
        <v>H5_B36_BG-16.png</v>
      </c>
      <c r="L2691" s="13" t="str">
        <f ca="1">IFERROR(__xludf.DUMMYFUNCTION("""COMPUTED_VALUE"""),"B36_16.mp3")</f>
        <v>B36_16.mp3</v>
      </c>
      <c r="M2691" s="13" t="str">
        <f ca="1">IFERROR(__xludf.DUMMYFUNCTION("""COMPUTED_VALUE"""),"B36_VD_16.mp3")</f>
        <v>B36_VD_16.mp3</v>
      </c>
    </row>
    <row r="2692" spans="1:13">
      <c r="A2692" s="13">
        <f ca="1">IFERROR(__xludf.DUMMYFUNCTION("""COMPUTED_VALUE"""),17)</f>
        <v>17</v>
      </c>
      <c r="B2692" s="13"/>
      <c r="C2692" s="13" t="str">
        <f ca="1">IFERROR(__xludf.DUMMYFUNCTION("""COMPUTED_VALUE"""),"紧急")</f>
        <v>紧急</v>
      </c>
      <c r="D2692" s="13" t="str">
        <f ca="1">IFERROR(__xludf.DUMMYFUNCTION("""COMPUTED_VALUE"""),"&lt;ruby&gt;紧急&lt;rt&gt;jǐnjí&lt;/rt&gt;&lt;/ruby&gt;")</f>
        <v>&lt;ruby&gt;紧急&lt;rt&gt;jǐnjí&lt;/rt&gt;&lt;/ruby&gt;</v>
      </c>
      <c r="E2692" s="13" t="str">
        <f ca="1">IFERROR(__xludf.DUMMYFUNCTION("""COMPUTED_VALUE"""),"jǐnjí")</f>
        <v>jǐnjí</v>
      </c>
      <c r="F2692" s="13" t="str">
        <f ca="1">IFERROR(__xludf.DUMMYFUNCTION("""COMPUTED_VALUE"""),"Tính từ")</f>
        <v>Tính từ</v>
      </c>
      <c r="G2692" s="13" t="str">
        <f ca="1">IFERROR(__xludf.DUMMYFUNCTION("""COMPUTED_VALUE"""),"khẩn cấp, cấp bách")</f>
        <v>khẩn cấp, cấp bách</v>
      </c>
      <c r="H2692" s="13" t="str">
        <f ca="1">IFERROR(__xludf.DUMMYFUNCTION("""COMPUTED_VALUE"""),"火灾是紧急情况。")</f>
        <v>火灾是紧急情况。</v>
      </c>
      <c r="I2692" s="13"/>
      <c r="J2692" s="13" t="str">
        <f ca="1">IFERROR(__xludf.DUMMYFUNCTION("""COMPUTED_VALUE"""),"Cháy nhà là tình huống khẩn cấp.")</f>
        <v>Cháy nhà là tình huống khẩn cấp.</v>
      </c>
      <c r="K2692" s="13" t="str">
        <f ca="1">IFERROR(__xludf.DUMMYFUNCTION("""COMPUTED_VALUE"""),"H5_B36_BG-17.png")</f>
        <v>H5_B36_BG-17.png</v>
      </c>
      <c r="L2692" s="13" t="str">
        <f ca="1">IFERROR(__xludf.DUMMYFUNCTION("""COMPUTED_VALUE"""),"B36_17.mp3")</f>
        <v>B36_17.mp3</v>
      </c>
      <c r="M2692" s="13" t="str">
        <f ca="1">IFERROR(__xludf.DUMMYFUNCTION("""COMPUTED_VALUE"""),"B36_VD_17.mp3")</f>
        <v>B36_VD_17.mp3</v>
      </c>
    </row>
    <row r="2693" spans="1:13">
      <c r="A2693" s="13">
        <f ca="1">IFERROR(__xludf.DUMMYFUNCTION("""COMPUTED_VALUE"""),18)</f>
        <v>18</v>
      </c>
      <c r="B2693" s="13"/>
      <c r="C2693" s="13" t="str">
        <f ca="1">IFERROR(__xludf.DUMMYFUNCTION("""COMPUTED_VALUE"""),"劳驾")</f>
        <v>劳驾</v>
      </c>
      <c r="D2693" s="13" t="str">
        <f ca="1">IFERROR(__xludf.DUMMYFUNCTION("""COMPUTED_VALUE"""),"&lt;ruby&gt;劳驾&lt;rt&gt;láo jià&lt;/rt&gt;&lt;/ruby&gt;")</f>
        <v>&lt;ruby&gt;劳驾&lt;rt&gt;láo jià&lt;/rt&gt;&lt;/ruby&gt;</v>
      </c>
      <c r="E2693" s="13" t="str">
        <f ca="1">IFERROR(__xludf.DUMMYFUNCTION("""COMPUTED_VALUE"""),"láo jià")</f>
        <v>láo jià</v>
      </c>
      <c r="F2693" s="13" t="str">
        <f ca="1">IFERROR(__xludf.DUMMYFUNCTION("""COMPUTED_VALUE"""),"Động từ")</f>
        <v>Động từ</v>
      </c>
      <c r="G2693" s="13" t="str">
        <f ca="1">IFERROR(__xludf.DUMMYFUNCTION("""COMPUTED_VALUE"""),"làm phiền, cảm phiền")</f>
        <v>làm phiền, cảm phiền</v>
      </c>
      <c r="H2693" s="13" t="str">
        <f ca="1">IFERROR(__xludf.DUMMYFUNCTION("""COMPUTED_VALUE"""),"劳驾，把那本书递给我。")</f>
        <v>劳驾，把那本书递给我。</v>
      </c>
      <c r="I2693" s="13"/>
      <c r="J2693" s="13" t="str">
        <f ca="1">IFERROR(__xludf.DUMMYFUNCTION("""COMPUTED_VALUE"""),"Làm phiền đưa quyển sách đó cho tôi.")</f>
        <v>Làm phiền đưa quyển sách đó cho tôi.</v>
      </c>
      <c r="K2693" s="13" t="str">
        <f ca="1">IFERROR(__xludf.DUMMYFUNCTION("""COMPUTED_VALUE"""),"H5_B36_BG-18.png")</f>
        <v>H5_B36_BG-18.png</v>
      </c>
      <c r="L2693" s="13" t="str">
        <f ca="1">IFERROR(__xludf.DUMMYFUNCTION("""COMPUTED_VALUE"""),"B36_18.mp3")</f>
        <v>B36_18.mp3</v>
      </c>
      <c r="M2693" s="13" t="str">
        <f ca="1">IFERROR(__xludf.DUMMYFUNCTION("""COMPUTED_VALUE"""),"B36_VD_18.mp3")</f>
        <v>B36_VD_18.mp3</v>
      </c>
    </row>
    <row r="2694" spans="1:13">
      <c r="A2694" s="13">
        <f ca="1">IFERROR(__xludf.DUMMYFUNCTION("""COMPUTED_VALUE"""),19)</f>
        <v>19</v>
      </c>
      <c r="B2694" s="13"/>
      <c r="C2694" s="13" t="str">
        <f ca="1">IFERROR(__xludf.DUMMYFUNCTION("""COMPUTED_VALUE"""),"抢救")</f>
        <v>抢救</v>
      </c>
      <c r="D2694" s="13" t="str">
        <f ca="1">IFERROR(__xludf.DUMMYFUNCTION("""COMPUTED_VALUE"""),"&lt;ruby&gt;抢救&lt;rt&gt;qiǎngjiù&lt;/rt&gt;&lt;/ruby&gt;")</f>
        <v>&lt;ruby&gt;抢救&lt;rt&gt;qiǎngjiù&lt;/rt&gt;&lt;/ruby&gt;</v>
      </c>
      <c r="E2694" s="13" t="str">
        <f ca="1">IFERROR(__xludf.DUMMYFUNCTION("""COMPUTED_VALUE"""),"qiǎngjiù")</f>
        <v>qiǎngjiù</v>
      </c>
      <c r="F2694" s="13" t="str">
        <f ca="1">IFERROR(__xludf.DUMMYFUNCTION("""COMPUTED_VALUE"""),"Động từ")</f>
        <v>Động từ</v>
      </c>
      <c r="G2694" s="13" t="str">
        <f ca="1">IFERROR(__xludf.DUMMYFUNCTION("""COMPUTED_VALUE"""),"cứu")</f>
        <v>cứu</v>
      </c>
      <c r="H2694" s="13" t="str">
        <f ca="1">IFERROR(__xludf.DUMMYFUNCTION("""COMPUTED_VALUE"""),"医生正在抢救病人。")</f>
        <v>医生正在抢救病人。</v>
      </c>
      <c r="I2694" s="13"/>
      <c r="J2694" s="13" t="str">
        <f ca="1">IFERROR(__xludf.DUMMYFUNCTION("""COMPUTED_VALUE"""),"Bác sĩ đang cấp cứu bệnh nhân.")</f>
        <v>Bác sĩ đang cấp cứu bệnh nhân.</v>
      </c>
      <c r="K2694" s="13" t="str">
        <f ca="1">IFERROR(__xludf.DUMMYFUNCTION("""COMPUTED_VALUE"""),"H5_B36_BG-19.png")</f>
        <v>H5_B36_BG-19.png</v>
      </c>
      <c r="L2694" s="13" t="str">
        <f ca="1">IFERROR(__xludf.DUMMYFUNCTION("""COMPUTED_VALUE"""),"B36_19.mp3")</f>
        <v>B36_19.mp3</v>
      </c>
      <c r="M2694" s="13" t="str">
        <f ca="1">IFERROR(__xludf.DUMMYFUNCTION("""COMPUTED_VALUE"""),"B36_VD_19.mp3")</f>
        <v>B36_VD_19.mp3</v>
      </c>
    </row>
    <row r="2695" spans="1:13">
      <c r="A2695" s="13">
        <f ca="1">IFERROR(__xludf.DUMMYFUNCTION("""COMPUTED_VALUE"""),20)</f>
        <v>20</v>
      </c>
      <c r="B2695" s="13"/>
      <c r="C2695" s="13" t="str">
        <f ca="1">IFERROR(__xludf.DUMMYFUNCTION("""COMPUTED_VALUE"""),"腰")</f>
        <v>腰</v>
      </c>
      <c r="D2695" s="13" t="str">
        <f ca="1">IFERROR(__xludf.DUMMYFUNCTION("""COMPUTED_VALUE"""),"&lt;ruby&gt;腰&lt;rt&gt;yāo&lt;/rt&gt;&lt;/ruby&gt;")</f>
        <v>&lt;ruby&gt;腰&lt;rt&gt;yāo&lt;/rt&gt;&lt;/ruby&gt;</v>
      </c>
      <c r="E2695" s="13" t="str">
        <f ca="1">IFERROR(__xludf.DUMMYFUNCTION("""COMPUTED_VALUE"""),"yāo")</f>
        <v>yāo</v>
      </c>
      <c r="F2695" s="13" t="str">
        <f ca="1">IFERROR(__xludf.DUMMYFUNCTION("""COMPUTED_VALUE"""),"Danh từ")</f>
        <v>Danh từ</v>
      </c>
      <c r="G2695" s="13" t="str">
        <f ca="1">IFERROR(__xludf.DUMMYFUNCTION("""COMPUTED_VALUE"""),"eo, chỗ thắt lưng")</f>
        <v>eo, chỗ thắt lưng</v>
      </c>
      <c r="H2695" s="13" t="str">
        <f ca="1">IFERROR(__xludf.DUMMYFUNCTION("""COMPUTED_VALUE"""),"他的腰挺大。")</f>
        <v>他的腰挺大。</v>
      </c>
      <c r="I2695" s="13"/>
      <c r="J2695" s="13" t="str">
        <f ca="1">IFERROR(__xludf.DUMMYFUNCTION("""COMPUTED_VALUE"""),"Eo của anh ấy khá to.")</f>
        <v>Eo của anh ấy khá to.</v>
      </c>
      <c r="K2695" s="13" t="str">
        <f ca="1">IFERROR(__xludf.DUMMYFUNCTION("""COMPUTED_VALUE"""),"H5_B36_BG-20.png")</f>
        <v>H5_B36_BG-20.png</v>
      </c>
      <c r="L2695" s="13" t="str">
        <f ca="1">IFERROR(__xludf.DUMMYFUNCTION("""COMPUTED_VALUE"""),"B36_20.mp3")</f>
        <v>B36_20.mp3</v>
      </c>
      <c r="M2695" s="13" t="str">
        <f ca="1">IFERROR(__xludf.DUMMYFUNCTION("""COMPUTED_VALUE"""),"B36_VD_20.mp3")</f>
        <v>B36_VD_20.mp3</v>
      </c>
    </row>
    <row r="2696" spans="1:13">
      <c r="A2696" s="13">
        <f ca="1">IFERROR(__xludf.DUMMYFUNCTION("""COMPUTED_VALUE"""),21)</f>
        <v>21</v>
      </c>
      <c r="B2696" s="13"/>
      <c r="C2696" s="13" t="str">
        <f ca="1">IFERROR(__xludf.DUMMYFUNCTION("""COMPUTED_VALUE"""),"直")</f>
        <v>直</v>
      </c>
      <c r="D2696" s="13" t="str">
        <f ca="1">IFERROR(__xludf.DUMMYFUNCTION("""COMPUTED_VALUE"""),"&lt;ruby&gt;直&lt;rt&gt;zhí&lt;/rt&gt;&lt;/ruby&gt;")</f>
        <v>&lt;ruby&gt;直&lt;rt&gt;zhí&lt;/rt&gt;&lt;/ruby&gt;</v>
      </c>
      <c r="E2696" s="13" t="str">
        <f ca="1">IFERROR(__xludf.DUMMYFUNCTION("""COMPUTED_VALUE"""),"zhí")</f>
        <v>zhí</v>
      </c>
      <c r="F2696" s="13" t="str">
        <f ca="1">IFERROR(__xludf.DUMMYFUNCTION("""COMPUTED_VALUE"""),"Phó từ")</f>
        <v>Phó từ</v>
      </c>
      <c r="G2696" s="13" t="str">
        <f ca="1">IFERROR(__xludf.DUMMYFUNCTION("""COMPUTED_VALUE"""),"không ngừng, liên tục")</f>
        <v>không ngừng, liên tục</v>
      </c>
      <c r="H2696" s="13" t="str">
        <f ca="1">IFERROR(__xludf.DUMMYFUNCTION("""COMPUTED_VALUE"""),"他一直努力学习。")</f>
        <v>他一直努力学习。</v>
      </c>
      <c r="I2696" s="13"/>
      <c r="J2696" s="13" t="str">
        <f ca="1">IFERROR(__xludf.DUMMYFUNCTION("""COMPUTED_VALUE"""),"Anh ấy không ngừng nỗ lực học tập.")</f>
        <v>Anh ấy không ngừng nỗ lực học tập.</v>
      </c>
      <c r="K2696" s="13" t="str">
        <f ca="1">IFERROR(__xludf.DUMMYFUNCTION("""COMPUTED_VALUE"""),"H5_B36_BG-21.png")</f>
        <v>H5_B36_BG-21.png</v>
      </c>
      <c r="L2696" s="13" t="str">
        <f ca="1">IFERROR(__xludf.DUMMYFUNCTION("""COMPUTED_VALUE"""),"B36_21.mp3")</f>
        <v>B36_21.mp3</v>
      </c>
      <c r="M2696" s="13" t="str">
        <f ca="1">IFERROR(__xludf.DUMMYFUNCTION("""COMPUTED_VALUE"""),"B36_VD_21.mp3")</f>
        <v>B36_VD_21.mp3</v>
      </c>
    </row>
    <row r="2697" spans="1:13">
      <c r="A2697" s="13">
        <f ca="1">IFERROR(__xludf.DUMMYFUNCTION("""COMPUTED_VALUE"""),22)</f>
        <v>22</v>
      </c>
      <c r="B2697" s="13"/>
      <c r="C2697" s="13" t="str">
        <f ca="1">IFERROR(__xludf.DUMMYFUNCTION("""COMPUTED_VALUE"""),"不然")</f>
        <v>不然</v>
      </c>
      <c r="D2697" s="13" t="str">
        <f ca="1">IFERROR(__xludf.DUMMYFUNCTION("""COMPUTED_VALUE"""),"&lt;ruby&gt;不然&lt;rt&gt;bùrán&lt;/rt&gt;&lt;/ruby&gt;")</f>
        <v>&lt;ruby&gt;不然&lt;rt&gt;bùrán&lt;/rt&gt;&lt;/ruby&gt;</v>
      </c>
      <c r="E2697" s="13" t="str">
        <f ca="1">IFERROR(__xludf.DUMMYFUNCTION("""COMPUTED_VALUE"""),"bùrán")</f>
        <v>bùrán</v>
      </c>
      <c r="F2697" s="13" t="str">
        <f ca="1">IFERROR(__xludf.DUMMYFUNCTION("""COMPUTED_VALUE"""),"Liên từ")</f>
        <v>Liên từ</v>
      </c>
      <c r="G2697" s="13" t="str">
        <f ca="1">IFERROR(__xludf.DUMMYFUNCTION("""COMPUTED_VALUE"""),"nếu không thì")</f>
        <v>nếu không thì</v>
      </c>
      <c r="H2697" s="13" t="str">
        <f ca="1">IFERROR(__xludf.DUMMYFUNCTION("""COMPUTED_VALUE"""),"他得赶紧吃东西，不然胃会疼。")</f>
        <v>他得赶紧吃东西，不然胃会疼。</v>
      </c>
      <c r="I2697" s="13"/>
      <c r="J2697" s="13" t="str">
        <f ca="1">IFERROR(__xludf.DUMMYFUNCTION("""COMPUTED_VALUE"""),"Anh ấy cần ăn ngay lập tức nếu không sẽ bị đau dạ dày.")</f>
        <v>Anh ấy cần ăn ngay lập tức nếu không sẽ bị đau dạ dày.</v>
      </c>
      <c r="K2697" s="13" t="str">
        <f ca="1">IFERROR(__xludf.DUMMYFUNCTION("""COMPUTED_VALUE"""),"H5_B36_BG-22.png")</f>
        <v>H5_B36_BG-22.png</v>
      </c>
      <c r="L2697" s="13" t="str">
        <f ca="1">IFERROR(__xludf.DUMMYFUNCTION("""COMPUTED_VALUE"""),"B36_22.mp3")</f>
        <v>B36_22.mp3</v>
      </c>
      <c r="M2697" s="13" t="str">
        <f ca="1">IFERROR(__xludf.DUMMYFUNCTION("""COMPUTED_VALUE"""),"B36_VD_22.mp3")</f>
        <v>B36_VD_22.mp3</v>
      </c>
    </row>
    <row r="2698" spans="1:13">
      <c r="A2698" s="13">
        <f ca="1">IFERROR(__xludf.DUMMYFUNCTION("""COMPUTED_VALUE"""),23)</f>
        <v>23</v>
      </c>
      <c r="B2698" s="13"/>
      <c r="C2698" s="13" t="str">
        <f ca="1">IFERROR(__xludf.DUMMYFUNCTION("""COMPUTED_VALUE"""),"保留")</f>
        <v>保留</v>
      </c>
      <c r="D2698" s="13" t="str">
        <f ca="1">IFERROR(__xludf.DUMMYFUNCTION("""COMPUTED_VALUE"""),"&lt;ruby&gt;保留&lt;rt&gt;bǎoliú&lt;/rt&gt;&lt;/ruby&gt;")</f>
        <v>&lt;ruby&gt;保留&lt;rt&gt;bǎoliú&lt;/rt&gt;&lt;/ruby&gt;</v>
      </c>
      <c r="E2698" s="13" t="str">
        <f ca="1">IFERROR(__xludf.DUMMYFUNCTION("""COMPUTED_VALUE"""),"bǎoliú")</f>
        <v>bǎoliú</v>
      </c>
      <c r="F2698" s="13" t="str">
        <f ca="1">IFERROR(__xludf.DUMMYFUNCTION("""COMPUTED_VALUE"""),"Động từ")</f>
        <v>Động từ</v>
      </c>
      <c r="G2698" s="13" t="str">
        <f ca="1">IFERROR(__xludf.DUMMYFUNCTION("""COMPUTED_VALUE"""),"giữ lại, để lại, bảo tồn")</f>
        <v>giữ lại, để lại, bảo tồn</v>
      </c>
      <c r="H2698" s="13" t="str">
        <f ca="1">IFERROR(__xludf.DUMMYFUNCTION("""COMPUTED_VALUE"""),"我们需要保留传统文化。")</f>
        <v>我们需要保留传统文化。</v>
      </c>
      <c r="I2698" s="13"/>
      <c r="J2698" s="13" t="str">
        <f ca="1">IFERROR(__xludf.DUMMYFUNCTION("""COMPUTED_VALUE"""),"Chúng ta cần giữ gìn văn hóa truyền thống.")</f>
        <v>Chúng ta cần giữ gìn văn hóa truyền thống.</v>
      </c>
      <c r="K2698" s="13" t="str">
        <f ca="1">IFERROR(__xludf.DUMMYFUNCTION("""COMPUTED_VALUE"""),"H5_B36_BG-23.png")</f>
        <v>H5_B36_BG-23.png</v>
      </c>
      <c r="L2698" s="13" t="str">
        <f ca="1">IFERROR(__xludf.DUMMYFUNCTION("""COMPUTED_VALUE"""),"B36_23.mp3")</f>
        <v>B36_23.mp3</v>
      </c>
      <c r="M2698" s="13" t="str">
        <f ca="1">IFERROR(__xludf.DUMMYFUNCTION("""COMPUTED_VALUE"""),"B36_VD_23.mp3")</f>
        <v>B36_VD_23.mp3</v>
      </c>
    </row>
    <row r="2699" spans="1:13">
      <c r="A2699" s="13">
        <f ca="1">IFERROR(__xludf.DUMMYFUNCTION("""COMPUTED_VALUE"""),24)</f>
        <v>24</v>
      </c>
      <c r="B2699" s="13"/>
      <c r="C2699" s="13" t="str">
        <f ca="1">IFERROR(__xludf.DUMMYFUNCTION("""COMPUTED_VALUE"""),"回报")</f>
        <v>回报</v>
      </c>
      <c r="D2699" s="13" t="str">
        <f ca="1">IFERROR(__xludf.DUMMYFUNCTION("""COMPUTED_VALUE"""),"&lt;ruby&gt;回报&lt;rt&gt;huíbào&lt;/rt&gt;&lt;/ruby&gt;")</f>
        <v>&lt;ruby&gt;回报&lt;rt&gt;huíbào&lt;/rt&gt;&lt;/ruby&gt;</v>
      </c>
      <c r="E2699" s="13" t="str">
        <f ca="1">IFERROR(__xludf.DUMMYFUNCTION("""COMPUTED_VALUE"""),"huíbào")</f>
        <v>huíbào</v>
      </c>
      <c r="F2699" s="13" t="str">
        <f ca="1">IFERROR(__xludf.DUMMYFUNCTION("""COMPUTED_VALUE"""),"Động từ")</f>
        <v>Động từ</v>
      </c>
      <c r="G2699" s="13" t="str">
        <f ca="1">IFERROR(__xludf.DUMMYFUNCTION("""COMPUTED_VALUE"""),"báo đáp, đền đáp")</f>
        <v>báo đáp, đền đáp</v>
      </c>
      <c r="H2699" s="13" t="str">
        <f ca="1">IFERROR(__xludf.DUMMYFUNCTION("""COMPUTED_VALUE"""),"努力学习来回报父母。")</f>
        <v>努力学习来回报父母。</v>
      </c>
      <c r="I2699" s="13"/>
      <c r="J2699" s="13" t="str">
        <f ca="1">IFERROR(__xludf.DUMMYFUNCTION("""COMPUTED_VALUE"""),"Học tập chăm chỉ để đền đáp cha mẹ.")</f>
        <v>Học tập chăm chỉ để đền đáp cha mẹ.</v>
      </c>
      <c r="K2699" s="13" t="str">
        <f ca="1">IFERROR(__xludf.DUMMYFUNCTION("""COMPUTED_VALUE"""),"H5_B36_BG-24.png")</f>
        <v>H5_B36_BG-24.png</v>
      </c>
      <c r="L2699" s="13" t="str">
        <f ca="1">IFERROR(__xludf.DUMMYFUNCTION("""COMPUTED_VALUE"""),"B36_24.mp3")</f>
        <v>B36_24.mp3</v>
      </c>
      <c r="M2699" s="13" t="str">
        <f ca="1">IFERROR(__xludf.DUMMYFUNCTION("""COMPUTED_VALUE"""),"B36_VD_24.mp3")</f>
        <v>B36_VD_24.mp3</v>
      </c>
    </row>
    <row r="2700" spans="1:13">
      <c r="A2700" s="13">
        <f ca="1">IFERROR(__xludf.DUMMYFUNCTION("""COMPUTED_VALUE"""),25)</f>
        <v>25</v>
      </c>
      <c r="B2700" s="13"/>
      <c r="C2700" s="13" t="str">
        <f ca="1">IFERROR(__xludf.DUMMYFUNCTION("""COMPUTED_VALUE"""),"真理")</f>
        <v>真理</v>
      </c>
      <c r="D2700" s="13" t="str">
        <f ca="1">IFERROR(__xludf.DUMMYFUNCTION("""COMPUTED_VALUE"""),"&lt;ruby&gt;真理&lt;rt&gt;zhēnlǐ&lt;/rt&gt;&lt;/ruby&gt;")</f>
        <v>&lt;ruby&gt;真理&lt;rt&gt;zhēnlǐ&lt;/rt&gt;&lt;/ruby&gt;</v>
      </c>
      <c r="E2700" s="13" t="str">
        <f ca="1">IFERROR(__xludf.DUMMYFUNCTION("""COMPUTED_VALUE"""),"zhēnlǐ")</f>
        <v>zhēnlǐ</v>
      </c>
      <c r="F2700" s="13" t="str">
        <f ca="1">IFERROR(__xludf.DUMMYFUNCTION("""COMPUTED_VALUE"""),"Danh từ")</f>
        <v>Danh từ</v>
      </c>
      <c r="G2700" s="13" t="str">
        <f ca="1">IFERROR(__xludf.DUMMYFUNCTION("""COMPUTED_VALUE"""),"chân lý")</f>
        <v>chân lý</v>
      </c>
      <c r="H2700" s="13" t="str">
        <f ca="1">IFERROR(__xludf.DUMMYFUNCTION("""COMPUTED_VALUE"""),"他为了真理而奋斗。")</f>
        <v>他为了真理而奋斗。</v>
      </c>
      <c r="I2700" s="13"/>
      <c r="J2700" s="13" t="str">
        <f ca="1">IFERROR(__xludf.DUMMYFUNCTION("""COMPUTED_VALUE"""),"Anh ấy đấu tranh vì chân lý.")</f>
        <v>Anh ấy đấu tranh vì chân lý.</v>
      </c>
      <c r="K2700" s="13" t="str">
        <f ca="1">IFERROR(__xludf.DUMMYFUNCTION("""COMPUTED_VALUE"""),"H5_B36_BG-25.png")</f>
        <v>H5_B36_BG-25.png</v>
      </c>
      <c r="L2700" s="13" t="str">
        <f ca="1">IFERROR(__xludf.DUMMYFUNCTION("""COMPUTED_VALUE"""),"B36_25.mp3")</f>
        <v>B36_25.mp3</v>
      </c>
      <c r="M2700" s="13" t="str">
        <f ca="1">IFERROR(__xludf.DUMMYFUNCTION("""COMPUTED_VALUE"""),"B36_VD_25.mp3")</f>
        <v>B36_VD_25.mp3</v>
      </c>
    </row>
    <row r="2701" spans="1:13">
      <c r="A2701" s="13">
        <f ca="1">IFERROR(__xludf.DUMMYFUNCTION("""COMPUTED_VALUE"""),26)</f>
        <v>26</v>
      </c>
      <c r="B2701" s="13"/>
      <c r="C2701" s="13" t="str">
        <f ca="1">IFERROR(__xludf.DUMMYFUNCTION("""COMPUTED_VALUE"""),"应付")</f>
        <v>应付</v>
      </c>
      <c r="D2701" s="13" t="str">
        <f ca="1">IFERROR(__xludf.DUMMYFUNCTION("""COMPUTED_VALUE"""),"&lt;ruby&gt;应付&lt;rt&gt;yìngfu&lt;/rt&gt;&lt;/ruby&gt;")</f>
        <v>&lt;ruby&gt;应付&lt;rt&gt;yìngfu&lt;/rt&gt;&lt;/ruby&gt;</v>
      </c>
      <c r="E2701" s="13" t="str">
        <f ca="1">IFERROR(__xludf.DUMMYFUNCTION("""COMPUTED_VALUE"""),"yìngfu")</f>
        <v>yìngfu</v>
      </c>
      <c r="F2701" s="13" t="str">
        <f ca="1">IFERROR(__xludf.DUMMYFUNCTION("""COMPUTED_VALUE"""),"Động từ")</f>
        <v>Động từ</v>
      </c>
      <c r="G2701" s="13" t="str">
        <f ca="1">IFERROR(__xludf.DUMMYFUNCTION("""COMPUTED_VALUE"""),"ứng phó, đối phó")</f>
        <v>ứng phó, đối phó</v>
      </c>
      <c r="H2701" s="13" t="str">
        <f ca="1">IFERROR(__xludf.DUMMYFUNCTION("""COMPUTED_VALUE"""),"消防员正在应付火灾。")</f>
        <v>消防员正在应付火灾。</v>
      </c>
      <c r="I2701" s="13"/>
      <c r="J2701" s="13" t="str">
        <f ca="1">IFERROR(__xludf.DUMMYFUNCTION("""COMPUTED_VALUE"""),"Lính cứu hỏa đang ứng phó với đám cháy.")</f>
        <v>Lính cứu hỏa đang ứng phó với đám cháy.</v>
      </c>
      <c r="K2701" s="13" t="str">
        <f ca="1">IFERROR(__xludf.DUMMYFUNCTION("""COMPUTED_VALUE"""),"H5_B36_BG-26.png")</f>
        <v>H5_B36_BG-26.png</v>
      </c>
      <c r="L2701" s="13" t="str">
        <f ca="1">IFERROR(__xludf.DUMMYFUNCTION("""COMPUTED_VALUE"""),"B36_26.mp3")</f>
        <v>B36_26.mp3</v>
      </c>
      <c r="M2701" s="13" t="str">
        <f ca="1">IFERROR(__xludf.DUMMYFUNCTION("""COMPUTED_VALUE"""),"B36_VD_26.mp3")</f>
        <v>B36_VD_26.mp3</v>
      </c>
    </row>
    <row r="2702" spans="1:13">
      <c r="A2702" s="13">
        <f ca="1">IFERROR(__xludf.DUMMYFUNCTION("""COMPUTED_VALUE"""),27)</f>
        <v>27</v>
      </c>
      <c r="B2702" s="13"/>
      <c r="C2702" s="13" t="str">
        <f ca="1">IFERROR(__xludf.DUMMYFUNCTION("""COMPUTED_VALUE"""),"奋斗")</f>
        <v>奋斗</v>
      </c>
      <c r="D2702" s="13" t="str">
        <f ca="1">IFERROR(__xludf.DUMMYFUNCTION("""COMPUTED_VALUE"""),"&lt;ruby&gt;奋斗&lt;rt&gt;fèndòu&lt;/rt&gt;&lt;/ruby&gt;")</f>
        <v>&lt;ruby&gt;奋斗&lt;rt&gt;fèndòu&lt;/rt&gt;&lt;/ruby&gt;</v>
      </c>
      <c r="E2702" s="13" t="str">
        <f ca="1">IFERROR(__xludf.DUMMYFUNCTION("""COMPUTED_VALUE"""),"fèndòu")</f>
        <v>fèndòu</v>
      </c>
      <c r="F2702" s="13" t="str">
        <f ca="1">IFERROR(__xludf.DUMMYFUNCTION("""COMPUTED_VALUE"""),"Động từ")</f>
        <v>Động từ</v>
      </c>
      <c r="G2702" s="13" t="str">
        <f ca="1">IFERROR(__xludf.DUMMYFUNCTION("""COMPUTED_VALUE"""),"phấn đấu, cố gắng")</f>
        <v>phấn đấu, cố gắng</v>
      </c>
      <c r="H2702" s="13" t="str">
        <f ca="1">IFERROR(__xludf.DUMMYFUNCTION("""COMPUTED_VALUE"""),"他为了成为职业运动员而奋斗。")</f>
        <v>他为了成为职业运动员而奋斗。</v>
      </c>
      <c r="I2702" s="13"/>
      <c r="J2702" s="13" t="str">
        <f ca="1">IFERROR(__xludf.DUMMYFUNCTION("""COMPUTED_VALUE"""),"Anh ấy phấn đấu vì ước mơ trở thành vận động viên chuyên nghiệp.")</f>
        <v>Anh ấy phấn đấu vì ước mơ trở thành vận động viên chuyên nghiệp.</v>
      </c>
      <c r="K2702" s="13" t="str">
        <f ca="1">IFERROR(__xludf.DUMMYFUNCTION("""COMPUTED_VALUE"""),"H5_B36_BG-27.png")</f>
        <v>H5_B36_BG-27.png</v>
      </c>
      <c r="L2702" s="13" t="str">
        <f ca="1">IFERROR(__xludf.DUMMYFUNCTION("""COMPUTED_VALUE"""),"B36_27.mp3")</f>
        <v>B36_27.mp3</v>
      </c>
      <c r="M2702" s="13" t="str">
        <f ca="1">IFERROR(__xludf.DUMMYFUNCTION("""COMPUTED_VALUE"""),"B36_VD_27.mp3")</f>
        <v>B36_VD_27.mp3</v>
      </c>
    </row>
    <row r="2703" spans="1:13">
      <c r="A2703" s="13">
        <f ca="1">IFERROR(__xludf.DUMMYFUNCTION("""COMPUTED_VALUE"""),28)</f>
        <v>28</v>
      </c>
      <c r="B2703" s="13"/>
      <c r="C2703" s="13" t="str">
        <f ca="1">IFERROR(__xludf.DUMMYFUNCTION("""COMPUTED_VALUE"""),"乐趣")</f>
        <v>乐趣</v>
      </c>
      <c r="D2703" s="13" t="str">
        <f ca="1">IFERROR(__xludf.DUMMYFUNCTION("""COMPUTED_VALUE"""),"&lt;ruby&gt;乐趣&lt;rt&gt;lèqù&lt;/rt&gt;&lt;/ruby&gt;")</f>
        <v>&lt;ruby&gt;乐趣&lt;rt&gt;lèqù&lt;/rt&gt;&lt;/ruby&gt;</v>
      </c>
      <c r="E2703" s="13" t="str">
        <f ca="1">IFERROR(__xludf.DUMMYFUNCTION("""COMPUTED_VALUE"""),"lèqù")</f>
        <v>lèqù</v>
      </c>
      <c r="F2703" s="13" t="str">
        <f ca="1">IFERROR(__xludf.DUMMYFUNCTION("""COMPUTED_VALUE"""),"Danh từ")</f>
        <v>Danh từ</v>
      </c>
      <c r="G2703" s="13" t="str">
        <f ca="1">IFERROR(__xludf.DUMMYFUNCTION("""COMPUTED_VALUE"""),"niềm vui")</f>
        <v>niềm vui</v>
      </c>
      <c r="H2703" s="13" t="str">
        <f ca="1">IFERROR(__xludf.DUMMYFUNCTION("""COMPUTED_VALUE"""),"这个女孩的乐趣就是每天弹琴唱歌。")</f>
        <v>这个女孩的乐趣就是每天弹琴唱歌。</v>
      </c>
      <c r="I2703" s="13"/>
      <c r="J2703" s="13" t="str">
        <f ca="1">IFERROR(__xludf.DUMMYFUNCTION("""COMPUTED_VALUE"""),"Niềm vui của cô gái chính là được đàn hát mỗi ngày.")</f>
        <v>Niềm vui của cô gái chính là được đàn hát mỗi ngày.</v>
      </c>
      <c r="K2703" s="13" t="str">
        <f ca="1">IFERROR(__xludf.DUMMYFUNCTION("""COMPUTED_VALUE"""),"H5_B36_BG-28.png")</f>
        <v>H5_B36_BG-28.png</v>
      </c>
      <c r="L2703" s="13" t="str">
        <f ca="1">IFERROR(__xludf.DUMMYFUNCTION("""COMPUTED_VALUE"""),"B36_28.mp3")</f>
        <v>B36_28.mp3</v>
      </c>
      <c r="M2703" s="13" t="str">
        <f ca="1">IFERROR(__xludf.DUMMYFUNCTION("""COMPUTED_VALUE"""),"B36_VD_28.mp3")</f>
        <v>B36_VD_28.mp3</v>
      </c>
    </row>
    <row r="2704" spans="1:13">
      <c r="A2704" s="13">
        <f ca="1">IFERROR(__xludf.DUMMYFUNCTION("""COMPUTED_VALUE"""),29)</f>
        <v>29</v>
      </c>
      <c r="B2704" s="13"/>
      <c r="C2704" s="13" t="str">
        <f ca="1">IFERROR(__xludf.DUMMYFUNCTION("""COMPUTED_VALUE"""),"在乎")</f>
        <v>在乎</v>
      </c>
      <c r="D2704" s="13" t="str">
        <f ca="1">IFERROR(__xludf.DUMMYFUNCTION("""COMPUTED_VALUE"""),"&lt;ruby&gt;在乎&lt;rt&gt;zàihu&lt;/rt&gt;&lt;/ruby&gt;")</f>
        <v>&lt;ruby&gt;在乎&lt;rt&gt;zàihu&lt;/rt&gt;&lt;/ruby&gt;</v>
      </c>
      <c r="E2704" s="13" t="str">
        <f ca="1">IFERROR(__xludf.DUMMYFUNCTION("""COMPUTED_VALUE"""),"zàihu")</f>
        <v>zàihu</v>
      </c>
      <c r="F2704" s="13" t="str">
        <f ca="1">IFERROR(__xludf.DUMMYFUNCTION("""COMPUTED_VALUE"""),"Động từ")</f>
        <v>Động từ</v>
      </c>
      <c r="G2704" s="13" t="str">
        <f ca="1">IFERROR(__xludf.DUMMYFUNCTION("""COMPUTED_VALUE"""),"để ý đến, quan tâm đến")</f>
        <v>để ý đến, quan tâm đến</v>
      </c>
      <c r="H2704" s="13" t="str">
        <f ca="1">IFERROR(__xludf.DUMMYFUNCTION("""COMPUTED_VALUE"""),"他在乎植物的生长。")</f>
        <v>他在乎植物的生长。</v>
      </c>
      <c r="I2704" s="13"/>
      <c r="J2704" s="13" t="str">
        <f ca="1">IFERROR(__xludf.DUMMYFUNCTION("""COMPUTED_VALUE"""),"Anh ấy quan tâm đến sự phát triển của cây cối.")</f>
        <v>Anh ấy quan tâm đến sự phát triển của cây cối.</v>
      </c>
      <c r="K2704" s="13" t="str">
        <f ca="1">IFERROR(__xludf.DUMMYFUNCTION("""COMPUTED_VALUE"""),"H5_B36_BG-29.png")</f>
        <v>H5_B36_BG-29.png</v>
      </c>
      <c r="L2704" s="13" t="str">
        <f ca="1">IFERROR(__xludf.DUMMYFUNCTION("""COMPUTED_VALUE"""),"B36_29.mp3")</f>
        <v>B36_29.mp3</v>
      </c>
      <c r="M2704" s="13" t="str">
        <f ca="1">IFERROR(__xludf.DUMMYFUNCTION("""COMPUTED_VALUE"""),"B36_VD_29.mp3")</f>
        <v>B36_VD_29.mp3</v>
      </c>
    </row>
    <row r="2705" spans="1:13">
      <c r="A2705" s="13">
        <f ca="1">IFERROR(__xludf.DUMMYFUNCTION("""COMPUTED_VALUE"""),30)</f>
        <v>30</v>
      </c>
      <c r="B2705" s="13"/>
      <c r="C2705" s="13" t="str">
        <f ca="1">IFERROR(__xludf.DUMMYFUNCTION("""COMPUTED_VALUE"""),"自豪")</f>
        <v>自豪</v>
      </c>
      <c r="D2705" s="13" t="str">
        <f ca="1">IFERROR(__xludf.DUMMYFUNCTION("""COMPUTED_VALUE"""),"&lt;ruby&gt;自豪&lt;rt&gt;zìháo&lt;/rt&gt;&lt;/ruby&gt;")</f>
        <v>&lt;ruby&gt;自豪&lt;rt&gt;zìháo&lt;/rt&gt;&lt;/ruby&gt;</v>
      </c>
      <c r="E2705" s="13" t="str">
        <f ca="1">IFERROR(__xludf.DUMMYFUNCTION("""COMPUTED_VALUE"""),"zìháo")</f>
        <v>zìháo</v>
      </c>
      <c r="F2705" s="13" t="str">
        <f ca="1">IFERROR(__xludf.DUMMYFUNCTION("""COMPUTED_VALUE"""),"Tính từ")</f>
        <v>Tính từ</v>
      </c>
      <c r="G2705" s="13" t="str">
        <f ca="1">IFERROR(__xludf.DUMMYFUNCTION("""COMPUTED_VALUE"""),"tự hào, hãnh diện")</f>
        <v>tự hào, hãnh diện</v>
      </c>
      <c r="H2705" s="13" t="str">
        <f ca="1">IFERROR(__xludf.DUMMYFUNCTION("""COMPUTED_VALUE"""),"他为自己的金牌感到自豪。")</f>
        <v>他为自己的金牌感到自豪。</v>
      </c>
      <c r="I2705" s="13"/>
      <c r="J2705" s="13" t="str">
        <f ca="1">IFERROR(__xludf.DUMMYFUNCTION("""COMPUTED_VALUE"""),"Cậu ấy tự hào về huy chương vàng của mình.")</f>
        <v>Cậu ấy tự hào về huy chương vàng của mình.</v>
      </c>
      <c r="K2705" s="13" t="str">
        <f ca="1">IFERROR(__xludf.DUMMYFUNCTION("""COMPUTED_VALUE"""),"H5_B36_BG-30.png")</f>
        <v>H5_B36_BG-30.png</v>
      </c>
      <c r="L2705" s="13" t="str">
        <f ca="1">IFERROR(__xludf.DUMMYFUNCTION("""COMPUTED_VALUE"""),"B36_30.mp3")</f>
        <v>B36_30.mp3</v>
      </c>
      <c r="M2705" s="13" t="str">
        <f ca="1">IFERROR(__xludf.DUMMYFUNCTION("""COMPUTED_VALUE"""),"B36_VD_30.mp3")</f>
        <v>B36_VD_30.mp3</v>
      </c>
    </row>
    <row r="2706" spans="1:13">
      <c r="A2706" s="13">
        <f ca="1">IFERROR(__xludf.DUMMYFUNCTION("""COMPUTED_VALUE"""),31)</f>
        <v>31</v>
      </c>
      <c r="B2706" s="13"/>
      <c r="C2706" s="13" t="str">
        <f ca="1">IFERROR(__xludf.DUMMYFUNCTION("""COMPUTED_VALUE"""),"吹")</f>
        <v>吹</v>
      </c>
      <c r="D2706" s="13" t="str">
        <f ca="1">IFERROR(__xludf.DUMMYFUNCTION("""COMPUTED_VALUE"""),"&lt;ruby&gt;吹&lt;rt&gt;chuī&lt;/rt&gt;&lt;/ruby&gt;")</f>
        <v>&lt;ruby&gt;吹&lt;rt&gt;chuī&lt;/rt&gt;&lt;/ruby&gt;</v>
      </c>
      <c r="E2706" s="13" t="str">
        <f ca="1">IFERROR(__xludf.DUMMYFUNCTION("""COMPUTED_VALUE"""),"chuī")</f>
        <v>chuī</v>
      </c>
      <c r="F2706" s="13" t="str">
        <f ca="1">IFERROR(__xludf.DUMMYFUNCTION("""COMPUTED_VALUE"""),"Động từ")</f>
        <v>Động từ</v>
      </c>
      <c r="G2706" s="13" t="str">
        <f ca="1">IFERROR(__xludf.DUMMYFUNCTION("""COMPUTED_VALUE"""),"khoe khoang, khoác lác")</f>
        <v>khoe khoang, khoác lác</v>
      </c>
      <c r="H2706" s="13" t="str">
        <f ca="1">IFERROR(__xludf.DUMMYFUNCTION("""COMPUTED_VALUE"""),"她吹嘘自己的成功。")</f>
        <v>她吹嘘自己的成功。</v>
      </c>
      <c r="I2706" s="13"/>
      <c r="J2706" s="13" t="str">
        <f ca="1">IFERROR(__xludf.DUMMYFUNCTION("""COMPUTED_VALUE"""),"Cô ấy khoe khoang thành công của mình.")</f>
        <v>Cô ấy khoe khoang thành công của mình.</v>
      </c>
      <c r="K2706" s="13" t="str">
        <f ca="1">IFERROR(__xludf.DUMMYFUNCTION("""COMPUTED_VALUE"""),"H5_B36_BG-31.png")</f>
        <v>H5_B36_BG-31.png</v>
      </c>
      <c r="L2706" s="13" t="str">
        <f ca="1">IFERROR(__xludf.DUMMYFUNCTION("""COMPUTED_VALUE"""),"B36_31.mp3")</f>
        <v>B36_31.mp3</v>
      </c>
      <c r="M2706" s="13" t="str">
        <f ca="1">IFERROR(__xludf.DUMMYFUNCTION("""COMPUTED_VALUE"""),"B36_VD_31.mp3")</f>
        <v>B36_VD_31.mp3</v>
      </c>
    </row>
    <row r="2707" spans="1:13">
      <c r="A2707" s="13">
        <f ca="1">IFERROR(__xludf.DUMMYFUNCTION("""COMPUTED_VALUE"""),32)</f>
        <v>32</v>
      </c>
      <c r="B2707" s="13"/>
      <c r="C2707" s="13" t="str">
        <f ca="1">IFERROR(__xludf.DUMMYFUNCTION("""COMPUTED_VALUE"""),"爱心")</f>
        <v>爱心</v>
      </c>
      <c r="D2707" s="13" t="str">
        <f ca="1">IFERROR(__xludf.DUMMYFUNCTION("""COMPUTED_VALUE"""),"&lt;ruby&gt;爱心&lt;rt&gt;àixīn&lt;/rt&gt;&lt;/ruby&gt;")</f>
        <v>&lt;ruby&gt;爱心&lt;rt&gt;àixīn&lt;/rt&gt;&lt;/ruby&gt;</v>
      </c>
      <c r="E2707" s="13" t="str">
        <f ca="1">IFERROR(__xludf.DUMMYFUNCTION("""COMPUTED_VALUE"""),"àixīn")</f>
        <v>àixīn</v>
      </c>
      <c r="F2707" s="13" t="str">
        <f ca="1">IFERROR(__xludf.DUMMYFUNCTION("""COMPUTED_VALUE"""),"Danh từ")</f>
        <v>Danh từ</v>
      </c>
      <c r="G2707" s="13" t="str">
        <f ca="1">IFERROR(__xludf.DUMMYFUNCTION("""COMPUTED_VALUE"""),"lòng yêu thương, lòng trắc ẩn")</f>
        <v>lòng yêu thương, lòng trắc ẩn</v>
      </c>
      <c r="H2707" s="13" t="str">
        <f ca="1">IFERROR(__xludf.DUMMYFUNCTION("""COMPUTED_VALUE"""),"她是一个有爱心的人，喜欢动物。")</f>
        <v>她是一个有爱心的人，喜欢动物。</v>
      </c>
      <c r="I2707" s="13"/>
      <c r="J2707" s="13" t="str">
        <f ca="1">IFERROR(__xludf.DUMMYFUNCTION("""COMPUTED_VALUE"""),"Cô ấy là người có lòng yêu thương động vật.")</f>
        <v>Cô ấy là người có lòng yêu thương động vật.</v>
      </c>
      <c r="K2707" s="13" t="str">
        <f ca="1">IFERROR(__xludf.DUMMYFUNCTION("""COMPUTED_VALUE"""),"H5_B36_BG-32.png")</f>
        <v>H5_B36_BG-32.png</v>
      </c>
      <c r="L2707" s="13" t="str">
        <f ca="1">IFERROR(__xludf.DUMMYFUNCTION("""COMPUTED_VALUE"""),"B36_32.mp3")</f>
        <v>B36_32.mp3</v>
      </c>
      <c r="M2707" s="13" t="str">
        <f ca="1">IFERROR(__xludf.DUMMYFUNCTION("""COMPUTED_VALUE"""),"B36_VD_32.mp3")</f>
        <v>B36_VD_32.mp3</v>
      </c>
    </row>
    <row r="2708" spans="1:13">
      <c r="A2708" s="13">
        <f ca="1">IFERROR(__xludf.DUMMYFUNCTION("""COMPUTED_VALUE"""),33)</f>
        <v>33</v>
      </c>
      <c r="B2708" s="13"/>
      <c r="C2708" s="13" t="str">
        <f ca="1">IFERROR(__xludf.DUMMYFUNCTION("""COMPUTED_VALUE"""),"分享")</f>
        <v>分享</v>
      </c>
      <c r="D2708" s="13" t="str">
        <f ca="1">IFERROR(__xludf.DUMMYFUNCTION("""COMPUTED_VALUE"""),"&lt;ruby&gt;分享&lt;rt&gt;fēnxiǎng&lt;/rt&gt;&lt;/ruby&gt;")</f>
        <v>&lt;ruby&gt;分享&lt;rt&gt;fēnxiǎng&lt;/rt&gt;&lt;/ruby&gt;</v>
      </c>
      <c r="E2708" s="13" t="str">
        <f ca="1">IFERROR(__xludf.DUMMYFUNCTION("""COMPUTED_VALUE"""),"fēnxiǎng")</f>
        <v>fēnxiǎng</v>
      </c>
      <c r="F2708" s="13" t="str">
        <f ca="1">IFERROR(__xludf.DUMMYFUNCTION("""COMPUTED_VALUE"""),"Động từ")</f>
        <v>Động từ</v>
      </c>
      <c r="G2708" s="13" t="str">
        <f ca="1">IFERROR(__xludf.DUMMYFUNCTION("""COMPUTED_VALUE"""),"chia sẻ")</f>
        <v>chia sẻ</v>
      </c>
      <c r="H2708" s="13" t="str">
        <f ca="1">IFERROR(__xludf.DUMMYFUNCTION("""COMPUTED_VALUE"""),"两个小朋友分享玩具。")</f>
        <v>两个小朋友分享玩具。</v>
      </c>
      <c r="I2708" s="13"/>
      <c r="J2708" s="13" t="str">
        <f ca="1">IFERROR(__xludf.DUMMYFUNCTION("""COMPUTED_VALUE"""),"Hai bạn nhỏ chia sẻ đồ chơi với nhau.")</f>
        <v>Hai bạn nhỏ chia sẻ đồ chơi với nhau.</v>
      </c>
      <c r="K2708" s="13" t="str">
        <f ca="1">IFERROR(__xludf.DUMMYFUNCTION("""COMPUTED_VALUE"""),"H5_B36_BG-33.png")</f>
        <v>H5_B36_BG-33.png</v>
      </c>
      <c r="L2708" s="13" t="str">
        <f ca="1">IFERROR(__xludf.DUMMYFUNCTION("""COMPUTED_VALUE"""),"B36_33.mp3")</f>
        <v>B36_33.mp3</v>
      </c>
      <c r="M2708" s="13" t="str">
        <f ca="1">IFERROR(__xludf.DUMMYFUNCTION("""COMPUTED_VALUE"""),"B36_VD_33.mp3")</f>
        <v>B36_VD_33.mp3</v>
      </c>
    </row>
    <row r="2709" spans="1:13">
      <c r="A2709" s="13">
        <f ca="1">IFERROR(__xludf.DUMMYFUNCTION("""COMPUTED_VALUE"""),34)</f>
        <v>34</v>
      </c>
      <c r="B2709" s="13"/>
      <c r="C2709" s="13" t="str">
        <f ca="1">IFERROR(__xludf.DUMMYFUNCTION("""COMPUTED_VALUE"""),"庆祝")</f>
        <v>庆祝</v>
      </c>
      <c r="D2709" s="13" t="str">
        <f ca="1">IFERROR(__xludf.DUMMYFUNCTION("""COMPUTED_VALUE"""),"&lt;ruby&gt;庆祝&lt;rt&gt;qìngzhù&lt;/rt&gt;&lt;/ruby&gt;")</f>
        <v>&lt;ruby&gt;庆祝&lt;rt&gt;qìngzhù&lt;/rt&gt;&lt;/ruby&gt;</v>
      </c>
      <c r="E2709" s="13" t="str">
        <f ca="1">IFERROR(__xludf.DUMMYFUNCTION("""COMPUTED_VALUE"""),"qìngzhù")</f>
        <v>qìngzhù</v>
      </c>
      <c r="F2709" s="13" t="str">
        <f ca="1">IFERROR(__xludf.DUMMYFUNCTION("""COMPUTED_VALUE"""),"Động từ")</f>
        <v>Động từ</v>
      </c>
      <c r="G2709" s="13" t="str">
        <f ca="1">IFERROR(__xludf.DUMMYFUNCTION("""COMPUTED_VALUE"""),"chúc mừng")</f>
        <v>chúc mừng</v>
      </c>
      <c r="H2709" s="13" t="str">
        <f ca="1">IFERROR(__xludf.DUMMYFUNCTION("""COMPUTED_VALUE"""),"我们一起庆祝她的生日。")</f>
        <v>我们一起庆祝她的生日。</v>
      </c>
      <c r="I2709" s="13"/>
      <c r="J2709" s="13" t="str">
        <f ca="1">IFERROR(__xludf.DUMMYFUNCTION("""COMPUTED_VALUE"""),"Chúng ta cùng chúc mừng sinh nhật cô ấy.")</f>
        <v>Chúng ta cùng chúc mừng sinh nhật cô ấy.</v>
      </c>
      <c r="K2709" s="13" t="str">
        <f ca="1">IFERROR(__xludf.DUMMYFUNCTION("""COMPUTED_VALUE"""),"H5_B36_BG-34.png")</f>
        <v>H5_B36_BG-34.png</v>
      </c>
      <c r="L2709" s="13" t="str">
        <f ca="1">IFERROR(__xludf.DUMMYFUNCTION("""COMPUTED_VALUE"""),"B36_34.mp3")</f>
        <v>B36_34.mp3</v>
      </c>
      <c r="M2709" s="13" t="str">
        <f ca="1">IFERROR(__xludf.DUMMYFUNCTION("""COMPUTED_VALUE"""),"B36_VD_34.mp3")</f>
        <v>B36_VD_34.mp3</v>
      </c>
    </row>
    <row r="2710" spans="1:13">
      <c r="A2710" s="13">
        <f ca="1">IFERROR(__xludf.DUMMYFUNCTION("""COMPUTED_VALUE"""),35)</f>
        <v>35</v>
      </c>
      <c r="B2710" s="13"/>
      <c r="C2710" s="13" t="str">
        <f ca="1">IFERROR(__xludf.DUMMYFUNCTION("""COMPUTED_VALUE"""),"悲（伤）")</f>
        <v>悲（伤）</v>
      </c>
      <c r="D2710" s="13" t="str">
        <f ca="1">IFERROR(__xludf.DUMMYFUNCTION("""COMPUTED_VALUE"""),"&lt;ruby&gt;悲（伤）&lt;rt&gt;bēi (shāng)&lt;/rt&gt;&lt;/ruby&gt;")</f>
        <v>&lt;ruby&gt;悲（伤）&lt;rt&gt;bēi (shāng)&lt;/rt&gt;&lt;/ruby&gt;</v>
      </c>
      <c r="E2710" s="13" t="str">
        <f ca="1">IFERROR(__xludf.DUMMYFUNCTION("""COMPUTED_VALUE"""),"bēi (shāng)")</f>
        <v>bēi (shāng)</v>
      </c>
      <c r="F2710" s="13" t="str">
        <f ca="1">IFERROR(__xludf.DUMMYFUNCTION("""COMPUTED_VALUE"""),"Tính từ")</f>
        <v>Tính từ</v>
      </c>
      <c r="G2710" s="13" t="str">
        <f ca="1">IFERROR(__xludf.DUMMYFUNCTION("""COMPUTED_VALUE"""),"đau khổ, buồn phiền")</f>
        <v>đau khổ, buồn phiền</v>
      </c>
      <c r="H2710" s="13" t="str">
        <f ca="1">IFERROR(__xludf.DUMMYFUNCTION("""COMPUTED_VALUE"""),"她很悲伤。")</f>
        <v>她很悲伤。</v>
      </c>
      <c r="I2710" s="13"/>
      <c r="J2710" s="13" t="str">
        <f ca="1">IFERROR(__xludf.DUMMYFUNCTION("""COMPUTED_VALUE"""),"Cô ấy đang rất đau khổ.")</f>
        <v>Cô ấy đang rất đau khổ.</v>
      </c>
      <c r="K2710" s="13" t="str">
        <f ca="1">IFERROR(__xludf.DUMMYFUNCTION("""COMPUTED_VALUE"""),"H5_B36_BG-35.png")</f>
        <v>H5_B36_BG-35.png</v>
      </c>
      <c r="L2710" s="13" t="str">
        <f ca="1">IFERROR(__xludf.DUMMYFUNCTION("""COMPUTED_VALUE"""),"B36_35.mp3")</f>
        <v>B36_35.mp3</v>
      </c>
      <c r="M2710" s="13" t="str">
        <f ca="1">IFERROR(__xludf.DUMMYFUNCTION("""COMPUTED_VALUE"""),"B36_VD_35.mp3")</f>
        <v>B36_VD_35.mp3</v>
      </c>
    </row>
    <row r="2711" spans="1:13">
      <c r="A2711" s="13">
        <f ca="1">IFERROR(__xludf.DUMMYFUNCTION("""COMPUTED_VALUE"""),36)</f>
        <v>36</v>
      </c>
      <c r="B2711" s="13"/>
      <c r="C2711" s="13" t="str">
        <f ca="1">IFERROR(__xludf.DUMMYFUNCTION("""COMPUTED_VALUE"""),"反正")</f>
        <v>反正</v>
      </c>
      <c r="D2711" s="13" t="str">
        <f ca="1">IFERROR(__xludf.DUMMYFUNCTION("""COMPUTED_VALUE"""),"&lt;ruby&gt;反正&lt;rt&gt;fǎnzhèng&lt;/rt&gt;&lt;/ruby&gt;")</f>
        <v>&lt;ruby&gt;反正&lt;rt&gt;fǎnzhèng&lt;/rt&gt;&lt;/ruby&gt;</v>
      </c>
      <c r="E2711" s="13" t="str">
        <f ca="1">IFERROR(__xludf.DUMMYFUNCTION("""COMPUTED_VALUE"""),"fǎnzhèng")</f>
        <v>fǎnzhèng</v>
      </c>
      <c r="F2711" s="13" t="str">
        <f ca="1">IFERROR(__xludf.DUMMYFUNCTION("""COMPUTED_VALUE"""),"Phó từ")</f>
        <v>Phó từ</v>
      </c>
      <c r="G2711" s="13" t="str">
        <f ca="1">IFERROR(__xludf.DUMMYFUNCTION("""COMPUTED_VALUE"""),"(được dùng để chỉ kết quả như nhau bất chấp các tình huống khác nhau) dù sao cũng, dù thế nào đi nữa (cũng)")</f>
        <v>(được dùng để chỉ kết quả như nhau bất chấp các tình huống khác nhau) dù sao cũng, dù thế nào đi nữa (cũng)</v>
      </c>
      <c r="H2711" s="13" t="str">
        <f ca="1">IFERROR(__xludf.DUMMYFUNCTION("""COMPUTED_VALUE"""),"反正也迟到了，所以她还是悠闲地梳头。")</f>
        <v>反正也迟到了，所以她还是悠闲地梳头。</v>
      </c>
      <c r="I2711" s="13"/>
      <c r="J2711" s="13" t="str">
        <f ca="1">IFERROR(__xludf.DUMMYFUNCTION("""COMPUTED_VALUE"""),"Dù sao thì cũng muộn học rồi nên cô ấy vẫn ung dung chải tóc.")</f>
        <v>Dù sao thì cũng muộn học rồi nên cô ấy vẫn ung dung chải tóc.</v>
      </c>
      <c r="K2711" s="13" t="str">
        <f ca="1">IFERROR(__xludf.DUMMYFUNCTION("""COMPUTED_VALUE"""),"H5_B36_BG-36.png")</f>
        <v>H5_B36_BG-36.png</v>
      </c>
      <c r="L2711" s="13" t="str">
        <f ca="1">IFERROR(__xludf.DUMMYFUNCTION("""COMPUTED_VALUE"""),"B36_36.mp3")</f>
        <v>B36_36.mp3</v>
      </c>
      <c r="M2711" s="13" t="str">
        <f ca="1">IFERROR(__xludf.DUMMYFUNCTION("""COMPUTED_VALUE"""),"B36_VD_36.mp3")</f>
        <v>B36_VD_36.mp3</v>
      </c>
    </row>
    <row r="2712" spans="1:13">
      <c r="A2712" s="13">
        <f ca="1">IFERROR(__xludf.DUMMYFUNCTION("""COMPUTED_VALUE"""),37)</f>
        <v>37</v>
      </c>
      <c r="B2712" s="13"/>
      <c r="C2712" s="13" t="str">
        <f ca="1">IFERROR(__xludf.DUMMYFUNCTION("""COMPUTED_VALUE"""),"热爱")</f>
        <v>热爱</v>
      </c>
      <c r="D2712" s="13" t="str">
        <f ca="1">IFERROR(__xludf.DUMMYFUNCTION("""COMPUTED_VALUE"""),"&lt;ruby&gt;热爱&lt;rt&gt;rè'ài&lt;/rt&gt;&lt;/ruby&gt;")</f>
        <v>&lt;ruby&gt;热爱&lt;rt&gt;rè'ài&lt;/rt&gt;&lt;/ruby&gt;</v>
      </c>
      <c r="E2712" s="13" t="str">
        <f ca="1">IFERROR(__xludf.DUMMYFUNCTION("""COMPUTED_VALUE"""),"rè'ài")</f>
        <v>rè'ài</v>
      </c>
      <c r="F2712" s="13" t="str">
        <f ca="1">IFERROR(__xludf.DUMMYFUNCTION("""COMPUTED_VALUE"""),"Động từ")</f>
        <v>Động từ</v>
      </c>
      <c r="G2712" s="13" t="str">
        <f ca="1">IFERROR(__xludf.DUMMYFUNCTION("""COMPUTED_VALUE"""),"yêu tha thiết")</f>
        <v>yêu tha thiết</v>
      </c>
      <c r="H2712" s="13" t="str">
        <f ca="1">IFERROR(__xludf.DUMMYFUNCTION("""COMPUTED_VALUE"""),"小明热爱阅读各种书籍。")</f>
        <v>小明热爱阅读各种书籍。</v>
      </c>
      <c r="I2712" s="13"/>
      <c r="J2712" s="13" t="str">
        <f ca="1">IFERROR(__xludf.DUMMYFUNCTION("""COMPUTED_VALUE"""),"Tiểu Minh thích đọc mọi loại sách.")</f>
        <v>Tiểu Minh thích đọc mọi loại sách.</v>
      </c>
      <c r="K2712" s="13" t="str">
        <f ca="1">IFERROR(__xludf.DUMMYFUNCTION("""COMPUTED_VALUE"""),"H5_B36_BG-37.png")</f>
        <v>H5_B36_BG-37.png</v>
      </c>
      <c r="L2712" s="13" t="str">
        <f ca="1">IFERROR(__xludf.DUMMYFUNCTION("""COMPUTED_VALUE"""),"B36_37.mp3")</f>
        <v>B36_37.mp3</v>
      </c>
      <c r="M2712" s="13" t="str">
        <f ca="1">IFERROR(__xludf.DUMMYFUNCTION("""COMPUTED_VALUE"""),"B36_VD_37.mp3")</f>
        <v>B36_VD_37.mp3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  <outlinePr summaryBelow="0" summaryRight="0"/>
  </sheetPr>
  <dimension ref="A1:O32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9" sqref="D9"/>
    </sheetView>
  </sheetViews>
  <sheetFormatPr defaultColWidth="12.6640625" defaultRowHeight="15" customHeight="1"/>
  <cols>
    <col min="1" max="1" width="7.21875" customWidth="1"/>
    <col min="2" max="2" width="20.44140625" customWidth="1"/>
    <col min="3" max="3" width="22.109375" customWidth="1"/>
    <col min="4" max="4" width="34.44140625" customWidth="1"/>
    <col min="5" max="5" width="25.33203125" customWidth="1"/>
    <col min="6" max="6" width="34.6640625" customWidth="1"/>
    <col min="7" max="7" width="35.88671875" customWidth="1"/>
    <col min="8" max="8" width="39.77734375" customWidth="1"/>
    <col min="9" max="9" width="42.21875" customWidth="1"/>
    <col min="10" max="10" width="43.6640625" customWidth="1"/>
    <col min="11" max="11" width="21" customWidth="1"/>
    <col min="12" max="12" width="21.109375" customWidth="1"/>
    <col min="13" max="13" width="21.33203125" customWidth="1"/>
    <col min="15" max="15" width="26.44140625" customWidth="1"/>
  </cols>
  <sheetData>
    <row r="1" spans="1:15" ht="31.5" customHeight="1">
      <c r="A1" s="14" t="s">
        <v>12</v>
      </c>
      <c r="B1" s="14" t="s">
        <v>13</v>
      </c>
      <c r="C1" s="15" t="s">
        <v>14</v>
      </c>
      <c r="D1" s="15" t="s">
        <v>15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20</v>
      </c>
      <c r="J1" s="16" t="s">
        <v>21</v>
      </c>
      <c r="K1" s="17" t="s">
        <v>22</v>
      </c>
      <c r="L1" s="17" t="s">
        <v>23</v>
      </c>
      <c r="M1" s="17" t="s">
        <v>24</v>
      </c>
      <c r="N1" s="17" t="s">
        <v>25</v>
      </c>
      <c r="O1" s="18" t="s">
        <v>26</v>
      </c>
    </row>
    <row r="2" spans="1:15" ht="15.75" customHeight="1">
      <c r="A2" s="19">
        <v>1</v>
      </c>
      <c r="B2" s="19"/>
      <c r="C2" s="19" t="s">
        <v>27</v>
      </c>
      <c r="D2" s="20" t="s">
        <v>28</v>
      </c>
      <c r="E2" s="19" t="s">
        <v>29</v>
      </c>
      <c r="F2" s="19" t="s">
        <v>30</v>
      </c>
      <c r="G2" s="19" t="s">
        <v>31</v>
      </c>
      <c r="H2" s="21" t="s">
        <v>32</v>
      </c>
      <c r="I2" s="21" t="s">
        <v>33</v>
      </c>
      <c r="J2" s="21" t="s">
        <v>34</v>
      </c>
      <c r="K2" s="22" t="s">
        <v>35</v>
      </c>
      <c r="L2" s="22" t="s">
        <v>36</v>
      </c>
      <c r="M2" s="22" t="s">
        <v>37</v>
      </c>
      <c r="N2" s="23">
        <v>1</v>
      </c>
      <c r="O2" s="24" t="s">
        <v>38</v>
      </c>
    </row>
    <row r="3" spans="1:15" ht="15.75" customHeight="1">
      <c r="A3" s="25">
        <v>2</v>
      </c>
      <c r="B3" s="26"/>
      <c r="C3" s="27" t="s">
        <v>39</v>
      </c>
      <c r="D3" s="28" t="s">
        <v>40</v>
      </c>
      <c r="E3" s="27" t="s">
        <v>41</v>
      </c>
      <c r="F3" s="27" t="s">
        <v>42</v>
      </c>
      <c r="G3" s="26" t="s">
        <v>43</v>
      </c>
      <c r="H3" s="29" t="s">
        <v>44</v>
      </c>
      <c r="I3" s="30" t="s">
        <v>45</v>
      </c>
      <c r="J3" s="29" t="s">
        <v>46</v>
      </c>
      <c r="K3" s="31" t="s">
        <v>47</v>
      </c>
      <c r="L3" s="31" t="s">
        <v>48</v>
      </c>
      <c r="M3" s="31" t="s">
        <v>49</v>
      </c>
      <c r="N3" s="32"/>
      <c r="O3" s="309" t="s">
        <v>50</v>
      </c>
    </row>
    <row r="4" spans="1:15" ht="15.75" customHeight="1">
      <c r="A4" s="25">
        <v>3</v>
      </c>
      <c r="B4" s="26"/>
      <c r="C4" s="27" t="s">
        <v>51</v>
      </c>
      <c r="D4" s="28" t="s">
        <v>52</v>
      </c>
      <c r="E4" s="27" t="s">
        <v>53</v>
      </c>
      <c r="F4" s="27" t="s">
        <v>54</v>
      </c>
      <c r="G4" s="26" t="s">
        <v>55</v>
      </c>
      <c r="H4" s="29" t="s">
        <v>56</v>
      </c>
      <c r="I4" s="30" t="s">
        <v>57</v>
      </c>
      <c r="J4" s="29" t="s">
        <v>58</v>
      </c>
      <c r="K4" s="31" t="s">
        <v>59</v>
      </c>
      <c r="L4" s="31" t="s">
        <v>60</v>
      </c>
      <c r="M4" s="31" t="s">
        <v>61</v>
      </c>
      <c r="N4" s="32"/>
      <c r="O4" s="310"/>
    </row>
    <row r="5" spans="1:15" ht="15.75" customHeight="1">
      <c r="A5" s="25">
        <v>4</v>
      </c>
      <c r="B5" s="26"/>
      <c r="C5" s="27" t="s">
        <v>62</v>
      </c>
      <c r="D5" s="28" t="s">
        <v>63</v>
      </c>
      <c r="E5" s="27" t="s">
        <v>64</v>
      </c>
      <c r="F5" s="27" t="s">
        <v>65</v>
      </c>
      <c r="G5" s="26" t="s">
        <v>66</v>
      </c>
      <c r="H5" s="29" t="s">
        <v>67</v>
      </c>
      <c r="I5" s="30" t="s">
        <v>68</v>
      </c>
      <c r="J5" s="29" t="s">
        <v>69</v>
      </c>
      <c r="K5" s="31" t="s">
        <v>70</v>
      </c>
      <c r="L5" s="31" t="s">
        <v>71</v>
      </c>
      <c r="M5" s="31" t="s">
        <v>72</v>
      </c>
      <c r="N5" s="32"/>
      <c r="O5" s="310"/>
    </row>
    <row r="6" spans="1:15" ht="15.75" customHeight="1">
      <c r="A6" s="25">
        <v>5</v>
      </c>
      <c r="B6" s="26"/>
      <c r="C6" s="26" t="s">
        <v>73</v>
      </c>
      <c r="D6" s="28" t="s">
        <v>74</v>
      </c>
      <c r="E6" s="27" t="s">
        <v>75</v>
      </c>
      <c r="F6" s="27" t="s">
        <v>76</v>
      </c>
      <c r="G6" s="26" t="s">
        <v>77</v>
      </c>
      <c r="H6" s="29" t="s">
        <v>78</v>
      </c>
      <c r="I6" s="30" t="s">
        <v>79</v>
      </c>
      <c r="J6" s="29" t="s">
        <v>80</v>
      </c>
      <c r="K6" s="31" t="s">
        <v>81</v>
      </c>
      <c r="L6" s="31" t="s">
        <v>82</v>
      </c>
      <c r="M6" s="31" t="s">
        <v>83</v>
      </c>
      <c r="N6" s="32"/>
      <c r="O6" s="310"/>
    </row>
    <row r="7" spans="1:15" ht="15.75" customHeight="1">
      <c r="A7" s="25">
        <v>6</v>
      </c>
      <c r="B7" s="26"/>
      <c r="C7" s="27" t="s">
        <v>84</v>
      </c>
      <c r="D7" s="28" t="s">
        <v>85</v>
      </c>
      <c r="E7" s="27" t="s">
        <v>86</v>
      </c>
      <c r="F7" s="27" t="s">
        <v>65</v>
      </c>
      <c r="G7" s="26" t="s">
        <v>87</v>
      </c>
      <c r="H7" s="29" t="s">
        <v>88</v>
      </c>
      <c r="I7" s="30" t="s">
        <v>89</v>
      </c>
      <c r="J7" s="29" t="s">
        <v>90</v>
      </c>
      <c r="K7" s="31" t="s">
        <v>91</v>
      </c>
      <c r="L7" s="31" t="s">
        <v>92</v>
      </c>
      <c r="M7" s="31" t="s">
        <v>93</v>
      </c>
      <c r="N7" s="32"/>
      <c r="O7" s="310"/>
    </row>
    <row r="8" spans="1:15" ht="15.75" customHeight="1">
      <c r="A8" s="25">
        <v>7</v>
      </c>
      <c r="B8" s="26"/>
      <c r="C8" s="27" t="s">
        <v>94</v>
      </c>
      <c r="D8" s="28" t="s">
        <v>95</v>
      </c>
      <c r="E8" s="27" t="s">
        <v>96</v>
      </c>
      <c r="F8" s="27" t="s">
        <v>42</v>
      </c>
      <c r="G8" s="26" t="s">
        <v>97</v>
      </c>
      <c r="H8" s="29" t="s">
        <v>98</v>
      </c>
      <c r="I8" s="30" t="s">
        <v>99</v>
      </c>
      <c r="J8" s="29" t="s">
        <v>100</v>
      </c>
      <c r="K8" s="31" t="s">
        <v>101</v>
      </c>
      <c r="L8" s="31" t="s">
        <v>102</v>
      </c>
      <c r="M8" s="31" t="s">
        <v>103</v>
      </c>
      <c r="N8" s="32"/>
      <c r="O8" s="310"/>
    </row>
    <row r="9" spans="1:15" ht="15.75" customHeight="1">
      <c r="A9" s="25">
        <v>8</v>
      </c>
      <c r="B9" s="26"/>
      <c r="C9" s="27" t="s">
        <v>104</v>
      </c>
      <c r="D9" s="28" t="s">
        <v>105</v>
      </c>
      <c r="E9" s="27" t="s">
        <v>106</v>
      </c>
      <c r="F9" s="27" t="s">
        <v>42</v>
      </c>
      <c r="G9" s="26" t="s">
        <v>107</v>
      </c>
      <c r="H9" s="29" t="s">
        <v>108</v>
      </c>
      <c r="I9" s="30" t="s">
        <v>109</v>
      </c>
      <c r="J9" s="29" t="s">
        <v>110</v>
      </c>
      <c r="K9" s="31" t="s">
        <v>111</v>
      </c>
      <c r="L9" s="31" t="s">
        <v>112</v>
      </c>
      <c r="M9" s="31" t="s">
        <v>113</v>
      </c>
      <c r="N9" s="32"/>
      <c r="O9" s="310"/>
    </row>
    <row r="10" spans="1:15" ht="15.75" customHeight="1">
      <c r="A10" s="25">
        <v>9</v>
      </c>
      <c r="B10" s="26"/>
      <c r="C10" s="27" t="s">
        <v>114</v>
      </c>
      <c r="D10" s="28" t="s">
        <v>115</v>
      </c>
      <c r="E10" s="27" t="s">
        <v>116</v>
      </c>
      <c r="F10" s="27" t="s">
        <v>117</v>
      </c>
      <c r="G10" s="26" t="s">
        <v>118</v>
      </c>
      <c r="H10" s="29" t="s">
        <v>119</v>
      </c>
      <c r="I10" s="30" t="s">
        <v>120</v>
      </c>
      <c r="J10" s="29" t="s">
        <v>121</v>
      </c>
      <c r="K10" s="31" t="s">
        <v>122</v>
      </c>
      <c r="L10" s="31" t="s">
        <v>123</v>
      </c>
      <c r="M10" s="31" t="s">
        <v>124</v>
      </c>
      <c r="N10" s="32"/>
      <c r="O10" s="310"/>
    </row>
    <row r="11" spans="1:15" ht="15.75" customHeight="1">
      <c r="A11" s="25">
        <v>10</v>
      </c>
      <c r="B11" s="26"/>
      <c r="C11" s="27" t="s">
        <v>125</v>
      </c>
      <c r="D11" s="28" t="s">
        <v>126</v>
      </c>
      <c r="E11" s="27" t="s">
        <v>127</v>
      </c>
      <c r="F11" s="27" t="s">
        <v>30</v>
      </c>
      <c r="G11" s="26" t="s">
        <v>128</v>
      </c>
      <c r="H11" s="29" t="s">
        <v>129</v>
      </c>
      <c r="I11" s="30" t="s">
        <v>130</v>
      </c>
      <c r="J11" s="29" t="s">
        <v>131</v>
      </c>
      <c r="K11" s="31" t="s">
        <v>132</v>
      </c>
      <c r="L11" s="31" t="s">
        <v>133</v>
      </c>
      <c r="M11" s="31" t="s">
        <v>134</v>
      </c>
      <c r="N11" s="32"/>
      <c r="O11" s="310"/>
    </row>
    <row r="12" spans="1:15" ht="15.75" customHeight="1">
      <c r="A12" s="25">
        <v>11</v>
      </c>
      <c r="B12" s="26"/>
      <c r="C12" s="27" t="s">
        <v>135</v>
      </c>
      <c r="D12" s="28" t="s">
        <v>136</v>
      </c>
      <c r="E12" s="27" t="s">
        <v>137</v>
      </c>
      <c r="F12" s="27" t="s">
        <v>65</v>
      </c>
      <c r="G12" s="26" t="s">
        <v>138</v>
      </c>
      <c r="H12" s="29" t="s">
        <v>139</v>
      </c>
      <c r="I12" s="30" t="s">
        <v>140</v>
      </c>
      <c r="J12" s="29" t="s">
        <v>141</v>
      </c>
      <c r="K12" s="31" t="s">
        <v>142</v>
      </c>
      <c r="L12" s="31" t="s">
        <v>143</v>
      </c>
      <c r="M12" s="31" t="s">
        <v>144</v>
      </c>
      <c r="N12" s="32"/>
      <c r="O12" s="310"/>
    </row>
    <row r="13" spans="1:15" ht="15.75" customHeight="1">
      <c r="A13" s="25">
        <v>12</v>
      </c>
      <c r="B13" s="26"/>
      <c r="C13" s="27" t="s">
        <v>145</v>
      </c>
      <c r="D13" s="28" t="s">
        <v>146</v>
      </c>
      <c r="E13" s="27" t="s">
        <v>147</v>
      </c>
      <c r="F13" s="27" t="s">
        <v>30</v>
      </c>
      <c r="G13" s="26" t="s">
        <v>148</v>
      </c>
      <c r="H13" s="29" t="s">
        <v>149</v>
      </c>
      <c r="I13" s="30" t="s">
        <v>150</v>
      </c>
      <c r="J13" s="29" t="s">
        <v>151</v>
      </c>
      <c r="K13" s="31" t="s">
        <v>152</v>
      </c>
      <c r="L13" s="31" t="s">
        <v>153</v>
      </c>
      <c r="M13" s="31" t="s">
        <v>154</v>
      </c>
      <c r="N13" s="32"/>
      <c r="O13" s="311"/>
    </row>
    <row r="14" spans="1:15" ht="15.75" customHeight="1">
      <c r="A14" s="19">
        <v>1</v>
      </c>
      <c r="B14" s="19"/>
      <c r="C14" s="19" t="s">
        <v>155</v>
      </c>
      <c r="D14" s="20" t="s">
        <v>156</v>
      </c>
      <c r="E14" s="19" t="s">
        <v>157</v>
      </c>
      <c r="F14" s="19" t="s">
        <v>117</v>
      </c>
      <c r="G14" s="19" t="s">
        <v>158</v>
      </c>
      <c r="H14" s="21" t="s">
        <v>159</v>
      </c>
      <c r="I14" s="21" t="s">
        <v>160</v>
      </c>
      <c r="J14" s="21" t="s">
        <v>161</v>
      </c>
      <c r="K14" s="22" t="s">
        <v>162</v>
      </c>
      <c r="L14" s="22" t="s">
        <v>163</v>
      </c>
      <c r="M14" s="22" t="s">
        <v>164</v>
      </c>
      <c r="N14" s="23">
        <v>2</v>
      </c>
      <c r="O14" s="24" t="s">
        <v>38</v>
      </c>
    </row>
    <row r="15" spans="1:15" ht="15.75" customHeight="1">
      <c r="A15" s="25">
        <v>2</v>
      </c>
      <c r="B15" s="26"/>
      <c r="C15" s="27" t="s">
        <v>165</v>
      </c>
      <c r="D15" s="28" t="s">
        <v>166</v>
      </c>
      <c r="E15" s="27" t="s">
        <v>167</v>
      </c>
      <c r="F15" s="27" t="s">
        <v>42</v>
      </c>
      <c r="G15" s="26" t="s">
        <v>168</v>
      </c>
      <c r="H15" s="29" t="s">
        <v>169</v>
      </c>
      <c r="I15" s="30" t="s">
        <v>170</v>
      </c>
      <c r="J15" s="29" t="s">
        <v>171</v>
      </c>
      <c r="K15" s="31" t="s">
        <v>172</v>
      </c>
      <c r="L15" s="31" t="s">
        <v>173</v>
      </c>
      <c r="M15" s="31" t="s">
        <v>174</v>
      </c>
      <c r="N15" s="32"/>
      <c r="O15" s="309" t="s">
        <v>175</v>
      </c>
    </row>
    <row r="16" spans="1:15" ht="15.75" customHeight="1">
      <c r="A16" s="25">
        <v>3</v>
      </c>
      <c r="B16" s="26"/>
      <c r="C16" s="27" t="s">
        <v>176</v>
      </c>
      <c r="D16" s="28" t="s">
        <v>177</v>
      </c>
      <c r="E16" s="27" t="s">
        <v>178</v>
      </c>
      <c r="F16" s="27" t="s">
        <v>117</v>
      </c>
      <c r="G16" s="26" t="s">
        <v>179</v>
      </c>
      <c r="H16" s="29" t="s">
        <v>180</v>
      </c>
      <c r="I16" s="30" t="s">
        <v>181</v>
      </c>
      <c r="J16" s="29" t="s">
        <v>182</v>
      </c>
      <c r="K16" s="31" t="s">
        <v>183</v>
      </c>
      <c r="L16" s="31" t="s">
        <v>184</v>
      </c>
      <c r="M16" s="31" t="s">
        <v>185</v>
      </c>
      <c r="N16" s="32"/>
      <c r="O16" s="310"/>
    </row>
    <row r="17" spans="1:15" ht="15.75" customHeight="1">
      <c r="A17" s="25">
        <v>4</v>
      </c>
      <c r="B17" s="26"/>
      <c r="C17" s="27" t="s">
        <v>186</v>
      </c>
      <c r="D17" s="28" t="s">
        <v>187</v>
      </c>
      <c r="E17" s="27" t="s">
        <v>188</v>
      </c>
      <c r="F17" s="27" t="s">
        <v>42</v>
      </c>
      <c r="G17" s="26" t="s">
        <v>189</v>
      </c>
      <c r="H17" s="29" t="s">
        <v>190</v>
      </c>
      <c r="I17" s="30" t="s">
        <v>191</v>
      </c>
      <c r="J17" s="29" t="s">
        <v>192</v>
      </c>
      <c r="K17" s="31" t="s">
        <v>193</v>
      </c>
      <c r="L17" s="31" t="s">
        <v>194</v>
      </c>
      <c r="M17" s="31" t="s">
        <v>195</v>
      </c>
      <c r="N17" s="32"/>
      <c r="O17" s="310"/>
    </row>
    <row r="18" spans="1:15" ht="15.75" customHeight="1">
      <c r="A18" s="25">
        <v>5</v>
      </c>
      <c r="B18" s="26"/>
      <c r="C18" s="27" t="s">
        <v>196</v>
      </c>
      <c r="D18" s="28" t="s">
        <v>197</v>
      </c>
      <c r="E18" s="27" t="s">
        <v>198</v>
      </c>
      <c r="F18" s="26" t="s">
        <v>65</v>
      </c>
      <c r="G18" s="26" t="s">
        <v>199</v>
      </c>
      <c r="H18" s="29" t="s">
        <v>200</v>
      </c>
      <c r="I18" s="30" t="s">
        <v>201</v>
      </c>
      <c r="J18" s="29" t="s">
        <v>202</v>
      </c>
      <c r="K18" s="31" t="s">
        <v>203</v>
      </c>
      <c r="L18" s="31" t="s">
        <v>204</v>
      </c>
      <c r="M18" s="31" t="s">
        <v>205</v>
      </c>
      <c r="N18" s="32"/>
      <c r="O18" s="310"/>
    </row>
    <row r="19" spans="1:15" ht="15.75" customHeight="1">
      <c r="A19" s="25">
        <v>6</v>
      </c>
      <c r="B19" s="26"/>
      <c r="C19" s="27" t="s">
        <v>206</v>
      </c>
      <c r="D19" s="28" t="s">
        <v>207</v>
      </c>
      <c r="E19" s="27" t="s">
        <v>208</v>
      </c>
      <c r="F19" s="26" t="s">
        <v>42</v>
      </c>
      <c r="G19" s="26" t="s">
        <v>209</v>
      </c>
      <c r="H19" s="29" t="s">
        <v>210</v>
      </c>
      <c r="I19" s="30" t="s">
        <v>211</v>
      </c>
      <c r="J19" s="29" t="s">
        <v>212</v>
      </c>
      <c r="K19" s="31" t="s">
        <v>213</v>
      </c>
      <c r="L19" s="31" t="s">
        <v>214</v>
      </c>
      <c r="M19" s="31" t="s">
        <v>215</v>
      </c>
      <c r="N19" s="32"/>
      <c r="O19" s="310"/>
    </row>
    <row r="20" spans="1:15" ht="15.75" customHeight="1">
      <c r="A20" s="25">
        <v>7</v>
      </c>
      <c r="B20" s="26"/>
      <c r="C20" s="27" t="s">
        <v>216</v>
      </c>
      <c r="D20" s="28" t="s">
        <v>217</v>
      </c>
      <c r="E20" s="27" t="s">
        <v>218</v>
      </c>
      <c r="F20" s="26" t="s">
        <v>219</v>
      </c>
      <c r="G20" s="26" t="s">
        <v>220</v>
      </c>
      <c r="H20" s="29" t="s">
        <v>221</v>
      </c>
      <c r="I20" s="30" t="s">
        <v>222</v>
      </c>
      <c r="J20" s="29" t="s">
        <v>223</v>
      </c>
      <c r="K20" s="31" t="s">
        <v>224</v>
      </c>
      <c r="L20" s="31" t="s">
        <v>225</v>
      </c>
      <c r="M20" s="31" t="s">
        <v>226</v>
      </c>
      <c r="N20" s="32"/>
      <c r="O20" s="310"/>
    </row>
    <row r="21" spans="1:15" ht="15.75" customHeight="1">
      <c r="A21" s="25">
        <v>8</v>
      </c>
      <c r="B21" s="26"/>
      <c r="C21" s="27" t="s">
        <v>227</v>
      </c>
      <c r="D21" s="28" t="s">
        <v>228</v>
      </c>
      <c r="E21" s="27" t="s">
        <v>229</v>
      </c>
      <c r="F21" s="26" t="s">
        <v>117</v>
      </c>
      <c r="G21" s="26" t="s">
        <v>230</v>
      </c>
      <c r="H21" s="29" t="s">
        <v>231</v>
      </c>
      <c r="I21" s="30" t="s">
        <v>232</v>
      </c>
      <c r="J21" s="29" t="s">
        <v>233</v>
      </c>
      <c r="K21" s="31" t="s">
        <v>234</v>
      </c>
      <c r="L21" s="31" t="s">
        <v>235</v>
      </c>
      <c r="M21" s="31" t="s">
        <v>236</v>
      </c>
      <c r="N21" s="32"/>
      <c r="O21" s="310"/>
    </row>
    <row r="22" spans="1:15" ht="15.75" customHeight="1">
      <c r="A22" s="25">
        <v>9</v>
      </c>
      <c r="B22" s="26"/>
      <c r="C22" s="27" t="s">
        <v>237</v>
      </c>
      <c r="D22" s="28" t="s">
        <v>238</v>
      </c>
      <c r="E22" s="27" t="s">
        <v>239</v>
      </c>
      <c r="F22" s="26" t="s">
        <v>117</v>
      </c>
      <c r="G22" s="26" t="s">
        <v>240</v>
      </c>
      <c r="H22" s="29" t="s">
        <v>241</v>
      </c>
      <c r="I22" s="30" t="s">
        <v>242</v>
      </c>
      <c r="J22" s="29" t="s">
        <v>243</v>
      </c>
      <c r="K22" s="31" t="s">
        <v>244</v>
      </c>
      <c r="L22" s="31" t="s">
        <v>245</v>
      </c>
      <c r="M22" s="31" t="s">
        <v>246</v>
      </c>
      <c r="N22" s="32"/>
      <c r="O22" s="310"/>
    </row>
    <row r="23" spans="1:15" ht="15.75" customHeight="1">
      <c r="A23" s="25">
        <v>10</v>
      </c>
      <c r="B23" s="26"/>
      <c r="C23" s="27" t="s">
        <v>247</v>
      </c>
      <c r="D23" s="28" t="s">
        <v>248</v>
      </c>
      <c r="E23" s="27" t="s">
        <v>249</v>
      </c>
      <c r="F23" s="26" t="s">
        <v>30</v>
      </c>
      <c r="G23" s="26" t="s">
        <v>250</v>
      </c>
      <c r="H23" s="29" t="s">
        <v>251</v>
      </c>
      <c r="I23" s="30" t="s">
        <v>252</v>
      </c>
      <c r="J23" s="29" t="s">
        <v>253</v>
      </c>
      <c r="K23" s="31" t="s">
        <v>254</v>
      </c>
      <c r="L23" s="31" t="s">
        <v>255</v>
      </c>
      <c r="M23" s="31" t="s">
        <v>256</v>
      </c>
      <c r="N23" s="32"/>
      <c r="O23" s="310"/>
    </row>
    <row r="24" spans="1:15" ht="15.75" customHeight="1">
      <c r="A24" s="25">
        <v>11</v>
      </c>
      <c r="B24" s="26"/>
      <c r="C24" s="26" t="s">
        <v>257</v>
      </c>
      <c r="D24" s="28" t="s">
        <v>258</v>
      </c>
      <c r="E24" s="27" t="s">
        <v>259</v>
      </c>
      <c r="F24" s="26" t="s">
        <v>117</v>
      </c>
      <c r="G24" s="26" t="s">
        <v>260</v>
      </c>
      <c r="H24" s="29" t="s">
        <v>261</v>
      </c>
      <c r="I24" s="30" t="s">
        <v>262</v>
      </c>
      <c r="J24" s="29" t="s">
        <v>263</v>
      </c>
      <c r="K24" s="31" t="s">
        <v>264</v>
      </c>
      <c r="L24" s="31" t="s">
        <v>265</v>
      </c>
      <c r="M24" s="31" t="s">
        <v>266</v>
      </c>
      <c r="N24" s="32"/>
      <c r="O24" s="310"/>
    </row>
    <row r="25" spans="1:15" ht="15.75" customHeight="1">
      <c r="A25" s="25">
        <v>12</v>
      </c>
      <c r="B25" s="26"/>
      <c r="C25" s="27" t="s">
        <v>267</v>
      </c>
      <c r="D25" s="28" t="s">
        <v>268</v>
      </c>
      <c r="E25" s="27" t="s">
        <v>269</v>
      </c>
      <c r="F25" s="26" t="s">
        <v>219</v>
      </c>
      <c r="G25" s="26" t="s">
        <v>270</v>
      </c>
      <c r="H25" s="29" t="s">
        <v>271</v>
      </c>
      <c r="I25" s="30" t="s">
        <v>272</v>
      </c>
      <c r="J25" s="29" t="s">
        <v>273</v>
      </c>
      <c r="K25" s="31" t="s">
        <v>274</v>
      </c>
      <c r="L25" s="31" t="s">
        <v>275</v>
      </c>
      <c r="M25" s="31" t="s">
        <v>276</v>
      </c>
      <c r="N25" s="32"/>
      <c r="O25" s="310"/>
    </row>
    <row r="26" spans="1:15" ht="15.75" customHeight="1">
      <c r="A26" s="25">
        <v>13</v>
      </c>
      <c r="B26" s="26"/>
      <c r="C26" s="27" t="s">
        <v>277</v>
      </c>
      <c r="D26" s="28" t="s">
        <v>278</v>
      </c>
      <c r="E26" s="27" t="s">
        <v>279</v>
      </c>
      <c r="F26" s="27" t="s">
        <v>54</v>
      </c>
      <c r="G26" s="26" t="s">
        <v>280</v>
      </c>
      <c r="H26" s="29" t="s">
        <v>281</v>
      </c>
      <c r="I26" s="30" t="s">
        <v>282</v>
      </c>
      <c r="J26" s="29" t="s">
        <v>283</v>
      </c>
      <c r="K26" s="31" t="s">
        <v>284</v>
      </c>
      <c r="L26" s="31" t="s">
        <v>285</v>
      </c>
      <c r="M26" s="31" t="s">
        <v>286</v>
      </c>
      <c r="N26" s="32"/>
      <c r="O26" s="310"/>
    </row>
    <row r="27" spans="1:15" ht="15.75" customHeight="1">
      <c r="A27" s="25">
        <v>14</v>
      </c>
      <c r="B27" s="26"/>
      <c r="C27" s="27" t="s">
        <v>287</v>
      </c>
      <c r="D27" s="28" t="s">
        <v>288</v>
      </c>
      <c r="E27" s="27" t="s">
        <v>289</v>
      </c>
      <c r="F27" s="27" t="s">
        <v>117</v>
      </c>
      <c r="G27" s="26" t="s">
        <v>290</v>
      </c>
      <c r="H27" s="29" t="s">
        <v>291</v>
      </c>
      <c r="I27" s="30" t="s">
        <v>292</v>
      </c>
      <c r="J27" s="29" t="s">
        <v>293</v>
      </c>
      <c r="K27" s="31" t="s">
        <v>294</v>
      </c>
      <c r="L27" s="31" t="s">
        <v>295</v>
      </c>
      <c r="M27" s="31" t="s">
        <v>296</v>
      </c>
      <c r="N27" s="32"/>
      <c r="O27" s="310"/>
    </row>
    <row r="28" spans="1:15" ht="15.75" customHeight="1">
      <c r="A28" s="25">
        <v>15</v>
      </c>
      <c r="B28" s="26"/>
      <c r="C28" s="27" t="s">
        <v>297</v>
      </c>
      <c r="D28" s="28" t="s">
        <v>298</v>
      </c>
      <c r="E28" s="27" t="s">
        <v>299</v>
      </c>
      <c r="F28" s="27" t="s">
        <v>219</v>
      </c>
      <c r="G28" s="26" t="s">
        <v>300</v>
      </c>
      <c r="H28" s="29" t="s">
        <v>301</v>
      </c>
      <c r="I28" s="30" t="s">
        <v>302</v>
      </c>
      <c r="J28" s="29" t="s">
        <v>303</v>
      </c>
      <c r="K28" s="31" t="s">
        <v>304</v>
      </c>
      <c r="L28" s="31" t="s">
        <v>305</v>
      </c>
      <c r="M28" s="31" t="s">
        <v>306</v>
      </c>
      <c r="N28" s="32"/>
      <c r="O28" s="311"/>
    </row>
    <row r="29" spans="1:15" ht="15.75" customHeight="1">
      <c r="A29" s="19">
        <v>1</v>
      </c>
      <c r="B29" s="19"/>
      <c r="C29" s="19" t="s">
        <v>307</v>
      </c>
      <c r="D29" s="20" t="s">
        <v>308</v>
      </c>
      <c r="E29" s="19" t="s">
        <v>309</v>
      </c>
      <c r="F29" s="19" t="s">
        <v>65</v>
      </c>
      <c r="G29" s="19" t="s">
        <v>310</v>
      </c>
      <c r="H29" s="21" t="s">
        <v>311</v>
      </c>
      <c r="I29" s="21" t="s">
        <v>312</v>
      </c>
      <c r="J29" s="21" t="s">
        <v>313</v>
      </c>
      <c r="K29" s="22" t="s">
        <v>314</v>
      </c>
      <c r="L29" s="22" t="s">
        <v>315</v>
      </c>
      <c r="M29" s="22" t="s">
        <v>316</v>
      </c>
      <c r="N29" s="23">
        <v>3</v>
      </c>
      <c r="O29" s="24" t="s">
        <v>38</v>
      </c>
    </row>
    <row r="30" spans="1:15" ht="15.75" customHeight="1">
      <c r="A30" s="25">
        <v>2</v>
      </c>
      <c r="B30" s="26"/>
      <c r="C30" s="27" t="s">
        <v>317</v>
      </c>
      <c r="D30" s="28" t="s">
        <v>318</v>
      </c>
      <c r="E30" s="27" t="s">
        <v>319</v>
      </c>
      <c r="F30" s="27" t="s">
        <v>320</v>
      </c>
      <c r="G30" s="26" t="s">
        <v>321</v>
      </c>
      <c r="H30" s="29" t="s">
        <v>322</v>
      </c>
      <c r="I30" s="30" t="s">
        <v>323</v>
      </c>
      <c r="J30" s="29" t="s">
        <v>324</v>
      </c>
      <c r="K30" s="31" t="s">
        <v>325</v>
      </c>
      <c r="L30" s="31" t="s">
        <v>326</v>
      </c>
      <c r="M30" s="31" t="s">
        <v>327</v>
      </c>
      <c r="N30" s="32"/>
      <c r="O30" s="309" t="s">
        <v>328</v>
      </c>
    </row>
    <row r="31" spans="1:15" ht="15.75" customHeight="1">
      <c r="A31" s="25">
        <v>3</v>
      </c>
      <c r="B31" s="26"/>
      <c r="C31" s="27" t="s">
        <v>329</v>
      </c>
      <c r="D31" s="28" t="s">
        <v>330</v>
      </c>
      <c r="E31" s="27" t="s">
        <v>331</v>
      </c>
      <c r="F31" s="27" t="s">
        <v>65</v>
      </c>
      <c r="G31" s="26" t="s">
        <v>332</v>
      </c>
      <c r="H31" s="29" t="s">
        <v>333</v>
      </c>
      <c r="I31" s="30" t="s">
        <v>334</v>
      </c>
      <c r="J31" s="29" t="s">
        <v>335</v>
      </c>
      <c r="K31" s="31" t="s">
        <v>336</v>
      </c>
      <c r="L31" s="31" t="s">
        <v>337</v>
      </c>
      <c r="M31" s="31" t="s">
        <v>338</v>
      </c>
      <c r="N31" s="32"/>
      <c r="O31" s="310"/>
    </row>
    <row r="32" spans="1:15" ht="15.75" customHeight="1">
      <c r="A32" s="25">
        <v>4</v>
      </c>
      <c r="B32" s="26"/>
      <c r="C32" s="26" t="s">
        <v>339</v>
      </c>
      <c r="D32" s="28" t="s">
        <v>340</v>
      </c>
      <c r="E32" s="27" t="s">
        <v>341</v>
      </c>
      <c r="F32" s="27" t="s">
        <v>65</v>
      </c>
      <c r="G32" s="26" t="s">
        <v>342</v>
      </c>
      <c r="H32" s="29" t="s">
        <v>343</v>
      </c>
      <c r="I32" s="30" t="s">
        <v>344</v>
      </c>
      <c r="J32" s="29" t="s">
        <v>345</v>
      </c>
      <c r="K32" s="31" t="s">
        <v>346</v>
      </c>
      <c r="L32" s="31" t="s">
        <v>347</v>
      </c>
      <c r="M32" s="31" t="s">
        <v>348</v>
      </c>
      <c r="N32" s="32"/>
      <c r="O32" s="310"/>
    </row>
    <row r="33" spans="1:15" ht="15.75" customHeight="1">
      <c r="A33" s="25">
        <v>5</v>
      </c>
      <c r="B33" s="26"/>
      <c r="C33" s="27" t="s">
        <v>349</v>
      </c>
      <c r="D33" s="28" t="s">
        <v>350</v>
      </c>
      <c r="E33" s="27" t="s">
        <v>351</v>
      </c>
      <c r="F33" s="27" t="s">
        <v>65</v>
      </c>
      <c r="G33" s="26" t="s">
        <v>352</v>
      </c>
      <c r="H33" s="29" t="s">
        <v>353</v>
      </c>
      <c r="I33" s="30" t="s">
        <v>354</v>
      </c>
      <c r="J33" s="29" t="s">
        <v>355</v>
      </c>
      <c r="K33" s="31" t="s">
        <v>356</v>
      </c>
      <c r="L33" s="31" t="s">
        <v>357</v>
      </c>
      <c r="M33" s="31" t="s">
        <v>358</v>
      </c>
      <c r="N33" s="32"/>
      <c r="O33" s="310"/>
    </row>
    <row r="34" spans="1:15" ht="15.75" customHeight="1">
      <c r="A34" s="25">
        <v>6</v>
      </c>
      <c r="B34" s="26"/>
      <c r="C34" s="26" t="s">
        <v>359</v>
      </c>
      <c r="D34" s="28" t="s">
        <v>360</v>
      </c>
      <c r="E34" s="27" t="s">
        <v>361</v>
      </c>
      <c r="F34" s="27" t="s">
        <v>65</v>
      </c>
      <c r="G34" s="26" t="s">
        <v>362</v>
      </c>
      <c r="H34" s="29" t="s">
        <v>363</v>
      </c>
      <c r="I34" s="30" t="s">
        <v>364</v>
      </c>
      <c r="J34" s="29" t="s">
        <v>365</v>
      </c>
      <c r="K34" s="31" t="s">
        <v>366</v>
      </c>
      <c r="L34" s="31" t="s">
        <v>367</v>
      </c>
      <c r="M34" s="31" t="s">
        <v>368</v>
      </c>
      <c r="N34" s="32"/>
      <c r="O34" s="310"/>
    </row>
    <row r="35" spans="1:15" ht="15.75" customHeight="1">
      <c r="A35" s="25">
        <v>7</v>
      </c>
      <c r="B35" s="26"/>
      <c r="C35" s="27" t="s">
        <v>369</v>
      </c>
      <c r="D35" s="28" t="s">
        <v>370</v>
      </c>
      <c r="E35" s="27" t="s">
        <v>371</v>
      </c>
      <c r="F35" s="27" t="s">
        <v>42</v>
      </c>
      <c r="G35" s="26" t="s">
        <v>372</v>
      </c>
      <c r="H35" s="29" t="s">
        <v>190</v>
      </c>
      <c r="I35" s="30" t="s">
        <v>191</v>
      </c>
      <c r="J35" s="29" t="s">
        <v>192</v>
      </c>
      <c r="K35" s="31" t="s">
        <v>373</v>
      </c>
      <c r="L35" s="31" t="s">
        <v>374</v>
      </c>
      <c r="M35" s="31" t="s">
        <v>375</v>
      </c>
      <c r="N35" s="32"/>
      <c r="O35" s="310"/>
    </row>
    <row r="36" spans="1:15" ht="15.75" customHeight="1">
      <c r="A36" s="25">
        <v>8</v>
      </c>
      <c r="B36" s="26"/>
      <c r="C36" s="27" t="s">
        <v>376</v>
      </c>
      <c r="D36" s="28" t="s">
        <v>377</v>
      </c>
      <c r="E36" s="27" t="s">
        <v>378</v>
      </c>
      <c r="F36" s="27" t="s">
        <v>42</v>
      </c>
      <c r="G36" s="26" t="s">
        <v>379</v>
      </c>
      <c r="H36" s="29" t="s">
        <v>380</v>
      </c>
      <c r="I36" s="30" t="s">
        <v>381</v>
      </c>
      <c r="J36" s="29" t="s">
        <v>382</v>
      </c>
      <c r="K36" s="31" t="s">
        <v>383</v>
      </c>
      <c r="L36" s="31" t="s">
        <v>384</v>
      </c>
      <c r="M36" s="31" t="s">
        <v>385</v>
      </c>
      <c r="N36" s="32"/>
      <c r="O36" s="310"/>
    </row>
    <row r="37" spans="1:15" ht="15.75" customHeight="1">
      <c r="A37" s="25">
        <v>9</v>
      </c>
      <c r="B37" s="26"/>
      <c r="C37" s="26" t="s">
        <v>386</v>
      </c>
      <c r="D37" s="28" t="s">
        <v>387</v>
      </c>
      <c r="E37" s="27" t="s">
        <v>388</v>
      </c>
      <c r="F37" s="27" t="s">
        <v>65</v>
      </c>
      <c r="G37" s="26" t="s">
        <v>389</v>
      </c>
      <c r="H37" s="29" t="s">
        <v>390</v>
      </c>
      <c r="I37" s="30" t="s">
        <v>391</v>
      </c>
      <c r="J37" s="29" t="s">
        <v>392</v>
      </c>
      <c r="K37" s="31" t="s">
        <v>393</v>
      </c>
      <c r="L37" s="31" t="s">
        <v>394</v>
      </c>
      <c r="M37" s="31" t="s">
        <v>395</v>
      </c>
      <c r="N37" s="32"/>
      <c r="O37" s="310"/>
    </row>
    <row r="38" spans="1:15" ht="15.75" customHeight="1">
      <c r="A38" s="25">
        <v>10</v>
      </c>
      <c r="B38" s="26"/>
      <c r="C38" s="27" t="s">
        <v>396</v>
      </c>
      <c r="D38" s="28" t="s">
        <v>397</v>
      </c>
      <c r="E38" s="27" t="s">
        <v>398</v>
      </c>
      <c r="F38" s="27" t="s">
        <v>42</v>
      </c>
      <c r="G38" s="26" t="s">
        <v>399</v>
      </c>
      <c r="H38" s="29" t="s">
        <v>400</v>
      </c>
      <c r="I38" s="30" t="s">
        <v>401</v>
      </c>
      <c r="J38" s="29" t="s">
        <v>402</v>
      </c>
      <c r="K38" s="31" t="s">
        <v>403</v>
      </c>
      <c r="L38" s="31" t="s">
        <v>404</v>
      </c>
      <c r="M38" s="31" t="s">
        <v>405</v>
      </c>
      <c r="N38" s="32"/>
      <c r="O38" s="310"/>
    </row>
    <row r="39" spans="1:15" ht="15.75" customHeight="1">
      <c r="A39" s="25">
        <v>11</v>
      </c>
      <c r="B39" s="26"/>
      <c r="C39" s="27" t="s">
        <v>406</v>
      </c>
      <c r="D39" s="28" t="s">
        <v>407</v>
      </c>
      <c r="E39" s="27" t="s">
        <v>408</v>
      </c>
      <c r="F39" s="27" t="s">
        <v>65</v>
      </c>
      <c r="G39" s="26" t="s">
        <v>409</v>
      </c>
      <c r="H39" s="29" t="s">
        <v>410</v>
      </c>
      <c r="I39" s="30" t="s">
        <v>411</v>
      </c>
      <c r="J39" s="29" t="s">
        <v>412</v>
      </c>
      <c r="K39" s="31" t="s">
        <v>413</v>
      </c>
      <c r="L39" s="31" t="s">
        <v>414</v>
      </c>
      <c r="M39" s="31" t="s">
        <v>415</v>
      </c>
      <c r="N39" s="32"/>
      <c r="O39" s="310"/>
    </row>
    <row r="40" spans="1:15" ht="15.75" customHeight="1">
      <c r="A40" s="25">
        <v>12</v>
      </c>
      <c r="B40" s="26"/>
      <c r="C40" s="27" t="s">
        <v>416</v>
      </c>
      <c r="D40" s="28" t="s">
        <v>417</v>
      </c>
      <c r="E40" s="27" t="s">
        <v>418</v>
      </c>
      <c r="F40" s="27" t="s">
        <v>42</v>
      </c>
      <c r="G40" s="26" t="s">
        <v>419</v>
      </c>
      <c r="H40" s="29" t="s">
        <v>420</v>
      </c>
      <c r="I40" s="30" t="s">
        <v>421</v>
      </c>
      <c r="J40" s="29" t="s">
        <v>422</v>
      </c>
      <c r="K40" s="31" t="s">
        <v>423</v>
      </c>
      <c r="L40" s="31" t="s">
        <v>424</v>
      </c>
      <c r="M40" s="31" t="s">
        <v>425</v>
      </c>
      <c r="N40" s="32"/>
      <c r="O40" s="310"/>
    </row>
    <row r="41" spans="1:15" ht="15.75" customHeight="1">
      <c r="A41" s="25">
        <v>13</v>
      </c>
      <c r="B41" s="26"/>
      <c r="C41" s="26" t="s">
        <v>426</v>
      </c>
      <c r="D41" s="28" t="s">
        <v>427</v>
      </c>
      <c r="E41" s="27" t="s">
        <v>428</v>
      </c>
      <c r="F41" s="27" t="s">
        <v>65</v>
      </c>
      <c r="G41" s="26" t="s">
        <v>429</v>
      </c>
      <c r="H41" s="29" t="s">
        <v>430</v>
      </c>
      <c r="I41" s="30" t="s">
        <v>431</v>
      </c>
      <c r="J41" s="29" t="s">
        <v>432</v>
      </c>
      <c r="K41" s="31" t="s">
        <v>433</v>
      </c>
      <c r="L41" s="31" t="s">
        <v>434</v>
      </c>
      <c r="M41" s="31" t="s">
        <v>435</v>
      </c>
      <c r="N41" s="32"/>
      <c r="O41" s="310"/>
    </row>
    <row r="42" spans="1:15" ht="15.75" customHeight="1">
      <c r="A42" s="25">
        <v>14</v>
      </c>
      <c r="B42" s="26"/>
      <c r="C42" s="27" t="s">
        <v>436</v>
      </c>
      <c r="D42" s="28" t="s">
        <v>437</v>
      </c>
      <c r="E42" s="27" t="s">
        <v>438</v>
      </c>
      <c r="F42" s="27" t="s">
        <v>439</v>
      </c>
      <c r="G42" s="26" t="s">
        <v>440</v>
      </c>
      <c r="H42" s="29" t="s">
        <v>441</v>
      </c>
      <c r="I42" s="30" t="s">
        <v>442</v>
      </c>
      <c r="J42" s="29" t="s">
        <v>443</v>
      </c>
      <c r="K42" s="31" t="s">
        <v>444</v>
      </c>
      <c r="L42" s="31" t="s">
        <v>445</v>
      </c>
      <c r="M42" s="31" t="s">
        <v>446</v>
      </c>
      <c r="N42" s="32"/>
      <c r="O42" s="310"/>
    </row>
    <row r="43" spans="1:15" ht="15.75" customHeight="1">
      <c r="A43" s="25">
        <v>15</v>
      </c>
      <c r="B43" s="26"/>
      <c r="C43" s="27" t="s">
        <v>447</v>
      </c>
      <c r="D43" s="28" t="s">
        <v>448</v>
      </c>
      <c r="E43" s="27" t="s">
        <v>449</v>
      </c>
      <c r="F43" s="27" t="s">
        <v>65</v>
      </c>
      <c r="G43" s="26" t="s">
        <v>450</v>
      </c>
      <c r="H43" s="29" t="s">
        <v>451</v>
      </c>
      <c r="I43" s="30" t="s">
        <v>452</v>
      </c>
      <c r="J43" s="29" t="s">
        <v>453</v>
      </c>
      <c r="K43" s="31" t="s">
        <v>454</v>
      </c>
      <c r="L43" s="31" t="s">
        <v>455</v>
      </c>
      <c r="M43" s="31" t="s">
        <v>456</v>
      </c>
      <c r="N43" s="32"/>
      <c r="O43" s="310"/>
    </row>
    <row r="44" spans="1:15" ht="15.75" customHeight="1">
      <c r="A44" s="25">
        <v>16</v>
      </c>
      <c r="B44" s="26"/>
      <c r="C44" s="27" t="s">
        <v>457</v>
      </c>
      <c r="D44" s="28" t="s">
        <v>458</v>
      </c>
      <c r="E44" s="27" t="s">
        <v>459</v>
      </c>
      <c r="F44" s="27" t="s">
        <v>460</v>
      </c>
      <c r="G44" s="26" t="s">
        <v>461</v>
      </c>
      <c r="H44" s="29" t="s">
        <v>462</v>
      </c>
      <c r="I44" s="30" t="s">
        <v>463</v>
      </c>
      <c r="J44" s="29" t="s">
        <v>464</v>
      </c>
      <c r="K44" s="31" t="s">
        <v>465</v>
      </c>
      <c r="L44" s="31" t="s">
        <v>466</v>
      </c>
      <c r="M44" s="31" t="s">
        <v>467</v>
      </c>
      <c r="N44" s="32"/>
      <c r="O44" s="310"/>
    </row>
    <row r="45" spans="1:15" ht="15.75" customHeight="1">
      <c r="A45" s="25">
        <v>17</v>
      </c>
      <c r="B45" s="26"/>
      <c r="C45" s="27" t="s">
        <v>468</v>
      </c>
      <c r="D45" s="28" t="s">
        <v>469</v>
      </c>
      <c r="E45" s="27" t="s">
        <v>470</v>
      </c>
      <c r="F45" s="27" t="s">
        <v>219</v>
      </c>
      <c r="G45" s="26" t="s">
        <v>471</v>
      </c>
      <c r="H45" s="29" t="s">
        <v>472</v>
      </c>
      <c r="I45" s="30" t="s">
        <v>473</v>
      </c>
      <c r="J45" s="29" t="s">
        <v>474</v>
      </c>
      <c r="K45" s="31" t="s">
        <v>475</v>
      </c>
      <c r="L45" s="31" t="s">
        <v>476</v>
      </c>
      <c r="M45" s="31" t="s">
        <v>477</v>
      </c>
      <c r="N45" s="32"/>
      <c r="O45" s="310"/>
    </row>
    <row r="46" spans="1:15" ht="15.75" customHeight="1">
      <c r="A46" s="25">
        <v>18</v>
      </c>
      <c r="B46" s="26"/>
      <c r="C46" s="27" t="s">
        <v>478</v>
      </c>
      <c r="D46" s="28" t="s">
        <v>479</v>
      </c>
      <c r="E46" s="27" t="s">
        <v>480</v>
      </c>
      <c r="F46" s="27" t="s">
        <v>54</v>
      </c>
      <c r="G46" s="26" t="s">
        <v>481</v>
      </c>
      <c r="H46" s="29" t="s">
        <v>482</v>
      </c>
      <c r="I46" s="30" t="s">
        <v>483</v>
      </c>
      <c r="J46" s="29" t="s">
        <v>484</v>
      </c>
      <c r="K46" s="31" t="s">
        <v>485</v>
      </c>
      <c r="L46" s="31" t="s">
        <v>486</v>
      </c>
      <c r="M46" s="31" t="s">
        <v>487</v>
      </c>
      <c r="N46" s="32"/>
      <c r="O46" s="310"/>
    </row>
    <row r="47" spans="1:15" ht="15.75" customHeight="1">
      <c r="A47" s="25">
        <v>19</v>
      </c>
      <c r="B47" s="26"/>
      <c r="C47" s="27" t="s">
        <v>488</v>
      </c>
      <c r="D47" s="28" t="s">
        <v>489</v>
      </c>
      <c r="E47" s="27" t="s">
        <v>490</v>
      </c>
      <c r="F47" s="27" t="s">
        <v>320</v>
      </c>
      <c r="G47" s="26" t="s">
        <v>491</v>
      </c>
      <c r="H47" s="29" t="s">
        <v>492</v>
      </c>
      <c r="I47" s="30" t="s">
        <v>493</v>
      </c>
      <c r="J47" s="29" t="s">
        <v>494</v>
      </c>
      <c r="K47" s="31" t="s">
        <v>495</v>
      </c>
      <c r="L47" s="31" t="s">
        <v>496</v>
      </c>
      <c r="M47" s="31" t="s">
        <v>497</v>
      </c>
      <c r="N47" s="32"/>
      <c r="O47" s="310"/>
    </row>
    <row r="48" spans="1:15" ht="15.75" customHeight="1">
      <c r="A48" s="25">
        <v>20</v>
      </c>
      <c r="B48" s="26"/>
      <c r="C48" s="27" t="s">
        <v>498</v>
      </c>
      <c r="D48" s="28" t="s">
        <v>499</v>
      </c>
      <c r="E48" s="27" t="s">
        <v>500</v>
      </c>
      <c r="F48" s="27" t="s">
        <v>501</v>
      </c>
      <c r="G48" s="26" t="s">
        <v>502</v>
      </c>
      <c r="H48" s="29" t="s">
        <v>503</v>
      </c>
      <c r="I48" s="30" t="s">
        <v>504</v>
      </c>
      <c r="J48" s="29" t="s">
        <v>505</v>
      </c>
      <c r="K48" s="31" t="s">
        <v>506</v>
      </c>
      <c r="L48" s="31" t="s">
        <v>507</v>
      </c>
      <c r="M48" s="31" t="s">
        <v>508</v>
      </c>
      <c r="N48" s="32"/>
      <c r="O48" s="310"/>
    </row>
    <row r="49" spans="1:15" ht="15.75" customHeight="1">
      <c r="A49" s="25">
        <v>21</v>
      </c>
      <c r="B49" s="26"/>
      <c r="C49" s="27" t="s">
        <v>509</v>
      </c>
      <c r="D49" s="28" t="s">
        <v>510</v>
      </c>
      <c r="E49" s="27" t="s">
        <v>511</v>
      </c>
      <c r="F49" s="27" t="s">
        <v>219</v>
      </c>
      <c r="G49" s="26" t="s">
        <v>512</v>
      </c>
      <c r="H49" s="29" t="s">
        <v>513</v>
      </c>
      <c r="I49" s="30" t="s">
        <v>514</v>
      </c>
      <c r="J49" s="29" t="s">
        <v>515</v>
      </c>
      <c r="K49" s="31" t="s">
        <v>516</v>
      </c>
      <c r="L49" s="31" t="s">
        <v>517</v>
      </c>
      <c r="M49" s="31" t="s">
        <v>518</v>
      </c>
      <c r="N49" s="32"/>
      <c r="O49" s="310"/>
    </row>
    <row r="50" spans="1:15" ht="15.75" customHeight="1">
      <c r="A50" s="25">
        <v>22</v>
      </c>
      <c r="B50" s="26"/>
      <c r="C50" s="27" t="s">
        <v>519</v>
      </c>
      <c r="D50" s="28" t="s">
        <v>520</v>
      </c>
      <c r="E50" s="27" t="s">
        <v>521</v>
      </c>
      <c r="F50" s="27" t="s">
        <v>42</v>
      </c>
      <c r="G50" s="26" t="s">
        <v>522</v>
      </c>
      <c r="H50" s="29" t="s">
        <v>523</v>
      </c>
      <c r="I50" s="30" t="s">
        <v>524</v>
      </c>
      <c r="J50" s="29" t="s">
        <v>525</v>
      </c>
      <c r="K50" s="31" t="s">
        <v>526</v>
      </c>
      <c r="L50" s="31" t="s">
        <v>527</v>
      </c>
      <c r="M50" s="31" t="s">
        <v>528</v>
      </c>
      <c r="N50" s="32"/>
      <c r="O50" s="310"/>
    </row>
    <row r="51" spans="1:15" ht="15.75" customHeight="1">
      <c r="A51" s="25">
        <v>23</v>
      </c>
      <c r="B51" s="26"/>
      <c r="C51" s="27" t="s">
        <v>529</v>
      </c>
      <c r="D51" s="28" t="s">
        <v>530</v>
      </c>
      <c r="E51" s="27" t="s">
        <v>531</v>
      </c>
      <c r="F51" s="27" t="s">
        <v>117</v>
      </c>
      <c r="G51" s="26" t="s">
        <v>532</v>
      </c>
      <c r="H51" s="29" t="s">
        <v>533</v>
      </c>
      <c r="I51" s="30" t="s">
        <v>534</v>
      </c>
      <c r="J51" s="29" t="s">
        <v>535</v>
      </c>
      <c r="K51" s="31" t="s">
        <v>536</v>
      </c>
      <c r="L51" s="31" t="s">
        <v>537</v>
      </c>
      <c r="M51" s="31" t="s">
        <v>538</v>
      </c>
      <c r="N51" s="32"/>
      <c r="O51" s="311"/>
    </row>
    <row r="52" spans="1:15" ht="15.75" customHeight="1">
      <c r="A52" s="19">
        <v>1</v>
      </c>
      <c r="B52" s="19"/>
      <c r="C52" s="19" t="s">
        <v>539</v>
      </c>
      <c r="D52" s="20" t="s">
        <v>540</v>
      </c>
      <c r="E52" s="19" t="s">
        <v>541</v>
      </c>
      <c r="F52" s="19" t="s">
        <v>117</v>
      </c>
      <c r="G52" s="19" t="s">
        <v>542</v>
      </c>
      <c r="H52" s="21" t="s">
        <v>543</v>
      </c>
      <c r="I52" s="21" t="s">
        <v>544</v>
      </c>
      <c r="J52" s="21" t="s">
        <v>545</v>
      </c>
      <c r="K52" s="22" t="s">
        <v>546</v>
      </c>
      <c r="L52" s="22" t="s">
        <v>547</v>
      </c>
      <c r="M52" s="22" t="s">
        <v>548</v>
      </c>
      <c r="N52" s="23">
        <v>4</v>
      </c>
      <c r="O52" s="24" t="s">
        <v>38</v>
      </c>
    </row>
    <row r="53" spans="1:15" ht="15.75" customHeight="1">
      <c r="A53" s="25">
        <v>2</v>
      </c>
      <c r="B53" s="26"/>
      <c r="C53" s="27" t="s">
        <v>549</v>
      </c>
      <c r="D53" s="28" t="s">
        <v>550</v>
      </c>
      <c r="E53" s="27" t="s">
        <v>551</v>
      </c>
      <c r="F53" s="27" t="s">
        <v>42</v>
      </c>
      <c r="G53" s="26" t="s">
        <v>552</v>
      </c>
      <c r="H53" s="29" t="s">
        <v>553</v>
      </c>
      <c r="I53" s="30" t="s">
        <v>554</v>
      </c>
      <c r="J53" s="29" t="s">
        <v>555</v>
      </c>
      <c r="K53" s="31" t="s">
        <v>556</v>
      </c>
      <c r="L53" s="31" t="s">
        <v>557</v>
      </c>
      <c r="M53" s="31" t="s">
        <v>558</v>
      </c>
      <c r="N53" s="32"/>
      <c r="O53" s="309" t="s">
        <v>559</v>
      </c>
    </row>
    <row r="54" spans="1:15" ht="15.75" customHeight="1">
      <c r="A54" s="25">
        <v>3</v>
      </c>
      <c r="B54" s="26"/>
      <c r="C54" s="27" t="s">
        <v>560</v>
      </c>
      <c r="D54" s="28" t="s">
        <v>561</v>
      </c>
      <c r="E54" s="27" t="s">
        <v>562</v>
      </c>
      <c r="F54" s="27" t="s">
        <v>563</v>
      </c>
      <c r="G54" s="26" t="s">
        <v>564</v>
      </c>
      <c r="H54" s="29" t="s">
        <v>565</v>
      </c>
      <c r="I54" s="30" t="s">
        <v>566</v>
      </c>
      <c r="J54" s="29" t="s">
        <v>567</v>
      </c>
      <c r="K54" s="31" t="s">
        <v>568</v>
      </c>
      <c r="L54" s="31" t="s">
        <v>569</v>
      </c>
      <c r="M54" s="31" t="s">
        <v>570</v>
      </c>
      <c r="N54" s="32"/>
      <c r="O54" s="310"/>
    </row>
    <row r="55" spans="1:15" ht="15.75" customHeight="1">
      <c r="A55" s="25">
        <v>4</v>
      </c>
      <c r="B55" s="26"/>
      <c r="C55" s="27" t="s">
        <v>571</v>
      </c>
      <c r="D55" s="28" t="s">
        <v>572</v>
      </c>
      <c r="E55" s="27" t="s">
        <v>573</v>
      </c>
      <c r="F55" s="27" t="s">
        <v>65</v>
      </c>
      <c r="G55" s="26" t="s">
        <v>574</v>
      </c>
      <c r="H55" s="29" t="s">
        <v>575</v>
      </c>
      <c r="I55" s="30" t="s">
        <v>576</v>
      </c>
      <c r="J55" s="29" t="s">
        <v>577</v>
      </c>
      <c r="K55" s="31" t="s">
        <v>578</v>
      </c>
      <c r="L55" s="31" t="s">
        <v>579</v>
      </c>
      <c r="M55" s="31" t="s">
        <v>580</v>
      </c>
      <c r="N55" s="32"/>
      <c r="O55" s="310"/>
    </row>
    <row r="56" spans="1:15" ht="15.75" customHeight="1">
      <c r="A56" s="25">
        <v>5</v>
      </c>
      <c r="B56" s="26"/>
      <c r="C56" s="27" t="s">
        <v>581</v>
      </c>
      <c r="D56" s="28" t="s">
        <v>582</v>
      </c>
      <c r="E56" s="27" t="s">
        <v>583</v>
      </c>
      <c r="F56" s="27" t="s">
        <v>320</v>
      </c>
      <c r="G56" s="26" t="s">
        <v>584</v>
      </c>
      <c r="H56" s="29" t="s">
        <v>585</v>
      </c>
      <c r="I56" s="30" t="s">
        <v>586</v>
      </c>
      <c r="J56" s="29" t="s">
        <v>587</v>
      </c>
      <c r="K56" s="31" t="s">
        <v>588</v>
      </c>
      <c r="L56" s="31" t="s">
        <v>589</v>
      </c>
      <c r="M56" s="31" t="s">
        <v>590</v>
      </c>
      <c r="N56" s="32"/>
      <c r="O56" s="310"/>
    </row>
    <row r="57" spans="1:15" ht="15.75" customHeight="1">
      <c r="A57" s="25">
        <v>6</v>
      </c>
      <c r="B57" s="26"/>
      <c r="C57" s="27" t="s">
        <v>591</v>
      </c>
      <c r="D57" s="28" t="s">
        <v>592</v>
      </c>
      <c r="E57" s="27" t="s">
        <v>593</v>
      </c>
      <c r="F57" s="27" t="s">
        <v>117</v>
      </c>
      <c r="G57" s="26" t="s">
        <v>594</v>
      </c>
      <c r="H57" s="29" t="s">
        <v>595</v>
      </c>
      <c r="I57" s="30" t="s">
        <v>596</v>
      </c>
      <c r="J57" s="29" t="s">
        <v>597</v>
      </c>
      <c r="K57" s="31" t="s">
        <v>598</v>
      </c>
      <c r="L57" s="31" t="s">
        <v>599</v>
      </c>
      <c r="M57" s="31" t="s">
        <v>600</v>
      </c>
      <c r="N57" s="32"/>
      <c r="O57" s="310"/>
    </row>
    <row r="58" spans="1:15" ht="15.75" customHeight="1">
      <c r="A58" s="25">
        <v>7</v>
      </c>
      <c r="B58" s="26"/>
      <c r="C58" s="27" t="s">
        <v>601</v>
      </c>
      <c r="D58" s="28" t="s">
        <v>602</v>
      </c>
      <c r="E58" s="27" t="s">
        <v>603</v>
      </c>
      <c r="F58" s="27" t="s">
        <v>65</v>
      </c>
      <c r="G58" s="26" t="s">
        <v>604</v>
      </c>
      <c r="H58" s="29" t="s">
        <v>605</v>
      </c>
      <c r="I58" s="30" t="s">
        <v>606</v>
      </c>
      <c r="J58" s="29" t="s">
        <v>607</v>
      </c>
      <c r="K58" s="31" t="s">
        <v>608</v>
      </c>
      <c r="L58" s="31" t="s">
        <v>609</v>
      </c>
      <c r="M58" s="31" t="s">
        <v>610</v>
      </c>
      <c r="N58" s="32"/>
      <c r="O58" s="310"/>
    </row>
    <row r="59" spans="1:15" ht="15.75" customHeight="1">
      <c r="A59" s="25">
        <v>8</v>
      </c>
      <c r="B59" s="26"/>
      <c r="C59" s="27" t="s">
        <v>611</v>
      </c>
      <c r="D59" s="28" t="s">
        <v>612</v>
      </c>
      <c r="E59" s="27" t="s">
        <v>613</v>
      </c>
      <c r="F59" s="27" t="s">
        <v>42</v>
      </c>
      <c r="G59" s="26" t="s">
        <v>614</v>
      </c>
      <c r="H59" s="29" t="s">
        <v>615</v>
      </c>
      <c r="I59" s="30" t="s">
        <v>616</v>
      </c>
      <c r="J59" s="29" t="s">
        <v>617</v>
      </c>
      <c r="K59" s="31" t="s">
        <v>618</v>
      </c>
      <c r="L59" s="31" t="s">
        <v>619</v>
      </c>
      <c r="M59" s="31" t="s">
        <v>620</v>
      </c>
      <c r="N59" s="32"/>
      <c r="O59" s="310"/>
    </row>
    <row r="60" spans="1:15" ht="15.75" customHeight="1">
      <c r="A60" s="25">
        <v>9</v>
      </c>
      <c r="B60" s="26"/>
      <c r="C60" s="27" t="s">
        <v>621</v>
      </c>
      <c r="D60" s="28" t="s">
        <v>622</v>
      </c>
      <c r="E60" s="27" t="s">
        <v>623</v>
      </c>
      <c r="F60" s="27" t="s">
        <v>563</v>
      </c>
      <c r="G60" s="26" t="s">
        <v>624</v>
      </c>
      <c r="H60" s="29" t="s">
        <v>625</v>
      </c>
      <c r="I60" s="30" t="s">
        <v>626</v>
      </c>
      <c r="J60" s="29" t="s">
        <v>627</v>
      </c>
      <c r="K60" s="31" t="s">
        <v>628</v>
      </c>
      <c r="L60" s="31" t="s">
        <v>629</v>
      </c>
      <c r="M60" s="31" t="s">
        <v>630</v>
      </c>
      <c r="N60" s="32"/>
      <c r="O60" s="310"/>
    </row>
    <row r="61" spans="1:15" ht="15.75" customHeight="1">
      <c r="A61" s="25">
        <v>10</v>
      </c>
      <c r="B61" s="26"/>
      <c r="C61" s="27" t="s">
        <v>631</v>
      </c>
      <c r="D61" s="28" t="s">
        <v>632</v>
      </c>
      <c r="E61" s="27" t="s">
        <v>633</v>
      </c>
      <c r="F61" s="27" t="s">
        <v>65</v>
      </c>
      <c r="G61" s="26" t="s">
        <v>634</v>
      </c>
      <c r="H61" s="29" t="s">
        <v>635</v>
      </c>
      <c r="I61" s="30" t="s">
        <v>636</v>
      </c>
      <c r="J61" s="29" t="s">
        <v>637</v>
      </c>
      <c r="K61" s="31" t="s">
        <v>638</v>
      </c>
      <c r="L61" s="31" t="s">
        <v>639</v>
      </c>
      <c r="M61" s="31" t="s">
        <v>640</v>
      </c>
      <c r="N61" s="32"/>
      <c r="O61" s="310"/>
    </row>
    <row r="62" spans="1:15" ht="15.75" customHeight="1">
      <c r="A62" s="25">
        <v>11</v>
      </c>
      <c r="B62" s="26"/>
      <c r="C62" s="27" t="s">
        <v>641</v>
      </c>
      <c r="D62" s="28" t="s">
        <v>642</v>
      </c>
      <c r="E62" s="27" t="s">
        <v>643</v>
      </c>
      <c r="F62" s="27" t="s">
        <v>65</v>
      </c>
      <c r="G62" s="26" t="s">
        <v>644</v>
      </c>
      <c r="H62" s="29" t="s">
        <v>645</v>
      </c>
      <c r="I62" s="30" t="s">
        <v>646</v>
      </c>
      <c r="J62" s="29" t="s">
        <v>647</v>
      </c>
      <c r="K62" s="31" t="s">
        <v>648</v>
      </c>
      <c r="L62" s="31" t="s">
        <v>649</v>
      </c>
      <c r="M62" s="31" t="s">
        <v>650</v>
      </c>
      <c r="N62" s="32"/>
      <c r="O62" s="310"/>
    </row>
    <row r="63" spans="1:15" ht="15.75" customHeight="1">
      <c r="A63" s="25">
        <v>12</v>
      </c>
      <c r="B63" s="26"/>
      <c r="C63" s="27" t="s">
        <v>651</v>
      </c>
      <c r="D63" s="28" t="s">
        <v>652</v>
      </c>
      <c r="E63" s="27" t="s">
        <v>653</v>
      </c>
      <c r="F63" s="27" t="s">
        <v>65</v>
      </c>
      <c r="G63" s="26" t="s">
        <v>654</v>
      </c>
      <c r="H63" s="29" t="s">
        <v>655</v>
      </c>
      <c r="I63" s="30" t="s">
        <v>656</v>
      </c>
      <c r="J63" s="29" t="s">
        <v>657</v>
      </c>
      <c r="K63" s="31" t="s">
        <v>658</v>
      </c>
      <c r="L63" s="31" t="s">
        <v>659</v>
      </c>
      <c r="M63" s="31" t="s">
        <v>660</v>
      </c>
      <c r="N63" s="32"/>
      <c r="O63" s="310"/>
    </row>
    <row r="64" spans="1:15" ht="15.75" customHeight="1">
      <c r="A64" s="25">
        <v>13</v>
      </c>
      <c r="B64" s="26"/>
      <c r="C64" s="27" t="s">
        <v>661</v>
      </c>
      <c r="D64" s="28" t="s">
        <v>662</v>
      </c>
      <c r="E64" s="27" t="s">
        <v>663</v>
      </c>
      <c r="F64" s="27" t="s">
        <v>664</v>
      </c>
      <c r="G64" s="26" t="s">
        <v>665</v>
      </c>
      <c r="H64" s="29" t="s">
        <v>666</v>
      </c>
      <c r="I64" s="30" t="s">
        <v>667</v>
      </c>
      <c r="J64" s="29" t="s">
        <v>668</v>
      </c>
      <c r="K64" s="31" t="s">
        <v>669</v>
      </c>
      <c r="L64" s="31" t="s">
        <v>670</v>
      </c>
      <c r="M64" s="31" t="s">
        <v>671</v>
      </c>
      <c r="N64" s="32"/>
      <c r="O64" s="310"/>
    </row>
    <row r="65" spans="1:15" ht="15.75" customHeight="1">
      <c r="A65" s="25">
        <v>14</v>
      </c>
      <c r="B65" s="26"/>
      <c r="C65" s="27" t="s">
        <v>672</v>
      </c>
      <c r="D65" s="28" t="s">
        <v>673</v>
      </c>
      <c r="E65" s="27" t="s">
        <v>674</v>
      </c>
      <c r="F65" s="27" t="s">
        <v>65</v>
      </c>
      <c r="G65" s="26" t="s">
        <v>675</v>
      </c>
      <c r="H65" s="29" t="s">
        <v>676</v>
      </c>
      <c r="I65" s="30" t="s">
        <v>677</v>
      </c>
      <c r="J65" s="29" t="s">
        <v>678</v>
      </c>
      <c r="K65" s="31" t="s">
        <v>679</v>
      </c>
      <c r="L65" s="31" t="s">
        <v>680</v>
      </c>
      <c r="M65" s="31" t="s">
        <v>681</v>
      </c>
      <c r="N65" s="32"/>
      <c r="O65" s="310"/>
    </row>
    <row r="66" spans="1:15" ht="15.75" customHeight="1">
      <c r="A66" s="25">
        <v>15</v>
      </c>
      <c r="B66" s="26"/>
      <c r="C66" s="27" t="s">
        <v>682</v>
      </c>
      <c r="D66" s="28" t="s">
        <v>683</v>
      </c>
      <c r="E66" s="27" t="s">
        <v>684</v>
      </c>
      <c r="F66" s="27" t="s">
        <v>65</v>
      </c>
      <c r="G66" s="26" t="s">
        <v>685</v>
      </c>
      <c r="H66" s="29" t="s">
        <v>686</v>
      </c>
      <c r="I66" s="30" t="s">
        <v>687</v>
      </c>
      <c r="J66" s="29" t="s">
        <v>688</v>
      </c>
      <c r="K66" s="31" t="s">
        <v>689</v>
      </c>
      <c r="L66" s="31" t="s">
        <v>690</v>
      </c>
      <c r="M66" s="31" t="s">
        <v>691</v>
      </c>
      <c r="N66" s="32"/>
      <c r="O66" s="310"/>
    </row>
    <row r="67" spans="1:15" ht="15.75" customHeight="1">
      <c r="A67" s="25">
        <v>16</v>
      </c>
      <c r="B67" s="26"/>
      <c r="C67" s="26" t="s">
        <v>692</v>
      </c>
      <c r="D67" s="28" t="s">
        <v>693</v>
      </c>
      <c r="E67" s="27" t="s">
        <v>694</v>
      </c>
      <c r="F67" s="27" t="s">
        <v>65</v>
      </c>
      <c r="G67" s="26" t="s">
        <v>695</v>
      </c>
      <c r="H67" s="29" t="s">
        <v>696</v>
      </c>
      <c r="I67" s="30" t="s">
        <v>697</v>
      </c>
      <c r="J67" s="29" t="s">
        <v>698</v>
      </c>
      <c r="K67" s="31" t="s">
        <v>699</v>
      </c>
      <c r="L67" s="31" t="s">
        <v>700</v>
      </c>
      <c r="M67" s="31" t="s">
        <v>701</v>
      </c>
      <c r="N67" s="32"/>
      <c r="O67" s="310"/>
    </row>
    <row r="68" spans="1:15" ht="15.75" customHeight="1">
      <c r="A68" s="25">
        <v>17</v>
      </c>
      <c r="B68" s="26"/>
      <c r="C68" s="27" t="s">
        <v>702</v>
      </c>
      <c r="D68" s="28" t="s">
        <v>703</v>
      </c>
      <c r="E68" s="27" t="s">
        <v>704</v>
      </c>
      <c r="F68" s="27" t="s">
        <v>65</v>
      </c>
      <c r="G68" s="26" t="s">
        <v>705</v>
      </c>
      <c r="H68" s="29" t="s">
        <v>706</v>
      </c>
      <c r="I68" s="30" t="s">
        <v>707</v>
      </c>
      <c r="J68" s="29" t="s">
        <v>708</v>
      </c>
      <c r="K68" s="31" t="s">
        <v>709</v>
      </c>
      <c r="L68" s="31" t="s">
        <v>710</v>
      </c>
      <c r="M68" s="31" t="s">
        <v>711</v>
      </c>
      <c r="N68" s="32"/>
      <c r="O68" s="310"/>
    </row>
    <row r="69" spans="1:15" ht="15.75" customHeight="1">
      <c r="A69" s="25">
        <v>18</v>
      </c>
      <c r="B69" s="26"/>
      <c r="C69" s="27" t="s">
        <v>712</v>
      </c>
      <c r="D69" s="28" t="s">
        <v>713</v>
      </c>
      <c r="E69" s="27" t="s">
        <v>418</v>
      </c>
      <c r="F69" s="27" t="s">
        <v>42</v>
      </c>
      <c r="G69" s="26" t="s">
        <v>714</v>
      </c>
      <c r="H69" s="29" t="s">
        <v>715</v>
      </c>
      <c r="I69" s="30" t="s">
        <v>716</v>
      </c>
      <c r="J69" s="29" t="s">
        <v>717</v>
      </c>
      <c r="K69" s="31" t="s">
        <v>718</v>
      </c>
      <c r="L69" s="31" t="s">
        <v>719</v>
      </c>
      <c r="M69" s="31" t="s">
        <v>720</v>
      </c>
      <c r="N69" s="32"/>
      <c r="O69" s="310"/>
    </row>
    <row r="70" spans="1:15" ht="15.75" customHeight="1">
      <c r="A70" s="25">
        <v>19</v>
      </c>
      <c r="B70" s="26"/>
      <c r="C70" s="27" t="s">
        <v>721</v>
      </c>
      <c r="D70" s="28" t="s">
        <v>722</v>
      </c>
      <c r="E70" s="27" t="s">
        <v>723</v>
      </c>
      <c r="F70" s="27" t="s">
        <v>65</v>
      </c>
      <c r="G70" s="26" t="s">
        <v>724</v>
      </c>
      <c r="H70" s="29" t="s">
        <v>725</v>
      </c>
      <c r="I70" s="30" t="s">
        <v>726</v>
      </c>
      <c r="J70" s="29" t="s">
        <v>727</v>
      </c>
      <c r="K70" s="31" t="s">
        <v>728</v>
      </c>
      <c r="L70" s="31" t="s">
        <v>729</v>
      </c>
      <c r="M70" s="31" t="s">
        <v>730</v>
      </c>
      <c r="N70" s="32"/>
      <c r="O70" s="310"/>
    </row>
    <row r="71" spans="1:15" ht="15.75" customHeight="1">
      <c r="A71" s="25">
        <v>20</v>
      </c>
      <c r="B71" s="26"/>
      <c r="C71" s="27" t="s">
        <v>731</v>
      </c>
      <c r="D71" s="28" t="s">
        <v>732</v>
      </c>
      <c r="E71" s="27" t="s">
        <v>733</v>
      </c>
      <c r="F71" s="27" t="s">
        <v>734</v>
      </c>
      <c r="G71" s="26" t="s">
        <v>735</v>
      </c>
      <c r="H71" s="29" t="s">
        <v>736</v>
      </c>
      <c r="I71" s="30" t="s">
        <v>737</v>
      </c>
      <c r="J71" s="29" t="s">
        <v>738</v>
      </c>
      <c r="K71" s="31" t="s">
        <v>739</v>
      </c>
      <c r="L71" s="31" t="s">
        <v>740</v>
      </c>
      <c r="M71" s="31" t="s">
        <v>741</v>
      </c>
      <c r="N71" s="32"/>
      <c r="O71" s="310"/>
    </row>
    <row r="72" spans="1:15" ht="15.75" customHeight="1">
      <c r="A72" s="25">
        <v>21</v>
      </c>
      <c r="B72" s="26"/>
      <c r="C72" s="27" t="s">
        <v>742</v>
      </c>
      <c r="D72" s="28" t="s">
        <v>743</v>
      </c>
      <c r="E72" s="27" t="s">
        <v>744</v>
      </c>
      <c r="F72" s="27" t="s">
        <v>54</v>
      </c>
      <c r="G72" s="26" t="s">
        <v>745</v>
      </c>
      <c r="H72" s="29" t="s">
        <v>746</v>
      </c>
      <c r="I72" s="30" t="s">
        <v>747</v>
      </c>
      <c r="J72" s="29" t="s">
        <v>748</v>
      </c>
      <c r="K72" s="31" t="s">
        <v>749</v>
      </c>
      <c r="L72" s="31" t="s">
        <v>750</v>
      </c>
      <c r="M72" s="31" t="s">
        <v>751</v>
      </c>
      <c r="N72" s="32"/>
      <c r="O72" s="311"/>
    </row>
    <row r="73" spans="1:15" ht="15.75" customHeight="1">
      <c r="A73" s="19">
        <v>1</v>
      </c>
      <c r="B73" s="19"/>
      <c r="C73" s="19" t="s">
        <v>752</v>
      </c>
      <c r="D73" s="20" t="s">
        <v>753</v>
      </c>
      <c r="E73" s="19" t="s">
        <v>754</v>
      </c>
      <c r="F73" s="19" t="s">
        <v>65</v>
      </c>
      <c r="G73" s="19" t="s">
        <v>755</v>
      </c>
      <c r="H73" s="21" t="s">
        <v>756</v>
      </c>
      <c r="I73" s="21" t="s">
        <v>757</v>
      </c>
      <c r="J73" s="21" t="s">
        <v>758</v>
      </c>
      <c r="K73" s="22" t="s">
        <v>759</v>
      </c>
      <c r="L73" s="22" t="s">
        <v>760</v>
      </c>
      <c r="M73" s="22" t="s">
        <v>761</v>
      </c>
      <c r="N73" s="23">
        <v>5</v>
      </c>
      <c r="O73" s="24" t="s">
        <v>38</v>
      </c>
    </row>
    <row r="74" spans="1:15" ht="15.75" customHeight="1">
      <c r="A74" s="25">
        <v>2</v>
      </c>
      <c r="B74" s="26"/>
      <c r="C74" s="27" t="s">
        <v>762</v>
      </c>
      <c r="D74" s="28" t="s">
        <v>763</v>
      </c>
      <c r="E74" s="27" t="s">
        <v>764</v>
      </c>
      <c r="F74" s="27" t="s">
        <v>65</v>
      </c>
      <c r="G74" s="26" t="s">
        <v>765</v>
      </c>
      <c r="H74" s="29" t="s">
        <v>766</v>
      </c>
      <c r="I74" s="30" t="s">
        <v>767</v>
      </c>
      <c r="J74" s="29" t="s">
        <v>768</v>
      </c>
      <c r="K74" s="31" t="s">
        <v>769</v>
      </c>
      <c r="L74" s="31" t="s">
        <v>770</v>
      </c>
      <c r="M74" s="31" t="s">
        <v>771</v>
      </c>
      <c r="N74" s="32"/>
      <c r="O74" s="309" t="s">
        <v>772</v>
      </c>
    </row>
    <row r="75" spans="1:15" ht="15.75" customHeight="1">
      <c r="A75" s="25">
        <v>3</v>
      </c>
      <c r="B75" s="26"/>
      <c r="C75" s="27" t="s">
        <v>773</v>
      </c>
      <c r="D75" s="28" t="s">
        <v>774</v>
      </c>
      <c r="E75" s="27" t="s">
        <v>775</v>
      </c>
      <c r="F75" s="27" t="s">
        <v>65</v>
      </c>
      <c r="G75" s="26" t="s">
        <v>776</v>
      </c>
      <c r="H75" s="29" t="s">
        <v>777</v>
      </c>
      <c r="I75" s="30" t="s">
        <v>778</v>
      </c>
      <c r="J75" s="29" t="s">
        <v>779</v>
      </c>
      <c r="K75" s="31" t="s">
        <v>780</v>
      </c>
      <c r="L75" s="31" t="s">
        <v>781</v>
      </c>
      <c r="M75" s="31" t="s">
        <v>782</v>
      </c>
      <c r="N75" s="32"/>
      <c r="O75" s="310"/>
    </row>
    <row r="76" spans="1:15" ht="15.75" customHeight="1">
      <c r="A76" s="25">
        <v>4</v>
      </c>
      <c r="B76" s="26"/>
      <c r="C76" s="26" t="s">
        <v>783</v>
      </c>
      <c r="D76" s="28" t="s">
        <v>784</v>
      </c>
      <c r="E76" s="26" t="s">
        <v>785</v>
      </c>
      <c r="F76" s="26" t="s">
        <v>65</v>
      </c>
      <c r="G76" s="26" t="s">
        <v>786</v>
      </c>
      <c r="H76" s="30" t="s">
        <v>787</v>
      </c>
      <c r="I76" s="30" t="s">
        <v>788</v>
      </c>
      <c r="J76" s="33" t="s">
        <v>789</v>
      </c>
      <c r="K76" s="31" t="s">
        <v>790</v>
      </c>
      <c r="L76" s="31" t="s">
        <v>791</v>
      </c>
      <c r="M76" s="31" t="s">
        <v>792</v>
      </c>
      <c r="N76" s="32"/>
      <c r="O76" s="310"/>
    </row>
    <row r="77" spans="1:15" ht="15.75" customHeight="1">
      <c r="A77" s="25">
        <v>5</v>
      </c>
      <c r="B77" s="26"/>
      <c r="C77" s="27" t="s">
        <v>793</v>
      </c>
      <c r="D77" s="28" t="s">
        <v>794</v>
      </c>
      <c r="E77" s="27" t="s">
        <v>795</v>
      </c>
      <c r="F77" s="27" t="s">
        <v>65</v>
      </c>
      <c r="G77" s="26" t="s">
        <v>796</v>
      </c>
      <c r="H77" s="29" t="s">
        <v>797</v>
      </c>
      <c r="I77" s="30" t="s">
        <v>798</v>
      </c>
      <c r="J77" s="29" t="s">
        <v>799</v>
      </c>
      <c r="K77" s="31" t="s">
        <v>800</v>
      </c>
      <c r="L77" s="31" t="s">
        <v>801</v>
      </c>
      <c r="M77" s="31" t="s">
        <v>802</v>
      </c>
      <c r="N77" s="32"/>
      <c r="O77" s="310"/>
    </row>
    <row r="78" spans="1:15" ht="15.75" customHeight="1">
      <c r="A78" s="25">
        <v>6</v>
      </c>
      <c r="B78" s="26"/>
      <c r="C78" s="26" t="s">
        <v>803</v>
      </c>
      <c r="D78" s="28" t="s">
        <v>804</v>
      </c>
      <c r="E78" s="27" t="s">
        <v>805</v>
      </c>
      <c r="F78" s="27" t="s">
        <v>65</v>
      </c>
      <c r="G78" s="26" t="s">
        <v>806</v>
      </c>
      <c r="H78" s="29" t="s">
        <v>807</v>
      </c>
      <c r="I78" s="30" t="s">
        <v>808</v>
      </c>
      <c r="J78" s="29" t="s">
        <v>809</v>
      </c>
      <c r="K78" s="31" t="s">
        <v>810</v>
      </c>
      <c r="L78" s="31" t="s">
        <v>811</v>
      </c>
      <c r="M78" s="31" t="s">
        <v>812</v>
      </c>
      <c r="N78" s="32"/>
      <c r="O78" s="310"/>
    </row>
    <row r="79" spans="1:15" ht="15.75" customHeight="1">
      <c r="A79" s="25">
        <v>7</v>
      </c>
      <c r="B79" s="26"/>
      <c r="C79" s="26" t="s">
        <v>813</v>
      </c>
      <c r="D79" s="28" t="s">
        <v>814</v>
      </c>
      <c r="E79" s="27" t="s">
        <v>815</v>
      </c>
      <c r="F79" s="27" t="s">
        <v>65</v>
      </c>
      <c r="G79" s="26" t="s">
        <v>806</v>
      </c>
      <c r="H79" s="29" t="s">
        <v>816</v>
      </c>
      <c r="I79" s="30" t="s">
        <v>817</v>
      </c>
      <c r="J79" s="29" t="s">
        <v>818</v>
      </c>
      <c r="K79" s="31" t="s">
        <v>819</v>
      </c>
      <c r="L79" s="31" t="s">
        <v>820</v>
      </c>
      <c r="M79" s="31" t="s">
        <v>821</v>
      </c>
      <c r="N79" s="32"/>
      <c r="O79" s="310"/>
    </row>
    <row r="80" spans="1:15" ht="15.75" customHeight="1">
      <c r="A80" s="25">
        <v>8</v>
      </c>
      <c r="B80" s="26"/>
      <c r="C80" s="27" t="s">
        <v>822</v>
      </c>
      <c r="D80" s="28" t="s">
        <v>823</v>
      </c>
      <c r="E80" s="27" t="s">
        <v>824</v>
      </c>
      <c r="F80" s="26" t="s">
        <v>117</v>
      </c>
      <c r="G80" s="26" t="s">
        <v>825</v>
      </c>
      <c r="H80" s="29" t="s">
        <v>826</v>
      </c>
      <c r="I80" s="30" t="s">
        <v>827</v>
      </c>
      <c r="J80" s="29" t="s">
        <v>828</v>
      </c>
      <c r="K80" s="31" t="s">
        <v>829</v>
      </c>
      <c r="L80" s="31" t="s">
        <v>830</v>
      </c>
      <c r="M80" s="31" t="s">
        <v>831</v>
      </c>
      <c r="N80" s="32"/>
      <c r="O80" s="310"/>
    </row>
    <row r="81" spans="1:15" ht="15.75" customHeight="1">
      <c r="A81" s="25">
        <v>9</v>
      </c>
      <c r="B81" s="26"/>
      <c r="C81" s="27" t="s">
        <v>832</v>
      </c>
      <c r="D81" s="28" t="s">
        <v>833</v>
      </c>
      <c r="E81" s="27" t="s">
        <v>834</v>
      </c>
      <c r="F81" s="26" t="s">
        <v>117</v>
      </c>
      <c r="G81" s="26" t="s">
        <v>835</v>
      </c>
      <c r="H81" s="29" t="s">
        <v>836</v>
      </c>
      <c r="I81" s="30" t="s">
        <v>837</v>
      </c>
      <c r="J81" s="29" t="s">
        <v>838</v>
      </c>
      <c r="K81" s="31" t="s">
        <v>839</v>
      </c>
      <c r="L81" s="31" t="s">
        <v>840</v>
      </c>
      <c r="M81" s="31" t="s">
        <v>841</v>
      </c>
      <c r="N81" s="32"/>
      <c r="O81" s="310"/>
    </row>
    <row r="82" spans="1:15" ht="15.75" customHeight="1">
      <c r="A82" s="25">
        <v>10</v>
      </c>
      <c r="B82" s="26"/>
      <c r="C82" s="26" t="s">
        <v>842</v>
      </c>
      <c r="D82" s="28" t="s">
        <v>843</v>
      </c>
      <c r="E82" s="27" t="s">
        <v>844</v>
      </c>
      <c r="F82" s="26"/>
      <c r="G82" s="26" t="s">
        <v>845</v>
      </c>
      <c r="H82" s="29" t="s">
        <v>846</v>
      </c>
      <c r="I82" s="30" t="s">
        <v>847</v>
      </c>
      <c r="J82" s="29" t="s">
        <v>848</v>
      </c>
      <c r="K82" s="31" t="s">
        <v>849</v>
      </c>
      <c r="L82" s="31" t="s">
        <v>850</v>
      </c>
      <c r="M82" s="31" t="s">
        <v>851</v>
      </c>
      <c r="N82" s="32"/>
      <c r="O82" s="310"/>
    </row>
    <row r="83" spans="1:15" ht="15.75" customHeight="1">
      <c r="A83" s="25">
        <v>11</v>
      </c>
      <c r="B83" s="26"/>
      <c r="C83" s="27" t="s">
        <v>852</v>
      </c>
      <c r="D83" s="28" t="s">
        <v>853</v>
      </c>
      <c r="E83" s="27" t="s">
        <v>854</v>
      </c>
      <c r="F83" s="26" t="s">
        <v>117</v>
      </c>
      <c r="G83" s="26" t="s">
        <v>855</v>
      </c>
      <c r="H83" s="29" t="s">
        <v>856</v>
      </c>
      <c r="I83" s="30" t="s">
        <v>857</v>
      </c>
      <c r="J83" s="29" t="s">
        <v>858</v>
      </c>
      <c r="K83" s="31" t="s">
        <v>859</v>
      </c>
      <c r="L83" s="31" t="s">
        <v>860</v>
      </c>
      <c r="M83" s="31" t="s">
        <v>861</v>
      </c>
      <c r="N83" s="32"/>
      <c r="O83" s="310"/>
    </row>
    <row r="84" spans="1:15" ht="15.75" customHeight="1">
      <c r="A84" s="25">
        <v>12</v>
      </c>
      <c r="B84" s="26"/>
      <c r="C84" s="26" t="s">
        <v>862</v>
      </c>
      <c r="D84" s="28" t="s">
        <v>863</v>
      </c>
      <c r="E84" s="27" t="s">
        <v>864</v>
      </c>
      <c r="F84" s="26" t="s">
        <v>65</v>
      </c>
      <c r="G84" s="26" t="s">
        <v>865</v>
      </c>
      <c r="H84" s="29" t="s">
        <v>866</v>
      </c>
      <c r="I84" s="30" t="s">
        <v>867</v>
      </c>
      <c r="J84" s="29" t="s">
        <v>868</v>
      </c>
      <c r="K84" s="31" t="s">
        <v>869</v>
      </c>
      <c r="L84" s="31" t="s">
        <v>870</v>
      </c>
      <c r="M84" s="31" t="s">
        <v>871</v>
      </c>
      <c r="N84" s="32"/>
      <c r="O84" s="310"/>
    </row>
    <row r="85" spans="1:15" ht="15.75" customHeight="1">
      <c r="A85" s="25">
        <v>13</v>
      </c>
      <c r="B85" s="26"/>
      <c r="C85" s="26" t="s">
        <v>872</v>
      </c>
      <c r="D85" s="28" t="s">
        <v>873</v>
      </c>
      <c r="E85" s="27" t="s">
        <v>874</v>
      </c>
      <c r="F85" s="26" t="s">
        <v>65</v>
      </c>
      <c r="G85" s="26" t="s">
        <v>875</v>
      </c>
      <c r="H85" s="29" t="s">
        <v>876</v>
      </c>
      <c r="I85" s="30" t="s">
        <v>877</v>
      </c>
      <c r="J85" s="29" t="s">
        <v>878</v>
      </c>
      <c r="K85" s="31" t="s">
        <v>879</v>
      </c>
      <c r="L85" s="31" t="s">
        <v>880</v>
      </c>
      <c r="M85" s="31" t="s">
        <v>881</v>
      </c>
      <c r="N85" s="32"/>
      <c r="O85" s="310"/>
    </row>
    <row r="86" spans="1:15" ht="15.75" customHeight="1">
      <c r="A86" s="25">
        <v>14</v>
      </c>
      <c r="B86" s="26"/>
      <c r="C86" s="26" t="s">
        <v>882</v>
      </c>
      <c r="D86" s="28" t="s">
        <v>883</v>
      </c>
      <c r="E86" s="27" t="s">
        <v>884</v>
      </c>
      <c r="F86" s="26" t="s">
        <v>885</v>
      </c>
      <c r="G86" s="26" t="s">
        <v>886</v>
      </c>
      <c r="H86" s="29" t="s">
        <v>887</v>
      </c>
      <c r="I86" s="30" t="s">
        <v>888</v>
      </c>
      <c r="J86" s="29" t="s">
        <v>889</v>
      </c>
      <c r="K86" s="31" t="s">
        <v>890</v>
      </c>
      <c r="L86" s="31" t="s">
        <v>891</v>
      </c>
      <c r="M86" s="31" t="s">
        <v>892</v>
      </c>
      <c r="N86" s="32"/>
      <c r="O86" s="310"/>
    </row>
    <row r="87" spans="1:15" ht="15.75" customHeight="1">
      <c r="A87" s="25">
        <v>15</v>
      </c>
      <c r="B87" s="26"/>
      <c r="C87" s="27" t="s">
        <v>893</v>
      </c>
      <c r="D87" s="28" t="s">
        <v>894</v>
      </c>
      <c r="E87" s="27" t="s">
        <v>895</v>
      </c>
      <c r="F87" s="26" t="s">
        <v>65</v>
      </c>
      <c r="G87" s="26" t="s">
        <v>896</v>
      </c>
      <c r="H87" s="29" t="s">
        <v>897</v>
      </c>
      <c r="I87" s="30" t="s">
        <v>898</v>
      </c>
      <c r="J87" s="29" t="s">
        <v>899</v>
      </c>
      <c r="K87" s="31" t="s">
        <v>900</v>
      </c>
      <c r="L87" s="31" t="s">
        <v>901</v>
      </c>
      <c r="M87" s="31" t="s">
        <v>902</v>
      </c>
      <c r="N87" s="32"/>
      <c r="O87" s="310"/>
    </row>
    <row r="88" spans="1:15" ht="15.75" customHeight="1">
      <c r="A88" s="25">
        <v>16</v>
      </c>
      <c r="B88" s="26"/>
      <c r="C88" s="26" t="s">
        <v>903</v>
      </c>
      <c r="D88" s="28" t="s">
        <v>904</v>
      </c>
      <c r="E88" s="27" t="s">
        <v>905</v>
      </c>
      <c r="F88" s="26" t="s">
        <v>117</v>
      </c>
      <c r="G88" s="26" t="s">
        <v>906</v>
      </c>
      <c r="H88" s="30" t="s">
        <v>907</v>
      </c>
      <c r="I88" s="30" t="s">
        <v>908</v>
      </c>
      <c r="J88" s="30" t="s">
        <v>909</v>
      </c>
      <c r="K88" s="31" t="s">
        <v>910</v>
      </c>
      <c r="L88" s="31" t="s">
        <v>911</v>
      </c>
      <c r="M88" s="31" t="s">
        <v>912</v>
      </c>
      <c r="N88" s="32"/>
      <c r="O88" s="310"/>
    </row>
    <row r="89" spans="1:15" ht="15.75" customHeight="1">
      <c r="A89" s="25">
        <v>17</v>
      </c>
      <c r="B89" s="26"/>
      <c r="C89" s="26" t="s">
        <v>913</v>
      </c>
      <c r="D89" s="28" t="s">
        <v>914</v>
      </c>
      <c r="E89" s="27" t="s">
        <v>915</v>
      </c>
      <c r="F89" s="26" t="s">
        <v>54</v>
      </c>
      <c r="G89" s="26" t="s">
        <v>916</v>
      </c>
      <c r="H89" s="30" t="s">
        <v>917</v>
      </c>
      <c r="I89" s="30" t="s">
        <v>918</v>
      </c>
      <c r="J89" s="30" t="s">
        <v>919</v>
      </c>
      <c r="K89" s="31" t="s">
        <v>920</v>
      </c>
      <c r="L89" s="31" t="s">
        <v>921</v>
      </c>
      <c r="M89" s="31" t="s">
        <v>922</v>
      </c>
      <c r="N89" s="32"/>
      <c r="O89" s="310"/>
    </row>
    <row r="90" spans="1:15" ht="15.75" customHeight="1">
      <c r="A90" s="25">
        <v>18</v>
      </c>
      <c r="B90" s="26"/>
      <c r="C90" s="26" t="s">
        <v>923</v>
      </c>
      <c r="D90" s="28" t="s">
        <v>924</v>
      </c>
      <c r="E90" s="27" t="s">
        <v>925</v>
      </c>
      <c r="F90" s="26" t="s">
        <v>65</v>
      </c>
      <c r="G90" s="26" t="s">
        <v>926</v>
      </c>
      <c r="H90" s="30" t="s">
        <v>927</v>
      </c>
      <c r="I90" s="30" t="s">
        <v>928</v>
      </c>
      <c r="J90" s="30" t="s">
        <v>929</v>
      </c>
      <c r="K90" s="31" t="s">
        <v>930</v>
      </c>
      <c r="L90" s="31" t="s">
        <v>931</v>
      </c>
      <c r="M90" s="31" t="s">
        <v>932</v>
      </c>
      <c r="N90" s="32"/>
      <c r="O90" s="310"/>
    </row>
    <row r="91" spans="1:15" ht="15.75" customHeight="1">
      <c r="A91" s="25">
        <v>19</v>
      </c>
      <c r="B91" s="26"/>
      <c r="C91" s="26" t="s">
        <v>933</v>
      </c>
      <c r="D91" s="28" t="s">
        <v>934</v>
      </c>
      <c r="E91" s="27" t="s">
        <v>935</v>
      </c>
      <c r="F91" s="26" t="s">
        <v>219</v>
      </c>
      <c r="G91" s="26" t="s">
        <v>936</v>
      </c>
      <c r="H91" s="30" t="s">
        <v>937</v>
      </c>
      <c r="I91" s="30" t="s">
        <v>938</v>
      </c>
      <c r="J91" s="30" t="s">
        <v>939</v>
      </c>
      <c r="K91" s="31" t="s">
        <v>940</v>
      </c>
      <c r="L91" s="31" t="s">
        <v>941</v>
      </c>
      <c r="M91" s="31" t="s">
        <v>942</v>
      </c>
      <c r="N91" s="32"/>
      <c r="O91" s="310"/>
    </row>
    <row r="92" spans="1:15" ht="15.75" customHeight="1">
      <c r="A92" s="25">
        <v>20</v>
      </c>
      <c r="B92" s="26"/>
      <c r="C92" s="26" t="s">
        <v>943</v>
      </c>
      <c r="D92" s="28" t="s">
        <v>944</v>
      </c>
      <c r="E92" s="27" t="s">
        <v>945</v>
      </c>
      <c r="F92" s="26" t="s">
        <v>54</v>
      </c>
      <c r="G92" s="26" t="s">
        <v>946</v>
      </c>
      <c r="H92" s="30" t="s">
        <v>947</v>
      </c>
      <c r="I92" s="30" t="s">
        <v>948</v>
      </c>
      <c r="J92" s="30" t="s">
        <v>949</v>
      </c>
      <c r="K92" s="31" t="s">
        <v>950</v>
      </c>
      <c r="L92" s="31" t="s">
        <v>951</v>
      </c>
      <c r="M92" s="31" t="s">
        <v>952</v>
      </c>
      <c r="N92" s="32"/>
      <c r="O92" s="310"/>
    </row>
    <row r="93" spans="1:15" ht="15.75" customHeight="1">
      <c r="A93" s="25">
        <v>21</v>
      </c>
      <c r="B93" s="26"/>
      <c r="C93" s="26" t="s">
        <v>953</v>
      </c>
      <c r="D93" s="28" t="s">
        <v>954</v>
      </c>
      <c r="E93" s="27" t="s">
        <v>955</v>
      </c>
      <c r="F93" s="26" t="s">
        <v>117</v>
      </c>
      <c r="G93" s="26" t="s">
        <v>956</v>
      </c>
      <c r="H93" s="30" t="s">
        <v>957</v>
      </c>
      <c r="I93" s="30" t="s">
        <v>958</v>
      </c>
      <c r="J93" s="30" t="s">
        <v>959</v>
      </c>
      <c r="K93" s="31" t="s">
        <v>960</v>
      </c>
      <c r="L93" s="31" t="s">
        <v>961</v>
      </c>
      <c r="M93" s="31" t="s">
        <v>962</v>
      </c>
      <c r="N93" s="32"/>
      <c r="O93" s="310"/>
    </row>
    <row r="94" spans="1:15" ht="15.75" customHeight="1">
      <c r="A94" s="25">
        <v>22</v>
      </c>
      <c r="B94" s="26"/>
      <c r="C94" s="26" t="s">
        <v>963</v>
      </c>
      <c r="D94" s="28" t="s">
        <v>964</v>
      </c>
      <c r="E94" s="27" t="s">
        <v>418</v>
      </c>
      <c r="F94" s="26" t="s">
        <v>42</v>
      </c>
      <c r="G94" s="26" t="s">
        <v>965</v>
      </c>
      <c r="H94" s="30" t="s">
        <v>966</v>
      </c>
      <c r="I94" s="30" t="s">
        <v>967</v>
      </c>
      <c r="J94" s="30" t="s">
        <v>968</v>
      </c>
      <c r="K94" s="31" t="s">
        <v>969</v>
      </c>
      <c r="L94" s="31" t="s">
        <v>970</v>
      </c>
      <c r="M94" s="31" t="s">
        <v>971</v>
      </c>
      <c r="N94" s="32"/>
      <c r="O94" s="311"/>
    </row>
    <row r="95" spans="1:15" ht="15.75" customHeight="1">
      <c r="A95" s="19">
        <v>1</v>
      </c>
      <c r="B95" s="19"/>
      <c r="C95" s="19" t="s">
        <v>972</v>
      </c>
      <c r="D95" s="20" t="s">
        <v>973</v>
      </c>
      <c r="E95" s="19" t="s">
        <v>974</v>
      </c>
      <c r="F95" s="19" t="s">
        <v>65</v>
      </c>
      <c r="G95" s="19" t="s">
        <v>975</v>
      </c>
      <c r="H95" s="21" t="s">
        <v>976</v>
      </c>
      <c r="I95" s="21" t="s">
        <v>977</v>
      </c>
      <c r="J95" s="21" t="s">
        <v>978</v>
      </c>
      <c r="K95" s="22" t="s">
        <v>979</v>
      </c>
      <c r="L95" s="22" t="s">
        <v>980</v>
      </c>
      <c r="M95" s="22" t="s">
        <v>981</v>
      </c>
      <c r="N95" s="23">
        <v>6</v>
      </c>
      <c r="O95" s="24" t="s">
        <v>38</v>
      </c>
    </row>
    <row r="96" spans="1:15" ht="15.75" customHeight="1">
      <c r="A96" s="25">
        <v>2</v>
      </c>
      <c r="B96" s="26"/>
      <c r="C96" s="26" t="s">
        <v>982</v>
      </c>
      <c r="D96" s="28" t="s">
        <v>983</v>
      </c>
      <c r="E96" s="27" t="s">
        <v>984</v>
      </c>
      <c r="F96" s="27" t="s">
        <v>65</v>
      </c>
      <c r="G96" s="26" t="s">
        <v>985</v>
      </c>
      <c r="H96" s="29" t="s">
        <v>986</v>
      </c>
      <c r="I96" s="30" t="s">
        <v>987</v>
      </c>
      <c r="J96" s="29" t="s">
        <v>988</v>
      </c>
      <c r="K96" s="31" t="s">
        <v>989</v>
      </c>
      <c r="L96" s="31" t="s">
        <v>990</v>
      </c>
      <c r="M96" s="31" t="s">
        <v>991</v>
      </c>
      <c r="N96" s="32"/>
      <c r="O96" s="309" t="s">
        <v>992</v>
      </c>
    </row>
    <row r="97" spans="1:15" ht="15.75" customHeight="1">
      <c r="A97" s="25">
        <v>3</v>
      </c>
      <c r="B97" s="26"/>
      <c r="C97" s="27" t="s">
        <v>762</v>
      </c>
      <c r="D97" s="28" t="s">
        <v>763</v>
      </c>
      <c r="E97" s="27" t="s">
        <v>764</v>
      </c>
      <c r="F97" s="27" t="s">
        <v>65</v>
      </c>
      <c r="G97" s="26" t="s">
        <v>765</v>
      </c>
      <c r="H97" s="29" t="s">
        <v>766</v>
      </c>
      <c r="I97" s="30" t="s">
        <v>767</v>
      </c>
      <c r="J97" s="29" t="s">
        <v>768</v>
      </c>
      <c r="K97" s="31" t="s">
        <v>993</v>
      </c>
      <c r="L97" s="31" t="s">
        <v>994</v>
      </c>
      <c r="M97" s="31" t="s">
        <v>995</v>
      </c>
      <c r="N97" s="32"/>
      <c r="O97" s="310"/>
    </row>
    <row r="98" spans="1:15" ht="15.75" customHeight="1">
      <c r="A98" s="25">
        <v>4</v>
      </c>
      <c r="B98" s="26"/>
      <c r="C98" s="27" t="s">
        <v>996</v>
      </c>
      <c r="D98" s="28" t="s">
        <v>997</v>
      </c>
      <c r="E98" s="27" t="s">
        <v>998</v>
      </c>
      <c r="F98" s="27" t="s">
        <v>65</v>
      </c>
      <c r="G98" s="26" t="s">
        <v>999</v>
      </c>
      <c r="H98" s="29" t="s">
        <v>1000</v>
      </c>
      <c r="I98" s="30" t="s">
        <v>1001</v>
      </c>
      <c r="J98" s="29" t="s">
        <v>1002</v>
      </c>
      <c r="K98" s="31" t="s">
        <v>1003</v>
      </c>
      <c r="L98" s="31" t="s">
        <v>1004</v>
      </c>
      <c r="M98" s="31" t="s">
        <v>1005</v>
      </c>
      <c r="N98" s="32"/>
      <c r="O98" s="310"/>
    </row>
    <row r="99" spans="1:15" ht="15.75" customHeight="1">
      <c r="A99" s="25">
        <v>5</v>
      </c>
      <c r="B99" s="26"/>
      <c r="C99" s="27" t="s">
        <v>1006</v>
      </c>
      <c r="D99" s="28" t="s">
        <v>1007</v>
      </c>
      <c r="E99" s="27" t="s">
        <v>1008</v>
      </c>
      <c r="F99" s="27" t="s">
        <v>117</v>
      </c>
      <c r="G99" s="26" t="s">
        <v>1009</v>
      </c>
      <c r="H99" s="29" t="s">
        <v>1010</v>
      </c>
      <c r="I99" s="30" t="s">
        <v>1011</v>
      </c>
      <c r="J99" s="29" t="s">
        <v>1012</v>
      </c>
      <c r="K99" s="31" t="s">
        <v>1013</v>
      </c>
      <c r="L99" s="31" t="s">
        <v>1014</v>
      </c>
      <c r="M99" s="31" t="s">
        <v>1015</v>
      </c>
      <c r="N99" s="32"/>
      <c r="O99" s="310"/>
    </row>
    <row r="100" spans="1:15" ht="15.75" customHeight="1">
      <c r="A100" s="25">
        <v>6</v>
      </c>
      <c r="B100" s="26"/>
      <c r="C100" s="27" t="s">
        <v>1016</v>
      </c>
      <c r="D100" s="28" t="s">
        <v>1017</v>
      </c>
      <c r="E100" s="27" t="s">
        <v>1018</v>
      </c>
      <c r="F100" s="27" t="s">
        <v>42</v>
      </c>
      <c r="G100" s="26" t="s">
        <v>1019</v>
      </c>
      <c r="H100" s="29" t="s">
        <v>1020</v>
      </c>
      <c r="I100" s="30" t="s">
        <v>1021</v>
      </c>
      <c r="J100" s="29" t="s">
        <v>1022</v>
      </c>
      <c r="K100" s="31" t="s">
        <v>1023</v>
      </c>
      <c r="L100" s="31" t="s">
        <v>1024</v>
      </c>
      <c r="M100" s="31" t="s">
        <v>1025</v>
      </c>
      <c r="N100" s="32"/>
      <c r="O100" s="310"/>
    </row>
    <row r="101" spans="1:15" ht="15.75" customHeight="1">
      <c r="A101" s="25">
        <v>7</v>
      </c>
      <c r="B101" s="26"/>
      <c r="C101" s="27" t="s">
        <v>529</v>
      </c>
      <c r="D101" s="28" t="s">
        <v>530</v>
      </c>
      <c r="E101" s="27" t="s">
        <v>531</v>
      </c>
      <c r="F101" s="27" t="s">
        <v>117</v>
      </c>
      <c r="G101" s="26" t="s">
        <v>532</v>
      </c>
      <c r="H101" s="29" t="s">
        <v>533</v>
      </c>
      <c r="I101" s="30" t="s">
        <v>534</v>
      </c>
      <c r="J101" s="29" t="s">
        <v>535</v>
      </c>
      <c r="K101" s="31" t="s">
        <v>1026</v>
      </c>
      <c r="L101" s="31" t="s">
        <v>1027</v>
      </c>
      <c r="M101" s="31" t="s">
        <v>1028</v>
      </c>
      <c r="N101" s="32"/>
      <c r="O101" s="310"/>
    </row>
    <row r="102" spans="1:15" ht="15.75" customHeight="1">
      <c r="A102" s="25">
        <v>8</v>
      </c>
      <c r="B102" s="26"/>
      <c r="C102" s="26" t="s">
        <v>1029</v>
      </c>
      <c r="D102" s="28" t="s">
        <v>1030</v>
      </c>
      <c r="E102" s="27" t="s">
        <v>1031</v>
      </c>
      <c r="F102" s="27" t="s">
        <v>65</v>
      </c>
      <c r="G102" s="26" t="s">
        <v>1032</v>
      </c>
      <c r="H102" s="29" t="s">
        <v>1033</v>
      </c>
      <c r="I102" s="30" t="s">
        <v>1034</v>
      </c>
      <c r="J102" s="30" t="s">
        <v>1035</v>
      </c>
      <c r="K102" s="31" t="s">
        <v>1036</v>
      </c>
      <c r="L102" s="31" t="s">
        <v>1037</v>
      </c>
      <c r="M102" s="31" t="s">
        <v>1038</v>
      </c>
      <c r="N102" s="32"/>
      <c r="O102" s="310"/>
    </row>
    <row r="103" spans="1:15" ht="15.75" customHeight="1">
      <c r="A103" s="25">
        <v>9</v>
      </c>
      <c r="B103" s="26"/>
      <c r="C103" s="27" t="s">
        <v>1039</v>
      </c>
      <c r="D103" s="28" t="s">
        <v>1040</v>
      </c>
      <c r="E103" s="27" t="s">
        <v>1041</v>
      </c>
      <c r="F103" s="27" t="s">
        <v>117</v>
      </c>
      <c r="G103" s="26" t="s">
        <v>1042</v>
      </c>
      <c r="H103" s="29" t="s">
        <v>1043</v>
      </c>
      <c r="I103" s="30" t="s">
        <v>1044</v>
      </c>
      <c r="J103" s="29" t="s">
        <v>1045</v>
      </c>
      <c r="K103" s="31" t="s">
        <v>1046</v>
      </c>
      <c r="L103" s="31" t="s">
        <v>1047</v>
      </c>
      <c r="M103" s="31" t="s">
        <v>1048</v>
      </c>
      <c r="N103" s="32"/>
      <c r="O103" s="310"/>
    </row>
    <row r="104" spans="1:15" ht="15.75" customHeight="1">
      <c r="A104" s="25">
        <v>10</v>
      </c>
      <c r="B104" s="26"/>
      <c r="C104" s="26" t="s">
        <v>1049</v>
      </c>
      <c r="D104" s="28" t="s">
        <v>1050</v>
      </c>
      <c r="E104" s="27" t="s">
        <v>1051</v>
      </c>
      <c r="F104" s="26" t="s">
        <v>65</v>
      </c>
      <c r="G104" s="26" t="s">
        <v>1052</v>
      </c>
      <c r="H104" s="30" t="s">
        <v>1053</v>
      </c>
      <c r="I104" s="30" t="s">
        <v>1054</v>
      </c>
      <c r="J104" s="30" t="s">
        <v>1055</v>
      </c>
      <c r="K104" s="31" t="s">
        <v>1056</v>
      </c>
      <c r="L104" s="31" t="s">
        <v>1057</v>
      </c>
      <c r="M104" s="31" t="s">
        <v>1058</v>
      </c>
      <c r="N104" s="32"/>
      <c r="O104" s="310"/>
    </row>
    <row r="105" spans="1:15" ht="15.75" customHeight="1">
      <c r="A105" s="25">
        <v>11</v>
      </c>
      <c r="B105" s="26"/>
      <c r="C105" s="27" t="s">
        <v>1059</v>
      </c>
      <c r="D105" s="28" t="s">
        <v>1060</v>
      </c>
      <c r="E105" s="27" t="s">
        <v>1061</v>
      </c>
      <c r="F105" s="27" t="s">
        <v>563</v>
      </c>
      <c r="G105" s="26" t="s">
        <v>1062</v>
      </c>
      <c r="H105" s="29" t="s">
        <v>1063</v>
      </c>
      <c r="I105" s="30" t="s">
        <v>1064</v>
      </c>
      <c r="J105" s="29" t="s">
        <v>1065</v>
      </c>
      <c r="K105" s="31" t="s">
        <v>1066</v>
      </c>
      <c r="L105" s="31" t="s">
        <v>1067</v>
      </c>
      <c r="M105" s="31" t="s">
        <v>1068</v>
      </c>
      <c r="N105" s="32"/>
      <c r="O105" s="310"/>
    </row>
    <row r="106" spans="1:15" ht="15.75" customHeight="1">
      <c r="A106" s="25">
        <v>12</v>
      </c>
      <c r="B106" s="26"/>
      <c r="C106" s="27" t="s">
        <v>1069</v>
      </c>
      <c r="D106" s="28" t="s">
        <v>1070</v>
      </c>
      <c r="E106" s="27" t="s">
        <v>1071</v>
      </c>
      <c r="F106" s="26" t="s">
        <v>65</v>
      </c>
      <c r="G106" s="26" t="s">
        <v>1072</v>
      </c>
      <c r="H106" s="29" t="s">
        <v>1073</v>
      </c>
      <c r="I106" s="30" t="s">
        <v>1074</v>
      </c>
      <c r="J106" s="29" t="s">
        <v>1075</v>
      </c>
      <c r="K106" s="31" t="s">
        <v>1076</v>
      </c>
      <c r="L106" s="31" t="s">
        <v>1077</v>
      </c>
      <c r="M106" s="31" t="s">
        <v>1078</v>
      </c>
      <c r="N106" s="32"/>
      <c r="O106" s="310"/>
    </row>
    <row r="107" spans="1:15" ht="15.75" customHeight="1">
      <c r="A107" s="25">
        <v>13</v>
      </c>
      <c r="B107" s="26"/>
      <c r="C107" s="26" t="s">
        <v>1079</v>
      </c>
      <c r="D107" s="28" t="s">
        <v>1080</v>
      </c>
      <c r="E107" s="26" t="s">
        <v>1081</v>
      </c>
      <c r="F107" s="26" t="s">
        <v>117</v>
      </c>
      <c r="G107" s="26" t="s">
        <v>1082</v>
      </c>
      <c r="H107" s="30" t="s">
        <v>1083</v>
      </c>
      <c r="I107" s="30" t="s">
        <v>1084</v>
      </c>
      <c r="J107" s="30" t="s">
        <v>1085</v>
      </c>
      <c r="K107" s="31" t="s">
        <v>1086</v>
      </c>
      <c r="L107" s="31" t="s">
        <v>1087</v>
      </c>
      <c r="M107" s="31" t="s">
        <v>1088</v>
      </c>
      <c r="N107" s="32"/>
      <c r="O107" s="310"/>
    </row>
    <row r="108" spans="1:15" ht="15.75" customHeight="1">
      <c r="A108" s="25">
        <v>14</v>
      </c>
      <c r="B108" s="26"/>
      <c r="C108" s="26" t="s">
        <v>1089</v>
      </c>
      <c r="D108" s="28" t="s">
        <v>1090</v>
      </c>
      <c r="E108" s="27" t="s">
        <v>1091</v>
      </c>
      <c r="F108" s="26" t="s">
        <v>65</v>
      </c>
      <c r="G108" s="26" t="s">
        <v>1092</v>
      </c>
      <c r="H108" s="29" t="s">
        <v>1093</v>
      </c>
      <c r="I108" s="30" t="s">
        <v>1094</v>
      </c>
      <c r="J108" s="30" t="s">
        <v>1095</v>
      </c>
      <c r="K108" s="31" t="s">
        <v>1096</v>
      </c>
      <c r="L108" s="31" t="s">
        <v>1097</v>
      </c>
      <c r="M108" s="31" t="s">
        <v>1098</v>
      </c>
      <c r="N108" s="32"/>
      <c r="O108" s="310"/>
    </row>
    <row r="109" spans="1:15" ht="15.75" customHeight="1">
      <c r="A109" s="25">
        <v>15</v>
      </c>
      <c r="B109" s="26"/>
      <c r="C109" s="26" t="s">
        <v>1099</v>
      </c>
      <c r="D109" s="28" t="s">
        <v>1100</v>
      </c>
      <c r="E109" s="27" t="s">
        <v>1101</v>
      </c>
      <c r="F109" s="26" t="s">
        <v>42</v>
      </c>
      <c r="G109" s="26" t="s">
        <v>1102</v>
      </c>
      <c r="H109" s="29" t="s">
        <v>1103</v>
      </c>
      <c r="I109" s="30" t="s">
        <v>1104</v>
      </c>
      <c r="J109" s="30" t="s">
        <v>1105</v>
      </c>
      <c r="K109" s="31" t="s">
        <v>1106</v>
      </c>
      <c r="L109" s="31" t="s">
        <v>1107</v>
      </c>
      <c r="M109" s="31" t="s">
        <v>1108</v>
      </c>
      <c r="N109" s="32"/>
      <c r="O109" s="310"/>
    </row>
    <row r="110" spans="1:15" ht="15.75" customHeight="1">
      <c r="A110" s="25">
        <v>16</v>
      </c>
      <c r="B110" s="26"/>
      <c r="C110" s="26" t="s">
        <v>1109</v>
      </c>
      <c r="D110" s="28" t="s">
        <v>1110</v>
      </c>
      <c r="E110" s="27" t="s">
        <v>1111</v>
      </c>
      <c r="F110" s="26" t="s">
        <v>65</v>
      </c>
      <c r="G110" s="26" t="s">
        <v>1112</v>
      </c>
      <c r="H110" s="29" t="s">
        <v>1113</v>
      </c>
      <c r="I110" s="30" t="s">
        <v>1114</v>
      </c>
      <c r="J110" s="30" t="s">
        <v>1115</v>
      </c>
      <c r="K110" s="31" t="s">
        <v>1116</v>
      </c>
      <c r="L110" s="31" t="s">
        <v>1117</v>
      </c>
      <c r="M110" s="31" t="s">
        <v>1118</v>
      </c>
      <c r="N110" s="32"/>
      <c r="O110" s="310"/>
    </row>
    <row r="111" spans="1:15" ht="15.75" customHeight="1">
      <c r="A111" s="25">
        <v>17</v>
      </c>
      <c r="B111" s="26"/>
      <c r="C111" s="27" t="s">
        <v>1119</v>
      </c>
      <c r="D111" s="28" t="s">
        <v>1120</v>
      </c>
      <c r="E111" s="27" t="s">
        <v>1121</v>
      </c>
      <c r="F111" s="26" t="s">
        <v>219</v>
      </c>
      <c r="G111" s="26" t="s">
        <v>1122</v>
      </c>
      <c r="H111" s="29" t="s">
        <v>1123</v>
      </c>
      <c r="I111" s="30" t="s">
        <v>1124</v>
      </c>
      <c r="J111" s="30" t="s">
        <v>1125</v>
      </c>
      <c r="K111" s="31" t="s">
        <v>1126</v>
      </c>
      <c r="L111" s="31" t="s">
        <v>1127</v>
      </c>
      <c r="M111" s="31" t="s">
        <v>1128</v>
      </c>
      <c r="N111" s="32"/>
      <c r="O111" s="310"/>
    </row>
    <row r="112" spans="1:15" ht="15.75" customHeight="1">
      <c r="A112" s="25">
        <v>18</v>
      </c>
      <c r="B112" s="26"/>
      <c r="C112" s="27" t="s">
        <v>1129</v>
      </c>
      <c r="D112" s="28" t="s">
        <v>1130</v>
      </c>
      <c r="E112" s="27" t="s">
        <v>1131</v>
      </c>
      <c r="F112" s="26" t="s">
        <v>54</v>
      </c>
      <c r="G112" s="26" t="s">
        <v>1132</v>
      </c>
      <c r="H112" s="29" t="s">
        <v>1133</v>
      </c>
      <c r="I112" s="30" t="s">
        <v>1134</v>
      </c>
      <c r="J112" s="30" t="s">
        <v>1135</v>
      </c>
      <c r="K112" s="31" t="s">
        <v>1136</v>
      </c>
      <c r="L112" s="31" t="s">
        <v>1137</v>
      </c>
      <c r="M112" s="31" t="s">
        <v>1138</v>
      </c>
      <c r="N112" s="32"/>
      <c r="O112" s="310"/>
    </row>
    <row r="113" spans="1:15" ht="15.75" customHeight="1">
      <c r="A113" s="25">
        <v>19</v>
      </c>
      <c r="B113" s="26"/>
      <c r="C113" s="27" t="s">
        <v>1139</v>
      </c>
      <c r="D113" s="28" t="s">
        <v>1140</v>
      </c>
      <c r="E113" s="27" t="s">
        <v>1141</v>
      </c>
      <c r="F113" s="26" t="s">
        <v>65</v>
      </c>
      <c r="G113" s="26" t="s">
        <v>1142</v>
      </c>
      <c r="H113" s="29" t="s">
        <v>1143</v>
      </c>
      <c r="I113" s="30" t="s">
        <v>1144</v>
      </c>
      <c r="J113" s="30" t="s">
        <v>1145</v>
      </c>
      <c r="K113" s="31" t="s">
        <v>1146</v>
      </c>
      <c r="L113" s="31" t="s">
        <v>1147</v>
      </c>
      <c r="M113" s="31" t="s">
        <v>1148</v>
      </c>
      <c r="N113" s="32"/>
      <c r="O113" s="310"/>
    </row>
    <row r="114" spans="1:15" ht="15.75" customHeight="1">
      <c r="A114" s="25">
        <v>20</v>
      </c>
      <c r="B114" s="26"/>
      <c r="C114" s="27" t="s">
        <v>1149</v>
      </c>
      <c r="D114" s="28" t="s">
        <v>1150</v>
      </c>
      <c r="E114" s="27" t="s">
        <v>1151</v>
      </c>
      <c r="F114" s="26" t="s">
        <v>42</v>
      </c>
      <c r="G114" s="26" t="s">
        <v>1152</v>
      </c>
      <c r="H114" s="29" t="s">
        <v>1153</v>
      </c>
      <c r="I114" s="30" t="s">
        <v>1154</v>
      </c>
      <c r="J114" s="30" t="s">
        <v>1155</v>
      </c>
      <c r="K114" s="31" t="s">
        <v>1156</v>
      </c>
      <c r="L114" s="31" t="s">
        <v>1157</v>
      </c>
      <c r="M114" s="31" t="s">
        <v>1158</v>
      </c>
      <c r="N114" s="32"/>
      <c r="O114" s="310"/>
    </row>
    <row r="115" spans="1:15" ht="15.75" customHeight="1">
      <c r="A115" s="25">
        <v>21</v>
      </c>
      <c r="B115" s="26"/>
      <c r="C115" s="27" t="s">
        <v>1159</v>
      </c>
      <c r="D115" s="28" t="s">
        <v>1160</v>
      </c>
      <c r="E115" s="27" t="s">
        <v>854</v>
      </c>
      <c r="F115" s="27" t="s">
        <v>117</v>
      </c>
      <c r="G115" s="26" t="s">
        <v>1161</v>
      </c>
      <c r="H115" s="29" t="s">
        <v>1162</v>
      </c>
      <c r="I115" s="30" t="s">
        <v>1163</v>
      </c>
      <c r="J115" s="30" t="s">
        <v>1164</v>
      </c>
      <c r="K115" s="31" t="s">
        <v>1165</v>
      </c>
      <c r="L115" s="31" t="s">
        <v>1166</v>
      </c>
      <c r="M115" s="31" t="s">
        <v>1167</v>
      </c>
      <c r="N115" s="32"/>
      <c r="O115" s="310"/>
    </row>
    <row r="116" spans="1:15" ht="15.75" customHeight="1">
      <c r="A116" s="25">
        <v>22</v>
      </c>
      <c r="B116" s="26"/>
      <c r="C116" s="27" t="s">
        <v>1168</v>
      </c>
      <c r="D116" s="28" t="s">
        <v>1169</v>
      </c>
      <c r="E116" s="27" t="s">
        <v>1170</v>
      </c>
      <c r="F116" s="27" t="s">
        <v>65</v>
      </c>
      <c r="G116" s="26" t="s">
        <v>1171</v>
      </c>
      <c r="H116" s="29" t="s">
        <v>1172</v>
      </c>
      <c r="I116" s="30" t="s">
        <v>1173</v>
      </c>
      <c r="J116" s="30" t="s">
        <v>1174</v>
      </c>
      <c r="K116" s="31" t="s">
        <v>1175</v>
      </c>
      <c r="L116" s="31" t="s">
        <v>1176</v>
      </c>
      <c r="M116" s="31" t="s">
        <v>1177</v>
      </c>
      <c r="N116" s="32"/>
      <c r="O116" s="311"/>
    </row>
    <row r="117" spans="1:15" ht="15.75" customHeight="1">
      <c r="A117" s="19">
        <v>1</v>
      </c>
      <c r="B117" s="19"/>
      <c r="C117" s="19" t="s">
        <v>1178</v>
      </c>
      <c r="D117" s="20" t="s">
        <v>1179</v>
      </c>
      <c r="E117" s="19" t="s">
        <v>1180</v>
      </c>
      <c r="F117" s="19" t="s">
        <v>65</v>
      </c>
      <c r="G117" s="19" t="s">
        <v>1181</v>
      </c>
      <c r="H117" s="21" t="s">
        <v>1182</v>
      </c>
      <c r="I117" s="21" t="s">
        <v>1183</v>
      </c>
      <c r="J117" s="21" t="s">
        <v>1184</v>
      </c>
      <c r="K117" s="22" t="s">
        <v>1185</v>
      </c>
      <c r="L117" s="22" t="s">
        <v>1186</v>
      </c>
      <c r="M117" s="22" t="s">
        <v>1187</v>
      </c>
      <c r="N117" s="23">
        <v>7</v>
      </c>
      <c r="O117" s="24" t="s">
        <v>38</v>
      </c>
    </row>
    <row r="118" spans="1:15" ht="15.75" customHeight="1">
      <c r="A118" s="25">
        <v>2</v>
      </c>
      <c r="B118" s="26"/>
      <c r="C118" s="27" t="s">
        <v>1188</v>
      </c>
      <c r="D118" s="28" t="s">
        <v>1189</v>
      </c>
      <c r="E118" s="27" t="s">
        <v>1190</v>
      </c>
      <c r="F118" s="27" t="s">
        <v>1191</v>
      </c>
      <c r="G118" s="26" t="s">
        <v>1192</v>
      </c>
      <c r="H118" s="30" t="s">
        <v>1193</v>
      </c>
      <c r="I118" s="30" t="s">
        <v>1194</v>
      </c>
      <c r="J118" s="30" t="s">
        <v>1195</v>
      </c>
      <c r="K118" s="31" t="s">
        <v>1196</v>
      </c>
      <c r="L118" s="31" t="s">
        <v>1197</v>
      </c>
      <c r="M118" s="31" t="s">
        <v>1198</v>
      </c>
      <c r="N118" s="32"/>
      <c r="O118" s="309" t="s">
        <v>1199</v>
      </c>
    </row>
    <row r="119" spans="1:15" ht="15.75" customHeight="1">
      <c r="A119" s="25">
        <v>3</v>
      </c>
      <c r="B119" s="26"/>
      <c r="C119" s="27" t="s">
        <v>1200</v>
      </c>
      <c r="D119" s="28" t="s">
        <v>1201</v>
      </c>
      <c r="E119" s="27" t="s">
        <v>1202</v>
      </c>
      <c r="F119" s="27" t="s">
        <v>65</v>
      </c>
      <c r="G119" s="26" t="s">
        <v>1203</v>
      </c>
      <c r="H119" s="30" t="s">
        <v>1204</v>
      </c>
      <c r="I119" s="30" t="s">
        <v>1205</v>
      </c>
      <c r="J119" s="30" t="s">
        <v>1206</v>
      </c>
      <c r="K119" s="31" t="s">
        <v>1207</v>
      </c>
      <c r="L119" s="31" t="s">
        <v>1208</v>
      </c>
      <c r="M119" s="31" t="s">
        <v>1209</v>
      </c>
      <c r="N119" s="32"/>
      <c r="O119" s="310"/>
    </row>
    <row r="120" spans="1:15" ht="15.75" customHeight="1">
      <c r="A120" s="25">
        <v>4</v>
      </c>
      <c r="B120" s="26"/>
      <c r="C120" s="27" t="s">
        <v>1210</v>
      </c>
      <c r="D120" s="28" t="s">
        <v>1211</v>
      </c>
      <c r="E120" s="27" t="s">
        <v>1212</v>
      </c>
      <c r="F120" s="27" t="s">
        <v>65</v>
      </c>
      <c r="G120" s="26" t="s">
        <v>1213</v>
      </c>
      <c r="H120" s="30" t="s">
        <v>1214</v>
      </c>
      <c r="I120" s="30" t="s">
        <v>1215</v>
      </c>
      <c r="J120" s="30" t="s">
        <v>1216</v>
      </c>
      <c r="K120" s="31" t="s">
        <v>1217</v>
      </c>
      <c r="L120" s="31" t="s">
        <v>1218</v>
      </c>
      <c r="M120" s="31" t="s">
        <v>1219</v>
      </c>
      <c r="N120" s="32"/>
      <c r="O120" s="310"/>
    </row>
    <row r="121" spans="1:15" ht="15.75" customHeight="1">
      <c r="A121" s="25">
        <v>5</v>
      </c>
      <c r="B121" s="26"/>
      <c r="C121" s="26" t="s">
        <v>1220</v>
      </c>
      <c r="D121" s="28" t="s">
        <v>1221</v>
      </c>
      <c r="E121" s="26" t="s">
        <v>1222</v>
      </c>
      <c r="F121" s="26" t="s">
        <v>563</v>
      </c>
      <c r="G121" s="26" t="s">
        <v>1223</v>
      </c>
      <c r="H121" s="30" t="s">
        <v>1224</v>
      </c>
      <c r="I121" s="30" t="s">
        <v>1225</v>
      </c>
      <c r="J121" s="30" t="s">
        <v>1226</v>
      </c>
      <c r="K121" s="31" t="s">
        <v>1227</v>
      </c>
      <c r="L121" s="31" t="s">
        <v>1228</v>
      </c>
      <c r="M121" s="31" t="s">
        <v>1229</v>
      </c>
      <c r="N121" s="32"/>
      <c r="O121" s="310"/>
    </row>
    <row r="122" spans="1:15" ht="15.75" customHeight="1">
      <c r="A122" s="25">
        <v>6</v>
      </c>
      <c r="B122" s="26"/>
      <c r="C122" s="26" t="s">
        <v>1230</v>
      </c>
      <c r="D122" s="28" t="s">
        <v>1231</v>
      </c>
      <c r="E122" s="27" t="s">
        <v>1232</v>
      </c>
      <c r="F122" s="27" t="s">
        <v>65</v>
      </c>
      <c r="G122" s="26" t="s">
        <v>1233</v>
      </c>
      <c r="H122" s="29" t="s">
        <v>1234</v>
      </c>
      <c r="I122" s="30" t="s">
        <v>1235</v>
      </c>
      <c r="J122" s="30" t="s">
        <v>1236</v>
      </c>
      <c r="K122" s="31" t="s">
        <v>1237</v>
      </c>
      <c r="L122" s="31" t="s">
        <v>1238</v>
      </c>
      <c r="M122" s="31" t="s">
        <v>1239</v>
      </c>
      <c r="N122" s="32"/>
      <c r="O122" s="310"/>
    </row>
    <row r="123" spans="1:15" ht="15.75" customHeight="1">
      <c r="A123" s="25">
        <v>7</v>
      </c>
      <c r="B123" s="26"/>
      <c r="C123" s="26" t="s">
        <v>1240</v>
      </c>
      <c r="D123" s="28" t="s">
        <v>1241</v>
      </c>
      <c r="E123" s="27" t="s">
        <v>1242</v>
      </c>
      <c r="F123" s="27" t="s">
        <v>65</v>
      </c>
      <c r="G123" s="26" t="s">
        <v>1243</v>
      </c>
      <c r="H123" s="29" t="s">
        <v>1244</v>
      </c>
      <c r="I123" s="30" t="s">
        <v>1245</v>
      </c>
      <c r="J123" s="30" t="s">
        <v>1246</v>
      </c>
      <c r="K123" s="31" t="s">
        <v>1247</v>
      </c>
      <c r="L123" s="31" t="s">
        <v>1248</v>
      </c>
      <c r="M123" s="31" t="s">
        <v>1249</v>
      </c>
      <c r="N123" s="32"/>
      <c r="O123" s="310"/>
    </row>
    <row r="124" spans="1:15" ht="15.75" customHeight="1">
      <c r="A124" s="25">
        <v>8</v>
      </c>
      <c r="B124" s="26"/>
      <c r="C124" s="26" t="s">
        <v>1250</v>
      </c>
      <c r="D124" s="28" t="s">
        <v>1251</v>
      </c>
      <c r="E124" s="27" t="s">
        <v>1252</v>
      </c>
      <c r="F124" s="27" t="s">
        <v>117</v>
      </c>
      <c r="G124" s="26" t="s">
        <v>1253</v>
      </c>
      <c r="H124" s="29" t="s">
        <v>1254</v>
      </c>
      <c r="I124" s="30" t="s">
        <v>1255</v>
      </c>
      <c r="J124" s="30" t="s">
        <v>1256</v>
      </c>
      <c r="K124" s="31" t="s">
        <v>1257</v>
      </c>
      <c r="L124" s="31" t="s">
        <v>1258</v>
      </c>
      <c r="M124" s="31" t="s">
        <v>1259</v>
      </c>
      <c r="N124" s="32"/>
      <c r="O124" s="310"/>
    </row>
    <row r="125" spans="1:15" ht="15.75" customHeight="1">
      <c r="A125" s="25">
        <v>9</v>
      </c>
      <c r="B125" s="26"/>
      <c r="C125" s="27" t="s">
        <v>1260</v>
      </c>
      <c r="D125" s="28" t="s">
        <v>1261</v>
      </c>
      <c r="E125" s="27" t="s">
        <v>1262</v>
      </c>
      <c r="F125" s="27" t="s">
        <v>320</v>
      </c>
      <c r="G125" s="26" t="s">
        <v>1263</v>
      </c>
      <c r="H125" s="29" t="s">
        <v>1264</v>
      </c>
      <c r="I125" s="30" t="s">
        <v>1265</v>
      </c>
      <c r="J125" s="30" t="s">
        <v>1266</v>
      </c>
      <c r="K125" s="31" t="s">
        <v>1267</v>
      </c>
      <c r="L125" s="31" t="s">
        <v>1268</v>
      </c>
      <c r="M125" s="31" t="s">
        <v>1269</v>
      </c>
      <c r="N125" s="32"/>
      <c r="O125" s="310"/>
    </row>
    <row r="126" spans="1:15" ht="15.75" customHeight="1">
      <c r="A126" s="25">
        <v>10</v>
      </c>
      <c r="B126" s="26"/>
      <c r="C126" s="26" t="s">
        <v>1270</v>
      </c>
      <c r="D126" s="28" t="s">
        <v>1271</v>
      </c>
      <c r="E126" s="27" t="s">
        <v>1272</v>
      </c>
      <c r="F126" s="26" t="s">
        <v>65</v>
      </c>
      <c r="G126" s="26" t="s">
        <v>1273</v>
      </c>
      <c r="H126" s="30" t="s">
        <v>1274</v>
      </c>
      <c r="I126" s="30" t="s">
        <v>1275</v>
      </c>
      <c r="J126" s="30" t="s">
        <v>1276</v>
      </c>
      <c r="K126" s="31" t="s">
        <v>1277</v>
      </c>
      <c r="L126" s="31" t="s">
        <v>1278</v>
      </c>
      <c r="M126" s="31" t="s">
        <v>1279</v>
      </c>
      <c r="N126" s="32"/>
      <c r="O126" s="310"/>
    </row>
    <row r="127" spans="1:15" ht="15.75" customHeight="1">
      <c r="A127" s="25">
        <v>11</v>
      </c>
      <c r="B127" s="26"/>
      <c r="C127" s="27" t="s">
        <v>1280</v>
      </c>
      <c r="D127" s="28" t="s">
        <v>1281</v>
      </c>
      <c r="E127" s="27" t="s">
        <v>1282</v>
      </c>
      <c r="F127" s="27" t="s">
        <v>117</v>
      </c>
      <c r="G127" s="26" t="s">
        <v>1283</v>
      </c>
      <c r="H127" s="30" t="s">
        <v>1284</v>
      </c>
      <c r="I127" s="30" t="s">
        <v>1285</v>
      </c>
      <c r="J127" s="30" t="s">
        <v>1286</v>
      </c>
      <c r="K127" s="31" t="s">
        <v>1287</v>
      </c>
      <c r="L127" s="31" t="s">
        <v>1288</v>
      </c>
      <c r="M127" s="31" t="s">
        <v>1289</v>
      </c>
      <c r="N127" s="32"/>
      <c r="O127" s="310"/>
    </row>
    <row r="128" spans="1:15" ht="15.75" customHeight="1">
      <c r="A128" s="25">
        <v>12</v>
      </c>
      <c r="B128" s="26"/>
      <c r="C128" s="26" t="s">
        <v>1290</v>
      </c>
      <c r="D128" s="28" t="s">
        <v>1291</v>
      </c>
      <c r="E128" s="27" t="s">
        <v>229</v>
      </c>
      <c r="F128" s="27" t="s">
        <v>65</v>
      </c>
      <c r="G128" s="26" t="s">
        <v>1292</v>
      </c>
      <c r="H128" s="30" t="s">
        <v>1293</v>
      </c>
      <c r="I128" s="30" t="s">
        <v>1294</v>
      </c>
      <c r="J128" s="30" t="s">
        <v>1295</v>
      </c>
      <c r="K128" s="31" t="s">
        <v>1296</v>
      </c>
      <c r="L128" s="31" t="s">
        <v>1297</v>
      </c>
      <c r="M128" s="31" t="s">
        <v>1298</v>
      </c>
      <c r="N128" s="32"/>
      <c r="O128" s="310"/>
    </row>
    <row r="129" spans="1:15" ht="15.75" customHeight="1">
      <c r="A129" s="25">
        <v>13</v>
      </c>
      <c r="B129" s="26"/>
      <c r="C129" s="26" t="s">
        <v>1299</v>
      </c>
      <c r="D129" s="28" t="s">
        <v>1300</v>
      </c>
      <c r="E129" s="27" t="s">
        <v>1301</v>
      </c>
      <c r="F129" s="27" t="s">
        <v>117</v>
      </c>
      <c r="G129" s="26" t="s">
        <v>1302</v>
      </c>
      <c r="H129" s="30" t="s">
        <v>1303</v>
      </c>
      <c r="I129" s="30" t="s">
        <v>1304</v>
      </c>
      <c r="J129" s="30" t="s">
        <v>1305</v>
      </c>
      <c r="K129" s="31" t="s">
        <v>1306</v>
      </c>
      <c r="L129" s="31" t="s">
        <v>1307</v>
      </c>
      <c r="M129" s="31" t="s">
        <v>1308</v>
      </c>
      <c r="N129" s="32"/>
      <c r="O129" s="310"/>
    </row>
    <row r="130" spans="1:15" ht="15.75" customHeight="1">
      <c r="A130" s="25">
        <v>14</v>
      </c>
      <c r="B130" s="26"/>
      <c r="C130" s="27" t="s">
        <v>581</v>
      </c>
      <c r="D130" s="28" t="s">
        <v>582</v>
      </c>
      <c r="E130" s="27" t="s">
        <v>583</v>
      </c>
      <c r="F130" s="27" t="s">
        <v>320</v>
      </c>
      <c r="G130" s="26" t="s">
        <v>584</v>
      </c>
      <c r="H130" s="29" t="s">
        <v>585</v>
      </c>
      <c r="I130" s="30" t="s">
        <v>586</v>
      </c>
      <c r="J130" s="30" t="s">
        <v>587</v>
      </c>
      <c r="K130" s="31" t="s">
        <v>1309</v>
      </c>
      <c r="L130" s="31" t="s">
        <v>1310</v>
      </c>
      <c r="M130" s="31" t="s">
        <v>1311</v>
      </c>
      <c r="N130" s="32"/>
      <c r="O130" s="310"/>
    </row>
    <row r="131" spans="1:15" ht="15.75" customHeight="1">
      <c r="A131" s="25">
        <v>15</v>
      </c>
      <c r="B131" s="26"/>
      <c r="C131" s="27" t="s">
        <v>1312</v>
      </c>
      <c r="D131" s="28" t="s">
        <v>1313</v>
      </c>
      <c r="E131" s="27" t="s">
        <v>1314</v>
      </c>
      <c r="F131" s="27" t="s">
        <v>885</v>
      </c>
      <c r="G131" s="26" t="s">
        <v>1315</v>
      </c>
      <c r="H131" s="29" t="s">
        <v>1316</v>
      </c>
      <c r="I131" s="30" t="s">
        <v>1317</v>
      </c>
      <c r="J131" s="30" t="s">
        <v>1318</v>
      </c>
      <c r="K131" s="31" t="s">
        <v>1319</v>
      </c>
      <c r="L131" s="31" t="s">
        <v>1320</v>
      </c>
      <c r="M131" s="31" t="s">
        <v>1321</v>
      </c>
      <c r="N131" s="32"/>
      <c r="O131" s="310"/>
    </row>
    <row r="132" spans="1:15" ht="15.75" customHeight="1">
      <c r="A132" s="25">
        <v>16</v>
      </c>
      <c r="B132" s="26"/>
      <c r="C132" s="26" t="s">
        <v>1322</v>
      </c>
      <c r="D132" s="28" t="s">
        <v>1323</v>
      </c>
      <c r="E132" s="27" t="s">
        <v>1324</v>
      </c>
      <c r="F132" s="27" t="s">
        <v>117</v>
      </c>
      <c r="G132" s="26" t="s">
        <v>1325</v>
      </c>
      <c r="H132" s="29" t="s">
        <v>1326</v>
      </c>
      <c r="I132" s="30" t="s">
        <v>1327</v>
      </c>
      <c r="J132" s="30" t="s">
        <v>1328</v>
      </c>
      <c r="K132" s="31" t="s">
        <v>1329</v>
      </c>
      <c r="L132" s="31" t="s">
        <v>1330</v>
      </c>
      <c r="M132" s="31" t="s">
        <v>1331</v>
      </c>
      <c r="N132" s="32"/>
      <c r="O132" s="310"/>
    </row>
    <row r="133" spans="1:15" ht="15.75" customHeight="1">
      <c r="A133" s="25">
        <v>17</v>
      </c>
      <c r="B133" s="26"/>
      <c r="C133" s="26" t="s">
        <v>1332</v>
      </c>
      <c r="D133" s="28" t="s">
        <v>1333</v>
      </c>
      <c r="E133" s="26" t="s">
        <v>1334</v>
      </c>
      <c r="F133" s="26" t="s">
        <v>117</v>
      </c>
      <c r="G133" s="26" t="s">
        <v>1335</v>
      </c>
      <c r="H133" s="30" t="s">
        <v>1336</v>
      </c>
      <c r="I133" s="30" t="s">
        <v>1337</v>
      </c>
      <c r="J133" s="30" t="s">
        <v>1338</v>
      </c>
      <c r="K133" s="31" t="s">
        <v>1339</v>
      </c>
      <c r="L133" s="31" t="s">
        <v>1340</v>
      </c>
      <c r="M133" s="31" t="s">
        <v>1341</v>
      </c>
      <c r="N133" s="32"/>
      <c r="O133" s="310"/>
    </row>
    <row r="134" spans="1:15" ht="15.75" customHeight="1">
      <c r="A134" s="25">
        <v>18</v>
      </c>
      <c r="B134" s="26"/>
      <c r="C134" s="27" t="s">
        <v>601</v>
      </c>
      <c r="D134" s="28" t="s">
        <v>602</v>
      </c>
      <c r="E134" s="27" t="s">
        <v>603</v>
      </c>
      <c r="F134" s="27" t="s">
        <v>65</v>
      </c>
      <c r="G134" s="26" t="s">
        <v>604</v>
      </c>
      <c r="H134" s="30" t="s">
        <v>605</v>
      </c>
      <c r="I134" s="30" t="s">
        <v>606</v>
      </c>
      <c r="J134" s="30" t="s">
        <v>607</v>
      </c>
      <c r="K134" s="31" t="s">
        <v>1342</v>
      </c>
      <c r="L134" s="31" t="s">
        <v>1343</v>
      </c>
      <c r="M134" s="31" t="s">
        <v>1344</v>
      </c>
      <c r="N134" s="32"/>
      <c r="O134" s="310"/>
    </row>
    <row r="135" spans="1:15" ht="15.75" customHeight="1">
      <c r="A135" s="25">
        <v>19</v>
      </c>
      <c r="B135" s="26"/>
      <c r="C135" s="27" t="s">
        <v>1345</v>
      </c>
      <c r="D135" s="28" t="s">
        <v>1346</v>
      </c>
      <c r="E135" s="27" t="s">
        <v>1347</v>
      </c>
      <c r="F135" s="27" t="s">
        <v>65</v>
      </c>
      <c r="G135" s="26" t="s">
        <v>1348</v>
      </c>
      <c r="H135" s="30" t="s">
        <v>1349</v>
      </c>
      <c r="I135" s="30" t="s">
        <v>1350</v>
      </c>
      <c r="J135" s="30" t="s">
        <v>1351</v>
      </c>
      <c r="K135" s="31" t="s">
        <v>1352</v>
      </c>
      <c r="L135" s="31" t="s">
        <v>1353</v>
      </c>
      <c r="M135" s="31" t="s">
        <v>1354</v>
      </c>
      <c r="N135" s="32"/>
      <c r="O135" s="310"/>
    </row>
    <row r="136" spans="1:15" ht="15.75" customHeight="1">
      <c r="A136" s="25">
        <v>20</v>
      </c>
      <c r="B136" s="26"/>
      <c r="C136" s="27" t="s">
        <v>1355</v>
      </c>
      <c r="D136" s="28" t="s">
        <v>1356</v>
      </c>
      <c r="E136" s="27" t="s">
        <v>1357</v>
      </c>
      <c r="F136" s="27" t="s">
        <v>65</v>
      </c>
      <c r="G136" s="26" t="s">
        <v>1358</v>
      </c>
      <c r="H136" s="30" t="s">
        <v>1359</v>
      </c>
      <c r="I136" s="30" t="s">
        <v>1360</v>
      </c>
      <c r="J136" s="30" t="s">
        <v>1361</v>
      </c>
      <c r="K136" s="31" t="s">
        <v>1362</v>
      </c>
      <c r="L136" s="31" t="s">
        <v>1363</v>
      </c>
      <c r="M136" s="31" t="s">
        <v>1364</v>
      </c>
      <c r="N136" s="32"/>
      <c r="O136" s="310"/>
    </row>
    <row r="137" spans="1:15" ht="15.75" customHeight="1">
      <c r="A137" s="25">
        <v>21</v>
      </c>
      <c r="B137" s="26"/>
      <c r="C137" s="27" t="s">
        <v>1365</v>
      </c>
      <c r="D137" s="28" t="s">
        <v>1366</v>
      </c>
      <c r="E137" s="27" t="s">
        <v>1367</v>
      </c>
      <c r="F137" s="27" t="s">
        <v>65</v>
      </c>
      <c r="G137" s="26" t="s">
        <v>1368</v>
      </c>
      <c r="H137" s="29" t="s">
        <v>1369</v>
      </c>
      <c r="I137" s="30" t="s">
        <v>1370</v>
      </c>
      <c r="J137" s="30" t="s">
        <v>1371</v>
      </c>
      <c r="K137" s="31" t="s">
        <v>1372</v>
      </c>
      <c r="L137" s="31" t="s">
        <v>1373</v>
      </c>
      <c r="M137" s="31" t="s">
        <v>1374</v>
      </c>
      <c r="N137" s="32"/>
      <c r="O137" s="310"/>
    </row>
    <row r="138" spans="1:15" ht="15.75" customHeight="1">
      <c r="A138" s="25">
        <v>22</v>
      </c>
      <c r="B138" s="26"/>
      <c r="C138" s="27" t="s">
        <v>1375</v>
      </c>
      <c r="D138" s="28" t="s">
        <v>1376</v>
      </c>
      <c r="E138" s="27" t="s">
        <v>1377</v>
      </c>
      <c r="F138" s="27" t="s">
        <v>117</v>
      </c>
      <c r="G138" s="26" t="s">
        <v>1378</v>
      </c>
      <c r="H138" s="30" t="s">
        <v>1379</v>
      </c>
      <c r="I138" s="30" t="s">
        <v>1380</v>
      </c>
      <c r="J138" s="30" t="s">
        <v>1381</v>
      </c>
      <c r="K138" s="31" t="s">
        <v>1382</v>
      </c>
      <c r="L138" s="31" t="s">
        <v>1383</v>
      </c>
      <c r="M138" s="31" t="s">
        <v>1384</v>
      </c>
      <c r="N138" s="32"/>
      <c r="O138" s="310"/>
    </row>
    <row r="139" spans="1:15" ht="15.75" customHeight="1">
      <c r="A139" s="25">
        <v>23</v>
      </c>
      <c r="B139" s="26"/>
      <c r="C139" s="26" t="s">
        <v>1385</v>
      </c>
      <c r="D139" s="28" t="s">
        <v>1386</v>
      </c>
      <c r="E139" s="27" t="s">
        <v>1387</v>
      </c>
      <c r="F139" s="27" t="s">
        <v>65</v>
      </c>
      <c r="G139" s="26" t="s">
        <v>1388</v>
      </c>
      <c r="H139" s="30" t="s">
        <v>1389</v>
      </c>
      <c r="I139" s="30" t="s">
        <v>1390</v>
      </c>
      <c r="J139" s="30" t="s">
        <v>1391</v>
      </c>
      <c r="K139" s="31" t="s">
        <v>1392</v>
      </c>
      <c r="L139" s="31" t="s">
        <v>1393</v>
      </c>
      <c r="M139" s="31" t="s">
        <v>1394</v>
      </c>
      <c r="N139" s="32"/>
      <c r="O139" s="310"/>
    </row>
    <row r="140" spans="1:15" ht="15.75" customHeight="1">
      <c r="A140" s="25">
        <v>24</v>
      </c>
      <c r="B140" s="26"/>
      <c r="C140" s="27" t="s">
        <v>893</v>
      </c>
      <c r="D140" s="28" t="s">
        <v>894</v>
      </c>
      <c r="E140" s="27" t="s">
        <v>895</v>
      </c>
      <c r="F140" s="27" t="s">
        <v>65</v>
      </c>
      <c r="G140" s="26" t="s">
        <v>896</v>
      </c>
      <c r="H140" s="30" t="s">
        <v>897</v>
      </c>
      <c r="I140" s="30" t="s">
        <v>898</v>
      </c>
      <c r="J140" s="30" t="s">
        <v>899</v>
      </c>
      <c r="K140" s="31" t="s">
        <v>1395</v>
      </c>
      <c r="L140" s="31" t="s">
        <v>1396</v>
      </c>
      <c r="M140" s="31" t="s">
        <v>1397</v>
      </c>
      <c r="N140" s="32"/>
      <c r="O140" s="310"/>
    </row>
    <row r="141" spans="1:15" ht="15.75" customHeight="1">
      <c r="A141" s="25">
        <v>25</v>
      </c>
      <c r="B141" s="26"/>
      <c r="C141" s="27" t="s">
        <v>1398</v>
      </c>
      <c r="D141" s="28" t="s">
        <v>1399</v>
      </c>
      <c r="E141" s="27" t="s">
        <v>1400</v>
      </c>
      <c r="F141" s="27" t="s">
        <v>65</v>
      </c>
      <c r="G141" s="26" t="s">
        <v>1223</v>
      </c>
      <c r="H141" s="30" t="s">
        <v>1401</v>
      </c>
      <c r="I141" s="30" t="s">
        <v>1402</v>
      </c>
      <c r="J141" s="30" t="s">
        <v>1403</v>
      </c>
      <c r="K141" s="31" t="s">
        <v>1404</v>
      </c>
      <c r="L141" s="31" t="s">
        <v>1405</v>
      </c>
      <c r="M141" s="31" t="s">
        <v>1406</v>
      </c>
      <c r="N141" s="32"/>
      <c r="O141" s="310"/>
    </row>
    <row r="142" spans="1:15" ht="15.75" customHeight="1">
      <c r="A142" s="25">
        <v>26</v>
      </c>
      <c r="B142" s="26"/>
      <c r="C142" s="27" t="s">
        <v>1407</v>
      </c>
      <c r="D142" s="28" t="s">
        <v>1408</v>
      </c>
      <c r="E142" s="27" t="s">
        <v>1409</v>
      </c>
      <c r="F142" s="27" t="s">
        <v>1410</v>
      </c>
      <c r="G142" s="26" t="s">
        <v>1411</v>
      </c>
      <c r="H142" s="30" t="s">
        <v>1412</v>
      </c>
      <c r="I142" s="30" t="s">
        <v>1413</v>
      </c>
      <c r="J142" s="30" t="s">
        <v>1414</v>
      </c>
      <c r="K142" s="31" t="s">
        <v>1415</v>
      </c>
      <c r="L142" s="31" t="s">
        <v>1416</v>
      </c>
      <c r="M142" s="31" t="s">
        <v>1417</v>
      </c>
      <c r="N142" s="32"/>
      <c r="O142" s="311"/>
    </row>
    <row r="143" spans="1:15" ht="15.75" customHeight="1">
      <c r="A143" s="19">
        <v>1</v>
      </c>
      <c r="B143" s="19"/>
      <c r="C143" s="19" t="s">
        <v>1418</v>
      </c>
      <c r="D143" s="20" t="s">
        <v>1419</v>
      </c>
      <c r="E143" s="19" t="s">
        <v>1420</v>
      </c>
      <c r="F143" s="19" t="s">
        <v>65</v>
      </c>
      <c r="G143" s="19" t="s">
        <v>1421</v>
      </c>
      <c r="H143" s="21" t="s">
        <v>1422</v>
      </c>
      <c r="I143" s="21" t="s">
        <v>1423</v>
      </c>
      <c r="J143" s="21" t="s">
        <v>1424</v>
      </c>
      <c r="K143" s="22" t="s">
        <v>1425</v>
      </c>
      <c r="L143" s="22" t="s">
        <v>1426</v>
      </c>
      <c r="M143" s="22" t="s">
        <v>1427</v>
      </c>
      <c r="N143" s="23">
        <v>8</v>
      </c>
      <c r="O143" s="24" t="s">
        <v>38</v>
      </c>
    </row>
    <row r="144" spans="1:15" ht="15.75" customHeight="1">
      <c r="A144" s="25">
        <v>2</v>
      </c>
      <c r="B144" s="26"/>
      <c r="C144" s="27" t="s">
        <v>1428</v>
      </c>
      <c r="D144" s="28" t="s">
        <v>1429</v>
      </c>
      <c r="E144" s="27" t="s">
        <v>1430</v>
      </c>
      <c r="F144" s="27" t="s">
        <v>65</v>
      </c>
      <c r="G144" s="26" t="s">
        <v>1431</v>
      </c>
      <c r="H144" s="30" t="s">
        <v>1432</v>
      </c>
      <c r="I144" s="30" t="s">
        <v>1433</v>
      </c>
      <c r="J144" s="30" t="s">
        <v>1434</v>
      </c>
      <c r="K144" s="31" t="s">
        <v>1435</v>
      </c>
      <c r="L144" s="31" t="s">
        <v>1436</v>
      </c>
      <c r="M144" s="31" t="s">
        <v>1437</v>
      </c>
      <c r="N144" s="32"/>
      <c r="O144" s="309" t="s">
        <v>1438</v>
      </c>
    </row>
    <row r="145" spans="1:15" ht="15.75" customHeight="1">
      <c r="A145" s="25">
        <v>3</v>
      </c>
      <c r="B145" s="26"/>
      <c r="C145" s="26" t="s">
        <v>1439</v>
      </c>
      <c r="D145" s="28" t="s">
        <v>1440</v>
      </c>
      <c r="E145" s="27" t="s">
        <v>1441</v>
      </c>
      <c r="F145" s="26" t="s">
        <v>219</v>
      </c>
      <c r="G145" s="26" t="s">
        <v>1442</v>
      </c>
      <c r="H145" s="30" t="s">
        <v>1443</v>
      </c>
      <c r="I145" s="30" t="s">
        <v>1444</v>
      </c>
      <c r="J145" s="30" t="s">
        <v>1445</v>
      </c>
      <c r="K145" s="31" t="s">
        <v>1446</v>
      </c>
      <c r="L145" s="31" t="s">
        <v>1447</v>
      </c>
      <c r="M145" s="31" t="s">
        <v>1448</v>
      </c>
      <c r="N145" s="32"/>
      <c r="O145" s="310"/>
    </row>
    <row r="146" spans="1:15" ht="15.75" customHeight="1">
      <c r="A146" s="25">
        <v>4</v>
      </c>
      <c r="B146" s="26"/>
      <c r="C146" s="27" t="s">
        <v>1449</v>
      </c>
      <c r="D146" s="28" t="s">
        <v>1450</v>
      </c>
      <c r="E146" s="27" t="s">
        <v>1451</v>
      </c>
      <c r="F146" s="27" t="s">
        <v>54</v>
      </c>
      <c r="G146" s="26" t="s">
        <v>1452</v>
      </c>
      <c r="H146" s="30" t="s">
        <v>1453</v>
      </c>
      <c r="I146" s="30" t="s">
        <v>1454</v>
      </c>
      <c r="J146" s="30" t="s">
        <v>1455</v>
      </c>
      <c r="K146" s="31" t="s">
        <v>1456</v>
      </c>
      <c r="L146" s="31" t="s">
        <v>1457</v>
      </c>
      <c r="M146" s="31" t="s">
        <v>1458</v>
      </c>
      <c r="N146" s="32"/>
      <c r="O146" s="310"/>
    </row>
    <row r="147" spans="1:15" ht="15.75" customHeight="1">
      <c r="A147" s="25">
        <v>5</v>
      </c>
      <c r="B147" s="26"/>
      <c r="C147" s="27" t="s">
        <v>1459</v>
      </c>
      <c r="D147" s="28" t="s">
        <v>1460</v>
      </c>
      <c r="E147" s="27" t="s">
        <v>1461</v>
      </c>
      <c r="F147" s="27" t="s">
        <v>65</v>
      </c>
      <c r="G147" s="26" t="s">
        <v>1462</v>
      </c>
      <c r="H147" s="30" t="s">
        <v>1463</v>
      </c>
      <c r="I147" s="30" t="s">
        <v>1464</v>
      </c>
      <c r="J147" s="30" t="s">
        <v>1465</v>
      </c>
      <c r="K147" s="31" t="s">
        <v>1466</v>
      </c>
      <c r="L147" s="31" t="s">
        <v>1467</v>
      </c>
      <c r="M147" s="31" t="s">
        <v>1468</v>
      </c>
      <c r="N147" s="32"/>
      <c r="O147" s="310"/>
    </row>
    <row r="148" spans="1:15" ht="15.75" customHeight="1">
      <c r="A148" s="25">
        <v>6</v>
      </c>
      <c r="B148" s="26"/>
      <c r="C148" s="26" t="s">
        <v>1469</v>
      </c>
      <c r="D148" s="28" t="s">
        <v>1470</v>
      </c>
      <c r="E148" s="26" t="s">
        <v>1471</v>
      </c>
      <c r="F148" s="26" t="s">
        <v>219</v>
      </c>
      <c r="G148" s="26" t="s">
        <v>1472</v>
      </c>
      <c r="H148" s="30" t="s">
        <v>1473</v>
      </c>
      <c r="I148" s="30" t="s">
        <v>1474</v>
      </c>
      <c r="J148" s="30" t="s">
        <v>1475</v>
      </c>
      <c r="K148" s="31" t="s">
        <v>1476</v>
      </c>
      <c r="L148" s="31" t="s">
        <v>1477</v>
      </c>
      <c r="M148" s="31" t="s">
        <v>1478</v>
      </c>
      <c r="N148" s="32"/>
      <c r="O148" s="310"/>
    </row>
    <row r="149" spans="1:15" ht="15.75" customHeight="1">
      <c r="A149" s="25">
        <v>7</v>
      </c>
      <c r="B149" s="26"/>
      <c r="C149" s="27" t="s">
        <v>1479</v>
      </c>
      <c r="D149" s="28" t="s">
        <v>1480</v>
      </c>
      <c r="E149" s="27" t="s">
        <v>1481</v>
      </c>
      <c r="F149" s="27" t="s">
        <v>117</v>
      </c>
      <c r="G149" s="26" t="s">
        <v>1482</v>
      </c>
      <c r="H149" s="30" t="s">
        <v>1483</v>
      </c>
      <c r="I149" s="30" t="s">
        <v>1484</v>
      </c>
      <c r="J149" s="30" t="s">
        <v>1485</v>
      </c>
      <c r="K149" s="31" t="s">
        <v>1486</v>
      </c>
      <c r="L149" s="31" t="s">
        <v>1487</v>
      </c>
      <c r="M149" s="31" t="s">
        <v>1488</v>
      </c>
      <c r="N149" s="32"/>
      <c r="O149" s="310"/>
    </row>
    <row r="150" spans="1:15" ht="15.75" customHeight="1">
      <c r="A150" s="25">
        <v>8</v>
      </c>
      <c r="B150" s="26"/>
      <c r="C150" s="27" t="s">
        <v>1489</v>
      </c>
      <c r="D150" s="28" t="s">
        <v>1490</v>
      </c>
      <c r="E150" s="27" t="s">
        <v>1491</v>
      </c>
      <c r="F150" s="27" t="s">
        <v>65</v>
      </c>
      <c r="G150" s="26" t="s">
        <v>1492</v>
      </c>
      <c r="H150" s="30" t="s">
        <v>1493</v>
      </c>
      <c r="I150" s="30" t="s">
        <v>1494</v>
      </c>
      <c r="J150" s="30" t="s">
        <v>1495</v>
      </c>
      <c r="K150" s="31" t="s">
        <v>1496</v>
      </c>
      <c r="L150" s="31" t="s">
        <v>1497</v>
      </c>
      <c r="M150" s="31" t="s">
        <v>1498</v>
      </c>
      <c r="N150" s="32"/>
      <c r="O150" s="310"/>
    </row>
    <row r="151" spans="1:15" ht="15.75" customHeight="1">
      <c r="A151" s="25">
        <v>9</v>
      </c>
      <c r="B151" s="26"/>
      <c r="C151" s="27" t="s">
        <v>1499</v>
      </c>
      <c r="D151" s="28" t="s">
        <v>1500</v>
      </c>
      <c r="E151" s="27" t="s">
        <v>1501</v>
      </c>
      <c r="F151" s="27" t="s">
        <v>460</v>
      </c>
      <c r="G151" s="26" t="s">
        <v>1502</v>
      </c>
      <c r="H151" s="30" t="s">
        <v>1503</v>
      </c>
      <c r="I151" s="30" t="s">
        <v>1504</v>
      </c>
      <c r="J151" s="30" t="s">
        <v>1505</v>
      </c>
      <c r="K151" s="31" t="s">
        <v>1506</v>
      </c>
      <c r="L151" s="31" t="s">
        <v>1507</v>
      </c>
      <c r="M151" s="31" t="s">
        <v>1508</v>
      </c>
      <c r="N151" s="32"/>
      <c r="O151" s="310"/>
    </row>
    <row r="152" spans="1:15" ht="15.75" customHeight="1">
      <c r="A152" s="25">
        <v>10</v>
      </c>
      <c r="B152" s="26"/>
      <c r="C152" s="27" t="s">
        <v>1509</v>
      </c>
      <c r="D152" s="28" t="s">
        <v>1510</v>
      </c>
      <c r="E152" s="27" t="s">
        <v>1511</v>
      </c>
      <c r="F152" s="27" t="s">
        <v>54</v>
      </c>
      <c r="G152" s="26" t="s">
        <v>1512</v>
      </c>
      <c r="H152" s="30" t="s">
        <v>1513</v>
      </c>
      <c r="I152" s="30" t="s">
        <v>1514</v>
      </c>
      <c r="J152" s="30" t="s">
        <v>1515</v>
      </c>
      <c r="K152" s="31" t="s">
        <v>1516</v>
      </c>
      <c r="L152" s="31" t="s">
        <v>1517</v>
      </c>
      <c r="M152" s="31" t="s">
        <v>1518</v>
      </c>
      <c r="N152" s="32"/>
      <c r="O152" s="310"/>
    </row>
    <row r="153" spans="1:15" ht="15.75" customHeight="1">
      <c r="A153" s="25">
        <v>11</v>
      </c>
      <c r="B153" s="26"/>
      <c r="C153" s="27" t="s">
        <v>1332</v>
      </c>
      <c r="D153" s="28" t="s">
        <v>1333</v>
      </c>
      <c r="E153" s="27" t="s">
        <v>1334</v>
      </c>
      <c r="F153" s="27" t="s">
        <v>117</v>
      </c>
      <c r="G153" s="26" t="s">
        <v>1335</v>
      </c>
      <c r="H153" s="30" t="s">
        <v>1336</v>
      </c>
      <c r="I153" s="30" t="s">
        <v>1337</v>
      </c>
      <c r="J153" s="30" t="s">
        <v>1338</v>
      </c>
      <c r="K153" s="31" t="s">
        <v>1519</v>
      </c>
      <c r="L153" s="31" t="s">
        <v>1520</v>
      </c>
      <c r="M153" s="31" t="s">
        <v>1521</v>
      </c>
      <c r="N153" s="32"/>
      <c r="O153" s="310"/>
    </row>
    <row r="154" spans="1:15" ht="15.75" customHeight="1">
      <c r="A154" s="25">
        <v>12</v>
      </c>
      <c r="B154" s="26"/>
      <c r="C154" s="27" t="s">
        <v>1522</v>
      </c>
      <c r="D154" s="28" t="s">
        <v>1523</v>
      </c>
      <c r="E154" s="27" t="s">
        <v>1524</v>
      </c>
      <c r="F154" s="27" t="s">
        <v>65</v>
      </c>
      <c r="G154" s="26" t="s">
        <v>1525</v>
      </c>
      <c r="H154" s="30" t="s">
        <v>1526</v>
      </c>
      <c r="I154" s="30" t="s">
        <v>1527</v>
      </c>
      <c r="J154" s="30" t="s">
        <v>1528</v>
      </c>
      <c r="K154" s="31" t="s">
        <v>1529</v>
      </c>
      <c r="L154" s="31" t="s">
        <v>1530</v>
      </c>
      <c r="M154" s="31" t="s">
        <v>1531</v>
      </c>
      <c r="N154" s="32"/>
      <c r="O154" s="310"/>
    </row>
    <row r="155" spans="1:15" ht="15.75" customHeight="1">
      <c r="A155" s="25">
        <v>13</v>
      </c>
      <c r="B155" s="26"/>
      <c r="C155" s="26" t="s">
        <v>1532</v>
      </c>
      <c r="D155" s="28" t="s">
        <v>1533</v>
      </c>
      <c r="E155" s="27" t="s">
        <v>1534</v>
      </c>
      <c r="F155" s="27" t="s">
        <v>65</v>
      </c>
      <c r="G155" s="26" t="s">
        <v>1535</v>
      </c>
      <c r="H155" s="29" t="s">
        <v>1536</v>
      </c>
      <c r="I155" s="30" t="s">
        <v>1537</v>
      </c>
      <c r="J155" s="30" t="s">
        <v>1538</v>
      </c>
      <c r="K155" s="31" t="s">
        <v>1539</v>
      </c>
      <c r="L155" s="31" t="s">
        <v>1540</v>
      </c>
      <c r="M155" s="31" t="s">
        <v>1541</v>
      </c>
      <c r="N155" s="32"/>
      <c r="O155" s="310"/>
    </row>
    <row r="156" spans="1:15" ht="15.75" customHeight="1">
      <c r="A156" s="25">
        <v>14</v>
      </c>
      <c r="B156" s="26"/>
      <c r="C156" s="27" t="s">
        <v>1542</v>
      </c>
      <c r="D156" s="28" t="s">
        <v>1543</v>
      </c>
      <c r="E156" s="27" t="s">
        <v>1544</v>
      </c>
      <c r="F156" s="27" t="s">
        <v>65</v>
      </c>
      <c r="G156" s="26" t="s">
        <v>1545</v>
      </c>
      <c r="H156" s="30" t="s">
        <v>1546</v>
      </c>
      <c r="I156" s="30" t="s">
        <v>1547</v>
      </c>
      <c r="J156" s="30" t="s">
        <v>1548</v>
      </c>
      <c r="K156" s="31" t="s">
        <v>1549</v>
      </c>
      <c r="L156" s="31" t="s">
        <v>1550</v>
      </c>
      <c r="M156" s="31" t="s">
        <v>1551</v>
      </c>
      <c r="N156" s="32"/>
      <c r="O156" s="310"/>
    </row>
    <row r="157" spans="1:15" ht="15.75" customHeight="1">
      <c r="A157" s="25">
        <v>15</v>
      </c>
      <c r="B157" s="26"/>
      <c r="C157" s="27" t="s">
        <v>1552</v>
      </c>
      <c r="D157" s="28" t="s">
        <v>1553</v>
      </c>
      <c r="E157" s="27" t="s">
        <v>1554</v>
      </c>
      <c r="F157" s="27" t="s">
        <v>117</v>
      </c>
      <c r="G157" s="26" t="s">
        <v>1555</v>
      </c>
      <c r="H157" s="30" t="s">
        <v>1556</v>
      </c>
      <c r="I157" s="30" t="s">
        <v>1557</v>
      </c>
      <c r="J157" s="30" t="s">
        <v>1558</v>
      </c>
      <c r="K157" s="31" t="s">
        <v>1559</v>
      </c>
      <c r="L157" s="31" t="s">
        <v>1560</v>
      </c>
      <c r="M157" s="31" t="s">
        <v>1561</v>
      </c>
      <c r="N157" s="32"/>
      <c r="O157" s="310"/>
    </row>
    <row r="158" spans="1:15" ht="15.75" customHeight="1">
      <c r="A158" s="25">
        <v>16</v>
      </c>
      <c r="B158" s="26"/>
      <c r="C158" s="27" t="s">
        <v>1562</v>
      </c>
      <c r="D158" s="28" t="s">
        <v>1563</v>
      </c>
      <c r="E158" s="27" t="s">
        <v>1564</v>
      </c>
      <c r="F158" s="27" t="s">
        <v>117</v>
      </c>
      <c r="G158" s="26" t="s">
        <v>1565</v>
      </c>
      <c r="H158" s="30" t="s">
        <v>1566</v>
      </c>
      <c r="I158" s="30" t="s">
        <v>1567</v>
      </c>
      <c r="J158" s="30" t="s">
        <v>1568</v>
      </c>
      <c r="K158" s="31" t="s">
        <v>1569</v>
      </c>
      <c r="L158" s="31" t="s">
        <v>1570</v>
      </c>
      <c r="M158" s="31" t="s">
        <v>1571</v>
      </c>
      <c r="N158" s="32"/>
      <c r="O158" s="310"/>
    </row>
    <row r="159" spans="1:15" ht="15.75" customHeight="1">
      <c r="A159" s="25">
        <v>17</v>
      </c>
      <c r="B159" s="26"/>
      <c r="C159" s="26" t="s">
        <v>1572</v>
      </c>
      <c r="D159" s="28" t="s">
        <v>1573</v>
      </c>
      <c r="E159" s="27" t="s">
        <v>1574</v>
      </c>
      <c r="F159" s="27" t="s">
        <v>65</v>
      </c>
      <c r="G159" s="26" t="s">
        <v>1575</v>
      </c>
      <c r="H159" s="30" t="s">
        <v>1576</v>
      </c>
      <c r="I159" s="30" t="s">
        <v>1577</v>
      </c>
      <c r="J159" s="30" t="s">
        <v>1578</v>
      </c>
      <c r="K159" s="31" t="s">
        <v>1579</v>
      </c>
      <c r="L159" s="31" t="s">
        <v>1580</v>
      </c>
      <c r="M159" s="31" t="s">
        <v>1581</v>
      </c>
      <c r="N159" s="32"/>
      <c r="O159" s="310"/>
    </row>
    <row r="160" spans="1:15" ht="15.75" customHeight="1">
      <c r="A160" s="25">
        <v>18</v>
      </c>
      <c r="B160" s="26"/>
      <c r="C160" s="26" t="s">
        <v>1582</v>
      </c>
      <c r="D160" s="28" t="s">
        <v>1583</v>
      </c>
      <c r="E160" s="27" t="s">
        <v>1584</v>
      </c>
      <c r="F160" s="27" t="s">
        <v>65</v>
      </c>
      <c r="G160" s="26" t="s">
        <v>1585</v>
      </c>
      <c r="H160" s="30" t="s">
        <v>1586</v>
      </c>
      <c r="I160" s="30" t="s">
        <v>1587</v>
      </c>
      <c r="J160" s="30" t="s">
        <v>1588</v>
      </c>
      <c r="K160" s="31" t="s">
        <v>1589</v>
      </c>
      <c r="L160" s="31" t="s">
        <v>1590</v>
      </c>
      <c r="M160" s="31" t="s">
        <v>1591</v>
      </c>
      <c r="N160" s="32"/>
      <c r="O160" s="310"/>
    </row>
    <row r="161" spans="1:15" ht="15.75" customHeight="1">
      <c r="A161" s="25">
        <v>19</v>
      </c>
      <c r="B161" s="26"/>
      <c r="C161" s="27" t="s">
        <v>742</v>
      </c>
      <c r="D161" s="28" t="s">
        <v>743</v>
      </c>
      <c r="E161" s="27" t="s">
        <v>744</v>
      </c>
      <c r="F161" s="27" t="s">
        <v>54</v>
      </c>
      <c r="G161" s="26" t="s">
        <v>745</v>
      </c>
      <c r="H161" s="30" t="s">
        <v>746</v>
      </c>
      <c r="I161" s="30" t="s">
        <v>747</v>
      </c>
      <c r="J161" s="30" t="s">
        <v>748</v>
      </c>
      <c r="K161" s="31" t="s">
        <v>1592</v>
      </c>
      <c r="L161" s="31" t="s">
        <v>1593</v>
      </c>
      <c r="M161" s="31" t="s">
        <v>1594</v>
      </c>
      <c r="N161" s="32"/>
      <c r="O161" s="310"/>
    </row>
    <row r="162" spans="1:15" ht="15.75" customHeight="1">
      <c r="A162" s="25">
        <v>20</v>
      </c>
      <c r="B162" s="26"/>
      <c r="C162" s="26" t="s">
        <v>1595</v>
      </c>
      <c r="D162" s="28" t="s">
        <v>1596</v>
      </c>
      <c r="E162" s="27" t="s">
        <v>1597</v>
      </c>
      <c r="F162" s="27" t="s">
        <v>65</v>
      </c>
      <c r="G162" s="26" t="s">
        <v>1598</v>
      </c>
      <c r="H162" s="30" t="s">
        <v>1599</v>
      </c>
      <c r="I162" s="30" t="s">
        <v>1600</v>
      </c>
      <c r="J162" s="30" t="s">
        <v>1601</v>
      </c>
      <c r="K162" s="31" t="s">
        <v>1602</v>
      </c>
      <c r="L162" s="31" t="s">
        <v>1603</v>
      </c>
      <c r="M162" s="31" t="s">
        <v>1604</v>
      </c>
      <c r="N162" s="32"/>
      <c r="O162" s="310"/>
    </row>
    <row r="163" spans="1:15" ht="15.75" customHeight="1">
      <c r="A163" s="25">
        <v>21</v>
      </c>
      <c r="B163" s="26"/>
      <c r="C163" s="26" t="s">
        <v>731</v>
      </c>
      <c r="D163" s="28" t="s">
        <v>732</v>
      </c>
      <c r="E163" s="26" t="s">
        <v>733</v>
      </c>
      <c r="F163" s="26" t="s">
        <v>734</v>
      </c>
      <c r="G163" s="26" t="s">
        <v>735</v>
      </c>
      <c r="H163" s="30" t="s">
        <v>736</v>
      </c>
      <c r="I163" s="30" t="s">
        <v>737</v>
      </c>
      <c r="J163" s="30" t="s">
        <v>738</v>
      </c>
      <c r="K163" s="31" t="s">
        <v>1605</v>
      </c>
      <c r="L163" s="31" t="s">
        <v>1606</v>
      </c>
      <c r="M163" s="31" t="s">
        <v>1607</v>
      </c>
      <c r="N163" s="32"/>
      <c r="O163" s="310"/>
    </row>
    <row r="164" spans="1:15" ht="15.75" customHeight="1">
      <c r="A164" s="25">
        <v>22</v>
      </c>
      <c r="B164" s="26"/>
      <c r="C164" s="27" t="s">
        <v>1608</v>
      </c>
      <c r="D164" s="28" t="s">
        <v>1609</v>
      </c>
      <c r="E164" s="27" t="s">
        <v>1610</v>
      </c>
      <c r="F164" s="27" t="s">
        <v>65</v>
      </c>
      <c r="G164" s="26" t="s">
        <v>1611</v>
      </c>
      <c r="H164" s="30" t="s">
        <v>1612</v>
      </c>
      <c r="I164" s="30" t="s">
        <v>1613</v>
      </c>
      <c r="J164" s="30" t="s">
        <v>1614</v>
      </c>
      <c r="K164" s="31" t="s">
        <v>1615</v>
      </c>
      <c r="L164" s="31" t="s">
        <v>1616</v>
      </c>
      <c r="M164" s="31" t="s">
        <v>1617</v>
      </c>
      <c r="N164" s="32"/>
      <c r="O164" s="310"/>
    </row>
    <row r="165" spans="1:15" ht="15.75" customHeight="1">
      <c r="A165" s="25">
        <v>23</v>
      </c>
      <c r="B165" s="26"/>
      <c r="C165" s="27" t="s">
        <v>457</v>
      </c>
      <c r="D165" s="28" t="s">
        <v>458</v>
      </c>
      <c r="E165" s="27" t="s">
        <v>459</v>
      </c>
      <c r="F165" s="27" t="s">
        <v>460</v>
      </c>
      <c r="G165" s="26" t="s">
        <v>461</v>
      </c>
      <c r="H165" s="30" t="s">
        <v>462</v>
      </c>
      <c r="I165" s="30" t="s">
        <v>463</v>
      </c>
      <c r="J165" s="30" t="s">
        <v>464</v>
      </c>
      <c r="K165" s="31" t="s">
        <v>1618</v>
      </c>
      <c r="L165" s="31" t="s">
        <v>1619</v>
      </c>
      <c r="M165" s="31" t="s">
        <v>1620</v>
      </c>
      <c r="N165" s="32"/>
      <c r="O165" s="311"/>
    </row>
    <row r="166" spans="1:15" ht="15.75" customHeight="1">
      <c r="A166" s="19">
        <v>1</v>
      </c>
      <c r="B166" s="19"/>
      <c r="C166" s="19" t="s">
        <v>1621</v>
      </c>
      <c r="D166" s="20" t="s">
        <v>1622</v>
      </c>
      <c r="E166" s="19" t="s">
        <v>1623</v>
      </c>
      <c r="F166" s="19" t="s">
        <v>65</v>
      </c>
      <c r="G166" s="19" t="s">
        <v>1624</v>
      </c>
      <c r="H166" s="21" t="s">
        <v>1625</v>
      </c>
      <c r="I166" s="21" t="s">
        <v>1626</v>
      </c>
      <c r="J166" s="21" t="s">
        <v>1627</v>
      </c>
      <c r="K166" s="22" t="s">
        <v>1628</v>
      </c>
      <c r="L166" s="22" t="s">
        <v>1629</v>
      </c>
      <c r="M166" s="22" t="s">
        <v>1630</v>
      </c>
      <c r="N166" s="23">
        <v>9</v>
      </c>
      <c r="O166" s="24" t="s">
        <v>38</v>
      </c>
    </row>
    <row r="167" spans="1:15" ht="15.75" customHeight="1">
      <c r="A167" s="25">
        <v>2</v>
      </c>
      <c r="B167" s="26"/>
      <c r="C167" s="26" t="s">
        <v>1631</v>
      </c>
      <c r="D167" s="28" t="s">
        <v>1632</v>
      </c>
      <c r="E167" s="27" t="s">
        <v>1633</v>
      </c>
      <c r="F167" s="27" t="s">
        <v>1634</v>
      </c>
      <c r="G167" s="26" t="s">
        <v>1635</v>
      </c>
      <c r="H167" s="30" t="s">
        <v>1636</v>
      </c>
      <c r="I167" s="30" t="s">
        <v>1637</v>
      </c>
      <c r="J167" s="30" t="s">
        <v>1638</v>
      </c>
      <c r="K167" s="31" t="s">
        <v>1639</v>
      </c>
      <c r="L167" s="31" t="s">
        <v>1640</v>
      </c>
      <c r="M167" s="31" t="s">
        <v>1641</v>
      </c>
      <c r="N167" s="32"/>
      <c r="O167" s="309" t="s">
        <v>1642</v>
      </c>
    </row>
    <row r="168" spans="1:15" ht="15.75" customHeight="1">
      <c r="A168" s="25">
        <v>3</v>
      </c>
      <c r="B168" s="26"/>
      <c r="C168" s="27" t="s">
        <v>601</v>
      </c>
      <c r="D168" s="28" t="s">
        <v>602</v>
      </c>
      <c r="E168" s="27" t="s">
        <v>603</v>
      </c>
      <c r="F168" s="27" t="s">
        <v>65</v>
      </c>
      <c r="G168" s="26" t="s">
        <v>604</v>
      </c>
      <c r="H168" s="30" t="s">
        <v>605</v>
      </c>
      <c r="I168" s="30" t="s">
        <v>606</v>
      </c>
      <c r="J168" s="30" t="s">
        <v>607</v>
      </c>
      <c r="K168" s="31" t="s">
        <v>1643</v>
      </c>
      <c r="L168" s="31" t="s">
        <v>1644</v>
      </c>
      <c r="M168" s="31" t="s">
        <v>1645</v>
      </c>
      <c r="N168" s="32"/>
      <c r="O168" s="310"/>
    </row>
    <row r="169" spans="1:15" ht="15.75" customHeight="1">
      <c r="A169" s="25">
        <v>4</v>
      </c>
      <c r="B169" s="26"/>
      <c r="C169" s="26" t="s">
        <v>1646</v>
      </c>
      <c r="D169" s="28" t="s">
        <v>1647</v>
      </c>
      <c r="E169" s="27" t="s">
        <v>1648</v>
      </c>
      <c r="F169" s="27" t="s">
        <v>42</v>
      </c>
      <c r="G169" s="26" t="s">
        <v>1649</v>
      </c>
      <c r="H169" s="29" t="s">
        <v>1650</v>
      </c>
      <c r="I169" s="30" t="s">
        <v>1651</v>
      </c>
      <c r="J169" s="30" t="s">
        <v>1652</v>
      </c>
      <c r="K169" s="31" t="s">
        <v>1653</v>
      </c>
      <c r="L169" s="31" t="s">
        <v>1654</v>
      </c>
      <c r="M169" s="31" t="s">
        <v>1655</v>
      </c>
      <c r="N169" s="32"/>
      <c r="O169" s="310"/>
    </row>
    <row r="170" spans="1:15" ht="15.75" customHeight="1">
      <c r="A170" s="25">
        <v>5</v>
      </c>
      <c r="B170" s="26"/>
      <c r="C170" s="26" t="s">
        <v>1656</v>
      </c>
      <c r="D170" s="28" t="s">
        <v>1657</v>
      </c>
      <c r="E170" s="27" t="s">
        <v>1658</v>
      </c>
      <c r="F170" s="27" t="s">
        <v>65</v>
      </c>
      <c r="G170" s="26" t="s">
        <v>1659</v>
      </c>
      <c r="H170" s="30" t="s">
        <v>1660</v>
      </c>
      <c r="I170" s="30" t="s">
        <v>1661</v>
      </c>
      <c r="J170" s="30" t="s">
        <v>1662</v>
      </c>
      <c r="K170" s="31" t="s">
        <v>1663</v>
      </c>
      <c r="L170" s="31" t="s">
        <v>1664</v>
      </c>
      <c r="M170" s="31" t="s">
        <v>1665</v>
      </c>
      <c r="N170" s="32"/>
      <c r="O170" s="310"/>
    </row>
    <row r="171" spans="1:15" ht="15.75" customHeight="1">
      <c r="A171" s="25">
        <v>6</v>
      </c>
      <c r="B171" s="26"/>
      <c r="C171" s="27" t="s">
        <v>1666</v>
      </c>
      <c r="D171" s="28" t="s">
        <v>1667</v>
      </c>
      <c r="E171" s="27" t="s">
        <v>1668</v>
      </c>
      <c r="F171" s="27" t="s">
        <v>65</v>
      </c>
      <c r="G171" s="26" t="s">
        <v>1669</v>
      </c>
      <c r="H171" s="30" t="s">
        <v>1670</v>
      </c>
      <c r="I171" s="30" t="s">
        <v>1671</v>
      </c>
      <c r="J171" s="30" t="s">
        <v>1672</v>
      </c>
      <c r="K171" s="31" t="s">
        <v>1673</v>
      </c>
      <c r="L171" s="31" t="s">
        <v>1674</v>
      </c>
      <c r="M171" s="31" t="s">
        <v>1675</v>
      </c>
      <c r="N171" s="32"/>
      <c r="O171" s="310"/>
    </row>
    <row r="172" spans="1:15" ht="15.75" customHeight="1">
      <c r="A172" s="25">
        <v>7</v>
      </c>
      <c r="B172" s="26"/>
      <c r="C172" s="27" t="s">
        <v>1676</v>
      </c>
      <c r="D172" s="28" t="s">
        <v>1677</v>
      </c>
      <c r="E172" s="27" t="s">
        <v>1678</v>
      </c>
      <c r="F172" s="27" t="s">
        <v>65</v>
      </c>
      <c r="G172" s="26" t="s">
        <v>1679</v>
      </c>
      <c r="H172" s="30" t="s">
        <v>1680</v>
      </c>
      <c r="I172" s="30" t="s">
        <v>1681</v>
      </c>
      <c r="J172" s="30" t="s">
        <v>1682</v>
      </c>
      <c r="K172" s="31" t="s">
        <v>1683</v>
      </c>
      <c r="L172" s="31" t="s">
        <v>1684</v>
      </c>
      <c r="M172" s="31" t="s">
        <v>1685</v>
      </c>
      <c r="N172" s="32"/>
      <c r="O172" s="310"/>
    </row>
    <row r="173" spans="1:15" ht="15.75" customHeight="1">
      <c r="A173" s="25">
        <v>8</v>
      </c>
      <c r="B173" s="26"/>
      <c r="C173" s="26" t="s">
        <v>1686</v>
      </c>
      <c r="D173" s="28" t="s">
        <v>1687</v>
      </c>
      <c r="E173" s="26" t="s">
        <v>1688</v>
      </c>
      <c r="F173" s="26" t="s">
        <v>563</v>
      </c>
      <c r="G173" s="26" t="s">
        <v>1689</v>
      </c>
      <c r="H173" s="30" t="s">
        <v>1690</v>
      </c>
      <c r="I173" s="30" t="s">
        <v>1691</v>
      </c>
      <c r="J173" s="30" t="s">
        <v>1692</v>
      </c>
      <c r="K173" s="31" t="s">
        <v>1693</v>
      </c>
      <c r="L173" s="31" t="s">
        <v>1694</v>
      </c>
      <c r="M173" s="31" t="s">
        <v>1695</v>
      </c>
      <c r="N173" s="32"/>
      <c r="O173" s="310"/>
    </row>
    <row r="174" spans="1:15" ht="15.75" customHeight="1">
      <c r="A174" s="25">
        <v>9</v>
      </c>
      <c r="B174" s="26"/>
      <c r="C174" s="27" t="s">
        <v>1696</v>
      </c>
      <c r="D174" s="28" t="s">
        <v>1697</v>
      </c>
      <c r="E174" s="27" t="s">
        <v>1698</v>
      </c>
      <c r="F174" s="27" t="s">
        <v>65</v>
      </c>
      <c r="G174" s="26" t="s">
        <v>1699</v>
      </c>
      <c r="H174" s="29" t="s">
        <v>1700</v>
      </c>
      <c r="I174" s="30" t="s">
        <v>1701</v>
      </c>
      <c r="J174" s="30" t="s">
        <v>1702</v>
      </c>
      <c r="K174" s="31" t="s">
        <v>1703</v>
      </c>
      <c r="L174" s="31" t="s">
        <v>1704</v>
      </c>
      <c r="M174" s="31" t="s">
        <v>1705</v>
      </c>
      <c r="N174" s="32"/>
      <c r="O174" s="310"/>
    </row>
    <row r="175" spans="1:15" ht="15.75" customHeight="1">
      <c r="A175" s="25">
        <v>10</v>
      </c>
      <c r="B175" s="26"/>
      <c r="C175" s="27" t="s">
        <v>1706</v>
      </c>
      <c r="D175" s="28" t="s">
        <v>1707</v>
      </c>
      <c r="E175" s="27" t="s">
        <v>1708</v>
      </c>
      <c r="F175" s="27" t="s">
        <v>42</v>
      </c>
      <c r="G175" s="26" t="s">
        <v>1709</v>
      </c>
      <c r="H175" s="29" t="s">
        <v>1710</v>
      </c>
      <c r="I175" s="30" t="s">
        <v>1711</v>
      </c>
      <c r="J175" s="30" t="s">
        <v>1712</v>
      </c>
      <c r="K175" s="31" t="s">
        <v>1713</v>
      </c>
      <c r="L175" s="31" t="s">
        <v>1714</v>
      </c>
      <c r="M175" s="31" t="s">
        <v>1715</v>
      </c>
      <c r="N175" s="32"/>
      <c r="O175" s="310"/>
    </row>
    <row r="176" spans="1:15" ht="15.75" customHeight="1">
      <c r="A176" s="25">
        <v>11</v>
      </c>
      <c r="B176" s="26"/>
      <c r="C176" s="26" t="s">
        <v>1716</v>
      </c>
      <c r="D176" s="28" t="s">
        <v>1717</v>
      </c>
      <c r="E176" s="27" t="s">
        <v>1718</v>
      </c>
      <c r="F176" s="27" t="s">
        <v>1719</v>
      </c>
      <c r="G176" s="26" t="s">
        <v>1720</v>
      </c>
      <c r="H176" s="29" t="s">
        <v>1721</v>
      </c>
      <c r="I176" s="30" t="s">
        <v>1722</v>
      </c>
      <c r="J176" s="30" t="s">
        <v>1723</v>
      </c>
      <c r="K176" s="31" t="s">
        <v>1724</v>
      </c>
      <c r="L176" s="31" t="s">
        <v>1725</v>
      </c>
      <c r="M176" s="31" t="s">
        <v>1726</v>
      </c>
      <c r="N176" s="32"/>
      <c r="O176" s="310"/>
    </row>
    <row r="177" spans="1:15" ht="15.75" customHeight="1">
      <c r="A177" s="25">
        <v>12</v>
      </c>
      <c r="B177" s="26"/>
      <c r="C177" s="27" t="s">
        <v>1727</v>
      </c>
      <c r="D177" s="28" t="s">
        <v>1728</v>
      </c>
      <c r="E177" s="27" t="s">
        <v>1729</v>
      </c>
      <c r="F177" s="27" t="s">
        <v>117</v>
      </c>
      <c r="G177" s="26" t="s">
        <v>1730</v>
      </c>
      <c r="H177" s="29" t="s">
        <v>1731</v>
      </c>
      <c r="I177" s="30" t="s">
        <v>1732</v>
      </c>
      <c r="J177" s="30" t="s">
        <v>1733</v>
      </c>
      <c r="K177" s="31" t="s">
        <v>1734</v>
      </c>
      <c r="L177" s="31" t="s">
        <v>1735</v>
      </c>
      <c r="M177" s="31" t="s">
        <v>1736</v>
      </c>
      <c r="N177" s="32"/>
      <c r="O177" s="310"/>
    </row>
    <row r="178" spans="1:15" ht="15.75" customHeight="1">
      <c r="A178" s="25">
        <v>13</v>
      </c>
      <c r="B178" s="26"/>
      <c r="C178" s="27" t="s">
        <v>852</v>
      </c>
      <c r="D178" s="28" t="s">
        <v>853</v>
      </c>
      <c r="E178" s="27" t="s">
        <v>854</v>
      </c>
      <c r="F178" s="27" t="s">
        <v>117</v>
      </c>
      <c r="G178" s="26" t="s">
        <v>855</v>
      </c>
      <c r="H178" s="29" t="s">
        <v>856</v>
      </c>
      <c r="I178" s="30" t="s">
        <v>857</v>
      </c>
      <c r="J178" s="30" t="s">
        <v>858</v>
      </c>
      <c r="K178" s="31" t="s">
        <v>1737</v>
      </c>
      <c r="L178" s="31" t="s">
        <v>1738</v>
      </c>
      <c r="M178" s="31" t="s">
        <v>1739</v>
      </c>
      <c r="N178" s="32"/>
      <c r="O178" s="310"/>
    </row>
    <row r="179" spans="1:15" ht="15.75" customHeight="1">
      <c r="A179" s="25">
        <v>14</v>
      </c>
      <c r="B179" s="26"/>
      <c r="C179" s="26" t="s">
        <v>1740</v>
      </c>
      <c r="D179" s="28" t="s">
        <v>1741</v>
      </c>
      <c r="E179" s="27" t="s">
        <v>1742</v>
      </c>
      <c r="F179" s="27" t="s">
        <v>65</v>
      </c>
      <c r="G179" s="26" t="s">
        <v>1743</v>
      </c>
      <c r="H179" s="29" t="s">
        <v>1744</v>
      </c>
      <c r="I179" s="30" t="s">
        <v>1745</v>
      </c>
      <c r="J179" s="30" t="s">
        <v>1746</v>
      </c>
      <c r="K179" s="31" t="s">
        <v>1747</v>
      </c>
      <c r="L179" s="31" t="s">
        <v>1748</v>
      </c>
      <c r="M179" s="31" t="s">
        <v>1749</v>
      </c>
      <c r="N179" s="32"/>
      <c r="O179" s="310"/>
    </row>
    <row r="180" spans="1:15" ht="15.75" customHeight="1">
      <c r="A180" s="25">
        <v>15</v>
      </c>
      <c r="B180" s="26"/>
      <c r="C180" s="26" t="s">
        <v>1750</v>
      </c>
      <c r="D180" s="28" t="s">
        <v>1751</v>
      </c>
      <c r="E180" s="27" t="s">
        <v>1752</v>
      </c>
      <c r="F180" s="27" t="s">
        <v>117</v>
      </c>
      <c r="G180" s="26" t="s">
        <v>1753</v>
      </c>
      <c r="H180" s="29" t="s">
        <v>1754</v>
      </c>
      <c r="I180" s="30" t="s">
        <v>1755</v>
      </c>
      <c r="J180" s="30" t="s">
        <v>1756</v>
      </c>
      <c r="K180" s="31" t="s">
        <v>1757</v>
      </c>
      <c r="L180" s="31" t="s">
        <v>1758</v>
      </c>
      <c r="M180" s="31" t="s">
        <v>1759</v>
      </c>
      <c r="N180" s="32"/>
      <c r="O180" s="310"/>
    </row>
    <row r="181" spans="1:15" ht="15.75" customHeight="1">
      <c r="A181" s="25">
        <v>16</v>
      </c>
      <c r="B181" s="26"/>
      <c r="C181" s="27" t="s">
        <v>661</v>
      </c>
      <c r="D181" s="28" t="s">
        <v>662</v>
      </c>
      <c r="E181" s="27" t="s">
        <v>663</v>
      </c>
      <c r="F181" s="27" t="s">
        <v>664</v>
      </c>
      <c r="G181" s="26" t="s">
        <v>665</v>
      </c>
      <c r="H181" s="29" t="s">
        <v>666</v>
      </c>
      <c r="I181" s="30" t="s">
        <v>667</v>
      </c>
      <c r="J181" s="30" t="s">
        <v>668</v>
      </c>
      <c r="K181" s="31" t="s">
        <v>1760</v>
      </c>
      <c r="L181" s="31" t="s">
        <v>1761</v>
      </c>
      <c r="M181" s="31" t="s">
        <v>1762</v>
      </c>
      <c r="N181" s="32"/>
      <c r="O181" s="310"/>
    </row>
    <row r="182" spans="1:15" ht="15.75" customHeight="1">
      <c r="A182" s="25">
        <v>17</v>
      </c>
      <c r="B182" s="26"/>
      <c r="C182" s="27" t="s">
        <v>1763</v>
      </c>
      <c r="D182" s="28" t="s">
        <v>1764</v>
      </c>
      <c r="E182" s="27" t="s">
        <v>1765</v>
      </c>
      <c r="F182" s="27" t="s">
        <v>65</v>
      </c>
      <c r="G182" s="26" t="s">
        <v>1766</v>
      </c>
      <c r="H182" s="29" t="s">
        <v>1767</v>
      </c>
      <c r="I182" s="30" t="s">
        <v>1768</v>
      </c>
      <c r="J182" s="30" t="s">
        <v>1769</v>
      </c>
      <c r="K182" s="31" t="s">
        <v>1770</v>
      </c>
      <c r="L182" s="31" t="s">
        <v>1771</v>
      </c>
      <c r="M182" s="31" t="s">
        <v>1772</v>
      </c>
      <c r="N182" s="32"/>
      <c r="O182" s="310"/>
    </row>
    <row r="183" spans="1:15" ht="15.75" customHeight="1">
      <c r="A183" s="25">
        <v>18</v>
      </c>
      <c r="B183" s="26"/>
      <c r="C183" s="26" t="s">
        <v>1773</v>
      </c>
      <c r="D183" s="28" t="s">
        <v>1774</v>
      </c>
      <c r="E183" s="27" t="s">
        <v>1775</v>
      </c>
      <c r="F183" s="27" t="s">
        <v>117</v>
      </c>
      <c r="G183" s="26" t="s">
        <v>1776</v>
      </c>
      <c r="H183" s="29" t="s">
        <v>1777</v>
      </c>
      <c r="I183" s="30" t="s">
        <v>1778</v>
      </c>
      <c r="J183" s="30" t="s">
        <v>1779</v>
      </c>
      <c r="K183" s="31" t="s">
        <v>1780</v>
      </c>
      <c r="L183" s="31" t="s">
        <v>1781</v>
      </c>
      <c r="M183" s="31" t="s">
        <v>1782</v>
      </c>
      <c r="N183" s="32"/>
      <c r="O183" s="310"/>
    </row>
    <row r="184" spans="1:15" ht="15.75" customHeight="1">
      <c r="A184" s="25">
        <v>19</v>
      </c>
      <c r="B184" s="26"/>
      <c r="C184" s="26" t="s">
        <v>1783</v>
      </c>
      <c r="D184" s="28" t="s">
        <v>1784</v>
      </c>
      <c r="E184" s="27" t="s">
        <v>1785</v>
      </c>
      <c r="F184" s="27" t="s">
        <v>65</v>
      </c>
      <c r="G184" s="26" t="s">
        <v>1786</v>
      </c>
      <c r="H184" s="30" t="s">
        <v>1787</v>
      </c>
      <c r="I184" s="30" t="s">
        <v>1788</v>
      </c>
      <c r="J184" s="30" t="s">
        <v>1789</v>
      </c>
      <c r="K184" s="31" t="s">
        <v>1790</v>
      </c>
      <c r="L184" s="31" t="s">
        <v>1791</v>
      </c>
      <c r="M184" s="31" t="s">
        <v>1792</v>
      </c>
      <c r="N184" s="32"/>
      <c r="O184" s="310"/>
    </row>
    <row r="185" spans="1:15" ht="15.75" customHeight="1">
      <c r="A185" s="25">
        <v>20</v>
      </c>
      <c r="B185" s="26"/>
      <c r="C185" s="26" t="s">
        <v>1793</v>
      </c>
      <c r="D185" s="28" t="s">
        <v>1794</v>
      </c>
      <c r="E185" s="27" t="s">
        <v>1795</v>
      </c>
      <c r="F185" s="27" t="s">
        <v>54</v>
      </c>
      <c r="G185" s="26" t="s">
        <v>1796</v>
      </c>
      <c r="H185" s="29" t="s">
        <v>1797</v>
      </c>
      <c r="I185" s="30" t="s">
        <v>1798</v>
      </c>
      <c r="J185" s="30" t="s">
        <v>1799</v>
      </c>
      <c r="K185" s="31" t="s">
        <v>1800</v>
      </c>
      <c r="L185" s="31" t="s">
        <v>1801</v>
      </c>
      <c r="M185" s="31" t="s">
        <v>1802</v>
      </c>
      <c r="N185" s="32"/>
      <c r="O185" s="310"/>
    </row>
    <row r="186" spans="1:15" ht="15.75" customHeight="1">
      <c r="A186" s="25">
        <v>21</v>
      </c>
      <c r="B186" s="26"/>
      <c r="C186" s="27" t="s">
        <v>1803</v>
      </c>
      <c r="D186" s="28" t="s">
        <v>1804</v>
      </c>
      <c r="E186" s="27" t="s">
        <v>1805</v>
      </c>
      <c r="F186" s="27" t="s">
        <v>65</v>
      </c>
      <c r="G186" s="26" t="s">
        <v>1806</v>
      </c>
      <c r="H186" s="29" t="s">
        <v>1807</v>
      </c>
      <c r="I186" s="30" t="s">
        <v>1808</v>
      </c>
      <c r="J186" s="30" t="s">
        <v>1809</v>
      </c>
      <c r="K186" s="31" t="s">
        <v>1810</v>
      </c>
      <c r="L186" s="31" t="s">
        <v>1811</v>
      </c>
      <c r="M186" s="31" t="s">
        <v>1812</v>
      </c>
      <c r="N186" s="32"/>
      <c r="O186" s="310"/>
    </row>
    <row r="187" spans="1:15" ht="15.75" customHeight="1">
      <c r="A187" s="25">
        <v>22</v>
      </c>
      <c r="B187" s="26"/>
      <c r="C187" s="27" t="s">
        <v>1813</v>
      </c>
      <c r="D187" s="28" t="s">
        <v>1814</v>
      </c>
      <c r="E187" s="27" t="s">
        <v>1815</v>
      </c>
      <c r="F187" s="27" t="s">
        <v>65</v>
      </c>
      <c r="G187" s="26" t="s">
        <v>1816</v>
      </c>
      <c r="H187" s="29" t="s">
        <v>1817</v>
      </c>
      <c r="I187" s="30" t="s">
        <v>1818</v>
      </c>
      <c r="J187" s="30" t="s">
        <v>1819</v>
      </c>
      <c r="K187" s="31" t="s">
        <v>1820</v>
      </c>
      <c r="L187" s="31" t="s">
        <v>1821</v>
      </c>
      <c r="M187" s="31" t="s">
        <v>1822</v>
      </c>
      <c r="N187" s="32"/>
      <c r="O187" s="310"/>
    </row>
    <row r="188" spans="1:15" ht="15.75" customHeight="1">
      <c r="A188" s="25">
        <v>23</v>
      </c>
      <c r="B188" s="26"/>
      <c r="C188" s="26" t="s">
        <v>1823</v>
      </c>
      <c r="D188" s="28" t="s">
        <v>1824</v>
      </c>
      <c r="E188" s="27" t="s">
        <v>1825</v>
      </c>
      <c r="F188" s="27" t="s">
        <v>117</v>
      </c>
      <c r="G188" s="26" t="s">
        <v>1826</v>
      </c>
      <c r="H188" s="29" t="s">
        <v>1827</v>
      </c>
      <c r="I188" s="30" t="s">
        <v>1828</v>
      </c>
      <c r="J188" s="30" t="s">
        <v>1829</v>
      </c>
      <c r="K188" s="31" t="s">
        <v>1830</v>
      </c>
      <c r="L188" s="31" t="s">
        <v>1831</v>
      </c>
      <c r="M188" s="31" t="s">
        <v>1832</v>
      </c>
      <c r="N188" s="32"/>
      <c r="O188" s="311"/>
    </row>
    <row r="189" spans="1:15" ht="15.75" customHeight="1">
      <c r="A189" s="19">
        <v>1</v>
      </c>
      <c r="B189" s="19"/>
      <c r="C189" s="19" t="s">
        <v>1833</v>
      </c>
      <c r="D189" s="20" t="s">
        <v>1834</v>
      </c>
      <c r="E189" s="19" t="s">
        <v>1835</v>
      </c>
      <c r="F189" s="19" t="s">
        <v>65</v>
      </c>
      <c r="G189" s="19" t="s">
        <v>1836</v>
      </c>
      <c r="H189" s="21" t="s">
        <v>1837</v>
      </c>
      <c r="I189" s="21" t="s">
        <v>1838</v>
      </c>
      <c r="J189" s="21" t="s">
        <v>1839</v>
      </c>
      <c r="K189" s="22" t="s">
        <v>1840</v>
      </c>
      <c r="L189" s="22" t="s">
        <v>1841</v>
      </c>
      <c r="M189" s="22" t="s">
        <v>1842</v>
      </c>
      <c r="N189" s="23">
        <v>10</v>
      </c>
      <c r="O189" s="24" t="s">
        <v>38</v>
      </c>
    </row>
    <row r="190" spans="1:15" ht="15.75" customHeight="1">
      <c r="A190" s="25">
        <v>2</v>
      </c>
      <c r="B190" s="26"/>
      <c r="C190" s="26" t="s">
        <v>1843</v>
      </c>
      <c r="D190" s="28" t="s">
        <v>1844</v>
      </c>
      <c r="E190" s="27" t="s">
        <v>1845</v>
      </c>
      <c r="F190" s="26" t="s">
        <v>65</v>
      </c>
      <c r="G190" s="26" t="s">
        <v>1846</v>
      </c>
      <c r="H190" s="29" t="s">
        <v>1847</v>
      </c>
      <c r="I190" s="30" t="s">
        <v>1848</v>
      </c>
      <c r="J190" s="30" t="s">
        <v>1849</v>
      </c>
      <c r="K190" s="31" t="s">
        <v>1850</v>
      </c>
      <c r="L190" s="31" t="s">
        <v>1851</v>
      </c>
      <c r="M190" s="31" t="s">
        <v>1852</v>
      </c>
      <c r="N190" s="32"/>
      <c r="O190" s="309" t="s">
        <v>1853</v>
      </c>
    </row>
    <row r="191" spans="1:15" ht="15.75" customHeight="1">
      <c r="A191" s="25">
        <v>3</v>
      </c>
      <c r="B191" s="26"/>
      <c r="C191" s="26" t="s">
        <v>1854</v>
      </c>
      <c r="D191" s="28" t="s">
        <v>1855</v>
      </c>
      <c r="E191" s="27" t="s">
        <v>1856</v>
      </c>
      <c r="F191" s="26" t="s">
        <v>42</v>
      </c>
      <c r="G191" s="26" t="s">
        <v>1857</v>
      </c>
      <c r="H191" s="30" t="s">
        <v>1858</v>
      </c>
      <c r="I191" s="30" t="s">
        <v>1859</v>
      </c>
      <c r="J191" s="30" t="s">
        <v>1860</v>
      </c>
      <c r="K191" s="31" t="s">
        <v>1861</v>
      </c>
      <c r="L191" s="31" t="s">
        <v>1862</v>
      </c>
      <c r="M191" s="31" t="s">
        <v>1863</v>
      </c>
      <c r="N191" s="32"/>
      <c r="O191" s="310"/>
    </row>
    <row r="192" spans="1:15" ht="15.75" customHeight="1">
      <c r="A192" s="25">
        <v>4</v>
      </c>
      <c r="B192" s="26"/>
      <c r="C192" s="27" t="s">
        <v>1864</v>
      </c>
      <c r="D192" s="28" t="s">
        <v>1865</v>
      </c>
      <c r="E192" s="27" t="s">
        <v>1544</v>
      </c>
      <c r="F192" s="26" t="s">
        <v>65</v>
      </c>
      <c r="G192" s="26" t="s">
        <v>1866</v>
      </c>
      <c r="H192" s="29" t="s">
        <v>1867</v>
      </c>
      <c r="I192" s="30" t="s">
        <v>1868</v>
      </c>
      <c r="J192" s="30" t="s">
        <v>1869</v>
      </c>
      <c r="K192" s="31" t="s">
        <v>1870</v>
      </c>
      <c r="L192" s="31" t="s">
        <v>1871</v>
      </c>
      <c r="M192" s="31" t="s">
        <v>1872</v>
      </c>
      <c r="N192" s="32"/>
      <c r="O192" s="310"/>
    </row>
    <row r="193" spans="1:15" ht="15.75" customHeight="1">
      <c r="A193" s="25">
        <v>5</v>
      </c>
      <c r="B193" s="26"/>
      <c r="C193" s="26" t="s">
        <v>1873</v>
      </c>
      <c r="D193" s="28" t="s">
        <v>1874</v>
      </c>
      <c r="E193" s="26" t="s">
        <v>1875</v>
      </c>
      <c r="F193" s="26" t="s">
        <v>42</v>
      </c>
      <c r="G193" s="26" t="s">
        <v>1876</v>
      </c>
      <c r="H193" s="30" t="s">
        <v>1877</v>
      </c>
      <c r="I193" s="30" t="s">
        <v>1878</v>
      </c>
      <c r="J193" s="30" t="s">
        <v>1879</v>
      </c>
      <c r="K193" s="31" t="s">
        <v>1880</v>
      </c>
      <c r="L193" s="31" t="s">
        <v>1881</v>
      </c>
      <c r="M193" s="31" t="s">
        <v>1882</v>
      </c>
      <c r="N193" s="32"/>
      <c r="O193" s="310"/>
    </row>
    <row r="194" spans="1:15" ht="15.75" customHeight="1">
      <c r="A194" s="25">
        <v>6</v>
      </c>
      <c r="B194" s="26"/>
      <c r="C194" s="27" t="s">
        <v>1883</v>
      </c>
      <c r="D194" s="28" t="s">
        <v>1884</v>
      </c>
      <c r="E194" s="27" t="s">
        <v>1885</v>
      </c>
      <c r="F194" s="26" t="s">
        <v>563</v>
      </c>
      <c r="G194" s="26" t="s">
        <v>1886</v>
      </c>
      <c r="H194" s="30" t="s">
        <v>1887</v>
      </c>
      <c r="I194" s="30" t="s">
        <v>1888</v>
      </c>
      <c r="J194" s="30" t="s">
        <v>1889</v>
      </c>
      <c r="K194" s="31" t="s">
        <v>1890</v>
      </c>
      <c r="L194" s="31" t="s">
        <v>1891</v>
      </c>
      <c r="M194" s="31" t="s">
        <v>1892</v>
      </c>
      <c r="N194" s="32"/>
      <c r="O194" s="310"/>
    </row>
    <row r="195" spans="1:15" ht="15.75" customHeight="1">
      <c r="A195" s="25">
        <v>7</v>
      </c>
      <c r="B195" s="26"/>
      <c r="C195" s="26" t="s">
        <v>1893</v>
      </c>
      <c r="D195" s="28" t="s">
        <v>1894</v>
      </c>
      <c r="E195" s="27" t="s">
        <v>1895</v>
      </c>
      <c r="F195" s="27" t="s">
        <v>42</v>
      </c>
      <c r="G195" s="26" t="s">
        <v>1896</v>
      </c>
      <c r="H195" s="30" t="s">
        <v>1897</v>
      </c>
      <c r="I195" s="30" t="s">
        <v>1898</v>
      </c>
      <c r="J195" s="30" t="s">
        <v>1899</v>
      </c>
      <c r="K195" s="31" t="s">
        <v>1900</v>
      </c>
      <c r="L195" s="31" t="s">
        <v>1901</v>
      </c>
      <c r="M195" s="31" t="s">
        <v>1902</v>
      </c>
      <c r="N195" s="32"/>
      <c r="O195" s="310"/>
    </row>
    <row r="196" spans="1:15" ht="15.75" customHeight="1">
      <c r="A196" s="25">
        <v>8</v>
      </c>
      <c r="B196" s="26"/>
      <c r="C196" s="27" t="s">
        <v>1903</v>
      </c>
      <c r="D196" s="28" t="s">
        <v>1904</v>
      </c>
      <c r="E196" s="27" t="s">
        <v>1905</v>
      </c>
      <c r="F196" s="26" t="s">
        <v>42</v>
      </c>
      <c r="G196" s="26" t="s">
        <v>1906</v>
      </c>
      <c r="H196" s="30" t="s">
        <v>1907</v>
      </c>
      <c r="I196" s="30" t="s">
        <v>1908</v>
      </c>
      <c r="J196" s="30" t="s">
        <v>1909</v>
      </c>
      <c r="K196" s="31" t="s">
        <v>1910</v>
      </c>
      <c r="L196" s="31" t="s">
        <v>1911</v>
      </c>
      <c r="M196" s="31" t="s">
        <v>1912</v>
      </c>
      <c r="N196" s="32"/>
      <c r="O196" s="310"/>
    </row>
    <row r="197" spans="1:15" ht="15.75" customHeight="1">
      <c r="A197" s="25">
        <v>9</v>
      </c>
      <c r="B197" s="26"/>
      <c r="C197" s="27" t="s">
        <v>1913</v>
      </c>
      <c r="D197" s="28" t="s">
        <v>1914</v>
      </c>
      <c r="E197" s="27" t="s">
        <v>1915</v>
      </c>
      <c r="F197" s="27" t="s">
        <v>65</v>
      </c>
      <c r="G197" s="26" t="s">
        <v>1916</v>
      </c>
      <c r="H197" s="30" t="s">
        <v>1917</v>
      </c>
      <c r="I197" s="30" t="s">
        <v>1918</v>
      </c>
      <c r="J197" s="30" t="s">
        <v>1919</v>
      </c>
      <c r="K197" s="31" t="s">
        <v>1920</v>
      </c>
      <c r="L197" s="31" t="s">
        <v>1921</v>
      </c>
      <c r="M197" s="31" t="s">
        <v>1922</v>
      </c>
      <c r="N197" s="32"/>
      <c r="O197" s="310"/>
    </row>
    <row r="198" spans="1:15" ht="15.75" customHeight="1">
      <c r="A198" s="25">
        <v>10</v>
      </c>
      <c r="B198" s="26"/>
      <c r="C198" s="27" t="s">
        <v>1923</v>
      </c>
      <c r="D198" s="28" t="s">
        <v>1924</v>
      </c>
      <c r="E198" s="27" t="s">
        <v>1925</v>
      </c>
      <c r="F198" s="26" t="s">
        <v>54</v>
      </c>
      <c r="G198" s="26" t="s">
        <v>1926</v>
      </c>
      <c r="H198" s="30" t="s">
        <v>1927</v>
      </c>
      <c r="I198" s="30" t="s">
        <v>1928</v>
      </c>
      <c r="J198" s="30" t="s">
        <v>1929</v>
      </c>
      <c r="K198" s="31" t="s">
        <v>1930</v>
      </c>
      <c r="L198" s="31" t="s">
        <v>1931</v>
      </c>
      <c r="M198" s="31" t="s">
        <v>1932</v>
      </c>
      <c r="N198" s="32"/>
      <c r="O198" s="310"/>
    </row>
    <row r="199" spans="1:15" ht="15.75" customHeight="1">
      <c r="A199" s="25">
        <v>11</v>
      </c>
      <c r="B199" s="26"/>
      <c r="C199" s="26" t="s">
        <v>1933</v>
      </c>
      <c r="D199" s="28" t="s">
        <v>1934</v>
      </c>
      <c r="E199" s="27" t="s">
        <v>1935</v>
      </c>
      <c r="F199" s="27" t="s">
        <v>563</v>
      </c>
      <c r="G199" s="26" t="s">
        <v>1936</v>
      </c>
      <c r="H199" s="30" t="s">
        <v>1937</v>
      </c>
      <c r="I199" s="30" t="s">
        <v>1938</v>
      </c>
      <c r="J199" s="30" t="s">
        <v>1939</v>
      </c>
      <c r="K199" s="31" t="s">
        <v>1940</v>
      </c>
      <c r="L199" s="31" t="s">
        <v>1941</v>
      </c>
      <c r="M199" s="31" t="s">
        <v>1942</v>
      </c>
      <c r="N199" s="32"/>
      <c r="O199" s="310"/>
    </row>
    <row r="200" spans="1:15" ht="15.75" customHeight="1">
      <c r="A200" s="25">
        <v>12</v>
      </c>
      <c r="B200" s="26"/>
      <c r="C200" s="27" t="s">
        <v>1943</v>
      </c>
      <c r="D200" s="28" t="s">
        <v>1944</v>
      </c>
      <c r="E200" s="27" t="s">
        <v>1945</v>
      </c>
      <c r="F200" s="27" t="s">
        <v>65</v>
      </c>
      <c r="G200" s="26" t="s">
        <v>1946</v>
      </c>
      <c r="H200" s="30" t="s">
        <v>1947</v>
      </c>
      <c r="I200" s="30" t="s">
        <v>1948</v>
      </c>
      <c r="J200" s="30" t="s">
        <v>1949</v>
      </c>
      <c r="K200" s="31" t="s">
        <v>1950</v>
      </c>
      <c r="L200" s="31" t="s">
        <v>1951</v>
      </c>
      <c r="M200" s="31" t="s">
        <v>1952</v>
      </c>
      <c r="N200" s="32"/>
      <c r="O200" s="310"/>
    </row>
    <row r="201" spans="1:15" ht="15.75" customHeight="1">
      <c r="A201" s="25">
        <v>13</v>
      </c>
      <c r="B201" s="26"/>
      <c r="C201" s="27" t="s">
        <v>1953</v>
      </c>
      <c r="D201" s="28" t="s">
        <v>1954</v>
      </c>
      <c r="E201" s="27" t="s">
        <v>1955</v>
      </c>
      <c r="F201" s="27" t="s">
        <v>54</v>
      </c>
      <c r="G201" s="26" t="s">
        <v>1956</v>
      </c>
      <c r="H201" s="30" t="s">
        <v>1957</v>
      </c>
      <c r="I201" s="30" t="s">
        <v>1958</v>
      </c>
      <c r="J201" s="30" t="s">
        <v>1959</v>
      </c>
      <c r="K201" s="31" t="s">
        <v>1960</v>
      </c>
      <c r="L201" s="31" t="s">
        <v>1961</v>
      </c>
      <c r="M201" s="31" t="s">
        <v>1962</v>
      </c>
      <c r="N201" s="32"/>
      <c r="O201" s="310"/>
    </row>
    <row r="202" spans="1:15" ht="15.75" customHeight="1">
      <c r="A202" s="25">
        <v>14</v>
      </c>
      <c r="B202" s="26"/>
      <c r="C202" s="26" t="s">
        <v>1963</v>
      </c>
      <c r="D202" s="28" t="s">
        <v>1964</v>
      </c>
      <c r="E202" s="26" t="s">
        <v>1965</v>
      </c>
      <c r="F202" s="26" t="s">
        <v>65</v>
      </c>
      <c r="G202" s="26" t="s">
        <v>1966</v>
      </c>
      <c r="H202" s="30" t="s">
        <v>1967</v>
      </c>
      <c r="I202" s="30" t="s">
        <v>1968</v>
      </c>
      <c r="J202" s="30" t="s">
        <v>1969</v>
      </c>
      <c r="K202" s="31" t="s">
        <v>1970</v>
      </c>
      <c r="L202" s="31" t="s">
        <v>1971</v>
      </c>
      <c r="M202" s="31" t="s">
        <v>1972</v>
      </c>
      <c r="N202" s="32"/>
      <c r="O202" s="310"/>
    </row>
    <row r="203" spans="1:15" ht="15.75" customHeight="1">
      <c r="A203" s="25">
        <v>15</v>
      </c>
      <c r="B203" s="26"/>
      <c r="C203" s="27" t="s">
        <v>1973</v>
      </c>
      <c r="D203" s="28" t="s">
        <v>1974</v>
      </c>
      <c r="E203" s="27" t="s">
        <v>1975</v>
      </c>
      <c r="F203" s="27" t="s">
        <v>65</v>
      </c>
      <c r="G203" s="26" t="s">
        <v>1976</v>
      </c>
      <c r="H203" s="29" t="s">
        <v>1977</v>
      </c>
      <c r="I203" s="30" t="s">
        <v>1978</v>
      </c>
      <c r="J203" s="30" t="s">
        <v>1979</v>
      </c>
      <c r="K203" s="31" t="s">
        <v>1980</v>
      </c>
      <c r="L203" s="31" t="s">
        <v>1981</v>
      </c>
      <c r="M203" s="31" t="s">
        <v>1982</v>
      </c>
      <c r="N203" s="32"/>
      <c r="O203" s="310"/>
    </row>
    <row r="204" spans="1:15" ht="15.75" customHeight="1">
      <c r="A204" s="25">
        <v>16</v>
      </c>
      <c r="B204" s="26"/>
      <c r="C204" s="27" t="s">
        <v>1983</v>
      </c>
      <c r="D204" s="28" t="s">
        <v>1984</v>
      </c>
      <c r="E204" s="27" t="s">
        <v>1252</v>
      </c>
      <c r="F204" s="26" t="s">
        <v>563</v>
      </c>
      <c r="G204" s="26" t="s">
        <v>1985</v>
      </c>
      <c r="H204" s="30" t="s">
        <v>1986</v>
      </c>
      <c r="I204" s="30" t="s">
        <v>1987</v>
      </c>
      <c r="J204" s="30" t="s">
        <v>1988</v>
      </c>
      <c r="K204" s="31" t="s">
        <v>1989</v>
      </c>
      <c r="L204" s="31" t="s">
        <v>1990</v>
      </c>
      <c r="M204" s="31" t="s">
        <v>1991</v>
      </c>
      <c r="N204" s="32"/>
      <c r="O204" s="310"/>
    </row>
    <row r="205" spans="1:15" ht="15.75" customHeight="1">
      <c r="A205" s="25">
        <v>17</v>
      </c>
      <c r="B205" s="26"/>
      <c r="C205" s="26" t="s">
        <v>1992</v>
      </c>
      <c r="D205" s="28" t="s">
        <v>1993</v>
      </c>
      <c r="E205" s="27" t="s">
        <v>1994</v>
      </c>
      <c r="F205" s="27" t="s">
        <v>65</v>
      </c>
      <c r="G205" s="26" t="s">
        <v>1995</v>
      </c>
      <c r="H205" s="29" t="s">
        <v>1996</v>
      </c>
      <c r="I205" s="30" t="s">
        <v>1997</v>
      </c>
      <c r="J205" s="30" t="s">
        <v>1998</v>
      </c>
      <c r="K205" s="31" t="s">
        <v>1999</v>
      </c>
      <c r="L205" s="31" t="s">
        <v>2000</v>
      </c>
      <c r="M205" s="31" t="s">
        <v>2001</v>
      </c>
      <c r="N205" s="32"/>
      <c r="O205" s="310"/>
    </row>
    <row r="206" spans="1:15" ht="15.75" customHeight="1">
      <c r="A206" s="25">
        <v>18</v>
      </c>
      <c r="B206" s="26"/>
      <c r="C206" s="26" t="s">
        <v>2002</v>
      </c>
      <c r="D206" s="28" t="s">
        <v>2003</v>
      </c>
      <c r="E206" s="27" t="s">
        <v>2004</v>
      </c>
      <c r="F206" s="26" t="s">
        <v>42</v>
      </c>
      <c r="G206" s="26" t="s">
        <v>1152</v>
      </c>
      <c r="H206" s="30" t="s">
        <v>2005</v>
      </c>
      <c r="I206" s="30" t="s">
        <v>2006</v>
      </c>
      <c r="J206" s="30" t="s">
        <v>2007</v>
      </c>
      <c r="K206" s="31" t="s">
        <v>2008</v>
      </c>
      <c r="L206" s="31" t="s">
        <v>2009</v>
      </c>
      <c r="M206" s="31" t="s">
        <v>2010</v>
      </c>
      <c r="N206" s="32"/>
      <c r="O206" s="310"/>
    </row>
    <row r="207" spans="1:15" ht="15.75" customHeight="1">
      <c r="A207" s="25">
        <v>19</v>
      </c>
      <c r="B207" s="26"/>
      <c r="C207" s="27" t="s">
        <v>2011</v>
      </c>
      <c r="D207" s="28" t="s">
        <v>2012</v>
      </c>
      <c r="E207" s="27" t="s">
        <v>2013</v>
      </c>
      <c r="F207" s="26" t="s">
        <v>54</v>
      </c>
      <c r="G207" s="26" t="s">
        <v>2014</v>
      </c>
      <c r="H207" s="30" t="s">
        <v>2015</v>
      </c>
      <c r="I207" s="30" t="s">
        <v>2016</v>
      </c>
      <c r="J207" s="29" t="s">
        <v>2017</v>
      </c>
      <c r="K207" s="31" t="s">
        <v>2018</v>
      </c>
      <c r="L207" s="31" t="s">
        <v>2019</v>
      </c>
      <c r="M207" s="31" t="s">
        <v>2020</v>
      </c>
      <c r="N207" s="32"/>
      <c r="O207" s="310"/>
    </row>
    <row r="208" spans="1:15" ht="15.75" customHeight="1">
      <c r="A208" s="25">
        <v>20</v>
      </c>
      <c r="B208" s="26"/>
      <c r="C208" s="27" t="s">
        <v>2021</v>
      </c>
      <c r="D208" s="28" t="s">
        <v>2022</v>
      </c>
      <c r="E208" s="27" t="s">
        <v>2023</v>
      </c>
      <c r="F208" s="27" t="s">
        <v>117</v>
      </c>
      <c r="G208" s="26" t="s">
        <v>2024</v>
      </c>
      <c r="H208" s="30" t="s">
        <v>2025</v>
      </c>
      <c r="I208" s="30" t="s">
        <v>2026</v>
      </c>
      <c r="J208" s="30" t="s">
        <v>2027</v>
      </c>
      <c r="K208" s="31" t="s">
        <v>2028</v>
      </c>
      <c r="L208" s="31" t="s">
        <v>2029</v>
      </c>
      <c r="M208" s="31" t="s">
        <v>2030</v>
      </c>
      <c r="N208" s="32"/>
      <c r="O208" s="310"/>
    </row>
    <row r="209" spans="1:15" ht="15.75" customHeight="1">
      <c r="A209" s="25">
        <v>21</v>
      </c>
      <c r="B209" s="26"/>
      <c r="C209" s="27" t="s">
        <v>2031</v>
      </c>
      <c r="D209" s="28" t="s">
        <v>2032</v>
      </c>
      <c r="E209" s="27" t="s">
        <v>2033</v>
      </c>
      <c r="F209" s="27" t="s">
        <v>54</v>
      </c>
      <c r="G209" s="26" t="s">
        <v>2034</v>
      </c>
      <c r="H209" s="30" t="s">
        <v>2035</v>
      </c>
      <c r="I209" s="30" t="s">
        <v>2036</v>
      </c>
      <c r="J209" s="30" t="s">
        <v>2037</v>
      </c>
      <c r="K209" s="31" t="s">
        <v>2038</v>
      </c>
      <c r="L209" s="31" t="s">
        <v>2039</v>
      </c>
      <c r="M209" s="31" t="s">
        <v>2040</v>
      </c>
      <c r="N209" s="32"/>
      <c r="O209" s="310"/>
    </row>
    <row r="210" spans="1:15" ht="15.75" customHeight="1">
      <c r="A210" s="25">
        <v>22</v>
      </c>
      <c r="B210" s="26"/>
      <c r="C210" s="27" t="s">
        <v>2041</v>
      </c>
      <c r="D210" s="28" t="s">
        <v>2042</v>
      </c>
      <c r="E210" s="27" t="s">
        <v>2043</v>
      </c>
      <c r="F210" s="27" t="s">
        <v>54</v>
      </c>
      <c r="G210" s="26" t="s">
        <v>2044</v>
      </c>
      <c r="H210" s="30" t="s">
        <v>2045</v>
      </c>
      <c r="I210" s="30" t="s">
        <v>2046</v>
      </c>
      <c r="J210" s="30" t="s">
        <v>2047</v>
      </c>
      <c r="K210" s="31" t="s">
        <v>2048</v>
      </c>
      <c r="L210" s="31" t="s">
        <v>2049</v>
      </c>
      <c r="M210" s="31" t="s">
        <v>2050</v>
      </c>
      <c r="N210" s="32"/>
      <c r="O210" s="310"/>
    </row>
    <row r="211" spans="1:15" ht="15.75" customHeight="1">
      <c r="A211" s="25">
        <v>23</v>
      </c>
      <c r="B211" s="26"/>
      <c r="C211" s="27" t="s">
        <v>2051</v>
      </c>
      <c r="D211" s="28" t="s">
        <v>2052</v>
      </c>
      <c r="E211" s="27" t="s">
        <v>2053</v>
      </c>
      <c r="F211" s="27" t="s">
        <v>42</v>
      </c>
      <c r="G211" s="26" t="s">
        <v>2054</v>
      </c>
      <c r="H211" s="30" t="s">
        <v>2055</v>
      </c>
      <c r="I211" s="30" t="s">
        <v>2056</v>
      </c>
      <c r="J211" s="30" t="s">
        <v>2057</v>
      </c>
      <c r="K211" s="31" t="s">
        <v>2058</v>
      </c>
      <c r="L211" s="31" t="s">
        <v>2059</v>
      </c>
      <c r="M211" s="31" t="s">
        <v>2060</v>
      </c>
      <c r="N211" s="32"/>
      <c r="O211" s="311"/>
    </row>
    <row r="212" spans="1:15" ht="15.75" customHeight="1">
      <c r="A212" s="19">
        <v>1</v>
      </c>
      <c r="B212" s="19"/>
      <c r="C212" s="19" t="s">
        <v>2061</v>
      </c>
      <c r="D212" s="20" t="s">
        <v>2062</v>
      </c>
      <c r="E212" s="19" t="s">
        <v>2063</v>
      </c>
      <c r="F212" s="19" t="s">
        <v>65</v>
      </c>
      <c r="G212" s="19" t="s">
        <v>2064</v>
      </c>
      <c r="H212" s="21" t="s">
        <v>2065</v>
      </c>
      <c r="I212" s="21" t="s">
        <v>2066</v>
      </c>
      <c r="J212" s="21" t="s">
        <v>2067</v>
      </c>
      <c r="K212" s="22" t="s">
        <v>2068</v>
      </c>
      <c r="L212" s="22" t="s">
        <v>2069</v>
      </c>
      <c r="M212" s="22" t="s">
        <v>2070</v>
      </c>
      <c r="N212" s="23">
        <v>11</v>
      </c>
      <c r="O212" s="24" t="s">
        <v>38</v>
      </c>
    </row>
    <row r="213" spans="1:15" ht="15.75" customHeight="1">
      <c r="A213" s="25">
        <v>2</v>
      </c>
      <c r="B213" s="26"/>
      <c r="C213" s="27" t="s">
        <v>2071</v>
      </c>
      <c r="D213" s="28" t="s">
        <v>2072</v>
      </c>
      <c r="E213" s="27" t="s">
        <v>2073</v>
      </c>
      <c r="F213" s="26" t="s">
        <v>65</v>
      </c>
      <c r="G213" s="26" t="s">
        <v>2074</v>
      </c>
      <c r="H213" s="30" t="s">
        <v>2075</v>
      </c>
      <c r="I213" s="30" t="s">
        <v>2076</v>
      </c>
      <c r="J213" s="30" t="s">
        <v>2077</v>
      </c>
      <c r="K213" s="31" t="s">
        <v>2078</v>
      </c>
      <c r="L213" s="31" t="s">
        <v>2079</v>
      </c>
      <c r="M213" s="31" t="s">
        <v>2080</v>
      </c>
      <c r="N213" s="32"/>
      <c r="O213" s="309" t="s">
        <v>2081</v>
      </c>
    </row>
    <row r="214" spans="1:15" ht="15.75" customHeight="1">
      <c r="A214" s="25">
        <v>3</v>
      </c>
      <c r="B214" s="26"/>
      <c r="C214" s="27" t="s">
        <v>2082</v>
      </c>
      <c r="D214" s="28" t="s">
        <v>2083</v>
      </c>
      <c r="E214" s="27" t="s">
        <v>2084</v>
      </c>
      <c r="F214" s="27" t="s">
        <v>117</v>
      </c>
      <c r="G214" s="26" t="s">
        <v>2085</v>
      </c>
      <c r="H214" s="29" t="s">
        <v>2086</v>
      </c>
      <c r="I214" s="30" t="s">
        <v>2087</v>
      </c>
      <c r="J214" s="30" t="s">
        <v>2088</v>
      </c>
      <c r="K214" s="31" t="s">
        <v>2089</v>
      </c>
      <c r="L214" s="31" t="s">
        <v>2090</v>
      </c>
      <c r="M214" s="31" t="s">
        <v>2091</v>
      </c>
      <c r="N214" s="32"/>
      <c r="O214" s="310"/>
    </row>
    <row r="215" spans="1:15" ht="15.75" customHeight="1">
      <c r="A215" s="25">
        <v>4</v>
      </c>
      <c r="B215" s="26"/>
      <c r="C215" s="27" t="s">
        <v>2092</v>
      </c>
      <c r="D215" s="28" t="s">
        <v>2093</v>
      </c>
      <c r="E215" s="27" t="s">
        <v>2094</v>
      </c>
      <c r="F215" s="27" t="s">
        <v>219</v>
      </c>
      <c r="G215" s="26" t="s">
        <v>2095</v>
      </c>
      <c r="H215" s="29" t="s">
        <v>2096</v>
      </c>
      <c r="I215" s="30" t="s">
        <v>2097</v>
      </c>
      <c r="J215" s="30" t="s">
        <v>2098</v>
      </c>
      <c r="K215" s="31" t="s">
        <v>2099</v>
      </c>
      <c r="L215" s="31" t="s">
        <v>2100</v>
      </c>
      <c r="M215" s="31" t="s">
        <v>2101</v>
      </c>
      <c r="N215" s="32"/>
      <c r="O215" s="310"/>
    </row>
    <row r="216" spans="1:15" ht="15.75" customHeight="1">
      <c r="A216" s="25">
        <v>5</v>
      </c>
      <c r="B216" s="26"/>
      <c r="C216" s="27" t="s">
        <v>2102</v>
      </c>
      <c r="D216" s="28" t="s">
        <v>2103</v>
      </c>
      <c r="E216" s="27" t="s">
        <v>2104</v>
      </c>
      <c r="F216" s="26" t="s">
        <v>117</v>
      </c>
      <c r="G216" s="26" t="s">
        <v>2105</v>
      </c>
      <c r="H216" s="30" t="s">
        <v>2106</v>
      </c>
      <c r="I216" s="30" t="s">
        <v>2107</v>
      </c>
      <c r="J216" s="30" t="s">
        <v>2108</v>
      </c>
      <c r="K216" s="31" t="s">
        <v>2109</v>
      </c>
      <c r="L216" s="31" t="s">
        <v>2110</v>
      </c>
      <c r="M216" s="31" t="s">
        <v>2111</v>
      </c>
      <c r="N216" s="32"/>
      <c r="O216" s="310"/>
    </row>
    <row r="217" spans="1:15" ht="15.75" customHeight="1">
      <c r="A217" s="25">
        <v>6</v>
      </c>
      <c r="B217" s="26"/>
      <c r="C217" s="26" t="s">
        <v>2112</v>
      </c>
      <c r="D217" s="28" t="s">
        <v>2113</v>
      </c>
      <c r="E217" s="27" t="s">
        <v>2114</v>
      </c>
      <c r="F217" s="26" t="s">
        <v>117</v>
      </c>
      <c r="G217" s="26" t="s">
        <v>2115</v>
      </c>
      <c r="H217" s="29" t="s">
        <v>2116</v>
      </c>
      <c r="I217" s="30" t="s">
        <v>2117</v>
      </c>
      <c r="J217" s="30" t="s">
        <v>2118</v>
      </c>
      <c r="K217" s="31" t="s">
        <v>2119</v>
      </c>
      <c r="L217" s="31" t="s">
        <v>2120</v>
      </c>
      <c r="M217" s="31" t="s">
        <v>2121</v>
      </c>
      <c r="N217" s="32"/>
      <c r="O217" s="310"/>
    </row>
    <row r="218" spans="1:15" ht="15.75" customHeight="1">
      <c r="A218" s="25">
        <v>7</v>
      </c>
      <c r="B218" s="26"/>
      <c r="C218" s="27" t="s">
        <v>2122</v>
      </c>
      <c r="D218" s="28" t="s">
        <v>2123</v>
      </c>
      <c r="E218" s="27" t="s">
        <v>2124</v>
      </c>
      <c r="F218" s="27" t="s">
        <v>65</v>
      </c>
      <c r="G218" s="26" t="s">
        <v>2125</v>
      </c>
      <c r="H218" s="29" t="s">
        <v>2126</v>
      </c>
      <c r="I218" s="29" t="s">
        <v>2127</v>
      </c>
      <c r="J218" s="29" t="s">
        <v>2128</v>
      </c>
      <c r="K218" s="31" t="s">
        <v>2129</v>
      </c>
      <c r="L218" s="31" t="s">
        <v>2130</v>
      </c>
      <c r="M218" s="31" t="s">
        <v>2131</v>
      </c>
      <c r="N218" s="32"/>
      <c r="O218" s="310"/>
    </row>
    <row r="219" spans="1:15" ht="15.75" customHeight="1">
      <c r="A219" s="25">
        <v>8</v>
      </c>
      <c r="B219" s="26"/>
      <c r="C219" s="27" t="s">
        <v>1332</v>
      </c>
      <c r="D219" s="28" t="s">
        <v>1333</v>
      </c>
      <c r="E219" s="27" t="s">
        <v>1334</v>
      </c>
      <c r="F219" s="27" t="s">
        <v>117</v>
      </c>
      <c r="G219" s="26" t="s">
        <v>1335</v>
      </c>
      <c r="H219" s="29" t="s">
        <v>1336</v>
      </c>
      <c r="I219" s="29" t="s">
        <v>1337</v>
      </c>
      <c r="J219" s="29" t="s">
        <v>1338</v>
      </c>
      <c r="K219" s="31" t="s">
        <v>2132</v>
      </c>
      <c r="L219" s="31" t="s">
        <v>2133</v>
      </c>
      <c r="M219" s="31" t="s">
        <v>2134</v>
      </c>
      <c r="N219" s="32"/>
      <c r="O219" s="310"/>
    </row>
    <row r="220" spans="1:15" ht="15.75" customHeight="1">
      <c r="A220" s="25">
        <v>9</v>
      </c>
      <c r="B220" s="26"/>
      <c r="C220" s="27" t="s">
        <v>2135</v>
      </c>
      <c r="D220" s="28" t="s">
        <v>2136</v>
      </c>
      <c r="E220" s="27" t="s">
        <v>2137</v>
      </c>
      <c r="F220" s="27" t="s">
        <v>117</v>
      </c>
      <c r="G220" s="26" t="s">
        <v>2138</v>
      </c>
      <c r="H220" s="29" t="s">
        <v>2139</v>
      </c>
      <c r="I220" s="29" t="s">
        <v>2140</v>
      </c>
      <c r="J220" s="29" t="s">
        <v>2141</v>
      </c>
      <c r="K220" s="31" t="s">
        <v>2142</v>
      </c>
      <c r="L220" s="31" t="s">
        <v>2143</v>
      </c>
      <c r="M220" s="31" t="s">
        <v>2144</v>
      </c>
      <c r="N220" s="32"/>
      <c r="O220" s="310"/>
    </row>
    <row r="221" spans="1:15" ht="15.75" customHeight="1">
      <c r="A221" s="25">
        <v>10</v>
      </c>
      <c r="B221" s="26"/>
      <c r="C221" s="27" t="s">
        <v>2145</v>
      </c>
      <c r="D221" s="28" t="s">
        <v>2146</v>
      </c>
      <c r="E221" s="27" t="s">
        <v>2147</v>
      </c>
      <c r="F221" s="27" t="s">
        <v>65</v>
      </c>
      <c r="G221" s="26" t="s">
        <v>2148</v>
      </c>
      <c r="H221" s="29" t="s">
        <v>2149</v>
      </c>
      <c r="I221" s="29" t="s">
        <v>2150</v>
      </c>
      <c r="J221" s="29" t="s">
        <v>2151</v>
      </c>
      <c r="K221" s="31" t="s">
        <v>2152</v>
      </c>
      <c r="L221" s="31" t="s">
        <v>2153</v>
      </c>
      <c r="M221" s="31" t="s">
        <v>2154</v>
      </c>
      <c r="N221" s="32"/>
      <c r="O221" s="310"/>
    </row>
    <row r="222" spans="1:15" ht="15.75" customHeight="1">
      <c r="A222" s="25">
        <v>11</v>
      </c>
      <c r="B222" s="26"/>
      <c r="C222" s="26" t="s">
        <v>2155</v>
      </c>
      <c r="D222" s="28" t="s">
        <v>2156</v>
      </c>
      <c r="E222" s="27" t="s">
        <v>2157</v>
      </c>
      <c r="F222" s="27" t="s">
        <v>65</v>
      </c>
      <c r="G222" s="26" t="s">
        <v>2158</v>
      </c>
      <c r="H222" s="29" t="s">
        <v>2159</v>
      </c>
      <c r="I222" s="29" t="s">
        <v>2160</v>
      </c>
      <c r="J222" s="29" t="s">
        <v>2161</v>
      </c>
      <c r="K222" s="31" t="s">
        <v>2162</v>
      </c>
      <c r="L222" s="31" t="s">
        <v>2163</v>
      </c>
      <c r="M222" s="31" t="s">
        <v>2164</v>
      </c>
      <c r="N222" s="32"/>
      <c r="O222" s="310"/>
    </row>
    <row r="223" spans="1:15" ht="15.75" customHeight="1">
      <c r="A223" s="25">
        <v>12</v>
      </c>
      <c r="B223" s="26"/>
      <c r="C223" s="26" t="s">
        <v>2165</v>
      </c>
      <c r="D223" s="28" t="s">
        <v>2166</v>
      </c>
      <c r="E223" s="27" t="s">
        <v>2167</v>
      </c>
      <c r="F223" s="27" t="s">
        <v>117</v>
      </c>
      <c r="G223" s="26" t="s">
        <v>2168</v>
      </c>
      <c r="H223" s="29" t="s">
        <v>2169</v>
      </c>
      <c r="I223" s="29" t="s">
        <v>2170</v>
      </c>
      <c r="J223" s="29" t="s">
        <v>2171</v>
      </c>
      <c r="K223" s="31" t="s">
        <v>2172</v>
      </c>
      <c r="L223" s="31" t="s">
        <v>2173</v>
      </c>
      <c r="M223" s="31" t="s">
        <v>2174</v>
      </c>
      <c r="N223" s="32"/>
      <c r="O223" s="310"/>
    </row>
    <row r="224" spans="1:15" ht="15.75" customHeight="1">
      <c r="A224" s="25">
        <v>13</v>
      </c>
      <c r="B224" s="26"/>
      <c r="C224" s="26" t="s">
        <v>2175</v>
      </c>
      <c r="D224" s="28" t="s">
        <v>2176</v>
      </c>
      <c r="E224" s="27" t="s">
        <v>2177</v>
      </c>
      <c r="F224" s="27" t="s">
        <v>65</v>
      </c>
      <c r="G224" s="26" t="s">
        <v>2178</v>
      </c>
      <c r="H224" s="29" t="s">
        <v>2179</v>
      </c>
      <c r="I224" s="29" t="s">
        <v>2180</v>
      </c>
      <c r="J224" s="29" t="s">
        <v>2181</v>
      </c>
      <c r="K224" s="31" t="s">
        <v>2182</v>
      </c>
      <c r="L224" s="31" t="s">
        <v>2183</v>
      </c>
      <c r="M224" s="31" t="s">
        <v>2184</v>
      </c>
      <c r="N224" s="32"/>
      <c r="O224" s="310"/>
    </row>
    <row r="225" spans="1:15" ht="15.75" customHeight="1">
      <c r="A225" s="25">
        <v>14</v>
      </c>
      <c r="B225" s="26"/>
      <c r="C225" s="27" t="s">
        <v>2185</v>
      </c>
      <c r="D225" s="28" t="s">
        <v>2186</v>
      </c>
      <c r="E225" s="27" t="s">
        <v>2187</v>
      </c>
      <c r="F225" s="27" t="s">
        <v>65</v>
      </c>
      <c r="G225" s="26" t="s">
        <v>2188</v>
      </c>
      <c r="H225" s="29" t="s">
        <v>2189</v>
      </c>
      <c r="I225" s="29" t="s">
        <v>2190</v>
      </c>
      <c r="J225" s="29" t="s">
        <v>2191</v>
      </c>
      <c r="K225" s="31" t="s">
        <v>2192</v>
      </c>
      <c r="L225" s="31" t="s">
        <v>2193</v>
      </c>
      <c r="M225" s="31" t="s">
        <v>2194</v>
      </c>
      <c r="N225" s="32"/>
      <c r="O225" s="310"/>
    </row>
    <row r="226" spans="1:15" ht="15.75" customHeight="1">
      <c r="A226" s="25">
        <v>15</v>
      </c>
      <c r="B226" s="26"/>
      <c r="C226" s="27" t="s">
        <v>2195</v>
      </c>
      <c r="D226" s="28" t="s">
        <v>2196</v>
      </c>
      <c r="E226" s="27" t="s">
        <v>2197</v>
      </c>
      <c r="F226" s="27" t="s">
        <v>117</v>
      </c>
      <c r="G226" s="26" t="s">
        <v>2198</v>
      </c>
      <c r="H226" s="29" t="s">
        <v>2199</v>
      </c>
      <c r="I226" s="29" t="s">
        <v>2200</v>
      </c>
      <c r="J226" s="29" t="s">
        <v>2201</v>
      </c>
      <c r="K226" s="31" t="s">
        <v>2202</v>
      </c>
      <c r="L226" s="31" t="s">
        <v>2203</v>
      </c>
      <c r="M226" s="31" t="s">
        <v>2204</v>
      </c>
      <c r="N226" s="32"/>
      <c r="O226" s="310"/>
    </row>
    <row r="227" spans="1:15" ht="15.75" customHeight="1">
      <c r="A227" s="25">
        <v>16</v>
      </c>
      <c r="B227" s="26"/>
      <c r="C227" s="27" t="s">
        <v>2205</v>
      </c>
      <c r="D227" s="28" t="s">
        <v>2206</v>
      </c>
      <c r="E227" s="27" t="s">
        <v>2207</v>
      </c>
      <c r="F227" s="26" t="s">
        <v>117</v>
      </c>
      <c r="G227" s="26" t="s">
        <v>2208</v>
      </c>
      <c r="H227" s="29" t="s">
        <v>2209</v>
      </c>
      <c r="I227" s="29" t="s">
        <v>2210</v>
      </c>
      <c r="J227" s="29" t="s">
        <v>2211</v>
      </c>
      <c r="K227" s="31" t="s">
        <v>2212</v>
      </c>
      <c r="L227" s="31" t="s">
        <v>2213</v>
      </c>
      <c r="M227" s="31" t="s">
        <v>2214</v>
      </c>
      <c r="N227" s="32"/>
      <c r="O227" s="310"/>
    </row>
    <row r="228" spans="1:15" ht="15.75" customHeight="1">
      <c r="A228" s="25">
        <v>17</v>
      </c>
      <c r="B228" s="26"/>
      <c r="C228" s="26" t="s">
        <v>2215</v>
      </c>
      <c r="D228" s="28" t="s">
        <v>2216</v>
      </c>
      <c r="E228" s="27" t="s">
        <v>2217</v>
      </c>
      <c r="F228" s="26" t="s">
        <v>117</v>
      </c>
      <c r="G228" s="26" t="s">
        <v>2218</v>
      </c>
      <c r="H228" s="29" t="s">
        <v>2219</v>
      </c>
      <c r="I228" s="29" t="s">
        <v>2220</v>
      </c>
      <c r="J228" s="29" t="s">
        <v>2221</v>
      </c>
      <c r="K228" s="31" t="s">
        <v>2222</v>
      </c>
      <c r="L228" s="31" t="s">
        <v>2223</v>
      </c>
      <c r="M228" s="31" t="s">
        <v>2224</v>
      </c>
      <c r="N228" s="32"/>
      <c r="O228" s="310"/>
    </row>
    <row r="229" spans="1:15" ht="15.75" customHeight="1">
      <c r="A229" s="25">
        <v>18</v>
      </c>
      <c r="B229" s="26"/>
      <c r="C229" s="26" t="s">
        <v>2225</v>
      </c>
      <c r="D229" s="28" t="s">
        <v>2226</v>
      </c>
      <c r="E229" s="27" t="s">
        <v>2227</v>
      </c>
      <c r="F229" s="26" t="s">
        <v>42</v>
      </c>
      <c r="G229" s="26" t="s">
        <v>2228</v>
      </c>
      <c r="H229" s="29" t="s">
        <v>2229</v>
      </c>
      <c r="I229" s="29" t="s">
        <v>2230</v>
      </c>
      <c r="J229" s="29" t="s">
        <v>2231</v>
      </c>
      <c r="K229" s="31" t="s">
        <v>2232</v>
      </c>
      <c r="L229" s="31" t="s">
        <v>2233</v>
      </c>
      <c r="M229" s="31" t="s">
        <v>2234</v>
      </c>
      <c r="N229" s="32"/>
      <c r="O229" s="310"/>
    </row>
    <row r="230" spans="1:15" ht="15.75" customHeight="1">
      <c r="A230" s="25">
        <v>19</v>
      </c>
      <c r="B230" s="26"/>
      <c r="C230" s="26" t="s">
        <v>2235</v>
      </c>
      <c r="D230" s="28" t="s">
        <v>2236</v>
      </c>
      <c r="E230" s="27" t="s">
        <v>2237</v>
      </c>
      <c r="F230" s="26" t="s">
        <v>42</v>
      </c>
      <c r="G230" s="26" t="s">
        <v>1019</v>
      </c>
      <c r="H230" s="29" t="s">
        <v>2238</v>
      </c>
      <c r="I230" s="29" t="s">
        <v>2239</v>
      </c>
      <c r="J230" s="29" t="s">
        <v>2240</v>
      </c>
      <c r="K230" s="31" t="s">
        <v>2241</v>
      </c>
      <c r="L230" s="31" t="s">
        <v>2242</v>
      </c>
      <c r="M230" s="31" t="s">
        <v>2243</v>
      </c>
      <c r="N230" s="32"/>
      <c r="O230" s="310"/>
    </row>
    <row r="231" spans="1:15" ht="15.75" customHeight="1">
      <c r="A231" s="25">
        <v>20</v>
      </c>
      <c r="B231" s="26"/>
      <c r="C231" s="27" t="s">
        <v>2244</v>
      </c>
      <c r="D231" s="28" t="s">
        <v>2245</v>
      </c>
      <c r="E231" s="27" t="s">
        <v>2246</v>
      </c>
      <c r="F231" s="26" t="s">
        <v>65</v>
      </c>
      <c r="G231" s="26" t="s">
        <v>2247</v>
      </c>
      <c r="H231" s="29" t="s">
        <v>2248</v>
      </c>
      <c r="I231" s="29" t="s">
        <v>2249</v>
      </c>
      <c r="J231" s="29" t="s">
        <v>2250</v>
      </c>
      <c r="K231" s="31" t="s">
        <v>2251</v>
      </c>
      <c r="L231" s="31" t="s">
        <v>2252</v>
      </c>
      <c r="M231" s="31" t="s">
        <v>2253</v>
      </c>
      <c r="N231" s="32"/>
      <c r="O231" s="310"/>
    </row>
    <row r="232" spans="1:15" ht="15.75" customHeight="1">
      <c r="A232" s="25">
        <v>21</v>
      </c>
      <c r="B232" s="26"/>
      <c r="C232" s="27" t="s">
        <v>2254</v>
      </c>
      <c r="D232" s="28" t="s">
        <v>2255</v>
      </c>
      <c r="E232" s="27" t="s">
        <v>2256</v>
      </c>
      <c r="F232" s="27" t="s">
        <v>117</v>
      </c>
      <c r="G232" s="26" t="s">
        <v>2257</v>
      </c>
      <c r="H232" s="29" t="s">
        <v>2258</v>
      </c>
      <c r="I232" s="29" t="s">
        <v>2259</v>
      </c>
      <c r="J232" s="29" t="s">
        <v>2260</v>
      </c>
      <c r="K232" s="31" t="s">
        <v>2261</v>
      </c>
      <c r="L232" s="31" t="s">
        <v>2262</v>
      </c>
      <c r="M232" s="31" t="s">
        <v>2263</v>
      </c>
      <c r="N232" s="32"/>
      <c r="O232" s="310"/>
    </row>
    <row r="233" spans="1:15" ht="15.75" customHeight="1">
      <c r="A233" s="25">
        <v>22</v>
      </c>
      <c r="B233" s="26"/>
      <c r="C233" s="27" t="s">
        <v>498</v>
      </c>
      <c r="D233" s="28" t="s">
        <v>499</v>
      </c>
      <c r="E233" s="27" t="s">
        <v>500</v>
      </c>
      <c r="F233" s="27" t="s">
        <v>501</v>
      </c>
      <c r="G233" s="26" t="s">
        <v>502</v>
      </c>
      <c r="H233" s="29" t="s">
        <v>503</v>
      </c>
      <c r="I233" s="29" t="s">
        <v>504</v>
      </c>
      <c r="J233" s="29" t="s">
        <v>505</v>
      </c>
      <c r="K233" s="31" t="s">
        <v>2264</v>
      </c>
      <c r="L233" s="31" t="s">
        <v>2265</v>
      </c>
      <c r="M233" s="31" t="s">
        <v>2266</v>
      </c>
      <c r="N233" s="32"/>
      <c r="O233" s="310"/>
    </row>
    <row r="234" spans="1:15" ht="15.75" customHeight="1">
      <c r="A234" s="25">
        <v>23</v>
      </c>
      <c r="B234" s="26"/>
      <c r="C234" s="27" t="s">
        <v>2267</v>
      </c>
      <c r="D234" s="28" t="s">
        <v>2268</v>
      </c>
      <c r="E234" s="27" t="s">
        <v>2269</v>
      </c>
      <c r="F234" s="27" t="s">
        <v>117</v>
      </c>
      <c r="G234" s="26" t="s">
        <v>2270</v>
      </c>
      <c r="H234" s="29" t="s">
        <v>2271</v>
      </c>
      <c r="I234" s="29" t="s">
        <v>2272</v>
      </c>
      <c r="J234" s="29" t="s">
        <v>2273</v>
      </c>
      <c r="K234" s="31" t="s">
        <v>2274</v>
      </c>
      <c r="L234" s="31" t="s">
        <v>2275</v>
      </c>
      <c r="M234" s="31" t="s">
        <v>2276</v>
      </c>
      <c r="N234" s="32"/>
      <c r="O234" s="310"/>
    </row>
    <row r="235" spans="1:15" ht="15.75" customHeight="1">
      <c r="A235" s="25">
        <v>24</v>
      </c>
      <c r="B235" s="26"/>
      <c r="C235" s="27" t="s">
        <v>2277</v>
      </c>
      <c r="D235" s="28" t="s">
        <v>2278</v>
      </c>
      <c r="E235" s="27" t="s">
        <v>2279</v>
      </c>
      <c r="F235" s="27" t="s">
        <v>2280</v>
      </c>
      <c r="G235" s="26" t="s">
        <v>2281</v>
      </c>
      <c r="H235" s="29" t="s">
        <v>2282</v>
      </c>
      <c r="I235" s="29" t="s">
        <v>2283</v>
      </c>
      <c r="J235" s="29" t="s">
        <v>2284</v>
      </c>
      <c r="K235" s="31" t="s">
        <v>2285</v>
      </c>
      <c r="L235" s="31" t="s">
        <v>2286</v>
      </c>
      <c r="M235" s="31" t="s">
        <v>2287</v>
      </c>
      <c r="N235" s="32"/>
      <c r="O235" s="310"/>
    </row>
    <row r="236" spans="1:15" ht="15.75" customHeight="1">
      <c r="A236" s="25">
        <v>25</v>
      </c>
      <c r="B236" s="26"/>
      <c r="C236" s="26" t="s">
        <v>2288</v>
      </c>
      <c r="D236" s="28" t="s">
        <v>2289</v>
      </c>
      <c r="E236" s="27" t="s">
        <v>2290</v>
      </c>
      <c r="F236" s="27" t="s">
        <v>65</v>
      </c>
      <c r="G236" s="26" t="s">
        <v>2291</v>
      </c>
      <c r="H236" s="29" t="s">
        <v>2292</v>
      </c>
      <c r="I236" s="29" t="s">
        <v>2293</v>
      </c>
      <c r="J236" s="29" t="s">
        <v>2294</v>
      </c>
      <c r="K236" s="31" t="s">
        <v>2295</v>
      </c>
      <c r="L236" s="31" t="s">
        <v>2296</v>
      </c>
      <c r="M236" s="31" t="s">
        <v>2297</v>
      </c>
      <c r="N236" s="32"/>
      <c r="O236" s="311"/>
    </row>
    <row r="237" spans="1:15" ht="15.75" customHeight="1">
      <c r="A237" s="19">
        <v>1</v>
      </c>
      <c r="B237" s="19"/>
      <c r="C237" s="19" t="s">
        <v>2298</v>
      </c>
      <c r="D237" s="20" t="s">
        <v>2299</v>
      </c>
      <c r="E237" s="19" t="s">
        <v>2300</v>
      </c>
      <c r="F237" s="19" t="s">
        <v>65</v>
      </c>
      <c r="G237" s="19" t="s">
        <v>2301</v>
      </c>
      <c r="H237" s="21" t="s">
        <v>2302</v>
      </c>
      <c r="I237" s="21" t="s">
        <v>2303</v>
      </c>
      <c r="J237" s="21" t="s">
        <v>2304</v>
      </c>
      <c r="K237" s="22" t="s">
        <v>2305</v>
      </c>
      <c r="L237" s="22" t="s">
        <v>2306</v>
      </c>
      <c r="M237" s="22" t="s">
        <v>2307</v>
      </c>
      <c r="N237" s="23">
        <v>12</v>
      </c>
      <c r="O237" s="24" t="s">
        <v>38</v>
      </c>
    </row>
    <row r="238" spans="1:15" ht="15.75" customHeight="1">
      <c r="A238" s="25">
        <v>2</v>
      </c>
      <c r="B238" s="26"/>
      <c r="C238" s="26" t="s">
        <v>2308</v>
      </c>
      <c r="D238" s="28" t="s">
        <v>2309</v>
      </c>
      <c r="E238" s="27" t="s">
        <v>2310</v>
      </c>
      <c r="F238" s="26" t="s">
        <v>42</v>
      </c>
      <c r="G238" s="26" t="s">
        <v>2311</v>
      </c>
      <c r="H238" s="29" t="s">
        <v>2312</v>
      </c>
      <c r="I238" s="29" t="s">
        <v>2313</v>
      </c>
      <c r="J238" s="29" t="s">
        <v>2314</v>
      </c>
      <c r="K238" s="31" t="s">
        <v>2315</v>
      </c>
      <c r="L238" s="31" t="s">
        <v>2316</v>
      </c>
      <c r="M238" s="31" t="s">
        <v>2317</v>
      </c>
      <c r="N238" s="32"/>
      <c r="O238" s="309" t="s">
        <v>2318</v>
      </c>
    </row>
    <row r="239" spans="1:15" ht="15.75" customHeight="1">
      <c r="A239" s="25">
        <v>3</v>
      </c>
      <c r="B239" s="26"/>
      <c r="C239" s="26" t="s">
        <v>2319</v>
      </c>
      <c r="D239" s="28" t="s">
        <v>2320</v>
      </c>
      <c r="E239" s="27" t="s">
        <v>2321</v>
      </c>
      <c r="F239" s="27" t="s">
        <v>65</v>
      </c>
      <c r="G239" s="26" t="s">
        <v>2301</v>
      </c>
      <c r="H239" s="29" t="s">
        <v>2322</v>
      </c>
      <c r="I239" s="29" t="s">
        <v>2323</v>
      </c>
      <c r="J239" s="29" t="s">
        <v>2324</v>
      </c>
      <c r="K239" s="31" t="s">
        <v>2325</v>
      </c>
      <c r="L239" s="31" t="s">
        <v>2326</v>
      </c>
      <c r="M239" s="31" t="s">
        <v>2327</v>
      </c>
      <c r="N239" s="32"/>
      <c r="O239" s="310"/>
    </row>
    <row r="240" spans="1:15" ht="15.75" customHeight="1">
      <c r="A240" s="25">
        <v>4</v>
      </c>
      <c r="B240" s="26"/>
      <c r="C240" s="27" t="s">
        <v>2328</v>
      </c>
      <c r="D240" s="28" t="s">
        <v>2329</v>
      </c>
      <c r="E240" s="27" t="s">
        <v>2330</v>
      </c>
      <c r="F240" s="27" t="s">
        <v>117</v>
      </c>
      <c r="G240" s="26" t="s">
        <v>2331</v>
      </c>
      <c r="H240" s="29" t="s">
        <v>2332</v>
      </c>
      <c r="I240" s="29" t="s">
        <v>2333</v>
      </c>
      <c r="J240" s="29" t="s">
        <v>2334</v>
      </c>
      <c r="K240" s="31" t="s">
        <v>2335</v>
      </c>
      <c r="L240" s="31" t="s">
        <v>2336</v>
      </c>
      <c r="M240" s="31" t="s">
        <v>2337</v>
      </c>
      <c r="N240" s="32"/>
      <c r="O240" s="310"/>
    </row>
    <row r="241" spans="1:15" ht="15.75" customHeight="1">
      <c r="A241" s="25">
        <v>5</v>
      </c>
      <c r="B241" s="26"/>
      <c r="C241" s="27" t="s">
        <v>2338</v>
      </c>
      <c r="D241" s="28" t="s">
        <v>2339</v>
      </c>
      <c r="E241" s="27" t="s">
        <v>2340</v>
      </c>
      <c r="F241" s="27" t="s">
        <v>320</v>
      </c>
      <c r="G241" s="26" t="s">
        <v>2341</v>
      </c>
      <c r="H241" s="29" t="s">
        <v>2342</v>
      </c>
      <c r="I241" s="29" t="s">
        <v>2343</v>
      </c>
      <c r="J241" s="29" t="s">
        <v>2344</v>
      </c>
      <c r="K241" s="31" t="s">
        <v>2345</v>
      </c>
      <c r="L241" s="31" t="s">
        <v>2346</v>
      </c>
      <c r="M241" s="31" t="s">
        <v>2347</v>
      </c>
      <c r="N241" s="32"/>
      <c r="O241" s="310"/>
    </row>
    <row r="242" spans="1:15" ht="15.75" customHeight="1">
      <c r="A242" s="25">
        <v>6</v>
      </c>
      <c r="B242" s="26"/>
      <c r="C242" s="27" t="s">
        <v>2348</v>
      </c>
      <c r="D242" s="28" t="s">
        <v>2349</v>
      </c>
      <c r="E242" s="27" t="s">
        <v>2350</v>
      </c>
      <c r="F242" s="27" t="s">
        <v>65</v>
      </c>
      <c r="G242" s="26" t="s">
        <v>2351</v>
      </c>
      <c r="H242" s="29" t="s">
        <v>2352</v>
      </c>
      <c r="I242" s="29" t="s">
        <v>2353</v>
      </c>
      <c r="J242" s="29" t="s">
        <v>2354</v>
      </c>
      <c r="K242" s="31" t="s">
        <v>2355</v>
      </c>
      <c r="L242" s="31" t="s">
        <v>2356</v>
      </c>
      <c r="M242" s="31" t="s">
        <v>2357</v>
      </c>
      <c r="N242" s="32"/>
      <c r="O242" s="310"/>
    </row>
    <row r="243" spans="1:15" ht="15.75" customHeight="1">
      <c r="A243" s="25">
        <v>7</v>
      </c>
      <c r="B243" s="26"/>
      <c r="C243" s="26" t="s">
        <v>2358</v>
      </c>
      <c r="D243" s="28" t="s">
        <v>2359</v>
      </c>
      <c r="E243" s="27" t="s">
        <v>2360</v>
      </c>
      <c r="F243" s="27" t="s">
        <v>219</v>
      </c>
      <c r="G243" s="26" t="s">
        <v>2361</v>
      </c>
      <c r="H243" s="29" t="s">
        <v>2362</v>
      </c>
      <c r="I243" s="29" t="s">
        <v>2363</v>
      </c>
      <c r="J243" s="29" t="s">
        <v>2364</v>
      </c>
      <c r="K243" s="31" t="s">
        <v>2365</v>
      </c>
      <c r="L243" s="31" t="s">
        <v>2366</v>
      </c>
      <c r="M243" s="31" t="s">
        <v>2367</v>
      </c>
      <c r="N243" s="32"/>
      <c r="O243" s="310"/>
    </row>
    <row r="244" spans="1:15" ht="15.75" customHeight="1">
      <c r="A244" s="25">
        <v>8</v>
      </c>
      <c r="B244" s="26"/>
      <c r="C244" s="27" t="s">
        <v>2368</v>
      </c>
      <c r="D244" s="28" t="s">
        <v>2369</v>
      </c>
      <c r="E244" s="27" t="s">
        <v>2370</v>
      </c>
      <c r="F244" s="27" t="s">
        <v>117</v>
      </c>
      <c r="G244" s="26" t="s">
        <v>2371</v>
      </c>
      <c r="H244" s="29" t="s">
        <v>2372</v>
      </c>
      <c r="I244" s="29" t="s">
        <v>2373</v>
      </c>
      <c r="J244" s="29" t="s">
        <v>2374</v>
      </c>
      <c r="K244" s="31" t="s">
        <v>2375</v>
      </c>
      <c r="L244" s="31" t="s">
        <v>2376</v>
      </c>
      <c r="M244" s="31" t="s">
        <v>2377</v>
      </c>
      <c r="N244" s="32"/>
      <c r="O244" s="310"/>
    </row>
    <row r="245" spans="1:15" ht="15.75" customHeight="1">
      <c r="A245" s="25">
        <v>9</v>
      </c>
      <c r="B245" s="26"/>
      <c r="C245" s="27" t="s">
        <v>2378</v>
      </c>
      <c r="D245" s="28" t="s">
        <v>2379</v>
      </c>
      <c r="E245" s="27" t="s">
        <v>2380</v>
      </c>
      <c r="F245" s="27" t="s">
        <v>54</v>
      </c>
      <c r="G245" s="26" t="s">
        <v>2381</v>
      </c>
      <c r="H245" s="29" t="s">
        <v>2382</v>
      </c>
      <c r="I245" s="29" t="s">
        <v>2383</v>
      </c>
      <c r="J245" s="29" t="s">
        <v>2384</v>
      </c>
      <c r="K245" s="31" t="s">
        <v>2385</v>
      </c>
      <c r="L245" s="31" t="s">
        <v>2386</v>
      </c>
      <c r="M245" s="31" t="s">
        <v>2387</v>
      </c>
      <c r="N245" s="32"/>
      <c r="O245" s="310"/>
    </row>
    <row r="246" spans="1:15" ht="15.75" customHeight="1">
      <c r="A246" s="25">
        <v>10</v>
      </c>
      <c r="B246" s="26"/>
      <c r="C246" s="27" t="s">
        <v>1499</v>
      </c>
      <c r="D246" s="28" t="s">
        <v>1500</v>
      </c>
      <c r="E246" s="27" t="s">
        <v>1501</v>
      </c>
      <c r="F246" s="27" t="s">
        <v>460</v>
      </c>
      <c r="G246" s="26" t="s">
        <v>1502</v>
      </c>
      <c r="H246" s="30" t="s">
        <v>1503</v>
      </c>
      <c r="I246" s="29" t="s">
        <v>1504</v>
      </c>
      <c r="J246" s="29" t="s">
        <v>1505</v>
      </c>
      <c r="K246" s="31" t="s">
        <v>2388</v>
      </c>
      <c r="L246" s="31" t="s">
        <v>2389</v>
      </c>
      <c r="M246" s="31" t="s">
        <v>2390</v>
      </c>
      <c r="N246" s="32"/>
      <c r="O246" s="310"/>
    </row>
    <row r="247" spans="1:15" ht="15.75" customHeight="1">
      <c r="A247" s="25">
        <v>11</v>
      </c>
      <c r="B247" s="26"/>
      <c r="C247" s="27" t="s">
        <v>2391</v>
      </c>
      <c r="D247" s="28" t="s">
        <v>2392</v>
      </c>
      <c r="E247" s="27" t="s">
        <v>2393</v>
      </c>
      <c r="F247" s="27" t="s">
        <v>65</v>
      </c>
      <c r="G247" s="26" t="s">
        <v>2394</v>
      </c>
      <c r="H247" s="30" t="s">
        <v>2395</v>
      </c>
      <c r="I247" s="29" t="s">
        <v>2396</v>
      </c>
      <c r="J247" s="29" t="s">
        <v>2397</v>
      </c>
      <c r="K247" s="31" t="s">
        <v>2398</v>
      </c>
      <c r="L247" s="31" t="s">
        <v>2399</v>
      </c>
      <c r="M247" s="31" t="s">
        <v>2400</v>
      </c>
      <c r="N247" s="32"/>
      <c r="O247" s="310"/>
    </row>
    <row r="248" spans="1:15" ht="15.75" customHeight="1">
      <c r="A248" s="25">
        <v>12</v>
      </c>
      <c r="B248" s="26"/>
      <c r="C248" s="27" t="s">
        <v>2401</v>
      </c>
      <c r="D248" s="28" t="s">
        <v>2402</v>
      </c>
      <c r="E248" s="27" t="s">
        <v>2403</v>
      </c>
      <c r="F248" s="27" t="s">
        <v>117</v>
      </c>
      <c r="G248" s="26" t="s">
        <v>2404</v>
      </c>
      <c r="H248" s="30" t="s">
        <v>2405</v>
      </c>
      <c r="I248" s="29" t="s">
        <v>2406</v>
      </c>
      <c r="J248" s="29" t="s">
        <v>2407</v>
      </c>
      <c r="K248" s="31" t="s">
        <v>2408</v>
      </c>
      <c r="L248" s="31" t="s">
        <v>2409</v>
      </c>
      <c r="M248" s="31" t="s">
        <v>2410</v>
      </c>
      <c r="N248" s="32"/>
      <c r="O248" s="310"/>
    </row>
    <row r="249" spans="1:15" ht="15.75" customHeight="1">
      <c r="A249" s="25">
        <v>13</v>
      </c>
      <c r="B249" s="26"/>
      <c r="C249" s="27" t="s">
        <v>2411</v>
      </c>
      <c r="D249" s="28" t="s">
        <v>2412</v>
      </c>
      <c r="E249" s="27" t="s">
        <v>2413</v>
      </c>
      <c r="F249" s="27" t="s">
        <v>65</v>
      </c>
      <c r="G249" s="26" t="s">
        <v>2414</v>
      </c>
      <c r="H249" s="30" t="s">
        <v>2415</v>
      </c>
      <c r="I249" s="29" t="s">
        <v>2416</v>
      </c>
      <c r="J249" s="29" t="s">
        <v>2417</v>
      </c>
      <c r="K249" s="31" t="s">
        <v>2418</v>
      </c>
      <c r="L249" s="31" t="s">
        <v>2419</v>
      </c>
      <c r="M249" s="31" t="s">
        <v>2420</v>
      </c>
      <c r="N249" s="32"/>
      <c r="O249" s="310"/>
    </row>
    <row r="250" spans="1:15" ht="15.75" customHeight="1">
      <c r="A250" s="25">
        <v>14</v>
      </c>
      <c r="B250" s="26"/>
      <c r="C250" s="27" t="s">
        <v>2421</v>
      </c>
      <c r="D250" s="28" t="s">
        <v>2422</v>
      </c>
      <c r="E250" s="27" t="s">
        <v>2423</v>
      </c>
      <c r="F250" s="27" t="s">
        <v>117</v>
      </c>
      <c r="G250" s="26" t="s">
        <v>2424</v>
      </c>
      <c r="H250" s="30" t="s">
        <v>2425</v>
      </c>
      <c r="I250" s="29" t="s">
        <v>2426</v>
      </c>
      <c r="J250" s="29" t="s">
        <v>2427</v>
      </c>
      <c r="K250" s="31" t="s">
        <v>2428</v>
      </c>
      <c r="L250" s="31" t="s">
        <v>2429</v>
      </c>
      <c r="M250" s="31" t="s">
        <v>2430</v>
      </c>
      <c r="N250" s="32"/>
      <c r="O250" s="310"/>
    </row>
    <row r="251" spans="1:15" ht="15.75" customHeight="1">
      <c r="A251" s="25">
        <v>15</v>
      </c>
      <c r="B251" s="26"/>
      <c r="C251" s="26" t="s">
        <v>2431</v>
      </c>
      <c r="D251" s="28" t="s">
        <v>2432</v>
      </c>
      <c r="E251" s="27" t="s">
        <v>2433</v>
      </c>
      <c r="F251" s="27" t="s">
        <v>117</v>
      </c>
      <c r="G251" s="26" t="s">
        <v>2434</v>
      </c>
      <c r="H251" s="30" t="s">
        <v>2435</v>
      </c>
      <c r="I251" s="29" t="s">
        <v>2436</v>
      </c>
      <c r="J251" s="29" t="s">
        <v>2437</v>
      </c>
      <c r="K251" s="31" t="s">
        <v>2438</v>
      </c>
      <c r="L251" s="31" t="s">
        <v>2439</v>
      </c>
      <c r="M251" s="31" t="s">
        <v>2440</v>
      </c>
      <c r="N251" s="32"/>
      <c r="O251" s="310"/>
    </row>
    <row r="252" spans="1:15" ht="15.75" customHeight="1">
      <c r="A252" s="25">
        <v>16</v>
      </c>
      <c r="B252" s="26"/>
      <c r="C252" s="26" t="s">
        <v>2441</v>
      </c>
      <c r="D252" s="28" t="s">
        <v>2442</v>
      </c>
      <c r="E252" s="27" t="s">
        <v>2443</v>
      </c>
      <c r="F252" s="26" t="s">
        <v>117</v>
      </c>
      <c r="G252" s="26" t="s">
        <v>2444</v>
      </c>
      <c r="H252" s="30" t="s">
        <v>2445</v>
      </c>
      <c r="I252" s="29" t="s">
        <v>2446</v>
      </c>
      <c r="J252" s="29" t="s">
        <v>2447</v>
      </c>
      <c r="K252" s="31" t="s">
        <v>2448</v>
      </c>
      <c r="L252" s="31" t="s">
        <v>2449</v>
      </c>
      <c r="M252" s="31" t="s">
        <v>2450</v>
      </c>
      <c r="N252" s="32"/>
      <c r="O252" s="310"/>
    </row>
    <row r="253" spans="1:15" ht="15.75" customHeight="1">
      <c r="A253" s="25">
        <v>17</v>
      </c>
      <c r="B253" s="26"/>
      <c r="C253" s="27" t="s">
        <v>2451</v>
      </c>
      <c r="D253" s="28" t="s">
        <v>2452</v>
      </c>
      <c r="E253" s="27" t="s">
        <v>2453</v>
      </c>
      <c r="F253" s="27" t="s">
        <v>2454</v>
      </c>
      <c r="G253" s="26" t="s">
        <v>2455</v>
      </c>
      <c r="H253" s="30" t="s">
        <v>2456</v>
      </c>
      <c r="I253" s="29" t="s">
        <v>2457</v>
      </c>
      <c r="J253" s="29" t="s">
        <v>2458</v>
      </c>
      <c r="K253" s="31" t="s">
        <v>2459</v>
      </c>
      <c r="L253" s="31" t="s">
        <v>2460</v>
      </c>
      <c r="M253" s="31" t="s">
        <v>2461</v>
      </c>
      <c r="N253" s="32"/>
      <c r="O253" s="310"/>
    </row>
    <row r="254" spans="1:15" ht="15.75" customHeight="1">
      <c r="A254" s="25">
        <v>18</v>
      </c>
      <c r="B254" s="26"/>
      <c r="C254" s="27" t="s">
        <v>2462</v>
      </c>
      <c r="D254" s="28" t="s">
        <v>2463</v>
      </c>
      <c r="E254" s="27" t="s">
        <v>2279</v>
      </c>
      <c r="F254" s="27" t="s">
        <v>65</v>
      </c>
      <c r="G254" s="26" t="s">
        <v>2464</v>
      </c>
      <c r="H254" s="30" t="s">
        <v>2465</v>
      </c>
      <c r="I254" s="29" t="s">
        <v>2466</v>
      </c>
      <c r="J254" s="29" t="s">
        <v>2467</v>
      </c>
      <c r="K254" s="31" t="s">
        <v>2468</v>
      </c>
      <c r="L254" s="31" t="s">
        <v>2469</v>
      </c>
      <c r="M254" s="31" t="s">
        <v>2470</v>
      </c>
      <c r="N254" s="32"/>
      <c r="O254" s="310"/>
    </row>
    <row r="255" spans="1:15" ht="15.75" customHeight="1">
      <c r="A255" s="25">
        <v>19</v>
      </c>
      <c r="B255" s="26"/>
      <c r="C255" s="26" t="s">
        <v>2319</v>
      </c>
      <c r="D255" s="28" t="s">
        <v>2320</v>
      </c>
      <c r="E255" s="27" t="s">
        <v>2321</v>
      </c>
      <c r="F255" s="27" t="s">
        <v>65</v>
      </c>
      <c r="G255" s="26" t="s">
        <v>2471</v>
      </c>
      <c r="H255" s="30" t="s">
        <v>2472</v>
      </c>
      <c r="I255" s="29" t="s">
        <v>2473</v>
      </c>
      <c r="J255" s="29" t="s">
        <v>2474</v>
      </c>
      <c r="K255" s="31" t="s">
        <v>2475</v>
      </c>
      <c r="L255" s="31" t="s">
        <v>2476</v>
      </c>
      <c r="M255" s="31" t="s">
        <v>2477</v>
      </c>
      <c r="N255" s="32"/>
      <c r="O255" s="310"/>
    </row>
    <row r="256" spans="1:15" ht="15.75" customHeight="1">
      <c r="A256" s="25">
        <v>20</v>
      </c>
      <c r="B256" s="26"/>
      <c r="C256" s="27" t="s">
        <v>2478</v>
      </c>
      <c r="D256" s="28" t="s">
        <v>2479</v>
      </c>
      <c r="E256" s="27" t="s">
        <v>2480</v>
      </c>
      <c r="F256" s="27" t="s">
        <v>117</v>
      </c>
      <c r="G256" s="26" t="s">
        <v>2481</v>
      </c>
      <c r="H256" s="30" t="s">
        <v>2482</v>
      </c>
      <c r="I256" s="29" t="s">
        <v>2483</v>
      </c>
      <c r="J256" s="29" t="s">
        <v>2484</v>
      </c>
      <c r="K256" s="31" t="s">
        <v>2485</v>
      </c>
      <c r="L256" s="31" t="s">
        <v>2486</v>
      </c>
      <c r="M256" s="31" t="s">
        <v>2487</v>
      </c>
      <c r="N256" s="32"/>
      <c r="O256" s="310"/>
    </row>
    <row r="257" spans="1:15" ht="15.75" customHeight="1">
      <c r="A257" s="25">
        <v>21</v>
      </c>
      <c r="B257" s="26"/>
      <c r="C257" s="27" t="s">
        <v>2488</v>
      </c>
      <c r="D257" s="28" t="s">
        <v>2489</v>
      </c>
      <c r="E257" s="27" t="s">
        <v>1334</v>
      </c>
      <c r="F257" s="27" t="s">
        <v>219</v>
      </c>
      <c r="G257" s="26" t="s">
        <v>2490</v>
      </c>
      <c r="H257" s="29" t="s">
        <v>2491</v>
      </c>
      <c r="I257" s="29" t="s">
        <v>2492</v>
      </c>
      <c r="J257" s="29" t="s">
        <v>2493</v>
      </c>
      <c r="K257" s="31" t="s">
        <v>2494</v>
      </c>
      <c r="L257" s="31" t="s">
        <v>2495</v>
      </c>
      <c r="M257" s="31" t="s">
        <v>2496</v>
      </c>
      <c r="N257" s="32"/>
      <c r="O257" s="310"/>
    </row>
    <row r="258" spans="1:15" ht="15.75" customHeight="1">
      <c r="A258" s="25">
        <v>22</v>
      </c>
      <c r="B258" s="26"/>
      <c r="C258" s="27" t="s">
        <v>2497</v>
      </c>
      <c r="D258" s="28" t="s">
        <v>2498</v>
      </c>
      <c r="E258" s="27" t="s">
        <v>2499</v>
      </c>
      <c r="F258" s="27" t="s">
        <v>117</v>
      </c>
      <c r="G258" s="26" t="s">
        <v>2500</v>
      </c>
      <c r="H258" s="29" t="s">
        <v>2501</v>
      </c>
      <c r="I258" s="29" t="s">
        <v>2502</v>
      </c>
      <c r="J258" s="29" t="s">
        <v>2503</v>
      </c>
      <c r="K258" s="31" t="s">
        <v>2504</v>
      </c>
      <c r="L258" s="31" t="s">
        <v>2505</v>
      </c>
      <c r="M258" s="31" t="s">
        <v>2506</v>
      </c>
      <c r="N258" s="32"/>
      <c r="O258" s="310"/>
    </row>
    <row r="259" spans="1:15" ht="15.75" customHeight="1">
      <c r="A259" s="25">
        <v>23</v>
      </c>
      <c r="B259" s="26"/>
      <c r="C259" s="27" t="s">
        <v>2507</v>
      </c>
      <c r="D259" s="28" t="s">
        <v>2508</v>
      </c>
      <c r="E259" s="27" t="s">
        <v>2509</v>
      </c>
      <c r="F259" s="27" t="s">
        <v>54</v>
      </c>
      <c r="G259" s="26" t="s">
        <v>2510</v>
      </c>
      <c r="H259" s="29" t="s">
        <v>2511</v>
      </c>
      <c r="I259" s="29" t="s">
        <v>2512</v>
      </c>
      <c r="J259" s="29" t="s">
        <v>2513</v>
      </c>
      <c r="K259" s="31" t="s">
        <v>2514</v>
      </c>
      <c r="L259" s="31" t="s">
        <v>2515</v>
      </c>
      <c r="M259" s="31" t="s">
        <v>2516</v>
      </c>
      <c r="N259" s="32"/>
      <c r="O259" s="310"/>
    </row>
    <row r="260" spans="1:15" ht="15.75" customHeight="1">
      <c r="A260" s="25">
        <v>24</v>
      </c>
      <c r="B260" s="26"/>
      <c r="C260" s="27" t="s">
        <v>2517</v>
      </c>
      <c r="D260" s="28" t="s">
        <v>2518</v>
      </c>
      <c r="E260" s="27" t="s">
        <v>2519</v>
      </c>
      <c r="F260" s="27" t="s">
        <v>65</v>
      </c>
      <c r="G260" s="26" t="s">
        <v>2520</v>
      </c>
      <c r="H260" s="29" t="s">
        <v>2521</v>
      </c>
      <c r="I260" s="29" t="s">
        <v>2522</v>
      </c>
      <c r="J260" s="29" t="s">
        <v>2523</v>
      </c>
      <c r="K260" s="31" t="s">
        <v>2524</v>
      </c>
      <c r="L260" s="31" t="s">
        <v>2525</v>
      </c>
      <c r="M260" s="31" t="s">
        <v>2526</v>
      </c>
      <c r="N260" s="32"/>
      <c r="O260" s="311"/>
    </row>
    <row r="261" spans="1:15" ht="15.75" customHeight="1">
      <c r="A261" s="19">
        <v>1</v>
      </c>
      <c r="B261" s="19"/>
      <c r="C261" s="19" t="s">
        <v>2527</v>
      </c>
      <c r="D261" s="20" t="s">
        <v>2528</v>
      </c>
      <c r="E261" s="19" t="s">
        <v>2529</v>
      </c>
      <c r="F261" s="19" t="s">
        <v>54</v>
      </c>
      <c r="G261" s="19" t="s">
        <v>2530</v>
      </c>
      <c r="H261" s="21" t="s">
        <v>2531</v>
      </c>
      <c r="I261" s="21" t="s">
        <v>2532</v>
      </c>
      <c r="J261" s="21" t="s">
        <v>2533</v>
      </c>
      <c r="K261" s="22" t="s">
        <v>2534</v>
      </c>
      <c r="L261" s="22" t="s">
        <v>2535</v>
      </c>
      <c r="M261" s="22" t="s">
        <v>2536</v>
      </c>
      <c r="N261" s="23">
        <v>13</v>
      </c>
      <c r="O261" s="24" t="s">
        <v>38</v>
      </c>
    </row>
    <row r="262" spans="1:15" ht="15.75" customHeight="1">
      <c r="A262" s="25">
        <v>2</v>
      </c>
      <c r="B262" s="26"/>
      <c r="C262" s="27" t="s">
        <v>2488</v>
      </c>
      <c r="D262" s="28" t="s">
        <v>2489</v>
      </c>
      <c r="E262" s="27" t="s">
        <v>1334</v>
      </c>
      <c r="F262" s="27" t="s">
        <v>219</v>
      </c>
      <c r="G262" s="26" t="s">
        <v>2490</v>
      </c>
      <c r="H262" s="29" t="s">
        <v>2491</v>
      </c>
      <c r="I262" s="29" t="s">
        <v>2492</v>
      </c>
      <c r="J262" s="29" t="s">
        <v>2493</v>
      </c>
      <c r="K262" s="31" t="s">
        <v>2537</v>
      </c>
      <c r="L262" s="31" t="s">
        <v>2538</v>
      </c>
      <c r="M262" s="31" t="s">
        <v>2539</v>
      </c>
      <c r="N262" s="32"/>
      <c r="O262" s="309" t="s">
        <v>2540</v>
      </c>
    </row>
    <row r="263" spans="1:15" ht="15.75" customHeight="1">
      <c r="A263" s="25">
        <v>3</v>
      </c>
      <c r="B263" s="26"/>
      <c r="C263" s="27" t="s">
        <v>2541</v>
      </c>
      <c r="D263" s="28" t="s">
        <v>2542</v>
      </c>
      <c r="E263" s="27" t="s">
        <v>2543</v>
      </c>
      <c r="F263" s="27" t="s">
        <v>65</v>
      </c>
      <c r="G263" s="26" t="s">
        <v>2544</v>
      </c>
      <c r="H263" s="29" t="s">
        <v>2545</v>
      </c>
      <c r="I263" s="29" t="s">
        <v>2546</v>
      </c>
      <c r="J263" s="29" t="s">
        <v>2547</v>
      </c>
      <c r="K263" s="31" t="s">
        <v>2548</v>
      </c>
      <c r="L263" s="31" t="s">
        <v>2549</v>
      </c>
      <c r="M263" s="31" t="s">
        <v>2550</v>
      </c>
      <c r="N263" s="32"/>
      <c r="O263" s="310"/>
    </row>
    <row r="264" spans="1:15" ht="15.75" customHeight="1">
      <c r="A264" s="25">
        <v>4</v>
      </c>
      <c r="B264" s="26"/>
      <c r="C264" s="26" t="s">
        <v>2551</v>
      </c>
      <c r="D264" s="28" t="s">
        <v>2552</v>
      </c>
      <c r="E264" s="27" t="s">
        <v>2553</v>
      </c>
      <c r="F264" s="27" t="s">
        <v>117</v>
      </c>
      <c r="G264" s="26" t="s">
        <v>2554</v>
      </c>
      <c r="H264" s="29" t="s">
        <v>2555</v>
      </c>
      <c r="I264" s="29" t="s">
        <v>2556</v>
      </c>
      <c r="J264" s="29" t="s">
        <v>2557</v>
      </c>
      <c r="K264" s="31" t="s">
        <v>2558</v>
      </c>
      <c r="L264" s="31" t="s">
        <v>2559</v>
      </c>
      <c r="M264" s="31" t="s">
        <v>2560</v>
      </c>
      <c r="N264" s="32"/>
      <c r="O264" s="310"/>
    </row>
    <row r="265" spans="1:15" ht="15.75" customHeight="1">
      <c r="A265" s="25">
        <v>5</v>
      </c>
      <c r="B265" s="26"/>
      <c r="C265" s="27" t="s">
        <v>2561</v>
      </c>
      <c r="D265" s="28" t="s">
        <v>2562</v>
      </c>
      <c r="E265" s="27" t="s">
        <v>2563</v>
      </c>
      <c r="F265" s="31" t="s">
        <v>117</v>
      </c>
      <c r="G265" s="26" t="s">
        <v>2564</v>
      </c>
      <c r="H265" s="29" t="s">
        <v>2565</v>
      </c>
      <c r="I265" s="29" t="s">
        <v>2566</v>
      </c>
      <c r="J265" s="29" t="s">
        <v>2567</v>
      </c>
      <c r="K265" s="31" t="s">
        <v>2568</v>
      </c>
      <c r="L265" s="31" t="s">
        <v>2569</v>
      </c>
      <c r="M265" s="31" t="s">
        <v>2570</v>
      </c>
      <c r="N265" s="32"/>
      <c r="O265" s="310"/>
    </row>
    <row r="266" spans="1:15" ht="15.75" customHeight="1">
      <c r="A266" s="25">
        <v>6</v>
      </c>
      <c r="B266" s="26"/>
      <c r="C266" s="27" t="s">
        <v>2571</v>
      </c>
      <c r="D266" s="28" t="s">
        <v>2572</v>
      </c>
      <c r="E266" s="27" t="s">
        <v>2573</v>
      </c>
      <c r="F266" s="27" t="s">
        <v>2454</v>
      </c>
      <c r="G266" s="26" t="s">
        <v>2574</v>
      </c>
      <c r="H266" s="29" t="s">
        <v>2575</v>
      </c>
      <c r="I266" s="29" t="s">
        <v>2576</v>
      </c>
      <c r="J266" s="29" t="s">
        <v>2577</v>
      </c>
      <c r="K266" s="31" t="s">
        <v>2578</v>
      </c>
      <c r="L266" s="31" t="s">
        <v>2579</v>
      </c>
      <c r="M266" s="31" t="s">
        <v>2580</v>
      </c>
      <c r="N266" s="32"/>
      <c r="O266" s="310"/>
    </row>
    <row r="267" spans="1:15" ht="15.75" customHeight="1">
      <c r="A267" s="25">
        <v>7</v>
      </c>
      <c r="B267" s="26"/>
      <c r="C267" s="27" t="s">
        <v>2581</v>
      </c>
      <c r="D267" s="28" t="s">
        <v>2582</v>
      </c>
      <c r="E267" s="27" t="s">
        <v>2583</v>
      </c>
      <c r="F267" s="27" t="s">
        <v>65</v>
      </c>
      <c r="G267" s="26" t="s">
        <v>2584</v>
      </c>
      <c r="H267" s="29" t="s">
        <v>2585</v>
      </c>
      <c r="I267" s="29" t="s">
        <v>2586</v>
      </c>
      <c r="J267" s="29" t="s">
        <v>2587</v>
      </c>
      <c r="K267" s="31" t="s">
        <v>2588</v>
      </c>
      <c r="L267" s="31" t="s">
        <v>2589</v>
      </c>
      <c r="M267" s="31" t="s">
        <v>2590</v>
      </c>
      <c r="N267" s="32"/>
      <c r="O267" s="310"/>
    </row>
    <row r="268" spans="1:15" ht="15.75" customHeight="1">
      <c r="A268" s="25">
        <v>8</v>
      </c>
      <c r="B268" s="26"/>
      <c r="C268" s="26" t="s">
        <v>2591</v>
      </c>
      <c r="D268" s="28" t="s">
        <v>2592</v>
      </c>
      <c r="E268" s="27" t="s">
        <v>2593</v>
      </c>
      <c r="F268" s="27" t="s">
        <v>65</v>
      </c>
      <c r="G268" s="26" t="s">
        <v>2594</v>
      </c>
      <c r="H268" s="29" t="s">
        <v>2595</v>
      </c>
      <c r="I268" s="29" t="s">
        <v>2596</v>
      </c>
      <c r="J268" s="29" t="s">
        <v>2597</v>
      </c>
      <c r="K268" s="31" t="s">
        <v>2598</v>
      </c>
      <c r="L268" s="31" t="s">
        <v>2599</v>
      </c>
      <c r="M268" s="31" t="s">
        <v>2600</v>
      </c>
      <c r="N268" s="32"/>
      <c r="O268" s="310"/>
    </row>
    <row r="269" spans="1:15" ht="15.75" customHeight="1">
      <c r="A269" s="25">
        <v>9</v>
      </c>
      <c r="B269" s="26"/>
      <c r="C269" s="27" t="s">
        <v>2601</v>
      </c>
      <c r="D269" s="28" t="s">
        <v>2602</v>
      </c>
      <c r="E269" s="27" t="s">
        <v>2603</v>
      </c>
      <c r="F269" s="27" t="s">
        <v>117</v>
      </c>
      <c r="G269" s="26" t="s">
        <v>2604</v>
      </c>
      <c r="H269" s="29" t="s">
        <v>2605</v>
      </c>
      <c r="I269" s="29" t="s">
        <v>2606</v>
      </c>
      <c r="J269" s="29" t="s">
        <v>2607</v>
      </c>
      <c r="K269" s="31" t="s">
        <v>2608</v>
      </c>
      <c r="L269" s="31" t="s">
        <v>2609</v>
      </c>
      <c r="M269" s="31" t="s">
        <v>2610</v>
      </c>
      <c r="N269" s="32"/>
      <c r="O269" s="310"/>
    </row>
    <row r="270" spans="1:15" ht="15.75" customHeight="1">
      <c r="A270" s="25">
        <v>10</v>
      </c>
      <c r="B270" s="26"/>
      <c r="C270" s="27" t="s">
        <v>1159</v>
      </c>
      <c r="D270" s="28" t="s">
        <v>1160</v>
      </c>
      <c r="E270" s="27" t="s">
        <v>854</v>
      </c>
      <c r="F270" s="27" t="s">
        <v>117</v>
      </c>
      <c r="G270" s="26" t="s">
        <v>1161</v>
      </c>
      <c r="H270" s="29" t="s">
        <v>1162</v>
      </c>
      <c r="I270" s="29" t="s">
        <v>1163</v>
      </c>
      <c r="J270" s="29" t="s">
        <v>1164</v>
      </c>
      <c r="K270" s="31" t="s">
        <v>2611</v>
      </c>
      <c r="L270" s="31" t="s">
        <v>2612</v>
      </c>
      <c r="M270" s="31" t="s">
        <v>2613</v>
      </c>
      <c r="N270" s="32"/>
      <c r="O270" s="310"/>
    </row>
    <row r="271" spans="1:15" ht="15.75" customHeight="1">
      <c r="A271" s="25">
        <v>11</v>
      </c>
      <c r="B271" s="26"/>
      <c r="C271" s="27" t="s">
        <v>2614</v>
      </c>
      <c r="D271" s="28" t="s">
        <v>2615</v>
      </c>
      <c r="E271" s="27" t="s">
        <v>2616</v>
      </c>
      <c r="F271" s="27" t="s">
        <v>501</v>
      </c>
      <c r="G271" s="26" t="s">
        <v>2617</v>
      </c>
      <c r="H271" s="29" t="s">
        <v>2618</v>
      </c>
      <c r="I271" s="29" t="s">
        <v>2619</v>
      </c>
      <c r="J271" s="29" t="s">
        <v>2620</v>
      </c>
      <c r="K271" s="31" t="s">
        <v>2621</v>
      </c>
      <c r="L271" s="31" t="s">
        <v>2622</v>
      </c>
      <c r="M271" s="31" t="s">
        <v>2623</v>
      </c>
      <c r="N271" s="32"/>
      <c r="O271" s="310"/>
    </row>
    <row r="272" spans="1:15" ht="15.75" customHeight="1">
      <c r="A272" s="25">
        <v>12</v>
      </c>
      <c r="B272" s="26"/>
      <c r="C272" s="26" t="s">
        <v>2624</v>
      </c>
      <c r="D272" s="28" t="s">
        <v>2625</v>
      </c>
      <c r="E272" s="27" t="s">
        <v>2626</v>
      </c>
      <c r="F272" s="27" t="s">
        <v>65</v>
      </c>
      <c r="G272" s="26" t="s">
        <v>2627</v>
      </c>
      <c r="H272" s="29" t="s">
        <v>2521</v>
      </c>
      <c r="I272" s="29" t="s">
        <v>2522</v>
      </c>
      <c r="J272" s="29" t="s">
        <v>2628</v>
      </c>
      <c r="K272" s="31" t="s">
        <v>2629</v>
      </c>
      <c r="L272" s="31" t="s">
        <v>2630</v>
      </c>
      <c r="M272" s="31" t="s">
        <v>2631</v>
      </c>
      <c r="N272" s="32"/>
      <c r="O272" s="310"/>
    </row>
    <row r="273" spans="1:15" ht="15.75" customHeight="1">
      <c r="A273" s="25">
        <v>13</v>
      </c>
      <c r="B273" s="26"/>
      <c r="C273" s="27" t="s">
        <v>2277</v>
      </c>
      <c r="D273" s="28" t="s">
        <v>2278</v>
      </c>
      <c r="E273" s="27" t="s">
        <v>2279</v>
      </c>
      <c r="F273" s="27" t="s">
        <v>2280</v>
      </c>
      <c r="G273" s="26" t="s">
        <v>2281</v>
      </c>
      <c r="H273" s="29" t="s">
        <v>2282</v>
      </c>
      <c r="I273" s="29" t="s">
        <v>2283</v>
      </c>
      <c r="J273" s="29" t="s">
        <v>2284</v>
      </c>
      <c r="K273" s="31" t="s">
        <v>2632</v>
      </c>
      <c r="L273" s="31" t="s">
        <v>2633</v>
      </c>
      <c r="M273" s="31" t="s">
        <v>2634</v>
      </c>
      <c r="N273" s="32"/>
      <c r="O273" s="310"/>
    </row>
    <row r="274" spans="1:15" ht="15.75" customHeight="1">
      <c r="A274" s="25">
        <v>14</v>
      </c>
      <c r="B274" s="26"/>
      <c r="C274" s="26" t="s">
        <v>2635</v>
      </c>
      <c r="D274" s="28" t="s">
        <v>2636</v>
      </c>
      <c r="E274" s="27" t="s">
        <v>2637</v>
      </c>
      <c r="F274" s="27" t="s">
        <v>65</v>
      </c>
      <c r="G274" s="26" t="s">
        <v>2638</v>
      </c>
      <c r="H274" s="29" t="s">
        <v>2639</v>
      </c>
      <c r="I274" s="29" t="s">
        <v>2640</v>
      </c>
      <c r="J274" s="29" t="s">
        <v>2641</v>
      </c>
      <c r="K274" s="31" t="s">
        <v>2642</v>
      </c>
      <c r="L274" s="31" t="s">
        <v>2643</v>
      </c>
      <c r="M274" s="31" t="s">
        <v>2644</v>
      </c>
      <c r="N274" s="32"/>
      <c r="O274" s="310"/>
    </row>
    <row r="275" spans="1:15" ht="15.75" customHeight="1">
      <c r="A275" s="25">
        <v>15</v>
      </c>
      <c r="B275" s="26"/>
      <c r="C275" s="26" t="s">
        <v>2645</v>
      </c>
      <c r="D275" s="28" t="s">
        <v>2646</v>
      </c>
      <c r="E275" s="27" t="s">
        <v>2647</v>
      </c>
      <c r="F275" s="27" t="s">
        <v>42</v>
      </c>
      <c r="G275" s="26" t="s">
        <v>2648</v>
      </c>
      <c r="H275" s="29" t="s">
        <v>2649</v>
      </c>
      <c r="I275" s="29" t="s">
        <v>2650</v>
      </c>
      <c r="J275" s="29" t="s">
        <v>2651</v>
      </c>
      <c r="K275" s="31" t="s">
        <v>2652</v>
      </c>
      <c r="L275" s="31" t="s">
        <v>2653</v>
      </c>
      <c r="M275" s="31" t="s">
        <v>2654</v>
      </c>
      <c r="N275" s="32"/>
      <c r="O275" s="310"/>
    </row>
    <row r="276" spans="1:15" ht="15.75" customHeight="1">
      <c r="A276" s="25">
        <v>16</v>
      </c>
      <c r="B276" s="26"/>
      <c r="C276" s="27" t="s">
        <v>2655</v>
      </c>
      <c r="D276" s="28" t="s">
        <v>2656</v>
      </c>
      <c r="E276" s="27" t="s">
        <v>2657</v>
      </c>
      <c r="F276" s="27" t="s">
        <v>65</v>
      </c>
      <c r="G276" s="26" t="s">
        <v>2658</v>
      </c>
      <c r="H276" s="29" t="s">
        <v>2659</v>
      </c>
      <c r="I276" s="29" t="s">
        <v>2660</v>
      </c>
      <c r="J276" s="29" t="s">
        <v>2661</v>
      </c>
      <c r="K276" s="31" t="s">
        <v>2662</v>
      </c>
      <c r="L276" s="31" t="s">
        <v>2663</v>
      </c>
      <c r="M276" s="31" t="s">
        <v>2664</v>
      </c>
      <c r="N276" s="32"/>
      <c r="O276" s="310"/>
    </row>
    <row r="277" spans="1:15" ht="15.75" customHeight="1">
      <c r="A277" s="25">
        <v>17</v>
      </c>
      <c r="B277" s="26"/>
      <c r="C277" s="27" t="s">
        <v>2665</v>
      </c>
      <c r="D277" s="28" t="s">
        <v>2666</v>
      </c>
      <c r="E277" s="27" t="s">
        <v>2667</v>
      </c>
      <c r="F277" s="27" t="s">
        <v>65</v>
      </c>
      <c r="G277" s="26" t="s">
        <v>2668</v>
      </c>
      <c r="H277" s="29" t="s">
        <v>2669</v>
      </c>
      <c r="I277" s="29" t="s">
        <v>2670</v>
      </c>
      <c r="J277" s="29" t="s">
        <v>2671</v>
      </c>
      <c r="K277" s="31" t="s">
        <v>2672</v>
      </c>
      <c r="L277" s="31" t="s">
        <v>2673</v>
      </c>
      <c r="M277" s="31" t="s">
        <v>2674</v>
      </c>
      <c r="N277" s="32"/>
      <c r="O277" s="310"/>
    </row>
    <row r="278" spans="1:15" ht="15.75" customHeight="1">
      <c r="A278" s="25">
        <v>18</v>
      </c>
      <c r="B278" s="26"/>
      <c r="C278" s="27" t="s">
        <v>2675</v>
      </c>
      <c r="D278" s="28" t="s">
        <v>2676</v>
      </c>
      <c r="E278" s="27" t="s">
        <v>2677</v>
      </c>
      <c r="F278" s="27" t="s">
        <v>65</v>
      </c>
      <c r="G278" s="26" t="s">
        <v>2678</v>
      </c>
      <c r="H278" s="29" t="s">
        <v>2679</v>
      </c>
      <c r="I278" s="29" t="s">
        <v>2680</v>
      </c>
      <c r="J278" s="29" t="s">
        <v>2681</v>
      </c>
      <c r="K278" s="31" t="s">
        <v>2682</v>
      </c>
      <c r="L278" s="31" t="s">
        <v>2683</v>
      </c>
      <c r="M278" s="31" t="s">
        <v>2684</v>
      </c>
      <c r="N278" s="32"/>
      <c r="O278" s="310"/>
    </row>
    <row r="279" spans="1:15" ht="15.75" customHeight="1">
      <c r="A279" s="25">
        <v>19</v>
      </c>
      <c r="B279" s="26"/>
      <c r="C279" s="26" t="s">
        <v>2685</v>
      </c>
      <c r="D279" s="28" t="s">
        <v>2686</v>
      </c>
      <c r="E279" s="27" t="s">
        <v>2687</v>
      </c>
      <c r="F279" s="26" t="s">
        <v>885</v>
      </c>
      <c r="G279" s="26" t="s">
        <v>2688</v>
      </c>
      <c r="H279" s="29" t="s">
        <v>2689</v>
      </c>
      <c r="I279" s="29" t="s">
        <v>2690</v>
      </c>
      <c r="J279" s="29" t="s">
        <v>2691</v>
      </c>
      <c r="K279" s="31" t="s">
        <v>2692</v>
      </c>
      <c r="L279" s="31" t="s">
        <v>2693</v>
      </c>
      <c r="M279" s="31" t="s">
        <v>2694</v>
      </c>
      <c r="N279" s="32"/>
      <c r="O279" s="310"/>
    </row>
    <row r="280" spans="1:15" ht="15.75" customHeight="1">
      <c r="A280" s="25">
        <v>20</v>
      </c>
      <c r="B280" s="26"/>
      <c r="C280" s="27" t="s">
        <v>2695</v>
      </c>
      <c r="D280" s="28" t="s">
        <v>2696</v>
      </c>
      <c r="E280" s="27" t="s">
        <v>2697</v>
      </c>
      <c r="F280" s="27" t="s">
        <v>65</v>
      </c>
      <c r="G280" s="26" t="s">
        <v>2698</v>
      </c>
      <c r="H280" s="29" t="s">
        <v>2699</v>
      </c>
      <c r="I280" s="29" t="s">
        <v>2700</v>
      </c>
      <c r="J280" s="29" t="s">
        <v>2701</v>
      </c>
      <c r="K280" s="31" t="s">
        <v>2702</v>
      </c>
      <c r="L280" s="31" t="s">
        <v>2703</v>
      </c>
      <c r="M280" s="31" t="s">
        <v>2704</v>
      </c>
      <c r="N280" s="32"/>
      <c r="O280" s="311"/>
    </row>
    <row r="281" spans="1:15" ht="15.75" customHeight="1">
      <c r="A281" s="19">
        <v>1</v>
      </c>
      <c r="B281" s="19"/>
      <c r="C281" s="19" t="s">
        <v>1676</v>
      </c>
      <c r="D281" s="20" t="s">
        <v>1677</v>
      </c>
      <c r="E281" s="19" t="s">
        <v>1678</v>
      </c>
      <c r="F281" s="19" t="s">
        <v>65</v>
      </c>
      <c r="G281" s="19" t="s">
        <v>1679</v>
      </c>
      <c r="H281" s="21" t="s">
        <v>1680</v>
      </c>
      <c r="I281" s="21" t="s">
        <v>1681</v>
      </c>
      <c r="J281" s="21" t="s">
        <v>1682</v>
      </c>
      <c r="K281" s="22" t="s">
        <v>2705</v>
      </c>
      <c r="L281" s="22" t="s">
        <v>2706</v>
      </c>
      <c r="M281" s="22" t="s">
        <v>2707</v>
      </c>
      <c r="N281" s="23">
        <v>14</v>
      </c>
      <c r="O281" s="24" t="s">
        <v>38</v>
      </c>
    </row>
    <row r="282" spans="1:15" ht="15.75" customHeight="1">
      <c r="A282" s="25">
        <v>2</v>
      </c>
      <c r="B282" s="26"/>
      <c r="C282" s="26" t="s">
        <v>2708</v>
      </c>
      <c r="D282" s="28" t="s">
        <v>2709</v>
      </c>
      <c r="E282" s="27" t="s">
        <v>2710</v>
      </c>
      <c r="F282" s="27" t="s">
        <v>65</v>
      </c>
      <c r="G282" s="26" t="s">
        <v>2711</v>
      </c>
      <c r="H282" s="29" t="s">
        <v>2712</v>
      </c>
      <c r="I282" s="29" t="s">
        <v>2713</v>
      </c>
      <c r="J282" s="29" t="s">
        <v>2714</v>
      </c>
      <c r="K282" s="31" t="s">
        <v>2715</v>
      </c>
      <c r="L282" s="31" t="s">
        <v>2716</v>
      </c>
      <c r="M282" s="31" t="s">
        <v>2717</v>
      </c>
      <c r="N282" s="32"/>
      <c r="O282" s="309" t="s">
        <v>2718</v>
      </c>
    </row>
    <row r="283" spans="1:15" ht="15.75" customHeight="1">
      <c r="A283" s="25">
        <v>3</v>
      </c>
      <c r="B283" s="26"/>
      <c r="C283" s="27" t="s">
        <v>2719</v>
      </c>
      <c r="D283" s="28" t="s">
        <v>2720</v>
      </c>
      <c r="E283" s="27" t="s">
        <v>2721</v>
      </c>
      <c r="F283" s="27" t="s">
        <v>65</v>
      </c>
      <c r="G283" s="26" t="s">
        <v>2722</v>
      </c>
      <c r="H283" s="29" t="s">
        <v>2723</v>
      </c>
      <c r="I283" s="29" t="s">
        <v>2724</v>
      </c>
      <c r="J283" s="29" t="s">
        <v>2725</v>
      </c>
      <c r="K283" s="31" t="s">
        <v>2726</v>
      </c>
      <c r="L283" s="31" t="s">
        <v>2727</v>
      </c>
      <c r="M283" s="31" t="s">
        <v>2728</v>
      </c>
      <c r="N283" s="32"/>
      <c r="O283" s="310"/>
    </row>
    <row r="284" spans="1:15" ht="15.75" customHeight="1">
      <c r="A284" s="25">
        <v>4</v>
      </c>
      <c r="B284" s="26"/>
      <c r="C284" s="27" t="s">
        <v>2729</v>
      </c>
      <c r="D284" s="28" t="s">
        <v>2730</v>
      </c>
      <c r="E284" s="27" t="s">
        <v>2731</v>
      </c>
      <c r="F284" s="27" t="s">
        <v>117</v>
      </c>
      <c r="G284" s="26" t="s">
        <v>2732</v>
      </c>
      <c r="H284" s="29" t="s">
        <v>2733</v>
      </c>
      <c r="I284" s="29" t="s">
        <v>2734</v>
      </c>
      <c r="J284" s="29" t="s">
        <v>2735</v>
      </c>
      <c r="K284" s="31" t="s">
        <v>2736</v>
      </c>
      <c r="L284" s="31" t="s">
        <v>2737</v>
      </c>
      <c r="M284" s="31" t="s">
        <v>2738</v>
      </c>
      <c r="N284" s="32"/>
      <c r="O284" s="310"/>
    </row>
    <row r="285" spans="1:15" ht="15.75" customHeight="1">
      <c r="A285" s="25">
        <v>5</v>
      </c>
      <c r="B285" s="26"/>
      <c r="C285" s="26" t="s">
        <v>2739</v>
      </c>
      <c r="D285" s="28" t="s">
        <v>2740</v>
      </c>
      <c r="E285" s="27" t="s">
        <v>2741</v>
      </c>
      <c r="F285" s="27" t="s">
        <v>42</v>
      </c>
      <c r="G285" s="26" t="s">
        <v>2742</v>
      </c>
      <c r="H285" s="29" t="s">
        <v>2743</v>
      </c>
      <c r="I285" s="29" t="s">
        <v>2744</v>
      </c>
      <c r="J285" s="29" t="s">
        <v>2745</v>
      </c>
      <c r="K285" s="31" t="s">
        <v>2746</v>
      </c>
      <c r="L285" s="31" t="s">
        <v>2747</v>
      </c>
      <c r="M285" s="31" t="s">
        <v>2748</v>
      </c>
      <c r="N285" s="32"/>
      <c r="O285" s="310"/>
    </row>
    <row r="286" spans="1:15" ht="15.75" customHeight="1">
      <c r="A286" s="25">
        <v>6</v>
      </c>
      <c r="B286" s="26"/>
      <c r="C286" s="26" t="s">
        <v>2749</v>
      </c>
      <c r="D286" s="28" t="s">
        <v>2750</v>
      </c>
      <c r="E286" s="27" t="s">
        <v>2751</v>
      </c>
      <c r="F286" s="27" t="s">
        <v>42</v>
      </c>
      <c r="G286" s="26" t="s">
        <v>2752</v>
      </c>
      <c r="H286" s="29" t="s">
        <v>2753</v>
      </c>
      <c r="I286" s="29" t="s">
        <v>2754</v>
      </c>
      <c r="J286" s="29" t="s">
        <v>2755</v>
      </c>
      <c r="K286" s="31" t="s">
        <v>2756</v>
      </c>
      <c r="L286" s="31" t="s">
        <v>2757</v>
      </c>
      <c r="M286" s="31" t="s">
        <v>2758</v>
      </c>
      <c r="N286" s="32"/>
      <c r="O286" s="310"/>
    </row>
    <row r="287" spans="1:15" ht="15.75" customHeight="1">
      <c r="A287" s="25">
        <v>7</v>
      </c>
      <c r="B287" s="26"/>
      <c r="C287" s="27" t="s">
        <v>2338</v>
      </c>
      <c r="D287" s="28" t="s">
        <v>2339</v>
      </c>
      <c r="E287" s="27" t="s">
        <v>2340</v>
      </c>
      <c r="F287" s="27" t="s">
        <v>320</v>
      </c>
      <c r="G287" s="26" t="s">
        <v>2341</v>
      </c>
      <c r="H287" s="29" t="s">
        <v>2342</v>
      </c>
      <c r="I287" s="29" t="s">
        <v>2343</v>
      </c>
      <c r="J287" s="29" t="s">
        <v>2344</v>
      </c>
      <c r="K287" s="31" t="s">
        <v>2759</v>
      </c>
      <c r="L287" s="31" t="s">
        <v>2760</v>
      </c>
      <c r="M287" s="31" t="s">
        <v>2761</v>
      </c>
      <c r="N287" s="32"/>
      <c r="O287" s="310"/>
    </row>
    <row r="288" spans="1:15" ht="15.75" customHeight="1">
      <c r="A288" s="25">
        <v>8</v>
      </c>
      <c r="B288" s="26"/>
      <c r="C288" s="27" t="s">
        <v>2762</v>
      </c>
      <c r="D288" s="28" t="s">
        <v>2763</v>
      </c>
      <c r="E288" s="27" t="s">
        <v>2764</v>
      </c>
      <c r="F288" s="27" t="s">
        <v>117</v>
      </c>
      <c r="G288" s="26" t="s">
        <v>2765</v>
      </c>
      <c r="H288" s="30" t="s">
        <v>2766</v>
      </c>
      <c r="I288" s="29" t="s">
        <v>2767</v>
      </c>
      <c r="J288" s="29" t="s">
        <v>2768</v>
      </c>
      <c r="K288" s="31" t="s">
        <v>2769</v>
      </c>
      <c r="L288" s="31" t="s">
        <v>2770</v>
      </c>
      <c r="M288" s="31" t="s">
        <v>2771</v>
      </c>
      <c r="N288" s="32"/>
      <c r="O288" s="310"/>
    </row>
    <row r="289" spans="1:15" ht="15.75" customHeight="1">
      <c r="A289" s="25">
        <v>9</v>
      </c>
      <c r="B289" s="26"/>
      <c r="C289" s="27" t="s">
        <v>2772</v>
      </c>
      <c r="D289" s="28" t="s">
        <v>2773</v>
      </c>
      <c r="E289" s="27" t="s">
        <v>2774</v>
      </c>
      <c r="F289" s="26" t="s">
        <v>219</v>
      </c>
      <c r="G289" s="26" t="s">
        <v>2775</v>
      </c>
      <c r="H289" s="30" t="s">
        <v>2776</v>
      </c>
      <c r="I289" s="29" t="s">
        <v>2777</v>
      </c>
      <c r="J289" s="29" t="s">
        <v>2778</v>
      </c>
      <c r="K289" s="31" t="s">
        <v>2779</v>
      </c>
      <c r="L289" s="31" t="s">
        <v>2780</v>
      </c>
      <c r="M289" s="31" t="s">
        <v>2781</v>
      </c>
      <c r="N289" s="32"/>
      <c r="O289" s="310"/>
    </row>
    <row r="290" spans="1:15" ht="15.75" customHeight="1">
      <c r="A290" s="25">
        <v>10</v>
      </c>
      <c r="B290" s="26"/>
      <c r="C290" s="26" t="s">
        <v>2782</v>
      </c>
      <c r="D290" s="28" t="s">
        <v>2783</v>
      </c>
      <c r="E290" s="27" t="s">
        <v>2784</v>
      </c>
      <c r="F290" s="26" t="s">
        <v>117</v>
      </c>
      <c r="G290" s="26" t="s">
        <v>2785</v>
      </c>
      <c r="H290" s="30" t="s">
        <v>2786</v>
      </c>
      <c r="I290" s="29" t="s">
        <v>2787</v>
      </c>
      <c r="J290" s="29" t="s">
        <v>2788</v>
      </c>
      <c r="K290" s="31" t="s">
        <v>2789</v>
      </c>
      <c r="L290" s="31" t="s">
        <v>2790</v>
      </c>
      <c r="M290" s="31" t="s">
        <v>2791</v>
      </c>
      <c r="N290" s="32"/>
      <c r="O290" s="310"/>
    </row>
    <row r="291" spans="1:15" ht="15.75" customHeight="1">
      <c r="A291" s="25">
        <v>11</v>
      </c>
      <c r="B291" s="26"/>
      <c r="C291" s="26" t="s">
        <v>2792</v>
      </c>
      <c r="D291" s="28" t="s">
        <v>2793</v>
      </c>
      <c r="E291" s="27" t="s">
        <v>2794</v>
      </c>
      <c r="F291" s="26" t="s">
        <v>219</v>
      </c>
      <c r="G291" s="26" t="s">
        <v>2795</v>
      </c>
      <c r="H291" s="30" t="s">
        <v>2796</v>
      </c>
      <c r="I291" s="29" t="s">
        <v>2797</v>
      </c>
      <c r="J291" s="29" t="s">
        <v>2798</v>
      </c>
      <c r="K291" s="31" t="s">
        <v>2799</v>
      </c>
      <c r="L291" s="31" t="s">
        <v>2800</v>
      </c>
      <c r="M291" s="31" t="s">
        <v>2801</v>
      </c>
      <c r="N291" s="32"/>
      <c r="O291" s="310"/>
    </row>
    <row r="292" spans="1:15" ht="15.75" customHeight="1">
      <c r="A292" s="25">
        <v>12</v>
      </c>
      <c r="B292" s="26"/>
      <c r="C292" s="27" t="s">
        <v>2802</v>
      </c>
      <c r="D292" s="28" t="s">
        <v>2803</v>
      </c>
      <c r="E292" s="27" t="s">
        <v>2804</v>
      </c>
      <c r="F292" s="26" t="s">
        <v>117</v>
      </c>
      <c r="G292" s="26" t="s">
        <v>2805</v>
      </c>
      <c r="H292" s="30" t="s">
        <v>2806</v>
      </c>
      <c r="I292" s="29" t="s">
        <v>2807</v>
      </c>
      <c r="J292" s="29" t="s">
        <v>2808</v>
      </c>
      <c r="K292" s="31" t="s">
        <v>2809</v>
      </c>
      <c r="L292" s="31" t="s">
        <v>2810</v>
      </c>
      <c r="M292" s="31" t="s">
        <v>2811</v>
      </c>
      <c r="N292" s="32"/>
      <c r="O292" s="310"/>
    </row>
    <row r="293" spans="1:15" ht="15.75" customHeight="1">
      <c r="A293" s="25">
        <v>13</v>
      </c>
      <c r="B293" s="26"/>
      <c r="C293" s="27" t="s">
        <v>2812</v>
      </c>
      <c r="D293" s="28" t="s">
        <v>2813</v>
      </c>
      <c r="E293" s="27" t="s">
        <v>2814</v>
      </c>
      <c r="F293" s="26" t="s">
        <v>117</v>
      </c>
      <c r="G293" s="26" t="s">
        <v>2815</v>
      </c>
      <c r="H293" s="30" t="s">
        <v>2816</v>
      </c>
      <c r="I293" s="29" t="s">
        <v>2817</v>
      </c>
      <c r="J293" s="29" t="s">
        <v>2818</v>
      </c>
      <c r="K293" s="31" t="s">
        <v>2819</v>
      </c>
      <c r="L293" s="31" t="s">
        <v>2820</v>
      </c>
      <c r="M293" s="31" t="s">
        <v>2821</v>
      </c>
      <c r="N293" s="32"/>
      <c r="O293" s="310"/>
    </row>
    <row r="294" spans="1:15" ht="15.75" customHeight="1">
      <c r="A294" s="25">
        <v>14</v>
      </c>
      <c r="B294" s="26"/>
      <c r="C294" s="26" t="s">
        <v>2822</v>
      </c>
      <c r="D294" s="28" t="s">
        <v>2823</v>
      </c>
      <c r="E294" s="27" t="s">
        <v>2824</v>
      </c>
      <c r="F294" s="26" t="s">
        <v>42</v>
      </c>
      <c r="G294" s="26" t="s">
        <v>2825</v>
      </c>
      <c r="H294" s="30" t="s">
        <v>2826</v>
      </c>
      <c r="I294" s="29" t="s">
        <v>2827</v>
      </c>
      <c r="J294" s="29" t="s">
        <v>2828</v>
      </c>
      <c r="K294" s="31" t="s">
        <v>2829</v>
      </c>
      <c r="L294" s="31" t="s">
        <v>2830</v>
      </c>
      <c r="M294" s="31" t="s">
        <v>2831</v>
      </c>
      <c r="N294" s="32"/>
      <c r="O294" s="310"/>
    </row>
    <row r="295" spans="1:15" ht="15.75" customHeight="1">
      <c r="A295" s="25">
        <v>15</v>
      </c>
      <c r="B295" s="26"/>
      <c r="C295" s="27" t="s">
        <v>2832</v>
      </c>
      <c r="D295" s="28" t="s">
        <v>2833</v>
      </c>
      <c r="E295" s="27" t="s">
        <v>2834</v>
      </c>
      <c r="F295" s="26" t="s">
        <v>65</v>
      </c>
      <c r="G295" s="26" t="s">
        <v>2835</v>
      </c>
      <c r="H295" s="30" t="s">
        <v>2836</v>
      </c>
      <c r="I295" s="29" t="s">
        <v>2837</v>
      </c>
      <c r="J295" s="29" t="s">
        <v>2838</v>
      </c>
      <c r="K295" s="31" t="s">
        <v>2839</v>
      </c>
      <c r="L295" s="31" t="s">
        <v>2840</v>
      </c>
      <c r="M295" s="31" t="s">
        <v>2841</v>
      </c>
      <c r="N295" s="32"/>
      <c r="O295" s="310"/>
    </row>
    <row r="296" spans="1:15" ht="15.75" customHeight="1">
      <c r="A296" s="25">
        <v>16</v>
      </c>
      <c r="B296" s="26"/>
      <c r="C296" s="27" t="s">
        <v>2842</v>
      </c>
      <c r="D296" s="28" t="s">
        <v>2843</v>
      </c>
      <c r="E296" s="27" t="s">
        <v>2844</v>
      </c>
      <c r="F296" s="27" t="s">
        <v>65</v>
      </c>
      <c r="G296" s="26" t="s">
        <v>2845</v>
      </c>
      <c r="H296" s="30" t="s">
        <v>836</v>
      </c>
      <c r="I296" s="29" t="s">
        <v>837</v>
      </c>
      <c r="J296" s="29" t="s">
        <v>2846</v>
      </c>
      <c r="K296" s="31" t="s">
        <v>2847</v>
      </c>
      <c r="L296" s="31" t="s">
        <v>2848</v>
      </c>
      <c r="M296" s="31" t="s">
        <v>2849</v>
      </c>
      <c r="N296" s="32"/>
      <c r="O296" s="310"/>
    </row>
    <row r="297" spans="1:15" ht="15.75" customHeight="1">
      <c r="A297" s="25">
        <v>17</v>
      </c>
      <c r="B297" s="26"/>
      <c r="C297" s="27" t="s">
        <v>2850</v>
      </c>
      <c r="D297" s="28" t="s">
        <v>2851</v>
      </c>
      <c r="E297" s="27" t="s">
        <v>2852</v>
      </c>
      <c r="F297" s="27" t="s">
        <v>65</v>
      </c>
      <c r="G297" s="26" t="s">
        <v>2853</v>
      </c>
      <c r="H297" s="30" t="s">
        <v>2854</v>
      </c>
      <c r="I297" s="29" t="s">
        <v>2855</v>
      </c>
      <c r="J297" s="29" t="s">
        <v>2856</v>
      </c>
      <c r="K297" s="31" t="s">
        <v>2857</v>
      </c>
      <c r="L297" s="31" t="s">
        <v>2858</v>
      </c>
      <c r="M297" s="31" t="s">
        <v>2859</v>
      </c>
      <c r="N297" s="32"/>
      <c r="O297" s="310"/>
    </row>
    <row r="298" spans="1:15" ht="15.75" customHeight="1">
      <c r="A298" s="25">
        <v>18</v>
      </c>
      <c r="B298" s="26"/>
      <c r="C298" s="26" t="s">
        <v>2860</v>
      </c>
      <c r="D298" s="28" t="s">
        <v>2861</v>
      </c>
      <c r="E298" s="27" t="s">
        <v>2862</v>
      </c>
      <c r="F298" s="27" t="s">
        <v>65</v>
      </c>
      <c r="G298" s="26" t="s">
        <v>2863</v>
      </c>
      <c r="H298" s="30" t="s">
        <v>2864</v>
      </c>
      <c r="I298" s="29" t="s">
        <v>2865</v>
      </c>
      <c r="J298" s="29" t="s">
        <v>2866</v>
      </c>
      <c r="K298" s="31" t="s">
        <v>2867</v>
      </c>
      <c r="L298" s="31" t="s">
        <v>2868</v>
      </c>
      <c r="M298" s="31" t="s">
        <v>2869</v>
      </c>
      <c r="N298" s="32"/>
      <c r="O298" s="310"/>
    </row>
    <row r="299" spans="1:15" ht="15.75" customHeight="1">
      <c r="A299" s="25">
        <v>19</v>
      </c>
      <c r="B299" s="26"/>
      <c r="C299" s="26" t="s">
        <v>1676</v>
      </c>
      <c r="D299" s="28" t="s">
        <v>1677</v>
      </c>
      <c r="E299" s="27" t="s">
        <v>1678</v>
      </c>
      <c r="F299" s="27" t="s">
        <v>117</v>
      </c>
      <c r="G299" s="26" t="s">
        <v>2870</v>
      </c>
      <c r="H299" s="30" t="s">
        <v>2871</v>
      </c>
      <c r="I299" s="29" t="s">
        <v>2872</v>
      </c>
      <c r="J299" s="29" t="s">
        <v>2873</v>
      </c>
      <c r="K299" s="31" t="s">
        <v>2874</v>
      </c>
      <c r="L299" s="31" t="s">
        <v>2875</v>
      </c>
      <c r="M299" s="31" t="s">
        <v>2876</v>
      </c>
      <c r="N299" s="32"/>
      <c r="O299" s="310"/>
    </row>
    <row r="300" spans="1:15" ht="15.75" customHeight="1">
      <c r="A300" s="25">
        <v>20</v>
      </c>
      <c r="B300" s="26"/>
      <c r="C300" s="26" t="s">
        <v>2877</v>
      </c>
      <c r="D300" s="28" t="s">
        <v>2878</v>
      </c>
      <c r="E300" s="27" t="s">
        <v>2879</v>
      </c>
      <c r="F300" s="27" t="s">
        <v>65</v>
      </c>
      <c r="G300" s="26" t="s">
        <v>2880</v>
      </c>
      <c r="H300" s="30" t="s">
        <v>2881</v>
      </c>
      <c r="I300" s="29" t="s">
        <v>2882</v>
      </c>
      <c r="J300" s="29" t="s">
        <v>2883</v>
      </c>
      <c r="K300" s="31" t="s">
        <v>2884</v>
      </c>
      <c r="L300" s="31" t="s">
        <v>2885</v>
      </c>
      <c r="M300" s="31" t="s">
        <v>2886</v>
      </c>
      <c r="N300" s="32"/>
      <c r="O300" s="310"/>
    </row>
    <row r="301" spans="1:15" ht="15.75" customHeight="1">
      <c r="A301" s="25">
        <v>21</v>
      </c>
      <c r="B301" s="26"/>
      <c r="C301" s="26" t="s">
        <v>2887</v>
      </c>
      <c r="D301" s="28" t="s">
        <v>2888</v>
      </c>
      <c r="E301" s="27" t="s">
        <v>2889</v>
      </c>
      <c r="F301" s="27" t="s">
        <v>65</v>
      </c>
      <c r="G301" s="26" t="s">
        <v>2890</v>
      </c>
      <c r="H301" s="30" t="s">
        <v>2891</v>
      </c>
      <c r="I301" s="29" t="s">
        <v>2892</v>
      </c>
      <c r="J301" s="29" t="s">
        <v>2893</v>
      </c>
      <c r="K301" s="31" t="s">
        <v>2894</v>
      </c>
      <c r="L301" s="31" t="s">
        <v>2895</v>
      </c>
      <c r="M301" s="31" t="s">
        <v>2896</v>
      </c>
      <c r="N301" s="32"/>
      <c r="O301" s="310"/>
    </row>
    <row r="302" spans="1:15" ht="15.75" customHeight="1">
      <c r="A302" s="25">
        <v>22</v>
      </c>
      <c r="B302" s="26"/>
      <c r="C302" s="26" t="s">
        <v>2897</v>
      </c>
      <c r="D302" s="28" t="s">
        <v>2898</v>
      </c>
      <c r="E302" s="27" t="s">
        <v>2899</v>
      </c>
      <c r="F302" s="27" t="s">
        <v>65</v>
      </c>
      <c r="G302" s="26" t="s">
        <v>2900</v>
      </c>
      <c r="H302" s="30" t="s">
        <v>2901</v>
      </c>
      <c r="I302" s="29" t="s">
        <v>2902</v>
      </c>
      <c r="J302" s="29" t="s">
        <v>2903</v>
      </c>
      <c r="K302" s="31" t="s">
        <v>2904</v>
      </c>
      <c r="L302" s="31" t="s">
        <v>2905</v>
      </c>
      <c r="M302" s="31" t="s">
        <v>2906</v>
      </c>
      <c r="N302" s="32"/>
      <c r="O302" s="310"/>
    </row>
    <row r="303" spans="1:15" ht="15.75" customHeight="1">
      <c r="A303" s="25">
        <v>23</v>
      </c>
      <c r="B303" s="26"/>
      <c r="C303" s="26" t="s">
        <v>2907</v>
      </c>
      <c r="D303" s="28" t="s">
        <v>2908</v>
      </c>
      <c r="E303" s="27" t="s">
        <v>2909</v>
      </c>
      <c r="F303" s="27" t="s">
        <v>65</v>
      </c>
      <c r="G303" s="26" t="s">
        <v>2910</v>
      </c>
      <c r="H303" s="30" t="s">
        <v>2911</v>
      </c>
      <c r="I303" s="29" t="s">
        <v>2912</v>
      </c>
      <c r="J303" s="29" t="s">
        <v>2913</v>
      </c>
      <c r="K303" s="31" t="s">
        <v>2914</v>
      </c>
      <c r="L303" s="31" t="s">
        <v>2915</v>
      </c>
      <c r="M303" s="31" t="s">
        <v>2916</v>
      </c>
      <c r="N303" s="32"/>
      <c r="O303" s="310"/>
    </row>
    <row r="304" spans="1:15" ht="15.75" customHeight="1">
      <c r="A304" s="25">
        <v>24</v>
      </c>
      <c r="B304" s="26"/>
      <c r="C304" s="26" t="s">
        <v>2917</v>
      </c>
      <c r="D304" s="28" t="s">
        <v>2918</v>
      </c>
      <c r="E304" s="27" t="s">
        <v>2919</v>
      </c>
      <c r="F304" s="27" t="s">
        <v>117</v>
      </c>
      <c r="G304" s="26" t="s">
        <v>2920</v>
      </c>
      <c r="H304" s="30" t="s">
        <v>2921</v>
      </c>
      <c r="I304" s="29" t="s">
        <v>2922</v>
      </c>
      <c r="J304" s="29" t="s">
        <v>2923</v>
      </c>
      <c r="K304" s="31" t="s">
        <v>2924</v>
      </c>
      <c r="L304" s="31" t="s">
        <v>2925</v>
      </c>
      <c r="M304" s="31" t="s">
        <v>2926</v>
      </c>
      <c r="N304" s="32"/>
      <c r="O304" s="310"/>
    </row>
    <row r="305" spans="1:15" ht="15.75" customHeight="1">
      <c r="A305" s="25">
        <v>25</v>
      </c>
      <c r="B305" s="26"/>
      <c r="C305" s="27" t="s">
        <v>2927</v>
      </c>
      <c r="D305" s="28" t="s">
        <v>2928</v>
      </c>
      <c r="E305" s="27" t="s">
        <v>2929</v>
      </c>
      <c r="F305" s="27" t="s">
        <v>42</v>
      </c>
      <c r="G305" s="26" t="s">
        <v>2930</v>
      </c>
      <c r="H305" s="30" t="s">
        <v>2931</v>
      </c>
      <c r="I305" s="29" t="s">
        <v>2932</v>
      </c>
      <c r="J305" s="29" t="s">
        <v>2933</v>
      </c>
      <c r="K305" s="31" t="s">
        <v>2934</v>
      </c>
      <c r="L305" s="31" t="s">
        <v>2935</v>
      </c>
      <c r="M305" s="31" t="s">
        <v>2936</v>
      </c>
      <c r="N305" s="32"/>
      <c r="O305" s="310"/>
    </row>
    <row r="306" spans="1:15" ht="15.75" customHeight="1">
      <c r="A306" s="25">
        <v>26</v>
      </c>
      <c r="B306" s="26"/>
      <c r="C306" s="27" t="s">
        <v>2937</v>
      </c>
      <c r="D306" s="28" t="s">
        <v>2938</v>
      </c>
      <c r="E306" s="27" t="s">
        <v>2929</v>
      </c>
      <c r="F306" s="27" t="s">
        <v>42</v>
      </c>
      <c r="G306" s="26" t="s">
        <v>2939</v>
      </c>
      <c r="H306" s="30" t="s">
        <v>2940</v>
      </c>
      <c r="I306" s="29" t="s">
        <v>2941</v>
      </c>
      <c r="J306" s="29" t="s">
        <v>2942</v>
      </c>
      <c r="K306" s="31" t="s">
        <v>2943</v>
      </c>
      <c r="L306" s="31" t="s">
        <v>2944</v>
      </c>
      <c r="M306" s="31" t="s">
        <v>2945</v>
      </c>
      <c r="N306" s="32"/>
      <c r="O306" s="310"/>
    </row>
    <row r="307" spans="1:15" ht="15.75" customHeight="1">
      <c r="A307" s="25">
        <v>27</v>
      </c>
      <c r="B307" s="26"/>
      <c r="C307" s="26" t="s">
        <v>2946</v>
      </c>
      <c r="D307" s="28" t="s">
        <v>2947</v>
      </c>
      <c r="E307" s="27" t="s">
        <v>2929</v>
      </c>
      <c r="F307" s="27" t="s">
        <v>42</v>
      </c>
      <c r="G307" s="26" t="s">
        <v>2948</v>
      </c>
      <c r="H307" s="30" t="s">
        <v>2949</v>
      </c>
      <c r="I307" s="29" t="s">
        <v>2950</v>
      </c>
      <c r="J307" s="29" t="s">
        <v>2951</v>
      </c>
      <c r="K307" s="31" t="s">
        <v>2952</v>
      </c>
      <c r="L307" s="31" t="s">
        <v>2953</v>
      </c>
      <c r="M307" s="31" t="s">
        <v>2954</v>
      </c>
      <c r="N307" s="32"/>
      <c r="O307" s="310"/>
    </row>
    <row r="308" spans="1:15" ht="15.75" customHeight="1">
      <c r="A308" s="25">
        <v>28</v>
      </c>
      <c r="B308" s="26"/>
      <c r="C308" s="26" t="s">
        <v>2955</v>
      </c>
      <c r="D308" s="28" t="s">
        <v>2956</v>
      </c>
      <c r="E308" s="27" t="s">
        <v>2957</v>
      </c>
      <c r="F308" s="26" t="s">
        <v>54</v>
      </c>
      <c r="G308" s="26" t="s">
        <v>2958</v>
      </c>
      <c r="H308" s="30" t="s">
        <v>2959</v>
      </c>
      <c r="I308" s="29" t="s">
        <v>2960</v>
      </c>
      <c r="J308" s="29" t="s">
        <v>2961</v>
      </c>
      <c r="K308" s="31" t="s">
        <v>2962</v>
      </c>
      <c r="L308" s="31" t="s">
        <v>2963</v>
      </c>
      <c r="M308" s="31" t="s">
        <v>2964</v>
      </c>
      <c r="N308" s="32"/>
      <c r="O308" s="311"/>
    </row>
    <row r="309" spans="1:15" ht="15.75" customHeight="1">
      <c r="A309" s="19">
        <v>1</v>
      </c>
      <c r="B309" s="19"/>
      <c r="C309" s="19" t="s">
        <v>2965</v>
      </c>
      <c r="D309" s="20" t="s">
        <v>2966</v>
      </c>
      <c r="E309" s="19" t="s">
        <v>2967</v>
      </c>
      <c r="F309" s="19" t="s">
        <v>117</v>
      </c>
      <c r="G309" s="19" t="s">
        <v>2968</v>
      </c>
      <c r="H309" s="21" t="s">
        <v>2969</v>
      </c>
      <c r="I309" s="21" t="s">
        <v>2970</v>
      </c>
      <c r="J309" s="21" t="s">
        <v>2971</v>
      </c>
      <c r="K309" s="22" t="s">
        <v>2972</v>
      </c>
      <c r="L309" s="22" t="s">
        <v>2973</v>
      </c>
      <c r="M309" s="22" t="s">
        <v>2974</v>
      </c>
      <c r="N309" s="23">
        <v>15</v>
      </c>
      <c r="O309" s="24" t="s">
        <v>38</v>
      </c>
    </row>
    <row r="310" spans="1:15" ht="15.75" customHeight="1">
      <c r="A310" s="25">
        <v>2</v>
      </c>
      <c r="B310" s="26"/>
      <c r="C310" s="26" t="s">
        <v>2975</v>
      </c>
      <c r="D310" s="28" t="s">
        <v>2976</v>
      </c>
      <c r="E310" s="27" t="s">
        <v>2977</v>
      </c>
      <c r="F310" s="26" t="s">
        <v>42</v>
      </c>
      <c r="G310" s="26" t="s">
        <v>2978</v>
      </c>
      <c r="H310" s="29" t="s">
        <v>2979</v>
      </c>
      <c r="I310" s="29" t="s">
        <v>2980</v>
      </c>
      <c r="J310" s="29" t="s">
        <v>2981</v>
      </c>
      <c r="K310" s="31" t="s">
        <v>2982</v>
      </c>
      <c r="L310" s="31" t="s">
        <v>2983</v>
      </c>
      <c r="M310" s="31" t="s">
        <v>2984</v>
      </c>
      <c r="N310" s="32"/>
      <c r="O310" s="309" t="s">
        <v>2985</v>
      </c>
    </row>
    <row r="311" spans="1:15" ht="15.75" customHeight="1">
      <c r="A311" s="25">
        <v>3</v>
      </c>
      <c r="B311" s="26"/>
      <c r="C311" s="27" t="s">
        <v>2986</v>
      </c>
      <c r="D311" s="28" t="s">
        <v>2987</v>
      </c>
      <c r="E311" s="27" t="s">
        <v>2988</v>
      </c>
      <c r="F311" s="27" t="s">
        <v>65</v>
      </c>
      <c r="G311" s="26" t="s">
        <v>2989</v>
      </c>
      <c r="H311" s="29" t="s">
        <v>2990</v>
      </c>
      <c r="I311" s="29" t="s">
        <v>2991</v>
      </c>
      <c r="J311" s="29" t="s">
        <v>2992</v>
      </c>
      <c r="K311" s="31" t="s">
        <v>2993</v>
      </c>
      <c r="L311" s="31" t="s">
        <v>2994</v>
      </c>
      <c r="M311" s="31" t="s">
        <v>2995</v>
      </c>
      <c r="N311" s="32"/>
      <c r="O311" s="310"/>
    </row>
    <row r="312" spans="1:15" ht="15.75" customHeight="1">
      <c r="A312" s="25">
        <v>4</v>
      </c>
      <c r="B312" s="26"/>
      <c r="C312" s="26" t="s">
        <v>2996</v>
      </c>
      <c r="D312" s="28" t="s">
        <v>2997</v>
      </c>
      <c r="E312" s="27" t="s">
        <v>2998</v>
      </c>
      <c r="F312" s="27" t="s">
        <v>65</v>
      </c>
      <c r="G312" s="26" t="s">
        <v>2999</v>
      </c>
      <c r="H312" s="29" t="s">
        <v>3000</v>
      </c>
      <c r="I312" s="29" t="s">
        <v>3001</v>
      </c>
      <c r="J312" s="29" t="s">
        <v>3002</v>
      </c>
      <c r="K312" s="31" t="s">
        <v>3003</v>
      </c>
      <c r="L312" s="31" t="s">
        <v>3004</v>
      </c>
      <c r="M312" s="31" t="s">
        <v>3005</v>
      </c>
      <c r="N312" s="32"/>
      <c r="O312" s="310"/>
    </row>
    <row r="313" spans="1:15" ht="15.75" customHeight="1">
      <c r="A313" s="25">
        <v>5</v>
      </c>
      <c r="B313" s="26"/>
      <c r="C313" s="27" t="s">
        <v>611</v>
      </c>
      <c r="D313" s="28" t="s">
        <v>612</v>
      </c>
      <c r="E313" s="27" t="s">
        <v>613</v>
      </c>
      <c r="F313" s="27" t="s">
        <v>42</v>
      </c>
      <c r="G313" s="26" t="s">
        <v>614</v>
      </c>
      <c r="H313" s="29" t="s">
        <v>615</v>
      </c>
      <c r="I313" s="29" t="s">
        <v>616</v>
      </c>
      <c r="J313" s="29" t="s">
        <v>617</v>
      </c>
      <c r="K313" s="31" t="s">
        <v>3006</v>
      </c>
      <c r="L313" s="31" t="s">
        <v>3007</v>
      </c>
      <c r="M313" s="31" t="s">
        <v>3008</v>
      </c>
      <c r="N313" s="32"/>
      <c r="O313" s="310"/>
    </row>
    <row r="314" spans="1:15" ht="15.75" customHeight="1">
      <c r="A314" s="25">
        <v>6</v>
      </c>
      <c r="B314" s="26"/>
      <c r="C314" s="27" t="s">
        <v>3009</v>
      </c>
      <c r="D314" s="28" t="s">
        <v>3010</v>
      </c>
      <c r="E314" s="27" t="s">
        <v>3011</v>
      </c>
      <c r="F314" s="27" t="s">
        <v>65</v>
      </c>
      <c r="G314" s="26" t="s">
        <v>3012</v>
      </c>
      <c r="H314" s="29" t="s">
        <v>3013</v>
      </c>
      <c r="I314" s="29" t="s">
        <v>3014</v>
      </c>
      <c r="J314" s="29" t="s">
        <v>3015</v>
      </c>
      <c r="K314" s="31" t="s">
        <v>3016</v>
      </c>
      <c r="L314" s="31" t="s">
        <v>3017</v>
      </c>
      <c r="M314" s="31" t="s">
        <v>3018</v>
      </c>
      <c r="N314" s="32"/>
      <c r="O314" s="310"/>
    </row>
    <row r="315" spans="1:15" ht="15.75" customHeight="1">
      <c r="A315" s="25">
        <v>7</v>
      </c>
      <c r="B315" s="26"/>
      <c r="C315" s="26" t="s">
        <v>3019</v>
      </c>
      <c r="D315" s="28" t="s">
        <v>3020</v>
      </c>
      <c r="E315" s="27" t="s">
        <v>3021</v>
      </c>
      <c r="F315" s="27" t="s">
        <v>54</v>
      </c>
      <c r="G315" s="26" t="s">
        <v>3022</v>
      </c>
      <c r="H315" s="29" t="s">
        <v>3023</v>
      </c>
      <c r="I315" s="29" t="s">
        <v>3024</v>
      </c>
      <c r="J315" s="29" t="s">
        <v>3025</v>
      </c>
      <c r="K315" s="31" t="s">
        <v>3026</v>
      </c>
      <c r="L315" s="31" t="s">
        <v>3027</v>
      </c>
      <c r="M315" s="31" t="s">
        <v>3028</v>
      </c>
      <c r="N315" s="32"/>
      <c r="O315" s="310"/>
    </row>
    <row r="316" spans="1:15" ht="15.75" customHeight="1">
      <c r="A316" s="25">
        <v>8</v>
      </c>
      <c r="B316" s="26"/>
      <c r="C316" s="27" t="s">
        <v>3029</v>
      </c>
      <c r="D316" s="28" t="s">
        <v>3030</v>
      </c>
      <c r="E316" s="27" t="s">
        <v>3031</v>
      </c>
      <c r="F316" s="27" t="s">
        <v>65</v>
      </c>
      <c r="G316" s="26" t="s">
        <v>3032</v>
      </c>
      <c r="H316" s="29" t="s">
        <v>3033</v>
      </c>
      <c r="I316" s="29" t="s">
        <v>3034</v>
      </c>
      <c r="J316" s="29" t="s">
        <v>3035</v>
      </c>
      <c r="K316" s="31" t="s">
        <v>3036</v>
      </c>
      <c r="L316" s="31" t="s">
        <v>3037</v>
      </c>
      <c r="M316" s="31" t="s">
        <v>3038</v>
      </c>
      <c r="N316" s="32"/>
      <c r="O316" s="310"/>
    </row>
    <row r="317" spans="1:15" ht="15.75" customHeight="1">
      <c r="A317" s="25">
        <v>9</v>
      </c>
      <c r="B317" s="26"/>
      <c r="C317" s="27" t="s">
        <v>2277</v>
      </c>
      <c r="D317" s="28" t="s">
        <v>2278</v>
      </c>
      <c r="E317" s="27" t="s">
        <v>2279</v>
      </c>
      <c r="F317" s="27" t="s">
        <v>2280</v>
      </c>
      <c r="G317" s="26" t="s">
        <v>2281</v>
      </c>
      <c r="H317" s="29" t="s">
        <v>2282</v>
      </c>
      <c r="I317" s="29" t="s">
        <v>2283</v>
      </c>
      <c r="J317" s="29" t="s">
        <v>2284</v>
      </c>
      <c r="K317" s="31" t="s">
        <v>3039</v>
      </c>
      <c r="L317" s="31" t="s">
        <v>3040</v>
      </c>
      <c r="M317" s="31" t="s">
        <v>3041</v>
      </c>
      <c r="N317" s="32"/>
      <c r="O317" s="310"/>
    </row>
    <row r="318" spans="1:15" ht="15.75" customHeight="1">
      <c r="A318" s="25">
        <v>10</v>
      </c>
      <c r="B318" s="26"/>
      <c r="C318" s="27" t="s">
        <v>3042</v>
      </c>
      <c r="D318" s="28" t="s">
        <v>3043</v>
      </c>
      <c r="E318" s="27" t="s">
        <v>3044</v>
      </c>
      <c r="F318" s="27" t="s">
        <v>65</v>
      </c>
      <c r="G318" s="26" t="s">
        <v>3045</v>
      </c>
      <c r="H318" s="29" t="s">
        <v>3046</v>
      </c>
      <c r="I318" s="29" t="s">
        <v>3047</v>
      </c>
      <c r="J318" s="29" t="s">
        <v>3048</v>
      </c>
      <c r="K318" s="31" t="s">
        <v>3049</v>
      </c>
      <c r="L318" s="31" t="s">
        <v>3050</v>
      </c>
      <c r="M318" s="31" t="s">
        <v>3051</v>
      </c>
      <c r="N318" s="32"/>
      <c r="O318" s="310"/>
    </row>
    <row r="319" spans="1:15" ht="15.75" customHeight="1">
      <c r="A319" s="25">
        <v>11</v>
      </c>
      <c r="B319" s="26"/>
      <c r="C319" s="26" t="s">
        <v>3052</v>
      </c>
      <c r="D319" s="28" t="s">
        <v>3053</v>
      </c>
      <c r="E319" s="27" t="s">
        <v>3054</v>
      </c>
      <c r="F319" s="27" t="s">
        <v>65</v>
      </c>
      <c r="G319" s="26" t="s">
        <v>3055</v>
      </c>
      <c r="H319" s="29" t="s">
        <v>3056</v>
      </c>
      <c r="I319" s="29" t="s">
        <v>3057</v>
      </c>
      <c r="J319" s="29" t="s">
        <v>3058</v>
      </c>
      <c r="K319" s="31" t="s">
        <v>3059</v>
      </c>
      <c r="L319" s="31" t="s">
        <v>3060</v>
      </c>
      <c r="M319" s="31" t="s">
        <v>3061</v>
      </c>
      <c r="N319" s="32"/>
      <c r="O319" s="310"/>
    </row>
    <row r="320" spans="1:15" ht="15.75" customHeight="1">
      <c r="A320" s="25">
        <v>12</v>
      </c>
      <c r="B320" s="26"/>
      <c r="C320" s="27" t="s">
        <v>3062</v>
      </c>
      <c r="D320" s="28" t="s">
        <v>3063</v>
      </c>
      <c r="E320" s="27" t="s">
        <v>3064</v>
      </c>
      <c r="F320" s="27" t="s">
        <v>65</v>
      </c>
      <c r="G320" s="26" t="s">
        <v>3065</v>
      </c>
      <c r="H320" s="29" t="s">
        <v>3066</v>
      </c>
      <c r="I320" s="29" t="s">
        <v>3067</v>
      </c>
      <c r="J320" s="29" t="s">
        <v>3068</v>
      </c>
      <c r="K320" s="31" t="s">
        <v>3069</v>
      </c>
      <c r="L320" s="31" t="s">
        <v>3070</v>
      </c>
      <c r="M320" s="31" t="s">
        <v>3071</v>
      </c>
      <c r="N320" s="32"/>
      <c r="O320" s="310"/>
    </row>
    <row r="321" spans="1:15" ht="15.75" customHeight="1">
      <c r="A321" s="25">
        <v>13</v>
      </c>
      <c r="B321" s="26"/>
      <c r="C321" s="27" t="s">
        <v>3072</v>
      </c>
      <c r="D321" s="28" t="s">
        <v>3073</v>
      </c>
      <c r="E321" s="27" t="s">
        <v>3074</v>
      </c>
      <c r="F321" s="27" t="s">
        <v>65</v>
      </c>
      <c r="G321" s="26" t="s">
        <v>3075</v>
      </c>
      <c r="H321" s="29" t="s">
        <v>3076</v>
      </c>
      <c r="I321" s="29" t="s">
        <v>3077</v>
      </c>
      <c r="J321" s="29" t="s">
        <v>3078</v>
      </c>
      <c r="K321" s="31" t="s">
        <v>3079</v>
      </c>
      <c r="L321" s="31" t="s">
        <v>3080</v>
      </c>
      <c r="M321" s="31" t="s">
        <v>3081</v>
      </c>
      <c r="N321" s="32"/>
      <c r="O321" s="310"/>
    </row>
    <row r="322" spans="1:15" ht="15.75" customHeight="1">
      <c r="A322" s="25">
        <v>14</v>
      </c>
      <c r="B322" s="26"/>
      <c r="C322" s="27" t="s">
        <v>3082</v>
      </c>
      <c r="D322" s="28" t="s">
        <v>3083</v>
      </c>
      <c r="E322" s="27" t="s">
        <v>3084</v>
      </c>
      <c r="F322" s="27" t="s">
        <v>117</v>
      </c>
      <c r="G322" s="26" t="s">
        <v>3085</v>
      </c>
      <c r="H322" s="29" t="s">
        <v>3086</v>
      </c>
      <c r="I322" s="29" t="s">
        <v>3087</v>
      </c>
      <c r="J322" s="29" t="s">
        <v>3088</v>
      </c>
      <c r="K322" s="31" t="s">
        <v>3089</v>
      </c>
      <c r="L322" s="31" t="s">
        <v>3090</v>
      </c>
      <c r="M322" s="31" t="s">
        <v>3091</v>
      </c>
      <c r="N322" s="32"/>
      <c r="O322" s="310"/>
    </row>
    <row r="323" spans="1:15" ht="15.75" customHeight="1">
      <c r="A323" s="25">
        <v>15</v>
      </c>
      <c r="B323" s="26"/>
      <c r="C323" s="27" t="s">
        <v>3092</v>
      </c>
      <c r="D323" s="28" t="s">
        <v>3093</v>
      </c>
      <c r="E323" s="27" t="s">
        <v>3094</v>
      </c>
      <c r="F323" s="27" t="s">
        <v>117</v>
      </c>
      <c r="G323" s="26" t="s">
        <v>3095</v>
      </c>
      <c r="H323" s="29" t="s">
        <v>3096</v>
      </c>
      <c r="I323" s="29" t="s">
        <v>3097</v>
      </c>
      <c r="J323" s="29" t="s">
        <v>3098</v>
      </c>
      <c r="K323" s="31" t="s">
        <v>3099</v>
      </c>
      <c r="L323" s="31" t="s">
        <v>3100</v>
      </c>
      <c r="M323" s="31" t="s">
        <v>3101</v>
      </c>
      <c r="N323" s="32"/>
      <c r="O323" s="310"/>
    </row>
    <row r="324" spans="1:15" ht="15.75" customHeight="1">
      <c r="A324" s="25">
        <v>16</v>
      </c>
      <c r="B324" s="26"/>
      <c r="C324" s="26" t="s">
        <v>3102</v>
      </c>
      <c r="D324" s="28" t="s">
        <v>3103</v>
      </c>
      <c r="E324" s="27" t="s">
        <v>3104</v>
      </c>
      <c r="F324" s="27" t="s">
        <v>54</v>
      </c>
      <c r="G324" s="26" t="s">
        <v>3105</v>
      </c>
      <c r="H324" s="29" t="s">
        <v>3106</v>
      </c>
      <c r="I324" s="29" t="s">
        <v>3107</v>
      </c>
      <c r="J324" s="29" t="s">
        <v>2201</v>
      </c>
      <c r="K324" s="31" t="s">
        <v>3108</v>
      </c>
      <c r="L324" s="31" t="s">
        <v>3109</v>
      </c>
      <c r="M324" s="31" t="s">
        <v>3110</v>
      </c>
      <c r="N324" s="32"/>
      <c r="O324" s="310"/>
    </row>
    <row r="325" spans="1:15" ht="15.75" customHeight="1">
      <c r="A325" s="25">
        <v>17</v>
      </c>
      <c r="B325" s="26"/>
      <c r="C325" s="27" t="s">
        <v>1706</v>
      </c>
      <c r="D325" s="28" t="s">
        <v>1707</v>
      </c>
      <c r="E325" s="27" t="s">
        <v>1708</v>
      </c>
      <c r="F325" s="27" t="s">
        <v>42</v>
      </c>
      <c r="G325" s="26" t="s">
        <v>1709</v>
      </c>
      <c r="H325" s="29" t="s">
        <v>1710</v>
      </c>
      <c r="I325" s="29" t="s">
        <v>1711</v>
      </c>
      <c r="J325" s="29" t="s">
        <v>1712</v>
      </c>
      <c r="K325" s="31" t="s">
        <v>3111</v>
      </c>
      <c r="L325" s="31" t="s">
        <v>3112</v>
      </c>
      <c r="M325" s="31" t="s">
        <v>3113</v>
      </c>
      <c r="N325" s="32"/>
      <c r="O325" s="311"/>
    </row>
  </sheetData>
  <mergeCells count="15">
    <mergeCell ref="O262:O280"/>
    <mergeCell ref="O282:O308"/>
    <mergeCell ref="O310:O325"/>
    <mergeCell ref="O3:O13"/>
    <mergeCell ref="O15:O28"/>
    <mergeCell ref="O30:O51"/>
    <mergeCell ref="O53:O72"/>
    <mergeCell ref="O74:O94"/>
    <mergeCell ref="O96:O116"/>
    <mergeCell ref="O118:O142"/>
    <mergeCell ref="O144:O165"/>
    <mergeCell ref="O167:O188"/>
    <mergeCell ref="O190:O211"/>
    <mergeCell ref="O213:O236"/>
    <mergeCell ref="O238:O260"/>
  </mergeCells>
  <dataValidations count="2">
    <dataValidation type="list" allowBlank="1" showErrorMessage="1" sqref="J2 J14 J29 J52 J73 J95" xr:uid="{00000000-0002-0000-0200-000000000000}">
      <formula1>"Đang thực hiện,Done"</formula1>
    </dataValidation>
    <dataValidation type="list" allowBlank="1" showErrorMessage="1" sqref="O2 O14 O29 O52 O73 O95 O117 O143 O166 O189 O212 O237 O261 O281 O309" xr:uid="{00000000-0002-0000-0200-000001000000}">
      <formula1>"Đang thực hiện,Sẵn sàng soát 1 ,Sửa 1,Sẵn sàng soát 2,Sửa 2,Done"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FF"/>
  </sheetPr>
  <dimension ref="A1:P21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640625" defaultRowHeight="15" customHeight="1"/>
  <cols>
    <col min="1" max="1" width="9.109375" customWidth="1"/>
    <col min="2" max="2" width="20.44140625" customWidth="1"/>
    <col min="3" max="3" width="12.33203125" customWidth="1"/>
    <col min="4" max="4" width="44.6640625" customWidth="1"/>
    <col min="5" max="5" width="13.44140625" customWidth="1"/>
    <col min="6" max="6" width="13.88671875" customWidth="1"/>
    <col min="7" max="7" width="52.44140625" customWidth="1"/>
    <col min="8" max="8" width="51.33203125" customWidth="1"/>
    <col min="9" max="9" width="44" customWidth="1"/>
    <col min="10" max="10" width="33.6640625" customWidth="1"/>
    <col min="11" max="11" width="21" customWidth="1"/>
    <col min="12" max="12" width="21.109375" customWidth="1"/>
    <col min="13" max="16" width="21.33203125" customWidth="1"/>
  </cols>
  <sheetData>
    <row r="1" spans="1:16" ht="14.25" customHeight="1">
      <c r="A1" s="34" t="s">
        <v>12</v>
      </c>
      <c r="B1" s="35" t="s">
        <v>13</v>
      </c>
      <c r="C1" s="35" t="s">
        <v>14</v>
      </c>
      <c r="D1" s="35" t="s">
        <v>3114</v>
      </c>
      <c r="E1" s="35" t="s">
        <v>16</v>
      </c>
      <c r="F1" s="35" t="s">
        <v>17</v>
      </c>
      <c r="G1" s="35" t="s">
        <v>18</v>
      </c>
      <c r="H1" s="36" t="s">
        <v>19</v>
      </c>
      <c r="I1" s="35" t="s">
        <v>20</v>
      </c>
      <c r="J1" s="37" t="s">
        <v>21</v>
      </c>
      <c r="K1" s="38" t="s">
        <v>22</v>
      </c>
      <c r="L1" s="38" t="s">
        <v>23</v>
      </c>
      <c r="M1" s="38" t="s">
        <v>24</v>
      </c>
      <c r="N1" s="38" t="s">
        <v>25</v>
      </c>
      <c r="O1" s="38" t="s">
        <v>26</v>
      </c>
      <c r="P1" s="39"/>
    </row>
    <row r="2" spans="1:16" ht="14.25" customHeight="1">
      <c r="A2" s="40">
        <v>1</v>
      </c>
      <c r="B2" s="41"/>
      <c r="C2" s="42" t="s">
        <v>3115</v>
      </c>
      <c r="D2" s="41" t="s">
        <v>3116</v>
      </c>
      <c r="E2" s="41" t="s">
        <v>3117</v>
      </c>
      <c r="F2" s="41" t="s">
        <v>219</v>
      </c>
      <c r="G2" s="41" t="s">
        <v>3118</v>
      </c>
      <c r="H2" s="43" t="s">
        <v>3119</v>
      </c>
      <c r="I2" s="42" t="s">
        <v>3120</v>
      </c>
      <c r="J2" s="44" t="s">
        <v>3121</v>
      </c>
      <c r="K2" s="41" t="s">
        <v>3122</v>
      </c>
      <c r="L2" s="41" t="s">
        <v>3123</v>
      </c>
      <c r="M2" s="41" t="s">
        <v>3124</v>
      </c>
      <c r="N2" s="41">
        <v>1</v>
      </c>
      <c r="O2" s="45" t="s">
        <v>38</v>
      </c>
      <c r="P2" s="46"/>
    </row>
    <row r="3" spans="1:16" ht="14.25" customHeight="1">
      <c r="A3" s="26">
        <v>2</v>
      </c>
      <c r="B3" s="47"/>
      <c r="C3" s="48" t="s">
        <v>2614</v>
      </c>
      <c r="D3" s="49" t="s">
        <v>2615</v>
      </c>
      <c r="E3" s="49" t="s">
        <v>2616</v>
      </c>
      <c r="F3" s="49" t="s">
        <v>501</v>
      </c>
      <c r="G3" s="49" t="s">
        <v>2617</v>
      </c>
      <c r="H3" s="50" t="s">
        <v>3125</v>
      </c>
      <c r="I3" s="48" t="s">
        <v>2619</v>
      </c>
      <c r="J3" s="51" t="s">
        <v>2620</v>
      </c>
      <c r="K3" s="47" t="s">
        <v>3126</v>
      </c>
      <c r="L3" s="47" t="s">
        <v>3127</v>
      </c>
      <c r="M3" s="47" t="s">
        <v>3128</v>
      </c>
      <c r="N3" s="47"/>
      <c r="O3" s="312" t="s">
        <v>3129</v>
      </c>
      <c r="P3" s="52"/>
    </row>
    <row r="4" spans="1:16" ht="14.25" customHeight="1">
      <c r="A4" s="26">
        <v>3</v>
      </c>
      <c r="B4" s="47"/>
      <c r="C4" s="48" t="s">
        <v>3130</v>
      </c>
      <c r="D4" s="49" t="s">
        <v>3131</v>
      </c>
      <c r="E4" s="49" t="s">
        <v>3132</v>
      </c>
      <c r="F4" s="49" t="s">
        <v>117</v>
      </c>
      <c r="G4" s="49" t="s">
        <v>3133</v>
      </c>
      <c r="H4" s="50" t="s">
        <v>3134</v>
      </c>
      <c r="I4" s="48" t="s">
        <v>3135</v>
      </c>
      <c r="J4" s="51" t="s">
        <v>3136</v>
      </c>
      <c r="K4" s="47" t="s">
        <v>3137</v>
      </c>
      <c r="L4" s="47" t="s">
        <v>3138</v>
      </c>
      <c r="M4" s="47" t="s">
        <v>3139</v>
      </c>
      <c r="N4" s="47"/>
      <c r="O4" s="310"/>
      <c r="P4" s="52"/>
    </row>
    <row r="5" spans="1:16" ht="14.25" customHeight="1">
      <c r="A5" s="26">
        <v>4</v>
      </c>
      <c r="B5" s="47"/>
      <c r="C5" s="48" t="s">
        <v>3082</v>
      </c>
      <c r="D5" s="49" t="s">
        <v>3083</v>
      </c>
      <c r="E5" s="49" t="s">
        <v>3084</v>
      </c>
      <c r="F5" s="49" t="s">
        <v>117</v>
      </c>
      <c r="G5" s="49" t="s">
        <v>3140</v>
      </c>
      <c r="H5" s="50" t="s">
        <v>3141</v>
      </c>
      <c r="I5" s="53" t="s">
        <v>3087</v>
      </c>
      <c r="J5" s="54" t="s">
        <v>3088</v>
      </c>
      <c r="K5" s="47" t="s">
        <v>3142</v>
      </c>
      <c r="L5" s="47" t="s">
        <v>3143</v>
      </c>
      <c r="M5" s="47" t="s">
        <v>3144</v>
      </c>
      <c r="N5" s="47"/>
      <c r="O5" s="310"/>
      <c r="P5" s="52"/>
    </row>
    <row r="6" spans="1:16" ht="14.25" customHeight="1">
      <c r="A6" s="26">
        <v>5</v>
      </c>
      <c r="B6" s="47"/>
      <c r="C6" s="48" t="s">
        <v>3145</v>
      </c>
      <c r="D6" s="49" t="s">
        <v>3146</v>
      </c>
      <c r="E6" s="49" t="s">
        <v>3147</v>
      </c>
      <c r="F6" s="49" t="s">
        <v>563</v>
      </c>
      <c r="G6" s="49" t="s">
        <v>3148</v>
      </c>
      <c r="H6" s="50" t="s">
        <v>3149</v>
      </c>
      <c r="I6" s="48" t="s">
        <v>3150</v>
      </c>
      <c r="J6" s="51" t="s">
        <v>3151</v>
      </c>
      <c r="K6" s="47" t="s">
        <v>3152</v>
      </c>
      <c r="L6" s="47" t="s">
        <v>3153</v>
      </c>
      <c r="M6" s="47" t="s">
        <v>3154</v>
      </c>
      <c r="N6" s="47"/>
      <c r="O6" s="310"/>
      <c r="P6" s="52"/>
    </row>
    <row r="7" spans="1:16" ht="14.25" customHeight="1">
      <c r="A7" s="26">
        <v>6</v>
      </c>
      <c r="B7" s="47"/>
      <c r="C7" s="48" t="s">
        <v>3155</v>
      </c>
      <c r="D7" s="49" t="s">
        <v>3156</v>
      </c>
      <c r="E7" s="49" t="s">
        <v>3157</v>
      </c>
      <c r="F7" s="49" t="s">
        <v>117</v>
      </c>
      <c r="G7" s="49" t="s">
        <v>3158</v>
      </c>
      <c r="H7" s="50" t="s">
        <v>3159</v>
      </c>
      <c r="I7" s="48" t="s">
        <v>3160</v>
      </c>
      <c r="J7" s="51" t="s">
        <v>3161</v>
      </c>
      <c r="K7" s="47" t="s">
        <v>3162</v>
      </c>
      <c r="L7" s="47" t="s">
        <v>3163</v>
      </c>
      <c r="M7" s="47" t="s">
        <v>3164</v>
      </c>
      <c r="N7" s="47"/>
      <c r="O7" s="310"/>
      <c r="P7" s="52"/>
    </row>
    <row r="8" spans="1:16" ht="14.25" customHeight="1">
      <c r="A8" s="26">
        <v>7</v>
      </c>
      <c r="B8" s="47"/>
      <c r="C8" s="48" t="s">
        <v>3165</v>
      </c>
      <c r="D8" s="49" t="s">
        <v>3166</v>
      </c>
      <c r="E8" s="49" t="s">
        <v>3167</v>
      </c>
      <c r="F8" s="49" t="s">
        <v>117</v>
      </c>
      <c r="G8" s="49" t="s">
        <v>3168</v>
      </c>
      <c r="H8" s="50" t="s">
        <v>3169</v>
      </c>
      <c r="I8" s="48" t="s">
        <v>3170</v>
      </c>
      <c r="J8" s="51" t="s">
        <v>3171</v>
      </c>
      <c r="K8" s="47" t="s">
        <v>3172</v>
      </c>
      <c r="L8" s="47" t="s">
        <v>3173</v>
      </c>
      <c r="M8" s="47" t="s">
        <v>3174</v>
      </c>
      <c r="N8" s="47"/>
      <c r="O8" s="310"/>
      <c r="P8" s="52"/>
    </row>
    <row r="9" spans="1:16" ht="14.25" customHeight="1">
      <c r="A9" s="26">
        <v>8</v>
      </c>
      <c r="B9" s="47"/>
      <c r="C9" s="48" t="s">
        <v>3175</v>
      </c>
      <c r="D9" s="49" t="s">
        <v>3176</v>
      </c>
      <c r="E9" s="49" t="s">
        <v>3177</v>
      </c>
      <c r="F9" s="49"/>
      <c r="G9" s="49" t="s">
        <v>240</v>
      </c>
      <c r="H9" s="50" t="s">
        <v>3178</v>
      </c>
      <c r="I9" s="48" t="s">
        <v>3179</v>
      </c>
      <c r="J9" s="51" t="s">
        <v>3180</v>
      </c>
      <c r="K9" s="47" t="s">
        <v>3181</v>
      </c>
      <c r="L9" s="47" t="s">
        <v>3182</v>
      </c>
      <c r="M9" s="47" t="s">
        <v>3183</v>
      </c>
      <c r="N9" s="47"/>
      <c r="O9" s="310"/>
      <c r="P9" s="52"/>
    </row>
    <row r="10" spans="1:16" ht="14.25" customHeight="1">
      <c r="A10" s="26">
        <v>9</v>
      </c>
      <c r="B10" s="47"/>
      <c r="C10" s="48" t="s">
        <v>3184</v>
      </c>
      <c r="D10" s="49" t="s">
        <v>3185</v>
      </c>
      <c r="E10" s="49" t="s">
        <v>3186</v>
      </c>
      <c r="F10" s="49" t="s">
        <v>219</v>
      </c>
      <c r="G10" s="49" t="s">
        <v>3187</v>
      </c>
      <c r="H10" s="50" t="s">
        <v>3188</v>
      </c>
      <c r="I10" s="48" t="s">
        <v>3189</v>
      </c>
      <c r="J10" s="51" t="s">
        <v>3190</v>
      </c>
      <c r="K10" s="47" t="s">
        <v>3191</v>
      </c>
      <c r="L10" s="47" t="s">
        <v>3192</v>
      </c>
      <c r="M10" s="47" t="s">
        <v>3193</v>
      </c>
      <c r="N10" s="47"/>
      <c r="O10" s="310"/>
      <c r="P10" s="52"/>
    </row>
    <row r="11" spans="1:16" ht="14.25" customHeight="1">
      <c r="A11" s="26">
        <v>10</v>
      </c>
      <c r="B11" s="47"/>
      <c r="C11" s="48" t="s">
        <v>1706</v>
      </c>
      <c r="D11" s="49" t="s">
        <v>1707</v>
      </c>
      <c r="E11" s="49" t="s">
        <v>1708</v>
      </c>
      <c r="F11" s="49" t="s">
        <v>42</v>
      </c>
      <c r="G11" s="49" t="s">
        <v>1709</v>
      </c>
      <c r="H11" s="50" t="s">
        <v>3194</v>
      </c>
      <c r="I11" s="48" t="s">
        <v>1711</v>
      </c>
      <c r="J11" s="51" t="s">
        <v>1712</v>
      </c>
      <c r="K11" s="47" t="s">
        <v>3195</v>
      </c>
      <c r="L11" s="47" t="s">
        <v>3196</v>
      </c>
      <c r="M11" s="47" t="s">
        <v>3197</v>
      </c>
      <c r="N11" s="47"/>
      <c r="O11" s="310"/>
      <c r="P11" s="52"/>
    </row>
    <row r="12" spans="1:16" ht="14.25" customHeight="1">
      <c r="A12" s="26">
        <v>11</v>
      </c>
      <c r="B12" s="47"/>
      <c r="C12" s="48" t="s">
        <v>3198</v>
      </c>
      <c r="D12" s="49" t="s">
        <v>3199</v>
      </c>
      <c r="E12" s="49" t="s">
        <v>3200</v>
      </c>
      <c r="F12" s="49" t="s">
        <v>117</v>
      </c>
      <c r="G12" s="49" t="s">
        <v>3201</v>
      </c>
      <c r="H12" s="50" t="s">
        <v>3202</v>
      </c>
      <c r="I12" s="48" t="s">
        <v>3203</v>
      </c>
      <c r="J12" s="51" t="s">
        <v>3204</v>
      </c>
      <c r="K12" s="47" t="s">
        <v>3205</v>
      </c>
      <c r="L12" s="47" t="s">
        <v>3206</v>
      </c>
      <c r="M12" s="47" t="s">
        <v>3207</v>
      </c>
      <c r="N12" s="47"/>
      <c r="O12" s="310"/>
      <c r="P12" s="52"/>
    </row>
    <row r="13" spans="1:16" ht="14.25" customHeight="1">
      <c r="A13" s="26">
        <v>12</v>
      </c>
      <c r="B13" s="47"/>
      <c r="C13" s="48" t="s">
        <v>3208</v>
      </c>
      <c r="D13" s="49" t="s">
        <v>3209</v>
      </c>
      <c r="E13" s="49" t="s">
        <v>3210</v>
      </c>
      <c r="F13" s="49" t="s">
        <v>219</v>
      </c>
      <c r="G13" s="49" t="s">
        <v>3211</v>
      </c>
      <c r="H13" s="50" t="s">
        <v>3212</v>
      </c>
      <c r="I13" s="48" t="s">
        <v>3213</v>
      </c>
      <c r="J13" s="51" t="s">
        <v>3214</v>
      </c>
      <c r="K13" s="47" t="s">
        <v>3215</v>
      </c>
      <c r="L13" s="47" t="s">
        <v>3216</v>
      </c>
      <c r="M13" s="47" t="s">
        <v>3217</v>
      </c>
      <c r="N13" s="47"/>
      <c r="O13" s="310"/>
      <c r="P13" s="52"/>
    </row>
    <row r="14" spans="1:16" ht="14.25" customHeight="1">
      <c r="A14" s="26">
        <v>13</v>
      </c>
      <c r="B14" s="47"/>
      <c r="C14" s="55" t="s">
        <v>3218</v>
      </c>
      <c r="D14" s="56" t="s">
        <v>3219</v>
      </c>
      <c r="E14" s="56" t="s">
        <v>3220</v>
      </c>
      <c r="F14" s="47" t="s">
        <v>117</v>
      </c>
      <c r="G14" s="47" t="s">
        <v>3221</v>
      </c>
      <c r="H14" s="50" t="s">
        <v>3222</v>
      </c>
      <c r="I14" s="55" t="s">
        <v>3223</v>
      </c>
      <c r="J14" s="51" t="s">
        <v>3224</v>
      </c>
      <c r="K14" s="47" t="s">
        <v>3225</v>
      </c>
      <c r="L14" s="47" t="s">
        <v>3226</v>
      </c>
      <c r="M14" s="47" t="s">
        <v>3227</v>
      </c>
      <c r="N14" s="47"/>
      <c r="O14" s="310"/>
      <c r="P14" s="52"/>
    </row>
    <row r="15" spans="1:16" ht="14.25" customHeight="1">
      <c r="A15" s="26">
        <v>14</v>
      </c>
      <c r="B15" s="47"/>
      <c r="C15" s="30" t="s">
        <v>3228</v>
      </c>
      <c r="D15" s="57" t="s">
        <v>3229</v>
      </c>
      <c r="E15" s="49" t="s">
        <v>3230</v>
      </c>
      <c r="F15" s="26" t="s">
        <v>65</v>
      </c>
      <c r="G15" s="26" t="s">
        <v>3231</v>
      </c>
      <c r="H15" s="50" t="s">
        <v>3232</v>
      </c>
      <c r="I15" s="30" t="s">
        <v>3233</v>
      </c>
      <c r="J15" s="51" t="s">
        <v>3234</v>
      </c>
      <c r="K15" s="47" t="s">
        <v>3235</v>
      </c>
      <c r="L15" s="47" t="s">
        <v>3236</v>
      </c>
      <c r="M15" s="47" t="s">
        <v>3237</v>
      </c>
      <c r="N15" s="47"/>
      <c r="O15" s="310"/>
      <c r="P15" s="52"/>
    </row>
    <row r="16" spans="1:16" ht="14.25" customHeight="1">
      <c r="A16" s="26">
        <v>15</v>
      </c>
      <c r="B16" s="47"/>
      <c r="C16" s="30" t="s">
        <v>3238</v>
      </c>
      <c r="D16" s="57" t="s">
        <v>3239</v>
      </c>
      <c r="E16" s="49" t="s">
        <v>3240</v>
      </c>
      <c r="F16" s="26" t="s">
        <v>3241</v>
      </c>
      <c r="G16" s="26" t="s">
        <v>3242</v>
      </c>
      <c r="H16" s="50" t="s">
        <v>3243</v>
      </c>
      <c r="I16" s="30" t="s">
        <v>3244</v>
      </c>
      <c r="J16" s="51" t="s">
        <v>3245</v>
      </c>
      <c r="K16" s="47" t="s">
        <v>3246</v>
      </c>
      <c r="L16" s="47" t="s">
        <v>3247</v>
      </c>
      <c r="M16" s="47" t="s">
        <v>3248</v>
      </c>
      <c r="N16" s="47"/>
      <c r="O16" s="311"/>
      <c r="P16" s="52"/>
    </row>
    <row r="17" spans="1:16" ht="14.25" customHeight="1">
      <c r="A17" s="40">
        <v>1</v>
      </c>
      <c r="B17" s="41"/>
      <c r="C17" s="58" t="s">
        <v>3249</v>
      </c>
      <c r="D17" s="45" t="s">
        <v>3250</v>
      </c>
      <c r="E17" s="41" t="s">
        <v>3251</v>
      </c>
      <c r="F17" s="40" t="s">
        <v>65</v>
      </c>
      <c r="G17" s="40" t="s">
        <v>3252</v>
      </c>
      <c r="H17" s="43" t="s">
        <v>3253</v>
      </c>
      <c r="I17" s="58" t="s">
        <v>3254</v>
      </c>
      <c r="J17" s="44" t="s">
        <v>3255</v>
      </c>
      <c r="K17" s="41" t="s">
        <v>3256</v>
      </c>
      <c r="L17" s="41" t="s">
        <v>3257</v>
      </c>
      <c r="M17" s="41" t="s">
        <v>3258</v>
      </c>
      <c r="N17" s="41">
        <v>2</v>
      </c>
      <c r="O17" s="45" t="s">
        <v>38</v>
      </c>
      <c r="P17" s="46"/>
    </row>
    <row r="18" spans="1:16" ht="14.25" customHeight="1">
      <c r="A18" s="26">
        <v>2</v>
      </c>
      <c r="B18" s="47"/>
      <c r="C18" s="30" t="s">
        <v>3259</v>
      </c>
      <c r="D18" s="57" t="s">
        <v>3260</v>
      </c>
      <c r="E18" s="49" t="s">
        <v>3261</v>
      </c>
      <c r="F18" s="26" t="s">
        <v>42</v>
      </c>
      <c r="G18" s="26" t="s">
        <v>3262</v>
      </c>
      <c r="H18" s="50" t="s">
        <v>3263</v>
      </c>
      <c r="I18" s="30" t="s">
        <v>3264</v>
      </c>
      <c r="J18" s="51" t="s">
        <v>3265</v>
      </c>
      <c r="K18" s="47" t="s">
        <v>3266</v>
      </c>
      <c r="L18" s="47" t="s">
        <v>3267</v>
      </c>
      <c r="M18" s="47" t="s">
        <v>3268</v>
      </c>
      <c r="N18" s="47"/>
      <c r="O18" s="312" t="s">
        <v>3269</v>
      </c>
      <c r="P18" s="52"/>
    </row>
    <row r="19" spans="1:16" ht="14.25" customHeight="1">
      <c r="A19" s="26">
        <v>3</v>
      </c>
      <c r="B19" s="47"/>
      <c r="C19" s="30" t="s">
        <v>3270</v>
      </c>
      <c r="D19" s="57" t="s">
        <v>3271</v>
      </c>
      <c r="E19" s="49" t="s">
        <v>3272</v>
      </c>
      <c r="F19" s="26" t="s">
        <v>65</v>
      </c>
      <c r="G19" s="26" t="s">
        <v>3273</v>
      </c>
      <c r="H19" s="50" t="s">
        <v>3274</v>
      </c>
      <c r="I19" s="30" t="s">
        <v>3275</v>
      </c>
      <c r="J19" s="51" t="s">
        <v>3276</v>
      </c>
      <c r="K19" s="47" t="s">
        <v>3277</v>
      </c>
      <c r="L19" s="47" t="s">
        <v>3278</v>
      </c>
      <c r="M19" s="47" t="s">
        <v>3279</v>
      </c>
      <c r="N19" s="47"/>
      <c r="O19" s="310"/>
      <c r="P19" s="52"/>
    </row>
    <row r="20" spans="1:16" ht="14.25" customHeight="1">
      <c r="A20" s="26">
        <v>4</v>
      </c>
      <c r="B20" s="47"/>
      <c r="C20" s="30" t="s">
        <v>3280</v>
      </c>
      <c r="D20" s="56" t="s">
        <v>3281</v>
      </c>
      <c r="E20" s="47" t="s">
        <v>3282</v>
      </c>
      <c r="F20" s="26" t="s">
        <v>54</v>
      </c>
      <c r="G20" s="26" t="s">
        <v>3283</v>
      </c>
      <c r="H20" s="50" t="s">
        <v>3284</v>
      </c>
      <c r="I20" s="30" t="s">
        <v>3285</v>
      </c>
      <c r="J20" s="59" t="s">
        <v>3286</v>
      </c>
      <c r="K20" s="47" t="s">
        <v>3287</v>
      </c>
      <c r="L20" s="47" t="s">
        <v>3288</v>
      </c>
      <c r="M20" s="47" t="s">
        <v>3289</v>
      </c>
      <c r="N20" s="47"/>
      <c r="O20" s="310"/>
      <c r="P20" s="52"/>
    </row>
    <row r="21" spans="1:16" ht="14.25" customHeight="1">
      <c r="A21" s="26">
        <v>5</v>
      </c>
      <c r="B21" s="47"/>
      <c r="C21" s="30" t="s">
        <v>3290</v>
      </c>
      <c r="D21" s="57" t="s">
        <v>3291</v>
      </c>
      <c r="E21" s="49" t="s">
        <v>3292</v>
      </c>
      <c r="F21" s="26" t="s">
        <v>117</v>
      </c>
      <c r="G21" s="26" t="s">
        <v>3293</v>
      </c>
      <c r="H21" s="50" t="s">
        <v>3294</v>
      </c>
      <c r="I21" s="30" t="s">
        <v>3295</v>
      </c>
      <c r="J21" s="60" t="s">
        <v>3296</v>
      </c>
      <c r="K21" s="47" t="s">
        <v>3297</v>
      </c>
      <c r="L21" s="47" t="s">
        <v>3298</v>
      </c>
      <c r="M21" s="47" t="s">
        <v>3299</v>
      </c>
      <c r="N21" s="47"/>
      <c r="O21" s="310"/>
      <c r="P21" s="52"/>
    </row>
    <row r="22" spans="1:16" ht="14.25" customHeight="1">
      <c r="A22" s="26">
        <v>6</v>
      </c>
      <c r="B22" s="47"/>
      <c r="C22" s="30" t="s">
        <v>3300</v>
      </c>
      <c r="D22" s="57" t="s">
        <v>3301</v>
      </c>
      <c r="E22" s="49" t="s">
        <v>3302</v>
      </c>
      <c r="F22" s="26" t="s">
        <v>664</v>
      </c>
      <c r="G22" s="26" t="s">
        <v>3303</v>
      </c>
      <c r="H22" s="50" t="s">
        <v>3304</v>
      </c>
      <c r="I22" s="30" t="s">
        <v>3305</v>
      </c>
      <c r="J22" s="51" t="s">
        <v>3306</v>
      </c>
      <c r="K22" s="47" t="s">
        <v>3307</v>
      </c>
      <c r="L22" s="47" t="s">
        <v>3308</v>
      </c>
      <c r="M22" s="47" t="s">
        <v>3309</v>
      </c>
      <c r="N22" s="47"/>
      <c r="O22" s="310"/>
      <c r="P22" s="52"/>
    </row>
    <row r="23" spans="1:16" ht="14.25" customHeight="1">
      <c r="A23" s="26">
        <v>7</v>
      </c>
      <c r="B23" s="47"/>
      <c r="C23" s="30" t="s">
        <v>3310</v>
      </c>
      <c r="D23" s="57" t="s">
        <v>3311</v>
      </c>
      <c r="E23" s="49" t="s">
        <v>3312</v>
      </c>
      <c r="F23" s="26" t="s">
        <v>3241</v>
      </c>
      <c r="G23" s="26" t="s">
        <v>3313</v>
      </c>
      <c r="H23" s="50" t="s">
        <v>3314</v>
      </c>
      <c r="I23" s="30" t="s">
        <v>3315</v>
      </c>
      <c r="J23" s="51" t="s">
        <v>3316</v>
      </c>
      <c r="K23" s="47" t="s">
        <v>3317</v>
      </c>
      <c r="L23" s="47" t="s">
        <v>3318</v>
      </c>
      <c r="M23" s="47" t="s">
        <v>3319</v>
      </c>
      <c r="N23" s="47"/>
      <c r="O23" s="310"/>
      <c r="P23" s="52"/>
    </row>
    <row r="24" spans="1:16" ht="14.25" customHeight="1">
      <c r="A24" s="26">
        <v>8</v>
      </c>
      <c r="B24" s="47"/>
      <c r="C24" s="30" t="s">
        <v>3320</v>
      </c>
      <c r="D24" s="57" t="s">
        <v>3321</v>
      </c>
      <c r="E24" s="49" t="s">
        <v>3322</v>
      </c>
      <c r="F24" s="26" t="s">
        <v>439</v>
      </c>
      <c r="G24" s="26" t="s">
        <v>3323</v>
      </c>
      <c r="H24" s="50" t="s">
        <v>3324</v>
      </c>
      <c r="I24" s="30" t="s">
        <v>3325</v>
      </c>
      <c r="J24" s="51" t="s">
        <v>3326</v>
      </c>
      <c r="K24" s="47" t="s">
        <v>3327</v>
      </c>
      <c r="L24" s="47" t="s">
        <v>3328</v>
      </c>
      <c r="M24" s="47" t="s">
        <v>3329</v>
      </c>
      <c r="N24" s="47"/>
      <c r="O24" s="310"/>
      <c r="P24" s="52"/>
    </row>
    <row r="25" spans="1:16" ht="14.25" customHeight="1">
      <c r="A25" s="26">
        <v>9</v>
      </c>
      <c r="B25" s="47"/>
      <c r="C25" s="30" t="s">
        <v>3330</v>
      </c>
      <c r="D25" s="57" t="s">
        <v>3331</v>
      </c>
      <c r="E25" s="61" t="s">
        <v>3332</v>
      </c>
      <c r="F25" s="26" t="s">
        <v>885</v>
      </c>
      <c r="G25" s="26" t="s">
        <v>3333</v>
      </c>
      <c r="H25" s="50" t="s">
        <v>3334</v>
      </c>
      <c r="I25" s="30" t="s">
        <v>3335</v>
      </c>
      <c r="J25" s="51" t="s">
        <v>3336</v>
      </c>
      <c r="K25" s="47" t="s">
        <v>3337</v>
      </c>
      <c r="L25" s="47" t="s">
        <v>3338</v>
      </c>
      <c r="M25" s="47" t="s">
        <v>3339</v>
      </c>
      <c r="N25" s="47"/>
      <c r="O25" s="310"/>
      <c r="P25" s="52"/>
    </row>
    <row r="26" spans="1:16" ht="14.25" customHeight="1">
      <c r="A26" s="26">
        <v>10</v>
      </c>
      <c r="B26" s="47"/>
      <c r="C26" s="30" t="s">
        <v>3340</v>
      </c>
      <c r="D26" s="57" t="s">
        <v>3341</v>
      </c>
      <c r="E26" s="49" t="s">
        <v>3342</v>
      </c>
      <c r="F26" s="26" t="s">
        <v>3343</v>
      </c>
      <c r="G26" s="26" t="s">
        <v>3344</v>
      </c>
      <c r="H26" s="50" t="s">
        <v>3345</v>
      </c>
      <c r="I26" s="30" t="s">
        <v>3346</v>
      </c>
      <c r="J26" s="51" t="s">
        <v>3347</v>
      </c>
      <c r="K26" s="47" t="s">
        <v>3348</v>
      </c>
      <c r="L26" s="47" t="s">
        <v>3349</v>
      </c>
      <c r="M26" s="47" t="s">
        <v>3350</v>
      </c>
      <c r="N26" s="47"/>
      <c r="O26" s="310"/>
      <c r="P26" s="52"/>
    </row>
    <row r="27" spans="1:16" ht="14.25" customHeight="1">
      <c r="A27" s="26">
        <v>11</v>
      </c>
      <c r="B27" s="47"/>
      <c r="C27" s="30" t="s">
        <v>3351</v>
      </c>
      <c r="D27" s="57" t="s">
        <v>3352</v>
      </c>
      <c r="E27" s="49" t="s">
        <v>3353</v>
      </c>
      <c r="F27" s="26" t="s">
        <v>65</v>
      </c>
      <c r="G27" s="26" t="s">
        <v>3354</v>
      </c>
      <c r="H27" s="50" t="s">
        <v>3355</v>
      </c>
      <c r="I27" s="30" t="s">
        <v>3356</v>
      </c>
      <c r="J27" s="51" t="s">
        <v>3357</v>
      </c>
      <c r="K27" s="47" t="s">
        <v>3358</v>
      </c>
      <c r="L27" s="47" t="s">
        <v>3359</v>
      </c>
      <c r="M27" s="47" t="s">
        <v>3360</v>
      </c>
      <c r="N27" s="47"/>
      <c r="O27" s="310"/>
      <c r="P27" s="52"/>
    </row>
    <row r="28" spans="1:16" ht="14.25" customHeight="1">
      <c r="A28" s="26">
        <v>12</v>
      </c>
      <c r="B28" s="47"/>
      <c r="C28" s="30" t="s">
        <v>3361</v>
      </c>
      <c r="D28" s="57" t="s">
        <v>3362</v>
      </c>
      <c r="E28" s="49" t="s">
        <v>3363</v>
      </c>
      <c r="F28" s="26" t="s">
        <v>65</v>
      </c>
      <c r="G28" s="26" t="s">
        <v>3364</v>
      </c>
      <c r="H28" s="50" t="s">
        <v>3365</v>
      </c>
      <c r="I28" s="30" t="s">
        <v>3366</v>
      </c>
      <c r="J28" s="51" t="s">
        <v>3367</v>
      </c>
      <c r="K28" s="47" t="s">
        <v>3368</v>
      </c>
      <c r="L28" s="47" t="s">
        <v>3369</v>
      </c>
      <c r="M28" s="47" t="s">
        <v>3370</v>
      </c>
      <c r="N28" s="47"/>
      <c r="O28" s="310"/>
      <c r="P28" s="52"/>
    </row>
    <row r="29" spans="1:16" ht="14.25" customHeight="1">
      <c r="A29" s="26">
        <v>13</v>
      </c>
      <c r="B29" s="47"/>
      <c r="C29" s="30" t="s">
        <v>3371</v>
      </c>
      <c r="D29" s="57" t="s">
        <v>3372</v>
      </c>
      <c r="E29" s="49" t="s">
        <v>1252</v>
      </c>
      <c r="F29" s="26" t="s">
        <v>563</v>
      </c>
      <c r="G29" s="26" t="s">
        <v>3373</v>
      </c>
      <c r="H29" s="50" t="s">
        <v>3374</v>
      </c>
      <c r="I29" s="30" t="s">
        <v>3375</v>
      </c>
      <c r="J29" s="51" t="s">
        <v>3376</v>
      </c>
      <c r="K29" s="47" t="s">
        <v>3377</v>
      </c>
      <c r="L29" s="47" t="s">
        <v>3378</v>
      </c>
      <c r="M29" s="47" t="s">
        <v>3379</v>
      </c>
      <c r="N29" s="47"/>
      <c r="O29" s="310"/>
      <c r="P29" s="52"/>
    </row>
    <row r="30" spans="1:16" ht="14.25" customHeight="1">
      <c r="A30" s="26">
        <v>14</v>
      </c>
      <c r="B30" s="47"/>
      <c r="C30" s="55" t="s">
        <v>3380</v>
      </c>
      <c r="D30" s="56" t="s">
        <v>3381</v>
      </c>
      <c r="E30" s="47" t="s">
        <v>3382</v>
      </c>
      <c r="F30" s="47" t="s">
        <v>65</v>
      </c>
      <c r="G30" s="47" t="s">
        <v>3383</v>
      </c>
      <c r="H30" s="50" t="s">
        <v>3384</v>
      </c>
      <c r="I30" s="55" t="s">
        <v>3385</v>
      </c>
      <c r="J30" s="51" t="s">
        <v>3386</v>
      </c>
      <c r="K30" s="47" t="s">
        <v>3387</v>
      </c>
      <c r="L30" s="47" t="s">
        <v>3388</v>
      </c>
      <c r="M30" s="47" t="s">
        <v>3389</v>
      </c>
      <c r="N30" s="47"/>
      <c r="O30" s="310"/>
      <c r="P30" s="52"/>
    </row>
    <row r="31" spans="1:16" ht="14.25" customHeight="1">
      <c r="A31" s="26">
        <v>15</v>
      </c>
      <c r="B31" s="47"/>
      <c r="C31" s="30" t="s">
        <v>3390</v>
      </c>
      <c r="D31" s="56" t="s">
        <v>3391</v>
      </c>
      <c r="E31" s="47" t="s">
        <v>3392</v>
      </c>
      <c r="F31" s="26" t="s">
        <v>65</v>
      </c>
      <c r="G31" s="26" t="s">
        <v>3393</v>
      </c>
      <c r="H31" s="50" t="s">
        <v>3394</v>
      </c>
      <c r="I31" s="30" t="s">
        <v>3395</v>
      </c>
      <c r="J31" s="51" t="s">
        <v>3396</v>
      </c>
      <c r="K31" s="47" t="s">
        <v>3397</v>
      </c>
      <c r="L31" s="47" t="s">
        <v>3398</v>
      </c>
      <c r="M31" s="47" t="s">
        <v>3399</v>
      </c>
      <c r="N31" s="47"/>
      <c r="O31" s="310"/>
      <c r="P31" s="52"/>
    </row>
    <row r="32" spans="1:16" ht="14.25" customHeight="1">
      <c r="A32" s="26">
        <v>16</v>
      </c>
      <c r="B32" s="47"/>
      <c r="C32" s="30" t="s">
        <v>3400</v>
      </c>
      <c r="D32" s="56" t="s">
        <v>3401</v>
      </c>
      <c r="E32" s="47" t="s">
        <v>3402</v>
      </c>
      <c r="F32" s="26" t="s">
        <v>219</v>
      </c>
      <c r="G32" s="26" t="s">
        <v>2795</v>
      </c>
      <c r="H32" s="50" t="s">
        <v>3403</v>
      </c>
      <c r="I32" s="30" t="s">
        <v>3404</v>
      </c>
      <c r="J32" s="51" t="s">
        <v>3405</v>
      </c>
      <c r="K32" s="47" t="s">
        <v>3406</v>
      </c>
      <c r="L32" s="47" t="s">
        <v>3407</v>
      </c>
      <c r="M32" s="47" t="s">
        <v>3408</v>
      </c>
      <c r="N32" s="47"/>
      <c r="O32" s="310"/>
      <c r="P32" s="52"/>
    </row>
    <row r="33" spans="1:16" ht="14.25" customHeight="1">
      <c r="A33" s="26">
        <v>17</v>
      </c>
      <c r="B33" s="47"/>
      <c r="C33" s="30" t="s">
        <v>3409</v>
      </c>
      <c r="D33" s="56" t="s">
        <v>3410</v>
      </c>
      <c r="E33" s="47" t="s">
        <v>3411</v>
      </c>
      <c r="F33" s="26" t="s">
        <v>117</v>
      </c>
      <c r="G33" s="26" t="s">
        <v>3412</v>
      </c>
      <c r="H33" s="50" t="s">
        <v>3413</v>
      </c>
      <c r="I33" s="30" t="s">
        <v>3414</v>
      </c>
      <c r="J33" s="51" t="s">
        <v>3415</v>
      </c>
      <c r="K33" s="47" t="s">
        <v>3416</v>
      </c>
      <c r="L33" s="47" t="s">
        <v>3417</v>
      </c>
      <c r="M33" s="47" t="s">
        <v>3418</v>
      </c>
      <c r="N33" s="47"/>
      <c r="O33" s="311"/>
      <c r="P33" s="52"/>
    </row>
    <row r="34" spans="1:16" ht="14.25" customHeight="1">
      <c r="A34" s="40">
        <v>1</v>
      </c>
      <c r="B34" s="41"/>
      <c r="C34" s="58" t="s">
        <v>3419</v>
      </c>
      <c r="D34" s="45" t="s">
        <v>3420</v>
      </c>
      <c r="E34" s="41" t="s">
        <v>3421</v>
      </c>
      <c r="F34" s="40" t="s">
        <v>117</v>
      </c>
      <c r="G34" s="40" t="s">
        <v>3422</v>
      </c>
      <c r="H34" s="43" t="s">
        <v>3423</v>
      </c>
      <c r="I34" s="58" t="s">
        <v>3424</v>
      </c>
      <c r="J34" s="44" t="s">
        <v>3425</v>
      </c>
      <c r="K34" s="41" t="s">
        <v>3426</v>
      </c>
      <c r="L34" s="41" t="s">
        <v>3427</v>
      </c>
      <c r="M34" s="41" t="s">
        <v>3428</v>
      </c>
      <c r="N34" s="41">
        <v>3</v>
      </c>
      <c r="O34" s="45" t="s">
        <v>38</v>
      </c>
      <c r="P34" s="46"/>
    </row>
    <row r="35" spans="1:16" ht="14.25" customHeight="1">
      <c r="A35" s="26">
        <v>2</v>
      </c>
      <c r="B35" s="47"/>
      <c r="C35" s="30" t="s">
        <v>3429</v>
      </c>
      <c r="D35" s="56" t="s">
        <v>3430</v>
      </c>
      <c r="E35" s="47" t="s">
        <v>3431</v>
      </c>
      <c r="F35" s="26" t="s">
        <v>42</v>
      </c>
      <c r="G35" s="26" t="s">
        <v>3432</v>
      </c>
      <c r="H35" s="50" t="s">
        <v>3433</v>
      </c>
      <c r="I35" s="30" t="s">
        <v>3434</v>
      </c>
      <c r="J35" s="51" t="s">
        <v>3435</v>
      </c>
      <c r="K35" s="47" t="s">
        <v>3436</v>
      </c>
      <c r="L35" s="47" t="s">
        <v>3437</v>
      </c>
      <c r="M35" s="47" t="s">
        <v>3438</v>
      </c>
      <c r="N35" s="47"/>
      <c r="O35" s="312" t="s">
        <v>3439</v>
      </c>
      <c r="P35" s="52"/>
    </row>
    <row r="36" spans="1:16" ht="14.25" customHeight="1">
      <c r="A36" s="26">
        <v>3</v>
      </c>
      <c r="B36" s="47"/>
      <c r="C36" s="30" t="s">
        <v>3440</v>
      </c>
      <c r="D36" s="56" t="s">
        <v>3441</v>
      </c>
      <c r="E36" s="47" t="s">
        <v>1825</v>
      </c>
      <c r="F36" s="26" t="s">
        <v>117</v>
      </c>
      <c r="G36" s="26" t="s">
        <v>3442</v>
      </c>
      <c r="H36" s="50" t="s">
        <v>3443</v>
      </c>
      <c r="I36" s="30" t="s">
        <v>3444</v>
      </c>
      <c r="J36" s="51" t="s">
        <v>3445</v>
      </c>
      <c r="K36" s="47" t="s">
        <v>3446</v>
      </c>
      <c r="L36" s="47" t="s">
        <v>3447</v>
      </c>
      <c r="M36" s="47" t="s">
        <v>3448</v>
      </c>
      <c r="N36" s="47"/>
      <c r="O36" s="310"/>
      <c r="P36" s="52"/>
    </row>
    <row r="37" spans="1:16" ht="14.25" customHeight="1">
      <c r="A37" s="26">
        <v>4</v>
      </c>
      <c r="B37" s="47"/>
      <c r="C37" s="30" t="s">
        <v>3449</v>
      </c>
      <c r="D37" s="56" t="s">
        <v>3450</v>
      </c>
      <c r="E37" s="47" t="s">
        <v>3451</v>
      </c>
      <c r="F37" s="26" t="s">
        <v>219</v>
      </c>
      <c r="G37" s="26" t="s">
        <v>3452</v>
      </c>
      <c r="H37" s="50" t="s">
        <v>3453</v>
      </c>
      <c r="I37" s="30" t="s">
        <v>3454</v>
      </c>
      <c r="J37" s="51" t="s">
        <v>3455</v>
      </c>
      <c r="K37" s="47" t="s">
        <v>3456</v>
      </c>
      <c r="L37" s="47" t="s">
        <v>3457</v>
      </c>
      <c r="M37" s="47" t="s">
        <v>3458</v>
      </c>
      <c r="N37" s="47"/>
      <c r="O37" s="310"/>
      <c r="P37" s="52"/>
    </row>
    <row r="38" spans="1:16" ht="14.25" customHeight="1">
      <c r="A38" s="26">
        <v>5</v>
      </c>
      <c r="B38" s="47"/>
      <c r="C38" s="30" t="s">
        <v>3459</v>
      </c>
      <c r="D38" s="56" t="s">
        <v>3460</v>
      </c>
      <c r="E38" s="47" t="s">
        <v>3461</v>
      </c>
      <c r="F38" s="26" t="s">
        <v>117</v>
      </c>
      <c r="G38" s="26" t="s">
        <v>3462</v>
      </c>
      <c r="H38" s="50" t="s">
        <v>3463</v>
      </c>
      <c r="I38" s="30" t="s">
        <v>3464</v>
      </c>
      <c r="J38" s="51" t="s">
        <v>3465</v>
      </c>
      <c r="K38" s="47" t="s">
        <v>3466</v>
      </c>
      <c r="L38" s="47" t="s">
        <v>3467</v>
      </c>
      <c r="M38" s="47" t="s">
        <v>3468</v>
      </c>
      <c r="N38" s="47"/>
      <c r="O38" s="310"/>
      <c r="P38" s="52"/>
    </row>
    <row r="39" spans="1:16" ht="14.25" customHeight="1">
      <c r="A39" s="26">
        <v>6</v>
      </c>
      <c r="B39" s="47"/>
      <c r="C39" s="30" t="s">
        <v>3469</v>
      </c>
      <c r="D39" s="56" t="s">
        <v>3470</v>
      </c>
      <c r="E39" s="47" t="s">
        <v>3471</v>
      </c>
      <c r="F39" s="26" t="s">
        <v>117</v>
      </c>
      <c r="G39" s="26" t="s">
        <v>3472</v>
      </c>
      <c r="H39" s="50" t="s">
        <v>3473</v>
      </c>
      <c r="I39" s="30" t="s">
        <v>3474</v>
      </c>
      <c r="J39" s="51" t="s">
        <v>3475</v>
      </c>
      <c r="K39" s="47" t="s">
        <v>3476</v>
      </c>
      <c r="L39" s="47" t="s">
        <v>3477</v>
      </c>
      <c r="M39" s="47" t="s">
        <v>3478</v>
      </c>
      <c r="N39" s="47"/>
      <c r="O39" s="310"/>
      <c r="P39" s="52"/>
    </row>
    <row r="40" spans="1:16" ht="14.25" customHeight="1">
      <c r="A40" s="26">
        <v>7</v>
      </c>
      <c r="B40" s="47"/>
      <c r="C40" s="30" t="s">
        <v>3479</v>
      </c>
      <c r="D40" s="56" t="s">
        <v>3480</v>
      </c>
      <c r="E40" s="47" t="s">
        <v>3481</v>
      </c>
      <c r="F40" s="26" t="s">
        <v>117</v>
      </c>
      <c r="G40" s="26" t="s">
        <v>3482</v>
      </c>
      <c r="H40" s="50" t="s">
        <v>3483</v>
      </c>
      <c r="I40" s="30" t="s">
        <v>3484</v>
      </c>
      <c r="J40" s="51" t="s">
        <v>3485</v>
      </c>
      <c r="K40" s="47" t="s">
        <v>3486</v>
      </c>
      <c r="L40" s="47" t="s">
        <v>3487</v>
      </c>
      <c r="M40" s="47" t="s">
        <v>3488</v>
      </c>
      <c r="N40" s="47"/>
      <c r="O40" s="310"/>
      <c r="P40" s="52"/>
    </row>
    <row r="41" spans="1:16" ht="14.25" customHeight="1">
      <c r="A41" s="26">
        <v>8</v>
      </c>
      <c r="B41" s="47"/>
      <c r="C41" s="30" t="s">
        <v>3489</v>
      </c>
      <c r="D41" s="56" t="s">
        <v>3490</v>
      </c>
      <c r="E41" s="47" t="s">
        <v>3491</v>
      </c>
      <c r="F41" s="26" t="s">
        <v>117</v>
      </c>
      <c r="G41" s="26" t="s">
        <v>3492</v>
      </c>
      <c r="H41" s="50" t="s">
        <v>3493</v>
      </c>
      <c r="I41" s="30" t="s">
        <v>3494</v>
      </c>
      <c r="J41" s="51" t="s">
        <v>3495</v>
      </c>
      <c r="K41" s="47" t="s">
        <v>3496</v>
      </c>
      <c r="L41" s="47" t="s">
        <v>3497</v>
      </c>
      <c r="M41" s="47" t="s">
        <v>3498</v>
      </c>
      <c r="N41" s="47"/>
      <c r="O41" s="310"/>
      <c r="P41" s="52"/>
    </row>
    <row r="42" spans="1:16" ht="14.25" customHeight="1">
      <c r="A42" s="26">
        <v>9</v>
      </c>
      <c r="B42" s="47"/>
      <c r="C42" s="30" t="s">
        <v>3499</v>
      </c>
      <c r="D42" s="56" t="s">
        <v>3500</v>
      </c>
      <c r="E42" s="47" t="s">
        <v>3501</v>
      </c>
      <c r="F42" s="26" t="s">
        <v>65</v>
      </c>
      <c r="G42" s="26" t="s">
        <v>3502</v>
      </c>
      <c r="H42" s="50" t="s">
        <v>3503</v>
      </c>
      <c r="I42" s="30" t="s">
        <v>3504</v>
      </c>
      <c r="J42" s="51" t="s">
        <v>3505</v>
      </c>
      <c r="K42" s="47" t="s">
        <v>3506</v>
      </c>
      <c r="L42" s="47" t="s">
        <v>3507</v>
      </c>
      <c r="M42" s="47" t="s">
        <v>3508</v>
      </c>
      <c r="N42" s="47"/>
      <c r="O42" s="310"/>
      <c r="P42" s="52"/>
    </row>
    <row r="43" spans="1:16" ht="14.25" customHeight="1">
      <c r="A43" s="26">
        <v>10</v>
      </c>
      <c r="B43" s="47"/>
      <c r="C43" s="30" t="s">
        <v>3509</v>
      </c>
      <c r="D43" s="56" t="s">
        <v>3510</v>
      </c>
      <c r="E43" s="47" t="s">
        <v>3511</v>
      </c>
      <c r="F43" s="26"/>
      <c r="G43" s="26" t="s">
        <v>3512</v>
      </c>
      <c r="H43" s="50" t="s">
        <v>3513</v>
      </c>
      <c r="I43" s="30" t="s">
        <v>3514</v>
      </c>
      <c r="J43" s="51" t="s">
        <v>3515</v>
      </c>
      <c r="K43" s="47" t="s">
        <v>3516</v>
      </c>
      <c r="L43" s="47" t="s">
        <v>3517</v>
      </c>
      <c r="M43" s="47" t="s">
        <v>3518</v>
      </c>
      <c r="N43" s="47"/>
      <c r="O43" s="310"/>
      <c r="P43" s="52"/>
    </row>
    <row r="44" spans="1:16" ht="14.25" customHeight="1">
      <c r="A44" s="26">
        <v>11</v>
      </c>
      <c r="B44" s="47"/>
      <c r="C44" s="30" t="s">
        <v>3519</v>
      </c>
      <c r="D44" s="56" t="s">
        <v>3520</v>
      </c>
      <c r="E44" s="47" t="s">
        <v>3521</v>
      </c>
      <c r="F44" s="26" t="s">
        <v>54</v>
      </c>
      <c r="G44" s="26" t="s">
        <v>3522</v>
      </c>
      <c r="H44" s="50" t="s">
        <v>3523</v>
      </c>
      <c r="I44" s="30" t="s">
        <v>3524</v>
      </c>
      <c r="J44" s="51" t="s">
        <v>3525</v>
      </c>
      <c r="K44" s="47" t="s">
        <v>3526</v>
      </c>
      <c r="L44" s="47" t="s">
        <v>3527</v>
      </c>
      <c r="M44" s="47" t="s">
        <v>3528</v>
      </c>
      <c r="N44" s="47"/>
      <c r="O44" s="310"/>
      <c r="P44" s="52"/>
    </row>
    <row r="45" spans="1:16" ht="14.25" customHeight="1">
      <c r="A45" s="26">
        <v>12</v>
      </c>
      <c r="B45" s="47"/>
      <c r="C45" s="30" t="s">
        <v>3529</v>
      </c>
      <c r="D45" s="56" t="s">
        <v>3530</v>
      </c>
      <c r="E45" s="47" t="s">
        <v>3531</v>
      </c>
      <c r="F45" s="26" t="s">
        <v>117</v>
      </c>
      <c r="G45" s="26" t="s">
        <v>3532</v>
      </c>
      <c r="H45" s="50" t="s">
        <v>3533</v>
      </c>
      <c r="I45" s="30" t="s">
        <v>3534</v>
      </c>
      <c r="J45" s="51" t="s">
        <v>3535</v>
      </c>
      <c r="K45" s="47" t="s">
        <v>3536</v>
      </c>
      <c r="L45" s="47" t="s">
        <v>3537</v>
      </c>
      <c r="M45" s="47" t="s">
        <v>3538</v>
      </c>
      <c r="N45" s="47"/>
      <c r="O45" s="310"/>
      <c r="P45" s="52"/>
    </row>
    <row r="46" spans="1:16" ht="14.25" customHeight="1">
      <c r="A46" s="26">
        <v>13</v>
      </c>
      <c r="B46" s="47"/>
      <c r="C46" s="55" t="s">
        <v>3539</v>
      </c>
      <c r="D46" s="56" t="s">
        <v>3540</v>
      </c>
      <c r="E46" s="47" t="s">
        <v>3541</v>
      </c>
      <c r="F46" s="26" t="s">
        <v>117</v>
      </c>
      <c r="G46" s="47" t="s">
        <v>3542</v>
      </c>
      <c r="H46" s="50" t="s">
        <v>3543</v>
      </c>
      <c r="I46" s="55" t="s">
        <v>3544</v>
      </c>
      <c r="J46" s="51" t="s">
        <v>3545</v>
      </c>
      <c r="K46" s="47" t="s">
        <v>3546</v>
      </c>
      <c r="L46" s="47" t="s">
        <v>3547</v>
      </c>
      <c r="M46" s="47" t="s">
        <v>3548</v>
      </c>
      <c r="N46" s="47"/>
      <c r="O46" s="310"/>
      <c r="P46" s="52"/>
    </row>
    <row r="47" spans="1:16" ht="14.25" customHeight="1">
      <c r="A47" s="26">
        <v>14</v>
      </c>
      <c r="B47" s="47"/>
      <c r="C47" s="30" t="s">
        <v>3549</v>
      </c>
      <c r="D47" s="57" t="s">
        <v>3550</v>
      </c>
      <c r="E47" s="49" t="s">
        <v>3551</v>
      </c>
      <c r="F47" s="26" t="s">
        <v>42</v>
      </c>
      <c r="G47" s="26" t="s">
        <v>3552</v>
      </c>
      <c r="H47" s="50" t="s">
        <v>3553</v>
      </c>
      <c r="I47" s="30" t="s">
        <v>3554</v>
      </c>
      <c r="J47" s="51" t="s">
        <v>3555</v>
      </c>
      <c r="K47" s="47" t="s">
        <v>3556</v>
      </c>
      <c r="L47" s="47" t="s">
        <v>3557</v>
      </c>
      <c r="M47" s="47" t="s">
        <v>3558</v>
      </c>
      <c r="N47" s="47"/>
      <c r="O47" s="310"/>
      <c r="P47" s="52"/>
    </row>
    <row r="48" spans="1:16" ht="14.25" customHeight="1">
      <c r="A48" s="26">
        <v>15</v>
      </c>
      <c r="B48" s="47"/>
      <c r="C48" s="30" t="s">
        <v>3559</v>
      </c>
      <c r="D48" s="57" t="s">
        <v>3560</v>
      </c>
      <c r="E48" s="49" t="s">
        <v>3561</v>
      </c>
      <c r="F48" s="26" t="s">
        <v>54</v>
      </c>
      <c r="G48" s="26" t="s">
        <v>3562</v>
      </c>
      <c r="H48" s="50" t="s">
        <v>3563</v>
      </c>
      <c r="I48" s="30" t="s">
        <v>3564</v>
      </c>
      <c r="J48" s="51" t="s">
        <v>3565</v>
      </c>
      <c r="K48" s="47" t="s">
        <v>3566</v>
      </c>
      <c r="L48" s="47" t="s">
        <v>3567</v>
      </c>
      <c r="M48" s="47" t="s">
        <v>3568</v>
      </c>
      <c r="N48" s="47"/>
      <c r="O48" s="311"/>
      <c r="P48" s="52"/>
    </row>
    <row r="49" spans="1:16" ht="14.25" customHeight="1">
      <c r="A49" s="40">
        <v>1</v>
      </c>
      <c r="B49" s="41"/>
      <c r="C49" s="58" t="s">
        <v>3569</v>
      </c>
      <c r="D49" s="45" t="s">
        <v>3570</v>
      </c>
      <c r="E49" s="41" t="s">
        <v>3571</v>
      </c>
      <c r="F49" s="40" t="s">
        <v>3572</v>
      </c>
      <c r="G49" s="40" t="s">
        <v>3573</v>
      </c>
      <c r="H49" s="43" t="s">
        <v>3574</v>
      </c>
      <c r="I49" s="58" t="s">
        <v>3575</v>
      </c>
      <c r="J49" s="44" t="s">
        <v>3576</v>
      </c>
      <c r="K49" s="41" t="s">
        <v>3577</v>
      </c>
      <c r="L49" s="41" t="s">
        <v>3578</v>
      </c>
      <c r="M49" s="41" t="s">
        <v>3579</v>
      </c>
      <c r="N49" s="41">
        <v>4</v>
      </c>
      <c r="O49" s="45" t="s">
        <v>38</v>
      </c>
      <c r="P49" s="46"/>
    </row>
    <row r="50" spans="1:16" ht="14.25" customHeight="1">
      <c r="A50" s="26">
        <v>2</v>
      </c>
      <c r="B50" s="47"/>
      <c r="C50" s="30" t="s">
        <v>3580</v>
      </c>
      <c r="D50" s="57" t="s">
        <v>3581</v>
      </c>
      <c r="E50" s="49" t="s">
        <v>3582</v>
      </c>
      <c r="F50" s="26" t="s">
        <v>65</v>
      </c>
      <c r="G50" s="26" t="s">
        <v>3583</v>
      </c>
      <c r="H50" s="50" t="s">
        <v>3584</v>
      </c>
      <c r="I50" s="30" t="s">
        <v>3585</v>
      </c>
      <c r="J50" s="51" t="s">
        <v>3586</v>
      </c>
      <c r="K50" s="47" t="s">
        <v>3587</v>
      </c>
      <c r="L50" s="47" t="s">
        <v>3588</v>
      </c>
      <c r="M50" s="47" t="s">
        <v>3589</v>
      </c>
      <c r="N50" s="47"/>
      <c r="O50" s="312" t="s">
        <v>3590</v>
      </c>
      <c r="P50" s="52"/>
    </row>
    <row r="51" spans="1:16" ht="14.25" customHeight="1">
      <c r="A51" s="26">
        <v>3</v>
      </c>
      <c r="B51" s="47"/>
      <c r="C51" s="30" t="s">
        <v>3591</v>
      </c>
      <c r="D51" s="57" t="s">
        <v>3592</v>
      </c>
      <c r="E51" s="49" t="s">
        <v>3593</v>
      </c>
      <c r="F51" s="26" t="s">
        <v>117</v>
      </c>
      <c r="G51" s="26" t="s">
        <v>3594</v>
      </c>
      <c r="H51" s="50" t="s">
        <v>3595</v>
      </c>
      <c r="I51" s="30" t="s">
        <v>3596</v>
      </c>
      <c r="J51" s="51" t="s">
        <v>3597</v>
      </c>
      <c r="K51" s="47" t="s">
        <v>3598</v>
      </c>
      <c r="L51" s="47" t="s">
        <v>3599</v>
      </c>
      <c r="M51" s="47" t="s">
        <v>3600</v>
      </c>
      <c r="N51" s="47"/>
      <c r="O51" s="310"/>
      <c r="P51" s="52"/>
    </row>
    <row r="52" spans="1:16" ht="14.25" customHeight="1">
      <c r="A52" s="26">
        <v>4</v>
      </c>
      <c r="B52" s="47"/>
      <c r="C52" s="30" t="s">
        <v>3601</v>
      </c>
      <c r="D52" s="57" t="s">
        <v>3602</v>
      </c>
      <c r="E52" s="49" t="s">
        <v>3603</v>
      </c>
      <c r="F52" s="26" t="s">
        <v>563</v>
      </c>
      <c r="G52" s="26" t="s">
        <v>3604</v>
      </c>
      <c r="H52" s="50" t="s">
        <v>3605</v>
      </c>
      <c r="I52" s="30" t="s">
        <v>3606</v>
      </c>
      <c r="J52" s="51" t="s">
        <v>3607</v>
      </c>
      <c r="K52" s="47" t="s">
        <v>3608</v>
      </c>
      <c r="L52" s="47" t="s">
        <v>3609</v>
      </c>
      <c r="M52" s="47" t="s">
        <v>3610</v>
      </c>
      <c r="N52" s="47"/>
      <c r="O52" s="310"/>
      <c r="P52" s="52"/>
    </row>
    <row r="53" spans="1:16" ht="14.25" customHeight="1">
      <c r="A53" s="26">
        <v>5</v>
      </c>
      <c r="B53" s="47"/>
      <c r="C53" s="30" t="s">
        <v>3611</v>
      </c>
      <c r="D53" s="57" t="s">
        <v>3612</v>
      </c>
      <c r="E53" s="49" t="s">
        <v>3613</v>
      </c>
      <c r="F53" s="26" t="s">
        <v>65</v>
      </c>
      <c r="G53" s="26" t="s">
        <v>3614</v>
      </c>
      <c r="H53" s="50" t="s">
        <v>3615</v>
      </c>
      <c r="I53" s="30" t="s">
        <v>3616</v>
      </c>
      <c r="J53" s="51" t="s">
        <v>3617</v>
      </c>
      <c r="K53" s="47" t="s">
        <v>3618</v>
      </c>
      <c r="L53" s="47" t="s">
        <v>3619</v>
      </c>
      <c r="M53" s="47" t="s">
        <v>3620</v>
      </c>
      <c r="N53" s="47"/>
      <c r="O53" s="310"/>
      <c r="P53" s="52"/>
    </row>
    <row r="54" spans="1:16" ht="14.25" customHeight="1">
      <c r="A54" s="26">
        <v>6</v>
      </c>
      <c r="B54" s="47"/>
      <c r="C54" s="30" t="s">
        <v>3621</v>
      </c>
      <c r="D54" s="57" t="s">
        <v>3622</v>
      </c>
      <c r="E54" s="49" t="s">
        <v>3623</v>
      </c>
      <c r="F54" s="26" t="s">
        <v>65</v>
      </c>
      <c r="G54" s="26" t="s">
        <v>3624</v>
      </c>
      <c r="H54" s="50" t="s">
        <v>3625</v>
      </c>
      <c r="I54" s="30" t="s">
        <v>3626</v>
      </c>
      <c r="J54" s="51" t="s">
        <v>3627</v>
      </c>
      <c r="K54" s="47" t="s">
        <v>3628</v>
      </c>
      <c r="L54" s="47" t="s">
        <v>3629</v>
      </c>
      <c r="M54" s="47" t="s">
        <v>3630</v>
      </c>
      <c r="N54" s="47"/>
      <c r="O54" s="310"/>
      <c r="P54" s="52"/>
    </row>
    <row r="55" spans="1:16" ht="14.25" customHeight="1">
      <c r="A55" s="26">
        <v>7</v>
      </c>
      <c r="B55" s="47"/>
      <c r="C55" s="30" t="s">
        <v>3631</v>
      </c>
      <c r="D55" s="57" t="s">
        <v>3632</v>
      </c>
      <c r="E55" s="49" t="s">
        <v>3633</v>
      </c>
      <c r="F55" s="26" t="s">
        <v>664</v>
      </c>
      <c r="G55" s="26" t="s">
        <v>3634</v>
      </c>
      <c r="H55" s="50" t="s">
        <v>3635</v>
      </c>
      <c r="I55" s="30" t="s">
        <v>3636</v>
      </c>
      <c r="J55" s="51" t="s">
        <v>3637</v>
      </c>
      <c r="K55" s="47" t="s">
        <v>3638</v>
      </c>
      <c r="L55" s="47" t="s">
        <v>3639</v>
      </c>
      <c r="M55" s="47" t="s">
        <v>3640</v>
      </c>
      <c r="N55" s="47"/>
      <c r="O55" s="310"/>
      <c r="P55" s="52"/>
    </row>
    <row r="56" spans="1:16" ht="14.25" customHeight="1">
      <c r="A56" s="26">
        <v>8</v>
      </c>
      <c r="B56" s="47"/>
      <c r="C56" s="30" t="s">
        <v>3641</v>
      </c>
      <c r="D56" s="57" t="s">
        <v>3642</v>
      </c>
      <c r="E56" s="49" t="s">
        <v>229</v>
      </c>
      <c r="F56" s="26" t="s">
        <v>117</v>
      </c>
      <c r="G56" s="26" t="s">
        <v>3643</v>
      </c>
      <c r="H56" s="50" t="s">
        <v>3644</v>
      </c>
      <c r="I56" s="30" t="s">
        <v>3645</v>
      </c>
      <c r="J56" s="62" t="s">
        <v>3646</v>
      </c>
      <c r="K56" s="47" t="s">
        <v>3647</v>
      </c>
      <c r="L56" s="47" t="s">
        <v>3648</v>
      </c>
      <c r="M56" s="47" t="s">
        <v>3649</v>
      </c>
      <c r="N56" s="47"/>
      <c r="O56" s="310"/>
      <c r="P56" s="52"/>
    </row>
    <row r="57" spans="1:16" ht="14.25" customHeight="1">
      <c r="A57" s="26">
        <v>9</v>
      </c>
      <c r="B57" s="47"/>
      <c r="C57" s="30" t="s">
        <v>3650</v>
      </c>
      <c r="D57" s="57" t="s">
        <v>3651</v>
      </c>
      <c r="E57" s="49" t="s">
        <v>3652</v>
      </c>
      <c r="F57" s="26" t="s">
        <v>65</v>
      </c>
      <c r="G57" s="26" t="s">
        <v>3653</v>
      </c>
      <c r="H57" s="50" t="s">
        <v>3654</v>
      </c>
      <c r="I57" s="30" t="s">
        <v>3655</v>
      </c>
      <c r="J57" s="62" t="s">
        <v>3656</v>
      </c>
      <c r="K57" s="47" t="s">
        <v>3657</v>
      </c>
      <c r="L57" s="47" t="s">
        <v>3658</v>
      </c>
      <c r="M57" s="47" t="s">
        <v>3659</v>
      </c>
      <c r="N57" s="47"/>
      <c r="O57" s="310"/>
      <c r="P57" s="52"/>
    </row>
    <row r="58" spans="1:16" ht="14.25" customHeight="1">
      <c r="A58" s="26">
        <v>10</v>
      </c>
      <c r="B58" s="47"/>
      <c r="C58" s="30" t="s">
        <v>3660</v>
      </c>
      <c r="D58" s="57" t="s">
        <v>3661</v>
      </c>
      <c r="E58" s="49" t="s">
        <v>3662</v>
      </c>
      <c r="F58" s="26" t="s">
        <v>664</v>
      </c>
      <c r="G58" s="26" t="s">
        <v>3663</v>
      </c>
      <c r="H58" s="50" t="s">
        <v>3664</v>
      </c>
      <c r="I58" s="30" t="s">
        <v>3665</v>
      </c>
      <c r="J58" s="51" t="s">
        <v>3666</v>
      </c>
      <c r="K58" s="47" t="s">
        <v>3667</v>
      </c>
      <c r="L58" s="47" t="s">
        <v>3668</v>
      </c>
      <c r="M58" s="47" t="s">
        <v>3669</v>
      </c>
      <c r="N58" s="47"/>
      <c r="O58" s="310"/>
      <c r="P58" s="52"/>
    </row>
    <row r="59" spans="1:16" ht="14.25" customHeight="1">
      <c r="A59" s="26">
        <v>11</v>
      </c>
      <c r="B59" s="47"/>
      <c r="C59" s="63" t="s">
        <v>3670</v>
      </c>
      <c r="D59" s="56" t="s">
        <v>3671</v>
      </c>
      <c r="E59" s="47" t="s">
        <v>3672</v>
      </c>
      <c r="F59" s="47" t="s">
        <v>65</v>
      </c>
      <c r="G59" s="47" t="s">
        <v>3673</v>
      </c>
      <c r="H59" s="50" t="s">
        <v>3674</v>
      </c>
      <c r="I59" s="55" t="s">
        <v>3675</v>
      </c>
      <c r="J59" s="51" t="s">
        <v>3676</v>
      </c>
      <c r="K59" s="47" t="s">
        <v>3677</v>
      </c>
      <c r="L59" s="47" t="s">
        <v>3678</v>
      </c>
      <c r="M59" s="47" t="s">
        <v>3679</v>
      </c>
      <c r="N59" s="47"/>
      <c r="O59" s="310"/>
      <c r="P59" s="52"/>
    </row>
    <row r="60" spans="1:16" ht="14.25" customHeight="1">
      <c r="A60" s="26">
        <v>12</v>
      </c>
      <c r="B60" s="47"/>
      <c r="C60" s="64" t="s">
        <v>3680</v>
      </c>
      <c r="D60" s="57" t="s">
        <v>3681</v>
      </c>
      <c r="E60" s="49" t="s">
        <v>3682</v>
      </c>
      <c r="F60" s="49" t="s">
        <v>65</v>
      </c>
      <c r="G60" s="47" t="s">
        <v>3683</v>
      </c>
      <c r="H60" s="50" t="s">
        <v>3684</v>
      </c>
      <c r="I60" s="48" t="s">
        <v>3685</v>
      </c>
      <c r="J60" s="51" t="s">
        <v>3686</v>
      </c>
      <c r="K60" s="47" t="s">
        <v>3687</v>
      </c>
      <c r="L60" s="47" t="s">
        <v>3688</v>
      </c>
      <c r="M60" s="47" t="s">
        <v>3689</v>
      </c>
      <c r="N60" s="47"/>
      <c r="O60" s="310"/>
      <c r="P60" s="52"/>
    </row>
    <row r="61" spans="1:16" ht="14.25" customHeight="1">
      <c r="A61" s="26">
        <v>13</v>
      </c>
      <c r="B61" s="47"/>
      <c r="C61" s="64" t="s">
        <v>3690</v>
      </c>
      <c r="D61" s="57" t="s">
        <v>3691</v>
      </c>
      <c r="E61" s="49" t="s">
        <v>3692</v>
      </c>
      <c r="F61" s="49" t="s">
        <v>65</v>
      </c>
      <c r="G61" s="47" t="s">
        <v>3693</v>
      </c>
      <c r="H61" s="50" t="s">
        <v>3694</v>
      </c>
      <c r="I61" s="48" t="s">
        <v>3695</v>
      </c>
      <c r="J61" s="51" t="s">
        <v>3696</v>
      </c>
      <c r="K61" s="47" t="s">
        <v>3697</v>
      </c>
      <c r="L61" s="47" t="s">
        <v>3698</v>
      </c>
      <c r="M61" s="47" t="s">
        <v>3699</v>
      </c>
      <c r="N61" s="47"/>
      <c r="O61" s="310"/>
      <c r="P61" s="52"/>
    </row>
    <row r="62" spans="1:16" ht="14.25" customHeight="1">
      <c r="A62" s="26">
        <v>14</v>
      </c>
      <c r="B62" s="47"/>
      <c r="C62" s="64" t="s">
        <v>3700</v>
      </c>
      <c r="D62" s="57" t="s">
        <v>3701</v>
      </c>
      <c r="E62" s="49" t="s">
        <v>3702</v>
      </c>
      <c r="F62" s="49" t="s">
        <v>65</v>
      </c>
      <c r="G62" s="47" t="s">
        <v>3703</v>
      </c>
      <c r="H62" s="50" t="s">
        <v>3704</v>
      </c>
      <c r="I62" s="48" t="s">
        <v>3705</v>
      </c>
      <c r="J62" s="51" t="s">
        <v>3706</v>
      </c>
      <c r="K62" s="47" t="s">
        <v>3707</v>
      </c>
      <c r="L62" s="47" t="s">
        <v>3708</v>
      </c>
      <c r="M62" s="47" t="s">
        <v>3709</v>
      </c>
      <c r="N62" s="47"/>
      <c r="O62" s="310"/>
      <c r="P62" s="52"/>
    </row>
    <row r="63" spans="1:16" ht="14.25" customHeight="1">
      <c r="A63" s="26">
        <v>15</v>
      </c>
      <c r="B63" s="47"/>
      <c r="C63" s="63" t="s">
        <v>3710</v>
      </c>
      <c r="D63" s="56" t="s">
        <v>3711</v>
      </c>
      <c r="E63" s="47" t="s">
        <v>3712</v>
      </c>
      <c r="F63" s="47" t="s">
        <v>219</v>
      </c>
      <c r="G63" s="47" t="s">
        <v>3713</v>
      </c>
      <c r="H63" s="50" t="s">
        <v>3714</v>
      </c>
      <c r="I63" s="55" t="s">
        <v>3715</v>
      </c>
      <c r="J63" s="51" t="s">
        <v>3716</v>
      </c>
      <c r="K63" s="47" t="s">
        <v>3717</v>
      </c>
      <c r="L63" s="47" t="s">
        <v>3718</v>
      </c>
      <c r="M63" s="47" t="s">
        <v>3719</v>
      </c>
      <c r="N63" s="47"/>
      <c r="O63" s="310"/>
      <c r="P63" s="52"/>
    </row>
    <row r="64" spans="1:16" ht="14.25" customHeight="1">
      <c r="A64" s="26">
        <v>16</v>
      </c>
      <c r="B64" s="47"/>
      <c r="C64" s="64" t="s">
        <v>3720</v>
      </c>
      <c r="D64" s="57" t="s">
        <v>3721</v>
      </c>
      <c r="E64" s="49" t="s">
        <v>3722</v>
      </c>
      <c r="F64" s="49" t="s">
        <v>65</v>
      </c>
      <c r="G64" s="47" t="s">
        <v>3723</v>
      </c>
      <c r="H64" s="50" t="s">
        <v>3724</v>
      </c>
      <c r="I64" s="48" t="s">
        <v>3725</v>
      </c>
      <c r="J64" s="51" t="s">
        <v>3726</v>
      </c>
      <c r="K64" s="47" t="s">
        <v>3727</v>
      </c>
      <c r="L64" s="47" t="s">
        <v>3728</v>
      </c>
      <c r="M64" s="47" t="s">
        <v>3729</v>
      </c>
      <c r="N64" s="47"/>
      <c r="O64" s="311"/>
      <c r="P64" s="52"/>
    </row>
    <row r="65" spans="1:16" ht="14.25" customHeight="1">
      <c r="A65" s="45">
        <v>1</v>
      </c>
      <c r="B65" s="41"/>
      <c r="C65" s="65" t="s">
        <v>3730</v>
      </c>
      <c r="D65" s="45" t="s">
        <v>3731</v>
      </c>
      <c r="E65" s="41" t="s">
        <v>1885</v>
      </c>
      <c r="F65" s="41" t="s">
        <v>54</v>
      </c>
      <c r="G65" s="41" t="s">
        <v>3732</v>
      </c>
      <c r="H65" s="43" t="s">
        <v>3733</v>
      </c>
      <c r="I65" s="42" t="s">
        <v>3734</v>
      </c>
      <c r="J65" s="44" t="s">
        <v>3735</v>
      </c>
      <c r="K65" s="41" t="s">
        <v>3736</v>
      </c>
      <c r="L65" s="41" t="s">
        <v>3737</v>
      </c>
      <c r="M65" s="41" t="s">
        <v>3738</v>
      </c>
      <c r="N65" s="41">
        <v>5</v>
      </c>
      <c r="O65" s="45" t="s">
        <v>38</v>
      </c>
      <c r="P65" s="46"/>
    </row>
    <row r="66" spans="1:16" ht="14.25" customHeight="1">
      <c r="A66" s="26">
        <v>2</v>
      </c>
      <c r="B66" s="47"/>
      <c r="C66" s="64" t="s">
        <v>3739</v>
      </c>
      <c r="D66" s="57" t="s">
        <v>3740</v>
      </c>
      <c r="E66" s="49" t="s">
        <v>3741</v>
      </c>
      <c r="F66" s="49" t="s">
        <v>117</v>
      </c>
      <c r="G66" s="47" t="s">
        <v>3742</v>
      </c>
      <c r="H66" s="50" t="s">
        <v>3743</v>
      </c>
      <c r="I66" s="48" t="s">
        <v>3744</v>
      </c>
      <c r="J66" s="51" t="s">
        <v>3745</v>
      </c>
      <c r="K66" s="47" t="s">
        <v>3746</v>
      </c>
      <c r="L66" s="47" t="s">
        <v>3747</v>
      </c>
      <c r="M66" s="47" t="s">
        <v>3748</v>
      </c>
      <c r="N66" s="47"/>
      <c r="O66" s="312" t="s">
        <v>3749</v>
      </c>
      <c r="P66" s="52"/>
    </row>
    <row r="67" spans="1:16" ht="14.25" customHeight="1">
      <c r="A67" s="26">
        <v>3</v>
      </c>
      <c r="B67" s="47"/>
      <c r="C67" s="64" t="s">
        <v>3750</v>
      </c>
      <c r="D67" s="57" t="s">
        <v>3751</v>
      </c>
      <c r="E67" s="49" t="s">
        <v>3752</v>
      </c>
      <c r="F67" s="49" t="s">
        <v>117</v>
      </c>
      <c r="G67" s="47" t="s">
        <v>3753</v>
      </c>
      <c r="H67" s="50" t="s">
        <v>3754</v>
      </c>
      <c r="I67" s="48" t="s">
        <v>3755</v>
      </c>
      <c r="J67" s="51" t="s">
        <v>3756</v>
      </c>
      <c r="K67" s="47" t="s">
        <v>3757</v>
      </c>
      <c r="L67" s="47" t="s">
        <v>3758</v>
      </c>
      <c r="M67" s="47" t="s">
        <v>3759</v>
      </c>
      <c r="N67" s="47"/>
      <c r="O67" s="310"/>
      <c r="P67" s="52"/>
    </row>
    <row r="68" spans="1:16" ht="14.25" customHeight="1">
      <c r="A68" s="26">
        <v>4</v>
      </c>
      <c r="B68" s="47"/>
      <c r="C68" s="64" t="s">
        <v>3760</v>
      </c>
      <c r="D68" s="57" t="s">
        <v>3761</v>
      </c>
      <c r="E68" s="49" t="s">
        <v>3762</v>
      </c>
      <c r="F68" s="49" t="s">
        <v>117</v>
      </c>
      <c r="G68" s="49" t="s">
        <v>3763</v>
      </c>
      <c r="H68" s="50" t="s">
        <v>3764</v>
      </c>
      <c r="I68" s="48" t="s">
        <v>3765</v>
      </c>
      <c r="J68" s="66" t="s">
        <v>3766</v>
      </c>
      <c r="K68" s="47" t="s">
        <v>3767</v>
      </c>
      <c r="L68" s="47" t="s">
        <v>3768</v>
      </c>
      <c r="M68" s="47" t="s">
        <v>3769</v>
      </c>
      <c r="N68" s="47"/>
      <c r="O68" s="310"/>
      <c r="P68" s="52"/>
    </row>
    <row r="69" spans="1:16" ht="14.25" customHeight="1">
      <c r="A69" s="26">
        <v>5</v>
      </c>
      <c r="B69" s="47"/>
      <c r="C69" s="64" t="s">
        <v>3770</v>
      </c>
      <c r="D69" s="57" t="s">
        <v>3771</v>
      </c>
      <c r="E69" s="49" t="s">
        <v>3772</v>
      </c>
      <c r="F69" s="49" t="s">
        <v>65</v>
      </c>
      <c r="G69" s="47" t="s">
        <v>3773</v>
      </c>
      <c r="H69" s="50" t="s">
        <v>3774</v>
      </c>
      <c r="I69" s="48" t="s">
        <v>3775</v>
      </c>
      <c r="J69" s="51" t="s">
        <v>3776</v>
      </c>
      <c r="K69" s="47" t="s">
        <v>3777</v>
      </c>
      <c r="L69" s="47" t="s">
        <v>3778</v>
      </c>
      <c r="M69" s="47" t="s">
        <v>3779</v>
      </c>
      <c r="N69" s="47"/>
      <c r="O69" s="310"/>
      <c r="P69" s="52"/>
    </row>
    <row r="70" spans="1:16" ht="14.25" customHeight="1">
      <c r="A70" s="26">
        <v>6</v>
      </c>
      <c r="B70" s="47"/>
      <c r="C70" s="64" t="s">
        <v>3780</v>
      </c>
      <c r="D70" s="57" t="s">
        <v>3781</v>
      </c>
      <c r="E70" s="49" t="s">
        <v>3782</v>
      </c>
      <c r="F70" s="49" t="s">
        <v>65</v>
      </c>
      <c r="G70" s="47" t="s">
        <v>3783</v>
      </c>
      <c r="H70" s="50" t="s">
        <v>3784</v>
      </c>
      <c r="I70" s="48" t="s">
        <v>3785</v>
      </c>
      <c r="J70" s="51" t="s">
        <v>3786</v>
      </c>
      <c r="K70" s="47" t="s">
        <v>3787</v>
      </c>
      <c r="L70" s="47" t="s">
        <v>3788</v>
      </c>
      <c r="M70" s="47" t="s">
        <v>3789</v>
      </c>
      <c r="N70" s="47"/>
      <c r="O70" s="310"/>
      <c r="P70" s="52"/>
    </row>
    <row r="71" spans="1:16" ht="14.25" customHeight="1">
      <c r="A71" s="26">
        <v>7</v>
      </c>
      <c r="B71" s="47"/>
      <c r="C71" s="64" t="s">
        <v>3790</v>
      </c>
      <c r="D71" s="57" t="s">
        <v>3791</v>
      </c>
      <c r="E71" s="49" t="s">
        <v>3792</v>
      </c>
      <c r="F71" s="49" t="s">
        <v>117</v>
      </c>
      <c r="G71" s="47" t="s">
        <v>3793</v>
      </c>
      <c r="H71" s="50" t="s">
        <v>3794</v>
      </c>
      <c r="I71" s="48" t="s">
        <v>3795</v>
      </c>
      <c r="J71" s="51" t="s">
        <v>3796</v>
      </c>
      <c r="K71" s="47" t="s">
        <v>3797</v>
      </c>
      <c r="L71" s="47" t="s">
        <v>3798</v>
      </c>
      <c r="M71" s="47" t="s">
        <v>3799</v>
      </c>
      <c r="N71" s="47"/>
      <c r="O71" s="310"/>
      <c r="P71" s="52"/>
    </row>
    <row r="72" spans="1:16" ht="14.25" customHeight="1">
      <c r="A72" s="26">
        <v>8</v>
      </c>
      <c r="B72" s="47"/>
      <c r="C72" s="64" t="s">
        <v>3800</v>
      </c>
      <c r="D72" s="57" t="s">
        <v>3801</v>
      </c>
      <c r="E72" s="49" t="s">
        <v>3802</v>
      </c>
      <c r="F72" s="49" t="s">
        <v>3803</v>
      </c>
      <c r="G72" s="47" t="s">
        <v>3804</v>
      </c>
      <c r="H72" s="50" t="s">
        <v>3805</v>
      </c>
      <c r="I72" s="48" t="s">
        <v>3806</v>
      </c>
      <c r="J72" s="51" t="s">
        <v>3807</v>
      </c>
      <c r="K72" s="47" t="s">
        <v>3808</v>
      </c>
      <c r="L72" s="47" t="s">
        <v>3809</v>
      </c>
      <c r="M72" s="47" t="s">
        <v>3810</v>
      </c>
      <c r="N72" s="47"/>
      <c r="O72" s="310"/>
      <c r="P72" s="52"/>
    </row>
    <row r="73" spans="1:16" ht="14.25" customHeight="1">
      <c r="A73" s="26">
        <v>9</v>
      </c>
      <c r="B73" s="47"/>
      <c r="C73" s="63" t="s">
        <v>3811</v>
      </c>
      <c r="D73" s="56" t="s">
        <v>3812</v>
      </c>
      <c r="E73" s="47" t="s">
        <v>3813</v>
      </c>
      <c r="F73" s="47" t="s">
        <v>117</v>
      </c>
      <c r="G73" s="47" t="s">
        <v>3814</v>
      </c>
      <c r="H73" s="50" t="s">
        <v>3815</v>
      </c>
      <c r="I73" s="55" t="s">
        <v>3816</v>
      </c>
      <c r="J73" s="51" t="s">
        <v>3817</v>
      </c>
      <c r="K73" s="47" t="s">
        <v>3818</v>
      </c>
      <c r="L73" s="47" t="s">
        <v>3819</v>
      </c>
      <c r="M73" s="47" t="s">
        <v>3820</v>
      </c>
      <c r="N73" s="47"/>
      <c r="O73" s="310"/>
      <c r="P73" s="52"/>
    </row>
    <row r="74" spans="1:16" ht="14.25" customHeight="1">
      <c r="A74" s="26">
        <v>10</v>
      </c>
      <c r="B74" s="47"/>
      <c r="C74" s="64" t="s">
        <v>3821</v>
      </c>
      <c r="D74" s="57" t="s">
        <v>3822</v>
      </c>
      <c r="E74" s="49" t="s">
        <v>3823</v>
      </c>
      <c r="F74" s="49" t="s">
        <v>117</v>
      </c>
      <c r="G74" s="49" t="s">
        <v>3824</v>
      </c>
      <c r="H74" s="50" t="s">
        <v>3825</v>
      </c>
      <c r="I74" s="48" t="s">
        <v>3826</v>
      </c>
      <c r="J74" s="51" t="s">
        <v>3827</v>
      </c>
      <c r="K74" s="47" t="s">
        <v>3828</v>
      </c>
      <c r="L74" s="47" t="s">
        <v>3829</v>
      </c>
      <c r="M74" s="47" t="s">
        <v>3830</v>
      </c>
      <c r="N74" s="47"/>
      <c r="O74" s="310"/>
      <c r="P74" s="52"/>
    </row>
    <row r="75" spans="1:16" ht="14.25" customHeight="1">
      <c r="A75" s="26">
        <v>11</v>
      </c>
      <c r="B75" s="47"/>
      <c r="C75" s="64" t="s">
        <v>3831</v>
      </c>
      <c r="D75" s="57" t="s">
        <v>3832</v>
      </c>
      <c r="E75" s="49" t="s">
        <v>3833</v>
      </c>
      <c r="F75" s="49" t="s">
        <v>65</v>
      </c>
      <c r="G75" s="49" t="s">
        <v>3834</v>
      </c>
      <c r="H75" s="50" t="s">
        <v>3835</v>
      </c>
      <c r="I75" s="48" t="s">
        <v>3836</v>
      </c>
      <c r="J75" s="51" t="s">
        <v>3837</v>
      </c>
      <c r="K75" s="47" t="s">
        <v>3838</v>
      </c>
      <c r="L75" s="47" t="s">
        <v>3839</v>
      </c>
      <c r="M75" s="47" t="s">
        <v>3840</v>
      </c>
      <c r="N75" s="47"/>
      <c r="O75" s="310"/>
      <c r="P75" s="52"/>
    </row>
    <row r="76" spans="1:16" ht="14.25" customHeight="1">
      <c r="A76" s="26">
        <v>12</v>
      </c>
      <c r="B76" s="47"/>
      <c r="C76" s="64" t="s">
        <v>3841</v>
      </c>
      <c r="D76" s="57" t="s">
        <v>3842</v>
      </c>
      <c r="E76" s="49" t="s">
        <v>3843</v>
      </c>
      <c r="F76" s="49" t="s">
        <v>65</v>
      </c>
      <c r="G76" s="49" t="s">
        <v>3844</v>
      </c>
      <c r="H76" s="50" t="s">
        <v>3845</v>
      </c>
      <c r="I76" s="48" t="s">
        <v>3846</v>
      </c>
      <c r="J76" s="51" t="s">
        <v>3847</v>
      </c>
      <c r="K76" s="47" t="s">
        <v>3848</v>
      </c>
      <c r="L76" s="47" t="s">
        <v>3849</v>
      </c>
      <c r="M76" s="47" t="s">
        <v>3850</v>
      </c>
      <c r="N76" s="47"/>
      <c r="O76" s="310"/>
      <c r="P76" s="52"/>
    </row>
    <row r="77" spans="1:16" ht="14.25" customHeight="1">
      <c r="A77" s="26">
        <v>13</v>
      </c>
      <c r="B77" s="47"/>
      <c r="C77" s="64" t="s">
        <v>3851</v>
      </c>
      <c r="D77" s="57" t="s">
        <v>3852</v>
      </c>
      <c r="E77" s="49" t="s">
        <v>3853</v>
      </c>
      <c r="F77" s="49" t="s">
        <v>65</v>
      </c>
      <c r="G77" s="49" t="s">
        <v>3854</v>
      </c>
      <c r="H77" s="50" t="s">
        <v>3855</v>
      </c>
      <c r="I77" s="48" t="s">
        <v>3856</v>
      </c>
      <c r="J77" s="51" t="s">
        <v>3857</v>
      </c>
      <c r="K77" s="47" t="s">
        <v>3858</v>
      </c>
      <c r="L77" s="47" t="s">
        <v>3859</v>
      </c>
      <c r="M77" s="47" t="s">
        <v>3860</v>
      </c>
      <c r="N77" s="47"/>
      <c r="O77" s="310"/>
      <c r="P77" s="52"/>
    </row>
    <row r="78" spans="1:16" ht="14.25" customHeight="1">
      <c r="A78" s="26">
        <v>14</v>
      </c>
      <c r="B78" s="47"/>
      <c r="C78" s="64" t="s">
        <v>3861</v>
      </c>
      <c r="D78" s="57" t="s">
        <v>3862</v>
      </c>
      <c r="E78" s="49" t="s">
        <v>3863</v>
      </c>
      <c r="F78" s="49" t="s">
        <v>117</v>
      </c>
      <c r="G78" s="49" t="s">
        <v>3864</v>
      </c>
      <c r="H78" s="50" t="s">
        <v>3865</v>
      </c>
      <c r="I78" s="48" t="s">
        <v>3866</v>
      </c>
      <c r="J78" s="51" t="s">
        <v>3867</v>
      </c>
      <c r="K78" s="47" t="s">
        <v>3868</v>
      </c>
      <c r="L78" s="47" t="s">
        <v>3869</v>
      </c>
      <c r="M78" s="47" t="s">
        <v>3870</v>
      </c>
      <c r="N78" s="47"/>
      <c r="O78" s="310"/>
      <c r="P78" s="52"/>
    </row>
    <row r="79" spans="1:16" ht="14.25" customHeight="1">
      <c r="A79" s="26">
        <v>15</v>
      </c>
      <c r="B79" s="47"/>
      <c r="C79" s="64" t="s">
        <v>3871</v>
      </c>
      <c r="D79" s="57" t="s">
        <v>3872</v>
      </c>
      <c r="E79" s="49" t="s">
        <v>3873</v>
      </c>
      <c r="F79" s="49" t="s">
        <v>65</v>
      </c>
      <c r="G79" s="49" t="s">
        <v>3874</v>
      </c>
      <c r="H79" s="50" t="s">
        <v>3875</v>
      </c>
      <c r="I79" s="48" t="s">
        <v>3876</v>
      </c>
      <c r="J79" s="51" t="s">
        <v>3877</v>
      </c>
      <c r="K79" s="47" t="s">
        <v>3878</v>
      </c>
      <c r="L79" s="47" t="s">
        <v>3879</v>
      </c>
      <c r="M79" s="47" t="s">
        <v>3880</v>
      </c>
      <c r="N79" s="47"/>
      <c r="O79" s="310"/>
      <c r="P79" s="52"/>
    </row>
    <row r="80" spans="1:16" ht="14.25" customHeight="1">
      <c r="A80" s="26">
        <v>16</v>
      </c>
      <c r="B80" s="47"/>
      <c r="C80" s="64" t="s">
        <v>3881</v>
      </c>
      <c r="D80" s="57" t="s">
        <v>3882</v>
      </c>
      <c r="E80" s="49" t="s">
        <v>3883</v>
      </c>
      <c r="F80" s="49" t="s">
        <v>501</v>
      </c>
      <c r="G80" s="49" t="s">
        <v>3884</v>
      </c>
      <c r="H80" s="50" t="s">
        <v>3885</v>
      </c>
      <c r="I80" s="48" t="s">
        <v>3886</v>
      </c>
      <c r="J80" s="51" t="s">
        <v>3887</v>
      </c>
      <c r="K80" s="47" t="s">
        <v>3888</v>
      </c>
      <c r="L80" s="47" t="s">
        <v>3889</v>
      </c>
      <c r="M80" s="47" t="s">
        <v>3890</v>
      </c>
      <c r="N80" s="47"/>
      <c r="O80" s="310"/>
      <c r="P80" s="52"/>
    </row>
    <row r="81" spans="1:16" ht="14.25" customHeight="1">
      <c r="A81" s="26">
        <v>17</v>
      </c>
      <c r="B81" s="47"/>
      <c r="C81" s="64" t="s">
        <v>3891</v>
      </c>
      <c r="D81" s="57" t="s">
        <v>3892</v>
      </c>
      <c r="E81" s="49" t="s">
        <v>3893</v>
      </c>
      <c r="F81" s="49" t="s">
        <v>117</v>
      </c>
      <c r="G81" s="49" t="s">
        <v>3894</v>
      </c>
      <c r="H81" s="50" t="s">
        <v>3895</v>
      </c>
      <c r="I81" s="48" t="s">
        <v>3896</v>
      </c>
      <c r="J81" s="51" t="s">
        <v>3897</v>
      </c>
      <c r="K81" s="47" t="s">
        <v>3898</v>
      </c>
      <c r="L81" s="47" t="s">
        <v>3899</v>
      </c>
      <c r="M81" s="47" t="s">
        <v>3900</v>
      </c>
      <c r="N81" s="47"/>
      <c r="O81" s="310"/>
      <c r="P81" s="52"/>
    </row>
    <row r="82" spans="1:16" ht="14.25" customHeight="1">
      <c r="A82" s="26">
        <v>18</v>
      </c>
      <c r="B82" s="47"/>
      <c r="C82" s="64" t="s">
        <v>3901</v>
      </c>
      <c r="D82" s="57" t="s">
        <v>3902</v>
      </c>
      <c r="E82" s="49" t="s">
        <v>3903</v>
      </c>
      <c r="F82" s="49" t="s">
        <v>65</v>
      </c>
      <c r="G82" s="49" t="s">
        <v>3904</v>
      </c>
      <c r="H82" s="50" t="s">
        <v>3905</v>
      </c>
      <c r="I82" s="48" t="s">
        <v>3906</v>
      </c>
      <c r="J82" s="51" t="s">
        <v>3907</v>
      </c>
      <c r="K82" s="47" t="s">
        <v>3908</v>
      </c>
      <c r="L82" s="47" t="s">
        <v>3909</v>
      </c>
      <c r="M82" s="47" t="s">
        <v>3910</v>
      </c>
      <c r="N82" s="47"/>
      <c r="O82" s="311"/>
      <c r="P82" s="52"/>
    </row>
    <row r="83" spans="1:16" ht="14.25" customHeight="1">
      <c r="A83" s="40">
        <v>1</v>
      </c>
      <c r="B83" s="41"/>
      <c r="C83" s="67" t="s">
        <v>3911</v>
      </c>
      <c r="D83" s="45" t="s">
        <v>3912</v>
      </c>
      <c r="E83" s="41" t="s">
        <v>3913</v>
      </c>
      <c r="F83" s="41" t="s">
        <v>65</v>
      </c>
      <c r="G83" s="41" t="s">
        <v>3914</v>
      </c>
      <c r="H83" s="43" t="s">
        <v>3915</v>
      </c>
      <c r="I83" s="42" t="s">
        <v>3916</v>
      </c>
      <c r="J83" s="44" t="s">
        <v>3917</v>
      </c>
      <c r="K83" s="41" t="s">
        <v>3918</v>
      </c>
      <c r="L83" s="41" t="s">
        <v>3919</v>
      </c>
      <c r="M83" s="41" t="s">
        <v>3920</v>
      </c>
      <c r="N83" s="41">
        <v>6</v>
      </c>
      <c r="O83" s="45" t="s">
        <v>38</v>
      </c>
      <c r="P83" s="46"/>
    </row>
    <row r="84" spans="1:16" ht="14.25" customHeight="1">
      <c r="A84" s="26">
        <v>2</v>
      </c>
      <c r="B84" s="47"/>
      <c r="C84" s="64" t="s">
        <v>3921</v>
      </c>
      <c r="D84" s="57" t="s">
        <v>3922</v>
      </c>
      <c r="E84" s="49" t="s">
        <v>3923</v>
      </c>
      <c r="F84" s="49" t="s">
        <v>117</v>
      </c>
      <c r="G84" s="47" t="s">
        <v>3924</v>
      </c>
      <c r="H84" s="50" t="s">
        <v>3925</v>
      </c>
      <c r="I84" s="48" t="s">
        <v>3926</v>
      </c>
      <c r="J84" s="51" t="s">
        <v>3927</v>
      </c>
      <c r="K84" s="47" t="s">
        <v>3928</v>
      </c>
      <c r="L84" s="47" t="s">
        <v>3929</v>
      </c>
      <c r="M84" s="47" t="s">
        <v>3930</v>
      </c>
      <c r="N84" s="47"/>
      <c r="O84" s="312" t="s">
        <v>3931</v>
      </c>
      <c r="P84" s="52"/>
    </row>
    <row r="85" spans="1:16" ht="14.25" customHeight="1">
      <c r="A85" s="26">
        <v>3</v>
      </c>
      <c r="B85" s="47"/>
      <c r="C85" s="64" t="s">
        <v>3932</v>
      </c>
      <c r="D85" s="57" t="s">
        <v>3933</v>
      </c>
      <c r="E85" s="49" t="s">
        <v>3934</v>
      </c>
      <c r="F85" s="49" t="s">
        <v>460</v>
      </c>
      <c r="G85" s="47" t="s">
        <v>3935</v>
      </c>
      <c r="H85" s="50" t="s">
        <v>3936</v>
      </c>
      <c r="I85" s="48" t="s">
        <v>3937</v>
      </c>
      <c r="J85" s="68" t="s">
        <v>3938</v>
      </c>
      <c r="K85" s="47" t="s">
        <v>3939</v>
      </c>
      <c r="L85" s="47" t="s">
        <v>3940</v>
      </c>
      <c r="M85" s="47" t="s">
        <v>3941</v>
      </c>
      <c r="N85" s="47"/>
      <c r="O85" s="310"/>
      <c r="P85" s="52"/>
    </row>
    <row r="86" spans="1:16" ht="14.25" customHeight="1">
      <c r="A86" s="26">
        <v>4</v>
      </c>
      <c r="B86" s="47"/>
      <c r="C86" s="63" t="s">
        <v>3942</v>
      </c>
      <c r="D86" s="56" t="s">
        <v>3943</v>
      </c>
      <c r="E86" s="47" t="s">
        <v>3944</v>
      </c>
      <c r="F86" s="47" t="s">
        <v>65</v>
      </c>
      <c r="G86" s="47" t="s">
        <v>3945</v>
      </c>
      <c r="H86" s="50" t="s">
        <v>3946</v>
      </c>
      <c r="I86" s="55" t="s">
        <v>3947</v>
      </c>
      <c r="J86" s="51" t="s">
        <v>3948</v>
      </c>
      <c r="K86" s="47" t="s">
        <v>3949</v>
      </c>
      <c r="L86" s="47" t="s">
        <v>3950</v>
      </c>
      <c r="M86" s="47" t="s">
        <v>3951</v>
      </c>
      <c r="N86" s="47"/>
      <c r="O86" s="310"/>
      <c r="P86" s="52"/>
    </row>
    <row r="87" spans="1:16" ht="14.25" customHeight="1">
      <c r="A87" s="26">
        <v>5</v>
      </c>
      <c r="B87" s="47"/>
      <c r="C87" s="64" t="s">
        <v>3952</v>
      </c>
      <c r="D87" s="57" t="s">
        <v>3953</v>
      </c>
      <c r="E87" s="49" t="s">
        <v>3954</v>
      </c>
      <c r="F87" s="49" t="s">
        <v>65</v>
      </c>
      <c r="G87" s="49" t="s">
        <v>3955</v>
      </c>
      <c r="H87" s="50" t="s">
        <v>3956</v>
      </c>
      <c r="I87" s="48" t="s">
        <v>3957</v>
      </c>
      <c r="J87" s="51" t="s">
        <v>3958</v>
      </c>
      <c r="K87" s="47" t="s">
        <v>3959</v>
      </c>
      <c r="L87" s="47" t="s">
        <v>3960</v>
      </c>
      <c r="M87" s="47" t="s">
        <v>3961</v>
      </c>
      <c r="N87" s="47"/>
      <c r="O87" s="310"/>
      <c r="P87" s="52"/>
    </row>
    <row r="88" spans="1:16" ht="14.25" customHeight="1">
      <c r="A88" s="26">
        <v>6</v>
      </c>
      <c r="B88" s="47"/>
      <c r="C88" s="64" t="s">
        <v>3962</v>
      </c>
      <c r="D88" s="57" t="s">
        <v>3963</v>
      </c>
      <c r="E88" s="49" t="s">
        <v>3964</v>
      </c>
      <c r="F88" s="49" t="s">
        <v>54</v>
      </c>
      <c r="G88" s="49" t="s">
        <v>3965</v>
      </c>
      <c r="H88" s="50" t="s">
        <v>3966</v>
      </c>
      <c r="I88" s="48" t="s">
        <v>3967</v>
      </c>
      <c r="J88" s="51" t="s">
        <v>3968</v>
      </c>
      <c r="K88" s="47" t="s">
        <v>3969</v>
      </c>
      <c r="L88" s="47" t="s">
        <v>3970</v>
      </c>
      <c r="M88" s="47" t="s">
        <v>3971</v>
      </c>
      <c r="N88" s="47"/>
      <c r="O88" s="310"/>
      <c r="P88" s="52"/>
    </row>
    <row r="89" spans="1:16" ht="14.25" customHeight="1">
      <c r="A89" s="26">
        <v>7</v>
      </c>
      <c r="B89" s="47"/>
      <c r="C89" s="64" t="s">
        <v>3972</v>
      </c>
      <c r="D89" s="57" t="s">
        <v>3973</v>
      </c>
      <c r="E89" s="49" t="s">
        <v>3974</v>
      </c>
      <c r="F89" s="49" t="s">
        <v>117</v>
      </c>
      <c r="G89" s="49" t="s">
        <v>3975</v>
      </c>
      <c r="H89" s="50" t="s">
        <v>3976</v>
      </c>
      <c r="I89" s="48" t="s">
        <v>3977</v>
      </c>
      <c r="J89" s="51" t="s">
        <v>3978</v>
      </c>
      <c r="K89" s="47" t="s">
        <v>3979</v>
      </c>
      <c r="L89" s="47" t="s">
        <v>3980</v>
      </c>
      <c r="M89" s="47" t="s">
        <v>3981</v>
      </c>
      <c r="N89" s="47"/>
      <c r="O89" s="310"/>
      <c r="P89" s="52"/>
    </row>
    <row r="90" spans="1:16" ht="14.25" customHeight="1">
      <c r="A90" s="26">
        <v>8</v>
      </c>
      <c r="B90" s="47"/>
      <c r="C90" s="64" t="s">
        <v>3982</v>
      </c>
      <c r="D90" s="57" t="s">
        <v>3983</v>
      </c>
      <c r="E90" s="49" t="s">
        <v>3984</v>
      </c>
      <c r="F90" s="49" t="s">
        <v>54</v>
      </c>
      <c r="G90" s="49" t="s">
        <v>3985</v>
      </c>
      <c r="H90" s="50" t="s">
        <v>3986</v>
      </c>
      <c r="I90" s="48" t="s">
        <v>3987</v>
      </c>
      <c r="J90" s="51" t="s">
        <v>3988</v>
      </c>
      <c r="K90" s="47" t="s">
        <v>3989</v>
      </c>
      <c r="L90" s="47" t="s">
        <v>3990</v>
      </c>
      <c r="M90" s="47" t="s">
        <v>3991</v>
      </c>
      <c r="N90" s="47"/>
      <c r="O90" s="310"/>
      <c r="P90" s="52"/>
    </row>
    <row r="91" spans="1:16" ht="14.25" customHeight="1">
      <c r="A91" s="26">
        <v>9</v>
      </c>
      <c r="B91" s="47"/>
      <c r="C91" s="64" t="s">
        <v>3992</v>
      </c>
      <c r="D91" s="57" t="s">
        <v>3993</v>
      </c>
      <c r="E91" s="49" t="s">
        <v>3994</v>
      </c>
      <c r="F91" s="49" t="s">
        <v>65</v>
      </c>
      <c r="G91" s="49" t="s">
        <v>3995</v>
      </c>
      <c r="H91" s="50" t="s">
        <v>3996</v>
      </c>
      <c r="I91" s="48" t="s">
        <v>3997</v>
      </c>
      <c r="J91" s="51" t="s">
        <v>3998</v>
      </c>
      <c r="K91" s="47" t="s">
        <v>3999</v>
      </c>
      <c r="L91" s="47" t="s">
        <v>4000</v>
      </c>
      <c r="M91" s="47" t="s">
        <v>4001</v>
      </c>
      <c r="N91" s="47"/>
      <c r="O91" s="310"/>
      <c r="P91" s="52"/>
    </row>
    <row r="92" spans="1:16" ht="14.25" customHeight="1">
      <c r="A92" s="26">
        <v>10</v>
      </c>
      <c r="B92" s="47"/>
      <c r="C92" s="64" t="s">
        <v>4002</v>
      </c>
      <c r="D92" s="57" t="s">
        <v>4003</v>
      </c>
      <c r="E92" s="49" t="s">
        <v>4004</v>
      </c>
      <c r="F92" s="49" t="s">
        <v>65</v>
      </c>
      <c r="G92" s="49" t="s">
        <v>4005</v>
      </c>
      <c r="H92" s="50" t="s">
        <v>4006</v>
      </c>
      <c r="I92" s="48" t="s">
        <v>4007</v>
      </c>
      <c r="J92" s="51" t="s">
        <v>4008</v>
      </c>
      <c r="K92" s="47" t="s">
        <v>4009</v>
      </c>
      <c r="L92" s="47" t="s">
        <v>4010</v>
      </c>
      <c r="M92" s="47" t="s">
        <v>4011</v>
      </c>
      <c r="N92" s="47"/>
      <c r="O92" s="310"/>
      <c r="P92" s="52"/>
    </row>
    <row r="93" spans="1:16" ht="14.25" customHeight="1">
      <c r="A93" s="26">
        <v>11</v>
      </c>
      <c r="B93" s="47"/>
      <c r="C93" s="64" t="s">
        <v>4012</v>
      </c>
      <c r="D93" s="57" t="s">
        <v>3570</v>
      </c>
      <c r="E93" s="49" t="s">
        <v>3571</v>
      </c>
      <c r="F93" s="49" t="s">
        <v>117</v>
      </c>
      <c r="G93" s="49" t="s">
        <v>4013</v>
      </c>
      <c r="H93" s="50" t="s">
        <v>4014</v>
      </c>
      <c r="I93" s="48" t="s">
        <v>4015</v>
      </c>
      <c r="J93" s="51" t="s">
        <v>4016</v>
      </c>
      <c r="K93" s="47" t="s">
        <v>4017</v>
      </c>
      <c r="L93" s="47" t="s">
        <v>4018</v>
      </c>
      <c r="M93" s="47" t="s">
        <v>4019</v>
      </c>
      <c r="N93" s="47"/>
      <c r="O93" s="310"/>
      <c r="P93" s="52"/>
    </row>
    <row r="94" spans="1:16" ht="14.25" customHeight="1">
      <c r="A94" s="26">
        <v>12</v>
      </c>
      <c r="B94" s="47"/>
      <c r="C94" s="63" t="s">
        <v>4020</v>
      </c>
      <c r="D94" s="56" t="s">
        <v>4021</v>
      </c>
      <c r="E94" s="47" t="s">
        <v>319</v>
      </c>
      <c r="F94" s="47" t="s">
        <v>320</v>
      </c>
      <c r="G94" s="47" t="s">
        <v>4022</v>
      </c>
      <c r="H94" s="50" t="s">
        <v>4023</v>
      </c>
      <c r="I94" s="55" t="s">
        <v>4024</v>
      </c>
      <c r="J94" s="51" t="s">
        <v>4025</v>
      </c>
      <c r="K94" s="47" t="s">
        <v>4026</v>
      </c>
      <c r="L94" s="47" t="s">
        <v>4027</v>
      </c>
      <c r="M94" s="47" t="s">
        <v>4028</v>
      </c>
      <c r="N94" s="47"/>
      <c r="O94" s="310"/>
      <c r="P94" s="52"/>
    </row>
    <row r="95" spans="1:16" ht="14.25" customHeight="1">
      <c r="A95" s="26">
        <v>13</v>
      </c>
      <c r="B95" s="47"/>
      <c r="C95" s="64" t="s">
        <v>4029</v>
      </c>
      <c r="D95" s="57" t="s">
        <v>4030</v>
      </c>
      <c r="E95" s="49" t="s">
        <v>4031</v>
      </c>
      <c r="F95" s="49" t="s">
        <v>65</v>
      </c>
      <c r="G95" s="49" t="s">
        <v>4032</v>
      </c>
      <c r="H95" s="50" t="s">
        <v>4033</v>
      </c>
      <c r="I95" s="48" t="s">
        <v>4034</v>
      </c>
      <c r="J95" s="51" t="s">
        <v>4035</v>
      </c>
      <c r="K95" s="47" t="s">
        <v>4036</v>
      </c>
      <c r="L95" s="47" t="s">
        <v>4037</v>
      </c>
      <c r="M95" s="47" t="s">
        <v>4038</v>
      </c>
      <c r="N95" s="47"/>
      <c r="O95" s="310"/>
      <c r="P95" s="52"/>
    </row>
    <row r="96" spans="1:16" ht="14.25" customHeight="1">
      <c r="A96" s="26">
        <v>14</v>
      </c>
      <c r="B96" s="47"/>
      <c r="C96" s="64" t="s">
        <v>4039</v>
      </c>
      <c r="D96" s="57" t="s">
        <v>4040</v>
      </c>
      <c r="E96" s="49" t="s">
        <v>4041</v>
      </c>
      <c r="F96" s="49" t="s">
        <v>54</v>
      </c>
      <c r="G96" s="47" t="s">
        <v>4042</v>
      </c>
      <c r="H96" s="50" t="s">
        <v>4043</v>
      </c>
      <c r="I96" s="48" t="s">
        <v>4044</v>
      </c>
      <c r="J96" s="51" t="s">
        <v>4045</v>
      </c>
      <c r="K96" s="47" t="s">
        <v>4046</v>
      </c>
      <c r="L96" s="47" t="s">
        <v>4047</v>
      </c>
      <c r="M96" s="47" t="s">
        <v>4048</v>
      </c>
      <c r="N96" s="47"/>
      <c r="O96" s="311"/>
      <c r="P96" s="52"/>
    </row>
    <row r="97" spans="1:16" ht="14.25" customHeight="1">
      <c r="A97" s="40">
        <v>1</v>
      </c>
      <c r="B97" s="41"/>
      <c r="C97" s="67" t="s">
        <v>4049</v>
      </c>
      <c r="D97" s="45" t="s">
        <v>4050</v>
      </c>
      <c r="E97" s="41" t="s">
        <v>4051</v>
      </c>
      <c r="F97" s="41" t="s">
        <v>501</v>
      </c>
      <c r="G97" s="41" t="s">
        <v>4052</v>
      </c>
      <c r="H97" s="43" t="s">
        <v>4053</v>
      </c>
      <c r="I97" s="42" t="s">
        <v>4054</v>
      </c>
      <c r="J97" s="44" t="s">
        <v>4055</v>
      </c>
      <c r="K97" s="41" t="s">
        <v>4056</v>
      </c>
      <c r="L97" s="41" t="s">
        <v>4057</v>
      </c>
      <c r="M97" s="41" t="s">
        <v>4058</v>
      </c>
      <c r="N97" s="41">
        <v>7</v>
      </c>
      <c r="O97" s="45" t="s">
        <v>38</v>
      </c>
      <c r="P97" s="46"/>
    </row>
    <row r="98" spans="1:16" ht="14.25" customHeight="1">
      <c r="A98" s="26">
        <v>2</v>
      </c>
      <c r="B98" s="47"/>
      <c r="C98" s="64" t="s">
        <v>4059</v>
      </c>
      <c r="D98" s="57" t="s">
        <v>4060</v>
      </c>
      <c r="E98" s="49" t="s">
        <v>4061</v>
      </c>
      <c r="F98" s="49" t="s">
        <v>501</v>
      </c>
      <c r="G98" s="49" t="s">
        <v>4062</v>
      </c>
      <c r="H98" s="50" t="s">
        <v>4063</v>
      </c>
      <c r="I98" s="48" t="s">
        <v>4064</v>
      </c>
      <c r="J98" s="51" t="s">
        <v>4065</v>
      </c>
      <c r="K98" s="47" t="s">
        <v>4066</v>
      </c>
      <c r="L98" s="47" t="s">
        <v>4067</v>
      </c>
      <c r="M98" s="47" t="s">
        <v>4068</v>
      </c>
      <c r="N98" s="47"/>
      <c r="O98" s="312" t="s">
        <v>4069</v>
      </c>
      <c r="P98" s="52"/>
    </row>
    <row r="99" spans="1:16" ht="14.25" customHeight="1">
      <c r="A99" s="26">
        <v>3</v>
      </c>
      <c r="B99" s="47"/>
      <c r="C99" s="55" t="s">
        <v>4070</v>
      </c>
      <c r="D99" s="56" t="s">
        <v>4071</v>
      </c>
      <c r="E99" s="47" t="s">
        <v>4072</v>
      </c>
      <c r="F99" s="47" t="s">
        <v>117</v>
      </c>
      <c r="G99" s="47" t="s">
        <v>4073</v>
      </c>
      <c r="H99" s="50" t="s">
        <v>4074</v>
      </c>
      <c r="I99" s="55" t="s">
        <v>3734</v>
      </c>
      <c r="J99" s="51" t="s">
        <v>4075</v>
      </c>
      <c r="K99" s="47" t="s">
        <v>4076</v>
      </c>
      <c r="L99" s="47" t="s">
        <v>4077</v>
      </c>
      <c r="M99" s="47" t="s">
        <v>4078</v>
      </c>
      <c r="N99" s="47"/>
      <c r="O99" s="310"/>
      <c r="P99" s="52"/>
    </row>
    <row r="100" spans="1:16" ht="14.25" customHeight="1">
      <c r="A100" s="26">
        <v>4</v>
      </c>
      <c r="B100" s="47"/>
      <c r="C100" s="30" t="s">
        <v>4079</v>
      </c>
      <c r="D100" s="57" t="s">
        <v>4080</v>
      </c>
      <c r="E100" s="49" t="s">
        <v>4081</v>
      </c>
      <c r="F100" s="26" t="s">
        <v>117</v>
      </c>
      <c r="G100" s="26" t="s">
        <v>4082</v>
      </c>
      <c r="H100" s="50" t="s">
        <v>4083</v>
      </c>
      <c r="I100" s="30" t="s">
        <v>4084</v>
      </c>
      <c r="J100" s="51" t="s">
        <v>4085</v>
      </c>
      <c r="K100" s="47" t="s">
        <v>4086</v>
      </c>
      <c r="L100" s="47" t="s">
        <v>4087</v>
      </c>
      <c r="M100" s="47" t="s">
        <v>4088</v>
      </c>
      <c r="N100" s="47"/>
      <c r="O100" s="310"/>
      <c r="P100" s="52"/>
    </row>
    <row r="101" spans="1:16" ht="14.25" customHeight="1">
      <c r="A101" s="26">
        <v>5</v>
      </c>
      <c r="B101" s="47"/>
      <c r="C101" s="30" t="s">
        <v>4089</v>
      </c>
      <c r="D101" s="56" t="s">
        <v>4090</v>
      </c>
      <c r="E101" s="47" t="s">
        <v>4091</v>
      </c>
      <c r="F101" s="26" t="s">
        <v>65</v>
      </c>
      <c r="G101" s="26" t="s">
        <v>4092</v>
      </c>
      <c r="H101" s="50" t="s">
        <v>4093</v>
      </c>
      <c r="I101" s="30" t="s">
        <v>4094</v>
      </c>
      <c r="J101" s="51" t="s">
        <v>4095</v>
      </c>
      <c r="K101" s="47" t="s">
        <v>4096</v>
      </c>
      <c r="L101" s="47" t="s">
        <v>4097</v>
      </c>
      <c r="M101" s="47" t="s">
        <v>4098</v>
      </c>
      <c r="N101" s="47"/>
      <c r="O101" s="310"/>
      <c r="P101" s="52"/>
    </row>
    <row r="102" spans="1:16" ht="14.25" customHeight="1">
      <c r="A102" s="26">
        <v>6</v>
      </c>
      <c r="B102" s="47"/>
      <c r="C102" s="30" t="s">
        <v>4099</v>
      </c>
      <c r="D102" s="57" t="s">
        <v>4100</v>
      </c>
      <c r="E102" s="49" t="s">
        <v>4101</v>
      </c>
      <c r="F102" s="26" t="s">
        <v>4102</v>
      </c>
      <c r="G102" s="26" t="s">
        <v>4103</v>
      </c>
      <c r="H102" s="50" t="s">
        <v>4104</v>
      </c>
      <c r="I102" s="30" t="s">
        <v>4105</v>
      </c>
      <c r="J102" s="51" t="s">
        <v>4106</v>
      </c>
      <c r="K102" s="47" t="s">
        <v>4107</v>
      </c>
      <c r="L102" s="47" t="s">
        <v>4108</v>
      </c>
      <c r="M102" s="47" t="s">
        <v>4109</v>
      </c>
      <c r="N102" s="47"/>
      <c r="O102" s="310"/>
      <c r="P102" s="52"/>
    </row>
    <row r="103" spans="1:16" ht="14.25" customHeight="1">
      <c r="A103" s="26">
        <v>7</v>
      </c>
      <c r="B103" s="47"/>
      <c r="C103" s="30" t="s">
        <v>4110</v>
      </c>
      <c r="D103" s="57" t="s">
        <v>4111</v>
      </c>
      <c r="E103" s="49" t="s">
        <v>4112</v>
      </c>
      <c r="F103" s="26" t="s">
        <v>117</v>
      </c>
      <c r="G103" s="26" t="s">
        <v>4113</v>
      </c>
      <c r="H103" s="50" t="s">
        <v>4114</v>
      </c>
      <c r="I103" s="30" t="s">
        <v>4115</v>
      </c>
      <c r="J103" s="51" t="s">
        <v>4116</v>
      </c>
      <c r="K103" s="47" t="s">
        <v>4117</v>
      </c>
      <c r="L103" s="47" t="s">
        <v>4118</v>
      </c>
      <c r="M103" s="47" t="s">
        <v>4119</v>
      </c>
      <c r="N103" s="47"/>
      <c r="O103" s="310"/>
      <c r="P103" s="52"/>
    </row>
    <row r="104" spans="1:16" ht="14.25" customHeight="1">
      <c r="A104" s="26">
        <v>8</v>
      </c>
      <c r="B104" s="47"/>
      <c r="C104" s="30" t="s">
        <v>4120</v>
      </c>
      <c r="D104" s="57" t="s">
        <v>4121</v>
      </c>
      <c r="E104" s="49" t="s">
        <v>4122</v>
      </c>
      <c r="F104" s="26" t="s">
        <v>65</v>
      </c>
      <c r="G104" s="26" t="s">
        <v>4123</v>
      </c>
      <c r="H104" s="50" t="s">
        <v>4124</v>
      </c>
      <c r="I104" s="55" t="s">
        <v>4125</v>
      </c>
      <c r="J104" s="51" t="s">
        <v>4126</v>
      </c>
      <c r="K104" s="47" t="s">
        <v>4127</v>
      </c>
      <c r="L104" s="47" t="s">
        <v>4128</v>
      </c>
      <c r="M104" s="47" t="s">
        <v>4129</v>
      </c>
      <c r="N104" s="47"/>
      <c r="O104" s="310"/>
      <c r="P104" s="52"/>
    </row>
    <row r="105" spans="1:16" ht="14.25" customHeight="1">
      <c r="A105" s="26">
        <v>9</v>
      </c>
      <c r="B105" s="47"/>
      <c r="C105" s="30" t="s">
        <v>4130</v>
      </c>
      <c r="D105" s="57" t="s">
        <v>4131</v>
      </c>
      <c r="E105" s="49" t="s">
        <v>4132</v>
      </c>
      <c r="F105" s="26" t="s">
        <v>65</v>
      </c>
      <c r="G105" s="26" t="s">
        <v>4133</v>
      </c>
      <c r="H105" s="50" t="s">
        <v>4134</v>
      </c>
      <c r="I105" s="55" t="s">
        <v>4135</v>
      </c>
      <c r="J105" s="51" t="s">
        <v>4136</v>
      </c>
      <c r="K105" s="47" t="s">
        <v>4137</v>
      </c>
      <c r="L105" s="47" t="s">
        <v>4138</v>
      </c>
      <c r="M105" s="47" t="s">
        <v>4139</v>
      </c>
      <c r="N105" s="47"/>
      <c r="O105" s="310"/>
      <c r="P105" s="52"/>
    </row>
    <row r="106" spans="1:16" ht="14.25" customHeight="1">
      <c r="A106" s="26">
        <v>10</v>
      </c>
      <c r="B106" s="47"/>
      <c r="C106" s="30" t="s">
        <v>4140</v>
      </c>
      <c r="D106" s="57" t="s">
        <v>4141</v>
      </c>
      <c r="E106" s="49" t="s">
        <v>4142</v>
      </c>
      <c r="F106" s="26" t="s">
        <v>4143</v>
      </c>
      <c r="G106" s="26" t="s">
        <v>4144</v>
      </c>
      <c r="H106" s="50" t="s">
        <v>4145</v>
      </c>
      <c r="I106" s="55" t="s">
        <v>3734</v>
      </c>
      <c r="J106" s="51" t="s">
        <v>4075</v>
      </c>
      <c r="K106" s="47" t="s">
        <v>4146</v>
      </c>
      <c r="L106" s="47" t="s">
        <v>4147</v>
      </c>
      <c r="M106" s="47" t="s">
        <v>4148</v>
      </c>
      <c r="N106" s="47"/>
      <c r="O106" s="310"/>
      <c r="P106" s="52"/>
    </row>
    <row r="107" spans="1:16" ht="14.25" customHeight="1">
      <c r="A107" s="26">
        <v>11</v>
      </c>
      <c r="B107" s="47"/>
      <c r="C107" s="29" t="s">
        <v>4149</v>
      </c>
      <c r="D107" s="57" t="s">
        <v>4150</v>
      </c>
      <c r="E107" s="49" t="s">
        <v>4151</v>
      </c>
      <c r="F107" s="27" t="s">
        <v>117</v>
      </c>
      <c r="G107" s="27" t="s">
        <v>4152</v>
      </c>
      <c r="H107" s="50" t="s">
        <v>4153</v>
      </c>
      <c r="I107" s="48" t="s">
        <v>4154</v>
      </c>
      <c r="J107" s="54" t="s">
        <v>4075</v>
      </c>
      <c r="K107" s="47" t="s">
        <v>4155</v>
      </c>
      <c r="L107" s="47" t="s">
        <v>4156</v>
      </c>
      <c r="M107" s="47" t="s">
        <v>4157</v>
      </c>
      <c r="N107" s="47"/>
      <c r="O107" s="310"/>
      <c r="P107" s="52"/>
    </row>
    <row r="108" spans="1:16" ht="14.25" customHeight="1">
      <c r="A108" s="26">
        <v>12</v>
      </c>
      <c r="B108" s="47"/>
      <c r="C108" s="30" t="s">
        <v>4158</v>
      </c>
      <c r="D108" s="57" t="s">
        <v>4159</v>
      </c>
      <c r="E108" s="49" t="s">
        <v>4160</v>
      </c>
      <c r="F108" s="26" t="s">
        <v>117</v>
      </c>
      <c r="G108" s="26" t="s">
        <v>4161</v>
      </c>
      <c r="H108" s="50" t="s">
        <v>4162</v>
      </c>
      <c r="I108" s="55" t="s">
        <v>4163</v>
      </c>
      <c r="J108" s="51" t="s">
        <v>4164</v>
      </c>
      <c r="K108" s="47" t="s">
        <v>4165</v>
      </c>
      <c r="L108" s="47" t="s">
        <v>4166</v>
      </c>
      <c r="M108" s="47" t="s">
        <v>4167</v>
      </c>
      <c r="N108" s="47"/>
      <c r="O108" s="310"/>
      <c r="P108" s="52"/>
    </row>
    <row r="109" spans="1:16" ht="14.25" customHeight="1">
      <c r="A109" s="26">
        <v>13</v>
      </c>
      <c r="B109" s="47"/>
      <c r="C109" s="55" t="s">
        <v>4168</v>
      </c>
      <c r="D109" s="56" t="s">
        <v>4169</v>
      </c>
      <c r="E109" s="47" t="s">
        <v>4170</v>
      </c>
      <c r="F109" s="47" t="s">
        <v>117</v>
      </c>
      <c r="G109" s="47" t="s">
        <v>4161</v>
      </c>
      <c r="H109" s="50" t="s">
        <v>4171</v>
      </c>
      <c r="I109" s="55" t="s">
        <v>4172</v>
      </c>
      <c r="J109" s="51" t="s">
        <v>4173</v>
      </c>
      <c r="K109" s="47" t="s">
        <v>4174</v>
      </c>
      <c r="L109" s="47" t="s">
        <v>4175</v>
      </c>
      <c r="M109" s="47" t="s">
        <v>4176</v>
      </c>
      <c r="N109" s="47"/>
      <c r="O109" s="310"/>
      <c r="P109" s="52"/>
    </row>
    <row r="110" spans="1:16" ht="14.25" customHeight="1">
      <c r="A110" s="26">
        <v>14</v>
      </c>
      <c r="B110" s="47"/>
      <c r="C110" s="55" t="s">
        <v>4177</v>
      </c>
      <c r="D110" s="56" t="s">
        <v>4178</v>
      </c>
      <c r="E110" s="47" t="s">
        <v>4179</v>
      </c>
      <c r="F110" s="47" t="s">
        <v>65</v>
      </c>
      <c r="G110" s="47" t="s">
        <v>4180</v>
      </c>
      <c r="H110" s="50" t="s">
        <v>4181</v>
      </c>
      <c r="I110" s="55" t="s">
        <v>4182</v>
      </c>
      <c r="J110" s="51" t="s">
        <v>4183</v>
      </c>
      <c r="K110" s="47" t="s">
        <v>4184</v>
      </c>
      <c r="L110" s="47" t="s">
        <v>4185</v>
      </c>
      <c r="M110" s="47" t="s">
        <v>4186</v>
      </c>
      <c r="N110" s="47"/>
      <c r="O110" s="310"/>
      <c r="P110" s="52"/>
    </row>
    <row r="111" spans="1:16" ht="14.25" customHeight="1">
      <c r="A111" s="26">
        <v>15</v>
      </c>
      <c r="B111" s="47"/>
      <c r="C111" s="55" t="s">
        <v>4187</v>
      </c>
      <c r="D111" s="56" t="s">
        <v>4188</v>
      </c>
      <c r="E111" s="47" t="s">
        <v>4189</v>
      </c>
      <c r="F111" s="47" t="s">
        <v>117</v>
      </c>
      <c r="G111" s="47" t="s">
        <v>4190</v>
      </c>
      <c r="H111" s="50" t="s">
        <v>4191</v>
      </c>
      <c r="I111" s="55" t="s">
        <v>4192</v>
      </c>
      <c r="J111" s="51" t="s">
        <v>4193</v>
      </c>
      <c r="K111" s="47" t="s">
        <v>4194</v>
      </c>
      <c r="L111" s="47" t="s">
        <v>4195</v>
      </c>
      <c r="M111" s="47" t="s">
        <v>4196</v>
      </c>
      <c r="N111" s="47"/>
      <c r="O111" s="311"/>
      <c r="P111" s="52"/>
    </row>
    <row r="112" spans="1:16" ht="14.25" customHeight="1">
      <c r="A112" s="40">
        <v>1</v>
      </c>
      <c r="B112" s="41"/>
      <c r="C112" s="58" t="s">
        <v>4197</v>
      </c>
      <c r="D112" s="45" t="s">
        <v>4198</v>
      </c>
      <c r="E112" s="41" t="s">
        <v>4199</v>
      </c>
      <c r="F112" s="40" t="s">
        <v>65</v>
      </c>
      <c r="G112" s="40" t="s">
        <v>4200</v>
      </c>
      <c r="H112" s="43" t="s">
        <v>4201</v>
      </c>
      <c r="I112" s="42" t="s">
        <v>4202</v>
      </c>
      <c r="J112" s="44" t="s">
        <v>4203</v>
      </c>
      <c r="K112" s="41" t="s">
        <v>4204</v>
      </c>
      <c r="L112" s="41" t="s">
        <v>4205</v>
      </c>
      <c r="M112" s="41" t="s">
        <v>4206</v>
      </c>
      <c r="N112" s="41">
        <v>8</v>
      </c>
      <c r="O112" s="45" t="s">
        <v>38</v>
      </c>
      <c r="P112" s="46"/>
    </row>
    <row r="113" spans="1:16" ht="14.25" customHeight="1">
      <c r="A113" s="26">
        <v>2</v>
      </c>
      <c r="B113" s="47"/>
      <c r="C113" s="30" t="s">
        <v>4207</v>
      </c>
      <c r="D113" s="57" t="s">
        <v>4208</v>
      </c>
      <c r="E113" s="49" t="s">
        <v>4209</v>
      </c>
      <c r="F113" s="26" t="s">
        <v>65</v>
      </c>
      <c r="G113" s="26" t="s">
        <v>4210</v>
      </c>
      <c r="H113" s="50" t="s">
        <v>4211</v>
      </c>
      <c r="I113" s="55" t="s">
        <v>4212</v>
      </c>
      <c r="J113" s="51" t="s">
        <v>4213</v>
      </c>
      <c r="K113" s="47" t="s">
        <v>4214</v>
      </c>
      <c r="L113" s="47" t="s">
        <v>4215</v>
      </c>
      <c r="M113" s="47" t="s">
        <v>4216</v>
      </c>
      <c r="N113" s="47"/>
      <c r="O113" s="312" t="s">
        <v>4217</v>
      </c>
      <c r="P113" s="52"/>
    </row>
    <row r="114" spans="1:16" ht="14.25" customHeight="1">
      <c r="A114" s="26">
        <v>3</v>
      </c>
      <c r="B114" s="47"/>
      <c r="C114" s="30" t="s">
        <v>4218</v>
      </c>
      <c r="D114" s="57" t="s">
        <v>4219</v>
      </c>
      <c r="E114" s="49" t="s">
        <v>4220</v>
      </c>
      <c r="F114" s="26" t="s">
        <v>65</v>
      </c>
      <c r="G114" s="26" t="s">
        <v>4210</v>
      </c>
      <c r="H114" s="50" t="s">
        <v>4221</v>
      </c>
      <c r="I114" s="55" t="s">
        <v>4222</v>
      </c>
      <c r="J114" s="51" t="s">
        <v>4223</v>
      </c>
      <c r="K114" s="47" t="s">
        <v>4224</v>
      </c>
      <c r="L114" s="47" t="s">
        <v>4225</v>
      </c>
      <c r="M114" s="47" t="s">
        <v>4226</v>
      </c>
      <c r="N114" s="47"/>
      <c r="O114" s="310"/>
      <c r="P114" s="52"/>
    </row>
    <row r="115" spans="1:16" ht="14.25" customHeight="1">
      <c r="A115" s="26">
        <v>4</v>
      </c>
      <c r="B115" s="47"/>
      <c r="C115" s="30" t="s">
        <v>4227</v>
      </c>
      <c r="D115" s="57" t="s">
        <v>4228</v>
      </c>
      <c r="E115" s="49" t="s">
        <v>4229</v>
      </c>
      <c r="F115" s="26" t="s">
        <v>501</v>
      </c>
      <c r="G115" s="26" t="s">
        <v>4230</v>
      </c>
      <c r="H115" s="50" t="s">
        <v>4231</v>
      </c>
      <c r="I115" s="55" t="s">
        <v>4232</v>
      </c>
      <c r="J115" s="51" t="s">
        <v>4233</v>
      </c>
      <c r="K115" s="47" t="s">
        <v>4234</v>
      </c>
      <c r="L115" s="47" t="s">
        <v>4235</v>
      </c>
      <c r="M115" s="47" t="s">
        <v>4236</v>
      </c>
      <c r="N115" s="47"/>
      <c r="O115" s="310"/>
      <c r="P115" s="52"/>
    </row>
    <row r="116" spans="1:16" ht="14.25" customHeight="1">
      <c r="A116" s="26">
        <v>5</v>
      </c>
      <c r="B116" s="47"/>
      <c r="C116" s="30" t="s">
        <v>4237</v>
      </c>
      <c r="D116" s="57" t="s">
        <v>4238</v>
      </c>
      <c r="E116" s="49" t="s">
        <v>4239</v>
      </c>
      <c r="F116" s="26" t="s">
        <v>65</v>
      </c>
      <c r="G116" s="26" t="s">
        <v>4240</v>
      </c>
      <c r="H116" s="50" t="s">
        <v>4241</v>
      </c>
      <c r="I116" s="55" t="s">
        <v>4242</v>
      </c>
      <c r="J116" s="51" t="s">
        <v>4243</v>
      </c>
      <c r="K116" s="47" t="s">
        <v>4244</v>
      </c>
      <c r="L116" s="47" t="s">
        <v>4245</v>
      </c>
      <c r="M116" s="47" t="s">
        <v>4246</v>
      </c>
      <c r="N116" s="47"/>
      <c r="O116" s="310"/>
      <c r="P116" s="52"/>
    </row>
    <row r="117" spans="1:16" ht="14.25" customHeight="1">
      <c r="A117" s="26">
        <v>6</v>
      </c>
      <c r="B117" s="47"/>
      <c r="C117" s="30" t="s">
        <v>4247</v>
      </c>
      <c r="D117" s="57" t="s">
        <v>4248</v>
      </c>
      <c r="E117" s="49" t="s">
        <v>4249</v>
      </c>
      <c r="F117" s="26" t="s">
        <v>65</v>
      </c>
      <c r="G117" s="26" t="s">
        <v>4240</v>
      </c>
      <c r="H117" s="50" t="s">
        <v>4250</v>
      </c>
      <c r="I117" s="55" t="s">
        <v>4251</v>
      </c>
      <c r="J117" s="51" t="s">
        <v>4252</v>
      </c>
      <c r="K117" s="47" t="s">
        <v>4253</v>
      </c>
      <c r="L117" s="47" t="s">
        <v>4254</v>
      </c>
      <c r="M117" s="47" t="s">
        <v>4255</v>
      </c>
      <c r="N117" s="47"/>
      <c r="O117" s="310"/>
      <c r="P117" s="52"/>
    </row>
    <row r="118" spans="1:16" ht="14.25" customHeight="1">
      <c r="A118" s="26">
        <v>7</v>
      </c>
      <c r="B118" s="47"/>
      <c r="C118" s="30" t="s">
        <v>4256</v>
      </c>
      <c r="D118" s="57" t="s">
        <v>4257</v>
      </c>
      <c r="E118" s="49" t="s">
        <v>4258</v>
      </c>
      <c r="F118" s="26" t="s">
        <v>117</v>
      </c>
      <c r="G118" s="26" t="s">
        <v>4259</v>
      </c>
      <c r="H118" s="50" t="s">
        <v>4260</v>
      </c>
      <c r="I118" s="55" t="s">
        <v>4261</v>
      </c>
      <c r="J118" s="51" t="s">
        <v>4262</v>
      </c>
      <c r="K118" s="47" t="s">
        <v>4263</v>
      </c>
      <c r="L118" s="47" t="s">
        <v>4264</v>
      </c>
      <c r="M118" s="47" t="s">
        <v>4265</v>
      </c>
      <c r="N118" s="47"/>
      <c r="O118" s="310"/>
      <c r="P118" s="52"/>
    </row>
    <row r="119" spans="1:16" ht="14.25" customHeight="1">
      <c r="A119" s="26">
        <v>8</v>
      </c>
      <c r="B119" s="47"/>
      <c r="C119" s="30" t="s">
        <v>4266</v>
      </c>
      <c r="D119" s="57" t="s">
        <v>4267</v>
      </c>
      <c r="E119" s="49" t="s">
        <v>4268</v>
      </c>
      <c r="F119" s="26" t="s">
        <v>65</v>
      </c>
      <c r="G119" s="26" t="s">
        <v>4269</v>
      </c>
      <c r="H119" s="50" t="s">
        <v>4270</v>
      </c>
      <c r="I119" s="55" t="s">
        <v>4271</v>
      </c>
      <c r="J119" s="51" t="s">
        <v>4272</v>
      </c>
      <c r="K119" s="47" t="s">
        <v>4273</v>
      </c>
      <c r="L119" s="47" t="s">
        <v>4274</v>
      </c>
      <c r="M119" s="47" t="s">
        <v>4275</v>
      </c>
      <c r="N119" s="47"/>
      <c r="O119" s="310"/>
      <c r="P119" s="52"/>
    </row>
    <row r="120" spans="1:16" ht="14.25" customHeight="1">
      <c r="A120" s="26">
        <v>9</v>
      </c>
      <c r="B120" s="47"/>
      <c r="C120" s="30" t="s">
        <v>4276</v>
      </c>
      <c r="D120" s="57" t="s">
        <v>4277</v>
      </c>
      <c r="E120" s="49" t="s">
        <v>4278</v>
      </c>
      <c r="F120" s="26"/>
      <c r="G120" s="26" t="s">
        <v>4279</v>
      </c>
      <c r="H120" s="50" t="s">
        <v>4280</v>
      </c>
      <c r="I120" s="55" t="s">
        <v>4281</v>
      </c>
      <c r="J120" s="51" t="s">
        <v>4282</v>
      </c>
      <c r="K120" s="47" t="s">
        <v>4283</v>
      </c>
      <c r="L120" s="47" t="s">
        <v>4284</v>
      </c>
      <c r="M120" s="47" t="s">
        <v>4285</v>
      </c>
      <c r="N120" s="47"/>
      <c r="O120" s="310"/>
      <c r="P120" s="52"/>
    </row>
    <row r="121" spans="1:16" ht="14.25" customHeight="1">
      <c r="A121" s="26">
        <v>10</v>
      </c>
      <c r="B121" s="47"/>
      <c r="C121" s="30" t="s">
        <v>1188</v>
      </c>
      <c r="D121" s="57" t="s">
        <v>1189</v>
      </c>
      <c r="E121" s="49" t="s">
        <v>1190</v>
      </c>
      <c r="F121" s="26" t="s">
        <v>1191</v>
      </c>
      <c r="G121" s="26" t="s">
        <v>1192</v>
      </c>
      <c r="H121" s="50" t="s">
        <v>4286</v>
      </c>
      <c r="I121" s="55" t="s">
        <v>1194</v>
      </c>
      <c r="J121" s="51" t="s">
        <v>1195</v>
      </c>
      <c r="K121" s="47" t="s">
        <v>4287</v>
      </c>
      <c r="L121" s="47" t="s">
        <v>4288</v>
      </c>
      <c r="M121" s="47" t="s">
        <v>4289</v>
      </c>
      <c r="N121" s="47"/>
      <c r="O121" s="310"/>
      <c r="P121" s="52"/>
    </row>
    <row r="122" spans="1:16" ht="14.25" customHeight="1">
      <c r="A122" s="26">
        <v>11</v>
      </c>
      <c r="B122" s="47"/>
      <c r="C122" s="55" t="s">
        <v>4290</v>
      </c>
      <c r="D122" s="56" t="s">
        <v>4291</v>
      </c>
      <c r="E122" s="47" t="s">
        <v>4292</v>
      </c>
      <c r="F122" s="47" t="s">
        <v>664</v>
      </c>
      <c r="G122" s="47" t="s">
        <v>4293</v>
      </c>
      <c r="H122" s="50" t="s">
        <v>4294</v>
      </c>
      <c r="I122" s="55" t="s">
        <v>4295</v>
      </c>
      <c r="J122" s="51" t="s">
        <v>4296</v>
      </c>
      <c r="K122" s="47" t="s">
        <v>4297</v>
      </c>
      <c r="L122" s="47" t="s">
        <v>4298</v>
      </c>
      <c r="M122" s="47" t="s">
        <v>4299</v>
      </c>
      <c r="N122" s="47"/>
      <c r="O122" s="310"/>
      <c r="P122" s="52"/>
    </row>
    <row r="123" spans="1:16" ht="14.25" customHeight="1">
      <c r="A123" s="26">
        <v>12</v>
      </c>
      <c r="B123" s="47"/>
      <c r="C123" s="30" t="s">
        <v>4300</v>
      </c>
      <c r="D123" s="57" t="s">
        <v>4301</v>
      </c>
      <c r="E123" s="49" t="s">
        <v>4302</v>
      </c>
      <c r="F123" s="26" t="s">
        <v>664</v>
      </c>
      <c r="G123" s="26" t="s">
        <v>3262</v>
      </c>
      <c r="H123" s="50" t="s">
        <v>4303</v>
      </c>
      <c r="I123" s="55" t="s">
        <v>4304</v>
      </c>
      <c r="J123" s="51" t="s">
        <v>4305</v>
      </c>
      <c r="K123" s="47" t="s">
        <v>4306</v>
      </c>
      <c r="L123" s="47" t="s">
        <v>4307</v>
      </c>
      <c r="M123" s="47" t="s">
        <v>4308</v>
      </c>
      <c r="N123" s="47"/>
      <c r="O123" s="310"/>
      <c r="P123" s="52"/>
    </row>
    <row r="124" spans="1:16" ht="14.25" customHeight="1">
      <c r="A124" s="26">
        <v>13</v>
      </c>
      <c r="B124" s="47"/>
      <c r="C124" s="30" t="s">
        <v>4309</v>
      </c>
      <c r="D124" s="57" t="s">
        <v>4310</v>
      </c>
      <c r="E124" s="49" t="s">
        <v>4311</v>
      </c>
      <c r="F124" s="26" t="s">
        <v>65</v>
      </c>
      <c r="G124" s="26" t="s">
        <v>4312</v>
      </c>
      <c r="H124" s="50" t="s">
        <v>4313</v>
      </c>
      <c r="I124" s="30" t="s">
        <v>4314</v>
      </c>
      <c r="J124" s="51" t="s">
        <v>4315</v>
      </c>
      <c r="K124" s="47" t="s">
        <v>4316</v>
      </c>
      <c r="L124" s="47" t="s">
        <v>4317</v>
      </c>
      <c r="M124" s="47" t="s">
        <v>4318</v>
      </c>
      <c r="N124" s="47"/>
      <c r="O124" s="310"/>
      <c r="P124" s="52"/>
    </row>
    <row r="125" spans="1:16" ht="14.25" customHeight="1">
      <c r="A125" s="26">
        <v>14</v>
      </c>
      <c r="B125" s="47"/>
      <c r="C125" s="30" t="s">
        <v>4319</v>
      </c>
      <c r="D125" s="57" t="s">
        <v>4320</v>
      </c>
      <c r="E125" s="49" t="s">
        <v>4321</v>
      </c>
      <c r="F125" s="26" t="s">
        <v>65</v>
      </c>
      <c r="G125" s="26" t="s">
        <v>4322</v>
      </c>
      <c r="H125" s="50" t="s">
        <v>4323</v>
      </c>
      <c r="I125" s="30" t="s">
        <v>4324</v>
      </c>
      <c r="J125" s="51" t="s">
        <v>4325</v>
      </c>
      <c r="K125" s="47" t="s">
        <v>4326</v>
      </c>
      <c r="L125" s="47" t="s">
        <v>4327</v>
      </c>
      <c r="M125" s="47" t="s">
        <v>4328</v>
      </c>
      <c r="N125" s="47"/>
      <c r="O125" s="310"/>
      <c r="P125" s="52"/>
    </row>
    <row r="126" spans="1:16" ht="14.25" customHeight="1">
      <c r="A126" s="26">
        <v>15</v>
      </c>
      <c r="B126" s="47"/>
      <c r="C126" s="30" t="s">
        <v>4329</v>
      </c>
      <c r="D126" s="57" t="s">
        <v>4330</v>
      </c>
      <c r="E126" s="49" t="s">
        <v>4331</v>
      </c>
      <c r="F126" s="26" t="s">
        <v>65</v>
      </c>
      <c r="G126" s="26" t="s">
        <v>4332</v>
      </c>
      <c r="H126" s="50" t="s">
        <v>4333</v>
      </c>
      <c r="I126" s="30" t="s">
        <v>4334</v>
      </c>
      <c r="J126" s="51" t="s">
        <v>4335</v>
      </c>
      <c r="K126" s="47" t="s">
        <v>4336</v>
      </c>
      <c r="L126" s="47" t="s">
        <v>4337</v>
      </c>
      <c r="M126" s="47" t="s">
        <v>4338</v>
      </c>
      <c r="N126" s="47"/>
      <c r="O126" s="310"/>
      <c r="P126" s="52"/>
    </row>
    <row r="127" spans="1:16" ht="14.25" customHeight="1">
      <c r="A127" s="26">
        <v>16</v>
      </c>
      <c r="B127" s="47"/>
      <c r="C127" s="30" t="s">
        <v>4339</v>
      </c>
      <c r="D127" s="57" t="s">
        <v>4340</v>
      </c>
      <c r="E127" s="49" t="s">
        <v>4341</v>
      </c>
      <c r="F127" s="26" t="s">
        <v>65</v>
      </c>
      <c r="G127" s="26" t="s">
        <v>4342</v>
      </c>
      <c r="H127" s="50" t="s">
        <v>4343</v>
      </c>
      <c r="I127" s="30" t="s">
        <v>4344</v>
      </c>
      <c r="J127" s="51" t="s">
        <v>4345</v>
      </c>
      <c r="K127" s="47" t="s">
        <v>4346</v>
      </c>
      <c r="L127" s="47" t="s">
        <v>4347</v>
      </c>
      <c r="M127" s="47" t="s">
        <v>4348</v>
      </c>
      <c r="N127" s="47"/>
      <c r="O127" s="311"/>
      <c r="P127" s="52"/>
    </row>
    <row r="128" spans="1:16" ht="14.25" customHeight="1">
      <c r="A128" s="40">
        <v>1</v>
      </c>
      <c r="B128" s="41"/>
      <c r="C128" s="58" t="s">
        <v>4349</v>
      </c>
      <c r="D128" s="45" t="s">
        <v>4350</v>
      </c>
      <c r="E128" s="41" t="s">
        <v>4351</v>
      </c>
      <c r="F128" s="40" t="s">
        <v>54</v>
      </c>
      <c r="G128" s="40" t="s">
        <v>4352</v>
      </c>
      <c r="H128" s="43" t="s">
        <v>4353</v>
      </c>
      <c r="I128" s="58" t="s">
        <v>4354</v>
      </c>
      <c r="J128" s="44" t="s">
        <v>4355</v>
      </c>
      <c r="K128" s="41" t="s">
        <v>4356</v>
      </c>
      <c r="L128" s="41" t="s">
        <v>4357</v>
      </c>
      <c r="M128" s="41" t="s">
        <v>4358</v>
      </c>
      <c r="N128" s="41">
        <v>9</v>
      </c>
      <c r="O128" s="45" t="s">
        <v>38</v>
      </c>
      <c r="P128" s="46"/>
    </row>
    <row r="129" spans="1:16" ht="14.25" customHeight="1">
      <c r="A129" s="26">
        <v>2</v>
      </c>
      <c r="B129" s="47"/>
      <c r="C129" s="30" t="s">
        <v>4359</v>
      </c>
      <c r="D129" s="57" t="s">
        <v>4360</v>
      </c>
      <c r="E129" s="49" t="s">
        <v>4361</v>
      </c>
      <c r="F129" s="26" t="s">
        <v>65</v>
      </c>
      <c r="G129" s="26" t="s">
        <v>4362</v>
      </c>
      <c r="H129" s="50" t="s">
        <v>4363</v>
      </c>
      <c r="I129" s="30" t="s">
        <v>4364</v>
      </c>
      <c r="J129" s="51" t="s">
        <v>4365</v>
      </c>
      <c r="K129" s="47" t="s">
        <v>4366</v>
      </c>
      <c r="L129" s="47" t="s">
        <v>4367</v>
      </c>
      <c r="M129" s="47" t="s">
        <v>4368</v>
      </c>
      <c r="N129" s="47"/>
      <c r="O129" s="312" t="s">
        <v>4369</v>
      </c>
      <c r="P129" s="52"/>
    </row>
    <row r="130" spans="1:16" ht="14.25" customHeight="1">
      <c r="A130" s="26">
        <v>3</v>
      </c>
      <c r="B130" s="47"/>
      <c r="C130" s="30" t="s">
        <v>4370</v>
      </c>
      <c r="D130" s="56" t="s">
        <v>4371</v>
      </c>
      <c r="E130" s="47" t="s">
        <v>4372</v>
      </c>
      <c r="F130" s="26" t="s">
        <v>65</v>
      </c>
      <c r="G130" s="26" t="s">
        <v>4373</v>
      </c>
      <c r="H130" s="50" t="s">
        <v>4374</v>
      </c>
      <c r="I130" s="30" t="s">
        <v>4375</v>
      </c>
      <c r="J130" s="51" t="s">
        <v>4376</v>
      </c>
      <c r="K130" s="47" t="s">
        <v>4377</v>
      </c>
      <c r="L130" s="47" t="s">
        <v>4378</v>
      </c>
      <c r="M130" s="47" t="s">
        <v>4379</v>
      </c>
      <c r="N130" s="47"/>
      <c r="O130" s="310"/>
      <c r="P130" s="52"/>
    </row>
    <row r="131" spans="1:16" ht="14.25" customHeight="1">
      <c r="A131" s="26">
        <v>4</v>
      </c>
      <c r="B131" s="47"/>
      <c r="C131" s="55" t="s">
        <v>4380</v>
      </c>
      <c r="D131" s="56" t="s">
        <v>4381</v>
      </c>
      <c r="E131" s="47" t="s">
        <v>4382</v>
      </c>
      <c r="F131" s="47" t="s">
        <v>42</v>
      </c>
      <c r="G131" s="47" t="s">
        <v>3432</v>
      </c>
      <c r="H131" s="50" t="s">
        <v>4383</v>
      </c>
      <c r="I131" s="55" t="s">
        <v>4384</v>
      </c>
      <c r="J131" s="51" t="s">
        <v>4385</v>
      </c>
      <c r="K131" s="47" t="s">
        <v>4386</v>
      </c>
      <c r="L131" s="47" t="s">
        <v>4387</v>
      </c>
      <c r="M131" s="47" t="s">
        <v>4388</v>
      </c>
      <c r="N131" s="47"/>
      <c r="O131" s="310"/>
      <c r="P131" s="52"/>
    </row>
    <row r="132" spans="1:16" ht="14.25" customHeight="1">
      <c r="A132" s="26">
        <v>5</v>
      </c>
      <c r="B132" s="47"/>
      <c r="C132" s="30" t="s">
        <v>4389</v>
      </c>
      <c r="D132" s="56" t="s">
        <v>4390</v>
      </c>
      <c r="E132" s="47" t="s">
        <v>4391</v>
      </c>
      <c r="F132" s="26" t="s">
        <v>4392</v>
      </c>
      <c r="G132" s="26" t="s">
        <v>4393</v>
      </c>
      <c r="H132" s="50" t="s">
        <v>4394</v>
      </c>
      <c r="I132" s="30" t="s">
        <v>4395</v>
      </c>
      <c r="J132" s="51" t="s">
        <v>4396</v>
      </c>
      <c r="K132" s="47" t="s">
        <v>4397</v>
      </c>
      <c r="L132" s="47" t="s">
        <v>4398</v>
      </c>
      <c r="M132" s="47" t="s">
        <v>4399</v>
      </c>
      <c r="N132" s="47"/>
      <c r="O132" s="310"/>
      <c r="P132" s="52"/>
    </row>
    <row r="133" spans="1:16" ht="14.25" customHeight="1">
      <c r="A133" s="26">
        <v>6</v>
      </c>
      <c r="B133" s="47"/>
      <c r="C133" s="30" t="s">
        <v>4400</v>
      </c>
      <c r="D133" s="56" t="s">
        <v>4401</v>
      </c>
      <c r="E133" s="47" t="s">
        <v>4402</v>
      </c>
      <c r="F133" s="26" t="s">
        <v>42</v>
      </c>
      <c r="G133" s="26" t="s">
        <v>4403</v>
      </c>
      <c r="H133" s="50" t="s">
        <v>4404</v>
      </c>
      <c r="I133" s="30" t="s">
        <v>4405</v>
      </c>
      <c r="J133" s="51" t="s">
        <v>4406</v>
      </c>
      <c r="K133" s="47" t="s">
        <v>4407</v>
      </c>
      <c r="L133" s="47" t="s">
        <v>4408</v>
      </c>
      <c r="M133" s="47" t="s">
        <v>4409</v>
      </c>
      <c r="N133" s="47"/>
      <c r="O133" s="310"/>
      <c r="P133" s="52"/>
    </row>
    <row r="134" spans="1:16" ht="14.25" customHeight="1">
      <c r="A134" s="26">
        <v>7</v>
      </c>
      <c r="B134" s="47"/>
      <c r="C134" s="30" t="s">
        <v>4410</v>
      </c>
      <c r="D134" s="56" t="s">
        <v>4411</v>
      </c>
      <c r="E134" s="47" t="s">
        <v>4412</v>
      </c>
      <c r="F134" s="26" t="s">
        <v>54</v>
      </c>
      <c r="G134" s="26" t="s">
        <v>4413</v>
      </c>
      <c r="H134" s="50" t="s">
        <v>4414</v>
      </c>
      <c r="I134" s="30" t="s">
        <v>4415</v>
      </c>
      <c r="J134" s="51" t="s">
        <v>4416</v>
      </c>
      <c r="K134" s="47" t="s">
        <v>4417</v>
      </c>
      <c r="L134" s="47" t="s">
        <v>4418</v>
      </c>
      <c r="M134" s="47" t="s">
        <v>4419</v>
      </c>
      <c r="N134" s="47"/>
      <c r="O134" s="310"/>
      <c r="P134" s="52"/>
    </row>
    <row r="135" spans="1:16" ht="14.25" customHeight="1">
      <c r="A135" s="26">
        <v>8</v>
      </c>
      <c r="B135" s="47"/>
      <c r="C135" s="30" t="s">
        <v>4420</v>
      </c>
      <c r="D135" s="56" t="s">
        <v>4421</v>
      </c>
      <c r="E135" s="47" t="s">
        <v>4422</v>
      </c>
      <c r="F135" s="26" t="s">
        <v>65</v>
      </c>
      <c r="G135" s="26" t="s">
        <v>4423</v>
      </c>
      <c r="H135" s="50" t="s">
        <v>4424</v>
      </c>
      <c r="I135" s="30" t="s">
        <v>4425</v>
      </c>
      <c r="J135" s="51" t="s">
        <v>4426</v>
      </c>
      <c r="K135" s="47" t="s">
        <v>4427</v>
      </c>
      <c r="L135" s="47" t="s">
        <v>4428</v>
      </c>
      <c r="M135" s="47" t="s">
        <v>4429</v>
      </c>
      <c r="N135" s="47"/>
      <c r="O135" s="310"/>
      <c r="P135" s="52"/>
    </row>
    <row r="136" spans="1:16" ht="14.25" customHeight="1">
      <c r="A136" s="26">
        <v>9</v>
      </c>
      <c r="B136" s="47"/>
      <c r="C136" s="30" t="s">
        <v>4430</v>
      </c>
      <c r="D136" s="56" t="s">
        <v>4431</v>
      </c>
      <c r="E136" s="47" t="s">
        <v>4432</v>
      </c>
      <c r="F136" s="26" t="s">
        <v>65</v>
      </c>
      <c r="G136" s="26" t="s">
        <v>4433</v>
      </c>
      <c r="H136" s="50" t="s">
        <v>4434</v>
      </c>
      <c r="I136" s="30" t="s">
        <v>4435</v>
      </c>
      <c r="J136" s="51" t="s">
        <v>4436</v>
      </c>
      <c r="K136" s="47" t="s">
        <v>4437</v>
      </c>
      <c r="L136" s="47" t="s">
        <v>4438</v>
      </c>
      <c r="M136" s="47" t="s">
        <v>4439</v>
      </c>
      <c r="N136" s="47"/>
      <c r="O136" s="310"/>
      <c r="P136" s="52"/>
    </row>
    <row r="137" spans="1:16" ht="14.25" customHeight="1">
      <c r="A137" s="26">
        <v>10</v>
      </c>
      <c r="B137" s="47"/>
      <c r="C137" s="30" t="s">
        <v>4440</v>
      </c>
      <c r="D137" s="56" t="s">
        <v>4441</v>
      </c>
      <c r="E137" s="47" t="s">
        <v>4442</v>
      </c>
      <c r="F137" s="26" t="s">
        <v>117</v>
      </c>
      <c r="G137" s="26" t="s">
        <v>4443</v>
      </c>
      <c r="H137" s="50" t="s">
        <v>4444</v>
      </c>
      <c r="I137" s="30" t="s">
        <v>4445</v>
      </c>
      <c r="J137" s="51" t="s">
        <v>4446</v>
      </c>
      <c r="K137" s="47" t="s">
        <v>4447</v>
      </c>
      <c r="L137" s="47" t="s">
        <v>4448</v>
      </c>
      <c r="M137" s="47" t="s">
        <v>4449</v>
      </c>
      <c r="N137" s="47"/>
      <c r="O137" s="310"/>
      <c r="P137" s="52"/>
    </row>
    <row r="138" spans="1:16" ht="14.25" customHeight="1">
      <c r="A138" s="26">
        <v>11</v>
      </c>
      <c r="B138" s="47"/>
      <c r="C138" s="30" t="s">
        <v>4450</v>
      </c>
      <c r="D138" s="56" t="s">
        <v>4451</v>
      </c>
      <c r="E138" s="47" t="s">
        <v>4452</v>
      </c>
      <c r="F138" s="26" t="s">
        <v>54</v>
      </c>
      <c r="G138" s="26" t="s">
        <v>4453</v>
      </c>
      <c r="H138" s="50" t="s">
        <v>4454</v>
      </c>
      <c r="I138" s="30" t="s">
        <v>4455</v>
      </c>
      <c r="J138" s="51" t="s">
        <v>4456</v>
      </c>
      <c r="K138" s="47" t="s">
        <v>4457</v>
      </c>
      <c r="L138" s="47" t="s">
        <v>4458</v>
      </c>
      <c r="M138" s="47" t="s">
        <v>4459</v>
      </c>
      <c r="N138" s="47"/>
      <c r="O138" s="310"/>
      <c r="P138" s="52"/>
    </row>
    <row r="139" spans="1:16" ht="14.25" customHeight="1">
      <c r="A139" s="26">
        <v>12</v>
      </c>
      <c r="B139" s="47"/>
      <c r="C139" s="30" t="s">
        <v>4460</v>
      </c>
      <c r="D139" s="56" t="s">
        <v>4461</v>
      </c>
      <c r="E139" s="47" t="s">
        <v>4462</v>
      </c>
      <c r="F139" s="26" t="s">
        <v>117</v>
      </c>
      <c r="G139" s="26" t="s">
        <v>4463</v>
      </c>
      <c r="H139" s="50" t="s">
        <v>4464</v>
      </c>
      <c r="I139" s="30" t="s">
        <v>4465</v>
      </c>
      <c r="J139" s="51" t="s">
        <v>4466</v>
      </c>
      <c r="K139" s="47" t="s">
        <v>4467</v>
      </c>
      <c r="L139" s="47" t="s">
        <v>4468</v>
      </c>
      <c r="M139" s="47" t="s">
        <v>4469</v>
      </c>
      <c r="N139" s="47"/>
      <c r="O139" s="310"/>
      <c r="P139" s="52"/>
    </row>
    <row r="140" spans="1:16" ht="14.25" customHeight="1">
      <c r="A140" s="26">
        <v>13</v>
      </c>
      <c r="B140" s="47"/>
      <c r="C140" s="30" t="s">
        <v>4470</v>
      </c>
      <c r="D140" s="56" t="s">
        <v>4471</v>
      </c>
      <c r="E140" s="47" t="s">
        <v>4472</v>
      </c>
      <c r="F140" s="26" t="s">
        <v>65</v>
      </c>
      <c r="G140" s="26" t="s">
        <v>4473</v>
      </c>
      <c r="H140" s="50" t="s">
        <v>4474</v>
      </c>
      <c r="I140" s="30" t="s">
        <v>4475</v>
      </c>
      <c r="J140" s="51" t="s">
        <v>4476</v>
      </c>
      <c r="K140" s="47" t="s">
        <v>4477</v>
      </c>
      <c r="L140" s="47" t="s">
        <v>4478</v>
      </c>
      <c r="M140" s="47" t="s">
        <v>4479</v>
      </c>
      <c r="N140" s="47"/>
      <c r="O140" s="311"/>
      <c r="P140" s="52"/>
    </row>
    <row r="141" spans="1:16" ht="14.25" customHeight="1">
      <c r="A141" s="40">
        <v>1</v>
      </c>
      <c r="B141" s="41"/>
      <c r="C141" s="58" t="s">
        <v>4480</v>
      </c>
      <c r="D141" s="45" t="s">
        <v>4481</v>
      </c>
      <c r="E141" s="41" t="s">
        <v>4482</v>
      </c>
      <c r="F141" s="40" t="s">
        <v>117</v>
      </c>
      <c r="G141" s="40" t="s">
        <v>4483</v>
      </c>
      <c r="H141" s="43" t="s">
        <v>4484</v>
      </c>
      <c r="I141" s="58" t="s">
        <v>4485</v>
      </c>
      <c r="J141" s="44" t="s">
        <v>4486</v>
      </c>
      <c r="K141" s="41" t="s">
        <v>4487</v>
      </c>
      <c r="L141" s="41" t="s">
        <v>4488</v>
      </c>
      <c r="M141" s="41" t="s">
        <v>4489</v>
      </c>
      <c r="N141" s="41">
        <v>10</v>
      </c>
      <c r="O141" s="45" t="s">
        <v>38</v>
      </c>
      <c r="P141" s="46"/>
    </row>
    <row r="142" spans="1:16" ht="14.25" customHeight="1">
      <c r="A142" s="26">
        <v>2</v>
      </c>
      <c r="B142" s="47"/>
      <c r="C142" s="55" t="s">
        <v>4490</v>
      </c>
      <c r="D142" s="56" t="s">
        <v>4491</v>
      </c>
      <c r="E142" s="47" t="s">
        <v>4492</v>
      </c>
      <c r="F142" s="47" t="s">
        <v>65</v>
      </c>
      <c r="G142" s="47" t="s">
        <v>4493</v>
      </c>
      <c r="H142" s="50" t="s">
        <v>4494</v>
      </c>
      <c r="I142" s="55" t="s">
        <v>4495</v>
      </c>
      <c r="J142" s="51" t="s">
        <v>4496</v>
      </c>
      <c r="K142" s="47" t="s">
        <v>4497</v>
      </c>
      <c r="L142" s="47" t="s">
        <v>4498</v>
      </c>
      <c r="M142" s="47" t="s">
        <v>4499</v>
      </c>
      <c r="N142" s="47"/>
      <c r="O142" s="312" t="s">
        <v>4500</v>
      </c>
      <c r="P142" s="52"/>
    </row>
    <row r="143" spans="1:16" ht="14.25" customHeight="1">
      <c r="A143" s="26">
        <v>3</v>
      </c>
      <c r="B143" s="47"/>
      <c r="C143" s="30" t="s">
        <v>4501</v>
      </c>
      <c r="D143" s="56" t="s">
        <v>4502</v>
      </c>
      <c r="E143" s="47" t="s">
        <v>4503</v>
      </c>
      <c r="F143" s="26" t="s">
        <v>65</v>
      </c>
      <c r="G143" s="26" t="s">
        <v>4504</v>
      </c>
      <c r="H143" s="50" t="s">
        <v>4505</v>
      </c>
      <c r="I143" s="30" t="s">
        <v>4506</v>
      </c>
      <c r="J143" s="51" t="s">
        <v>4507</v>
      </c>
      <c r="K143" s="47" t="s">
        <v>4508</v>
      </c>
      <c r="L143" s="47" t="s">
        <v>4509</v>
      </c>
      <c r="M143" s="47" t="s">
        <v>4510</v>
      </c>
      <c r="N143" s="47"/>
      <c r="O143" s="310"/>
      <c r="P143" s="52"/>
    </row>
    <row r="144" spans="1:16" ht="14.25" customHeight="1">
      <c r="A144" s="26">
        <v>4</v>
      </c>
      <c r="B144" s="47"/>
      <c r="C144" s="30" t="s">
        <v>4511</v>
      </c>
      <c r="D144" s="56" t="s">
        <v>4512</v>
      </c>
      <c r="E144" s="47" t="s">
        <v>4229</v>
      </c>
      <c r="F144" s="26" t="s">
        <v>65</v>
      </c>
      <c r="G144" s="26" t="s">
        <v>4513</v>
      </c>
      <c r="H144" s="50" t="s">
        <v>4514</v>
      </c>
      <c r="I144" s="69" t="s">
        <v>4515</v>
      </c>
      <c r="J144" s="51" t="s">
        <v>4516</v>
      </c>
      <c r="K144" s="47" t="s">
        <v>4517</v>
      </c>
      <c r="L144" s="47" t="s">
        <v>4518</v>
      </c>
      <c r="M144" s="47" t="s">
        <v>4519</v>
      </c>
      <c r="N144" s="47"/>
      <c r="O144" s="310"/>
      <c r="P144" s="52"/>
    </row>
    <row r="145" spans="1:16" ht="14.25" customHeight="1">
      <c r="A145" s="26">
        <v>5</v>
      </c>
      <c r="B145" s="47"/>
      <c r="C145" s="30" t="s">
        <v>4520</v>
      </c>
      <c r="D145" s="56" t="s">
        <v>4521</v>
      </c>
      <c r="E145" s="47" t="s">
        <v>4522</v>
      </c>
      <c r="F145" s="26" t="s">
        <v>117</v>
      </c>
      <c r="G145" s="26" t="s">
        <v>3168</v>
      </c>
      <c r="H145" s="50" t="s">
        <v>4523</v>
      </c>
      <c r="I145" s="70" t="s">
        <v>4524</v>
      </c>
      <c r="J145" s="51" t="s">
        <v>4525</v>
      </c>
      <c r="K145" s="47" t="s">
        <v>4526</v>
      </c>
      <c r="L145" s="47" t="s">
        <v>4527</v>
      </c>
      <c r="M145" s="47" t="s">
        <v>4528</v>
      </c>
      <c r="N145" s="47"/>
      <c r="O145" s="310"/>
      <c r="P145" s="52"/>
    </row>
    <row r="146" spans="1:16" ht="14.25" customHeight="1">
      <c r="A146" s="26">
        <v>6</v>
      </c>
      <c r="B146" s="47"/>
      <c r="C146" s="30" t="s">
        <v>4529</v>
      </c>
      <c r="D146" s="56" t="s">
        <v>4530</v>
      </c>
      <c r="E146" s="47" t="s">
        <v>4531</v>
      </c>
      <c r="F146" s="26" t="s">
        <v>65</v>
      </c>
      <c r="G146" s="26" t="s">
        <v>4532</v>
      </c>
      <c r="H146" s="50" t="s">
        <v>4533</v>
      </c>
      <c r="I146" s="30" t="s">
        <v>4534</v>
      </c>
      <c r="J146" s="51" t="s">
        <v>4535</v>
      </c>
      <c r="K146" s="47" t="s">
        <v>4536</v>
      </c>
      <c r="L146" s="47" t="s">
        <v>4537</v>
      </c>
      <c r="M146" s="47" t="s">
        <v>4538</v>
      </c>
      <c r="N146" s="47"/>
      <c r="O146" s="310"/>
      <c r="P146" s="52"/>
    </row>
    <row r="147" spans="1:16" ht="14.25" customHeight="1">
      <c r="A147" s="26">
        <v>7</v>
      </c>
      <c r="B147" s="47"/>
      <c r="C147" s="30" t="s">
        <v>4539</v>
      </c>
      <c r="D147" s="56" t="s">
        <v>4540</v>
      </c>
      <c r="E147" s="47" t="s">
        <v>4541</v>
      </c>
      <c r="F147" s="26" t="s">
        <v>65</v>
      </c>
      <c r="G147" s="26" t="s">
        <v>4052</v>
      </c>
      <c r="H147" s="50" t="s">
        <v>4542</v>
      </c>
      <c r="I147" s="30" t="s">
        <v>4543</v>
      </c>
      <c r="J147" s="51" t="s">
        <v>4544</v>
      </c>
      <c r="K147" s="47" t="s">
        <v>4545</v>
      </c>
      <c r="L147" s="47" t="s">
        <v>4546</v>
      </c>
      <c r="M147" s="47" t="s">
        <v>4547</v>
      </c>
      <c r="N147" s="47"/>
      <c r="O147" s="310"/>
      <c r="P147" s="52"/>
    </row>
    <row r="148" spans="1:16" ht="14.25" customHeight="1">
      <c r="A148" s="26">
        <v>8</v>
      </c>
      <c r="B148" s="47"/>
      <c r="C148" s="30" t="s">
        <v>4548</v>
      </c>
      <c r="D148" s="56" t="s">
        <v>4549</v>
      </c>
      <c r="E148" s="47" t="s">
        <v>4550</v>
      </c>
      <c r="F148" s="26" t="s">
        <v>65</v>
      </c>
      <c r="G148" s="26" t="s">
        <v>4551</v>
      </c>
      <c r="H148" s="50" t="s">
        <v>4552</v>
      </c>
      <c r="I148" s="30" t="s">
        <v>4553</v>
      </c>
      <c r="J148" s="51" t="s">
        <v>4554</v>
      </c>
      <c r="K148" s="47" t="s">
        <v>4555</v>
      </c>
      <c r="L148" s="47" t="s">
        <v>4556</v>
      </c>
      <c r="M148" s="47" t="s">
        <v>4557</v>
      </c>
      <c r="N148" s="47"/>
      <c r="O148" s="310"/>
      <c r="P148" s="52"/>
    </row>
    <row r="149" spans="1:16" ht="14.25" customHeight="1">
      <c r="A149" s="26">
        <v>9</v>
      </c>
      <c r="B149" s="47"/>
      <c r="C149" s="30" t="s">
        <v>4558</v>
      </c>
      <c r="D149" s="56" t="s">
        <v>4559</v>
      </c>
      <c r="E149" s="47" t="s">
        <v>4560</v>
      </c>
      <c r="F149" s="26" t="s">
        <v>54</v>
      </c>
      <c r="G149" s="26" t="s">
        <v>4561</v>
      </c>
      <c r="H149" s="50" t="s">
        <v>4562</v>
      </c>
      <c r="I149" s="30" t="s">
        <v>4563</v>
      </c>
      <c r="J149" s="51" t="s">
        <v>4564</v>
      </c>
      <c r="K149" s="47" t="s">
        <v>4565</v>
      </c>
      <c r="L149" s="47" t="s">
        <v>4566</v>
      </c>
      <c r="M149" s="47" t="s">
        <v>4567</v>
      </c>
      <c r="N149" s="47"/>
      <c r="O149" s="310"/>
      <c r="P149" s="52"/>
    </row>
    <row r="150" spans="1:16" ht="14.25" customHeight="1">
      <c r="A150" s="26">
        <v>10</v>
      </c>
      <c r="B150" s="47"/>
      <c r="C150" s="30" t="s">
        <v>4568</v>
      </c>
      <c r="D150" s="56" t="s">
        <v>4569</v>
      </c>
      <c r="E150" s="47" t="s">
        <v>4570</v>
      </c>
      <c r="F150" s="26" t="s">
        <v>65</v>
      </c>
      <c r="G150" s="26" t="s">
        <v>4571</v>
      </c>
      <c r="H150" s="50" t="s">
        <v>4572</v>
      </c>
      <c r="I150" s="30" t="s">
        <v>4573</v>
      </c>
      <c r="J150" s="51" t="s">
        <v>4574</v>
      </c>
      <c r="K150" s="47" t="s">
        <v>4575</v>
      </c>
      <c r="L150" s="47" t="s">
        <v>4576</v>
      </c>
      <c r="M150" s="47" t="s">
        <v>4577</v>
      </c>
      <c r="N150" s="47"/>
      <c r="O150" s="310"/>
      <c r="P150" s="52"/>
    </row>
    <row r="151" spans="1:16" ht="14.25" customHeight="1">
      <c r="A151" s="26">
        <v>11</v>
      </c>
      <c r="B151" s="47"/>
      <c r="C151" s="55" t="s">
        <v>3300</v>
      </c>
      <c r="D151" s="56" t="s">
        <v>3301</v>
      </c>
      <c r="E151" s="47" t="s">
        <v>3302</v>
      </c>
      <c r="F151" s="47" t="s">
        <v>664</v>
      </c>
      <c r="G151" s="47" t="s">
        <v>3303</v>
      </c>
      <c r="H151" s="50" t="s">
        <v>4578</v>
      </c>
      <c r="I151" s="70" t="s">
        <v>3305</v>
      </c>
      <c r="J151" s="63" t="s">
        <v>3306</v>
      </c>
      <c r="K151" s="47" t="s">
        <v>4579</v>
      </c>
      <c r="L151" s="47" t="s">
        <v>4580</v>
      </c>
      <c r="M151" s="47" t="s">
        <v>4581</v>
      </c>
      <c r="N151" s="47"/>
      <c r="O151" s="310"/>
      <c r="P151" s="52"/>
    </row>
    <row r="152" spans="1:16" ht="14.25" customHeight="1">
      <c r="A152" s="26">
        <v>12</v>
      </c>
      <c r="B152" s="47"/>
      <c r="C152" s="30" t="s">
        <v>4582</v>
      </c>
      <c r="D152" s="56" t="s">
        <v>4583</v>
      </c>
      <c r="E152" s="47" t="s">
        <v>4584</v>
      </c>
      <c r="F152" s="26" t="s">
        <v>117</v>
      </c>
      <c r="G152" s="26" t="s">
        <v>4585</v>
      </c>
      <c r="H152" s="50" t="s">
        <v>4586</v>
      </c>
      <c r="I152" s="30" t="s">
        <v>4587</v>
      </c>
      <c r="J152" s="51" t="s">
        <v>4588</v>
      </c>
      <c r="K152" s="47" t="s">
        <v>4589</v>
      </c>
      <c r="L152" s="47" t="s">
        <v>4590</v>
      </c>
      <c r="M152" s="47" t="s">
        <v>4591</v>
      </c>
      <c r="N152" s="47"/>
      <c r="O152" s="310"/>
      <c r="P152" s="52"/>
    </row>
    <row r="153" spans="1:16" ht="14.25" customHeight="1">
      <c r="A153" s="26">
        <v>13</v>
      </c>
      <c r="B153" s="47"/>
      <c r="C153" s="30" t="s">
        <v>4592</v>
      </c>
      <c r="D153" s="56" t="s">
        <v>4593</v>
      </c>
      <c r="E153" s="47" t="s">
        <v>4594</v>
      </c>
      <c r="F153" s="26" t="s">
        <v>219</v>
      </c>
      <c r="G153" s="26" t="s">
        <v>4595</v>
      </c>
      <c r="H153" s="50" t="s">
        <v>4596</v>
      </c>
      <c r="I153" s="30" t="s">
        <v>4597</v>
      </c>
      <c r="J153" s="51" t="s">
        <v>4598</v>
      </c>
      <c r="K153" s="47" t="s">
        <v>4599</v>
      </c>
      <c r="L153" s="47" t="s">
        <v>4600</v>
      </c>
      <c r="M153" s="47" t="s">
        <v>4601</v>
      </c>
      <c r="N153" s="47"/>
      <c r="O153" s="310"/>
      <c r="P153" s="52"/>
    </row>
    <row r="154" spans="1:16" ht="14.25" customHeight="1">
      <c r="A154" s="26">
        <v>14</v>
      </c>
      <c r="B154" s="47"/>
      <c r="C154" s="30" t="s">
        <v>4602</v>
      </c>
      <c r="D154" s="56" t="s">
        <v>4603</v>
      </c>
      <c r="E154" s="47" t="s">
        <v>4604</v>
      </c>
      <c r="F154" s="26" t="s">
        <v>117</v>
      </c>
      <c r="G154" s="26" t="s">
        <v>4605</v>
      </c>
      <c r="H154" s="50" t="s">
        <v>4606</v>
      </c>
      <c r="I154" s="30" t="s">
        <v>4607</v>
      </c>
      <c r="J154" s="51" t="s">
        <v>4608</v>
      </c>
      <c r="K154" s="47" t="s">
        <v>4609</v>
      </c>
      <c r="L154" s="47" t="s">
        <v>4610</v>
      </c>
      <c r="M154" s="47" t="s">
        <v>4611</v>
      </c>
      <c r="N154" s="47"/>
      <c r="O154" s="311"/>
      <c r="P154" s="52"/>
    </row>
    <row r="155" spans="1:16" ht="14.25" customHeight="1">
      <c r="A155" s="40">
        <v>1</v>
      </c>
      <c r="B155" s="41"/>
      <c r="C155" s="58" t="s">
        <v>4612</v>
      </c>
      <c r="D155" s="45" t="s">
        <v>4613</v>
      </c>
      <c r="E155" s="41" t="s">
        <v>4614</v>
      </c>
      <c r="F155" s="40" t="s">
        <v>65</v>
      </c>
      <c r="G155" s="40" t="s">
        <v>4615</v>
      </c>
      <c r="H155" s="43" t="s">
        <v>4616</v>
      </c>
      <c r="I155" s="58" t="s">
        <v>4617</v>
      </c>
      <c r="J155" s="44" t="s">
        <v>4618</v>
      </c>
      <c r="K155" s="41" t="s">
        <v>4619</v>
      </c>
      <c r="L155" s="41" t="s">
        <v>4620</v>
      </c>
      <c r="M155" s="41" t="s">
        <v>4621</v>
      </c>
      <c r="N155" s="41">
        <v>11</v>
      </c>
      <c r="O155" s="45" t="s">
        <v>38</v>
      </c>
      <c r="P155" s="46"/>
    </row>
    <row r="156" spans="1:16" ht="14.25" customHeight="1">
      <c r="A156" s="26">
        <v>2</v>
      </c>
      <c r="B156" s="47"/>
      <c r="C156" s="30" t="s">
        <v>4622</v>
      </c>
      <c r="D156" s="56" t="s">
        <v>4623</v>
      </c>
      <c r="E156" s="47" t="s">
        <v>4624</v>
      </c>
      <c r="F156" s="26" t="s">
        <v>54</v>
      </c>
      <c r="G156" s="26" t="s">
        <v>4625</v>
      </c>
      <c r="H156" s="50" t="s">
        <v>4626</v>
      </c>
      <c r="I156" s="30" t="s">
        <v>4627</v>
      </c>
      <c r="J156" s="51" t="s">
        <v>4628</v>
      </c>
      <c r="K156" s="47" t="s">
        <v>4629</v>
      </c>
      <c r="L156" s="47" t="s">
        <v>4630</v>
      </c>
      <c r="M156" s="47" t="s">
        <v>4631</v>
      </c>
      <c r="N156" s="47"/>
      <c r="O156" s="313" t="s">
        <v>4632</v>
      </c>
      <c r="P156" s="52"/>
    </row>
    <row r="157" spans="1:16" ht="14.25" customHeight="1">
      <c r="A157" s="26">
        <v>3</v>
      </c>
      <c r="B157" s="47"/>
      <c r="C157" s="30" t="s">
        <v>4633</v>
      </c>
      <c r="D157" s="56" t="s">
        <v>4634</v>
      </c>
      <c r="E157" s="47" t="s">
        <v>4635</v>
      </c>
      <c r="F157" s="26" t="s">
        <v>219</v>
      </c>
      <c r="G157" s="26" t="s">
        <v>4636</v>
      </c>
      <c r="H157" s="50" t="s">
        <v>4637</v>
      </c>
      <c r="I157" s="30" t="s">
        <v>4638</v>
      </c>
      <c r="J157" s="51" t="s">
        <v>4639</v>
      </c>
      <c r="K157" s="47" t="s">
        <v>4640</v>
      </c>
      <c r="L157" s="47" t="s">
        <v>4641</v>
      </c>
      <c r="M157" s="47" t="s">
        <v>4642</v>
      </c>
      <c r="N157" s="47"/>
      <c r="O157" s="310"/>
      <c r="P157" s="52"/>
    </row>
    <row r="158" spans="1:16" ht="14.25" customHeight="1">
      <c r="A158" s="26">
        <v>4</v>
      </c>
      <c r="B158" s="47"/>
      <c r="C158" s="30" t="s">
        <v>4643</v>
      </c>
      <c r="D158" s="56" t="s">
        <v>4644</v>
      </c>
      <c r="E158" s="47" t="s">
        <v>4645</v>
      </c>
      <c r="F158" s="26" t="s">
        <v>117</v>
      </c>
      <c r="G158" s="26" t="s">
        <v>4646</v>
      </c>
      <c r="H158" s="50" t="s">
        <v>4647</v>
      </c>
      <c r="I158" s="30" t="s">
        <v>4648</v>
      </c>
      <c r="J158" s="51" t="s">
        <v>4649</v>
      </c>
      <c r="K158" s="47" t="s">
        <v>4650</v>
      </c>
      <c r="L158" s="47" t="s">
        <v>4651</v>
      </c>
      <c r="M158" s="47" t="s">
        <v>4652</v>
      </c>
      <c r="N158" s="47"/>
      <c r="O158" s="310"/>
      <c r="P158" s="52"/>
    </row>
    <row r="159" spans="1:16" ht="14.25" customHeight="1">
      <c r="A159" s="26">
        <v>5</v>
      </c>
      <c r="B159" s="47"/>
      <c r="C159" s="30" t="s">
        <v>4653</v>
      </c>
      <c r="D159" s="56" t="s">
        <v>4654</v>
      </c>
      <c r="E159" s="47" t="s">
        <v>4655</v>
      </c>
      <c r="F159" s="26" t="s">
        <v>320</v>
      </c>
      <c r="G159" s="26" t="s">
        <v>4656</v>
      </c>
      <c r="H159" s="50" t="s">
        <v>4657</v>
      </c>
      <c r="I159" s="30" t="s">
        <v>4658</v>
      </c>
      <c r="J159" s="51" t="s">
        <v>4659</v>
      </c>
      <c r="K159" s="47" t="s">
        <v>4660</v>
      </c>
      <c r="L159" s="47" t="s">
        <v>4661</v>
      </c>
      <c r="M159" s="47" t="s">
        <v>4662</v>
      </c>
      <c r="N159" s="47"/>
      <c r="O159" s="310"/>
      <c r="P159" s="52"/>
    </row>
    <row r="160" spans="1:16" ht="14.25" customHeight="1">
      <c r="A160" s="26">
        <v>6</v>
      </c>
      <c r="B160" s="47"/>
      <c r="C160" s="30" t="s">
        <v>4663</v>
      </c>
      <c r="D160" s="56" t="s">
        <v>4664</v>
      </c>
      <c r="E160" s="47" t="s">
        <v>4665</v>
      </c>
      <c r="F160" s="26" t="s">
        <v>65</v>
      </c>
      <c r="G160" s="26" t="s">
        <v>4666</v>
      </c>
      <c r="H160" s="50" t="s">
        <v>4667</v>
      </c>
      <c r="I160" s="30" t="s">
        <v>4668</v>
      </c>
      <c r="J160" s="51" t="s">
        <v>4669</v>
      </c>
      <c r="K160" s="47" t="s">
        <v>4670</v>
      </c>
      <c r="L160" s="47" t="s">
        <v>4671</v>
      </c>
      <c r="M160" s="47" t="s">
        <v>4672</v>
      </c>
      <c r="N160" s="47"/>
      <c r="O160" s="310"/>
      <c r="P160" s="52"/>
    </row>
    <row r="161" spans="1:16" ht="14.25" customHeight="1">
      <c r="A161" s="26">
        <v>7</v>
      </c>
      <c r="B161" s="47"/>
      <c r="C161" s="30" t="s">
        <v>4673</v>
      </c>
      <c r="D161" s="56" t="s">
        <v>4674</v>
      </c>
      <c r="E161" s="47" t="s">
        <v>4675</v>
      </c>
      <c r="F161" s="26" t="s">
        <v>54</v>
      </c>
      <c r="G161" s="26" t="s">
        <v>4676</v>
      </c>
      <c r="H161" s="50" t="s">
        <v>4677</v>
      </c>
      <c r="I161" s="71" t="s">
        <v>4678</v>
      </c>
      <c r="J161" s="51" t="s">
        <v>4679</v>
      </c>
      <c r="K161" s="47" t="s">
        <v>4680</v>
      </c>
      <c r="L161" s="47" t="s">
        <v>4681</v>
      </c>
      <c r="M161" s="47" t="s">
        <v>4682</v>
      </c>
      <c r="N161" s="47"/>
      <c r="O161" s="310"/>
      <c r="P161" s="52"/>
    </row>
    <row r="162" spans="1:16" ht="14.25" customHeight="1">
      <c r="A162" s="26">
        <v>8</v>
      </c>
      <c r="B162" s="47"/>
      <c r="C162" s="55" t="s">
        <v>4683</v>
      </c>
      <c r="D162" s="56" t="s">
        <v>4684</v>
      </c>
      <c r="E162" s="47" t="s">
        <v>4452</v>
      </c>
      <c r="F162" s="47" t="s">
        <v>117</v>
      </c>
      <c r="G162" s="47" t="s">
        <v>4685</v>
      </c>
      <c r="H162" s="50" t="s">
        <v>4686</v>
      </c>
      <c r="I162" s="55" t="s">
        <v>4687</v>
      </c>
      <c r="J162" s="51" t="s">
        <v>4688</v>
      </c>
      <c r="K162" s="47" t="s">
        <v>4689</v>
      </c>
      <c r="L162" s="47" t="s">
        <v>4690</v>
      </c>
      <c r="M162" s="47" t="s">
        <v>4691</v>
      </c>
      <c r="N162" s="47"/>
      <c r="O162" s="310"/>
      <c r="P162" s="52"/>
    </row>
    <row r="163" spans="1:16" ht="14.25" customHeight="1">
      <c r="A163" s="26">
        <v>9</v>
      </c>
      <c r="B163" s="47"/>
      <c r="C163" s="30" t="s">
        <v>4692</v>
      </c>
      <c r="D163" s="56" t="s">
        <v>2463</v>
      </c>
      <c r="E163" s="47" t="s">
        <v>2279</v>
      </c>
      <c r="F163" s="26" t="s">
        <v>65</v>
      </c>
      <c r="G163" s="26" t="s">
        <v>4693</v>
      </c>
      <c r="H163" s="50" t="s">
        <v>4694</v>
      </c>
      <c r="I163" s="30" t="s">
        <v>4695</v>
      </c>
      <c r="J163" s="51" t="s">
        <v>4696</v>
      </c>
      <c r="K163" s="47" t="s">
        <v>4697</v>
      </c>
      <c r="L163" s="47" t="s">
        <v>4698</v>
      </c>
      <c r="M163" s="47" t="s">
        <v>4699</v>
      </c>
      <c r="N163" s="47"/>
      <c r="O163" s="310"/>
      <c r="P163" s="52"/>
    </row>
    <row r="164" spans="1:16" ht="14.25" customHeight="1">
      <c r="A164" s="26">
        <v>10</v>
      </c>
      <c r="B164" s="47"/>
      <c r="C164" s="30" t="s">
        <v>4700</v>
      </c>
      <c r="D164" s="56" t="s">
        <v>4701</v>
      </c>
      <c r="E164" s="47" t="s">
        <v>4702</v>
      </c>
      <c r="F164" s="26" t="s">
        <v>65</v>
      </c>
      <c r="G164" s="26" t="s">
        <v>4703</v>
      </c>
      <c r="H164" s="50" t="s">
        <v>4704</v>
      </c>
      <c r="I164" s="30" t="s">
        <v>4705</v>
      </c>
      <c r="J164" s="51" t="s">
        <v>4706</v>
      </c>
      <c r="K164" s="47" t="s">
        <v>4707</v>
      </c>
      <c r="L164" s="47" t="s">
        <v>4708</v>
      </c>
      <c r="M164" s="47" t="s">
        <v>4709</v>
      </c>
      <c r="N164" s="47"/>
      <c r="O164" s="310"/>
      <c r="P164" s="52"/>
    </row>
    <row r="165" spans="1:16" ht="14.25" customHeight="1">
      <c r="A165" s="26">
        <v>11</v>
      </c>
      <c r="B165" s="47"/>
      <c r="C165" s="30" t="s">
        <v>4710</v>
      </c>
      <c r="D165" s="56" t="s">
        <v>4711</v>
      </c>
      <c r="E165" s="47" t="s">
        <v>4712</v>
      </c>
      <c r="F165" s="26" t="s">
        <v>65</v>
      </c>
      <c r="G165" s="26" t="s">
        <v>4713</v>
      </c>
      <c r="H165" s="50" t="s">
        <v>4714</v>
      </c>
      <c r="I165" s="30" t="s">
        <v>4715</v>
      </c>
      <c r="J165" s="51" t="s">
        <v>4716</v>
      </c>
      <c r="K165" s="47" t="s">
        <v>4717</v>
      </c>
      <c r="L165" s="47" t="s">
        <v>4718</v>
      </c>
      <c r="M165" s="47" t="s">
        <v>4719</v>
      </c>
      <c r="N165" s="47"/>
      <c r="O165" s="310"/>
      <c r="P165" s="52"/>
    </row>
    <row r="166" spans="1:16" ht="14.25" customHeight="1">
      <c r="A166" s="26">
        <v>12</v>
      </c>
      <c r="B166" s="47"/>
      <c r="C166" s="30" t="s">
        <v>4720</v>
      </c>
      <c r="D166" s="56" t="s">
        <v>4721</v>
      </c>
      <c r="E166" s="47" t="s">
        <v>4722</v>
      </c>
      <c r="F166" s="26" t="s">
        <v>219</v>
      </c>
      <c r="G166" s="26" t="s">
        <v>4723</v>
      </c>
      <c r="H166" s="50" t="s">
        <v>4724</v>
      </c>
      <c r="I166" s="30" t="s">
        <v>4725</v>
      </c>
      <c r="J166" s="51" t="s">
        <v>4726</v>
      </c>
      <c r="K166" s="47" t="s">
        <v>4727</v>
      </c>
      <c r="L166" s="47" t="s">
        <v>4728</v>
      </c>
      <c r="M166" s="47" t="s">
        <v>4729</v>
      </c>
      <c r="N166" s="47"/>
      <c r="O166" s="310"/>
      <c r="P166" s="52"/>
    </row>
    <row r="167" spans="1:16" ht="14.25" customHeight="1">
      <c r="A167" s="26">
        <v>13</v>
      </c>
      <c r="B167" s="47"/>
      <c r="C167" s="30" t="s">
        <v>4730</v>
      </c>
      <c r="D167" s="56" t="s">
        <v>4731</v>
      </c>
      <c r="E167" s="47" t="s">
        <v>4732</v>
      </c>
      <c r="F167" s="26" t="s">
        <v>65</v>
      </c>
      <c r="G167" s="26" t="s">
        <v>4733</v>
      </c>
      <c r="H167" s="50" t="s">
        <v>4734</v>
      </c>
      <c r="I167" s="30" t="s">
        <v>4735</v>
      </c>
      <c r="J167" s="51" t="s">
        <v>4736</v>
      </c>
      <c r="K167" s="47" t="s">
        <v>4737</v>
      </c>
      <c r="L167" s="47" t="s">
        <v>4738</v>
      </c>
      <c r="M167" s="47" t="s">
        <v>4739</v>
      </c>
      <c r="N167" s="47"/>
      <c r="O167" s="311"/>
      <c r="P167" s="52"/>
    </row>
    <row r="168" spans="1:16" ht="14.25" customHeight="1">
      <c r="A168" s="40">
        <v>1</v>
      </c>
      <c r="B168" s="41"/>
      <c r="C168" s="58" t="s">
        <v>4740</v>
      </c>
      <c r="D168" s="45" t="s">
        <v>4741</v>
      </c>
      <c r="E168" s="41" t="s">
        <v>4742</v>
      </c>
      <c r="F168" s="40" t="s">
        <v>65</v>
      </c>
      <c r="G168" s="40" t="s">
        <v>4743</v>
      </c>
      <c r="H168" s="43" t="s">
        <v>4744</v>
      </c>
      <c r="I168" s="58" t="s">
        <v>4745</v>
      </c>
      <c r="J168" s="44" t="s">
        <v>4746</v>
      </c>
      <c r="K168" s="41" t="s">
        <v>4747</v>
      </c>
      <c r="L168" s="41" t="s">
        <v>4748</v>
      </c>
      <c r="M168" s="41" t="s">
        <v>4749</v>
      </c>
      <c r="N168" s="41">
        <v>12</v>
      </c>
      <c r="O168" s="45" t="s">
        <v>38</v>
      </c>
      <c r="P168" s="46"/>
    </row>
    <row r="169" spans="1:16" ht="14.25" customHeight="1">
      <c r="A169" s="26">
        <v>2</v>
      </c>
      <c r="B169" s="47"/>
      <c r="C169" s="55" t="s">
        <v>4750</v>
      </c>
      <c r="D169" s="56" t="s">
        <v>4751</v>
      </c>
      <c r="E169" s="47" t="s">
        <v>4752</v>
      </c>
      <c r="F169" s="47" t="s">
        <v>54</v>
      </c>
      <c r="G169" s="47" t="s">
        <v>4753</v>
      </c>
      <c r="H169" s="50" t="s">
        <v>4754</v>
      </c>
      <c r="I169" s="55" t="s">
        <v>4755</v>
      </c>
      <c r="J169" s="51" t="s">
        <v>4756</v>
      </c>
      <c r="K169" s="47" t="s">
        <v>4757</v>
      </c>
      <c r="L169" s="47" t="s">
        <v>4758</v>
      </c>
      <c r="M169" s="47" t="s">
        <v>4759</v>
      </c>
      <c r="N169" s="47"/>
      <c r="O169" s="313" t="s">
        <v>4760</v>
      </c>
      <c r="P169" s="52"/>
    </row>
    <row r="170" spans="1:16" ht="14.25" customHeight="1">
      <c r="A170" s="26">
        <v>3</v>
      </c>
      <c r="B170" s="47"/>
      <c r="C170" s="30" t="s">
        <v>4761</v>
      </c>
      <c r="D170" s="56" t="s">
        <v>4762</v>
      </c>
      <c r="E170" s="47" t="s">
        <v>4763</v>
      </c>
      <c r="F170" s="26" t="s">
        <v>219</v>
      </c>
      <c r="G170" s="26" t="s">
        <v>4764</v>
      </c>
      <c r="H170" s="50" t="s">
        <v>4765</v>
      </c>
      <c r="I170" s="30" t="s">
        <v>4766</v>
      </c>
      <c r="J170" s="51" t="s">
        <v>4767</v>
      </c>
      <c r="K170" s="47" t="s">
        <v>4768</v>
      </c>
      <c r="L170" s="47" t="s">
        <v>4769</v>
      </c>
      <c r="M170" s="47" t="s">
        <v>4770</v>
      </c>
      <c r="N170" s="47"/>
      <c r="O170" s="310"/>
      <c r="P170" s="52"/>
    </row>
    <row r="171" spans="1:16" ht="14.25" customHeight="1">
      <c r="A171" s="26">
        <v>4</v>
      </c>
      <c r="B171" s="47"/>
      <c r="C171" s="30" t="s">
        <v>4771</v>
      </c>
      <c r="D171" s="56" t="s">
        <v>4772</v>
      </c>
      <c r="E171" s="47" t="s">
        <v>4773</v>
      </c>
      <c r="F171" s="26" t="s">
        <v>65</v>
      </c>
      <c r="G171" s="26" t="s">
        <v>1659</v>
      </c>
      <c r="H171" s="50" t="s">
        <v>4774</v>
      </c>
      <c r="I171" s="30" t="s">
        <v>4775</v>
      </c>
      <c r="J171" s="51" t="s">
        <v>4776</v>
      </c>
      <c r="K171" s="47" t="s">
        <v>4777</v>
      </c>
      <c r="L171" s="47" t="s">
        <v>4778</v>
      </c>
      <c r="M171" s="47" t="s">
        <v>4779</v>
      </c>
      <c r="N171" s="47"/>
      <c r="O171" s="310"/>
      <c r="P171" s="52"/>
    </row>
    <row r="172" spans="1:16" ht="14.25" customHeight="1">
      <c r="A172" s="26">
        <v>5</v>
      </c>
      <c r="B172" s="47"/>
      <c r="C172" s="30" t="s">
        <v>4780</v>
      </c>
      <c r="D172" s="56" t="s">
        <v>4781</v>
      </c>
      <c r="E172" s="47" t="s">
        <v>4782</v>
      </c>
      <c r="F172" s="26" t="s">
        <v>54</v>
      </c>
      <c r="G172" s="26" t="s">
        <v>4783</v>
      </c>
      <c r="H172" s="50" t="s">
        <v>4784</v>
      </c>
      <c r="I172" s="30" t="s">
        <v>4785</v>
      </c>
      <c r="J172" s="51" t="s">
        <v>4786</v>
      </c>
      <c r="K172" s="47" t="s">
        <v>4787</v>
      </c>
      <c r="L172" s="47" t="s">
        <v>4788</v>
      </c>
      <c r="M172" s="47" t="s">
        <v>4789</v>
      </c>
      <c r="N172" s="47"/>
      <c r="O172" s="310"/>
      <c r="P172" s="52"/>
    </row>
    <row r="173" spans="1:16" ht="14.25" customHeight="1">
      <c r="A173" s="26">
        <v>6</v>
      </c>
      <c r="B173" s="47"/>
      <c r="C173" s="30" t="s">
        <v>4790</v>
      </c>
      <c r="D173" s="57" t="s">
        <v>4791</v>
      </c>
      <c r="E173" s="49" t="s">
        <v>4792</v>
      </c>
      <c r="F173" s="26" t="s">
        <v>219</v>
      </c>
      <c r="G173" s="26" t="s">
        <v>4793</v>
      </c>
      <c r="H173" s="50" t="s">
        <v>4794</v>
      </c>
      <c r="I173" s="30" t="s">
        <v>4795</v>
      </c>
      <c r="J173" s="51" t="s">
        <v>4796</v>
      </c>
      <c r="K173" s="47" t="s">
        <v>4797</v>
      </c>
      <c r="L173" s="47" t="s">
        <v>4798</v>
      </c>
      <c r="M173" s="47" t="s">
        <v>4799</v>
      </c>
      <c r="N173" s="47"/>
      <c r="O173" s="310"/>
      <c r="P173" s="52"/>
    </row>
    <row r="174" spans="1:16" ht="14.25" customHeight="1">
      <c r="A174" s="26">
        <v>7</v>
      </c>
      <c r="B174" s="47"/>
      <c r="C174" s="30" t="s">
        <v>4800</v>
      </c>
      <c r="D174" s="57" t="s">
        <v>4801</v>
      </c>
      <c r="E174" s="49" t="s">
        <v>4802</v>
      </c>
      <c r="F174" s="26" t="s">
        <v>65</v>
      </c>
      <c r="G174" s="26" t="s">
        <v>4803</v>
      </c>
      <c r="H174" s="50" t="s">
        <v>4804</v>
      </c>
      <c r="I174" s="30" t="s">
        <v>4805</v>
      </c>
      <c r="J174" s="51" t="s">
        <v>4806</v>
      </c>
      <c r="K174" s="47" t="s">
        <v>4807</v>
      </c>
      <c r="L174" s="47" t="s">
        <v>4808</v>
      </c>
      <c r="M174" s="47" t="s">
        <v>4809</v>
      </c>
      <c r="N174" s="47"/>
      <c r="O174" s="310"/>
      <c r="P174" s="52"/>
    </row>
    <row r="175" spans="1:16" ht="14.25" customHeight="1">
      <c r="A175" s="26">
        <v>8</v>
      </c>
      <c r="B175" s="47"/>
      <c r="C175" s="30" t="s">
        <v>4810</v>
      </c>
      <c r="D175" s="57" t="s">
        <v>4811</v>
      </c>
      <c r="E175" s="49" t="s">
        <v>4812</v>
      </c>
      <c r="F175" s="26" t="s">
        <v>65</v>
      </c>
      <c r="G175" s="26" t="s">
        <v>4813</v>
      </c>
      <c r="H175" s="50" t="s">
        <v>4814</v>
      </c>
      <c r="I175" s="30" t="s">
        <v>4815</v>
      </c>
      <c r="J175" s="51" t="s">
        <v>4816</v>
      </c>
      <c r="K175" s="47" t="s">
        <v>4817</v>
      </c>
      <c r="L175" s="47" t="s">
        <v>4818</v>
      </c>
      <c r="M175" s="47" t="s">
        <v>4819</v>
      </c>
      <c r="N175" s="47"/>
      <c r="O175" s="310"/>
      <c r="P175" s="52"/>
    </row>
    <row r="176" spans="1:16" ht="14.25" customHeight="1">
      <c r="A176" s="26">
        <v>9</v>
      </c>
      <c r="B176" s="47"/>
      <c r="C176" s="30" t="s">
        <v>4820</v>
      </c>
      <c r="D176" s="57" t="s">
        <v>4821</v>
      </c>
      <c r="E176" s="49" t="s">
        <v>4822</v>
      </c>
      <c r="F176" s="26" t="s">
        <v>4823</v>
      </c>
      <c r="G176" s="26" t="s">
        <v>4824</v>
      </c>
      <c r="H176" s="50" t="s">
        <v>4825</v>
      </c>
      <c r="I176" s="53" t="s">
        <v>4826</v>
      </c>
      <c r="J176" s="51" t="s">
        <v>4827</v>
      </c>
      <c r="K176" s="47" t="s">
        <v>4828</v>
      </c>
      <c r="L176" s="47" t="s">
        <v>4829</v>
      </c>
      <c r="M176" s="47" t="s">
        <v>4830</v>
      </c>
      <c r="N176" s="47"/>
      <c r="O176" s="310"/>
      <c r="P176" s="52"/>
    </row>
    <row r="177" spans="1:16" ht="14.25" customHeight="1">
      <c r="A177" s="26">
        <v>10</v>
      </c>
      <c r="B177" s="47"/>
      <c r="C177" s="30" t="s">
        <v>4831</v>
      </c>
      <c r="D177" s="57" t="s">
        <v>4832</v>
      </c>
      <c r="E177" s="49" t="s">
        <v>4833</v>
      </c>
      <c r="F177" s="26" t="s">
        <v>65</v>
      </c>
      <c r="G177" s="26" t="s">
        <v>4834</v>
      </c>
      <c r="H177" s="50" t="s">
        <v>4835</v>
      </c>
      <c r="I177" s="53" t="s">
        <v>4836</v>
      </c>
      <c r="J177" s="51" t="s">
        <v>4837</v>
      </c>
      <c r="K177" s="47" t="s">
        <v>4838</v>
      </c>
      <c r="L177" s="47" t="s">
        <v>4839</v>
      </c>
      <c r="M177" s="47" t="s">
        <v>4840</v>
      </c>
      <c r="N177" s="47"/>
      <c r="O177" s="310"/>
      <c r="P177" s="52"/>
    </row>
    <row r="178" spans="1:16" ht="14.25" customHeight="1">
      <c r="A178" s="26">
        <v>11</v>
      </c>
      <c r="B178" s="47"/>
      <c r="C178" s="30" t="s">
        <v>51</v>
      </c>
      <c r="D178" s="57" t="s">
        <v>52</v>
      </c>
      <c r="E178" s="49" t="s">
        <v>53</v>
      </c>
      <c r="F178" s="26" t="s">
        <v>54</v>
      </c>
      <c r="G178" s="26" t="s">
        <v>55</v>
      </c>
      <c r="H178" s="50" t="s">
        <v>4841</v>
      </c>
      <c r="I178" s="53" t="s">
        <v>57</v>
      </c>
      <c r="J178" s="51" t="s">
        <v>58</v>
      </c>
      <c r="K178" s="47" t="s">
        <v>4842</v>
      </c>
      <c r="L178" s="47" t="s">
        <v>4843</v>
      </c>
      <c r="M178" s="47" t="s">
        <v>4844</v>
      </c>
      <c r="N178" s="47"/>
      <c r="O178" s="311"/>
      <c r="P178" s="52"/>
    </row>
    <row r="179" spans="1:16" ht="14.25" customHeight="1">
      <c r="A179" s="40">
        <v>1</v>
      </c>
      <c r="B179" s="41"/>
      <c r="C179" s="58" t="s">
        <v>4845</v>
      </c>
      <c r="D179" s="45" t="s">
        <v>4846</v>
      </c>
      <c r="E179" s="41" t="s">
        <v>4847</v>
      </c>
      <c r="F179" s="40" t="s">
        <v>65</v>
      </c>
      <c r="G179" s="40" t="s">
        <v>4848</v>
      </c>
      <c r="H179" s="43" t="s">
        <v>4849</v>
      </c>
      <c r="I179" s="72" t="s">
        <v>3014</v>
      </c>
      <c r="J179" s="44" t="s">
        <v>4850</v>
      </c>
      <c r="K179" s="41" t="s">
        <v>4851</v>
      </c>
      <c r="L179" s="41" t="s">
        <v>4852</v>
      </c>
      <c r="M179" s="41" t="s">
        <v>4853</v>
      </c>
      <c r="N179" s="41">
        <v>13</v>
      </c>
      <c r="O179" s="45" t="s">
        <v>38</v>
      </c>
      <c r="P179" s="46"/>
    </row>
    <row r="180" spans="1:16" ht="14.25" customHeight="1">
      <c r="A180" s="26">
        <v>2</v>
      </c>
      <c r="B180" s="47"/>
      <c r="C180" s="30" t="s">
        <v>4854</v>
      </c>
      <c r="D180" s="57" t="s">
        <v>4855</v>
      </c>
      <c r="E180" s="49" t="s">
        <v>178</v>
      </c>
      <c r="F180" s="26" t="s">
        <v>117</v>
      </c>
      <c r="G180" s="26" t="s">
        <v>4856</v>
      </c>
      <c r="H180" s="50" t="s">
        <v>4857</v>
      </c>
      <c r="I180" s="53" t="s">
        <v>4858</v>
      </c>
      <c r="J180" s="51" t="s">
        <v>4859</v>
      </c>
      <c r="K180" s="47" t="s">
        <v>4860</v>
      </c>
      <c r="L180" s="47" t="s">
        <v>4861</v>
      </c>
      <c r="M180" s="47" t="s">
        <v>4862</v>
      </c>
      <c r="N180" s="47"/>
      <c r="O180" s="313" t="s">
        <v>4863</v>
      </c>
      <c r="P180" s="52"/>
    </row>
    <row r="181" spans="1:16" ht="14.25" customHeight="1">
      <c r="A181" s="26">
        <v>3</v>
      </c>
      <c r="B181" s="47"/>
      <c r="C181" s="30" t="s">
        <v>4309</v>
      </c>
      <c r="D181" s="57" t="s">
        <v>4310</v>
      </c>
      <c r="E181" s="49" t="s">
        <v>4311</v>
      </c>
      <c r="F181" s="26" t="s">
        <v>65</v>
      </c>
      <c r="G181" s="26" t="s">
        <v>4312</v>
      </c>
      <c r="H181" s="50" t="s">
        <v>4864</v>
      </c>
      <c r="I181" s="53" t="s">
        <v>4314</v>
      </c>
      <c r="J181" s="51" t="s">
        <v>4315</v>
      </c>
      <c r="K181" s="47" t="s">
        <v>4865</v>
      </c>
      <c r="L181" s="47" t="s">
        <v>4866</v>
      </c>
      <c r="M181" s="47" t="s">
        <v>4867</v>
      </c>
      <c r="N181" s="47"/>
      <c r="O181" s="310"/>
      <c r="P181" s="52"/>
    </row>
    <row r="182" spans="1:16" ht="14.25" customHeight="1">
      <c r="A182" s="26">
        <v>4</v>
      </c>
      <c r="B182" s="47"/>
      <c r="C182" s="30" t="s">
        <v>4868</v>
      </c>
      <c r="D182" s="57" t="s">
        <v>4869</v>
      </c>
      <c r="E182" s="49" t="s">
        <v>4870</v>
      </c>
      <c r="F182" s="26" t="s">
        <v>117</v>
      </c>
      <c r="G182" s="26" t="s">
        <v>4871</v>
      </c>
      <c r="H182" s="50" t="s">
        <v>4872</v>
      </c>
      <c r="I182" s="53" t="s">
        <v>4873</v>
      </c>
      <c r="J182" s="51" t="s">
        <v>4874</v>
      </c>
      <c r="K182" s="47" t="s">
        <v>4875</v>
      </c>
      <c r="L182" s="47" t="s">
        <v>4876</v>
      </c>
      <c r="M182" s="47" t="s">
        <v>4877</v>
      </c>
      <c r="N182" s="47"/>
      <c r="O182" s="310"/>
      <c r="P182" s="52"/>
    </row>
    <row r="183" spans="1:16" ht="14.25" customHeight="1">
      <c r="A183" s="26">
        <v>5</v>
      </c>
      <c r="B183" s="47"/>
      <c r="C183" s="30" t="s">
        <v>4878</v>
      </c>
      <c r="D183" s="57" t="s">
        <v>4879</v>
      </c>
      <c r="E183" s="49" t="s">
        <v>4880</v>
      </c>
      <c r="F183" s="26" t="s">
        <v>65</v>
      </c>
      <c r="G183" s="26" t="s">
        <v>4881</v>
      </c>
      <c r="H183" s="50" t="s">
        <v>4882</v>
      </c>
      <c r="I183" s="53" t="s">
        <v>4883</v>
      </c>
      <c r="J183" s="51" t="s">
        <v>4884</v>
      </c>
      <c r="K183" s="47" t="s">
        <v>4885</v>
      </c>
      <c r="L183" s="47" t="s">
        <v>4886</v>
      </c>
      <c r="M183" s="47" t="s">
        <v>4887</v>
      </c>
      <c r="N183" s="47"/>
      <c r="O183" s="310"/>
      <c r="P183" s="52"/>
    </row>
    <row r="184" spans="1:16" ht="14.25" customHeight="1">
      <c r="A184" s="26">
        <v>6</v>
      </c>
      <c r="B184" s="47"/>
      <c r="C184" s="30" t="s">
        <v>4888</v>
      </c>
      <c r="D184" s="57" t="s">
        <v>4889</v>
      </c>
      <c r="E184" s="49" t="s">
        <v>4890</v>
      </c>
      <c r="F184" s="26" t="s">
        <v>4392</v>
      </c>
      <c r="G184" s="26" t="s">
        <v>4891</v>
      </c>
      <c r="H184" s="50" t="s">
        <v>4892</v>
      </c>
      <c r="I184" s="53" t="s">
        <v>4893</v>
      </c>
      <c r="J184" s="51" t="s">
        <v>4894</v>
      </c>
      <c r="K184" s="47" t="s">
        <v>4895</v>
      </c>
      <c r="L184" s="47" t="s">
        <v>4896</v>
      </c>
      <c r="M184" s="47" t="s">
        <v>4897</v>
      </c>
      <c r="N184" s="47"/>
      <c r="O184" s="310"/>
      <c r="P184" s="52"/>
    </row>
    <row r="185" spans="1:16" ht="14.25" customHeight="1">
      <c r="A185" s="26">
        <v>7</v>
      </c>
      <c r="B185" s="47"/>
      <c r="C185" s="30" t="s">
        <v>4898</v>
      </c>
      <c r="D185" s="57" t="s">
        <v>4899</v>
      </c>
      <c r="E185" s="61" t="s">
        <v>4900</v>
      </c>
      <c r="F185" s="26" t="s">
        <v>65</v>
      </c>
      <c r="G185" s="26" t="s">
        <v>1348</v>
      </c>
      <c r="H185" s="50" t="s">
        <v>4901</v>
      </c>
      <c r="I185" s="53" t="s">
        <v>4902</v>
      </c>
      <c r="J185" s="51" t="s">
        <v>4903</v>
      </c>
      <c r="K185" s="47" t="s">
        <v>4904</v>
      </c>
      <c r="L185" s="47" t="s">
        <v>4905</v>
      </c>
      <c r="M185" s="47" t="s">
        <v>4906</v>
      </c>
      <c r="N185" s="47"/>
      <c r="O185" s="310"/>
      <c r="P185" s="52"/>
    </row>
    <row r="186" spans="1:16" ht="14.25" customHeight="1">
      <c r="A186" s="26">
        <v>8</v>
      </c>
      <c r="B186" s="47"/>
      <c r="C186" s="30" t="s">
        <v>4907</v>
      </c>
      <c r="D186" s="57" t="s">
        <v>4512</v>
      </c>
      <c r="E186" s="49" t="s">
        <v>4229</v>
      </c>
      <c r="F186" s="26" t="s">
        <v>563</v>
      </c>
      <c r="G186" s="26" t="s">
        <v>4908</v>
      </c>
      <c r="H186" s="50" t="s">
        <v>4909</v>
      </c>
      <c r="I186" s="53" t="s">
        <v>4910</v>
      </c>
      <c r="J186" s="51" t="s">
        <v>4911</v>
      </c>
      <c r="K186" s="47" t="s">
        <v>4912</v>
      </c>
      <c r="L186" s="47" t="s">
        <v>4913</v>
      </c>
      <c r="M186" s="47" t="s">
        <v>4914</v>
      </c>
      <c r="N186" s="47"/>
      <c r="O186" s="310"/>
      <c r="P186" s="52"/>
    </row>
    <row r="187" spans="1:16" ht="14.25" customHeight="1">
      <c r="A187" s="26">
        <v>9</v>
      </c>
      <c r="B187" s="47"/>
      <c r="C187" s="30" t="s">
        <v>4915</v>
      </c>
      <c r="D187" s="57" t="s">
        <v>4916</v>
      </c>
      <c r="E187" s="49" t="s">
        <v>4917</v>
      </c>
      <c r="F187" s="26" t="s">
        <v>2280</v>
      </c>
      <c r="G187" s="26" t="s">
        <v>4918</v>
      </c>
      <c r="H187" s="50" t="s">
        <v>4919</v>
      </c>
      <c r="I187" s="53" t="s">
        <v>4920</v>
      </c>
      <c r="J187" s="51" t="s">
        <v>4921</v>
      </c>
      <c r="K187" s="47" t="s">
        <v>4922</v>
      </c>
      <c r="L187" s="47" t="s">
        <v>4923</v>
      </c>
      <c r="M187" s="47" t="s">
        <v>4924</v>
      </c>
      <c r="N187" s="47"/>
      <c r="O187" s="310"/>
      <c r="P187" s="52"/>
    </row>
    <row r="188" spans="1:16" ht="14.25" customHeight="1">
      <c r="A188" s="26">
        <v>10</v>
      </c>
      <c r="B188" s="47"/>
      <c r="C188" s="30" t="s">
        <v>4925</v>
      </c>
      <c r="D188" s="57" t="s">
        <v>4926</v>
      </c>
      <c r="E188" s="49" t="s">
        <v>4927</v>
      </c>
      <c r="F188" s="26" t="s">
        <v>117</v>
      </c>
      <c r="G188" s="26" t="s">
        <v>4928</v>
      </c>
      <c r="H188" s="50" t="s">
        <v>4929</v>
      </c>
      <c r="I188" s="53" t="s">
        <v>4930</v>
      </c>
      <c r="J188" s="51" t="s">
        <v>4931</v>
      </c>
      <c r="K188" s="47" t="s">
        <v>4932</v>
      </c>
      <c r="L188" s="47" t="s">
        <v>4933</v>
      </c>
      <c r="M188" s="47" t="s">
        <v>4934</v>
      </c>
      <c r="N188" s="47"/>
      <c r="O188" s="310"/>
      <c r="P188" s="52"/>
    </row>
    <row r="189" spans="1:16" ht="14.25" customHeight="1">
      <c r="A189" s="26">
        <v>11</v>
      </c>
      <c r="B189" s="47"/>
      <c r="C189" s="30" t="s">
        <v>4935</v>
      </c>
      <c r="D189" s="57" t="s">
        <v>4936</v>
      </c>
      <c r="E189" s="49" t="s">
        <v>4937</v>
      </c>
      <c r="F189" s="26" t="s">
        <v>42</v>
      </c>
      <c r="G189" s="26" t="s">
        <v>4938</v>
      </c>
      <c r="H189" s="50" t="s">
        <v>4939</v>
      </c>
      <c r="I189" s="53" t="s">
        <v>4940</v>
      </c>
      <c r="J189" s="51" t="s">
        <v>4941</v>
      </c>
      <c r="K189" s="47" t="s">
        <v>4942</v>
      </c>
      <c r="L189" s="47" t="s">
        <v>4943</v>
      </c>
      <c r="M189" s="47" t="s">
        <v>4944</v>
      </c>
      <c r="N189" s="47"/>
      <c r="O189" s="310"/>
      <c r="P189" s="52"/>
    </row>
    <row r="190" spans="1:16" ht="14.25" customHeight="1">
      <c r="A190" s="26">
        <v>12</v>
      </c>
      <c r="B190" s="47"/>
      <c r="C190" s="30" t="s">
        <v>4945</v>
      </c>
      <c r="D190" s="57" t="s">
        <v>4946</v>
      </c>
      <c r="E190" s="49" t="s">
        <v>4947</v>
      </c>
      <c r="F190" s="26" t="s">
        <v>117</v>
      </c>
      <c r="G190" s="26" t="s">
        <v>4948</v>
      </c>
      <c r="H190" s="50" t="s">
        <v>4949</v>
      </c>
      <c r="I190" s="53" t="s">
        <v>4950</v>
      </c>
      <c r="J190" s="51" t="s">
        <v>4951</v>
      </c>
      <c r="K190" s="47" t="s">
        <v>4952</v>
      </c>
      <c r="L190" s="47" t="s">
        <v>4953</v>
      </c>
      <c r="M190" s="47" t="s">
        <v>4954</v>
      </c>
      <c r="N190" s="47"/>
      <c r="O190" s="310"/>
      <c r="P190" s="52"/>
    </row>
    <row r="191" spans="1:16" ht="14.25" customHeight="1">
      <c r="A191" s="26">
        <v>13</v>
      </c>
      <c r="B191" s="47"/>
      <c r="C191" s="30" t="s">
        <v>4955</v>
      </c>
      <c r="D191" s="57" t="s">
        <v>4956</v>
      </c>
      <c r="E191" s="49" t="s">
        <v>4957</v>
      </c>
      <c r="F191" s="26" t="s">
        <v>65</v>
      </c>
      <c r="G191" s="26" t="s">
        <v>3383</v>
      </c>
      <c r="H191" s="50" t="s">
        <v>4958</v>
      </c>
      <c r="I191" s="53" t="s">
        <v>4959</v>
      </c>
      <c r="J191" s="51" t="s">
        <v>4960</v>
      </c>
      <c r="K191" s="47" t="s">
        <v>4961</v>
      </c>
      <c r="L191" s="47" t="s">
        <v>4962</v>
      </c>
      <c r="M191" s="47" t="s">
        <v>4963</v>
      </c>
      <c r="N191" s="47"/>
      <c r="O191" s="311"/>
      <c r="P191" s="52"/>
    </row>
    <row r="192" spans="1:16" ht="14.25" customHeight="1">
      <c r="A192" s="40">
        <v>1</v>
      </c>
      <c r="B192" s="41"/>
      <c r="C192" s="58" t="s">
        <v>4820</v>
      </c>
      <c r="D192" s="45" t="s">
        <v>4821</v>
      </c>
      <c r="E192" s="41" t="s">
        <v>4822</v>
      </c>
      <c r="F192" s="40" t="s">
        <v>4823</v>
      </c>
      <c r="G192" s="40" t="s">
        <v>4824</v>
      </c>
      <c r="H192" s="43" t="s">
        <v>4964</v>
      </c>
      <c r="I192" s="72" t="s">
        <v>4826</v>
      </c>
      <c r="J192" s="44" t="s">
        <v>4827</v>
      </c>
      <c r="K192" s="41" t="s">
        <v>4965</v>
      </c>
      <c r="L192" s="41" t="s">
        <v>4966</v>
      </c>
      <c r="M192" s="41" t="s">
        <v>4967</v>
      </c>
      <c r="N192" s="41">
        <v>14</v>
      </c>
      <c r="O192" s="45" t="s">
        <v>38</v>
      </c>
      <c r="P192" s="46"/>
    </row>
    <row r="193" spans="1:16" ht="14.25" customHeight="1">
      <c r="A193" s="26">
        <v>2</v>
      </c>
      <c r="B193" s="47"/>
      <c r="C193" s="30" t="s">
        <v>4968</v>
      </c>
      <c r="D193" s="57" t="s">
        <v>4969</v>
      </c>
      <c r="E193" s="49" t="s">
        <v>4970</v>
      </c>
      <c r="F193" s="26" t="s">
        <v>65</v>
      </c>
      <c r="G193" s="26" t="s">
        <v>4971</v>
      </c>
      <c r="H193" s="50" t="s">
        <v>4972</v>
      </c>
      <c r="I193" s="53" t="s">
        <v>4973</v>
      </c>
      <c r="J193" s="51" t="s">
        <v>4974</v>
      </c>
      <c r="K193" s="47" t="s">
        <v>4975</v>
      </c>
      <c r="L193" s="47" t="s">
        <v>4976</v>
      </c>
      <c r="M193" s="47" t="s">
        <v>4977</v>
      </c>
      <c r="N193" s="47"/>
      <c r="O193" s="313" t="s">
        <v>4978</v>
      </c>
      <c r="P193" s="52"/>
    </row>
    <row r="194" spans="1:16" ht="14.25" customHeight="1">
      <c r="A194" s="26">
        <v>3</v>
      </c>
      <c r="B194" s="47"/>
      <c r="C194" s="30" t="s">
        <v>4979</v>
      </c>
      <c r="D194" s="57" t="s">
        <v>4980</v>
      </c>
      <c r="E194" s="49" t="s">
        <v>4981</v>
      </c>
      <c r="F194" s="26" t="s">
        <v>117</v>
      </c>
      <c r="G194" s="26" t="s">
        <v>4982</v>
      </c>
      <c r="H194" s="50" t="s">
        <v>4983</v>
      </c>
      <c r="I194" s="53" t="s">
        <v>4984</v>
      </c>
      <c r="J194" s="51" t="s">
        <v>4985</v>
      </c>
      <c r="K194" s="47" t="s">
        <v>4986</v>
      </c>
      <c r="L194" s="47" t="s">
        <v>4987</v>
      </c>
      <c r="M194" s="47" t="s">
        <v>4988</v>
      </c>
      <c r="N194" s="47"/>
      <c r="O194" s="310"/>
      <c r="P194" s="52"/>
    </row>
    <row r="195" spans="1:16" ht="14.25" customHeight="1">
      <c r="A195" s="26">
        <v>4</v>
      </c>
      <c r="B195" s="47"/>
      <c r="C195" s="30" t="s">
        <v>4989</v>
      </c>
      <c r="D195" s="57" t="s">
        <v>4990</v>
      </c>
      <c r="E195" s="49" t="s">
        <v>4991</v>
      </c>
      <c r="F195" s="26"/>
      <c r="G195" s="26" t="s">
        <v>4992</v>
      </c>
      <c r="H195" s="50" t="s">
        <v>4993</v>
      </c>
      <c r="I195" s="53" t="s">
        <v>4994</v>
      </c>
      <c r="J195" s="51" t="s">
        <v>4995</v>
      </c>
      <c r="K195" s="47" t="s">
        <v>4996</v>
      </c>
      <c r="L195" s="47" t="s">
        <v>4997</v>
      </c>
      <c r="M195" s="47" t="s">
        <v>4998</v>
      </c>
      <c r="N195" s="47"/>
      <c r="O195" s="310"/>
      <c r="P195" s="52"/>
    </row>
    <row r="196" spans="1:16" ht="14.25" customHeight="1">
      <c r="A196" s="26">
        <v>5</v>
      </c>
      <c r="B196" s="47"/>
      <c r="C196" s="30" t="s">
        <v>4999</v>
      </c>
      <c r="D196" s="57" t="s">
        <v>5000</v>
      </c>
      <c r="E196" s="49" t="s">
        <v>438</v>
      </c>
      <c r="F196" s="26" t="s">
        <v>563</v>
      </c>
      <c r="G196" s="26" t="s">
        <v>5001</v>
      </c>
      <c r="H196" s="50" t="s">
        <v>5002</v>
      </c>
      <c r="I196" s="53" t="s">
        <v>5003</v>
      </c>
      <c r="J196" s="51" t="s">
        <v>5004</v>
      </c>
      <c r="K196" s="47" t="s">
        <v>5005</v>
      </c>
      <c r="L196" s="47" t="s">
        <v>5006</v>
      </c>
      <c r="M196" s="47" t="s">
        <v>5007</v>
      </c>
      <c r="N196" s="47"/>
      <c r="O196" s="310"/>
      <c r="P196" s="52"/>
    </row>
    <row r="197" spans="1:16" ht="14.25" customHeight="1">
      <c r="A197" s="26">
        <v>6</v>
      </c>
      <c r="B197" s="47"/>
      <c r="C197" s="30" t="s">
        <v>5008</v>
      </c>
      <c r="D197" s="57" t="s">
        <v>5009</v>
      </c>
      <c r="E197" s="49" t="s">
        <v>5010</v>
      </c>
      <c r="F197" s="26" t="s">
        <v>65</v>
      </c>
      <c r="G197" s="26" t="s">
        <v>1624</v>
      </c>
      <c r="H197" s="50" t="s">
        <v>5011</v>
      </c>
      <c r="I197" s="53" t="s">
        <v>5012</v>
      </c>
      <c r="J197" s="51" t="s">
        <v>5013</v>
      </c>
      <c r="K197" s="47" t="s">
        <v>5014</v>
      </c>
      <c r="L197" s="47" t="s">
        <v>5015</v>
      </c>
      <c r="M197" s="47" t="s">
        <v>5016</v>
      </c>
      <c r="N197" s="47"/>
      <c r="O197" s="310"/>
      <c r="P197" s="52"/>
    </row>
    <row r="198" spans="1:16" ht="14.25" customHeight="1">
      <c r="A198" s="26">
        <v>7</v>
      </c>
      <c r="B198" s="47"/>
      <c r="C198" s="30" t="s">
        <v>5017</v>
      </c>
      <c r="D198" s="57" t="s">
        <v>5018</v>
      </c>
      <c r="E198" s="49" t="s">
        <v>5019</v>
      </c>
      <c r="F198" s="26" t="s">
        <v>65</v>
      </c>
      <c r="G198" s="26" t="s">
        <v>5020</v>
      </c>
      <c r="H198" s="50" t="s">
        <v>5021</v>
      </c>
      <c r="I198" s="53" t="s">
        <v>5022</v>
      </c>
      <c r="J198" s="51" t="s">
        <v>5023</v>
      </c>
      <c r="K198" s="47" t="s">
        <v>5024</v>
      </c>
      <c r="L198" s="47" t="s">
        <v>5025</v>
      </c>
      <c r="M198" s="47" t="s">
        <v>5026</v>
      </c>
      <c r="N198" s="47"/>
      <c r="O198" s="310"/>
      <c r="P198" s="52"/>
    </row>
    <row r="199" spans="1:16" ht="14.25" customHeight="1">
      <c r="A199" s="26">
        <v>8</v>
      </c>
      <c r="B199" s="47"/>
      <c r="C199" s="30" t="s">
        <v>5027</v>
      </c>
      <c r="D199" s="57" t="s">
        <v>5028</v>
      </c>
      <c r="E199" s="49" t="s">
        <v>5029</v>
      </c>
      <c r="F199" s="26" t="s">
        <v>65</v>
      </c>
      <c r="G199" s="26" t="s">
        <v>5030</v>
      </c>
      <c r="H199" s="50" t="s">
        <v>5031</v>
      </c>
      <c r="I199" s="53" t="s">
        <v>5032</v>
      </c>
      <c r="J199" s="51" t="s">
        <v>5033</v>
      </c>
      <c r="K199" s="47" t="s">
        <v>5034</v>
      </c>
      <c r="L199" s="47" t="s">
        <v>5035</v>
      </c>
      <c r="M199" s="47" t="s">
        <v>5036</v>
      </c>
      <c r="N199" s="47"/>
      <c r="O199" s="310"/>
      <c r="P199" s="52"/>
    </row>
    <row r="200" spans="1:16" ht="14.25" customHeight="1">
      <c r="A200" s="26">
        <v>9</v>
      </c>
      <c r="B200" s="47"/>
      <c r="C200" s="30" t="s">
        <v>5037</v>
      </c>
      <c r="D200" s="57" t="s">
        <v>5038</v>
      </c>
      <c r="E200" s="49" t="s">
        <v>5039</v>
      </c>
      <c r="F200" s="26" t="s">
        <v>65</v>
      </c>
      <c r="G200" s="26" t="s">
        <v>5040</v>
      </c>
      <c r="H200" s="50" t="s">
        <v>5041</v>
      </c>
      <c r="I200" s="53" t="s">
        <v>5042</v>
      </c>
      <c r="J200" s="51" t="s">
        <v>5043</v>
      </c>
      <c r="K200" s="47" t="s">
        <v>5044</v>
      </c>
      <c r="L200" s="47" t="s">
        <v>5045</v>
      </c>
      <c r="M200" s="47" t="s">
        <v>5046</v>
      </c>
      <c r="N200" s="47"/>
      <c r="O200" s="310"/>
      <c r="P200" s="52"/>
    </row>
    <row r="201" spans="1:16" ht="14.25" customHeight="1">
      <c r="A201" s="26">
        <v>10</v>
      </c>
      <c r="B201" s="47"/>
      <c r="C201" s="30" t="s">
        <v>5047</v>
      </c>
      <c r="D201" s="57" t="s">
        <v>5048</v>
      </c>
      <c r="E201" s="49" t="s">
        <v>5049</v>
      </c>
      <c r="F201" s="26" t="s">
        <v>117</v>
      </c>
      <c r="G201" s="26" t="s">
        <v>5050</v>
      </c>
      <c r="H201" s="50" t="s">
        <v>5051</v>
      </c>
      <c r="I201" s="53" t="s">
        <v>5052</v>
      </c>
      <c r="J201" s="51" t="s">
        <v>5053</v>
      </c>
      <c r="K201" s="47" t="s">
        <v>5054</v>
      </c>
      <c r="L201" s="47" t="s">
        <v>5055</v>
      </c>
      <c r="M201" s="47" t="s">
        <v>5056</v>
      </c>
      <c r="N201" s="47"/>
      <c r="O201" s="310"/>
      <c r="P201" s="52"/>
    </row>
    <row r="202" spans="1:16" ht="14.25" customHeight="1">
      <c r="A202" s="26">
        <v>11</v>
      </c>
      <c r="B202" s="47"/>
      <c r="C202" s="30" t="s">
        <v>5057</v>
      </c>
      <c r="D202" s="57" t="s">
        <v>5058</v>
      </c>
      <c r="E202" s="49" t="s">
        <v>5059</v>
      </c>
      <c r="F202" s="26" t="s">
        <v>65</v>
      </c>
      <c r="G202" s="26" t="s">
        <v>5060</v>
      </c>
      <c r="H202" s="50" t="s">
        <v>5061</v>
      </c>
      <c r="I202" s="53" t="s">
        <v>5062</v>
      </c>
      <c r="J202" s="51" t="s">
        <v>5063</v>
      </c>
      <c r="K202" s="47" t="s">
        <v>5064</v>
      </c>
      <c r="L202" s="47" t="s">
        <v>5065</v>
      </c>
      <c r="M202" s="47" t="s">
        <v>5066</v>
      </c>
      <c r="N202" s="47"/>
      <c r="O202" s="310"/>
      <c r="P202" s="52"/>
    </row>
    <row r="203" spans="1:16" ht="14.25" customHeight="1">
      <c r="A203" s="26">
        <v>12</v>
      </c>
      <c r="B203" s="47"/>
      <c r="C203" s="30" t="s">
        <v>5067</v>
      </c>
      <c r="D203" s="57" t="s">
        <v>5068</v>
      </c>
      <c r="E203" s="49" t="s">
        <v>5069</v>
      </c>
      <c r="F203" s="26" t="s">
        <v>117</v>
      </c>
      <c r="G203" s="26" t="s">
        <v>5070</v>
      </c>
      <c r="H203" s="50" t="s">
        <v>5071</v>
      </c>
      <c r="I203" s="53" t="s">
        <v>5072</v>
      </c>
      <c r="J203" s="51" t="s">
        <v>5073</v>
      </c>
      <c r="K203" s="47" t="s">
        <v>5074</v>
      </c>
      <c r="L203" s="47" t="s">
        <v>5075</v>
      </c>
      <c r="M203" s="47" t="s">
        <v>5076</v>
      </c>
      <c r="N203" s="47"/>
      <c r="O203" s="311"/>
      <c r="P203" s="52"/>
    </row>
    <row r="204" spans="1:16" ht="14.25" customHeight="1">
      <c r="A204" s="40">
        <v>1</v>
      </c>
      <c r="B204" s="41"/>
      <c r="C204" s="58" t="s">
        <v>5077</v>
      </c>
      <c r="D204" s="45" t="s">
        <v>5078</v>
      </c>
      <c r="E204" s="41" t="s">
        <v>5079</v>
      </c>
      <c r="F204" s="40" t="s">
        <v>65</v>
      </c>
      <c r="G204" s="40" t="s">
        <v>199</v>
      </c>
      <c r="H204" s="43" t="s">
        <v>5080</v>
      </c>
      <c r="I204" s="72" t="s">
        <v>5081</v>
      </c>
      <c r="J204" s="44" t="s">
        <v>5082</v>
      </c>
      <c r="K204" s="41" t="s">
        <v>5083</v>
      </c>
      <c r="L204" s="41" t="s">
        <v>5084</v>
      </c>
      <c r="M204" s="41" t="s">
        <v>5085</v>
      </c>
      <c r="N204" s="41">
        <v>15</v>
      </c>
      <c r="O204" s="45" t="s">
        <v>38</v>
      </c>
      <c r="P204" s="46"/>
    </row>
    <row r="205" spans="1:16" ht="14.25" customHeight="1">
      <c r="A205" s="26">
        <v>2</v>
      </c>
      <c r="B205" s="47"/>
      <c r="C205" s="30" t="s">
        <v>5086</v>
      </c>
      <c r="D205" s="57" t="s">
        <v>5087</v>
      </c>
      <c r="E205" s="49" t="s">
        <v>5088</v>
      </c>
      <c r="F205" s="26" t="s">
        <v>65</v>
      </c>
      <c r="G205" s="26" t="s">
        <v>5089</v>
      </c>
      <c r="H205" s="50" t="s">
        <v>5090</v>
      </c>
      <c r="I205" s="53" t="s">
        <v>5091</v>
      </c>
      <c r="J205" s="51" t="s">
        <v>5092</v>
      </c>
      <c r="K205" s="47" t="s">
        <v>5093</v>
      </c>
      <c r="L205" s="47" t="s">
        <v>5094</v>
      </c>
      <c r="M205" s="47" t="s">
        <v>5095</v>
      </c>
      <c r="N205" s="47"/>
      <c r="O205" s="313" t="s">
        <v>5096</v>
      </c>
      <c r="P205" s="52"/>
    </row>
    <row r="206" spans="1:16" ht="14.25" customHeight="1">
      <c r="A206" s="26">
        <v>3</v>
      </c>
      <c r="B206" s="47"/>
      <c r="C206" s="30" t="s">
        <v>5097</v>
      </c>
      <c r="D206" s="57" t="s">
        <v>5098</v>
      </c>
      <c r="E206" s="49" t="s">
        <v>5099</v>
      </c>
      <c r="F206" s="26" t="s">
        <v>65</v>
      </c>
      <c r="G206" s="26" t="s">
        <v>5100</v>
      </c>
      <c r="H206" s="50" t="s">
        <v>5101</v>
      </c>
      <c r="I206" s="53" t="s">
        <v>5102</v>
      </c>
      <c r="J206" s="51" t="s">
        <v>5103</v>
      </c>
      <c r="K206" s="47" t="s">
        <v>5104</v>
      </c>
      <c r="L206" s="47" t="s">
        <v>5105</v>
      </c>
      <c r="M206" s="47" t="s">
        <v>5106</v>
      </c>
      <c r="N206" s="47"/>
      <c r="O206" s="310"/>
      <c r="P206" s="52"/>
    </row>
    <row r="207" spans="1:16" ht="14.25" customHeight="1">
      <c r="A207" s="26">
        <v>4</v>
      </c>
      <c r="B207" s="47"/>
      <c r="C207" s="30" t="s">
        <v>5107</v>
      </c>
      <c r="D207" s="57" t="s">
        <v>5108</v>
      </c>
      <c r="E207" s="49" t="s">
        <v>5109</v>
      </c>
      <c r="F207" s="26" t="s">
        <v>65</v>
      </c>
      <c r="G207" s="26" t="s">
        <v>5110</v>
      </c>
      <c r="H207" s="50" t="s">
        <v>5111</v>
      </c>
      <c r="I207" s="53" t="s">
        <v>5112</v>
      </c>
      <c r="J207" s="51" t="s">
        <v>5113</v>
      </c>
      <c r="K207" s="47" t="s">
        <v>5114</v>
      </c>
      <c r="L207" s="47" t="s">
        <v>5115</v>
      </c>
      <c r="M207" s="47" t="s">
        <v>5116</v>
      </c>
      <c r="N207" s="47"/>
      <c r="O207" s="310"/>
      <c r="P207" s="52"/>
    </row>
    <row r="208" spans="1:16" ht="14.25" customHeight="1">
      <c r="A208" s="26">
        <v>5</v>
      </c>
      <c r="B208" s="47"/>
      <c r="C208" s="30" t="s">
        <v>5117</v>
      </c>
      <c r="D208" s="57" t="s">
        <v>5118</v>
      </c>
      <c r="E208" s="49" t="s">
        <v>5119</v>
      </c>
      <c r="F208" s="26" t="s">
        <v>117</v>
      </c>
      <c r="G208" s="26" t="s">
        <v>3462</v>
      </c>
      <c r="H208" s="50" t="s">
        <v>5120</v>
      </c>
      <c r="I208" s="53" t="s">
        <v>5121</v>
      </c>
      <c r="J208" s="51" t="s">
        <v>5122</v>
      </c>
      <c r="K208" s="47" t="s">
        <v>5123</v>
      </c>
      <c r="L208" s="47" t="s">
        <v>5124</v>
      </c>
      <c r="M208" s="47" t="s">
        <v>5125</v>
      </c>
      <c r="N208" s="47"/>
      <c r="O208" s="310"/>
      <c r="P208" s="52"/>
    </row>
    <row r="209" spans="1:16" ht="14.25" customHeight="1">
      <c r="A209" s="26">
        <v>6</v>
      </c>
      <c r="B209" s="47"/>
      <c r="C209" s="30" t="s">
        <v>5126</v>
      </c>
      <c r="D209" s="57" t="s">
        <v>5127</v>
      </c>
      <c r="E209" s="49" t="s">
        <v>5128</v>
      </c>
      <c r="F209" s="26" t="s">
        <v>65</v>
      </c>
      <c r="G209" s="26" t="s">
        <v>5129</v>
      </c>
      <c r="H209" s="50" t="s">
        <v>5130</v>
      </c>
      <c r="I209" s="53" t="s">
        <v>5131</v>
      </c>
      <c r="J209" s="51" t="s">
        <v>5132</v>
      </c>
      <c r="K209" s="47" t="s">
        <v>5133</v>
      </c>
      <c r="L209" s="47" t="s">
        <v>5134</v>
      </c>
      <c r="M209" s="47" t="s">
        <v>5135</v>
      </c>
      <c r="N209" s="47"/>
      <c r="O209" s="310"/>
      <c r="P209" s="52"/>
    </row>
    <row r="210" spans="1:16" ht="14.25" customHeight="1">
      <c r="A210" s="26">
        <v>7</v>
      </c>
      <c r="B210" s="47"/>
      <c r="C210" s="30" t="s">
        <v>5136</v>
      </c>
      <c r="D210" s="57" t="s">
        <v>5137</v>
      </c>
      <c r="E210" s="49" t="s">
        <v>5138</v>
      </c>
      <c r="F210" s="26" t="s">
        <v>5139</v>
      </c>
      <c r="G210" s="26" t="s">
        <v>5140</v>
      </c>
      <c r="H210" s="50" t="s">
        <v>5141</v>
      </c>
      <c r="I210" s="53" t="s">
        <v>5142</v>
      </c>
      <c r="J210" s="51" t="s">
        <v>5143</v>
      </c>
      <c r="K210" s="47" t="s">
        <v>5144</v>
      </c>
      <c r="L210" s="47" t="s">
        <v>5145</v>
      </c>
      <c r="M210" s="47" t="s">
        <v>5146</v>
      </c>
      <c r="N210" s="47"/>
      <c r="O210" s="310"/>
      <c r="P210" s="52"/>
    </row>
    <row r="211" spans="1:16" ht="14.25" customHeight="1">
      <c r="A211" s="26">
        <v>8</v>
      </c>
      <c r="B211" s="47"/>
      <c r="C211" s="30" t="s">
        <v>3072</v>
      </c>
      <c r="D211" s="57" t="s">
        <v>3073</v>
      </c>
      <c r="E211" s="49" t="s">
        <v>3074</v>
      </c>
      <c r="F211" s="26" t="s">
        <v>65</v>
      </c>
      <c r="G211" s="26" t="s">
        <v>5147</v>
      </c>
      <c r="H211" s="50" t="s">
        <v>5148</v>
      </c>
      <c r="I211" s="53" t="s">
        <v>3077</v>
      </c>
      <c r="J211" s="51" t="s">
        <v>3078</v>
      </c>
      <c r="K211" s="47" t="s">
        <v>5149</v>
      </c>
      <c r="L211" s="47" t="s">
        <v>5150</v>
      </c>
      <c r="M211" s="47" t="s">
        <v>5151</v>
      </c>
      <c r="N211" s="47"/>
      <c r="O211" s="310"/>
      <c r="P211" s="52"/>
    </row>
    <row r="212" spans="1:16" ht="14.25" customHeight="1">
      <c r="A212" s="26">
        <v>9</v>
      </c>
      <c r="B212" s="47"/>
      <c r="C212" s="30" t="s">
        <v>5152</v>
      </c>
      <c r="D212" s="57" t="s">
        <v>5153</v>
      </c>
      <c r="E212" s="49" t="s">
        <v>5154</v>
      </c>
      <c r="F212" s="26" t="s">
        <v>65</v>
      </c>
      <c r="G212" s="26" t="s">
        <v>5155</v>
      </c>
      <c r="H212" s="50" t="s">
        <v>5156</v>
      </c>
      <c r="I212" s="53" t="s">
        <v>5157</v>
      </c>
      <c r="J212" s="51" t="s">
        <v>5158</v>
      </c>
      <c r="K212" s="47" t="s">
        <v>5159</v>
      </c>
      <c r="L212" s="47" t="s">
        <v>5160</v>
      </c>
      <c r="M212" s="47" t="s">
        <v>5161</v>
      </c>
      <c r="N212" s="47"/>
      <c r="O212" s="310"/>
      <c r="P212" s="52"/>
    </row>
    <row r="213" spans="1:16" ht="14.25" customHeight="1">
      <c r="A213" s="26">
        <v>10</v>
      </c>
      <c r="B213" s="47"/>
      <c r="C213" s="30" t="s">
        <v>5162</v>
      </c>
      <c r="D213" s="57" t="s">
        <v>5163</v>
      </c>
      <c r="E213" s="49" t="s">
        <v>5164</v>
      </c>
      <c r="F213" s="26" t="s">
        <v>117</v>
      </c>
      <c r="G213" s="26" t="s">
        <v>5165</v>
      </c>
      <c r="H213" s="50" t="s">
        <v>5166</v>
      </c>
      <c r="I213" s="53" t="s">
        <v>5167</v>
      </c>
      <c r="J213" s="51" t="s">
        <v>5168</v>
      </c>
      <c r="K213" s="47" t="s">
        <v>5169</v>
      </c>
      <c r="L213" s="47" t="s">
        <v>5170</v>
      </c>
      <c r="M213" s="47" t="s">
        <v>5171</v>
      </c>
      <c r="N213" s="47"/>
      <c r="O213" s="310"/>
      <c r="P213" s="52"/>
    </row>
    <row r="214" spans="1:16" ht="14.25" customHeight="1">
      <c r="A214" s="26">
        <v>11</v>
      </c>
      <c r="B214" s="47"/>
      <c r="C214" s="30" t="s">
        <v>5172</v>
      </c>
      <c r="D214" s="57" t="s">
        <v>5173</v>
      </c>
      <c r="E214" s="49" t="s">
        <v>5174</v>
      </c>
      <c r="F214" s="26" t="s">
        <v>219</v>
      </c>
      <c r="G214" s="26" t="s">
        <v>5175</v>
      </c>
      <c r="H214" s="50" t="s">
        <v>5176</v>
      </c>
      <c r="I214" s="53" t="s">
        <v>5177</v>
      </c>
      <c r="J214" s="51" t="s">
        <v>5178</v>
      </c>
      <c r="K214" s="47" t="s">
        <v>5179</v>
      </c>
      <c r="L214" s="47" t="s">
        <v>5180</v>
      </c>
      <c r="M214" s="47" t="s">
        <v>5181</v>
      </c>
      <c r="N214" s="47"/>
      <c r="O214" s="310"/>
      <c r="P214" s="52"/>
    </row>
    <row r="215" spans="1:16" ht="14.25" customHeight="1">
      <c r="A215" s="26">
        <v>12</v>
      </c>
      <c r="B215" s="47"/>
      <c r="C215" s="30" t="s">
        <v>5182</v>
      </c>
      <c r="D215" s="57" t="s">
        <v>5183</v>
      </c>
      <c r="E215" s="49" t="s">
        <v>5184</v>
      </c>
      <c r="F215" s="26" t="s">
        <v>65</v>
      </c>
      <c r="G215" s="26" t="s">
        <v>5185</v>
      </c>
      <c r="H215" s="50" t="s">
        <v>5186</v>
      </c>
      <c r="I215" s="53" t="s">
        <v>5187</v>
      </c>
      <c r="J215" s="51" t="s">
        <v>5188</v>
      </c>
      <c r="K215" s="47" t="s">
        <v>5189</v>
      </c>
      <c r="L215" s="47" t="s">
        <v>5190</v>
      </c>
      <c r="M215" s="47" t="s">
        <v>5191</v>
      </c>
      <c r="N215" s="47"/>
      <c r="O215" s="311"/>
      <c r="P215" s="52"/>
    </row>
  </sheetData>
  <mergeCells count="15">
    <mergeCell ref="O180:O191"/>
    <mergeCell ref="O193:O203"/>
    <mergeCell ref="O205:O215"/>
    <mergeCell ref="O3:O16"/>
    <mergeCell ref="O18:O33"/>
    <mergeCell ref="O35:O48"/>
    <mergeCell ref="O50:O64"/>
    <mergeCell ref="O66:O82"/>
    <mergeCell ref="O84:O96"/>
    <mergeCell ref="O98:O111"/>
    <mergeCell ref="O113:O127"/>
    <mergeCell ref="O129:O140"/>
    <mergeCell ref="O142:O154"/>
    <mergeCell ref="O156:O167"/>
    <mergeCell ref="O169:O178"/>
  </mergeCells>
  <dataValidations count="1">
    <dataValidation type="list" allowBlank="1" showErrorMessage="1" sqref="O2 O17 O34 O49 O65 O83 O97 O112 O128 O141 O155 O168 O179 O192 O204" xr:uid="{00000000-0002-0000-0300-000000000000}">
      <formula1>"Đang thực hiện,Sẵn sàng soát 1 ,Sửa 1,Sẵn sàng soát 2,Sửa 2,Done"</formula1>
    </dataValidation>
  </dataValidations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640625" defaultRowHeight="15" customHeight="1"/>
  <cols>
    <col min="1" max="1" width="4.88671875" customWidth="1"/>
    <col min="2" max="2" width="20.44140625" customWidth="1"/>
    <col min="3" max="3" width="12.33203125" customWidth="1"/>
    <col min="4" max="4" width="44.6640625" customWidth="1"/>
    <col min="5" max="5" width="13.44140625" customWidth="1"/>
    <col min="6" max="6" width="13.88671875" customWidth="1"/>
    <col min="7" max="7" width="33.21875" customWidth="1"/>
    <col min="8" max="8" width="51.33203125" customWidth="1"/>
    <col min="9" max="9" width="44" customWidth="1"/>
    <col min="10" max="10" width="33.6640625" customWidth="1"/>
    <col min="11" max="11" width="21" customWidth="1"/>
    <col min="12" max="12" width="21.109375" customWidth="1"/>
    <col min="13" max="14" width="21.33203125" customWidth="1"/>
  </cols>
  <sheetData>
    <row r="1" spans="1:14" ht="14.25" customHeight="1">
      <c r="A1" s="34" t="s">
        <v>12</v>
      </c>
      <c r="B1" s="35" t="s">
        <v>13</v>
      </c>
      <c r="C1" s="73" t="s">
        <v>14</v>
      </c>
      <c r="D1" s="35" t="s">
        <v>3114</v>
      </c>
      <c r="E1" s="35" t="s">
        <v>16</v>
      </c>
      <c r="F1" s="35" t="s">
        <v>17</v>
      </c>
      <c r="G1" s="35" t="s">
        <v>18</v>
      </c>
      <c r="H1" s="36" t="s">
        <v>19</v>
      </c>
      <c r="I1" s="35" t="s">
        <v>20</v>
      </c>
      <c r="J1" s="37" t="s">
        <v>21</v>
      </c>
      <c r="K1" s="38" t="s">
        <v>22</v>
      </c>
      <c r="L1" s="38" t="s">
        <v>23</v>
      </c>
      <c r="M1" s="38" t="s">
        <v>24</v>
      </c>
      <c r="N1" s="38" t="s">
        <v>25</v>
      </c>
    </row>
    <row r="2" spans="1:14" ht="14.25" customHeight="1">
      <c r="A2" s="40">
        <v>1</v>
      </c>
      <c r="B2" s="47"/>
      <c r="C2" s="42" t="s">
        <v>3115</v>
      </c>
      <c r="D2" s="41" t="e">
        <f t="array" aca="1" ref="D2:M215" ca="1">_xludf.MAP(C2:C215, _xludf.LAMBDA(tu, IF(tu="", "", IFERROR(_xludf.XLOOKUP(tu, 'Tổng hợp'!C:C, 'Tổng hợp'!D:M), ""))))</f>
        <v>#NAME?</v>
      </c>
      <c r="E2" s="41" t="e">
        <f ca="1"/>
        <v>#NAME?</v>
      </c>
      <c r="F2" s="41" t="e">
        <f ca="1"/>
        <v>#NAME?</v>
      </c>
      <c r="G2" s="41" t="e">
        <f ca="1"/>
        <v>#NAME?</v>
      </c>
      <c r="H2" s="74" t="e">
        <f ca="1"/>
        <v>#NAME?</v>
      </c>
      <c r="I2" s="75" t="e">
        <f ca="1"/>
        <v>#NAME?</v>
      </c>
      <c r="J2" s="44" t="e">
        <f ca="1"/>
        <v>#NAME?</v>
      </c>
      <c r="K2" s="41" t="e">
        <f ca="1"/>
        <v>#NAME?</v>
      </c>
      <c r="L2" s="41" t="e">
        <f ca="1"/>
        <v>#NAME?</v>
      </c>
      <c r="M2" s="41" t="e">
        <f ca="1"/>
        <v>#NAME?</v>
      </c>
      <c r="N2" s="41">
        <v>1</v>
      </c>
    </row>
    <row r="3" spans="1:14" ht="14.25" customHeight="1">
      <c r="A3" s="26">
        <v>2</v>
      </c>
      <c r="B3" s="47"/>
      <c r="C3" s="48" t="s">
        <v>2614</v>
      </c>
      <c r="D3" s="49" t="e">
        <f ca="1"/>
        <v>#NAME?</v>
      </c>
      <c r="E3" s="49" t="e">
        <f ca="1"/>
        <v>#NAME?</v>
      </c>
      <c r="F3" s="49" t="e">
        <f ca="1"/>
        <v>#NAME?</v>
      </c>
      <c r="G3" s="49" t="e">
        <f ca="1"/>
        <v>#NAME?</v>
      </c>
      <c r="H3" s="76" t="e">
        <f ca="1"/>
        <v>#NAME?</v>
      </c>
      <c r="I3" s="62" t="e">
        <f ca="1"/>
        <v>#NAME?</v>
      </c>
      <c r="J3" s="51" t="e">
        <f ca="1"/>
        <v>#NAME?</v>
      </c>
      <c r="K3" s="47" t="e">
        <f ca="1"/>
        <v>#NAME?</v>
      </c>
      <c r="L3" s="47" t="e">
        <f ca="1"/>
        <v>#NAME?</v>
      </c>
      <c r="M3" s="47" t="e">
        <f ca="1"/>
        <v>#NAME?</v>
      </c>
      <c r="N3" s="47"/>
    </row>
    <row r="4" spans="1:14" ht="14.25" customHeight="1">
      <c r="A4" s="26">
        <v>3</v>
      </c>
      <c r="B4" s="47"/>
      <c r="C4" s="48" t="s">
        <v>3130</v>
      </c>
      <c r="D4" s="49" t="e">
        <f ca="1"/>
        <v>#NAME?</v>
      </c>
      <c r="E4" s="49" t="e">
        <f ca="1"/>
        <v>#NAME?</v>
      </c>
      <c r="F4" s="49" t="e">
        <f ca="1"/>
        <v>#NAME?</v>
      </c>
      <c r="G4" s="49" t="e">
        <f ca="1"/>
        <v>#NAME?</v>
      </c>
      <c r="H4" s="76" t="e">
        <f ca="1"/>
        <v>#NAME?</v>
      </c>
      <c r="I4" s="62" t="e">
        <f ca="1"/>
        <v>#NAME?</v>
      </c>
      <c r="J4" s="51" t="e">
        <f ca="1"/>
        <v>#NAME?</v>
      </c>
      <c r="K4" s="47" t="e">
        <f ca="1"/>
        <v>#NAME?</v>
      </c>
      <c r="L4" s="47" t="e">
        <f ca="1"/>
        <v>#NAME?</v>
      </c>
      <c r="M4" s="47" t="e">
        <f ca="1"/>
        <v>#NAME?</v>
      </c>
      <c r="N4" s="47"/>
    </row>
    <row r="5" spans="1:14" ht="14.25" customHeight="1">
      <c r="A5" s="26">
        <v>4</v>
      </c>
      <c r="B5" s="47"/>
      <c r="C5" s="48" t="s">
        <v>3082</v>
      </c>
      <c r="D5" s="49" t="e">
        <f ca="1"/>
        <v>#NAME?</v>
      </c>
      <c r="E5" s="49" t="e">
        <f ca="1"/>
        <v>#NAME?</v>
      </c>
      <c r="F5" s="49" t="e">
        <f ca="1"/>
        <v>#NAME?</v>
      </c>
      <c r="G5" s="49" t="e">
        <f ca="1"/>
        <v>#NAME?</v>
      </c>
      <c r="H5" s="77" t="e">
        <f ca="1"/>
        <v>#NAME?</v>
      </c>
      <c r="I5" s="54" t="e">
        <f ca="1"/>
        <v>#NAME?</v>
      </c>
      <c r="J5" s="54" t="e">
        <f ca="1"/>
        <v>#NAME?</v>
      </c>
      <c r="K5" s="47" t="e">
        <f ca="1"/>
        <v>#NAME?</v>
      </c>
      <c r="L5" s="47" t="e">
        <f ca="1"/>
        <v>#NAME?</v>
      </c>
      <c r="M5" s="47" t="e">
        <f ca="1"/>
        <v>#NAME?</v>
      </c>
      <c r="N5" s="47"/>
    </row>
    <row r="6" spans="1:14" ht="14.25" customHeight="1">
      <c r="A6" s="26">
        <v>5</v>
      </c>
      <c r="B6" s="47"/>
      <c r="C6" s="48" t="s">
        <v>3145</v>
      </c>
      <c r="D6" s="49" t="e">
        <f ca="1"/>
        <v>#NAME?</v>
      </c>
      <c r="E6" s="49" t="e">
        <f ca="1"/>
        <v>#NAME?</v>
      </c>
      <c r="F6" s="49" t="e">
        <f ca="1"/>
        <v>#NAME?</v>
      </c>
      <c r="G6" s="49" t="e">
        <f ca="1"/>
        <v>#NAME?</v>
      </c>
      <c r="H6" s="76" t="e">
        <f ca="1"/>
        <v>#NAME?</v>
      </c>
      <c r="I6" s="62" t="e">
        <f ca="1"/>
        <v>#NAME?</v>
      </c>
      <c r="J6" s="51" t="e">
        <f ca="1"/>
        <v>#NAME?</v>
      </c>
      <c r="K6" s="47" t="e">
        <f ca="1"/>
        <v>#NAME?</v>
      </c>
      <c r="L6" s="47" t="e">
        <f ca="1"/>
        <v>#NAME?</v>
      </c>
      <c r="M6" s="47" t="e">
        <f ca="1"/>
        <v>#NAME?</v>
      </c>
      <c r="N6" s="47"/>
    </row>
    <row r="7" spans="1:14" ht="14.25" customHeight="1">
      <c r="A7" s="26">
        <v>6</v>
      </c>
      <c r="B7" s="47"/>
      <c r="C7" s="48" t="s">
        <v>3155</v>
      </c>
      <c r="D7" s="49" t="e">
        <f ca="1"/>
        <v>#NAME?</v>
      </c>
      <c r="E7" s="49" t="e">
        <f ca="1"/>
        <v>#NAME?</v>
      </c>
      <c r="F7" s="49" t="e">
        <f ca="1"/>
        <v>#NAME?</v>
      </c>
      <c r="G7" s="49" t="e">
        <f ca="1"/>
        <v>#NAME?</v>
      </c>
      <c r="H7" s="76" t="e">
        <f ca="1"/>
        <v>#NAME?</v>
      </c>
      <c r="I7" s="62" t="e">
        <f ca="1"/>
        <v>#NAME?</v>
      </c>
      <c r="J7" s="51" t="e">
        <f ca="1"/>
        <v>#NAME?</v>
      </c>
      <c r="K7" s="47" t="e">
        <f ca="1"/>
        <v>#NAME?</v>
      </c>
      <c r="L7" s="47" t="e">
        <f ca="1"/>
        <v>#NAME?</v>
      </c>
      <c r="M7" s="47" t="e">
        <f ca="1"/>
        <v>#NAME?</v>
      </c>
      <c r="N7" s="47"/>
    </row>
    <row r="8" spans="1:14" ht="14.25" customHeight="1">
      <c r="A8" s="26">
        <v>7</v>
      </c>
      <c r="B8" s="47"/>
      <c r="C8" s="48" t="s">
        <v>3165</v>
      </c>
      <c r="D8" s="49" t="e">
        <f ca="1"/>
        <v>#NAME?</v>
      </c>
      <c r="E8" s="49" t="e">
        <f ca="1"/>
        <v>#NAME?</v>
      </c>
      <c r="F8" s="49" t="e">
        <f ca="1"/>
        <v>#NAME?</v>
      </c>
      <c r="G8" s="49" t="e">
        <f ca="1"/>
        <v>#NAME?</v>
      </c>
      <c r="H8" s="76" t="e">
        <f ca="1"/>
        <v>#NAME?</v>
      </c>
      <c r="I8" s="62" t="e">
        <f ca="1"/>
        <v>#NAME?</v>
      </c>
      <c r="J8" s="51" t="e">
        <f ca="1"/>
        <v>#NAME?</v>
      </c>
      <c r="K8" s="47" t="e">
        <f ca="1"/>
        <v>#NAME?</v>
      </c>
      <c r="L8" s="47" t="e">
        <f ca="1"/>
        <v>#NAME?</v>
      </c>
      <c r="M8" s="47" t="e">
        <f ca="1"/>
        <v>#NAME?</v>
      </c>
      <c r="N8" s="47"/>
    </row>
    <row r="9" spans="1:14" ht="14.25" customHeight="1">
      <c r="A9" s="26">
        <v>8</v>
      </c>
      <c r="B9" s="78"/>
      <c r="C9" s="48" t="s">
        <v>3175</v>
      </c>
      <c r="D9" s="49" t="e">
        <f ca="1"/>
        <v>#NAME?</v>
      </c>
      <c r="E9" s="49" t="e">
        <f ca="1"/>
        <v>#NAME?</v>
      </c>
      <c r="F9" s="49" t="e">
        <f ca="1"/>
        <v>#NAME?</v>
      </c>
      <c r="G9" s="49" t="e">
        <f ca="1"/>
        <v>#NAME?</v>
      </c>
      <c r="H9" s="76" t="e">
        <f ca="1"/>
        <v>#NAME?</v>
      </c>
      <c r="I9" s="62" t="e">
        <f ca="1"/>
        <v>#NAME?</v>
      </c>
      <c r="J9" s="51" t="e">
        <f ca="1"/>
        <v>#NAME?</v>
      </c>
      <c r="K9" s="47" t="e">
        <f ca="1"/>
        <v>#NAME?</v>
      </c>
      <c r="L9" s="47" t="e">
        <f ca="1"/>
        <v>#NAME?</v>
      </c>
      <c r="M9" s="47" t="e">
        <f ca="1"/>
        <v>#NAME?</v>
      </c>
      <c r="N9" s="47"/>
    </row>
    <row r="10" spans="1:14" ht="14.25" customHeight="1">
      <c r="A10" s="26">
        <v>9</v>
      </c>
      <c r="B10" s="47"/>
      <c r="C10" s="48" t="s">
        <v>3184</v>
      </c>
      <c r="D10" s="49" t="e">
        <f ca="1"/>
        <v>#NAME?</v>
      </c>
      <c r="E10" s="49" t="e">
        <f ca="1"/>
        <v>#NAME?</v>
      </c>
      <c r="F10" s="49" t="e">
        <f ca="1"/>
        <v>#NAME?</v>
      </c>
      <c r="G10" s="49" t="e">
        <f ca="1"/>
        <v>#NAME?</v>
      </c>
      <c r="H10" s="76" t="e">
        <f ca="1"/>
        <v>#NAME?</v>
      </c>
      <c r="I10" s="62" t="e">
        <f ca="1"/>
        <v>#NAME?</v>
      </c>
      <c r="J10" s="51" t="e">
        <f ca="1"/>
        <v>#NAME?</v>
      </c>
      <c r="K10" s="47" t="e">
        <f ca="1"/>
        <v>#NAME?</v>
      </c>
      <c r="L10" s="47" t="e">
        <f ca="1"/>
        <v>#NAME?</v>
      </c>
      <c r="M10" s="47" t="e">
        <f ca="1"/>
        <v>#NAME?</v>
      </c>
      <c r="N10" s="47"/>
    </row>
    <row r="11" spans="1:14" ht="14.25" customHeight="1">
      <c r="A11" s="26">
        <v>10</v>
      </c>
      <c r="B11" s="47"/>
      <c r="C11" s="48" t="s">
        <v>1706</v>
      </c>
      <c r="D11" s="49" t="e">
        <f ca="1"/>
        <v>#NAME?</v>
      </c>
      <c r="E11" s="49" t="e">
        <f ca="1"/>
        <v>#NAME?</v>
      </c>
      <c r="F11" s="49" t="e">
        <f ca="1"/>
        <v>#NAME?</v>
      </c>
      <c r="G11" s="49" t="e">
        <f ca="1"/>
        <v>#NAME?</v>
      </c>
      <c r="H11" s="76" t="e">
        <f ca="1"/>
        <v>#NAME?</v>
      </c>
      <c r="I11" s="62" t="e">
        <f ca="1"/>
        <v>#NAME?</v>
      </c>
      <c r="J11" s="51" t="e">
        <f ca="1"/>
        <v>#NAME?</v>
      </c>
      <c r="K11" s="47" t="e">
        <f ca="1"/>
        <v>#NAME?</v>
      </c>
      <c r="L11" s="47" t="e">
        <f ca="1"/>
        <v>#NAME?</v>
      </c>
      <c r="M11" s="47" t="e">
        <f ca="1"/>
        <v>#NAME?</v>
      </c>
      <c r="N11" s="47"/>
    </row>
    <row r="12" spans="1:14" ht="14.25" customHeight="1">
      <c r="A12" s="26">
        <v>11</v>
      </c>
      <c r="B12" s="47"/>
      <c r="C12" s="48" t="s">
        <v>3198</v>
      </c>
      <c r="D12" s="49" t="e">
        <f ca="1"/>
        <v>#NAME?</v>
      </c>
      <c r="E12" s="49" t="e">
        <f ca="1"/>
        <v>#NAME?</v>
      </c>
      <c r="F12" s="49" t="e">
        <f ca="1"/>
        <v>#NAME?</v>
      </c>
      <c r="G12" s="49" t="e">
        <f ca="1"/>
        <v>#NAME?</v>
      </c>
      <c r="H12" s="76" t="e">
        <f ca="1"/>
        <v>#NAME?</v>
      </c>
      <c r="I12" s="62" t="e">
        <f ca="1"/>
        <v>#NAME?</v>
      </c>
      <c r="J12" s="51" t="e">
        <f ca="1"/>
        <v>#NAME?</v>
      </c>
      <c r="K12" s="47" t="e">
        <f ca="1"/>
        <v>#NAME?</v>
      </c>
      <c r="L12" s="47" t="e">
        <f ca="1"/>
        <v>#NAME?</v>
      </c>
      <c r="M12" s="47" t="e">
        <f ca="1"/>
        <v>#NAME?</v>
      </c>
      <c r="N12" s="47"/>
    </row>
    <row r="13" spans="1:14" ht="14.25" customHeight="1">
      <c r="A13" s="26">
        <v>12</v>
      </c>
      <c r="B13" s="78"/>
      <c r="C13" s="48" t="s">
        <v>3208</v>
      </c>
      <c r="D13" s="49" t="e">
        <f ca="1"/>
        <v>#NAME?</v>
      </c>
      <c r="E13" s="49" t="e">
        <f ca="1"/>
        <v>#NAME?</v>
      </c>
      <c r="F13" s="49" t="e">
        <f ca="1"/>
        <v>#NAME?</v>
      </c>
      <c r="G13" s="49" t="e">
        <f ca="1"/>
        <v>#NAME?</v>
      </c>
      <c r="H13" s="76" t="e">
        <f ca="1"/>
        <v>#NAME?</v>
      </c>
      <c r="I13" s="62" t="e">
        <f ca="1"/>
        <v>#NAME?</v>
      </c>
      <c r="J13" s="51" t="e">
        <f ca="1"/>
        <v>#NAME?</v>
      </c>
      <c r="K13" s="47" t="e">
        <f ca="1"/>
        <v>#NAME?</v>
      </c>
      <c r="L13" s="47" t="e">
        <f ca="1"/>
        <v>#NAME?</v>
      </c>
      <c r="M13" s="47" t="e">
        <f ca="1"/>
        <v>#NAME?</v>
      </c>
      <c r="N13" s="47"/>
    </row>
    <row r="14" spans="1:14" ht="14.25" customHeight="1">
      <c r="A14" s="26">
        <v>13</v>
      </c>
      <c r="B14" s="47"/>
      <c r="C14" s="55" t="s">
        <v>3218</v>
      </c>
      <c r="D14" s="56" t="e">
        <f ca="1"/>
        <v>#NAME?</v>
      </c>
      <c r="E14" s="56" t="e">
        <f ca="1"/>
        <v>#NAME?</v>
      </c>
      <c r="F14" s="47" t="e">
        <f ca="1"/>
        <v>#NAME?</v>
      </c>
      <c r="G14" s="47" t="e">
        <f ca="1"/>
        <v>#NAME?</v>
      </c>
      <c r="H14" s="79" t="e">
        <f ca="1"/>
        <v>#NAME?</v>
      </c>
      <c r="I14" s="80" t="e">
        <f ca="1"/>
        <v>#NAME?</v>
      </c>
      <c r="J14" s="51" t="e">
        <f ca="1"/>
        <v>#NAME?</v>
      </c>
      <c r="K14" s="47" t="e">
        <f ca="1"/>
        <v>#NAME?</v>
      </c>
      <c r="L14" s="47" t="e">
        <f ca="1"/>
        <v>#NAME?</v>
      </c>
      <c r="M14" s="47" t="e">
        <f ca="1"/>
        <v>#NAME?</v>
      </c>
      <c r="N14" s="47"/>
    </row>
    <row r="15" spans="1:14" ht="14.25" customHeight="1">
      <c r="A15" s="26">
        <v>14</v>
      </c>
      <c r="B15" s="47"/>
      <c r="C15" s="30" t="s">
        <v>3228</v>
      </c>
      <c r="D15" s="57" t="e">
        <f ca="1"/>
        <v>#NAME?</v>
      </c>
      <c r="E15" s="57" t="e">
        <f ca="1"/>
        <v>#NAME?</v>
      </c>
      <c r="F15" s="26" t="e">
        <f ca="1"/>
        <v>#NAME?</v>
      </c>
      <c r="G15" s="26" t="e">
        <f ca="1"/>
        <v>#NAME?</v>
      </c>
      <c r="H15" s="81" t="e">
        <f ca="1"/>
        <v>#NAME?</v>
      </c>
      <c r="I15" s="51" t="e">
        <f ca="1"/>
        <v>#NAME?</v>
      </c>
      <c r="J15" s="51" t="e">
        <f ca="1"/>
        <v>#NAME?</v>
      </c>
      <c r="K15" s="47" t="e">
        <f ca="1"/>
        <v>#NAME?</v>
      </c>
      <c r="L15" s="47" t="e">
        <f ca="1"/>
        <v>#NAME?</v>
      </c>
      <c r="M15" s="47" t="e">
        <f ca="1"/>
        <v>#NAME?</v>
      </c>
      <c r="N15" s="47"/>
    </row>
    <row r="16" spans="1:14" ht="14.25" customHeight="1">
      <c r="A16" s="26">
        <v>15</v>
      </c>
      <c r="B16" s="78"/>
      <c r="C16" s="30" t="s">
        <v>3238</v>
      </c>
      <c r="D16" s="57" t="e">
        <f ca="1"/>
        <v>#NAME?</v>
      </c>
      <c r="E16" s="57" t="e">
        <f ca="1"/>
        <v>#NAME?</v>
      </c>
      <c r="F16" s="26" t="e">
        <f ca="1"/>
        <v>#NAME?</v>
      </c>
      <c r="G16" s="26" t="e">
        <f ca="1"/>
        <v>#NAME?</v>
      </c>
      <c r="H16" s="81" t="e">
        <f ca="1"/>
        <v>#NAME?</v>
      </c>
      <c r="I16" s="51" t="e">
        <f ca="1"/>
        <v>#NAME?</v>
      </c>
      <c r="J16" s="51" t="e">
        <f ca="1"/>
        <v>#NAME?</v>
      </c>
      <c r="K16" s="47" t="e">
        <f ca="1"/>
        <v>#NAME?</v>
      </c>
      <c r="L16" s="47" t="e">
        <f ca="1"/>
        <v>#NAME?</v>
      </c>
      <c r="M16" s="47" t="e">
        <f ca="1"/>
        <v>#NAME?</v>
      </c>
      <c r="N16" s="47"/>
    </row>
    <row r="17" spans="1:14" ht="14.25" customHeight="1">
      <c r="A17" s="40">
        <v>1</v>
      </c>
      <c r="B17" s="78"/>
      <c r="C17" s="58" t="s">
        <v>3249</v>
      </c>
      <c r="D17" s="45" t="e">
        <f ca="1"/>
        <v>#NAME?</v>
      </c>
      <c r="E17" s="45" t="e">
        <f ca="1"/>
        <v>#NAME?</v>
      </c>
      <c r="F17" s="40" t="e">
        <f ca="1"/>
        <v>#NAME?</v>
      </c>
      <c r="G17" s="40" t="e">
        <f ca="1"/>
        <v>#NAME?</v>
      </c>
      <c r="H17" s="82" t="e">
        <f ca="1"/>
        <v>#NAME?</v>
      </c>
      <c r="I17" s="44" t="e">
        <f ca="1"/>
        <v>#NAME?</v>
      </c>
      <c r="J17" s="44" t="e">
        <f ca="1"/>
        <v>#NAME?</v>
      </c>
      <c r="K17" s="41" t="e">
        <f ca="1"/>
        <v>#NAME?</v>
      </c>
      <c r="L17" s="41" t="e">
        <f ca="1"/>
        <v>#NAME?</v>
      </c>
      <c r="M17" s="41" t="e">
        <f ca="1"/>
        <v>#NAME?</v>
      </c>
      <c r="N17" s="41">
        <v>2</v>
      </c>
    </row>
    <row r="18" spans="1:14" ht="14.25" customHeight="1">
      <c r="A18" s="26">
        <v>2</v>
      </c>
      <c r="B18" s="78"/>
      <c r="C18" s="30" t="s">
        <v>3259</v>
      </c>
      <c r="D18" s="57" t="e">
        <f ca="1"/>
        <v>#NAME?</v>
      </c>
      <c r="E18" s="57" t="e">
        <f ca="1"/>
        <v>#NAME?</v>
      </c>
      <c r="F18" s="26" t="e">
        <f ca="1"/>
        <v>#NAME?</v>
      </c>
      <c r="G18" s="26" t="e">
        <f ca="1"/>
        <v>#NAME?</v>
      </c>
      <c r="H18" s="81" t="e">
        <f ca="1"/>
        <v>#NAME?</v>
      </c>
      <c r="I18" s="51" t="e">
        <f ca="1"/>
        <v>#NAME?</v>
      </c>
      <c r="J18" s="51" t="e">
        <f ca="1"/>
        <v>#NAME?</v>
      </c>
      <c r="K18" s="47" t="e">
        <f ca="1"/>
        <v>#NAME?</v>
      </c>
      <c r="L18" s="47" t="e">
        <f ca="1"/>
        <v>#NAME?</v>
      </c>
      <c r="M18" s="47" t="e">
        <f ca="1"/>
        <v>#NAME?</v>
      </c>
      <c r="N18" s="47"/>
    </row>
    <row r="19" spans="1:14" ht="14.25" customHeight="1">
      <c r="A19" s="26">
        <v>3</v>
      </c>
      <c r="B19" s="78"/>
      <c r="C19" s="30" t="s">
        <v>3270</v>
      </c>
      <c r="D19" s="57" t="e">
        <f ca="1"/>
        <v>#NAME?</v>
      </c>
      <c r="E19" s="57" t="e">
        <f ca="1"/>
        <v>#NAME?</v>
      </c>
      <c r="F19" s="26" t="e">
        <f ca="1"/>
        <v>#NAME?</v>
      </c>
      <c r="G19" s="26" t="e">
        <f ca="1"/>
        <v>#NAME?</v>
      </c>
      <c r="H19" s="81" t="e">
        <f ca="1"/>
        <v>#NAME?</v>
      </c>
      <c r="I19" s="51" t="e">
        <f ca="1"/>
        <v>#NAME?</v>
      </c>
      <c r="J19" s="51" t="e">
        <f ca="1"/>
        <v>#NAME?</v>
      </c>
      <c r="K19" s="47" t="e">
        <f ca="1"/>
        <v>#NAME?</v>
      </c>
      <c r="L19" s="47" t="e">
        <f ca="1"/>
        <v>#NAME?</v>
      </c>
      <c r="M19" s="47" t="e">
        <f ca="1"/>
        <v>#NAME?</v>
      </c>
      <c r="N19" s="47"/>
    </row>
    <row r="20" spans="1:14" ht="14.25" customHeight="1">
      <c r="A20" s="26">
        <v>4</v>
      </c>
      <c r="B20" s="47"/>
      <c r="C20" s="30" t="s">
        <v>3280</v>
      </c>
      <c r="D20" s="56" t="e">
        <f ca="1"/>
        <v>#NAME?</v>
      </c>
      <c r="E20" s="56" t="e">
        <f ca="1"/>
        <v>#NAME?</v>
      </c>
      <c r="F20" s="26" t="e">
        <f ca="1"/>
        <v>#NAME?</v>
      </c>
      <c r="G20" s="26" t="e">
        <f ca="1"/>
        <v>#NAME?</v>
      </c>
      <c r="H20" s="59" t="e">
        <f ca="1"/>
        <v>#NAME?</v>
      </c>
      <c r="I20" s="51" t="e">
        <f ca="1"/>
        <v>#NAME?</v>
      </c>
      <c r="J20" s="59" t="e">
        <f ca="1"/>
        <v>#NAME?</v>
      </c>
      <c r="K20" s="47" t="e">
        <f ca="1"/>
        <v>#NAME?</v>
      </c>
      <c r="L20" s="47" t="e">
        <f ca="1"/>
        <v>#NAME?</v>
      </c>
      <c r="M20" s="47" t="e">
        <f ca="1"/>
        <v>#NAME?</v>
      </c>
      <c r="N20" s="47"/>
    </row>
    <row r="21" spans="1:14" ht="14.25" customHeight="1">
      <c r="A21" s="26">
        <v>5</v>
      </c>
      <c r="B21" s="78"/>
      <c r="C21" s="30" t="s">
        <v>3290</v>
      </c>
      <c r="D21" s="57" t="e">
        <f ca="1"/>
        <v>#NAME?</v>
      </c>
      <c r="E21" s="57" t="e">
        <f ca="1"/>
        <v>#NAME?</v>
      </c>
      <c r="F21" s="26" t="e">
        <f ca="1"/>
        <v>#NAME?</v>
      </c>
      <c r="G21" s="26" t="e">
        <f ca="1"/>
        <v>#NAME?</v>
      </c>
      <c r="H21" s="83" t="e">
        <f ca="1"/>
        <v>#NAME?</v>
      </c>
      <c r="I21" s="51" t="e">
        <f ca="1"/>
        <v>#NAME?</v>
      </c>
      <c r="J21" s="60" t="e">
        <f ca="1"/>
        <v>#NAME?</v>
      </c>
      <c r="K21" s="47" t="e">
        <f ca="1"/>
        <v>#NAME?</v>
      </c>
      <c r="L21" s="47" t="e">
        <f ca="1"/>
        <v>#NAME?</v>
      </c>
      <c r="M21" s="47" t="e">
        <f ca="1"/>
        <v>#NAME?</v>
      </c>
      <c r="N21" s="47"/>
    </row>
    <row r="22" spans="1:14" ht="14.25" customHeight="1">
      <c r="A22" s="26">
        <v>6</v>
      </c>
      <c r="B22" s="47"/>
      <c r="C22" s="30" t="s">
        <v>3300</v>
      </c>
      <c r="D22" s="57" t="e">
        <f ca="1"/>
        <v>#NAME?</v>
      </c>
      <c r="E22" s="57" t="e">
        <f ca="1"/>
        <v>#NAME?</v>
      </c>
      <c r="F22" s="26" t="e">
        <f ca="1"/>
        <v>#NAME?</v>
      </c>
      <c r="G22" s="26" t="e">
        <f ca="1"/>
        <v>#NAME?</v>
      </c>
      <c r="H22" s="81" t="e">
        <f ca="1"/>
        <v>#NAME?</v>
      </c>
      <c r="I22" s="51" t="e">
        <f ca="1"/>
        <v>#NAME?</v>
      </c>
      <c r="J22" s="51" t="e">
        <f ca="1"/>
        <v>#NAME?</v>
      </c>
      <c r="K22" s="47" t="e">
        <f ca="1"/>
        <v>#NAME?</v>
      </c>
      <c r="L22" s="47" t="e">
        <f ca="1"/>
        <v>#NAME?</v>
      </c>
      <c r="M22" s="47" t="e">
        <f ca="1"/>
        <v>#NAME?</v>
      </c>
      <c r="N22" s="47"/>
    </row>
    <row r="23" spans="1:14" ht="14.25" customHeight="1">
      <c r="A23" s="26">
        <v>7</v>
      </c>
      <c r="B23" s="78"/>
      <c r="C23" s="30" t="s">
        <v>3310</v>
      </c>
      <c r="D23" s="57" t="e">
        <f ca="1"/>
        <v>#NAME?</v>
      </c>
      <c r="E23" s="57" t="e">
        <f ca="1"/>
        <v>#NAME?</v>
      </c>
      <c r="F23" s="26" t="e">
        <f ca="1"/>
        <v>#NAME?</v>
      </c>
      <c r="G23" s="26" t="e">
        <f ca="1"/>
        <v>#NAME?</v>
      </c>
      <c r="H23" s="81" t="e">
        <f ca="1"/>
        <v>#NAME?</v>
      </c>
      <c r="I23" s="51" t="e">
        <f ca="1"/>
        <v>#NAME?</v>
      </c>
      <c r="J23" s="51" t="e">
        <f ca="1"/>
        <v>#NAME?</v>
      </c>
      <c r="K23" s="47" t="e">
        <f ca="1"/>
        <v>#NAME?</v>
      </c>
      <c r="L23" s="47" t="e">
        <f ca="1"/>
        <v>#NAME?</v>
      </c>
      <c r="M23" s="47" t="e">
        <f ca="1"/>
        <v>#NAME?</v>
      </c>
      <c r="N23" s="47"/>
    </row>
    <row r="24" spans="1:14" ht="14.25" customHeight="1">
      <c r="A24" s="26">
        <v>8</v>
      </c>
      <c r="B24" s="47"/>
      <c r="C24" s="30" t="s">
        <v>3320</v>
      </c>
      <c r="D24" s="57" t="e">
        <f ca="1"/>
        <v>#NAME?</v>
      </c>
      <c r="E24" s="57" t="e">
        <f ca="1"/>
        <v>#NAME?</v>
      </c>
      <c r="F24" s="26" t="e">
        <f ca="1"/>
        <v>#NAME?</v>
      </c>
      <c r="G24" s="26" t="e">
        <f ca="1"/>
        <v>#NAME?</v>
      </c>
      <c r="H24" s="81" t="e">
        <f ca="1"/>
        <v>#NAME?</v>
      </c>
      <c r="I24" s="51" t="e">
        <f ca="1"/>
        <v>#NAME?</v>
      </c>
      <c r="J24" s="51" t="e">
        <f ca="1"/>
        <v>#NAME?</v>
      </c>
      <c r="K24" s="47" t="e">
        <f ca="1"/>
        <v>#NAME?</v>
      </c>
      <c r="L24" s="47" t="e">
        <f ca="1"/>
        <v>#NAME?</v>
      </c>
      <c r="M24" s="47" t="e">
        <f ca="1"/>
        <v>#NAME?</v>
      </c>
      <c r="N24" s="47"/>
    </row>
    <row r="25" spans="1:14" ht="14.25" customHeight="1">
      <c r="A25" s="26">
        <v>9</v>
      </c>
      <c r="B25" s="78"/>
      <c r="C25" s="30" t="s">
        <v>3330</v>
      </c>
      <c r="D25" s="57" t="e">
        <f ca="1"/>
        <v>#NAME?</v>
      </c>
      <c r="E25" s="57" t="e">
        <f ca="1"/>
        <v>#NAME?</v>
      </c>
      <c r="F25" s="26" t="e">
        <f ca="1"/>
        <v>#NAME?</v>
      </c>
      <c r="G25" s="26" t="e">
        <f ca="1"/>
        <v>#NAME?</v>
      </c>
      <c r="H25" s="81" t="e">
        <f ca="1"/>
        <v>#NAME?</v>
      </c>
      <c r="I25" s="51" t="e">
        <f ca="1"/>
        <v>#NAME?</v>
      </c>
      <c r="J25" s="51" t="e">
        <f ca="1"/>
        <v>#NAME?</v>
      </c>
      <c r="K25" s="47" t="e">
        <f ca="1"/>
        <v>#NAME?</v>
      </c>
      <c r="L25" s="47" t="e">
        <f ca="1"/>
        <v>#NAME?</v>
      </c>
      <c r="M25" s="47" t="e">
        <f ca="1"/>
        <v>#NAME?</v>
      </c>
      <c r="N25" s="47"/>
    </row>
    <row r="26" spans="1:14" ht="14.25" customHeight="1">
      <c r="A26" s="26">
        <v>10</v>
      </c>
      <c r="B26" s="78"/>
      <c r="C26" s="30" t="s">
        <v>3340</v>
      </c>
      <c r="D26" s="57" t="e">
        <f ca="1"/>
        <v>#NAME?</v>
      </c>
      <c r="E26" s="57" t="e">
        <f ca="1"/>
        <v>#NAME?</v>
      </c>
      <c r="F26" s="26" t="e">
        <f ca="1"/>
        <v>#NAME?</v>
      </c>
      <c r="G26" s="26" t="e">
        <f ca="1"/>
        <v>#NAME?</v>
      </c>
      <c r="H26" s="81" t="e">
        <f ca="1"/>
        <v>#NAME?</v>
      </c>
      <c r="I26" s="51" t="e">
        <f ca="1"/>
        <v>#NAME?</v>
      </c>
      <c r="J26" s="51" t="e">
        <f ca="1"/>
        <v>#NAME?</v>
      </c>
      <c r="K26" s="47" t="e">
        <f ca="1"/>
        <v>#NAME?</v>
      </c>
      <c r="L26" s="47" t="e">
        <f ca="1"/>
        <v>#NAME?</v>
      </c>
      <c r="M26" s="47" t="e">
        <f ca="1"/>
        <v>#NAME?</v>
      </c>
      <c r="N26" s="47"/>
    </row>
    <row r="27" spans="1:14" ht="14.25" customHeight="1">
      <c r="A27" s="26">
        <v>11</v>
      </c>
      <c r="B27" s="78"/>
      <c r="C27" s="30" t="s">
        <v>3351</v>
      </c>
      <c r="D27" s="57" t="e">
        <f ca="1"/>
        <v>#NAME?</v>
      </c>
      <c r="E27" s="57" t="e">
        <f ca="1"/>
        <v>#NAME?</v>
      </c>
      <c r="F27" s="26" t="e">
        <f ca="1"/>
        <v>#NAME?</v>
      </c>
      <c r="G27" s="26" t="e">
        <f ca="1"/>
        <v>#NAME?</v>
      </c>
      <c r="H27" s="81" t="e">
        <f ca="1"/>
        <v>#NAME?</v>
      </c>
      <c r="I27" s="51" t="e">
        <f ca="1"/>
        <v>#NAME?</v>
      </c>
      <c r="J27" s="51" t="e">
        <f ca="1"/>
        <v>#NAME?</v>
      </c>
      <c r="K27" s="47" t="e">
        <f ca="1"/>
        <v>#NAME?</v>
      </c>
      <c r="L27" s="47" t="e">
        <f ca="1"/>
        <v>#NAME?</v>
      </c>
      <c r="M27" s="47" t="e">
        <f ca="1"/>
        <v>#NAME?</v>
      </c>
      <c r="N27" s="47"/>
    </row>
    <row r="28" spans="1:14" ht="14.25" customHeight="1">
      <c r="A28" s="26">
        <v>12</v>
      </c>
      <c r="B28" s="78"/>
      <c r="C28" s="30" t="s">
        <v>3361</v>
      </c>
      <c r="D28" s="57" t="e">
        <f ca="1"/>
        <v>#NAME?</v>
      </c>
      <c r="E28" s="57" t="e">
        <f ca="1"/>
        <v>#NAME?</v>
      </c>
      <c r="F28" s="26" t="e">
        <f ca="1"/>
        <v>#NAME?</v>
      </c>
      <c r="G28" s="26" t="e">
        <f ca="1"/>
        <v>#NAME?</v>
      </c>
      <c r="H28" s="81" t="e">
        <f ca="1"/>
        <v>#NAME?</v>
      </c>
      <c r="I28" s="51" t="e">
        <f ca="1"/>
        <v>#NAME?</v>
      </c>
      <c r="J28" s="51" t="e">
        <f ca="1"/>
        <v>#NAME?</v>
      </c>
      <c r="K28" s="47" t="e">
        <f ca="1"/>
        <v>#NAME?</v>
      </c>
      <c r="L28" s="47" t="e">
        <f ca="1"/>
        <v>#NAME?</v>
      </c>
      <c r="M28" s="47" t="e">
        <f ca="1"/>
        <v>#NAME?</v>
      </c>
      <c r="N28" s="47"/>
    </row>
    <row r="29" spans="1:14" ht="14.25" customHeight="1">
      <c r="A29" s="26">
        <v>13</v>
      </c>
      <c r="B29" s="78"/>
      <c r="C29" s="30" t="s">
        <v>3371</v>
      </c>
      <c r="D29" s="57" t="e">
        <f ca="1"/>
        <v>#NAME?</v>
      </c>
      <c r="E29" s="57" t="e">
        <f ca="1"/>
        <v>#NAME?</v>
      </c>
      <c r="F29" s="26" t="e">
        <f ca="1"/>
        <v>#NAME?</v>
      </c>
      <c r="G29" s="26" t="e">
        <f ca="1"/>
        <v>#NAME?</v>
      </c>
      <c r="H29" s="60" t="e">
        <f ca="1"/>
        <v>#NAME?</v>
      </c>
      <c r="I29" s="51" t="e">
        <f ca="1"/>
        <v>#NAME?</v>
      </c>
      <c r="J29" s="51" t="e">
        <f ca="1"/>
        <v>#NAME?</v>
      </c>
      <c r="K29" s="47" t="e">
        <f ca="1"/>
        <v>#NAME?</v>
      </c>
      <c r="L29" s="47" t="e">
        <f ca="1"/>
        <v>#NAME?</v>
      </c>
      <c r="M29" s="47" t="e">
        <f ca="1"/>
        <v>#NAME?</v>
      </c>
      <c r="N29" s="47"/>
    </row>
    <row r="30" spans="1:14" ht="14.25" customHeight="1">
      <c r="A30" s="26">
        <v>14</v>
      </c>
      <c r="B30" s="47"/>
      <c r="C30" s="55" t="s">
        <v>3380</v>
      </c>
      <c r="D30" s="56" t="e">
        <f ca="1"/>
        <v>#NAME?</v>
      </c>
      <c r="E30" s="56" t="e">
        <f ca="1"/>
        <v>#NAME?</v>
      </c>
      <c r="F30" s="47" t="e">
        <f ca="1"/>
        <v>#NAME?</v>
      </c>
      <c r="G30" s="47" t="e">
        <f ca="1"/>
        <v>#NAME?</v>
      </c>
      <c r="H30" s="79" t="e">
        <f ca="1"/>
        <v>#NAME?</v>
      </c>
      <c r="I30" s="80" t="e">
        <f ca="1"/>
        <v>#NAME?</v>
      </c>
      <c r="J30" s="51" t="e">
        <f ca="1"/>
        <v>#NAME?</v>
      </c>
      <c r="K30" s="47" t="e">
        <f ca="1"/>
        <v>#NAME?</v>
      </c>
      <c r="L30" s="47" t="e">
        <f ca="1"/>
        <v>#NAME?</v>
      </c>
      <c r="M30" s="47" t="e">
        <f ca="1"/>
        <v>#NAME?</v>
      </c>
      <c r="N30" s="47"/>
    </row>
    <row r="31" spans="1:14" ht="14.25" customHeight="1">
      <c r="A31" s="26">
        <v>15</v>
      </c>
      <c r="B31" s="47"/>
      <c r="C31" s="30" t="s">
        <v>3390</v>
      </c>
      <c r="D31" s="56" t="e">
        <f ca="1"/>
        <v>#NAME?</v>
      </c>
      <c r="E31" s="56" t="e">
        <f ca="1"/>
        <v>#NAME?</v>
      </c>
      <c r="F31" s="26" t="e">
        <f ca="1"/>
        <v>#NAME?</v>
      </c>
      <c r="G31" s="26" t="e">
        <f ca="1"/>
        <v>#NAME?</v>
      </c>
      <c r="H31" s="81" t="e">
        <f ca="1"/>
        <v>#NAME?</v>
      </c>
      <c r="I31" s="51" t="e">
        <f ca="1"/>
        <v>#NAME?</v>
      </c>
      <c r="J31" s="51" t="e">
        <f ca="1"/>
        <v>#NAME?</v>
      </c>
      <c r="K31" s="47" t="e">
        <f ca="1"/>
        <v>#NAME?</v>
      </c>
      <c r="L31" s="47" t="e">
        <f ca="1"/>
        <v>#NAME?</v>
      </c>
      <c r="M31" s="47" t="e">
        <f ca="1"/>
        <v>#NAME?</v>
      </c>
      <c r="N31" s="47"/>
    </row>
    <row r="32" spans="1:14" ht="14.25" customHeight="1">
      <c r="A32" s="26">
        <v>16</v>
      </c>
      <c r="B32" s="47"/>
      <c r="C32" s="30" t="s">
        <v>3400</v>
      </c>
      <c r="D32" s="56" t="e">
        <f ca="1"/>
        <v>#NAME?</v>
      </c>
      <c r="E32" s="56" t="e">
        <f ca="1"/>
        <v>#NAME?</v>
      </c>
      <c r="F32" s="26" t="e">
        <f ca="1"/>
        <v>#NAME?</v>
      </c>
      <c r="G32" s="26" t="e">
        <f ca="1"/>
        <v>#NAME?</v>
      </c>
      <c r="H32" s="81" t="e">
        <f ca="1"/>
        <v>#NAME?</v>
      </c>
      <c r="I32" s="51" t="e">
        <f ca="1"/>
        <v>#NAME?</v>
      </c>
      <c r="J32" s="51" t="e">
        <f ca="1"/>
        <v>#NAME?</v>
      </c>
      <c r="K32" s="47" t="e">
        <f ca="1"/>
        <v>#NAME?</v>
      </c>
      <c r="L32" s="47" t="e">
        <f ca="1"/>
        <v>#NAME?</v>
      </c>
      <c r="M32" s="47" t="e">
        <f ca="1"/>
        <v>#NAME?</v>
      </c>
      <c r="N32" s="47"/>
    </row>
    <row r="33" spans="1:14" ht="14.25" customHeight="1">
      <c r="A33" s="26">
        <v>17</v>
      </c>
      <c r="B33" s="78"/>
      <c r="C33" s="30" t="s">
        <v>3409</v>
      </c>
      <c r="D33" s="56" t="e">
        <f ca="1"/>
        <v>#NAME?</v>
      </c>
      <c r="E33" s="56" t="e">
        <f ca="1"/>
        <v>#NAME?</v>
      </c>
      <c r="F33" s="26" t="e">
        <f ca="1"/>
        <v>#NAME?</v>
      </c>
      <c r="G33" s="26" t="e">
        <f ca="1"/>
        <v>#NAME?</v>
      </c>
      <c r="H33" s="81" t="e">
        <f ca="1"/>
        <v>#NAME?</v>
      </c>
      <c r="I33" s="51" t="e">
        <f ca="1"/>
        <v>#NAME?</v>
      </c>
      <c r="J33" s="51" t="e">
        <f ca="1"/>
        <v>#NAME?</v>
      </c>
      <c r="K33" s="47" t="e">
        <f ca="1"/>
        <v>#NAME?</v>
      </c>
      <c r="L33" s="47" t="e">
        <f ca="1"/>
        <v>#NAME?</v>
      </c>
      <c r="M33" s="47" t="e">
        <f ca="1"/>
        <v>#NAME?</v>
      </c>
      <c r="N33" s="47"/>
    </row>
    <row r="34" spans="1:14" ht="14.25" customHeight="1">
      <c r="A34" s="40">
        <v>1</v>
      </c>
      <c r="B34" s="47"/>
      <c r="C34" s="58" t="s">
        <v>3419</v>
      </c>
      <c r="D34" s="45" t="e">
        <f ca="1"/>
        <v>#NAME?</v>
      </c>
      <c r="E34" s="45" t="e">
        <f ca="1"/>
        <v>#NAME?</v>
      </c>
      <c r="F34" s="40" t="e">
        <f ca="1"/>
        <v>#NAME?</v>
      </c>
      <c r="G34" s="40" t="e">
        <f ca="1"/>
        <v>#NAME?</v>
      </c>
      <c r="H34" s="82" t="e">
        <f ca="1"/>
        <v>#NAME?</v>
      </c>
      <c r="I34" s="44" t="e">
        <f ca="1"/>
        <v>#NAME?</v>
      </c>
      <c r="J34" s="44" t="e">
        <f ca="1"/>
        <v>#NAME?</v>
      </c>
      <c r="K34" s="41" t="e">
        <f ca="1"/>
        <v>#NAME?</v>
      </c>
      <c r="L34" s="41" t="e">
        <f ca="1"/>
        <v>#NAME?</v>
      </c>
      <c r="M34" s="41" t="e">
        <f ca="1"/>
        <v>#NAME?</v>
      </c>
      <c r="N34" s="41">
        <v>3</v>
      </c>
    </row>
    <row r="35" spans="1:14" ht="14.25" customHeight="1">
      <c r="A35" s="26">
        <v>2</v>
      </c>
      <c r="B35" s="78"/>
      <c r="C35" s="30" t="s">
        <v>3429</v>
      </c>
      <c r="D35" s="56" t="e">
        <f ca="1"/>
        <v>#NAME?</v>
      </c>
      <c r="E35" s="56" t="e">
        <f ca="1"/>
        <v>#NAME?</v>
      </c>
      <c r="F35" s="26" t="e">
        <f ca="1"/>
        <v>#NAME?</v>
      </c>
      <c r="G35" s="26" t="e">
        <f ca="1"/>
        <v>#NAME?</v>
      </c>
      <c r="H35" s="81" t="e">
        <f ca="1"/>
        <v>#NAME?</v>
      </c>
      <c r="I35" s="51" t="e">
        <f ca="1"/>
        <v>#NAME?</v>
      </c>
      <c r="J35" s="51" t="e">
        <f ca="1"/>
        <v>#NAME?</v>
      </c>
      <c r="K35" s="47" t="e">
        <f ca="1"/>
        <v>#NAME?</v>
      </c>
      <c r="L35" s="47" t="e">
        <f ca="1"/>
        <v>#NAME?</v>
      </c>
      <c r="M35" s="47" t="e">
        <f ca="1"/>
        <v>#NAME?</v>
      </c>
      <c r="N35" s="47"/>
    </row>
    <row r="36" spans="1:14" ht="14.25" customHeight="1">
      <c r="A36" s="26">
        <v>3</v>
      </c>
      <c r="B36" s="47"/>
      <c r="C36" s="30" t="s">
        <v>3440</v>
      </c>
      <c r="D36" s="56" t="e">
        <f ca="1"/>
        <v>#NAME?</v>
      </c>
      <c r="E36" s="56" t="e">
        <f ca="1"/>
        <v>#NAME?</v>
      </c>
      <c r="F36" s="26" t="e">
        <f ca="1"/>
        <v>#NAME?</v>
      </c>
      <c r="G36" s="26" t="e">
        <f ca="1"/>
        <v>#NAME?</v>
      </c>
      <c r="H36" s="81" t="e">
        <f ca="1"/>
        <v>#NAME?</v>
      </c>
      <c r="I36" s="51" t="e">
        <f ca="1"/>
        <v>#NAME?</v>
      </c>
      <c r="J36" s="51" t="e">
        <f ca="1"/>
        <v>#NAME?</v>
      </c>
      <c r="K36" s="47" t="e">
        <f ca="1"/>
        <v>#NAME?</v>
      </c>
      <c r="L36" s="47" t="e">
        <f ca="1"/>
        <v>#NAME?</v>
      </c>
      <c r="M36" s="47" t="e">
        <f ca="1"/>
        <v>#NAME?</v>
      </c>
      <c r="N36" s="47"/>
    </row>
    <row r="37" spans="1:14" ht="14.25" customHeight="1">
      <c r="A37" s="26">
        <v>4</v>
      </c>
      <c r="B37" s="47"/>
      <c r="C37" s="30" t="s">
        <v>3449</v>
      </c>
      <c r="D37" s="56" t="e">
        <f ca="1"/>
        <v>#NAME?</v>
      </c>
      <c r="E37" s="56" t="e">
        <f ca="1"/>
        <v>#NAME?</v>
      </c>
      <c r="F37" s="26" t="e">
        <f ca="1"/>
        <v>#NAME?</v>
      </c>
      <c r="G37" s="26" t="e">
        <f ca="1"/>
        <v>#NAME?</v>
      </c>
      <c r="H37" s="81" t="e">
        <f ca="1"/>
        <v>#NAME?</v>
      </c>
      <c r="I37" s="51" t="e">
        <f ca="1"/>
        <v>#NAME?</v>
      </c>
      <c r="J37" s="51" t="e">
        <f ca="1"/>
        <v>#NAME?</v>
      </c>
      <c r="K37" s="47" t="e">
        <f ca="1"/>
        <v>#NAME?</v>
      </c>
      <c r="L37" s="47" t="e">
        <f ca="1"/>
        <v>#NAME?</v>
      </c>
      <c r="M37" s="47" t="e">
        <f ca="1"/>
        <v>#NAME?</v>
      </c>
      <c r="N37" s="47"/>
    </row>
    <row r="38" spans="1:14" ht="14.25" customHeight="1">
      <c r="A38" s="26">
        <v>5</v>
      </c>
      <c r="B38" s="78"/>
      <c r="C38" s="30" t="s">
        <v>3459</v>
      </c>
      <c r="D38" s="56" t="e">
        <f ca="1"/>
        <v>#NAME?</v>
      </c>
      <c r="E38" s="56" t="e">
        <f ca="1"/>
        <v>#NAME?</v>
      </c>
      <c r="F38" s="26" t="e">
        <f ca="1"/>
        <v>#NAME?</v>
      </c>
      <c r="G38" s="26" t="e">
        <f ca="1"/>
        <v>#NAME?</v>
      </c>
      <c r="H38" s="81" t="e">
        <f ca="1"/>
        <v>#NAME?</v>
      </c>
      <c r="I38" s="51" t="e">
        <f ca="1"/>
        <v>#NAME?</v>
      </c>
      <c r="J38" s="51" t="e">
        <f ca="1"/>
        <v>#NAME?</v>
      </c>
      <c r="K38" s="47" t="e">
        <f ca="1"/>
        <v>#NAME?</v>
      </c>
      <c r="L38" s="47" t="e">
        <f ca="1"/>
        <v>#NAME?</v>
      </c>
      <c r="M38" s="47" t="e">
        <f ca="1"/>
        <v>#NAME?</v>
      </c>
      <c r="N38" s="47"/>
    </row>
    <row r="39" spans="1:14" ht="14.25" customHeight="1">
      <c r="A39" s="26">
        <v>6</v>
      </c>
      <c r="B39" s="47"/>
      <c r="C39" s="30" t="s">
        <v>3469</v>
      </c>
      <c r="D39" s="56" t="e">
        <f ca="1"/>
        <v>#NAME?</v>
      </c>
      <c r="E39" s="56" t="e">
        <f ca="1"/>
        <v>#NAME?</v>
      </c>
      <c r="F39" s="26" t="e">
        <f ca="1"/>
        <v>#NAME?</v>
      </c>
      <c r="G39" s="26" t="e">
        <f ca="1"/>
        <v>#NAME?</v>
      </c>
      <c r="H39" s="81" t="e">
        <f ca="1"/>
        <v>#NAME?</v>
      </c>
      <c r="I39" s="51" t="e">
        <f ca="1"/>
        <v>#NAME?</v>
      </c>
      <c r="J39" s="51" t="e">
        <f ca="1"/>
        <v>#NAME?</v>
      </c>
      <c r="K39" s="47" t="e">
        <f ca="1"/>
        <v>#NAME?</v>
      </c>
      <c r="L39" s="47" t="e">
        <f ca="1"/>
        <v>#NAME?</v>
      </c>
      <c r="M39" s="47" t="e">
        <f ca="1"/>
        <v>#NAME?</v>
      </c>
      <c r="N39" s="47"/>
    </row>
    <row r="40" spans="1:14" ht="14.25" customHeight="1">
      <c r="A40" s="26">
        <v>7</v>
      </c>
      <c r="B40" s="47"/>
      <c r="C40" s="30" t="s">
        <v>3479</v>
      </c>
      <c r="D40" s="56" t="e">
        <f ca="1"/>
        <v>#NAME?</v>
      </c>
      <c r="E40" s="56" t="e">
        <f ca="1"/>
        <v>#NAME?</v>
      </c>
      <c r="F40" s="26" t="e">
        <f ca="1"/>
        <v>#NAME?</v>
      </c>
      <c r="G40" s="26" t="e">
        <f ca="1"/>
        <v>#NAME?</v>
      </c>
      <c r="H40" s="81" t="e">
        <f ca="1"/>
        <v>#NAME?</v>
      </c>
      <c r="I40" s="51" t="e">
        <f ca="1"/>
        <v>#NAME?</v>
      </c>
      <c r="J40" s="51" t="e">
        <f ca="1"/>
        <v>#NAME?</v>
      </c>
      <c r="K40" s="47" t="e">
        <f ca="1"/>
        <v>#NAME?</v>
      </c>
      <c r="L40" s="47" t="e">
        <f ca="1"/>
        <v>#NAME?</v>
      </c>
      <c r="M40" s="47" t="e">
        <f ca="1"/>
        <v>#NAME?</v>
      </c>
      <c r="N40" s="47"/>
    </row>
    <row r="41" spans="1:14" ht="14.25" customHeight="1">
      <c r="A41" s="26">
        <v>8</v>
      </c>
      <c r="B41" s="47"/>
      <c r="C41" s="30" t="s">
        <v>3489</v>
      </c>
      <c r="D41" s="56" t="e">
        <f ca="1"/>
        <v>#NAME?</v>
      </c>
      <c r="E41" s="56" t="e">
        <f ca="1"/>
        <v>#NAME?</v>
      </c>
      <c r="F41" s="26" t="e">
        <f ca="1"/>
        <v>#NAME?</v>
      </c>
      <c r="G41" s="26" t="e">
        <f ca="1"/>
        <v>#NAME?</v>
      </c>
      <c r="H41" s="81" t="e">
        <f ca="1"/>
        <v>#NAME?</v>
      </c>
      <c r="I41" s="51" t="e">
        <f ca="1"/>
        <v>#NAME?</v>
      </c>
      <c r="J41" s="51" t="e">
        <f ca="1"/>
        <v>#NAME?</v>
      </c>
      <c r="K41" s="47" t="e">
        <f ca="1"/>
        <v>#NAME?</v>
      </c>
      <c r="L41" s="47" t="e">
        <f ca="1"/>
        <v>#NAME?</v>
      </c>
      <c r="M41" s="47" t="e">
        <f ca="1"/>
        <v>#NAME?</v>
      </c>
      <c r="N41" s="47"/>
    </row>
    <row r="42" spans="1:14" ht="14.25" customHeight="1">
      <c r="A42" s="26">
        <v>9</v>
      </c>
      <c r="B42" s="47"/>
      <c r="C42" s="30" t="s">
        <v>3499</v>
      </c>
      <c r="D42" s="56" t="e">
        <f ca="1"/>
        <v>#NAME?</v>
      </c>
      <c r="E42" s="56" t="e">
        <f ca="1"/>
        <v>#NAME?</v>
      </c>
      <c r="F42" s="26" t="e">
        <f ca="1"/>
        <v>#NAME?</v>
      </c>
      <c r="G42" s="26" t="e">
        <f ca="1"/>
        <v>#NAME?</v>
      </c>
      <c r="H42" s="81" t="e">
        <f ca="1"/>
        <v>#NAME?</v>
      </c>
      <c r="I42" s="51" t="e">
        <f ca="1"/>
        <v>#NAME?</v>
      </c>
      <c r="J42" s="51" t="e">
        <f ca="1"/>
        <v>#NAME?</v>
      </c>
      <c r="K42" s="47" t="e">
        <f ca="1"/>
        <v>#NAME?</v>
      </c>
      <c r="L42" s="47" t="e">
        <f ca="1"/>
        <v>#NAME?</v>
      </c>
      <c r="M42" s="47" t="e">
        <f ca="1"/>
        <v>#NAME?</v>
      </c>
      <c r="N42" s="47"/>
    </row>
    <row r="43" spans="1:14" ht="14.25" customHeight="1">
      <c r="A43" s="26">
        <v>10</v>
      </c>
      <c r="B43" s="47"/>
      <c r="C43" s="30" t="s">
        <v>3509</v>
      </c>
      <c r="D43" s="56" t="e">
        <f ca="1"/>
        <v>#NAME?</v>
      </c>
      <c r="E43" s="56" t="e">
        <f ca="1"/>
        <v>#NAME?</v>
      </c>
      <c r="F43" s="26" t="e">
        <f ca="1"/>
        <v>#NAME?</v>
      </c>
      <c r="G43" s="26" t="e">
        <f ca="1"/>
        <v>#NAME?</v>
      </c>
      <c r="H43" s="81" t="e">
        <f ca="1"/>
        <v>#NAME?</v>
      </c>
      <c r="I43" s="51" t="e">
        <f ca="1"/>
        <v>#NAME?</v>
      </c>
      <c r="J43" s="51" t="e">
        <f ca="1"/>
        <v>#NAME?</v>
      </c>
      <c r="K43" s="47" t="e">
        <f ca="1"/>
        <v>#NAME?</v>
      </c>
      <c r="L43" s="47" t="e">
        <f ca="1"/>
        <v>#NAME?</v>
      </c>
      <c r="M43" s="47" t="e">
        <f ca="1"/>
        <v>#NAME?</v>
      </c>
      <c r="N43" s="47"/>
    </row>
    <row r="44" spans="1:14" ht="14.25" customHeight="1">
      <c r="A44" s="26">
        <v>11</v>
      </c>
      <c r="B44" s="47"/>
      <c r="C44" s="30" t="s">
        <v>3519</v>
      </c>
      <c r="D44" s="56" t="e">
        <f ca="1"/>
        <v>#NAME?</v>
      </c>
      <c r="E44" s="56" t="e">
        <f ca="1"/>
        <v>#NAME?</v>
      </c>
      <c r="F44" s="26" t="e">
        <f ca="1"/>
        <v>#NAME?</v>
      </c>
      <c r="G44" s="26" t="e">
        <f ca="1"/>
        <v>#NAME?</v>
      </c>
      <c r="H44" s="81" t="e">
        <f ca="1"/>
        <v>#NAME?</v>
      </c>
      <c r="I44" s="51" t="e">
        <f ca="1"/>
        <v>#NAME?</v>
      </c>
      <c r="J44" s="51" t="e">
        <f ca="1"/>
        <v>#NAME?</v>
      </c>
      <c r="K44" s="47" t="e">
        <f ca="1"/>
        <v>#NAME?</v>
      </c>
      <c r="L44" s="47" t="e">
        <f ca="1"/>
        <v>#NAME?</v>
      </c>
      <c r="M44" s="47" t="e">
        <f ca="1"/>
        <v>#NAME?</v>
      </c>
      <c r="N44" s="47"/>
    </row>
    <row r="45" spans="1:14" ht="14.25" customHeight="1">
      <c r="A45" s="26">
        <v>12</v>
      </c>
      <c r="B45" s="47"/>
      <c r="C45" s="30" t="s">
        <v>3529</v>
      </c>
      <c r="D45" s="56" t="e">
        <f ca="1"/>
        <v>#NAME?</v>
      </c>
      <c r="E45" s="56" t="e">
        <f ca="1"/>
        <v>#NAME?</v>
      </c>
      <c r="F45" s="26" t="e">
        <f ca="1"/>
        <v>#NAME?</v>
      </c>
      <c r="G45" s="26" t="e">
        <f ca="1"/>
        <v>#NAME?</v>
      </c>
      <c r="H45" s="81" t="e">
        <f ca="1"/>
        <v>#NAME?</v>
      </c>
      <c r="I45" s="51" t="e">
        <f ca="1"/>
        <v>#NAME?</v>
      </c>
      <c r="J45" s="51" t="e">
        <f ca="1"/>
        <v>#NAME?</v>
      </c>
      <c r="K45" s="47" t="e">
        <f ca="1"/>
        <v>#NAME?</v>
      </c>
      <c r="L45" s="47" t="e">
        <f ca="1"/>
        <v>#NAME?</v>
      </c>
      <c r="M45" s="47" t="e">
        <f ca="1"/>
        <v>#NAME?</v>
      </c>
      <c r="N45" s="47"/>
    </row>
    <row r="46" spans="1:14" ht="14.25" customHeight="1">
      <c r="A46" s="26">
        <v>13</v>
      </c>
      <c r="B46" s="78"/>
      <c r="C46" s="55" t="s">
        <v>3539</v>
      </c>
      <c r="D46" s="56" t="e">
        <f ca="1"/>
        <v>#NAME?</v>
      </c>
      <c r="E46" s="56" t="e">
        <f ca="1"/>
        <v>#NAME?</v>
      </c>
      <c r="F46" s="47" t="e">
        <f ca="1"/>
        <v>#NAME?</v>
      </c>
      <c r="G46" s="47" t="e">
        <f ca="1"/>
        <v>#NAME?</v>
      </c>
      <c r="H46" s="79" t="e">
        <f ca="1"/>
        <v>#NAME?</v>
      </c>
      <c r="I46" s="80" t="e">
        <f ca="1"/>
        <v>#NAME?</v>
      </c>
      <c r="J46" s="51" t="e">
        <f ca="1"/>
        <v>#NAME?</v>
      </c>
      <c r="K46" s="47" t="e">
        <f ca="1"/>
        <v>#NAME?</v>
      </c>
      <c r="L46" s="47" t="e">
        <f ca="1"/>
        <v>#NAME?</v>
      </c>
      <c r="M46" s="47" t="e">
        <f ca="1"/>
        <v>#NAME?</v>
      </c>
      <c r="N46" s="47"/>
    </row>
    <row r="47" spans="1:14" ht="14.25" customHeight="1">
      <c r="A47" s="26">
        <v>14</v>
      </c>
      <c r="B47" s="47"/>
      <c r="C47" s="30" t="s">
        <v>3549</v>
      </c>
      <c r="D47" s="57" t="e">
        <f ca="1"/>
        <v>#NAME?</v>
      </c>
      <c r="E47" s="57" t="e">
        <f ca="1"/>
        <v>#NAME?</v>
      </c>
      <c r="F47" s="26" t="e">
        <f ca="1"/>
        <v>#NAME?</v>
      </c>
      <c r="G47" s="26" t="e">
        <f ca="1"/>
        <v>#NAME?</v>
      </c>
      <c r="H47" s="81" t="e">
        <f ca="1"/>
        <v>#NAME?</v>
      </c>
      <c r="I47" s="51" t="e">
        <f ca="1"/>
        <v>#NAME?</v>
      </c>
      <c r="J47" s="51" t="e">
        <f ca="1"/>
        <v>#NAME?</v>
      </c>
      <c r="K47" s="47" t="e">
        <f ca="1"/>
        <v>#NAME?</v>
      </c>
      <c r="L47" s="47" t="e">
        <f ca="1"/>
        <v>#NAME?</v>
      </c>
      <c r="M47" s="47" t="e">
        <f ca="1"/>
        <v>#NAME?</v>
      </c>
      <c r="N47" s="47"/>
    </row>
    <row r="48" spans="1:14" ht="14.25" customHeight="1">
      <c r="A48" s="26">
        <v>15</v>
      </c>
      <c r="B48" s="78"/>
      <c r="C48" s="30" t="s">
        <v>3559</v>
      </c>
      <c r="D48" s="57" t="e">
        <f ca="1"/>
        <v>#NAME?</v>
      </c>
      <c r="E48" s="57" t="e">
        <f ca="1"/>
        <v>#NAME?</v>
      </c>
      <c r="F48" s="26" t="e">
        <f ca="1"/>
        <v>#NAME?</v>
      </c>
      <c r="G48" s="26" t="e">
        <f ca="1"/>
        <v>#NAME?</v>
      </c>
      <c r="H48" s="81" t="e">
        <f ca="1"/>
        <v>#NAME?</v>
      </c>
      <c r="I48" s="51" t="e">
        <f ca="1"/>
        <v>#NAME?</v>
      </c>
      <c r="J48" s="51" t="e">
        <f ca="1"/>
        <v>#NAME?</v>
      </c>
      <c r="K48" s="47" t="e">
        <f ca="1"/>
        <v>#NAME?</v>
      </c>
      <c r="L48" s="47" t="e">
        <f ca="1"/>
        <v>#NAME?</v>
      </c>
      <c r="M48" s="47" t="e">
        <f ca="1"/>
        <v>#NAME?</v>
      </c>
      <c r="N48" s="47"/>
    </row>
    <row r="49" spans="1:14" ht="14.25" customHeight="1">
      <c r="A49" s="40">
        <v>1</v>
      </c>
      <c r="B49" s="78"/>
      <c r="C49" s="58" t="s">
        <v>3569</v>
      </c>
      <c r="D49" s="45" t="e">
        <f ca="1"/>
        <v>#NAME?</v>
      </c>
      <c r="E49" s="45" t="e">
        <f ca="1"/>
        <v>#NAME?</v>
      </c>
      <c r="F49" s="40" t="e">
        <f ca="1"/>
        <v>#NAME?</v>
      </c>
      <c r="G49" s="40" t="e">
        <f ca="1"/>
        <v>#NAME?</v>
      </c>
      <c r="H49" s="82" t="e">
        <f ca="1"/>
        <v>#NAME?</v>
      </c>
      <c r="I49" s="44" t="e">
        <f ca="1"/>
        <v>#NAME?</v>
      </c>
      <c r="J49" s="44" t="e">
        <f ca="1"/>
        <v>#NAME?</v>
      </c>
      <c r="K49" s="41" t="e">
        <f ca="1"/>
        <v>#NAME?</v>
      </c>
      <c r="L49" s="41" t="e">
        <f ca="1"/>
        <v>#NAME?</v>
      </c>
      <c r="M49" s="41" t="e">
        <f ca="1"/>
        <v>#NAME?</v>
      </c>
      <c r="N49" s="41">
        <v>4</v>
      </c>
    </row>
    <row r="50" spans="1:14" ht="14.25" customHeight="1">
      <c r="A50" s="26">
        <v>2</v>
      </c>
      <c r="B50" s="47"/>
      <c r="C50" s="30" t="s">
        <v>3580</v>
      </c>
      <c r="D50" s="57" t="e">
        <f ca="1"/>
        <v>#NAME?</v>
      </c>
      <c r="E50" s="57" t="e">
        <f ca="1"/>
        <v>#NAME?</v>
      </c>
      <c r="F50" s="26" t="e">
        <f ca="1"/>
        <v>#NAME?</v>
      </c>
      <c r="G50" s="26" t="e">
        <f ca="1"/>
        <v>#NAME?</v>
      </c>
      <c r="H50" s="81" t="e">
        <f ca="1"/>
        <v>#NAME?</v>
      </c>
      <c r="I50" s="51" t="e">
        <f ca="1"/>
        <v>#NAME?</v>
      </c>
      <c r="J50" s="51" t="e">
        <f ca="1"/>
        <v>#NAME?</v>
      </c>
      <c r="K50" s="47" t="e">
        <f ca="1"/>
        <v>#NAME?</v>
      </c>
      <c r="L50" s="47" t="e">
        <f ca="1"/>
        <v>#NAME?</v>
      </c>
      <c r="M50" s="47" t="e">
        <f ca="1"/>
        <v>#NAME?</v>
      </c>
      <c r="N50" s="47"/>
    </row>
    <row r="51" spans="1:14" ht="14.25" customHeight="1">
      <c r="A51" s="26">
        <v>3</v>
      </c>
      <c r="B51" s="78"/>
      <c r="C51" s="30" t="s">
        <v>3591</v>
      </c>
      <c r="D51" s="57" t="e">
        <f ca="1"/>
        <v>#NAME?</v>
      </c>
      <c r="E51" s="57" t="e">
        <f ca="1"/>
        <v>#NAME?</v>
      </c>
      <c r="F51" s="26" t="e">
        <f ca="1"/>
        <v>#NAME?</v>
      </c>
      <c r="G51" s="26" t="e">
        <f ca="1"/>
        <v>#NAME?</v>
      </c>
      <c r="H51" s="81" t="e">
        <f ca="1"/>
        <v>#NAME?</v>
      </c>
      <c r="I51" s="51" t="e">
        <f ca="1"/>
        <v>#NAME?</v>
      </c>
      <c r="J51" s="51" t="e">
        <f ca="1"/>
        <v>#NAME?</v>
      </c>
      <c r="K51" s="47" t="e">
        <f ca="1"/>
        <v>#NAME?</v>
      </c>
      <c r="L51" s="47" t="e">
        <f ca="1"/>
        <v>#NAME?</v>
      </c>
      <c r="M51" s="47" t="e">
        <f ca="1"/>
        <v>#NAME?</v>
      </c>
      <c r="N51" s="47"/>
    </row>
    <row r="52" spans="1:14" ht="14.25" customHeight="1">
      <c r="A52" s="26">
        <v>4</v>
      </c>
      <c r="B52" s="47"/>
      <c r="C52" s="30" t="s">
        <v>3601</v>
      </c>
      <c r="D52" s="57" t="e">
        <f ca="1"/>
        <v>#NAME?</v>
      </c>
      <c r="E52" s="57" t="e">
        <f ca="1"/>
        <v>#NAME?</v>
      </c>
      <c r="F52" s="26" t="e">
        <f ca="1"/>
        <v>#NAME?</v>
      </c>
      <c r="G52" s="26" t="e">
        <f ca="1"/>
        <v>#NAME?</v>
      </c>
      <c r="H52" s="81" t="e">
        <f ca="1"/>
        <v>#NAME?</v>
      </c>
      <c r="I52" s="51" t="e">
        <f ca="1"/>
        <v>#NAME?</v>
      </c>
      <c r="J52" s="51" t="e">
        <f ca="1"/>
        <v>#NAME?</v>
      </c>
      <c r="K52" s="47" t="e">
        <f ca="1"/>
        <v>#NAME?</v>
      </c>
      <c r="L52" s="47" t="e">
        <f ca="1"/>
        <v>#NAME?</v>
      </c>
      <c r="M52" s="47" t="e">
        <f ca="1"/>
        <v>#NAME?</v>
      </c>
      <c r="N52" s="47"/>
    </row>
    <row r="53" spans="1:14" ht="14.25" customHeight="1">
      <c r="A53" s="26">
        <v>5</v>
      </c>
      <c r="B53" s="47"/>
      <c r="C53" s="30" t="s">
        <v>3611</v>
      </c>
      <c r="D53" s="57" t="e">
        <f ca="1"/>
        <v>#NAME?</v>
      </c>
      <c r="E53" s="57" t="e">
        <f ca="1"/>
        <v>#NAME?</v>
      </c>
      <c r="F53" s="26" t="e">
        <f ca="1"/>
        <v>#NAME?</v>
      </c>
      <c r="G53" s="26" t="e">
        <f ca="1"/>
        <v>#NAME?</v>
      </c>
      <c r="H53" s="81" t="e">
        <f ca="1"/>
        <v>#NAME?</v>
      </c>
      <c r="I53" s="51" t="e">
        <f ca="1"/>
        <v>#NAME?</v>
      </c>
      <c r="J53" s="51" t="e">
        <f ca="1"/>
        <v>#NAME?</v>
      </c>
      <c r="K53" s="47" t="e">
        <f ca="1"/>
        <v>#NAME?</v>
      </c>
      <c r="L53" s="47" t="e">
        <f ca="1"/>
        <v>#NAME?</v>
      </c>
      <c r="M53" s="47" t="e">
        <f ca="1"/>
        <v>#NAME?</v>
      </c>
      <c r="N53" s="47"/>
    </row>
    <row r="54" spans="1:14" ht="14.25" customHeight="1">
      <c r="A54" s="26">
        <v>6</v>
      </c>
      <c r="B54" s="78"/>
      <c r="C54" s="30" t="s">
        <v>3621</v>
      </c>
      <c r="D54" s="57" t="e">
        <f ca="1"/>
        <v>#NAME?</v>
      </c>
      <c r="E54" s="57" t="e">
        <f ca="1"/>
        <v>#NAME?</v>
      </c>
      <c r="F54" s="26" t="e">
        <f ca="1"/>
        <v>#NAME?</v>
      </c>
      <c r="G54" s="26" t="e">
        <f ca="1"/>
        <v>#NAME?</v>
      </c>
      <c r="H54" s="81" t="e">
        <f ca="1"/>
        <v>#NAME?</v>
      </c>
      <c r="I54" s="51" t="e">
        <f ca="1"/>
        <v>#NAME?</v>
      </c>
      <c r="J54" s="51" t="e">
        <f ca="1"/>
        <v>#NAME?</v>
      </c>
      <c r="K54" s="47" t="e">
        <f ca="1"/>
        <v>#NAME?</v>
      </c>
      <c r="L54" s="47" t="e">
        <f ca="1"/>
        <v>#NAME?</v>
      </c>
      <c r="M54" s="47" t="e">
        <f ca="1"/>
        <v>#NAME?</v>
      </c>
      <c r="N54" s="47"/>
    </row>
    <row r="55" spans="1:14" ht="14.25" customHeight="1">
      <c r="A55" s="26">
        <v>7</v>
      </c>
      <c r="B55" s="47"/>
      <c r="C55" s="30" t="s">
        <v>3631</v>
      </c>
      <c r="D55" s="57" t="e">
        <f ca="1"/>
        <v>#NAME?</v>
      </c>
      <c r="E55" s="57" t="e">
        <f ca="1"/>
        <v>#NAME?</v>
      </c>
      <c r="F55" s="26" t="e">
        <f ca="1"/>
        <v>#NAME?</v>
      </c>
      <c r="G55" s="26" t="e">
        <f ca="1"/>
        <v>#NAME?</v>
      </c>
      <c r="H55" s="81" t="e">
        <f ca="1"/>
        <v>#NAME?</v>
      </c>
      <c r="I55" s="51" t="e">
        <f ca="1"/>
        <v>#NAME?</v>
      </c>
      <c r="J55" s="51" t="e">
        <f ca="1"/>
        <v>#NAME?</v>
      </c>
      <c r="K55" s="47" t="e">
        <f ca="1"/>
        <v>#NAME?</v>
      </c>
      <c r="L55" s="47" t="e">
        <f ca="1"/>
        <v>#NAME?</v>
      </c>
      <c r="M55" s="47" t="e">
        <f ca="1"/>
        <v>#NAME?</v>
      </c>
      <c r="N55" s="47"/>
    </row>
    <row r="56" spans="1:14" ht="14.25" customHeight="1">
      <c r="A56" s="26">
        <v>8</v>
      </c>
      <c r="B56" s="47"/>
      <c r="C56" s="30" t="s">
        <v>3641</v>
      </c>
      <c r="D56" s="57" t="e">
        <f ca="1"/>
        <v>#NAME?</v>
      </c>
      <c r="E56" s="57" t="e">
        <f ca="1"/>
        <v>#NAME?</v>
      </c>
      <c r="F56" s="26" t="e">
        <f ca="1"/>
        <v>#NAME?</v>
      </c>
      <c r="G56" s="26" t="e">
        <f ca="1"/>
        <v>#NAME?</v>
      </c>
      <c r="H56" s="54" t="e">
        <f ca="1"/>
        <v>#NAME?</v>
      </c>
      <c r="I56" s="51" t="e">
        <f ca="1"/>
        <v>#NAME?</v>
      </c>
      <c r="J56" s="62" t="e">
        <f ca="1"/>
        <v>#NAME?</v>
      </c>
      <c r="K56" s="47" t="e">
        <f ca="1"/>
        <v>#NAME?</v>
      </c>
      <c r="L56" s="47" t="e">
        <f ca="1"/>
        <v>#NAME?</v>
      </c>
      <c r="M56" s="47" t="e">
        <f ca="1"/>
        <v>#NAME?</v>
      </c>
      <c r="N56" s="47"/>
    </row>
    <row r="57" spans="1:14" ht="14.25" customHeight="1">
      <c r="A57" s="26">
        <v>9</v>
      </c>
      <c r="B57" s="47"/>
      <c r="C57" s="30" t="s">
        <v>3650</v>
      </c>
      <c r="D57" s="57" t="e">
        <f ca="1"/>
        <v>#NAME?</v>
      </c>
      <c r="E57" s="57" t="e">
        <f ca="1"/>
        <v>#NAME?</v>
      </c>
      <c r="F57" s="26" t="e">
        <f ca="1"/>
        <v>#NAME?</v>
      </c>
      <c r="G57" s="26" t="e">
        <f ca="1"/>
        <v>#NAME?</v>
      </c>
      <c r="H57" s="54" t="e">
        <f ca="1"/>
        <v>#NAME?</v>
      </c>
      <c r="I57" s="51" t="e">
        <f ca="1"/>
        <v>#NAME?</v>
      </c>
      <c r="J57" s="62" t="e">
        <f ca="1"/>
        <v>#NAME?</v>
      </c>
      <c r="K57" s="47" t="e">
        <f ca="1"/>
        <v>#NAME?</v>
      </c>
      <c r="L57" s="47" t="e">
        <f ca="1"/>
        <v>#NAME?</v>
      </c>
      <c r="M57" s="47" t="e">
        <f ca="1"/>
        <v>#NAME?</v>
      </c>
      <c r="N57" s="47"/>
    </row>
    <row r="58" spans="1:14" ht="14.25" customHeight="1">
      <c r="A58" s="26">
        <v>10</v>
      </c>
      <c r="B58" s="47"/>
      <c r="C58" s="30" t="s">
        <v>3660</v>
      </c>
      <c r="D58" s="57" t="e">
        <f ca="1"/>
        <v>#NAME?</v>
      </c>
      <c r="E58" s="57" t="e">
        <f ca="1"/>
        <v>#NAME?</v>
      </c>
      <c r="F58" s="26" t="e">
        <f ca="1"/>
        <v>#NAME?</v>
      </c>
      <c r="G58" s="26" t="e">
        <f ca="1"/>
        <v>#NAME?</v>
      </c>
      <c r="H58" s="81" t="e">
        <f ca="1"/>
        <v>#NAME?</v>
      </c>
      <c r="I58" s="51" t="e">
        <f ca="1"/>
        <v>#NAME?</v>
      </c>
      <c r="J58" s="51" t="e">
        <f ca="1"/>
        <v>#NAME?</v>
      </c>
      <c r="K58" s="47" t="e">
        <f ca="1"/>
        <v>#NAME?</v>
      </c>
      <c r="L58" s="47" t="e">
        <f ca="1"/>
        <v>#NAME?</v>
      </c>
      <c r="M58" s="47" t="e">
        <f ca="1"/>
        <v>#NAME?</v>
      </c>
      <c r="N58" s="47"/>
    </row>
    <row r="59" spans="1:14" ht="14.25" customHeight="1">
      <c r="A59" s="26">
        <v>11</v>
      </c>
      <c r="B59" s="78"/>
      <c r="C59" s="63" t="s">
        <v>3670</v>
      </c>
      <c r="D59" s="63" t="e">
        <f ca="1"/>
        <v>#NAME?</v>
      </c>
      <c r="E59" s="63" t="e">
        <f ca="1"/>
        <v>#NAME?</v>
      </c>
      <c r="F59" s="63" t="e">
        <f ca="1"/>
        <v>#NAME?</v>
      </c>
      <c r="G59" s="63" t="e">
        <f ca="1"/>
        <v>#NAME?</v>
      </c>
      <c r="H59" s="84" t="e">
        <f ca="1"/>
        <v>#NAME?</v>
      </c>
      <c r="I59" s="63" t="e">
        <f ca="1"/>
        <v>#NAME?</v>
      </c>
      <c r="J59" s="51" t="e">
        <f ca="1"/>
        <v>#NAME?</v>
      </c>
      <c r="K59" s="47" t="e">
        <f ca="1"/>
        <v>#NAME?</v>
      </c>
      <c r="L59" s="47" t="e">
        <f ca="1"/>
        <v>#NAME?</v>
      </c>
      <c r="M59" s="47" t="e">
        <f ca="1"/>
        <v>#NAME?</v>
      </c>
      <c r="N59" s="47"/>
    </row>
    <row r="60" spans="1:14" ht="14.25" customHeight="1">
      <c r="A60" s="26">
        <v>12</v>
      </c>
      <c r="B60" s="47"/>
      <c r="C60" s="64" t="s">
        <v>3680</v>
      </c>
      <c r="D60" s="64" t="e">
        <f ca="1"/>
        <v>#NAME?</v>
      </c>
      <c r="E60" s="64" t="e">
        <f ca="1"/>
        <v>#NAME?</v>
      </c>
      <c r="F60" s="64" t="e">
        <f ca="1"/>
        <v>#NAME?</v>
      </c>
      <c r="G60" s="63" t="e">
        <f ca="1"/>
        <v>#NAME?</v>
      </c>
      <c r="H60" s="77" t="e">
        <f ca="1"/>
        <v>#NAME?</v>
      </c>
      <c r="I60" s="64" t="e">
        <f ca="1"/>
        <v>#NAME?</v>
      </c>
      <c r="J60" s="51" t="e">
        <f ca="1"/>
        <v>#NAME?</v>
      </c>
      <c r="K60" s="47" t="e">
        <f ca="1"/>
        <v>#NAME?</v>
      </c>
      <c r="L60" s="47" t="e">
        <f ca="1"/>
        <v>#NAME?</v>
      </c>
      <c r="M60" s="47" t="e">
        <f ca="1"/>
        <v>#NAME?</v>
      </c>
      <c r="N60" s="47"/>
    </row>
    <row r="61" spans="1:14" ht="14.25" customHeight="1">
      <c r="A61" s="26">
        <v>13</v>
      </c>
      <c r="B61" s="78"/>
      <c r="C61" s="64" t="s">
        <v>3690</v>
      </c>
      <c r="D61" s="64" t="e">
        <f ca="1"/>
        <v>#NAME?</v>
      </c>
      <c r="E61" s="64" t="e">
        <f ca="1"/>
        <v>#NAME?</v>
      </c>
      <c r="F61" s="64" t="e">
        <f ca="1"/>
        <v>#NAME?</v>
      </c>
      <c r="G61" s="63" t="e">
        <f ca="1"/>
        <v>#NAME?</v>
      </c>
      <c r="H61" s="77" t="e">
        <f ca="1"/>
        <v>#NAME?</v>
      </c>
      <c r="I61" s="64" t="e">
        <f ca="1"/>
        <v>#NAME?</v>
      </c>
      <c r="J61" s="51" t="e">
        <f ca="1"/>
        <v>#NAME?</v>
      </c>
      <c r="K61" s="47" t="e">
        <f ca="1"/>
        <v>#NAME?</v>
      </c>
      <c r="L61" s="47" t="e">
        <f ca="1"/>
        <v>#NAME?</v>
      </c>
      <c r="M61" s="47" t="e">
        <f ca="1"/>
        <v>#NAME?</v>
      </c>
      <c r="N61" s="47"/>
    </row>
    <row r="62" spans="1:14" ht="14.25" customHeight="1">
      <c r="A62" s="26">
        <v>14</v>
      </c>
      <c r="B62" s="78"/>
      <c r="C62" s="64" t="s">
        <v>3700</v>
      </c>
      <c r="D62" s="64" t="e">
        <f ca="1"/>
        <v>#NAME?</v>
      </c>
      <c r="E62" s="64" t="e">
        <f ca="1"/>
        <v>#NAME?</v>
      </c>
      <c r="F62" s="64" t="e">
        <f ca="1"/>
        <v>#NAME?</v>
      </c>
      <c r="G62" s="63" t="e">
        <f ca="1"/>
        <v>#NAME?</v>
      </c>
      <c r="H62" s="77" t="e">
        <f ca="1"/>
        <v>#NAME?</v>
      </c>
      <c r="I62" s="64" t="e">
        <f ca="1"/>
        <v>#NAME?</v>
      </c>
      <c r="J62" s="51" t="e">
        <f ca="1"/>
        <v>#NAME?</v>
      </c>
      <c r="K62" s="47" t="e">
        <f ca="1"/>
        <v>#NAME?</v>
      </c>
      <c r="L62" s="47" t="e">
        <f ca="1"/>
        <v>#NAME?</v>
      </c>
      <c r="M62" s="47" t="e">
        <f ca="1"/>
        <v>#NAME?</v>
      </c>
      <c r="N62" s="47"/>
    </row>
    <row r="63" spans="1:14" ht="14.25" customHeight="1">
      <c r="A63" s="26">
        <v>15</v>
      </c>
      <c r="B63" s="47"/>
      <c r="C63" s="63" t="s">
        <v>3710</v>
      </c>
      <c r="D63" s="63" t="e">
        <f ca="1"/>
        <v>#NAME?</v>
      </c>
      <c r="E63" s="63" t="e">
        <f ca="1"/>
        <v>#NAME?</v>
      </c>
      <c r="F63" s="63" t="e">
        <f ca="1"/>
        <v>#NAME?</v>
      </c>
      <c r="G63" s="63" t="e">
        <f ca="1"/>
        <v>#NAME?</v>
      </c>
      <c r="H63" s="84" t="e">
        <f ca="1"/>
        <v>#NAME?</v>
      </c>
      <c r="I63" s="63" t="e">
        <f ca="1"/>
        <v>#NAME?</v>
      </c>
      <c r="J63" s="51" t="e">
        <f ca="1"/>
        <v>#NAME?</v>
      </c>
      <c r="K63" s="47" t="e">
        <f ca="1"/>
        <v>#NAME?</v>
      </c>
      <c r="L63" s="47" t="e">
        <f ca="1"/>
        <v>#NAME?</v>
      </c>
      <c r="M63" s="47" t="e">
        <f ca="1"/>
        <v>#NAME?</v>
      </c>
      <c r="N63" s="47"/>
    </row>
    <row r="64" spans="1:14" ht="14.25" customHeight="1">
      <c r="A64" s="26">
        <v>16</v>
      </c>
      <c r="B64" s="47"/>
      <c r="C64" s="64" t="s">
        <v>3720</v>
      </c>
      <c r="D64" s="64" t="e">
        <f ca="1"/>
        <v>#NAME?</v>
      </c>
      <c r="E64" s="64" t="e">
        <f ca="1"/>
        <v>#NAME?</v>
      </c>
      <c r="F64" s="64" t="e">
        <f ca="1"/>
        <v>#NAME?</v>
      </c>
      <c r="G64" s="63" t="e">
        <f ca="1"/>
        <v>#NAME?</v>
      </c>
      <c r="H64" s="77" t="e">
        <f ca="1"/>
        <v>#NAME?</v>
      </c>
      <c r="I64" s="64" t="e">
        <f ca="1"/>
        <v>#NAME?</v>
      </c>
      <c r="J64" s="51" t="e">
        <f ca="1"/>
        <v>#NAME?</v>
      </c>
      <c r="K64" s="47" t="e">
        <f ca="1"/>
        <v>#NAME?</v>
      </c>
      <c r="L64" s="47" t="e">
        <f ca="1"/>
        <v>#NAME?</v>
      </c>
      <c r="M64" s="47" t="e">
        <f ca="1"/>
        <v>#NAME?</v>
      </c>
      <c r="N64" s="47"/>
    </row>
    <row r="65" spans="1:14" ht="14.25" customHeight="1">
      <c r="A65" s="67">
        <v>1</v>
      </c>
      <c r="B65" s="47"/>
      <c r="C65" s="65" t="s">
        <v>3730</v>
      </c>
      <c r="D65" s="67" t="e">
        <f ca="1"/>
        <v>#NAME?</v>
      </c>
      <c r="E65" s="67" t="e">
        <f ca="1"/>
        <v>#NAME?</v>
      </c>
      <c r="F65" s="67" t="e">
        <f ca="1"/>
        <v>#NAME?</v>
      </c>
      <c r="G65" s="67" t="e">
        <f ca="1"/>
        <v>#NAME?</v>
      </c>
      <c r="H65" s="85" t="e">
        <f ca="1"/>
        <v>#NAME?</v>
      </c>
      <c r="I65" s="67" t="e">
        <f ca="1"/>
        <v>#NAME?</v>
      </c>
      <c r="J65" s="44" t="e">
        <f ca="1"/>
        <v>#NAME?</v>
      </c>
      <c r="K65" s="41" t="e">
        <f ca="1"/>
        <v>#NAME?</v>
      </c>
      <c r="L65" s="41" t="e">
        <f ca="1"/>
        <v>#NAME?</v>
      </c>
      <c r="M65" s="41" t="e">
        <f ca="1"/>
        <v>#NAME?</v>
      </c>
      <c r="N65" s="41">
        <v>5</v>
      </c>
    </row>
    <row r="66" spans="1:14" ht="14.25" customHeight="1">
      <c r="A66" s="26">
        <v>2</v>
      </c>
      <c r="B66" s="78"/>
      <c r="C66" s="64" t="s">
        <v>3739</v>
      </c>
      <c r="D66" s="64" t="e">
        <f ca="1"/>
        <v>#NAME?</v>
      </c>
      <c r="E66" s="64" t="e">
        <f ca="1"/>
        <v>#NAME?</v>
      </c>
      <c r="F66" s="64" t="e">
        <f ca="1"/>
        <v>#NAME?</v>
      </c>
      <c r="G66" s="63" t="e">
        <f ca="1"/>
        <v>#NAME?</v>
      </c>
      <c r="H66" s="77" t="e">
        <f ca="1"/>
        <v>#NAME?</v>
      </c>
      <c r="I66" s="64" t="e">
        <f ca="1"/>
        <v>#NAME?</v>
      </c>
      <c r="J66" s="51" t="e">
        <f ca="1"/>
        <v>#NAME?</v>
      </c>
      <c r="K66" s="47" t="e">
        <f ca="1"/>
        <v>#NAME?</v>
      </c>
      <c r="L66" s="47" t="e">
        <f ca="1"/>
        <v>#NAME?</v>
      </c>
      <c r="M66" s="47" t="e">
        <f ca="1"/>
        <v>#NAME?</v>
      </c>
      <c r="N66" s="47"/>
    </row>
    <row r="67" spans="1:14" ht="14.25" customHeight="1">
      <c r="A67" s="26">
        <v>3</v>
      </c>
      <c r="B67" s="78"/>
      <c r="C67" s="64" t="s">
        <v>3750</v>
      </c>
      <c r="D67" s="64" t="e">
        <f ca="1"/>
        <v>#NAME?</v>
      </c>
      <c r="E67" s="64" t="e">
        <f ca="1"/>
        <v>#NAME?</v>
      </c>
      <c r="F67" s="64" t="e">
        <f ca="1"/>
        <v>#NAME?</v>
      </c>
      <c r="G67" s="63" t="e">
        <f ca="1"/>
        <v>#NAME?</v>
      </c>
      <c r="H67" s="77" t="e">
        <f ca="1"/>
        <v>#NAME?</v>
      </c>
      <c r="I67" s="64" t="e">
        <f ca="1"/>
        <v>#NAME?</v>
      </c>
      <c r="J67" s="51" t="e">
        <f ca="1"/>
        <v>#NAME?</v>
      </c>
      <c r="K67" s="47" t="e">
        <f ca="1"/>
        <v>#NAME?</v>
      </c>
      <c r="L67" s="47" t="e">
        <f ca="1"/>
        <v>#NAME?</v>
      </c>
      <c r="M67" s="47" t="e">
        <f ca="1"/>
        <v>#NAME?</v>
      </c>
      <c r="N67" s="47"/>
    </row>
    <row r="68" spans="1:14" ht="14.25" customHeight="1">
      <c r="A68" s="26">
        <v>4</v>
      </c>
      <c r="B68" s="78"/>
      <c r="C68" s="64" t="s">
        <v>3760</v>
      </c>
      <c r="D68" s="64" t="e">
        <f ca="1"/>
        <v>#NAME?</v>
      </c>
      <c r="E68" s="64" t="e">
        <f ca="1"/>
        <v>#NAME?</v>
      </c>
      <c r="F68" s="64" t="e">
        <f ca="1"/>
        <v>#NAME?</v>
      </c>
      <c r="G68" s="64" t="e">
        <f ca="1"/>
        <v>#NAME?</v>
      </c>
      <c r="H68" s="77" t="e">
        <f ca="1"/>
        <v>#NAME?</v>
      </c>
      <c r="I68" s="64" t="e">
        <f ca="1"/>
        <v>#NAME?</v>
      </c>
      <c r="J68" s="66" t="e">
        <f ca="1"/>
        <v>#NAME?</v>
      </c>
      <c r="K68" s="47" t="e">
        <f ca="1"/>
        <v>#NAME?</v>
      </c>
      <c r="L68" s="47" t="e">
        <f ca="1"/>
        <v>#NAME?</v>
      </c>
      <c r="M68" s="47" t="e">
        <f ca="1"/>
        <v>#NAME?</v>
      </c>
      <c r="N68" s="47"/>
    </row>
    <row r="69" spans="1:14" ht="14.25" customHeight="1">
      <c r="A69" s="26">
        <v>5</v>
      </c>
      <c r="B69" s="47"/>
      <c r="C69" s="64" t="s">
        <v>3770</v>
      </c>
      <c r="D69" s="64" t="e">
        <f ca="1"/>
        <v>#NAME?</v>
      </c>
      <c r="E69" s="64" t="e">
        <f ca="1"/>
        <v>#NAME?</v>
      </c>
      <c r="F69" s="64" t="e">
        <f ca="1"/>
        <v>#NAME?</v>
      </c>
      <c r="G69" s="63" t="e">
        <f ca="1"/>
        <v>#NAME?</v>
      </c>
      <c r="H69" s="77" t="e">
        <f ca="1"/>
        <v>#NAME?</v>
      </c>
      <c r="I69" s="64" t="e">
        <f ca="1"/>
        <v>#NAME?</v>
      </c>
      <c r="J69" s="51" t="e">
        <f ca="1"/>
        <v>#NAME?</v>
      </c>
      <c r="K69" s="47" t="e">
        <f ca="1"/>
        <v>#NAME?</v>
      </c>
      <c r="L69" s="47" t="e">
        <f ca="1"/>
        <v>#NAME?</v>
      </c>
      <c r="M69" s="47" t="e">
        <f ca="1"/>
        <v>#NAME?</v>
      </c>
      <c r="N69" s="47"/>
    </row>
    <row r="70" spans="1:14" ht="14.25" customHeight="1">
      <c r="A70" s="26">
        <v>6</v>
      </c>
      <c r="B70" s="78"/>
      <c r="C70" s="64" t="s">
        <v>3780</v>
      </c>
      <c r="D70" s="64" t="e">
        <f ca="1"/>
        <v>#NAME?</v>
      </c>
      <c r="E70" s="64" t="e">
        <f ca="1"/>
        <v>#NAME?</v>
      </c>
      <c r="F70" s="64" t="e">
        <f ca="1"/>
        <v>#NAME?</v>
      </c>
      <c r="G70" s="63" t="e">
        <f ca="1"/>
        <v>#NAME?</v>
      </c>
      <c r="H70" s="77" t="e">
        <f ca="1"/>
        <v>#NAME?</v>
      </c>
      <c r="I70" s="64" t="e">
        <f ca="1"/>
        <v>#NAME?</v>
      </c>
      <c r="J70" s="51" t="e">
        <f ca="1"/>
        <v>#NAME?</v>
      </c>
      <c r="K70" s="47" t="e">
        <f ca="1"/>
        <v>#NAME?</v>
      </c>
      <c r="L70" s="47" t="e">
        <f ca="1"/>
        <v>#NAME?</v>
      </c>
      <c r="M70" s="47" t="e">
        <f ca="1"/>
        <v>#NAME?</v>
      </c>
      <c r="N70" s="47"/>
    </row>
    <row r="71" spans="1:14" ht="14.25" customHeight="1">
      <c r="A71" s="26">
        <v>7</v>
      </c>
      <c r="B71" s="47"/>
      <c r="C71" s="64" t="s">
        <v>3790</v>
      </c>
      <c r="D71" s="64" t="e">
        <f ca="1"/>
        <v>#NAME?</v>
      </c>
      <c r="E71" s="64" t="e">
        <f ca="1"/>
        <v>#NAME?</v>
      </c>
      <c r="F71" s="64" t="e">
        <f ca="1"/>
        <v>#NAME?</v>
      </c>
      <c r="G71" s="63" t="e">
        <f ca="1"/>
        <v>#NAME?</v>
      </c>
      <c r="H71" s="77" t="e">
        <f ca="1"/>
        <v>#NAME?</v>
      </c>
      <c r="I71" s="64" t="e">
        <f ca="1"/>
        <v>#NAME?</v>
      </c>
      <c r="J71" s="51" t="e">
        <f ca="1"/>
        <v>#NAME?</v>
      </c>
      <c r="K71" s="47" t="e">
        <f ca="1"/>
        <v>#NAME?</v>
      </c>
      <c r="L71" s="47" t="e">
        <f ca="1"/>
        <v>#NAME?</v>
      </c>
      <c r="M71" s="47" t="e">
        <f ca="1"/>
        <v>#NAME?</v>
      </c>
      <c r="N71" s="47"/>
    </row>
    <row r="72" spans="1:14" ht="14.25" customHeight="1">
      <c r="A72" s="26">
        <v>8</v>
      </c>
      <c r="B72" s="78"/>
      <c r="C72" s="64" t="s">
        <v>3800</v>
      </c>
      <c r="D72" s="64" t="e">
        <f ca="1"/>
        <v>#NAME?</v>
      </c>
      <c r="E72" s="64" t="e">
        <f ca="1"/>
        <v>#NAME?</v>
      </c>
      <c r="F72" s="64" t="e">
        <f ca="1"/>
        <v>#NAME?</v>
      </c>
      <c r="G72" s="63" t="e">
        <f ca="1"/>
        <v>#NAME?</v>
      </c>
      <c r="H72" s="77" t="e">
        <f ca="1"/>
        <v>#NAME?</v>
      </c>
      <c r="I72" s="64" t="e">
        <f ca="1"/>
        <v>#NAME?</v>
      </c>
      <c r="J72" s="51" t="e">
        <f ca="1"/>
        <v>#NAME?</v>
      </c>
      <c r="K72" s="47" t="e">
        <f ca="1"/>
        <v>#NAME?</v>
      </c>
      <c r="L72" s="47" t="e">
        <f ca="1"/>
        <v>#NAME?</v>
      </c>
      <c r="M72" s="47" t="e">
        <f ca="1"/>
        <v>#NAME?</v>
      </c>
      <c r="N72" s="47"/>
    </row>
    <row r="73" spans="1:14" ht="14.25" customHeight="1">
      <c r="A73" s="26">
        <v>9</v>
      </c>
      <c r="B73" s="78"/>
      <c r="C73" s="63" t="s">
        <v>3811</v>
      </c>
      <c r="D73" s="63" t="e">
        <f ca="1"/>
        <v>#NAME?</v>
      </c>
      <c r="E73" s="63" t="e">
        <f ca="1"/>
        <v>#NAME?</v>
      </c>
      <c r="F73" s="63" t="e">
        <f ca="1"/>
        <v>#NAME?</v>
      </c>
      <c r="G73" s="63" t="e">
        <f ca="1"/>
        <v>#NAME?</v>
      </c>
      <c r="H73" s="84" t="e">
        <f ca="1"/>
        <v>#NAME?</v>
      </c>
      <c r="I73" s="63" t="e">
        <f ca="1"/>
        <v>#NAME?</v>
      </c>
      <c r="J73" s="51" t="e">
        <f ca="1"/>
        <v>#NAME?</v>
      </c>
      <c r="K73" s="47" t="e">
        <f ca="1"/>
        <v>#NAME?</v>
      </c>
      <c r="L73" s="47" t="e">
        <f ca="1"/>
        <v>#NAME?</v>
      </c>
      <c r="M73" s="47" t="e">
        <f ca="1"/>
        <v>#NAME?</v>
      </c>
      <c r="N73" s="47"/>
    </row>
    <row r="74" spans="1:14" ht="14.25" customHeight="1">
      <c r="A74" s="26">
        <v>10</v>
      </c>
      <c r="B74" s="78"/>
      <c r="C74" s="64" t="s">
        <v>3821</v>
      </c>
      <c r="D74" s="64" t="e">
        <f ca="1"/>
        <v>#NAME?</v>
      </c>
      <c r="E74" s="64" t="e">
        <f ca="1"/>
        <v>#NAME?</v>
      </c>
      <c r="F74" s="64" t="e">
        <f ca="1"/>
        <v>#NAME?</v>
      </c>
      <c r="G74" s="64" t="e">
        <f ca="1"/>
        <v>#NAME?</v>
      </c>
      <c r="H74" s="77" t="e">
        <f ca="1"/>
        <v>#NAME?</v>
      </c>
      <c r="I74" s="64" t="e">
        <f ca="1"/>
        <v>#NAME?</v>
      </c>
      <c r="J74" s="51" t="e">
        <f ca="1"/>
        <v>#NAME?</v>
      </c>
      <c r="K74" s="47" t="e">
        <f ca="1"/>
        <v>#NAME?</v>
      </c>
      <c r="L74" s="47" t="e">
        <f ca="1"/>
        <v>#NAME?</v>
      </c>
      <c r="M74" s="47" t="e">
        <f ca="1"/>
        <v>#NAME?</v>
      </c>
      <c r="N74" s="47"/>
    </row>
    <row r="75" spans="1:14" ht="14.25" customHeight="1">
      <c r="A75" s="26">
        <v>11</v>
      </c>
      <c r="B75" s="47"/>
      <c r="C75" s="64" t="s">
        <v>3831</v>
      </c>
      <c r="D75" s="64" t="e">
        <f ca="1"/>
        <v>#NAME?</v>
      </c>
      <c r="E75" s="64" t="e">
        <f ca="1"/>
        <v>#NAME?</v>
      </c>
      <c r="F75" s="64" t="e">
        <f ca="1"/>
        <v>#NAME?</v>
      </c>
      <c r="G75" s="64" t="e">
        <f ca="1"/>
        <v>#NAME?</v>
      </c>
      <c r="H75" s="77" t="e">
        <f ca="1"/>
        <v>#NAME?</v>
      </c>
      <c r="I75" s="64" t="e">
        <f ca="1"/>
        <v>#NAME?</v>
      </c>
      <c r="J75" s="51" t="e">
        <f ca="1"/>
        <v>#NAME?</v>
      </c>
      <c r="K75" s="47" t="e">
        <f ca="1"/>
        <v>#NAME?</v>
      </c>
      <c r="L75" s="47" t="e">
        <f ca="1"/>
        <v>#NAME?</v>
      </c>
      <c r="M75" s="47" t="e">
        <f ca="1"/>
        <v>#NAME?</v>
      </c>
      <c r="N75" s="47"/>
    </row>
    <row r="76" spans="1:14" ht="14.25" customHeight="1">
      <c r="A76" s="26">
        <v>12</v>
      </c>
      <c r="B76" s="47"/>
      <c r="C76" s="64" t="s">
        <v>3841</v>
      </c>
      <c r="D76" s="64" t="e">
        <f ca="1"/>
        <v>#NAME?</v>
      </c>
      <c r="E76" s="64" t="e">
        <f ca="1"/>
        <v>#NAME?</v>
      </c>
      <c r="F76" s="64" t="e">
        <f ca="1"/>
        <v>#NAME?</v>
      </c>
      <c r="G76" s="64" t="e">
        <f ca="1"/>
        <v>#NAME?</v>
      </c>
      <c r="H76" s="77" t="e">
        <f ca="1"/>
        <v>#NAME?</v>
      </c>
      <c r="I76" s="64" t="e">
        <f ca="1"/>
        <v>#NAME?</v>
      </c>
      <c r="J76" s="51" t="e">
        <f ca="1"/>
        <v>#NAME?</v>
      </c>
      <c r="K76" s="47" t="e">
        <f ca="1"/>
        <v>#NAME?</v>
      </c>
      <c r="L76" s="47" t="e">
        <f ca="1"/>
        <v>#NAME?</v>
      </c>
      <c r="M76" s="47" t="e">
        <f ca="1"/>
        <v>#NAME?</v>
      </c>
      <c r="N76" s="47"/>
    </row>
    <row r="77" spans="1:14" ht="14.25" customHeight="1">
      <c r="A77" s="26">
        <v>13</v>
      </c>
      <c r="B77" s="47"/>
      <c r="C77" s="64" t="s">
        <v>3851</v>
      </c>
      <c r="D77" s="64" t="e">
        <f ca="1"/>
        <v>#NAME?</v>
      </c>
      <c r="E77" s="64" t="e">
        <f ca="1"/>
        <v>#NAME?</v>
      </c>
      <c r="F77" s="64" t="e">
        <f ca="1"/>
        <v>#NAME?</v>
      </c>
      <c r="G77" s="64" t="e">
        <f ca="1"/>
        <v>#NAME?</v>
      </c>
      <c r="H77" s="77" t="e">
        <f ca="1"/>
        <v>#NAME?</v>
      </c>
      <c r="I77" s="64" t="e">
        <f ca="1"/>
        <v>#NAME?</v>
      </c>
      <c r="J77" s="51" t="e">
        <f ca="1"/>
        <v>#NAME?</v>
      </c>
      <c r="K77" s="47" t="e">
        <f ca="1"/>
        <v>#NAME?</v>
      </c>
      <c r="L77" s="47" t="e">
        <f ca="1"/>
        <v>#NAME?</v>
      </c>
      <c r="M77" s="47" t="e">
        <f ca="1"/>
        <v>#NAME?</v>
      </c>
      <c r="N77" s="47"/>
    </row>
    <row r="78" spans="1:14" ht="14.25" customHeight="1">
      <c r="A78" s="26">
        <v>14</v>
      </c>
      <c r="B78" s="47"/>
      <c r="C78" s="64" t="s">
        <v>3861</v>
      </c>
      <c r="D78" s="64" t="e">
        <f ca="1"/>
        <v>#NAME?</v>
      </c>
      <c r="E78" s="64" t="e">
        <f ca="1"/>
        <v>#NAME?</v>
      </c>
      <c r="F78" s="64" t="e">
        <f ca="1"/>
        <v>#NAME?</v>
      </c>
      <c r="G78" s="64" t="e">
        <f ca="1"/>
        <v>#NAME?</v>
      </c>
      <c r="H78" s="77" t="e">
        <f ca="1"/>
        <v>#NAME?</v>
      </c>
      <c r="I78" s="64" t="e">
        <f ca="1"/>
        <v>#NAME?</v>
      </c>
      <c r="J78" s="51" t="e">
        <f ca="1"/>
        <v>#NAME?</v>
      </c>
      <c r="K78" s="47" t="e">
        <f ca="1"/>
        <v>#NAME?</v>
      </c>
      <c r="L78" s="47" t="e">
        <f ca="1"/>
        <v>#NAME?</v>
      </c>
      <c r="M78" s="47" t="e">
        <f ca="1"/>
        <v>#NAME?</v>
      </c>
      <c r="N78" s="47"/>
    </row>
    <row r="79" spans="1:14" ht="14.25" customHeight="1">
      <c r="A79" s="26">
        <v>15</v>
      </c>
      <c r="B79" s="78"/>
      <c r="C79" s="64" t="s">
        <v>3871</v>
      </c>
      <c r="D79" s="64" t="e">
        <f ca="1"/>
        <v>#NAME?</v>
      </c>
      <c r="E79" s="64" t="e">
        <f ca="1"/>
        <v>#NAME?</v>
      </c>
      <c r="F79" s="64" t="e">
        <f ca="1"/>
        <v>#NAME?</v>
      </c>
      <c r="G79" s="64" t="e">
        <f ca="1"/>
        <v>#NAME?</v>
      </c>
      <c r="H79" s="77" t="e">
        <f ca="1"/>
        <v>#NAME?</v>
      </c>
      <c r="I79" s="64" t="e">
        <f ca="1"/>
        <v>#NAME?</v>
      </c>
      <c r="J79" s="51" t="e">
        <f ca="1"/>
        <v>#NAME?</v>
      </c>
      <c r="K79" s="47" t="e">
        <f ca="1"/>
        <v>#NAME?</v>
      </c>
      <c r="L79" s="47" t="e">
        <f ca="1"/>
        <v>#NAME?</v>
      </c>
      <c r="M79" s="47" t="e">
        <f ca="1"/>
        <v>#NAME?</v>
      </c>
      <c r="N79" s="47"/>
    </row>
    <row r="80" spans="1:14" ht="14.25" customHeight="1">
      <c r="A80" s="26">
        <v>16</v>
      </c>
      <c r="B80" s="47"/>
      <c r="C80" s="64" t="s">
        <v>3881</v>
      </c>
      <c r="D80" s="64" t="e">
        <f ca="1"/>
        <v>#NAME?</v>
      </c>
      <c r="E80" s="64" t="e">
        <f ca="1"/>
        <v>#NAME?</v>
      </c>
      <c r="F80" s="64" t="e">
        <f ca="1"/>
        <v>#NAME?</v>
      </c>
      <c r="G80" s="64" t="e">
        <f ca="1"/>
        <v>#NAME?</v>
      </c>
      <c r="H80" s="77" t="e">
        <f ca="1"/>
        <v>#NAME?</v>
      </c>
      <c r="I80" s="64" t="e">
        <f ca="1"/>
        <v>#NAME?</v>
      </c>
      <c r="J80" s="51" t="e">
        <f ca="1"/>
        <v>#NAME?</v>
      </c>
      <c r="K80" s="47" t="e">
        <f ca="1"/>
        <v>#NAME?</v>
      </c>
      <c r="L80" s="47" t="e">
        <f ca="1"/>
        <v>#NAME?</v>
      </c>
      <c r="M80" s="47" t="e">
        <f ca="1"/>
        <v>#NAME?</v>
      </c>
      <c r="N80" s="47"/>
    </row>
    <row r="81" spans="1:14" ht="14.25" customHeight="1">
      <c r="A81" s="26">
        <v>17</v>
      </c>
      <c r="B81" s="47"/>
      <c r="C81" s="64" t="s">
        <v>3891</v>
      </c>
      <c r="D81" s="64" t="e">
        <f ca="1"/>
        <v>#NAME?</v>
      </c>
      <c r="E81" s="64" t="e">
        <f ca="1"/>
        <v>#NAME?</v>
      </c>
      <c r="F81" s="64" t="e">
        <f ca="1"/>
        <v>#NAME?</v>
      </c>
      <c r="G81" s="64" t="e">
        <f ca="1"/>
        <v>#NAME?</v>
      </c>
      <c r="H81" s="77" t="e">
        <f ca="1"/>
        <v>#NAME?</v>
      </c>
      <c r="I81" s="64" t="e">
        <f ca="1"/>
        <v>#NAME?</v>
      </c>
      <c r="J81" s="51" t="e">
        <f ca="1"/>
        <v>#NAME?</v>
      </c>
      <c r="K81" s="47" t="e">
        <f ca="1"/>
        <v>#NAME?</v>
      </c>
      <c r="L81" s="47" t="e">
        <f ca="1"/>
        <v>#NAME?</v>
      </c>
      <c r="M81" s="47" t="e">
        <f ca="1"/>
        <v>#NAME?</v>
      </c>
      <c r="N81" s="47"/>
    </row>
    <row r="82" spans="1:14" ht="14.25" customHeight="1">
      <c r="A82" s="26">
        <v>18</v>
      </c>
      <c r="B82" s="78"/>
      <c r="C82" s="64" t="s">
        <v>3901</v>
      </c>
      <c r="D82" s="64" t="e">
        <f ca="1"/>
        <v>#NAME?</v>
      </c>
      <c r="E82" s="64" t="e">
        <f ca="1"/>
        <v>#NAME?</v>
      </c>
      <c r="F82" s="64" t="e">
        <f ca="1"/>
        <v>#NAME?</v>
      </c>
      <c r="G82" s="64" t="e">
        <f ca="1"/>
        <v>#NAME?</v>
      </c>
      <c r="H82" s="77" t="e">
        <f ca="1"/>
        <v>#NAME?</v>
      </c>
      <c r="I82" s="64" t="e">
        <f ca="1"/>
        <v>#NAME?</v>
      </c>
      <c r="J82" s="51" t="e">
        <f ca="1"/>
        <v>#NAME?</v>
      </c>
      <c r="K82" s="47" t="e">
        <f ca="1"/>
        <v>#NAME?</v>
      </c>
      <c r="L82" s="47" t="e">
        <f ca="1"/>
        <v>#NAME?</v>
      </c>
      <c r="M82" s="47" t="e">
        <f ca="1"/>
        <v>#NAME?</v>
      </c>
      <c r="N82" s="47"/>
    </row>
    <row r="83" spans="1:14" ht="14.25" customHeight="1">
      <c r="A83" s="40">
        <v>1</v>
      </c>
      <c r="B83" s="47"/>
      <c r="C83" s="67" t="s">
        <v>3911</v>
      </c>
      <c r="D83" s="67" t="e">
        <f ca="1"/>
        <v>#NAME?</v>
      </c>
      <c r="E83" s="67" t="e">
        <f ca="1"/>
        <v>#NAME?</v>
      </c>
      <c r="F83" s="67" t="e">
        <f ca="1"/>
        <v>#NAME?</v>
      </c>
      <c r="G83" s="67" t="e">
        <f ca="1"/>
        <v>#NAME?</v>
      </c>
      <c r="H83" s="85" t="e">
        <f ca="1"/>
        <v>#NAME?</v>
      </c>
      <c r="I83" s="67" t="e">
        <f ca="1"/>
        <v>#NAME?</v>
      </c>
      <c r="J83" s="44" t="e">
        <f ca="1"/>
        <v>#NAME?</v>
      </c>
      <c r="K83" s="41" t="e">
        <f ca="1"/>
        <v>#NAME?</v>
      </c>
      <c r="L83" s="41" t="e">
        <f ca="1"/>
        <v>#NAME?</v>
      </c>
      <c r="M83" s="41" t="e">
        <f ca="1"/>
        <v>#NAME?</v>
      </c>
      <c r="N83" s="41">
        <v>6</v>
      </c>
    </row>
    <row r="84" spans="1:14" ht="14.25" customHeight="1">
      <c r="A84" s="26">
        <v>2</v>
      </c>
      <c r="B84" s="78"/>
      <c r="C84" s="64" t="s">
        <v>3921</v>
      </c>
      <c r="D84" s="64" t="e">
        <f ca="1"/>
        <v>#NAME?</v>
      </c>
      <c r="E84" s="64" t="e">
        <f ca="1"/>
        <v>#NAME?</v>
      </c>
      <c r="F84" s="64" t="e">
        <f ca="1"/>
        <v>#NAME?</v>
      </c>
      <c r="G84" s="63" t="e">
        <f ca="1"/>
        <v>#NAME?</v>
      </c>
      <c r="H84" s="77" t="e">
        <f ca="1"/>
        <v>#NAME?</v>
      </c>
      <c r="I84" s="64" t="e">
        <f ca="1"/>
        <v>#NAME?</v>
      </c>
      <c r="J84" s="51" t="e">
        <f ca="1"/>
        <v>#NAME?</v>
      </c>
      <c r="K84" s="47" t="e">
        <f ca="1"/>
        <v>#NAME?</v>
      </c>
      <c r="L84" s="47" t="e">
        <f ca="1"/>
        <v>#NAME?</v>
      </c>
      <c r="M84" s="47" t="e">
        <f ca="1"/>
        <v>#NAME?</v>
      </c>
      <c r="N84" s="47"/>
    </row>
    <row r="85" spans="1:14" ht="14.25" customHeight="1">
      <c r="A85" s="26">
        <v>3</v>
      </c>
      <c r="B85" s="47"/>
      <c r="C85" s="64" t="s">
        <v>3932</v>
      </c>
      <c r="D85" s="64" t="e">
        <f ca="1"/>
        <v>#NAME?</v>
      </c>
      <c r="E85" s="64" t="e">
        <f ca="1"/>
        <v>#NAME?</v>
      </c>
      <c r="F85" s="64" t="e">
        <f ca="1"/>
        <v>#NAME?</v>
      </c>
      <c r="G85" s="63" t="e">
        <f ca="1"/>
        <v>#NAME?</v>
      </c>
      <c r="H85" s="77" t="e">
        <f ca="1"/>
        <v>#NAME?</v>
      </c>
      <c r="I85" s="64" t="e">
        <f ca="1"/>
        <v>#NAME?</v>
      </c>
      <c r="J85" s="68" t="e">
        <f ca="1"/>
        <v>#NAME?</v>
      </c>
      <c r="K85" s="47" t="e">
        <f ca="1"/>
        <v>#NAME?</v>
      </c>
      <c r="L85" s="47" t="e">
        <f ca="1"/>
        <v>#NAME?</v>
      </c>
      <c r="M85" s="47" t="e">
        <f ca="1"/>
        <v>#NAME?</v>
      </c>
      <c r="N85" s="47"/>
    </row>
    <row r="86" spans="1:14" ht="14.25" customHeight="1">
      <c r="A86" s="26">
        <v>4</v>
      </c>
      <c r="B86" s="78"/>
      <c r="C86" s="63" t="s">
        <v>3942</v>
      </c>
      <c r="D86" s="63" t="e">
        <f ca="1"/>
        <v>#NAME?</v>
      </c>
      <c r="E86" s="63" t="e">
        <f ca="1"/>
        <v>#NAME?</v>
      </c>
      <c r="F86" s="63" t="e">
        <f ca="1"/>
        <v>#NAME?</v>
      </c>
      <c r="G86" s="63" t="e">
        <f ca="1"/>
        <v>#NAME?</v>
      </c>
      <c r="H86" s="84" t="e">
        <f ca="1"/>
        <v>#NAME?</v>
      </c>
      <c r="I86" s="63" t="e">
        <f ca="1"/>
        <v>#NAME?</v>
      </c>
      <c r="J86" s="51" t="e">
        <f ca="1"/>
        <v>#NAME?</v>
      </c>
      <c r="K86" s="47" t="e">
        <f ca="1"/>
        <v>#NAME?</v>
      </c>
      <c r="L86" s="47" t="e">
        <f ca="1"/>
        <v>#NAME?</v>
      </c>
      <c r="M86" s="47" t="e">
        <f ca="1"/>
        <v>#NAME?</v>
      </c>
      <c r="N86" s="47"/>
    </row>
    <row r="87" spans="1:14" ht="14.25" customHeight="1">
      <c r="A87" s="26">
        <v>5</v>
      </c>
      <c r="B87" s="78"/>
      <c r="C87" s="64" t="s">
        <v>3952</v>
      </c>
      <c r="D87" s="64" t="e">
        <f ca="1"/>
        <v>#NAME?</v>
      </c>
      <c r="E87" s="64" t="e">
        <f ca="1"/>
        <v>#NAME?</v>
      </c>
      <c r="F87" s="64" t="e">
        <f ca="1"/>
        <v>#NAME?</v>
      </c>
      <c r="G87" s="64" t="e">
        <f ca="1"/>
        <v>#NAME?</v>
      </c>
      <c r="H87" s="77" t="e">
        <f ca="1"/>
        <v>#NAME?</v>
      </c>
      <c r="I87" s="64" t="e">
        <f ca="1"/>
        <v>#NAME?</v>
      </c>
      <c r="J87" s="51" t="e">
        <f ca="1"/>
        <v>#NAME?</v>
      </c>
      <c r="K87" s="47" t="e">
        <f ca="1"/>
        <v>#NAME?</v>
      </c>
      <c r="L87" s="47" t="e">
        <f ca="1"/>
        <v>#NAME?</v>
      </c>
      <c r="M87" s="47" t="e">
        <f ca="1"/>
        <v>#NAME?</v>
      </c>
      <c r="N87" s="47"/>
    </row>
    <row r="88" spans="1:14" ht="14.25" customHeight="1">
      <c r="A88" s="26">
        <v>6</v>
      </c>
      <c r="B88" s="47"/>
      <c r="C88" s="64" t="s">
        <v>3962</v>
      </c>
      <c r="D88" s="64" t="e">
        <f ca="1"/>
        <v>#NAME?</v>
      </c>
      <c r="E88" s="64" t="e">
        <f ca="1"/>
        <v>#NAME?</v>
      </c>
      <c r="F88" s="64" t="e">
        <f ca="1"/>
        <v>#NAME?</v>
      </c>
      <c r="G88" s="64" t="e">
        <f ca="1"/>
        <v>#NAME?</v>
      </c>
      <c r="H88" s="77" t="e">
        <f ca="1"/>
        <v>#NAME?</v>
      </c>
      <c r="I88" s="64" t="e">
        <f ca="1"/>
        <v>#NAME?</v>
      </c>
      <c r="J88" s="51" t="e">
        <f ca="1"/>
        <v>#NAME?</v>
      </c>
      <c r="K88" s="47" t="e">
        <f ca="1"/>
        <v>#NAME?</v>
      </c>
      <c r="L88" s="47" t="e">
        <f ca="1"/>
        <v>#NAME?</v>
      </c>
      <c r="M88" s="47" t="e">
        <f ca="1"/>
        <v>#NAME?</v>
      </c>
      <c r="N88" s="47"/>
    </row>
    <row r="89" spans="1:14" ht="14.25" customHeight="1">
      <c r="A89" s="26">
        <v>7</v>
      </c>
      <c r="B89" s="78"/>
      <c r="C89" s="64" t="s">
        <v>3972</v>
      </c>
      <c r="D89" s="64" t="e">
        <f ca="1"/>
        <v>#NAME?</v>
      </c>
      <c r="E89" s="64" t="e">
        <f ca="1"/>
        <v>#NAME?</v>
      </c>
      <c r="F89" s="64" t="e">
        <f ca="1"/>
        <v>#NAME?</v>
      </c>
      <c r="G89" s="64" t="e">
        <f ca="1"/>
        <v>#NAME?</v>
      </c>
      <c r="H89" s="77" t="e">
        <f ca="1"/>
        <v>#NAME?</v>
      </c>
      <c r="I89" s="64" t="e">
        <f ca="1"/>
        <v>#NAME?</v>
      </c>
      <c r="J89" s="51" t="e">
        <f ca="1"/>
        <v>#NAME?</v>
      </c>
      <c r="K89" s="47" t="e">
        <f ca="1"/>
        <v>#NAME?</v>
      </c>
      <c r="L89" s="47" t="e">
        <f ca="1"/>
        <v>#NAME?</v>
      </c>
      <c r="M89" s="47" t="e">
        <f ca="1"/>
        <v>#NAME?</v>
      </c>
      <c r="N89" s="47"/>
    </row>
    <row r="90" spans="1:14" ht="14.25" customHeight="1">
      <c r="A90" s="26">
        <v>8</v>
      </c>
      <c r="B90" s="47"/>
      <c r="C90" s="64" t="s">
        <v>3982</v>
      </c>
      <c r="D90" s="64" t="e">
        <f ca="1"/>
        <v>#NAME?</v>
      </c>
      <c r="E90" s="64" t="e">
        <f ca="1"/>
        <v>#NAME?</v>
      </c>
      <c r="F90" s="64" t="e">
        <f ca="1"/>
        <v>#NAME?</v>
      </c>
      <c r="G90" s="64" t="e">
        <f ca="1"/>
        <v>#NAME?</v>
      </c>
      <c r="H90" s="77" t="e">
        <f ca="1"/>
        <v>#NAME?</v>
      </c>
      <c r="I90" s="64" t="e">
        <f ca="1"/>
        <v>#NAME?</v>
      </c>
      <c r="J90" s="51" t="e">
        <f ca="1"/>
        <v>#NAME?</v>
      </c>
      <c r="K90" s="47" t="e">
        <f ca="1"/>
        <v>#NAME?</v>
      </c>
      <c r="L90" s="47" t="e">
        <f ca="1"/>
        <v>#NAME?</v>
      </c>
      <c r="M90" s="47" t="e">
        <f ca="1"/>
        <v>#NAME?</v>
      </c>
      <c r="N90" s="47"/>
    </row>
    <row r="91" spans="1:14" ht="14.25" customHeight="1">
      <c r="A91" s="26">
        <v>9</v>
      </c>
      <c r="B91" s="47"/>
      <c r="C91" s="64" t="s">
        <v>3992</v>
      </c>
      <c r="D91" s="64" t="e">
        <f ca="1"/>
        <v>#NAME?</v>
      </c>
      <c r="E91" s="64" t="e">
        <f ca="1"/>
        <v>#NAME?</v>
      </c>
      <c r="F91" s="64" t="e">
        <f ca="1"/>
        <v>#NAME?</v>
      </c>
      <c r="G91" s="64" t="e">
        <f ca="1"/>
        <v>#NAME?</v>
      </c>
      <c r="H91" s="77" t="e">
        <f ca="1"/>
        <v>#NAME?</v>
      </c>
      <c r="I91" s="64" t="e">
        <f ca="1"/>
        <v>#NAME?</v>
      </c>
      <c r="J91" s="51" t="e">
        <f ca="1"/>
        <v>#NAME?</v>
      </c>
      <c r="K91" s="47" t="e">
        <f ca="1"/>
        <v>#NAME?</v>
      </c>
      <c r="L91" s="47" t="e">
        <f ca="1"/>
        <v>#NAME?</v>
      </c>
      <c r="M91" s="47" t="e">
        <f ca="1"/>
        <v>#NAME?</v>
      </c>
      <c r="N91" s="47"/>
    </row>
    <row r="92" spans="1:14" ht="14.25" customHeight="1">
      <c r="A92" s="26">
        <v>10</v>
      </c>
      <c r="B92" s="78"/>
      <c r="C92" s="64" t="s">
        <v>4002</v>
      </c>
      <c r="D92" s="64" t="e">
        <f ca="1"/>
        <v>#NAME?</v>
      </c>
      <c r="E92" s="64" t="e">
        <f ca="1"/>
        <v>#NAME?</v>
      </c>
      <c r="F92" s="64" t="e">
        <f ca="1"/>
        <v>#NAME?</v>
      </c>
      <c r="G92" s="64" t="e">
        <f ca="1"/>
        <v>#NAME?</v>
      </c>
      <c r="H92" s="77" t="e">
        <f ca="1"/>
        <v>#NAME?</v>
      </c>
      <c r="I92" s="64" t="e">
        <f ca="1"/>
        <v>#NAME?</v>
      </c>
      <c r="J92" s="51" t="e">
        <f ca="1"/>
        <v>#NAME?</v>
      </c>
      <c r="K92" s="47" t="e">
        <f ca="1"/>
        <v>#NAME?</v>
      </c>
      <c r="L92" s="47" t="e">
        <f ca="1"/>
        <v>#NAME?</v>
      </c>
      <c r="M92" s="47" t="e">
        <f ca="1"/>
        <v>#NAME?</v>
      </c>
      <c r="N92" s="47"/>
    </row>
    <row r="93" spans="1:14" ht="14.25" customHeight="1">
      <c r="A93" s="26">
        <v>11</v>
      </c>
      <c r="B93" s="47"/>
      <c r="C93" s="64" t="s">
        <v>4012</v>
      </c>
      <c r="D93" s="64" t="e">
        <f ca="1"/>
        <v>#NAME?</v>
      </c>
      <c r="E93" s="64" t="e">
        <f ca="1"/>
        <v>#NAME?</v>
      </c>
      <c r="F93" s="64" t="e">
        <f ca="1"/>
        <v>#NAME?</v>
      </c>
      <c r="G93" s="64" t="e">
        <f ca="1"/>
        <v>#NAME?</v>
      </c>
      <c r="H93" s="77" t="e">
        <f ca="1"/>
        <v>#NAME?</v>
      </c>
      <c r="I93" s="64" t="e">
        <f ca="1"/>
        <v>#NAME?</v>
      </c>
      <c r="J93" s="51" t="e">
        <f ca="1"/>
        <v>#NAME?</v>
      </c>
      <c r="K93" s="47" t="e">
        <f ca="1"/>
        <v>#NAME?</v>
      </c>
      <c r="L93" s="47" t="e">
        <f ca="1"/>
        <v>#NAME?</v>
      </c>
      <c r="M93" s="47" t="e">
        <f ca="1"/>
        <v>#NAME?</v>
      </c>
      <c r="N93" s="47"/>
    </row>
    <row r="94" spans="1:14" ht="14.25" customHeight="1">
      <c r="A94" s="26">
        <v>12</v>
      </c>
      <c r="B94" s="47"/>
      <c r="C94" s="63" t="s">
        <v>4020</v>
      </c>
      <c r="D94" s="63" t="e">
        <f ca="1"/>
        <v>#NAME?</v>
      </c>
      <c r="E94" s="63" t="e">
        <f ca="1"/>
        <v>#NAME?</v>
      </c>
      <c r="F94" s="63" t="e">
        <f ca="1"/>
        <v>#NAME?</v>
      </c>
      <c r="G94" s="63" t="e">
        <f ca="1"/>
        <v>#NAME?</v>
      </c>
      <c r="H94" s="84" t="e">
        <f ca="1"/>
        <v>#NAME?</v>
      </c>
      <c r="I94" s="63" t="e">
        <f ca="1"/>
        <v>#NAME?</v>
      </c>
      <c r="J94" s="51" t="e">
        <f ca="1"/>
        <v>#NAME?</v>
      </c>
      <c r="K94" s="47" t="e">
        <f ca="1"/>
        <v>#NAME?</v>
      </c>
      <c r="L94" s="47" t="e">
        <f ca="1"/>
        <v>#NAME?</v>
      </c>
      <c r="M94" s="47" t="e">
        <f ca="1"/>
        <v>#NAME?</v>
      </c>
      <c r="N94" s="47"/>
    </row>
    <row r="95" spans="1:14" ht="14.25" customHeight="1">
      <c r="A95" s="26">
        <v>13</v>
      </c>
      <c r="B95" s="78"/>
      <c r="C95" s="64" t="s">
        <v>4029</v>
      </c>
      <c r="D95" s="64" t="e">
        <f ca="1"/>
        <v>#NAME?</v>
      </c>
      <c r="E95" s="64" t="e">
        <f ca="1"/>
        <v>#NAME?</v>
      </c>
      <c r="F95" s="64" t="e">
        <f ca="1"/>
        <v>#NAME?</v>
      </c>
      <c r="G95" s="64" t="e">
        <f ca="1"/>
        <v>#NAME?</v>
      </c>
      <c r="H95" s="77" t="e">
        <f ca="1"/>
        <v>#NAME?</v>
      </c>
      <c r="I95" s="64" t="e">
        <f ca="1"/>
        <v>#NAME?</v>
      </c>
      <c r="J95" s="51" t="e">
        <f ca="1"/>
        <v>#NAME?</v>
      </c>
      <c r="K95" s="47" t="e">
        <f ca="1"/>
        <v>#NAME?</v>
      </c>
      <c r="L95" s="47" t="e">
        <f ca="1"/>
        <v>#NAME?</v>
      </c>
      <c r="M95" s="47" t="e">
        <f ca="1"/>
        <v>#NAME?</v>
      </c>
      <c r="N95" s="47"/>
    </row>
    <row r="96" spans="1:14" ht="14.25" customHeight="1">
      <c r="A96" s="26">
        <v>14</v>
      </c>
      <c r="B96" s="47"/>
      <c r="C96" s="64" t="s">
        <v>4039</v>
      </c>
      <c r="D96" s="64" t="e">
        <f ca="1"/>
        <v>#NAME?</v>
      </c>
      <c r="E96" s="64" t="e">
        <f ca="1"/>
        <v>#NAME?</v>
      </c>
      <c r="F96" s="64" t="e">
        <f ca="1"/>
        <v>#NAME?</v>
      </c>
      <c r="G96" s="63" t="e">
        <f ca="1"/>
        <v>#NAME?</v>
      </c>
      <c r="H96" s="77" t="e">
        <f ca="1"/>
        <v>#NAME?</v>
      </c>
      <c r="I96" s="64" t="e">
        <f ca="1"/>
        <v>#NAME?</v>
      </c>
      <c r="J96" s="51" t="e">
        <f ca="1"/>
        <v>#NAME?</v>
      </c>
      <c r="K96" s="47" t="e">
        <f ca="1"/>
        <v>#NAME?</v>
      </c>
      <c r="L96" s="47" t="e">
        <f ca="1"/>
        <v>#NAME?</v>
      </c>
      <c r="M96" s="47" t="e">
        <f ca="1"/>
        <v>#NAME?</v>
      </c>
      <c r="N96" s="47"/>
    </row>
    <row r="97" spans="1:14" ht="14.25" customHeight="1">
      <c r="A97" s="40">
        <v>1</v>
      </c>
      <c r="B97" s="47"/>
      <c r="C97" s="67" t="s">
        <v>4049</v>
      </c>
      <c r="D97" s="67" t="e">
        <f ca="1"/>
        <v>#NAME?</v>
      </c>
      <c r="E97" s="67" t="e">
        <f ca="1"/>
        <v>#NAME?</v>
      </c>
      <c r="F97" s="67" t="e">
        <f ca="1"/>
        <v>#NAME?</v>
      </c>
      <c r="G97" s="67" t="e">
        <f ca="1"/>
        <v>#NAME?</v>
      </c>
      <c r="H97" s="85" t="e">
        <f ca="1"/>
        <v>#NAME?</v>
      </c>
      <c r="I97" s="67" t="e">
        <f ca="1"/>
        <v>#NAME?</v>
      </c>
      <c r="J97" s="44" t="e">
        <f ca="1"/>
        <v>#NAME?</v>
      </c>
      <c r="K97" s="41" t="e">
        <f ca="1"/>
        <v>#NAME?</v>
      </c>
      <c r="L97" s="41" t="e">
        <f ca="1"/>
        <v>#NAME?</v>
      </c>
      <c r="M97" s="41" t="e">
        <f ca="1"/>
        <v>#NAME?</v>
      </c>
      <c r="N97" s="41">
        <v>7</v>
      </c>
    </row>
    <row r="98" spans="1:14" ht="14.25" customHeight="1">
      <c r="A98" s="26">
        <v>2</v>
      </c>
      <c r="B98" s="47"/>
      <c r="C98" s="64" t="s">
        <v>4059</v>
      </c>
      <c r="D98" s="64" t="e">
        <f ca="1"/>
        <v>#NAME?</v>
      </c>
      <c r="E98" s="64" t="e">
        <f ca="1"/>
        <v>#NAME?</v>
      </c>
      <c r="F98" s="64" t="e">
        <f ca="1"/>
        <v>#NAME?</v>
      </c>
      <c r="G98" s="64" t="e">
        <f ca="1"/>
        <v>#NAME?</v>
      </c>
      <c r="H98" s="77" t="e">
        <f ca="1"/>
        <v>#NAME?</v>
      </c>
      <c r="I98" s="64" t="e">
        <f ca="1"/>
        <v>#NAME?</v>
      </c>
      <c r="J98" s="51" t="e">
        <f ca="1"/>
        <v>#NAME?</v>
      </c>
      <c r="K98" s="47" t="e">
        <f ca="1"/>
        <v>#NAME?</v>
      </c>
      <c r="L98" s="47" t="e">
        <f ca="1"/>
        <v>#NAME?</v>
      </c>
      <c r="M98" s="47" t="e">
        <f ca="1"/>
        <v>#NAME?</v>
      </c>
      <c r="N98" s="47"/>
    </row>
    <row r="99" spans="1:14" ht="14.25" customHeight="1">
      <c r="A99" s="26">
        <v>3</v>
      </c>
      <c r="B99" s="78"/>
      <c r="C99" s="55" t="s">
        <v>4070</v>
      </c>
      <c r="D99" s="56" t="e">
        <f ca="1"/>
        <v>#NAME?</v>
      </c>
      <c r="E99" s="56" t="e">
        <f ca="1"/>
        <v>#NAME?</v>
      </c>
      <c r="F99" s="47" t="e">
        <f ca="1"/>
        <v>#NAME?</v>
      </c>
      <c r="G99" s="47" t="e">
        <f ca="1"/>
        <v>#NAME?</v>
      </c>
      <c r="H99" s="79" t="e">
        <f ca="1"/>
        <v>#NAME?</v>
      </c>
      <c r="I99" s="80" t="e">
        <f ca="1"/>
        <v>#NAME?</v>
      </c>
      <c r="J99" s="51" t="e">
        <f ca="1"/>
        <v>#NAME?</v>
      </c>
      <c r="K99" s="47" t="e">
        <f ca="1"/>
        <v>#NAME?</v>
      </c>
      <c r="L99" s="47" t="e">
        <f ca="1"/>
        <v>#NAME?</v>
      </c>
      <c r="M99" s="47" t="e">
        <f ca="1"/>
        <v>#NAME?</v>
      </c>
      <c r="N99" s="47"/>
    </row>
    <row r="100" spans="1:14" ht="14.25" customHeight="1">
      <c r="A100" s="26">
        <v>3</v>
      </c>
      <c r="B100" s="78"/>
      <c r="C100" s="30" t="s">
        <v>4079</v>
      </c>
      <c r="D100" s="57" t="e">
        <f ca="1"/>
        <v>#NAME?</v>
      </c>
      <c r="E100" s="57" t="e">
        <f ca="1"/>
        <v>#NAME?</v>
      </c>
      <c r="F100" s="26" t="e">
        <f ca="1"/>
        <v>#NAME?</v>
      </c>
      <c r="G100" s="26" t="e">
        <f ca="1"/>
        <v>#NAME?</v>
      </c>
      <c r="H100" s="81" t="e">
        <f ca="1"/>
        <v>#NAME?</v>
      </c>
      <c r="I100" s="51" t="e">
        <f ca="1"/>
        <v>#NAME?</v>
      </c>
      <c r="J100" s="51" t="e">
        <f ca="1"/>
        <v>#NAME?</v>
      </c>
      <c r="K100" s="47" t="e">
        <f ca="1"/>
        <v>#NAME?</v>
      </c>
      <c r="L100" s="47" t="e">
        <f ca="1"/>
        <v>#NAME?</v>
      </c>
      <c r="M100" s="47" t="e">
        <f ca="1"/>
        <v>#NAME?</v>
      </c>
      <c r="N100" s="47"/>
    </row>
    <row r="101" spans="1:14" ht="14.25" customHeight="1">
      <c r="A101" s="26">
        <v>4</v>
      </c>
      <c r="B101" s="78"/>
      <c r="C101" s="30" t="s">
        <v>4089</v>
      </c>
      <c r="D101" s="56" t="e">
        <f ca="1"/>
        <v>#NAME?</v>
      </c>
      <c r="E101" s="56" t="e">
        <f ca="1"/>
        <v>#NAME?</v>
      </c>
      <c r="F101" s="26" t="e">
        <f ca="1"/>
        <v>#NAME?</v>
      </c>
      <c r="G101" s="26" t="e">
        <f ca="1"/>
        <v>#NAME?</v>
      </c>
      <c r="H101" s="81" t="e">
        <f ca="1"/>
        <v>#NAME?</v>
      </c>
      <c r="I101" s="51" t="e">
        <f ca="1"/>
        <v>#NAME?</v>
      </c>
      <c r="J101" s="51" t="e">
        <f ca="1"/>
        <v>#NAME?</v>
      </c>
      <c r="K101" s="47" t="e">
        <f ca="1"/>
        <v>#NAME?</v>
      </c>
      <c r="L101" s="47" t="e">
        <f ca="1"/>
        <v>#NAME?</v>
      </c>
      <c r="M101" s="47" t="e">
        <f ca="1"/>
        <v>#NAME?</v>
      </c>
      <c r="N101" s="47"/>
    </row>
    <row r="102" spans="1:14" ht="14.25" customHeight="1">
      <c r="A102" s="26">
        <v>5</v>
      </c>
      <c r="B102" s="47"/>
      <c r="C102" s="30" t="s">
        <v>4099</v>
      </c>
      <c r="D102" s="57" t="e">
        <f ca="1"/>
        <v>#NAME?</v>
      </c>
      <c r="E102" s="57" t="e">
        <f ca="1"/>
        <v>#NAME?</v>
      </c>
      <c r="F102" s="26" t="e">
        <f ca="1"/>
        <v>#NAME?</v>
      </c>
      <c r="G102" s="26" t="e">
        <f ca="1"/>
        <v>#NAME?</v>
      </c>
      <c r="H102" s="81" t="e">
        <f ca="1"/>
        <v>#NAME?</v>
      </c>
      <c r="I102" s="51" t="e">
        <f ca="1"/>
        <v>#NAME?</v>
      </c>
      <c r="J102" s="51" t="e">
        <f ca="1"/>
        <v>#NAME?</v>
      </c>
      <c r="K102" s="47" t="e">
        <f ca="1"/>
        <v>#NAME?</v>
      </c>
      <c r="L102" s="47" t="e">
        <f ca="1"/>
        <v>#NAME?</v>
      </c>
      <c r="M102" s="47" t="e">
        <f ca="1"/>
        <v>#NAME?</v>
      </c>
      <c r="N102" s="47"/>
    </row>
    <row r="103" spans="1:14" ht="14.25" customHeight="1">
      <c r="A103" s="26">
        <v>6</v>
      </c>
      <c r="B103" s="78"/>
      <c r="C103" s="30" t="s">
        <v>4110</v>
      </c>
      <c r="D103" s="57" t="e">
        <f ca="1"/>
        <v>#NAME?</v>
      </c>
      <c r="E103" s="57" t="e">
        <f ca="1"/>
        <v>#NAME?</v>
      </c>
      <c r="F103" s="26" t="e">
        <f ca="1"/>
        <v>#NAME?</v>
      </c>
      <c r="G103" s="26" t="e">
        <f ca="1"/>
        <v>#NAME?</v>
      </c>
      <c r="H103" s="81" t="e">
        <f ca="1"/>
        <v>#NAME?</v>
      </c>
      <c r="I103" s="51" t="e">
        <f ca="1"/>
        <v>#NAME?</v>
      </c>
      <c r="J103" s="51" t="e">
        <f ca="1"/>
        <v>#NAME?</v>
      </c>
      <c r="K103" s="47" t="e">
        <f ca="1"/>
        <v>#NAME?</v>
      </c>
      <c r="L103" s="47" t="e">
        <f ca="1"/>
        <v>#NAME?</v>
      </c>
      <c r="M103" s="47" t="e">
        <f ca="1"/>
        <v>#NAME?</v>
      </c>
      <c r="N103" s="47"/>
    </row>
    <row r="104" spans="1:14" ht="14.25" customHeight="1">
      <c r="A104" s="26">
        <v>7</v>
      </c>
      <c r="B104" s="78"/>
      <c r="C104" s="30" t="s">
        <v>4120</v>
      </c>
      <c r="D104" s="57" t="e">
        <f ca="1"/>
        <v>#NAME?</v>
      </c>
      <c r="E104" s="57" t="e">
        <f ca="1"/>
        <v>#NAME?</v>
      </c>
      <c r="F104" s="26" t="e">
        <f ca="1"/>
        <v>#NAME?</v>
      </c>
      <c r="G104" s="26" t="e">
        <f ca="1"/>
        <v>#NAME?</v>
      </c>
      <c r="H104" s="79" t="e">
        <f ca="1"/>
        <v>#NAME?</v>
      </c>
      <c r="I104" s="80" t="e">
        <f ca="1"/>
        <v>#NAME?</v>
      </c>
      <c r="J104" s="51" t="e">
        <f ca="1"/>
        <v>#NAME?</v>
      </c>
      <c r="K104" s="47" t="e">
        <f ca="1"/>
        <v>#NAME?</v>
      </c>
      <c r="L104" s="47" t="e">
        <f ca="1"/>
        <v>#NAME?</v>
      </c>
      <c r="M104" s="47" t="e">
        <f ca="1"/>
        <v>#NAME?</v>
      </c>
      <c r="N104" s="47"/>
    </row>
    <row r="105" spans="1:14" ht="14.25" customHeight="1">
      <c r="A105" s="26">
        <v>8</v>
      </c>
      <c r="B105" s="78"/>
      <c r="C105" s="30" t="s">
        <v>4130</v>
      </c>
      <c r="D105" s="57" t="e">
        <f ca="1"/>
        <v>#NAME?</v>
      </c>
      <c r="E105" s="57" t="e">
        <f ca="1"/>
        <v>#NAME?</v>
      </c>
      <c r="F105" s="26" t="e">
        <f ca="1"/>
        <v>#NAME?</v>
      </c>
      <c r="G105" s="26" t="e">
        <f ca="1"/>
        <v>#NAME?</v>
      </c>
      <c r="H105" s="79" t="e">
        <f ca="1"/>
        <v>#NAME?</v>
      </c>
      <c r="I105" s="80" t="e">
        <f ca="1"/>
        <v>#NAME?</v>
      </c>
      <c r="J105" s="51" t="e">
        <f ca="1"/>
        <v>#NAME?</v>
      </c>
      <c r="K105" s="47" t="e">
        <f ca="1"/>
        <v>#NAME?</v>
      </c>
      <c r="L105" s="47" t="e">
        <f ca="1"/>
        <v>#NAME?</v>
      </c>
      <c r="M105" s="47" t="e">
        <f ca="1"/>
        <v>#NAME?</v>
      </c>
      <c r="N105" s="47"/>
    </row>
    <row r="106" spans="1:14" ht="14.25" customHeight="1">
      <c r="A106" s="26">
        <v>9</v>
      </c>
      <c r="B106" s="78"/>
      <c r="C106" s="30" t="s">
        <v>4140</v>
      </c>
      <c r="D106" s="57" t="e">
        <f ca="1"/>
        <v>#NAME?</v>
      </c>
      <c r="E106" s="57" t="e">
        <f ca="1"/>
        <v>#NAME?</v>
      </c>
      <c r="F106" s="26" t="e">
        <f ca="1"/>
        <v>#NAME?</v>
      </c>
      <c r="G106" s="26" t="e">
        <f ca="1"/>
        <v>#NAME?</v>
      </c>
      <c r="H106" s="79" t="e">
        <f ca="1"/>
        <v>#NAME?</v>
      </c>
      <c r="I106" s="80" t="e">
        <f ca="1"/>
        <v>#NAME?</v>
      </c>
      <c r="J106" s="51" t="e">
        <f ca="1"/>
        <v>#NAME?</v>
      </c>
      <c r="K106" s="47" t="e">
        <f ca="1"/>
        <v>#NAME?</v>
      </c>
      <c r="L106" s="47" t="e">
        <f ca="1"/>
        <v>#NAME?</v>
      </c>
      <c r="M106" s="47" t="e">
        <f ca="1"/>
        <v>#NAME?</v>
      </c>
      <c r="N106" s="47"/>
    </row>
    <row r="107" spans="1:14" ht="14.25" customHeight="1">
      <c r="A107" s="26">
        <v>10</v>
      </c>
      <c r="B107" s="47"/>
      <c r="C107" s="29" t="s">
        <v>4149</v>
      </c>
      <c r="D107" s="57" t="e">
        <f ca="1"/>
        <v>#NAME?</v>
      </c>
      <c r="E107" s="57" t="e">
        <f ca="1"/>
        <v>#NAME?</v>
      </c>
      <c r="F107" s="27" t="e">
        <f ca="1"/>
        <v>#NAME?</v>
      </c>
      <c r="G107" s="27" t="e">
        <f ca="1"/>
        <v>#NAME?</v>
      </c>
      <c r="H107" s="54" t="e">
        <f ca="1"/>
        <v>#NAME?</v>
      </c>
      <c r="I107" s="62" t="e">
        <f ca="1"/>
        <v>#NAME?</v>
      </c>
      <c r="J107" s="54" t="e">
        <f ca="1"/>
        <v>#NAME?</v>
      </c>
      <c r="K107" s="47" t="e">
        <f ca="1"/>
        <v>#NAME?</v>
      </c>
      <c r="L107" s="47" t="e">
        <f ca="1"/>
        <v>#NAME?</v>
      </c>
      <c r="M107" s="47" t="e">
        <f ca="1"/>
        <v>#NAME?</v>
      </c>
      <c r="N107" s="47"/>
    </row>
    <row r="108" spans="1:14" ht="14.25" customHeight="1">
      <c r="A108" s="26">
        <v>11</v>
      </c>
      <c r="B108" s="47"/>
      <c r="C108" s="30" t="s">
        <v>4158</v>
      </c>
      <c r="D108" s="57" t="e">
        <f ca="1"/>
        <v>#NAME?</v>
      </c>
      <c r="E108" s="57" t="e">
        <f ca="1"/>
        <v>#NAME?</v>
      </c>
      <c r="F108" s="26" t="e">
        <f ca="1"/>
        <v>#NAME?</v>
      </c>
      <c r="G108" s="26" t="e">
        <f ca="1"/>
        <v>#NAME?</v>
      </c>
      <c r="H108" s="79" t="e">
        <f ca="1"/>
        <v>#NAME?</v>
      </c>
      <c r="I108" s="80" t="e">
        <f ca="1"/>
        <v>#NAME?</v>
      </c>
      <c r="J108" s="51" t="e">
        <f ca="1"/>
        <v>#NAME?</v>
      </c>
      <c r="K108" s="47" t="e">
        <f ca="1"/>
        <v>#NAME?</v>
      </c>
      <c r="L108" s="47" t="e">
        <f ca="1"/>
        <v>#NAME?</v>
      </c>
      <c r="M108" s="47" t="e">
        <f ca="1"/>
        <v>#NAME?</v>
      </c>
      <c r="N108" s="47"/>
    </row>
    <row r="109" spans="1:14" ht="14.25" customHeight="1">
      <c r="A109" s="26">
        <v>12</v>
      </c>
      <c r="B109" s="78"/>
      <c r="C109" s="55" t="s">
        <v>4168</v>
      </c>
      <c r="D109" s="56" t="e">
        <f ca="1"/>
        <v>#NAME?</v>
      </c>
      <c r="E109" s="56" t="e">
        <f ca="1"/>
        <v>#NAME?</v>
      </c>
      <c r="F109" s="47" t="e">
        <f ca="1"/>
        <v>#NAME?</v>
      </c>
      <c r="G109" s="47" t="e">
        <f ca="1"/>
        <v>#NAME?</v>
      </c>
      <c r="H109" s="79" t="e">
        <f ca="1"/>
        <v>#NAME?</v>
      </c>
      <c r="I109" s="80" t="e">
        <f ca="1"/>
        <v>#NAME?</v>
      </c>
      <c r="J109" s="51" t="e">
        <f ca="1"/>
        <v>#NAME?</v>
      </c>
      <c r="K109" s="47" t="e">
        <f ca="1"/>
        <v>#NAME?</v>
      </c>
      <c r="L109" s="47" t="e">
        <f ca="1"/>
        <v>#NAME?</v>
      </c>
      <c r="M109" s="47" t="e">
        <f ca="1"/>
        <v>#NAME?</v>
      </c>
      <c r="N109" s="47"/>
    </row>
    <row r="110" spans="1:14" ht="14.25" customHeight="1">
      <c r="A110" s="26">
        <v>13</v>
      </c>
      <c r="B110" s="47"/>
      <c r="C110" s="55" t="s">
        <v>4177</v>
      </c>
      <c r="D110" s="56" t="e">
        <f ca="1"/>
        <v>#NAME?</v>
      </c>
      <c r="E110" s="56" t="e">
        <f ca="1"/>
        <v>#NAME?</v>
      </c>
      <c r="F110" s="47" t="e">
        <f ca="1"/>
        <v>#NAME?</v>
      </c>
      <c r="G110" s="47" t="e">
        <f ca="1"/>
        <v>#NAME?</v>
      </c>
      <c r="H110" s="79" t="e">
        <f ca="1"/>
        <v>#NAME?</v>
      </c>
      <c r="I110" s="80" t="e">
        <f ca="1"/>
        <v>#NAME?</v>
      </c>
      <c r="J110" s="51" t="e">
        <f ca="1"/>
        <v>#NAME?</v>
      </c>
      <c r="K110" s="47" t="e">
        <f ca="1"/>
        <v>#NAME?</v>
      </c>
      <c r="L110" s="47" t="e">
        <f ca="1"/>
        <v>#NAME?</v>
      </c>
      <c r="M110" s="47" t="e">
        <f ca="1"/>
        <v>#NAME?</v>
      </c>
      <c r="N110" s="47"/>
    </row>
    <row r="111" spans="1:14" ht="14.25" customHeight="1">
      <c r="A111" s="26">
        <v>14</v>
      </c>
      <c r="B111" s="47"/>
      <c r="C111" s="55" t="s">
        <v>4187</v>
      </c>
      <c r="D111" s="56" t="e">
        <f ca="1"/>
        <v>#NAME?</v>
      </c>
      <c r="E111" s="56" t="e">
        <f ca="1"/>
        <v>#NAME?</v>
      </c>
      <c r="F111" s="47" t="e">
        <f ca="1"/>
        <v>#NAME?</v>
      </c>
      <c r="G111" s="47" t="e">
        <f ca="1"/>
        <v>#NAME?</v>
      </c>
      <c r="H111" s="79" t="e">
        <f ca="1"/>
        <v>#NAME?</v>
      </c>
      <c r="I111" s="80" t="e">
        <f ca="1"/>
        <v>#NAME?</v>
      </c>
      <c r="J111" s="51" t="e">
        <f ca="1"/>
        <v>#NAME?</v>
      </c>
      <c r="K111" s="47" t="e">
        <f ca="1"/>
        <v>#NAME?</v>
      </c>
      <c r="L111" s="47" t="e">
        <f ca="1"/>
        <v>#NAME?</v>
      </c>
      <c r="M111" s="47" t="e">
        <f ca="1"/>
        <v>#NAME?</v>
      </c>
      <c r="N111" s="47"/>
    </row>
    <row r="112" spans="1:14" ht="14.25" customHeight="1">
      <c r="A112" s="40">
        <v>1</v>
      </c>
      <c r="B112" s="47"/>
      <c r="C112" s="58" t="s">
        <v>4197</v>
      </c>
      <c r="D112" s="45" t="e">
        <f ca="1"/>
        <v>#NAME?</v>
      </c>
      <c r="E112" s="45" t="e">
        <f ca="1"/>
        <v>#NAME?</v>
      </c>
      <c r="F112" s="40" t="e">
        <f ca="1"/>
        <v>#NAME?</v>
      </c>
      <c r="G112" s="40" t="e">
        <f ca="1"/>
        <v>#NAME?</v>
      </c>
      <c r="H112" s="74" t="e">
        <f ca="1"/>
        <v>#NAME?</v>
      </c>
      <c r="I112" s="75" t="e">
        <f ca="1"/>
        <v>#NAME?</v>
      </c>
      <c r="J112" s="44" t="e">
        <f ca="1"/>
        <v>#NAME?</v>
      </c>
      <c r="K112" s="41" t="e">
        <f ca="1"/>
        <v>#NAME?</v>
      </c>
      <c r="L112" s="41" t="e">
        <f ca="1"/>
        <v>#NAME?</v>
      </c>
      <c r="M112" s="41" t="e">
        <f ca="1"/>
        <v>#NAME?</v>
      </c>
      <c r="N112" s="41">
        <v>8</v>
      </c>
    </row>
    <row r="113" spans="1:14" ht="14.25" customHeight="1">
      <c r="A113" s="26">
        <v>2</v>
      </c>
      <c r="B113" s="47"/>
      <c r="C113" s="30" t="s">
        <v>4207</v>
      </c>
      <c r="D113" s="57" t="e">
        <f ca="1"/>
        <v>#NAME?</v>
      </c>
      <c r="E113" s="57" t="e">
        <f ca="1"/>
        <v>#NAME?</v>
      </c>
      <c r="F113" s="26" t="e">
        <f ca="1"/>
        <v>#NAME?</v>
      </c>
      <c r="G113" s="26" t="e">
        <f ca="1"/>
        <v>#NAME?</v>
      </c>
      <c r="H113" s="79" t="e">
        <f ca="1"/>
        <v>#NAME?</v>
      </c>
      <c r="I113" s="80" t="e">
        <f ca="1"/>
        <v>#NAME?</v>
      </c>
      <c r="J113" s="51" t="e">
        <f ca="1"/>
        <v>#NAME?</v>
      </c>
      <c r="K113" s="47" t="e">
        <f ca="1"/>
        <v>#NAME?</v>
      </c>
      <c r="L113" s="47" t="e">
        <f ca="1"/>
        <v>#NAME?</v>
      </c>
      <c r="M113" s="47" t="e">
        <f ca="1"/>
        <v>#NAME?</v>
      </c>
      <c r="N113" s="47"/>
    </row>
    <row r="114" spans="1:14" ht="14.25" customHeight="1">
      <c r="A114" s="26">
        <v>3</v>
      </c>
      <c r="B114" s="78"/>
      <c r="C114" s="30" t="s">
        <v>4218</v>
      </c>
      <c r="D114" s="57" t="e">
        <f ca="1"/>
        <v>#NAME?</v>
      </c>
      <c r="E114" s="57" t="e">
        <f ca="1"/>
        <v>#NAME?</v>
      </c>
      <c r="F114" s="26" t="e">
        <f ca="1"/>
        <v>#NAME?</v>
      </c>
      <c r="G114" s="26" t="e">
        <f ca="1"/>
        <v>#NAME?</v>
      </c>
      <c r="H114" s="79" t="e">
        <f ca="1"/>
        <v>#NAME?</v>
      </c>
      <c r="I114" s="80" t="e">
        <f ca="1"/>
        <v>#NAME?</v>
      </c>
      <c r="J114" s="51" t="e">
        <f ca="1"/>
        <v>#NAME?</v>
      </c>
      <c r="K114" s="47" t="e">
        <f ca="1"/>
        <v>#NAME?</v>
      </c>
      <c r="L114" s="47" t="e">
        <f ca="1"/>
        <v>#NAME?</v>
      </c>
      <c r="M114" s="47" t="e">
        <f ca="1"/>
        <v>#NAME?</v>
      </c>
      <c r="N114" s="47"/>
    </row>
    <row r="115" spans="1:14" ht="14.25" customHeight="1">
      <c r="A115" s="26">
        <v>4</v>
      </c>
      <c r="B115" s="47"/>
      <c r="C115" s="30" t="s">
        <v>4227</v>
      </c>
      <c r="D115" s="57" t="e">
        <f ca="1"/>
        <v>#NAME?</v>
      </c>
      <c r="E115" s="57" t="e">
        <f ca="1"/>
        <v>#NAME?</v>
      </c>
      <c r="F115" s="26" t="e">
        <f ca="1"/>
        <v>#NAME?</v>
      </c>
      <c r="G115" s="26" t="e">
        <f ca="1"/>
        <v>#NAME?</v>
      </c>
      <c r="H115" s="79" t="e">
        <f ca="1"/>
        <v>#NAME?</v>
      </c>
      <c r="I115" s="80" t="e">
        <f ca="1"/>
        <v>#NAME?</v>
      </c>
      <c r="J115" s="51" t="e">
        <f ca="1"/>
        <v>#NAME?</v>
      </c>
      <c r="K115" s="47" t="e">
        <f ca="1"/>
        <v>#NAME?</v>
      </c>
      <c r="L115" s="47" t="e">
        <f ca="1"/>
        <v>#NAME?</v>
      </c>
      <c r="M115" s="47" t="e">
        <f ca="1"/>
        <v>#NAME?</v>
      </c>
      <c r="N115" s="47"/>
    </row>
    <row r="116" spans="1:14" ht="14.25" customHeight="1">
      <c r="A116" s="26">
        <v>5</v>
      </c>
      <c r="B116" s="47"/>
      <c r="C116" s="30" t="s">
        <v>4237</v>
      </c>
      <c r="D116" s="57" t="e">
        <f ca="1"/>
        <v>#NAME?</v>
      </c>
      <c r="E116" s="57" t="e">
        <f ca="1"/>
        <v>#NAME?</v>
      </c>
      <c r="F116" s="26" t="e">
        <f ca="1"/>
        <v>#NAME?</v>
      </c>
      <c r="G116" s="26" t="e">
        <f ca="1"/>
        <v>#NAME?</v>
      </c>
      <c r="H116" s="79" t="e">
        <f ca="1"/>
        <v>#NAME?</v>
      </c>
      <c r="I116" s="80" t="e">
        <f ca="1"/>
        <v>#NAME?</v>
      </c>
      <c r="J116" s="51" t="e">
        <f ca="1"/>
        <v>#NAME?</v>
      </c>
      <c r="K116" s="47" t="e">
        <f ca="1"/>
        <v>#NAME?</v>
      </c>
      <c r="L116" s="47" t="e">
        <f ca="1"/>
        <v>#NAME?</v>
      </c>
      <c r="M116" s="47" t="e">
        <f ca="1"/>
        <v>#NAME?</v>
      </c>
      <c r="N116" s="47"/>
    </row>
    <row r="117" spans="1:14" ht="14.25" customHeight="1">
      <c r="A117" s="26">
        <v>6</v>
      </c>
      <c r="B117" s="78"/>
      <c r="C117" s="30" t="s">
        <v>4247</v>
      </c>
      <c r="D117" s="57" t="e">
        <f ca="1"/>
        <v>#NAME?</v>
      </c>
      <c r="E117" s="57" t="e">
        <f ca="1"/>
        <v>#NAME?</v>
      </c>
      <c r="F117" s="26" t="e">
        <f ca="1"/>
        <v>#NAME?</v>
      </c>
      <c r="G117" s="26" t="e">
        <f ca="1"/>
        <v>#NAME?</v>
      </c>
      <c r="H117" s="79" t="e">
        <f ca="1"/>
        <v>#NAME?</v>
      </c>
      <c r="I117" s="80" t="e">
        <f ca="1"/>
        <v>#NAME?</v>
      </c>
      <c r="J117" s="51" t="e">
        <f ca="1"/>
        <v>#NAME?</v>
      </c>
      <c r="K117" s="47" t="e">
        <f ca="1"/>
        <v>#NAME?</v>
      </c>
      <c r="L117" s="47" t="e">
        <f ca="1"/>
        <v>#NAME?</v>
      </c>
      <c r="M117" s="47" t="e">
        <f ca="1"/>
        <v>#NAME?</v>
      </c>
      <c r="N117" s="47"/>
    </row>
    <row r="118" spans="1:14" ht="14.25" customHeight="1">
      <c r="A118" s="26">
        <v>7</v>
      </c>
      <c r="B118" s="47"/>
      <c r="C118" s="30" t="s">
        <v>4256</v>
      </c>
      <c r="D118" s="57" t="e">
        <f ca="1"/>
        <v>#NAME?</v>
      </c>
      <c r="E118" s="57" t="e">
        <f ca="1"/>
        <v>#NAME?</v>
      </c>
      <c r="F118" s="26" t="e">
        <f ca="1"/>
        <v>#NAME?</v>
      </c>
      <c r="G118" s="26" t="e">
        <f ca="1"/>
        <v>#NAME?</v>
      </c>
      <c r="H118" s="79" t="e">
        <f ca="1"/>
        <v>#NAME?</v>
      </c>
      <c r="I118" s="80" t="e">
        <f ca="1"/>
        <v>#NAME?</v>
      </c>
      <c r="J118" s="51" t="e">
        <f ca="1"/>
        <v>#NAME?</v>
      </c>
      <c r="K118" s="47" t="e">
        <f ca="1"/>
        <v>#NAME?</v>
      </c>
      <c r="L118" s="47" t="e">
        <f ca="1"/>
        <v>#NAME?</v>
      </c>
      <c r="M118" s="47" t="e">
        <f ca="1"/>
        <v>#NAME?</v>
      </c>
      <c r="N118" s="47"/>
    </row>
    <row r="119" spans="1:14" ht="14.25" customHeight="1">
      <c r="A119" s="26">
        <v>8</v>
      </c>
      <c r="B119" s="78"/>
      <c r="C119" s="30" t="s">
        <v>4266</v>
      </c>
      <c r="D119" s="57" t="e">
        <f ca="1"/>
        <v>#NAME?</v>
      </c>
      <c r="E119" s="57" t="e">
        <f ca="1"/>
        <v>#NAME?</v>
      </c>
      <c r="F119" s="26" t="e">
        <f ca="1"/>
        <v>#NAME?</v>
      </c>
      <c r="G119" s="26" t="e">
        <f ca="1"/>
        <v>#NAME?</v>
      </c>
      <c r="H119" s="79" t="e">
        <f ca="1"/>
        <v>#NAME?</v>
      </c>
      <c r="I119" s="80" t="e">
        <f ca="1"/>
        <v>#NAME?</v>
      </c>
      <c r="J119" s="51" t="e">
        <f ca="1"/>
        <v>#NAME?</v>
      </c>
      <c r="K119" s="47" t="e">
        <f ca="1"/>
        <v>#NAME?</v>
      </c>
      <c r="L119" s="47" t="e">
        <f ca="1"/>
        <v>#NAME?</v>
      </c>
      <c r="M119" s="47" t="e">
        <f ca="1"/>
        <v>#NAME?</v>
      </c>
      <c r="N119" s="47"/>
    </row>
    <row r="120" spans="1:14" ht="14.25" customHeight="1">
      <c r="A120" s="26">
        <v>9</v>
      </c>
      <c r="B120" s="47"/>
      <c r="C120" s="30" t="s">
        <v>4276</v>
      </c>
      <c r="D120" s="57" t="e">
        <f ca="1"/>
        <v>#NAME?</v>
      </c>
      <c r="E120" s="57" t="e">
        <f ca="1"/>
        <v>#NAME?</v>
      </c>
      <c r="F120" s="26" t="e">
        <f ca="1"/>
        <v>#NAME?</v>
      </c>
      <c r="G120" s="26" t="e">
        <f ca="1"/>
        <v>#NAME?</v>
      </c>
      <c r="H120" s="79" t="e">
        <f ca="1"/>
        <v>#NAME?</v>
      </c>
      <c r="I120" s="80" t="e">
        <f ca="1"/>
        <v>#NAME?</v>
      </c>
      <c r="J120" s="51" t="e">
        <f ca="1"/>
        <v>#NAME?</v>
      </c>
      <c r="K120" s="47" t="e">
        <f ca="1"/>
        <v>#NAME?</v>
      </c>
      <c r="L120" s="47" t="e">
        <f ca="1"/>
        <v>#NAME?</v>
      </c>
      <c r="M120" s="47" t="e">
        <f ca="1"/>
        <v>#NAME?</v>
      </c>
      <c r="N120" s="47"/>
    </row>
    <row r="121" spans="1:14" ht="14.25" customHeight="1">
      <c r="A121" s="26">
        <v>10</v>
      </c>
      <c r="B121" s="47"/>
      <c r="C121" s="30" t="s">
        <v>1188</v>
      </c>
      <c r="D121" s="57" t="e">
        <f ca="1"/>
        <v>#NAME?</v>
      </c>
      <c r="E121" s="57" t="e">
        <f ca="1"/>
        <v>#NAME?</v>
      </c>
      <c r="F121" s="26" t="e">
        <f ca="1"/>
        <v>#NAME?</v>
      </c>
      <c r="G121" s="26" t="e">
        <f ca="1"/>
        <v>#NAME?</v>
      </c>
      <c r="H121" s="79" t="e">
        <f ca="1"/>
        <v>#NAME?</v>
      </c>
      <c r="I121" s="80" t="e">
        <f ca="1"/>
        <v>#NAME?</v>
      </c>
      <c r="J121" s="51" t="e">
        <f ca="1"/>
        <v>#NAME?</v>
      </c>
      <c r="K121" s="47" t="e">
        <f ca="1"/>
        <v>#NAME?</v>
      </c>
      <c r="L121" s="47" t="e">
        <f ca="1"/>
        <v>#NAME?</v>
      </c>
      <c r="M121" s="47" t="e">
        <f ca="1"/>
        <v>#NAME?</v>
      </c>
      <c r="N121" s="47"/>
    </row>
    <row r="122" spans="1:14" ht="14.25" customHeight="1">
      <c r="A122" s="26">
        <v>11</v>
      </c>
      <c r="B122" s="47"/>
      <c r="C122" s="55" t="s">
        <v>4290</v>
      </c>
      <c r="D122" s="56" t="e">
        <f ca="1"/>
        <v>#NAME?</v>
      </c>
      <c r="E122" s="56" t="e">
        <f ca="1"/>
        <v>#NAME?</v>
      </c>
      <c r="F122" s="47" t="e">
        <f ca="1"/>
        <v>#NAME?</v>
      </c>
      <c r="G122" s="47" t="e">
        <f ca="1"/>
        <v>#NAME?</v>
      </c>
      <c r="H122" s="79" t="e">
        <f ca="1"/>
        <v>#NAME?</v>
      </c>
      <c r="I122" s="80" t="e">
        <f ca="1"/>
        <v>#NAME?</v>
      </c>
      <c r="J122" s="51" t="e">
        <f ca="1"/>
        <v>#NAME?</v>
      </c>
      <c r="K122" s="47" t="e">
        <f ca="1"/>
        <v>#NAME?</v>
      </c>
      <c r="L122" s="47" t="e">
        <f ca="1"/>
        <v>#NAME?</v>
      </c>
      <c r="M122" s="47" t="e">
        <f ca="1"/>
        <v>#NAME?</v>
      </c>
      <c r="N122" s="47"/>
    </row>
    <row r="123" spans="1:14" ht="14.25" customHeight="1">
      <c r="A123" s="26">
        <v>12</v>
      </c>
      <c r="B123" s="47"/>
      <c r="C123" s="30" t="s">
        <v>4300</v>
      </c>
      <c r="D123" s="57" t="e">
        <f ca="1"/>
        <v>#NAME?</v>
      </c>
      <c r="E123" s="57" t="e">
        <f ca="1"/>
        <v>#NAME?</v>
      </c>
      <c r="F123" s="26" t="e">
        <f ca="1"/>
        <v>#NAME?</v>
      </c>
      <c r="G123" s="26" t="e">
        <f ca="1"/>
        <v>#NAME?</v>
      </c>
      <c r="H123" s="79" t="e">
        <f ca="1"/>
        <v>#NAME?</v>
      </c>
      <c r="I123" s="80" t="e">
        <f ca="1"/>
        <v>#NAME?</v>
      </c>
      <c r="J123" s="51" t="e">
        <f ca="1"/>
        <v>#NAME?</v>
      </c>
      <c r="K123" s="47" t="e">
        <f ca="1"/>
        <v>#NAME?</v>
      </c>
      <c r="L123" s="47" t="e">
        <f ca="1"/>
        <v>#NAME?</v>
      </c>
      <c r="M123" s="47" t="e">
        <f ca="1"/>
        <v>#NAME?</v>
      </c>
      <c r="N123" s="47"/>
    </row>
    <row r="124" spans="1:14" ht="14.25" customHeight="1">
      <c r="A124" s="26">
        <v>13</v>
      </c>
      <c r="B124" s="47"/>
      <c r="C124" s="30" t="s">
        <v>4309</v>
      </c>
      <c r="D124" s="57" t="e">
        <f ca="1"/>
        <v>#NAME?</v>
      </c>
      <c r="E124" s="57" t="e">
        <f ca="1"/>
        <v>#NAME?</v>
      </c>
      <c r="F124" s="26" t="e">
        <f ca="1"/>
        <v>#NAME?</v>
      </c>
      <c r="G124" s="26" t="e">
        <f ca="1"/>
        <v>#NAME?</v>
      </c>
      <c r="H124" s="81" t="e">
        <f ca="1"/>
        <v>#NAME?</v>
      </c>
      <c r="I124" s="51" t="e">
        <f ca="1"/>
        <v>#NAME?</v>
      </c>
      <c r="J124" s="51" t="e">
        <f ca="1"/>
        <v>#NAME?</v>
      </c>
      <c r="K124" s="47" t="e">
        <f ca="1"/>
        <v>#NAME?</v>
      </c>
      <c r="L124" s="47" t="e">
        <f ca="1"/>
        <v>#NAME?</v>
      </c>
      <c r="M124" s="47" t="e">
        <f ca="1"/>
        <v>#NAME?</v>
      </c>
      <c r="N124" s="47"/>
    </row>
    <row r="125" spans="1:14" ht="14.25" customHeight="1">
      <c r="A125" s="26">
        <v>14</v>
      </c>
      <c r="B125" s="47"/>
      <c r="C125" s="30" t="s">
        <v>4319</v>
      </c>
      <c r="D125" s="57" t="e">
        <f ca="1"/>
        <v>#NAME?</v>
      </c>
      <c r="E125" s="57" t="e">
        <f ca="1"/>
        <v>#NAME?</v>
      </c>
      <c r="F125" s="26" t="e">
        <f ca="1"/>
        <v>#NAME?</v>
      </c>
      <c r="G125" s="26" t="e">
        <f ca="1"/>
        <v>#NAME?</v>
      </c>
      <c r="H125" s="81" t="e">
        <f ca="1"/>
        <v>#NAME?</v>
      </c>
      <c r="I125" s="51" t="e">
        <f ca="1"/>
        <v>#NAME?</v>
      </c>
      <c r="J125" s="51" t="e">
        <f ca="1"/>
        <v>#NAME?</v>
      </c>
      <c r="K125" s="47" t="e">
        <f ca="1"/>
        <v>#NAME?</v>
      </c>
      <c r="L125" s="47" t="e">
        <f ca="1"/>
        <v>#NAME?</v>
      </c>
      <c r="M125" s="47" t="e">
        <f ca="1"/>
        <v>#NAME?</v>
      </c>
      <c r="N125" s="47"/>
    </row>
    <row r="126" spans="1:14" ht="14.25" customHeight="1">
      <c r="A126" s="26">
        <v>15</v>
      </c>
      <c r="B126" s="47"/>
      <c r="C126" s="30" t="s">
        <v>4329</v>
      </c>
      <c r="D126" s="57" t="e">
        <f ca="1"/>
        <v>#NAME?</v>
      </c>
      <c r="E126" s="57" t="e">
        <f ca="1"/>
        <v>#NAME?</v>
      </c>
      <c r="F126" s="26" t="e">
        <f ca="1"/>
        <v>#NAME?</v>
      </c>
      <c r="G126" s="26" t="e">
        <f ca="1"/>
        <v>#NAME?</v>
      </c>
      <c r="H126" s="81" t="e">
        <f ca="1"/>
        <v>#NAME?</v>
      </c>
      <c r="I126" s="51" t="e">
        <f ca="1"/>
        <v>#NAME?</v>
      </c>
      <c r="J126" s="51" t="e">
        <f ca="1"/>
        <v>#NAME?</v>
      </c>
      <c r="K126" s="47" t="e">
        <f ca="1"/>
        <v>#NAME?</v>
      </c>
      <c r="L126" s="47" t="e">
        <f ca="1"/>
        <v>#NAME?</v>
      </c>
      <c r="M126" s="47" t="e">
        <f ca="1"/>
        <v>#NAME?</v>
      </c>
      <c r="N126" s="47"/>
    </row>
    <row r="127" spans="1:14" ht="14.25" customHeight="1">
      <c r="A127" s="26">
        <v>16</v>
      </c>
      <c r="B127" s="78"/>
      <c r="C127" s="30" t="s">
        <v>4339</v>
      </c>
      <c r="D127" s="57" t="e">
        <f ca="1"/>
        <v>#NAME?</v>
      </c>
      <c r="E127" s="57" t="e">
        <f ca="1"/>
        <v>#NAME?</v>
      </c>
      <c r="F127" s="26" t="e">
        <f ca="1"/>
        <v>#NAME?</v>
      </c>
      <c r="G127" s="26" t="e">
        <f ca="1"/>
        <v>#NAME?</v>
      </c>
      <c r="H127" s="81" t="e">
        <f ca="1"/>
        <v>#NAME?</v>
      </c>
      <c r="I127" s="51" t="e">
        <f ca="1"/>
        <v>#NAME?</v>
      </c>
      <c r="J127" s="51" t="e">
        <f ca="1"/>
        <v>#NAME?</v>
      </c>
      <c r="K127" s="47" t="e">
        <f ca="1"/>
        <v>#NAME?</v>
      </c>
      <c r="L127" s="47" t="e">
        <f ca="1"/>
        <v>#NAME?</v>
      </c>
      <c r="M127" s="47" t="e">
        <f ca="1"/>
        <v>#NAME?</v>
      </c>
      <c r="N127" s="47"/>
    </row>
    <row r="128" spans="1:14" ht="14.25" customHeight="1">
      <c r="A128" s="40">
        <v>1</v>
      </c>
      <c r="B128" s="47"/>
      <c r="C128" s="58" t="s">
        <v>4349</v>
      </c>
      <c r="D128" s="45" t="e">
        <f ca="1"/>
        <v>#NAME?</v>
      </c>
      <c r="E128" s="45" t="e">
        <f ca="1"/>
        <v>#NAME?</v>
      </c>
      <c r="F128" s="40" t="e">
        <f ca="1"/>
        <v>#NAME?</v>
      </c>
      <c r="G128" s="40" t="e">
        <f ca="1"/>
        <v>#NAME?</v>
      </c>
      <c r="H128" s="82" t="e">
        <f ca="1"/>
        <v>#NAME?</v>
      </c>
      <c r="I128" s="44" t="e">
        <f ca="1"/>
        <v>#NAME?</v>
      </c>
      <c r="J128" s="44" t="e">
        <f ca="1"/>
        <v>#NAME?</v>
      </c>
      <c r="K128" s="41" t="e">
        <f ca="1"/>
        <v>#NAME?</v>
      </c>
      <c r="L128" s="41" t="e">
        <f ca="1"/>
        <v>#NAME?</v>
      </c>
      <c r="M128" s="41" t="e">
        <f ca="1"/>
        <v>#NAME?</v>
      </c>
      <c r="N128" s="41">
        <v>9</v>
      </c>
    </row>
    <row r="129" spans="1:14" ht="14.25" customHeight="1">
      <c r="A129" s="26">
        <v>2</v>
      </c>
      <c r="B129" s="47"/>
      <c r="C129" s="30" t="s">
        <v>4359</v>
      </c>
      <c r="D129" s="57" t="e">
        <f ca="1"/>
        <v>#NAME?</v>
      </c>
      <c r="E129" s="57" t="e">
        <f ca="1"/>
        <v>#NAME?</v>
      </c>
      <c r="F129" s="26" t="e">
        <f ca="1"/>
        <v>#NAME?</v>
      </c>
      <c r="G129" s="26" t="e">
        <f ca="1"/>
        <v>#NAME?</v>
      </c>
      <c r="H129" s="81" t="e">
        <f ca="1"/>
        <v>#NAME?</v>
      </c>
      <c r="I129" s="51" t="e">
        <f ca="1"/>
        <v>#NAME?</v>
      </c>
      <c r="J129" s="51" t="e">
        <f ca="1"/>
        <v>#NAME?</v>
      </c>
      <c r="K129" s="47" t="e">
        <f ca="1"/>
        <v>#NAME?</v>
      </c>
      <c r="L129" s="47" t="e">
        <f ca="1"/>
        <v>#NAME?</v>
      </c>
      <c r="M129" s="47" t="e">
        <f ca="1"/>
        <v>#NAME?</v>
      </c>
      <c r="N129" s="47"/>
    </row>
    <row r="130" spans="1:14" ht="14.25" customHeight="1">
      <c r="A130" s="26">
        <v>3</v>
      </c>
      <c r="B130" s="78"/>
      <c r="C130" s="30" t="s">
        <v>4370</v>
      </c>
      <c r="D130" s="56" t="e">
        <f ca="1"/>
        <v>#NAME?</v>
      </c>
      <c r="E130" s="56" t="e">
        <f ca="1"/>
        <v>#NAME?</v>
      </c>
      <c r="F130" s="26" t="e">
        <f ca="1"/>
        <v>#NAME?</v>
      </c>
      <c r="G130" s="26" t="e">
        <f ca="1"/>
        <v>#NAME?</v>
      </c>
      <c r="H130" s="81" t="e">
        <f ca="1"/>
        <v>#NAME?</v>
      </c>
      <c r="I130" s="51" t="e">
        <f ca="1"/>
        <v>#NAME?</v>
      </c>
      <c r="J130" s="51" t="e">
        <f ca="1"/>
        <v>#NAME?</v>
      </c>
      <c r="K130" s="47" t="e">
        <f ca="1"/>
        <v>#NAME?</v>
      </c>
      <c r="L130" s="47" t="e">
        <f ca="1"/>
        <v>#NAME?</v>
      </c>
      <c r="M130" s="47" t="e">
        <f ca="1"/>
        <v>#NAME?</v>
      </c>
      <c r="N130" s="47"/>
    </row>
    <row r="131" spans="1:14" ht="14.25" customHeight="1">
      <c r="A131" s="26">
        <v>4</v>
      </c>
      <c r="B131" s="78"/>
      <c r="C131" s="55" t="s">
        <v>4380</v>
      </c>
      <c r="D131" s="56" t="e">
        <f ca="1"/>
        <v>#NAME?</v>
      </c>
      <c r="E131" s="56" t="e">
        <f ca="1"/>
        <v>#NAME?</v>
      </c>
      <c r="F131" s="47" t="e">
        <f ca="1"/>
        <v>#NAME?</v>
      </c>
      <c r="G131" s="47" t="e">
        <f ca="1"/>
        <v>#NAME?</v>
      </c>
      <c r="H131" s="79" t="e">
        <f ca="1"/>
        <v>#NAME?</v>
      </c>
      <c r="I131" s="80" t="e">
        <f ca="1"/>
        <v>#NAME?</v>
      </c>
      <c r="J131" s="51" t="e">
        <f ca="1"/>
        <v>#NAME?</v>
      </c>
      <c r="K131" s="47" t="e">
        <f ca="1"/>
        <v>#NAME?</v>
      </c>
      <c r="L131" s="47" t="e">
        <f ca="1"/>
        <v>#NAME?</v>
      </c>
      <c r="M131" s="47" t="e">
        <f ca="1"/>
        <v>#NAME?</v>
      </c>
      <c r="N131" s="47"/>
    </row>
    <row r="132" spans="1:14" ht="14.25" customHeight="1">
      <c r="A132" s="26">
        <v>5</v>
      </c>
      <c r="B132" s="47"/>
      <c r="C132" s="30" t="s">
        <v>4389</v>
      </c>
      <c r="D132" s="56" t="e">
        <f ca="1"/>
        <v>#NAME?</v>
      </c>
      <c r="E132" s="56" t="e">
        <f ca="1"/>
        <v>#NAME?</v>
      </c>
      <c r="F132" s="26" t="e">
        <f ca="1"/>
        <v>#NAME?</v>
      </c>
      <c r="G132" s="26" t="e">
        <f ca="1"/>
        <v>#NAME?</v>
      </c>
      <c r="H132" s="81" t="e">
        <f ca="1"/>
        <v>#NAME?</v>
      </c>
      <c r="I132" s="51" t="e">
        <f ca="1"/>
        <v>#NAME?</v>
      </c>
      <c r="J132" s="51" t="e">
        <f ca="1"/>
        <v>#NAME?</v>
      </c>
      <c r="K132" s="47" t="e">
        <f ca="1"/>
        <v>#NAME?</v>
      </c>
      <c r="L132" s="47" t="e">
        <f ca="1"/>
        <v>#NAME?</v>
      </c>
      <c r="M132" s="47" t="e">
        <f ca="1"/>
        <v>#NAME?</v>
      </c>
      <c r="N132" s="47"/>
    </row>
    <row r="133" spans="1:14" ht="14.25" customHeight="1">
      <c r="A133" s="26">
        <v>6</v>
      </c>
      <c r="B133" s="78"/>
      <c r="C133" s="30" t="s">
        <v>4400</v>
      </c>
      <c r="D133" s="56" t="e">
        <f ca="1"/>
        <v>#NAME?</v>
      </c>
      <c r="E133" s="56" t="e">
        <f ca="1"/>
        <v>#NAME?</v>
      </c>
      <c r="F133" s="26" t="e">
        <f ca="1"/>
        <v>#NAME?</v>
      </c>
      <c r="G133" s="26" t="e">
        <f ca="1"/>
        <v>#NAME?</v>
      </c>
      <c r="H133" s="81" t="e">
        <f ca="1"/>
        <v>#NAME?</v>
      </c>
      <c r="I133" s="51" t="e">
        <f ca="1"/>
        <v>#NAME?</v>
      </c>
      <c r="J133" s="51" t="e">
        <f ca="1"/>
        <v>#NAME?</v>
      </c>
      <c r="K133" s="47" t="e">
        <f ca="1"/>
        <v>#NAME?</v>
      </c>
      <c r="L133" s="47" t="e">
        <f ca="1"/>
        <v>#NAME?</v>
      </c>
      <c r="M133" s="47" t="e">
        <f ca="1"/>
        <v>#NAME?</v>
      </c>
      <c r="N133" s="47"/>
    </row>
    <row r="134" spans="1:14" ht="14.25" customHeight="1">
      <c r="A134" s="26">
        <v>7</v>
      </c>
      <c r="B134" s="47"/>
      <c r="C134" s="30" t="s">
        <v>4410</v>
      </c>
      <c r="D134" s="56" t="e">
        <f ca="1"/>
        <v>#NAME?</v>
      </c>
      <c r="E134" s="56" t="e">
        <f ca="1"/>
        <v>#NAME?</v>
      </c>
      <c r="F134" s="26" t="e">
        <f ca="1"/>
        <v>#NAME?</v>
      </c>
      <c r="G134" s="26" t="e">
        <f ca="1"/>
        <v>#NAME?</v>
      </c>
      <c r="H134" s="81" t="e">
        <f ca="1"/>
        <v>#NAME?</v>
      </c>
      <c r="I134" s="51" t="e">
        <f ca="1"/>
        <v>#NAME?</v>
      </c>
      <c r="J134" s="51" t="e">
        <f ca="1"/>
        <v>#NAME?</v>
      </c>
      <c r="K134" s="47" t="e">
        <f ca="1"/>
        <v>#NAME?</v>
      </c>
      <c r="L134" s="47" t="e">
        <f ca="1"/>
        <v>#NAME?</v>
      </c>
      <c r="M134" s="47" t="e">
        <f ca="1"/>
        <v>#NAME?</v>
      </c>
      <c r="N134" s="47"/>
    </row>
    <row r="135" spans="1:14" ht="14.25" customHeight="1">
      <c r="A135" s="26">
        <v>8</v>
      </c>
      <c r="B135" s="78"/>
      <c r="C135" s="30" t="s">
        <v>4420</v>
      </c>
      <c r="D135" s="56" t="e">
        <f ca="1"/>
        <v>#NAME?</v>
      </c>
      <c r="E135" s="56" t="e">
        <f ca="1"/>
        <v>#NAME?</v>
      </c>
      <c r="F135" s="26" t="e">
        <f ca="1"/>
        <v>#NAME?</v>
      </c>
      <c r="G135" s="26" t="e">
        <f ca="1"/>
        <v>#NAME?</v>
      </c>
      <c r="H135" s="81" t="e">
        <f ca="1"/>
        <v>#NAME?</v>
      </c>
      <c r="I135" s="51" t="e">
        <f ca="1"/>
        <v>#NAME?</v>
      </c>
      <c r="J135" s="51" t="e">
        <f ca="1"/>
        <v>#NAME?</v>
      </c>
      <c r="K135" s="47" t="e">
        <f ca="1"/>
        <v>#NAME?</v>
      </c>
      <c r="L135" s="47" t="e">
        <f ca="1"/>
        <v>#NAME?</v>
      </c>
      <c r="M135" s="47" t="e">
        <f ca="1"/>
        <v>#NAME?</v>
      </c>
      <c r="N135" s="47"/>
    </row>
    <row r="136" spans="1:14" ht="14.25" customHeight="1">
      <c r="A136" s="26">
        <v>9</v>
      </c>
      <c r="B136" s="47"/>
      <c r="C136" s="30" t="s">
        <v>4430</v>
      </c>
      <c r="D136" s="56" t="e">
        <f ca="1"/>
        <v>#NAME?</v>
      </c>
      <c r="E136" s="56" t="e">
        <f ca="1"/>
        <v>#NAME?</v>
      </c>
      <c r="F136" s="26" t="e">
        <f ca="1"/>
        <v>#NAME?</v>
      </c>
      <c r="G136" s="26" t="e">
        <f ca="1"/>
        <v>#NAME?</v>
      </c>
      <c r="H136" s="81" t="e">
        <f ca="1"/>
        <v>#NAME?</v>
      </c>
      <c r="I136" s="51" t="e">
        <f ca="1"/>
        <v>#NAME?</v>
      </c>
      <c r="J136" s="51" t="e">
        <f ca="1"/>
        <v>#NAME?</v>
      </c>
      <c r="K136" s="47" t="e">
        <f ca="1"/>
        <v>#NAME?</v>
      </c>
      <c r="L136" s="47" t="e">
        <f ca="1"/>
        <v>#NAME?</v>
      </c>
      <c r="M136" s="47" t="e">
        <f ca="1"/>
        <v>#NAME?</v>
      </c>
      <c r="N136" s="47"/>
    </row>
    <row r="137" spans="1:14" ht="14.25" customHeight="1">
      <c r="A137" s="26">
        <v>10</v>
      </c>
      <c r="B137" s="47"/>
      <c r="C137" s="30" t="s">
        <v>4440</v>
      </c>
      <c r="D137" s="56" t="e">
        <f ca="1"/>
        <v>#NAME?</v>
      </c>
      <c r="E137" s="56" t="e">
        <f ca="1"/>
        <v>#NAME?</v>
      </c>
      <c r="F137" s="26" t="e">
        <f ca="1"/>
        <v>#NAME?</v>
      </c>
      <c r="G137" s="26" t="e">
        <f ca="1"/>
        <v>#NAME?</v>
      </c>
      <c r="H137" s="86" t="e">
        <f ca="1"/>
        <v>#NAME?</v>
      </c>
      <c r="I137" s="51" t="e">
        <f ca="1"/>
        <v>#NAME?</v>
      </c>
      <c r="J137" s="51" t="e">
        <f ca="1"/>
        <v>#NAME?</v>
      </c>
      <c r="K137" s="47" t="e">
        <f ca="1"/>
        <v>#NAME?</v>
      </c>
      <c r="L137" s="47" t="e">
        <f ca="1"/>
        <v>#NAME?</v>
      </c>
      <c r="M137" s="47" t="e">
        <f ca="1"/>
        <v>#NAME?</v>
      </c>
      <c r="N137" s="47"/>
    </row>
    <row r="138" spans="1:14" ht="14.25" customHeight="1">
      <c r="A138" s="26">
        <v>11</v>
      </c>
      <c r="B138" s="78"/>
      <c r="C138" s="30" t="s">
        <v>4450</v>
      </c>
      <c r="D138" s="56" t="e">
        <f ca="1"/>
        <v>#NAME?</v>
      </c>
      <c r="E138" s="56" t="e">
        <f ca="1"/>
        <v>#NAME?</v>
      </c>
      <c r="F138" s="26" t="e">
        <f ca="1"/>
        <v>#NAME?</v>
      </c>
      <c r="G138" s="26" t="e">
        <f ca="1"/>
        <v>#NAME?</v>
      </c>
      <c r="H138" s="81" t="e">
        <f ca="1"/>
        <v>#NAME?</v>
      </c>
      <c r="I138" s="51" t="e">
        <f ca="1"/>
        <v>#NAME?</v>
      </c>
      <c r="J138" s="51" t="e">
        <f ca="1"/>
        <v>#NAME?</v>
      </c>
      <c r="K138" s="47" t="e">
        <f ca="1"/>
        <v>#NAME?</v>
      </c>
      <c r="L138" s="47" t="e">
        <f ca="1"/>
        <v>#NAME?</v>
      </c>
      <c r="M138" s="47" t="e">
        <f ca="1"/>
        <v>#NAME?</v>
      </c>
      <c r="N138" s="47"/>
    </row>
    <row r="139" spans="1:14" ht="14.25" customHeight="1">
      <c r="A139" s="26">
        <v>12</v>
      </c>
      <c r="B139" s="78"/>
      <c r="C139" s="30" t="s">
        <v>4460</v>
      </c>
      <c r="D139" s="56" t="e">
        <f ca="1"/>
        <v>#NAME?</v>
      </c>
      <c r="E139" s="56" t="e">
        <f ca="1"/>
        <v>#NAME?</v>
      </c>
      <c r="F139" s="26" t="e">
        <f ca="1"/>
        <v>#NAME?</v>
      </c>
      <c r="G139" s="26" t="e">
        <f ca="1"/>
        <v>#NAME?</v>
      </c>
      <c r="H139" s="81" t="e">
        <f ca="1"/>
        <v>#NAME?</v>
      </c>
      <c r="I139" s="51" t="e">
        <f ca="1"/>
        <v>#NAME?</v>
      </c>
      <c r="J139" s="51" t="e">
        <f ca="1"/>
        <v>#NAME?</v>
      </c>
      <c r="K139" s="47" t="e">
        <f ca="1"/>
        <v>#NAME?</v>
      </c>
      <c r="L139" s="47" t="e">
        <f ca="1"/>
        <v>#NAME?</v>
      </c>
      <c r="M139" s="47" t="e">
        <f ca="1"/>
        <v>#NAME?</v>
      </c>
      <c r="N139" s="47"/>
    </row>
    <row r="140" spans="1:14" ht="14.25" customHeight="1">
      <c r="A140" s="26">
        <v>13</v>
      </c>
      <c r="B140" s="78"/>
      <c r="C140" s="30" t="s">
        <v>4470</v>
      </c>
      <c r="D140" s="56" t="e">
        <f ca="1"/>
        <v>#NAME?</v>
      </c>
      <c r="E140" s="56" t="e">
        <f ca="1"/>
        <v>#NAME?</v>
      </c>
      <c r="F140" s="26" t="e">
        <f ca="1"/>
        <v>#NAME?</v>
      </c>
      <c r="G140" s="26" t="e">
        <f ca="1"/>
        <v>#NAME?</v>
      </c>
      <c r="H140" s="81" t="e">
        <f ca="1"/>
        <v>#NAME?</v>
      </c>
      <c r="I140" s="51" t="e">
        <f ca="1"/>
        <v>#NAME?</v>
      </c>
      <c r="J140" s="51" t="e">
        <f ca="1"/>
        <v>#NAME?</v>
      </c>
      <c r="K140" s="47" t="e">
        <f ca="1"/>
        <v>#NAME?</v>
      </c>
      <c r="L140" s="47" t="e">
        <f ca="1"/>
        <v>#NAME?</v>
      </c>
      <c r="M140" s="47" t="e">
        <f ca="1"/>
        <v>#NAME?</v>
      </c>
      <c r="N140" s="47"/>
    </row>
    <row r="141" spans="1:14" ht="14.25" customHeight="1">
      <c r="A141" s="40">
        <v>1</v>
      </c>
      <c r="B141" s="78"/>
      <c r="C141" s="58" t="s">
        <v>4480</v>
      </c>
      <c r="D141" s="45" t="e">
        <f ca="1"/>
        <v>#NAME?</v>
      </c>
      <c r="E141" s="45" t="e">
        <f ca="1"/>
        <v>#NAME?</v>
      </c>
      <c r="F141" s="40" t="e">
        <f ca="1"/>
        <v>#NAME?</v>
      </c>
      <c r="G141" s="40" t="e">
        <f ca="1"/>
        <v>#NAME?</v>
      </c>
      <c r="H141" s="82" t="e">
        <f ca="1"/>
        <v>#NAME?</v>
      </c>
      <c r="I141" s="44" t="e">
        <f ca="1"/>
        <v>#NAME?</v>
      </c>
      <c r="J141" s="44" t="e">
        <f ca="1"/>
        <v>#NAME?</v>
      </c>
      <c r="K141" s="41" t="e">
        <f ca="1"/>
        <v>#NAME?</v>
      </c>
      <c r="L141" s="41" t="e">
        <f ca="1"/>
        <v>#NAME?</v>
      </c>
      <c r="M141" s="41" t="e">
        <f ca="1"/>
        <v>#NAME?</v>
      </c>
      <c r="N141" s="41">
        <v>10</v>
      </c>
    </row>
    <row r="142" spans="1:14" ht="14.25" customHeight="1">
      <c r="A142" s="26">
        <v>2</v>
      </c>
      <c r="B142" s="78"/>
      <c r="C142" s="55" t="s">
        <v>4490</v>
      </c>
      <c r="D142" s="56" t="e">
        <f ca="1"/>
        <v>#NAME?</v>
      </c>
      <c r="E142" s="56" t="e">
        <f ca="1"/>
        <v>#NAME?</v>
      </c>
      <c r="F142" s="47" t="e">
        <f ca="1"/>
        <v>#NAME?</v>
      </c>
      <c r="G142" s="47" t="e">
        <f ca="1"/>
        <v>#NAME?</v>
      </c>
      <c r="H142" s="79" t="e">
        <f ca="1"/>
        <v>#NAME?</v>
      </c>
      <c r="I142" s="80" t="e">
        <f ca="1"/>
        <v>#NAME?</v>
      </c>
      <c r="J142" s="51" t="e">
        <f ca="1"/>
        <v>#NAME?</v>
      </c>
      <c r="K142" s="47" t="e">
        <f ca="1"/>
        <v>#NAME?</v>
      </c>
      <c r="L142" s="47" t="e">
        <f ca="1"/>
        <v>#NAME?</v>
      </c>
      <c r="M142" s="47" t="e">
        <f ca="1"/>
        <v>#NAME?</v>
      </c>
      <c r="N142" s="47"/>
    </row>
    <row r="143" spans="1:14" ht="14.25" customHeight="1">
      <c r="A143" s="26">
        <v>3</v>
      </c>
      <c r="B143" s="47"/>
      <c r="C143" s="30" t="s">
        <v>4501</v>
      </c>
      <c r="D143" s="56" t="e">
        <f ca="1"/>
        <v>#NAME?</v>
      </c>
      <c r="E143" s="56" t="e">
        <f ca="1"/>
        <v>#NAME?</v>
      </c>
      <c r="F143" s="26" t="e">
        <f ca="1"/>
        <v>#NAME?</v>
      </c>
      <c r="G143" s="26" t="e">
        <f ca="1"/>
        <v>#NAME?</v>
      </c>
      <c r="H143" s="81" t="e">
        <f ca="1"/>
        <v>#NAME?</v>
      </c>
      <c r="I143" s="51" t="e">
        <f ca="1"/>
        <v>#NAME?</v>
      </c>
      <c r="J143" s="51" t="e">
        <f ca="1"/>
        <v>#NAME?</v>
      </c>
      <c r="K143" s="47" t="e">
        <f ca="1"/>
        <v>#NAME?</v>
      </c>
      <c r="L143" s="47" t="e">
        <f ca="1"/>
        <v>#NAME?</v>
      </c>
      <c r="M143" s="47" t="e">
        <f ca="1"/>
        <v>#NAME?</v>
      </c>
      <c r="N143" s="47"/>
    </row>
    <row r="144" spans="1:14" ht="14.25" customHeight="1">
      <c r="A144" s="26">
        <v>4</v>
      </c>
      <c r="B144" s="78"/>
      <c r="C144" s="30" t="s">
        <v>4511</v>
      </c>
      <c r="D144" s="56" t="e">
        <f ca="1"/>
        <v>#NAME?</v>
      </c>
      <c r="E144" s="56" t="e">
        <f ca="1"/>
        <v>#NAME?</v>
      </c>
      <c r="F144" s="26" t="e">
        <f ca="1"/>
        <v>#NAME?</v>
      </c>
      <c r="G144" s="26" t="e">
        <f ca="1"/>
        <v>#NAME?</v>
      </c>
      <c r="H144" s="81" t="e">
        <f ca="1"/>
        <v>#NAME?</v>
      </c>
      <c r="I144" s="51" t="e">
        <f ca="1"/>
        <v>#NAME?</v>
      </c>
      <c r="J144" s="51" t="e">
        <f ca="1"/>
        <v>#NAME?</v>
      </c>
      <c r="K144" s="47" t="e">
        <f ca="1"/>
        <v>#NAME?</v>
      </c>
      <c r="L144" s="47" t="e">
        <f ca="1"/>
        <v>#NAME?</v>
      </c>
      <c r="M144" s="47" t="e">
        <f ca="1"/>
        <v>#NAME?</v>
      </c>
      <c r="N144" s="47"/>
    </row>
    <row r="145" spans="1:14" ht="14.25" customHeight="1">
      <c r="A145" s="26">
        <v>5</v>
      </c>
      <c r="B145" s="78"/>
      <c r="C145" s="30" t="s">
        <v>4520</v>
      </c>
      <c r="D145" s="56" t="e">
        <f ca="1"/>
        <v>#NAME?</v>
      </c>
      <c r="E145" s="56" t="e">
        <f ca="1"/>
        <v>#NAME?</v>
      </c>
      <c r="F145" s="26" t="e">
        <f ca="1"/>
        <v>#NAME?</v>
      </c>
      <c r="G145" s="26" t="e">
        <f ca="1"/>
        <v>#NAME?</v>
      </c>
      <c r="H145" s="86" t="e">
        <f ca="1"/>
        <v>#NAME?</v>
      </c>
      <c r="I145" s="63" t="e">
        <f ca="1"/>
        <v>#NAME?</v>
      </c>
      <c r="J145" s="51" t="e">
        <f ca="1"/>
        <v>#NAME?</v>
      </c>
      <c r="K145" s="47" t="e">
        <f ca="1"/>
        <v>#NAME?</v>
      </c>
      <c r="L145" s="47" t="e">
        <f ca="1"/>
        <v>#NAME?</v>
      </c>
      <c r="M145" s="47" t="e">
        <f ca="1"/>
        <v>#NAME?</v>
      </c>
      <c r="N145" s="47"/>
    </row>
    <row r="146" spans="1:14" ht="14.25" customHeight="1">
      <c r="A146" s="26">
        <v>6</v>
      </c>
      <c r="B146" s="47"/>
      <c r="C146" s="30" t="s">
        <v>4529</v>
      </c>
      <c r="D146" s="56" t="e">
        <f ca="1"/>
        <v>#NAME?</v>
      </c>
      <c r="E146" s="56" t="e">
        <f ca="1"/>
        <v>#NAME?</v>
      </c>
      <c r="F146" s="26" t="e">
        <f ca="1"/>
        <v>#NAME?</v>
      </c>
      <c r="G146" s="26" t="e">
        <f ca="1"/>
        <v>#NAME?</v>
      </c>
      <c r="H146" s="81" t="e">
        <f ca="1"/>
        <v>#NAME?</v>
      </c>
      <c r="I146" s="51" t="e">
        <f ca="1"/>
        <v>#NAME?</v>
      </c>
      <c r="J146" s="51" t="e">
        <f ca="1"/>
        <v>#NAME?</v>
      </c>
      <c r="K146" s="47" t="e">
        <f ca="1"/>
        <v>#NAME?</v>
      </c>
      <c r="L146" s="47" t="e">
        <f ca="1"/>
        <v>#NAME?</v>
      </c>
      <c r="M146" s="47" t="e">
        <f ca="1"/>
        <v>#NAME?</v>
      </c>
      <c r="N146" s="47"/>
    </row>
    <row r="147" spans="1:14" ht="14.25" customHeight="1">
      <c r="A147" s="26">
        <v>7</v>
      </c>
      <c r="B147" s="78"/>
      <c r="C147" s="30" t="s">
        <v>4539</v>
      </c>
      <c r="D147" s="56" t="e">
        <f ca="1"/>
        <v>#NAME?</v>
      </c>
      <c r="E147" s="56" t="e">
        <f ca="1"/>
        <v>#NAME?</v>
      </c>
      <c r="F147" s="26" t="e">
        <f ca="1"/>
        <v>#NAME?</v>
      </c>
      <c r="G147" s="26" t="e">
        <f ca="1"/>
        <v>#NAME?</v>
      </c>
      <c r="H147" s="81" t="e">
        <f ca="1"/>
        <v>#NAME?</v>
      </c>
      <c r="I147" s="51" t="e">
        <f ca="1"/>
        <v>#NAME?</v>
      </c>
      <c r="J147" s="51" t="e">
        <f ca="1"/>
        <v>#NAME?</v>
      </c>
      <c r="K147" s="47" t="e">
        <f ca="1"/>
        <v>#NAME?</v>
      </c>
      <c r="L147" s="47" t="e">
        <f ca="1"/>
        <v>#NAME?</v>
      </c>
      <c r="M147" s="47" t="e">
        <f ca="1"/>
        <v>#NAME?</v>
      </c>
      <c r="N147" s="47"/>
    </row>
    <row r="148" spans="1:14" ht="14.25" customHeight="1">
      <c r="A148" s="26">
        <v>8</v>
      </c>
      <c r="B148" s="78"/>
      <c r="C148" s="30" t="s">
        <v>4548</v>
      </c>
      <c r="D148" s="56" t="e">
        <f ca="1"/>
        <v>#NAME?</v>
      </c>
      <c r="E148" s="56" t="e">
        <f ca="1"/>
        <v>#NAME?</v>
      </c>
      <c r="F148" s="26" t="e">
        <f ca="1"/>
        <v>#NAME?</v>
      </c>
      <c r="G148" s="26" t="e">
        <f ca="1"/>
        <v>#NAME?</v>
      </c>
      <c r="H148" s="81" t="e">
        <f ca="1"/>
        <v>#NAME?</v>
      </c>
      <c r="I148" s="51" t="e">
        <f ca="1"/>
        <v>#NAME?</v>
      </c>
      <c r="J148" s="51" t="e">
        <f ca="1"/>
        <v>#NAME?</v>
      </c>
      <c r="K148" s="47" t="e">
        <f ca="1"/>
        <v>#NAME?</v>
      </c>
      <c r="L148" s="47" t="e">
        <f ca="1"/>
        <v>#NAME?</v>
      </c>
      <c r="M148" s="47" t="e">
        <f ca="1"/>
        <v>#NAME?</v>
      </c>
      <c r="N148" s="47"/>
    </row>
    <row r="149" spans="1:14" ht="14.25" customHeight="1">
      <c r="A149" s="26">
        <v>9</v>
      </c>
      <c r="B149" s="47"/>
      <c r="C149" s="30" t="s">
        <v>4558</v>
      </c>
      <c r="D149" s="56" t="e">
        <f ca="1"/>
        <v>#NAME?</v>
      </c>
      <c r="E149" s="56" t="e">
        <f ca="1"/>
        <v>#NAME?</v>
      </c>
      <c r="F149" s="26" t="e">
        <f ca="1"/>
        <v>#NAME?</v>
      </c>
      <c r="G149" s="26" t="e">
        <f ca="1"/>
        <v>#NAME?</v>
      </c>
      <c r="H149" s="81" t="e">
        <f ca="1"/>
        <v>#NAME?</v>
      </c>
      <c r="I149" s="51" t="e">
        <f ca="1"/>
        <v>#NAME?</v>
      </c>
      <c r="J149" s="51" t="e">
        <f ca="1"/>
        <v>#NAME?</v>
      </c>
      <c r="K149" s="47" t="e">
        <f ca="1"/>
        <v>#NAME?</v>
      </c>
      <c r="L149" s="47" t="e">
        <f ca="1"/>
        <v>#NAME?</v>
      </c>
      <c r="M149" s="47" t="e">
        <f ca="1"/>
        <v>#NAME?</v>
      </c>
      <c r="N149" s="47"/>
    </row>
    <row r="150" spans="1:14" ht="14.25" customHeight="1">
      <c r="A150" s="26">
        <v>10</v>
      </c>
      <c r="B150" s="78"/>
      <c r="C150" s="30" t="s">
        <v>4568</v>
      </c>
      <c r="D150" s="56" t="e">
        <f ca="1"/>
        <v>#NAME?</v>
      </c>
      <c r="E150" s="56" t="e">
        <f ca="1"/>
        <v>#NAME?</v>
      </c>
      <c r="F150" s="26" t="e">
        <f ca="1"/>
        <v>#NAME?</v>
      </c>
      <c r="G150" s="26" t="e">
        <f ca="1"/>
        <v>#NAME?</v>
      </c>
      <c r="H150" s="81" t="e">
        <f ca="1"/>
        <v>#NAME?</v>
      </c>
      <c r="I150" s="51" t="e">
        <f ca="1"/>
        <v>#NAME?</v>
      </c>
      <c r="J150" s="51" t="e">
        <f ca="1"/>
        <v>#NAME?</v>
      </c>
      <c r="K150" s="47" t="e">
        <f ca="1"/>
        <v>#NAME?</v>
      </c>
      <c r="L150" s="47" t="e">
        <f ca="1"/>
        <v>#NAME?</v>
      </c>
      <c r="M150" s="47" t="e">
        <f ca="1"/>
        <v>#NAME?</v>
      </c>
      <c r="N150" s="47"/>
    </row>
    <row r="151" spans="1:14" ht="14.25" customHeight="1">
      <c r="A151" s="26">
        <v>11</v>
      </c>
      <c r="B151" s="47"/>
      <c r="C151" s="55" t="s">
        <v>3300</v>
      </c>
      <c r="D151" s="56" t="e">
        <f ca="1"/>
        <v>#NAME?</v>
      </c>
      <c r="E151" s="56" t="e">
        <f ca="1"/>
        <v>#NAME?</v>
      </c>
      <c r="F151" s="47" t="e">
        <f ca="1"/>
        <v>#NAME?</v>
      </c>
      <c r="G151" s="47" t="e">
        <f ca="1"/>
        <v>#NAME?</v>
      </c>
      <c r="H151" s="80" t="e">
        <f ca="1"/>
        <v>#NAME?</v>
      </c>
      <c r="I151" s="63" t="e">
        <f ca="1"/>
        <v>#NAME?</v>
      </c>
      <c r="J151" s="63" t="e">
        <f ca="1"/>
        <v>#NAME?</v>
      </c>
      <c r="K151" s="47" t="e">
        <f ca="1"/>
        <v>#NAME?</v>
      </c>
      <c r="L151" s="47" t="e">
        <f ca="1"/>
        <v>#NAME?</v>
      </c>
      <c r="M151" s="47" t="e">
        <f ca="1"/>
        <v>#NAME?</v>
      </c>
      <c r="N151" s="47"/>
    </row>
    <row r="152" spans="1:14" ht="14.25" customHeight="1">
      <c r="A152" s="26">
        <v>12</v>
      </c>
      <c r="B152" s="78"/>
      <c r="C152" s="30" t="s">
        <v>4582</v>
      </c>
      <c r="D152" s="56" t="e">
        <f ca="1"/>
        <v>#NAME?</v>
      </c>
      <c r="E152" s="56" t="e">
        <f ca="1"/>
        <v>#NAME?</v>
      </c>
      <c r="F152" s="26" t="e">
        <f ca="1"/>
        <v>#NAME?</v>
      </c>
      <c r="G152" s="26" t="e">
        <f ca="1"/>
        <v>#NAME?</v>
      </c>
      <c r="H152" s="81" t="e">
        <f ca="1"/>
        <v>#NAME?</v>
      </c>
      <c r="I152" s="51" t="e">
        <f ca="1"/>
        <v>#NAME?</v>
      </c>
      <c r="J152" s="51" t="e">
        <f ca="1"/>
        <v>#NAME?</v>
      </c>
      <c r="K152" s="47" t="e">
        <f ca="1"/>
        <v>#NAME?</v>
      </c>
      <c r="L152" s="47" t="e">
        <f ca="1"/>
        <v>#NAME?</v>
      </c>
      <c r="M152" s="47" t="e">
        <f ca="1"/>
        <v>#NAME?</v>
      </c>
      <c r="N152" s="47"/>
    </row>
    <row r="153" spans="1:14" ht="14.25" customHeight="1">
      <c r="A153" s="26">
        <v>13</v>
      </c>
      <c r="B153" s="78"/>
      <c r="C153" s="30" t="s">
        <v>4592</v>
      </c>
      <c r="D153" s="56" t="e">
        <f ca="1"/>
        <v>#NAME?</v>
      </c>
      <c r="E153" s="56" t="e">
        <f ca="1"/>
        <v>#NAME?</v>
      </c>
      <c r="F153" s="26" t="e">
        <f ca="1"/>
        <v>#NAME?</v>
      </c>
      <c r="G153" s="26" t="e">
        <f ca="1"/>
        <v>#NAME?</v>
      </c>
      <c r="H153" s="81" t="e">
        <f ca="1"/>
        <v>#NAME?</v>
      </c>
      <c r="I153" s="51" t="e">
        <f ca="1"/>
        <v>#NAME?</v>
      </c>
      <c r="J153" s="51" t="e">
        <f ca="1"/>
        <v>#NAME?</v>
      </c>
      <c r="K153" s="47" t="e">
        <f ca="1"/>
        <v>#NAME?</v>
      </c>
      <c r="L153" s="47" t="e">
        <f ca="1"/>
        <v>#NAME?</v>
      </c>
      <c r="M153" s="47" t="e">
        <f ca="1"/>
        <v>#NAME?</v>
      </c>
      <c r="N153" s="47"/>
    </row>
    <row r="154" spans="1:14" ht="14.25" customHeight="1">
      <c r="A154" s="26">
        <v>14</v>
      </c>
      <c r="B154" s="78"/>
      <c r="C154" s="30" t="s">
        <v>4602</v>
      </c>
      <c r="D154" s="56" t="e">
        <f ca="1"/>
        <v>#NAME?</v>
      </c>
      <c r="E154" s="56" t="e">
        <f ca="1"/>
        <v>#NAME?</v>
      </c>
      <c r="F154" s="26" t="e">
        <f ca="1"/>
        <v>#NAME?</v>
      </c>
      <c r="G154" s="26" t="e">
        <f ca="1"/>
        <v>#NAME?</v>
      </c>
      <c r="H154" s="81" t="e">
        <f ca="1"/>
        <v>#NAME?</v>
      </c>
      <c r="I154" s="51" t="e">
        <f ca="1"/>
        <v>#NAME?</v>
      </c>
      <c r="J154" s="51" t="e">
        <f ca="1"/>
        <v>#NAME?</v>
      </c>
      <c r="K154" s="47" t="e">
        <f ca="1"/>
        <v>#NAME?</v>
      </c>
      <c r="L154" s="47" t="e">
        <f ca="1"/>
        <v>#NAME?</v>
      </c>
      <c r="M154" s="47" t="e">
        <f ca="1"/>
        <v>#NAME?</v>
      </c>
      <c r="N154" s="47"/>
    </row>
    <row r="155" spans="1:14" ht="14.25" customHeight="1">
      <c r="A155" s="40">
        <v>1</v>
      </c>
      <c r="B155" s="78"/>
      <c r="C155" s="58" t="s">
        <v>4612</v>
      </c>
      <c r="D155" s="45" t="e">
        <f ca="1"/>
        <v>#NAME?</v>
      </c>
      <c r="E155" s="45" t="e">
        <f ca="1"/>
        <v>#NAME?</v>
      </c>
      <c r="F155" s="40" t="e">
        <f ca="1"/>
        <v>#NAME?</v>
      </c>
      <c r="G155" s="40" t="e">
        <f ca="1"/>
        <v>#NAME?</v>
      </c>
      <c r="H155" s="82" t="e">
        <f ca="1"/>
        <v>#NAME?</v>
      </c>
      <c r="I155" s="44" t="e">
        <f ca="1"/>
        <v>#NAME?</v>
      </c>
      <c r="J155" s="44" t="e">
        <f ca="1"/>
        <v>#NAME?</v>
      </c>
      <c r="K155" s="41" t="e">
        <f ca="1"/>
        <v>#NAME?</v>
      </c>
      <c r="L155" s="41" t="e">
        <f ca="1"/>
        <v>#NAME?</v>
      </c>
      <c r="M155" s="41" t="e">
        <f ca="1"/>
        <v>#NAME?</v>
      </c>
      <c r="N155" s="41">
        <v>11</v>
      </c>
    </row>
    <row r="156" spans="1:14" ht="14.25" customHeight="1">
      <c r="A156" s="26">
        <v>2</v>
      </c>
      <c r="B156" s="47"/>
      <c r="C156" s="30" t="s">
        <v>4622</v>
      </c>
      <c r="D156" s="56" t="e">
        <f ca="1"/>
        <v>#NAME?</v>
      </c>
      <c r="E156" s="56" t="e">
        <f ca="1"/>
        <v>#NAME?</v>
      </c>
      <c r="F156" s="26" t="e">
        <f ca="1"/>
        <v>#NAME?</v>
      </c>
      <c r="G156" s="26" t="e">
        <f ca="1"/>
        <v>#NAME?</v>
      </c>
      <c r="H156" s="81" t="e">
        <f ca="1"/>
        <v>#NAME?</v>
      </c>
      <c r="I156" s="51" t="e">
        <f ca="1"/>
        <v>#NAME?</v>
      </c>
      <c r="J156" s="51" t="e">
        <f ca="1"/>
        <v>#NAME?</v>
      </c>
      <c r="K156" s="47" t="e">
        <f ca="1"/>
        <v>#NAME?</v>
      </c>
      <c r="L156" s="47" t="e">
        <f ca="1"/>
        <v>#NAME?</v>
      </c>
      <c r="M156" s="47" t="e">
        <f ca="1"/>
        <v>#NAME?</v>
      </c>
      <c r="N156" s="47"/>
    </row>
    <row r="157" spans="1:14" ht="14.25" customHeight="1">
      <c r="A157" s="26">
        <v>3</v>
      </c>
      <c r="B157" s="47"/>
      <c r="C157" s="30" t="s">
        <v>4633</v>
      </c>
      <c r="D157" s="56" t="e">
        <f ca="1"/>
        <v>#NAME?</v>
      </c>
      <c r="E157" s="56" t="e">
        <f ca="1"/>
        <v>#NAME?</v>
      </c>
      <c r="F157" s="26" t="e">
        <f ca="1"/>
        <v>#NAME?</v>
      </c>
      <c r="G157" s="26" t="e">
        <f ca="1"/>
        <v>#NAME?</v>
      </c>
      <c r="H157" s="81" t="e">
        <f ca="1"/>
        <v>#NAME?</v>
      </c>
      <c r="I157" s="51" t="e">
        <f ca="1"/>
        <v>#NAME?</v>
      </c>
      <c r="J157" s="51" t="e">
        <f ca="1"/>
        <v>#NAME?</v>
      </c>
      <c r="K157" s="47" t="e">
        <f ca="1"/>
        <v>#NAME?</v>
      </c>
      <c r="L157" s="47" t="e">
        <f ca="1"/>
        <v>#NAME?</v>
      </c>
      <c r="M157" s="47" t="e">
        <f ca="1"/>
        <v>#NAME?</v>
      </c>
      <c r="N157" s="47"/>
    </row>
    <row r="158" spans="1:14" ht="14.25" customHeight="1">
      <c r="A158" s="26">
        <v>4</v>
      </c>
      <c r="B158" s="78"/>
      <c r="C158" s="30" t="s">
        <v>4643</v>
      </c>
      <c r="D158" s="56" t="e">
        <f ca="1"/>
        <v>#NAME?</v>
      </c>
      <c r="E158" s="56" t="e">
        <f ca="1"/>
        <v>#NAME?</v>
      </c>
      <c r="F158" s="26" t="e">
        <f ca="1"/>
        <v>#NAME?</v>
      </c>
      <c r="G158" s="26" t="e">
        <f ca="1"/>
        <v>#NAME?</v>
      </c>
      <c r="H158" s="81" t="e">
        <f ca="1"/>
        <v>#NAME?</v>
      </c>
      <c r="I158" s="51" t="e">
        <f ca="1"/>
        <v>#NAME?</v>
      </c>
      <c r="J158" s="51" t="e">
        <f ca="1"/>
        <v>#NAME?</v>
      </c>
      <c r="K158" s="47" t="e">
        <f ca="1"/>
        <v>#NAME?</v>
      </c>
      <c r="L158" s="47" t="e">
        <f ca="1"/>
        <v>#NAME?</v>
      </c>
      <c r="M158" s="47" t="e">
        <f ca="1"/>
        <v>#NAME?</v>
      </c>
      <c r="N158" s="47"/>
    </row>
    <row r="159" spans="1:14" ht="14.25" customHeight="1">
      <c r="A159" s="26">
        <v>5</v>
      </c>
      <c r="B159" s="47"/>
      <c r="C159" s="30" t="s">
        <v>4653</v>
      </c>
      <c r="D159" s="56" t="e">
        <f ca="1"/>
        <v>#NAME?</v>
      </c>
      <c r="E159" s="56" t="e">
        <f ca="1"/>
        <v>#NAME?</v>
      </c>
      <c r="F159" s="26" t="e">
        <f ca="1"/>
        <v>#NAME?</v>
      </c>
      <c r="G159" s="26" t="e">
        <f ca="1"/>
        <v>#NAME?</v>
      </c>
      <c r="H159" s="81" t="e">
        <f ca="1"/>
        <v>#NAME?</v>
      </c>
      <c r="I159" s="51" t="e">
        <f ca="1"/>
        <v>#NAME?</v>
      </c>
      <c r="J159" s="51" t="e">
        <f ca="1"/>
        <v>#NAME?</v>
      </c>
      <c r="K159" s="47" t="e">
        <f ca="1"/>
        <v>#NAME?</v>
      </c>
      <c r="L159" s="47" t="e">
        <f ca="1"/>
        <v>#NAME?</v>
      </c>
      <c r="M159" s="47" t="e">
        <f ca="1"/>
        <v>#NAME?</v>
      </c>
      <c r="N159" s="47"/>
    </row>
    <row r="160" spans="1:14" ht="14.25" customHeight="1">
      <c r="A160" s="26">
        <v>6</v>
      </c>
      <c r="B160" s="78"/>
      <c r="C160" s="30" t="s">
        <v>4663</v>
      </c>
      <c r="D160" s="56" t="e">
        <f ca="1"/>
        <v>#NAME?</v>
      </c>
      <c r="E160" s="56" t="e">
        <f ca="1"/>
        <v>#NAME?</v>
      </c>
      <c r="F160" s="26" t="e">
        <f ca="1"/>
        <v>#NAME?</v>
      </c>
      <c r="G160" s="26" t="e">
        <f ca="1"/>
        <v>#NAME?</v>
      </c>
      <c r="H160" s="81" t="e">
        <f ca="1"/>
        <v>#NAME?</v>
      </c>
      <c r="I160" s="51" t="e">
        <f ca="1"/>
        <v>#NAME?</v>
      </c>
      <c r="J160" s="51" t="e">
        <f ca="1"/>
        <v>#NAME?</v>
      </c>
      <c r="K160" s="47" t="e">
        <f ca="1"/>
        <v>#NAME?</v>
      </c>
      <c r="L160" s="47" t="e">
        <f ca="1"/>
        <v>#NAME?</v>
      </c>
      <c r="M160" s="47" t="e">
        <f ca="1"/>
        <v>#NAME?</v>
      </c>
      <c r="N160" s="47"/>
    </row>
    <row r="161" spans="1:14" ht="14.25" customHeight="1">
      <c r="A161" s="26">
        <v>7</v>
      </c>
      <c r="B161" s="78"/>
      <c r="C161" s="30" t="s">
        <v>4673</v>
      </c>
      <c r="D161" s="56" t="e">
        <f ca="1"/>
        <v>#NAME?</v>
      </c>
      <c r="E161" s="56" t="e">
        <f ca="1"/>
        <v>#NAME?</v>
      </c>
      <c r="F161" s="26" t="e">
        <f ca="1"/>
        <v>#NAME?</v>
      </c>
      <c r="G161" s="26" t="e">
        <f ca="1"/>
        <v>#NAME?</v>
      </c>
      <c r="H161" s="51" t="e">
        <f ca="1"/>
        <v>#NAME?</v>
      </c>
      <c r="I161" s="86" t="e">
        <f ca="1"/>
        <v>#NAME?</v>
      </c>
      <c r="J161" s="51" t="e">
        <f ca="1"/>
        <v>#NAME?</v>
      </c>
      <c r="K161" s="47" t="e">
        <f ca="1"/>
        <v>#NAME?</v>
      </c>
      <c r="L161" s="47" t="e">
        <f ca="1"/>
        <v>#NAME?</v>
      </c>
      <c r="M161" s="47" t="e">
        <f ca="1"/>
        <v>#NAME?</v>
      </c>
      <c r="N161" s="47"/>
    </row>
    <row r="162" spans="1:14" ht="14.25" customHeight="1">
      <c r="A162" s="26">
        <v>8</v>
      </c>
      <c r="B162" s="47"/>
      <c r="C162" s="55" t="s">
        <v>4683</v>
      </c>
      <c r="D162" s="56" t="e">
        <f ca="1"/>
        <v>#NAME?</v>
      </c>
      <c r="E162" s="56" t="e">
        <f ca="1"/>
        <v>#NAME?</v>
      </c>
      <c r="F162" s="47" t="e">
        <f ca="1"/>
        <v>#NAME?</v>
      </c>
      <c r="G162" s="47" t="e">
        <f ca="1"/>
        <v>#NAME?</v>
      </c>
      <c r="H162" s="81" t="e">
        <f ca="1"/>
        <v>#NAME?</v>
      </c>
      <c r="I162" s="80" t="e">
        <f ca="1"/>
        <v>#NAME?</v>
      </c>
      <c r="J162" s="51" t="e">
        <f ca="1"/>
        <v>#NAME?</v>
      </c>
      <c r="K162" s="47" t="e">
        <f ca="1"/>
        <v>#NAME?</v>
      </c>
      <c r="L162" s="47" t="e">
        <f ca="1"/>
        <v>#NAME?</v>
      </c>
      <c r="M162" s="47" t="e">
        <f ca="1"/>
        <v>#NAME?</v>
      </c>
      <c r="N162" s="47"/>
    </row>
    <row r="163" spans="1:14" ht="14.25" customHeight="1">
      <c r="A163" s="26">
        <v>9</v>
      </c>
      <c r="B163" s="78"/>
      <c r="C163" s="30" t="s">
        <v>4692</v>
      </c>
      <c r="D163" s="56" t="e">
        <f ca="1"/>
        <v>#NAME?</v>
      </c>
      <c r="E163" s="56" t="e">
        <f ca="1"/>
        <v>#NAME?</v>
      </c>
      <c r="F163" s="26" t="e">
        <f ca="1"/>
        <v>#NAME?</v>
      </c>
      <c r="G163" s="26" t="e">
        <f ca="1"/>
        <v>#NAME?</v>
      </c>
      <c r="H163" s="86" t="e">
        <f ca="1"/>
        <v>#NAME?</v>
      </c>
      <c r="I163" s="51" t="e">
        <f ca="1"/>
        <v>#NAME?</v>
      </c>
      <c r="J163" s="51" t="e">
        <f ca="1"/>
        <v>#NAME?</v>
      </c>
      <c r="K163" s="47" t="e">
        <f ca="1"/>
        <v>#NAME?</v>
      </c>
      <c r="L163" s="47" t="e">
        <f ca="1"/>
        <v>#NAME?</v>
      </c>
      <c r="M163" s="47" t="e">
        <f ca="1"/>
        <v>#NAME?</v>
      </c>
      <c r="N163" s="47"/>
    </row>
    <row r="164" spans="1:14" ht="14.25" customHeight="1">
      <c r="A164" s="26">
        <v>10</v>
      </c>
      <c r="B164" s="47"/>
      <c r="C164" s="30" t="s">
        <v>4700</v>
      </c>
      <c r="D164" s="56" t="e">
        <f ca="1"/>
        <v>#NAME?</v>
      </c>
      <c r="E164" s="56" t="e">
        <f ca="1"/>
        <v>#NAME?</v>
      </c>
      <c r="F164" s="26" t="e">
        <f ca="1"/>
        <v>#NAME?</v>
      </c>
      <c r="G164" s="26" t="e">
        <f ca="1"/>
        <v>#NAME?</v>
      </c>
      <c r="H164" s="81" t="e">
        <f ca="1"/>
        <v>#NAME?</v>
      </c>
      <c r="I164" s="51" t="e">
        <f ca="1"/>
        <v>#NAME?</v>
      </c>
      <c r="J164" s="51" t="e">
        <f ca="1"/>
        <v>#NAME?</v>
      </c>
      <c r="K164" s="47" t="e">
        <f ca="1"/>
        <v>#NAME?</v>
      </c>
      <c r="L164" s="47" t="e">
        <f ca="1"/>
        <v>#NAME?</v>
      </c>
      <c r="M164" s="47" t="e">
        <f ca="1"/>
        <v>#NAME?</v>
      </c>
      <c r="N164" s="47"/>
    </row>
    <row r="165" spans="1:14" ht="14.25" customHeight="1">
      <c r="A165" s="26">
        <v>11</v>
      </c>
      <c r="B165" s="78"/>
      <c r="C165" s="30" t="s">
        <v>4710</v>
      </c>
      <c r="D165" s="56" t="e">
        <f ca="1"/>
        <v>#NAME?</v>
      </c>
      <c r="E165" s="56" t="e">
        <f ca="1"/>
        <v>#NAME?</v>
      </c>
      <c r="F165" s="26" t="e">
        <f ca="1"/>
        <v>#NAME?</v>
      </c>
      <c r="G165" s="26" t="e">
        <f ca="1"/>
        <v>#NAME?</v>
      </c>
      <c r="H165" s="81" t="e">
        <f ca="1"/>
        <v>#NAME?</v>
      </c>
      <c r="I165" s="51" t="e">
        <f ca="1"/>
        <v>#NAME?</v>
      </c>
      <c r="J165" s="51" t="e">
        <f ca="1"/>
        <v>#NAME?</v>
      </c>
      <c r="K165" s="47" t="e">
        <f ca="1"/>
        <v>#NAME?</v>
      </c>
      <c r="L165" s="47" t="e">
        <f ca="1"/>
        <v>#NAME?</v>
      </c>
      <c r="M165" s="47" t="e">
        <f ca="1"/>
        <v>#NAME?</v>
      </c>
      <c r="N165" s="47"/>
    </row>
    <row r="166" spans="1:14" ht="14.25" customHeight="1">
      <c r="A166" s="26">
        <v>12</v>
      </c>
      <c r="B166" s="47"/>
      <c r="C166" s="30" t="s">
        <v>4720</v>
      </c>
      <c r="D166" s="56" t="e">
        <f ca="1"/>
        <v>#NAME?</v>
      </c>
      <c r="E166" s="56" t="e">
        <f ca="1"/>
        <v>#NAME?</v>
      </c>
      <c r="F166" s="26" t="e">
        <f ca="1"/>
        <v>#NAME?</v>
      </c>
      <c r="G166" s="26" t="e">
        <f ca="1"/>
        <v>#NAME?</v>
      </c>
      <c r="H166" s="81" t="e">
        <f ca="1"/>
        <v>#NAME?</v>
      </c>
      <c r="I166" s="51" t="e">
        <f ca="1"/>
        <v>#NAME?</v>
      </c>
      <c r="J166" s="51" t="e">
        <f ca="1"/>
        <v>#NAME?</v>
      </c>
      <c r="K166" s="47" t="e">
        <f ca="1"/>
        <v>#NAME?</v>
      </c>
      <c r="L166" s="47" t="e">
        <f ca="1"/>
        <v>#NAME?</v>
      </c>
      <c r="M166" s="47" t="e">
        <f ca="1"/>
        <v>#NAME?</v>
      </c>
      <c r="N166" s="47"/>
    </row>
    <row r="167" spans="1:14" ht="14.25" customHeight="1">
      <c r="A167" s="26">
        <v>13</v>
      </c>
      <c r="B167" s="78"/>
      <c r="C167" s="30" t="s">
        <v>4730</v>
      </c>
      <c r="D167" s="56" t="e">
        <f ca="1"/>
        <v>#NAME?</v>
      </c>
      <c r="E167" s="56" t="e">
        <f ca="1"/>
        <v>#NAME?</v>
      </c>
      <c r="F167" s="26" t="e">
        <f ca="1"/>
        <v>#NAME?</v>
      </c>
      <c r="G167" s="26" t="e">
        <f ca="1"/>
        <v>#NAME?</v>
      </c>
      <c r="H167" s="81" t="e">
        <f ca="1"/>
        <v>#NAME?</v>
      </c>
      <c r="I167" s="51" t="e">
        <f ca="1"/>
        <v>#NAME?</v>
      </c>
      <c r="J167" s="51" t="e">
        <f ca="1"/>
        <v>#NAME?</v>
      </c>
      <c r="K167" s="47" t="e">
        <f ca="1"/>
        <v>#NAME?</v>
      </c>
      <c r="L167" s="47" t="e">
        <f ca="1"/>
        <v>#NAME?</v>
      </c>
      <c r="M167" s="47" t="e">
        <f ca="1"/>
        <v>#NAME?</v>
      </c>
      <c r="N167" s="47"/>
    </row>
    <row r="168" spans="1:14" ht="14.25" customHeight="1">
      <c r="A168" s="40">
        <v>1</v>
      </c>
      <c r="B168" s="47"/>
      <c r="C168" s="58" t="s">
        <v>4740</v>
      </c>
      <c r="D168" s="45" t="e">
        <f ca="1"/>
        <v>#NAME?</v>
      </c>
      <c r="E168" s="45" t="e">
        <f ca="1"/>
        <v>#NAME?</v>
      </c>
      <c r="F168" s="40" t="e">
        <f ca="1"/>
        <v>#NAME?</v>
      </c>
      <c r="G168" s="40" t="e">
        <f ca="1"/>
        <v>#NAME?</v>
      </c>
      <c r="H168" s="82" t="e">
        <f ca="1"/>
        <v>#NAME?</v>
      </c>
      <c r="I168" s="44" t="e">
        <f ca="1"/>
        <v>#NAME?</v>
      </c>
      <c r="J168" s="44" t="e">
        <f ca="1"/>
        <v>#NAME?</v>
      </c>
      <c r="K168" s="41" t="e">
        <f ca="1"/>
        <v>#NAME?</v>
      </c>
      <c r="L168" s="41" t="e">
        <f ca="1"/>
        <v>#NAME?</v>
      </c>
      <c r="M168" s="41" t="e">
        <f ca="1"/>
        <v>#NAME?</v>
      </c>
      <c r="N168" s="41">
        <v>12</v>
      </c>
    </row>
    <row r="169" spans="1:14" ht="14.25" customHeight="1">
      <c r="A169" s="26">
        <v>2</v>
      </c>
      <c r="B169" s="47"/>
      <c r="C169" s="55" t="s">
        <v>4750</v>
      </c>
      <c r="D169" s="56" t="e">
        <f ca="1"/>
        <v>#NAME?</v>
      </c>
      <c r="E169" s="56" t="e">
        <f ca="1"/>
        <v>#NAME?</v>
      </c>
      <c r="F169" s="47" t="e">
        <f ca="1"/>
        <v>#NAME?</v>
      </c>
      <c r="G169" s="47" t="e">
        <f ca="1"/>
        <v>#NAME?</v>
      </c>
      <c r="H169" s="79" t="e">
        <f ca="1"/>
        <v>#NAME?</v>
      </c>
      <c r="I169" s="80" t="e">
        <f ca="1"/>
        <v>#NAME?</v>
      </c>
      <c r="J169" s="51" t="e">
        <f ca="1"/>
        <v>#NAME?</v>
      </c>
      <c r="K169" s="47" t="e">
        <f ca="1"/>
        <v>#NAME?</v>
      </c>
      <c r="L169" s="47" t="e">
        <f ca="1"/>
        <v>#NAME?</v>
      </c>
      <c r="M169" s="47" t="e">
        <f ca="1"/>
        <v>#NAME?</v>
      </c>
      <c r="N169" s="47"/>
    </row>
    <row r="170" spans="1:14" ht="14.25" customHeight="1">
      <c r="A170" s="26">
        <v>3</v>
      </c>
      <c r="B170" s="78"/>
      <c r="C170" s="30" t="s">
        <v>4761</v>
      </c>
      <c r="D170" s="56" t="e">
        <f ca="1"/>
        <v>#NAME?</v>
      </c>
      <c r="E170" s="56" t="e">
        <f ca="1"/>
        <v>#NAME?</v>
      </c>
      <c r="F170" s="26" t="e">
        <f ca="1"/>
        <v>#NAME?</v>
      </c>
      <c r="G170" s="26" t="e">
        <f ca="1"/>
        <v>#NAME?</v>
      </c>
      <c r="H170" s="81" t="e">
        <f ca="1"/>
        <v>#NAME?</v>
      </c>
      <c r="I170" s="51" t="e">
        <f ca="1"/>
        <v>#NAME?</v>
      </c>
      <c r="J170" s="51" t="e">
        <f ca="1"/>
        <v>#NAME?</v>
      </c>
      <c r="K170" s="47" t="e">
        <f ca="1"/>
        <v>#NAME?</v>
      </c>
      <c r="L170" s="47" t="e">
        <f ca="1"/>
        <v>#NAME?</v>
      </c>
      <c r="M170" s="47" t="e">
        <f ca="1"/>
        <v>#NAME?</v>
      </c>
      <c r="N170" s="47"/>
    </row>
    <row r="171" spans="1:14" ht="14.25" customHeight="1">
      <c r="A171" s="26">
        <v>4</v>
      </c>
      <c r="B171" s="47"/>
      <c r="C171" s="30" t="s">
        <v>4771</v>
      </c>
      <c r="D171" s="56" t="e">
        <f ca="1"/>
        <v>#NAME?</v>
      </c>
      <c r="E171" s="56" t="e">
        <f ca="1"/>
        <v>#NAME?</v>
      </c>
      <c r="F171" s="26" t="e">
        <f ca="1"/>
        <v>#NAME?</v>
      </c>
      <c r="G171" s="26" t="e">
        <f ca="1"/>
        <v>#NAME?</v>
      </c>
      <c r="H171" s="81" t="e">
        <f ca="1"/>
        <v>#NAME?</v>
      </c>
      <c r="I171" s="51" t="e">
        <f ca="1"/>
        <v>#NAME?</v>
      </c>
      <c r="J171" s="51" t="e">
        <f ca="1"/>
        <v>#NAME?</v>
      </c>
      <c r="K171" s="47" t="e">
        <f ca="1"/>
        <v>#NAME?</v>
      </c>
      <c r="L171" s="47" t="e">
        <f ca="1"/>
        <v>#NAME?</v>
      </c>
      <c r="M171" s="47" t="e">
        <f ca="1"/>
        <v>#NAME?</v>
      </c>
      <c r="N171" s="47"/>
    </row>
    <row r="172" spans="1:14" ht="14.25" customHeight="1">
      <c r="A172" s="26">
        <v>5</v>
      </c>
      <c r="B172" s="47"/>
      <c r="C172" s="30" t="s">
        <v>4780</v>
      </c>
      <c r="D172" s="56" t="e">
        <f ca="1"/>
        <v>#NAME?</v>
      </c>
      <c r="E172" s="56" t="e">
        <f ca="1"/>
        <v>#NAME?</v>
      </c>
      <c r="F172" s="26" t="e">
        <f ca="1"/>
        <v>#NAME?</v>
      </c>
      <c r="G172" s="26" t="e">
        <f ca="1"/>
        <v>#NAME?</v>
      </c>
      <c r="H172" s="81" t="e">
        <f ca="1"/>
        <v>#NAME?</v>
      </c>
      <c r="I172" s="51" t="e">
        <f ca="1"/>
        <v>#NAME?</v>
      </c>
      <c r="J172" s="51" t="e">
        <f ca="1"/>
        <v>#NAME?</v>
      </c>
      <c r="K172" s="47" t="e">
        <f ca="1"/>
        <v>#NAME?</v>
      </c>
      <c r="L172" s="47" t="e">
        <f ca="1"/>
        <v>#NAME?</v>
      </c>
      <c r="M172" s="47" t="e">
        <f ca="1"/>
        <v>#NAME?</v>
      </c>
      <c r="N172" s="47"/>
    </row>
    <row r="173" spans="1:14" ht="14.25" customHeight="1">
      <c r="A173" s="26">
        <v>6</v>
      </c>
      <c r="B173" s="78"/>
      <c r="C173" s="30" t="s">
        <v>4790</v>
      </c>
      <c r="D173" s="57" t="e">
        <f ca="1"/>
        <v>#NAME?</v>
      </c>
      <c r="E173" s="57" t="e">
        <f ca="1"/>
        <v>#NAME?</v>
      </c>
      <c r="F173" s="26" t="e">
        <f ca="1"/>
        <v>#NAME?</v>
      </c>
      <c r="G173" s="26" t="e">
        <f ca="1"/>
        <v>#NAME?</v>
      </c>
      <c r="H173" s="81" t="e">
        <f ca="1"/>
        <v>#NAME?</v>
      </c>
      <c r="I173" s="51" t="e">
        <f ca="1"/>
        <v>#NAME?</v>
      </c>
      <c r="J173" s="51" t="e">
        <f ca="1"/>
        <v>#NAME?</v>
      </c>
      <c r="K173" s="47" t="e">
        <f ca="1"/>
        <v>#NAME?</v>
      </c>
      <c r="L173" s="47" t="e">
        <f ca="1"/>
        <v>#NAME?</v>
      </c>
      <c r="M173" s="47" t="e">
        <f ca="1"/>
        <v>#NAME?</v>
      </c>
      <c r="N173" s="47"/>
    </row>
    <row r="174" spans="1:14" ht="14.25" customHeight="1">
      <c r="A174" s="26">
        <v>7</v>
      </c>
      <c r="B174" s="47"/>
      <c r="C174" s="30" t="s">
        <v>4800</v>
      </c>
      <c r="D174" s="57" t="e">
        <f ca="1"/>
        <v>#NAME?</v>
      </c>
      <c r="E174" s="57" t="e">
        <f ca="1"/>
        <v>#NAME?</v>
      </c>
      <c r="F174" s="26" t="e">
        <f ca="1"/>
        <v>#NAME?</v>
      </c>
      <c r="G174" s="26" t="e">
        <f ca="1"/>
        <v>#NAME?</v>
      </c>
      <c r="H174" s="81" t="e">
        <f ca="1"/>
        <v>#NAME?</v>
      </c>
      <c r="I174" s="51" t="e">
        <f ca="1"/>
        <v>#NAME?</v>
      </c>
      <c r="J174" s="51" t="e">
        <f ca="1"/>
        <v>#NAME?</v>
      </c>
      <c r="K174" s="47" t="e">
        <f ca="1"/>
        <v>#NAME?</v>
      </c>
      <c r="L174" s="47" t="e">
        <f ca="1"/>
        <v>#NAME?</v>
      </c>
      <c r="M174" s="47" t="e">
        <f ca="1"/>
        <v>#NAME?</v>
      </c>
      <c r="N174" s="47"/>
    </row>
    <row r="175" spans="1:14" ht="14.25" customHeight="1">
      <c r="A175" s="26">
        <v>8</v>
      </c>
      <c r="B175" s="47"/>
      <c r="C175" s="30" t="s">
        <v>4810</v>
      </c>
      <c r="D175" s="57" t="e">
        <f ca="1"/>
        <v>#NAME?</v>
      </c>
      <c r="E175" s="57" t="e">
        <f ca="1"/>
        <v>#NAME?</v>
      </c>
      <c r="F175" s="26" t="e">
        <f ca="1"/>
        <v>#NAME?</v>
      </c>
      <c r="G175" s="26" t="e">
        <f ca="1"/>
        <v>#NAME?</v>
      </c>
      <c r="H175" s="81" t="e">
        <f ca="1"/>
        <v>#NAME?</v>
      </c>
      <c r="I175" s="51" t="e">
        <f ca="1"/>
        <v>#NAME?</v>
      </c>
      <c r="J175" s="51" t="e">
        <f ca="1"/>
        <v>#NAME?</v>
      </c>
      <c r="K175" s="47" t="e">
        <f ca="1"/>
        <v>#NAME?</v>
      </c>
      <c r="L175" s="47" t="e">
        <f ca="1"/>
        <v>#NAME?</v>
      </c>
      <c r="M175" s="47" t="e">
        <f ca="1"/>
        <v>#NAME?</v>
      </c>
      <c r="N175" s="47"/>
    </row>
    <row r="176" spans="1:14" ht="14.25" customHeight="1">
      <c r="A176" s="26">
        <v>9</v>
      </c>
      <c r="B176" s="47"/>
      <c r="C176" s="30" t="s">
        <v>4820</v>
      </c>
      <c r="D176" s="57" t="e">
        <f ca="1"/>
        <v>#NAME?</v>
      </c>
      <c r="E176" s="57" t="e">
        <f ca="1"/>
        <v>#NAME?</v>
      </c>
      <c r="F176" s="26" t="e">
        <f ca="1"/>
        <v>#NAME?</v>
      </c>
      <c r="G176" s="26" t="e">
        <f ca="1"/>
        <v>#NAME?</v>
      </c>
      <c r="H176" s="51" t="e">
        <f ca="1"/>
        <v>#NAME?</v>
      </c>
      <c r="I176" s="54" t="e">
        <f ca="1"/>
        <v>#NAME?</v>
      </c>
      <c r="J176" s="51" t="e">
        <f ca="1"/>
        <v>#NAME?</v>
      </c>
      <c r="K176" s="47" t="e">
        <f ca="1"/>
        <v>#NAME?</v>
      </c>
      <c r="L176" s="47" t="e">
        <f ca="1"/>
        <v>#NAME?</v>
      </c>
      <c r="M176" s="47" t="e">
        <f ca="1"/>
        <v>#NAME?</v>
      </c>
      <c r="N176" s="47"/>
    </row>
    <row r="177" spans="1:14" ht="14.25" customHeight="1">
      <c r="A177" s="26">
        <v>10</v>
      </c>
      <c r="B177" s="78"/>
      <c r="C177" s="30" t="s">
        <v>4831</v>
      </c>
      <c r="D177" s="57" t="e">
        <f ca="1"/>
        <v>#NAME?</v>
      </c>
      <c r="E177" s="57" t="e">
        <f ca="1"/>
        <v>#NAME?</v>
      </c>
      <c r="F177" s="26" t="e">
        <f ca="1"/>
        <v>#NAME?</v>
      </c>
      <c r="G177" s="26" t="e">
        <f ca="1"/>
        <v>#NAME?</v>
      </c>
      <c r="H177" s="51" t="e">
        <f ca="1"/>
        <v>#NAME?</v>
      </c>
      <c r="I177" s="54" t="e">
        <f ca="1"/>
        <v>#NAME?</v>
      </c>
      <c r="J177" s="51" t="e">
        <f ca="1"/>
        <v>#NAME?</v>
      </c>
      <c r="K177" s="47" t="e">
        <f ca="1"/>
        <v>#NAME?</v>
      </c>
      <c r="L177" s="47" t="e">
        <f ca="1"/>
        <v>#NAME?</v>
      </c>
      <c r="M177" s="47" t="e">
        <f ca="1"/>
        <v>#NAME?</v>
      </c>
      <c r="N177" s="47"/>
    </row>
    <row r="178" spans="1:14" ht="14.25" customHeight="1">
      <c r="A178" s="26">
        <v>11</v>
      </c>
      <c r="B178" s="47"/>
      <c r="C178" s="30" t="s">
        <v>51</v>
      </c>
      <c r="D178" s="57" t="e">
        <f ca="1"/>
        <v>#NAME?</v>
      </c>
      <c r="E178" s="57" t="e">
        <f ca="1"/>
        <v>#NAME?</v>
      </c>
      <c r="F178" s="26" t="e">
        <f ca="1"/>
        <v>#NAME?</v>
      </c>
      <c r="G178" s="26" t="e">
        <f ca="1"/>
        <v>#NAME?</v>
      </c>
      <c r="H178" s="51" t="e">
        <f ca="1"/>
        <v>#NAME?</v>
      </c>
      <c r="I178" s="54" t="e">
        <f ca="1"/>
        <v>#NAME?</v>
      </c>
      <c r="J178" s="51" t="e">
        <f ca="1"/>
        <v>#NAME?</v>
      </c>
      <c r="K178" s="47" t="e">
        <f ca="1"/>
        <v>#NAME?</v>
      </c>
      <c r="L178" s="47" t="e">
        <f ca="1"/>
        <v>#NAME?</v>
      </c>
      <c r="M178" s="47" t="e">
        <f ca="1"/>
        <v>#NAME?</v>
      </c>
      <c r="N178" s="47"/>
    </row>
    <row r="179" spans="1:14" ht="14.25" customHeight="1">
      <c r="A179" s="40">
        <v>1</v>
      </c>
      <c r="B179" s="47"/>
      <c r="C179" s="58" t="s">
        <v>4845</v>
      </c>
      <c r="D179" s="45" t="e">
        <f ca="1"/>
        <v>#NAME?</v>
      </c>
      <c r="E179" s="45" t="e">
        <f ca="1"/>
        <v>#NAME?</v>
      </c>
      <c r="F179" s="40" t="e">
        <f ca="1"/>
        <v>#NAME?</v>
      </c>
      <c r="G179" s="40" t="e">
        <f ca="1"/>
        <v>#NAME?</v>
      </c>
      <c r="H179" s="44" t="e">
        <f ca="1"/>
        <v>#NAME?</v>
      </c>
      <c r="I179" s="65" t="e">
        <f ca="1"/>
        <v>#NAME?</v>
      </c>
      <c r="J179" s="44" t="e">
        <f ca="1"/>
        <v>#NAME?</v>
      </c>
      <c r="K179" s="41" t="e">
        <f ca="1"/>
        <v>#NAME?</v>
      </c>
      <c r="L179" s="41" t="e">
        <f ca="1"/>
        <v>#NAME?</v>
      </c>
      <c r="M179" s="41" t="e">
        <f ca="1"/>
        <v>#NAME?</v>
      </c>
      <c r="N179" s="41">
        <v>13</v>
      </c>
    </row>
    <row r="180" spans="1:14" ht="14.25" customHeight="1">
      <c r="A180" s="26">
        <v>2</v>
      </c>
      <c r="B180" s="78"/>
      <c r="C180" s="30" t="s">
        <v>4854</v>
      </c>
      <c r="D180" s="57" t="e">
        <f ca="1"/>
        <v>#NAME?</v>
      </c>
      <c r="E180" s="57" t="e">
        <f ca="1"/>
        <v>#NAME?</v>
      </c>
      <c r="F180" s="26" t="e">
        <f ca="1"/>
        <v>#NAME?</v>
      </c>
      <c r="G180" s="26" t="e">
        <f ca="1"/>
        <v>#NAME?</v>
      </c>
      <c r="H180" s="51" t="e">
        <f ca="1"/>
        <v>#NAME?</v>
      </c>
      <c r="I180" s="54" t="e">
        <f ca="1"/>
        <v>#NAME?</v>
      </c>
      <c r="J180" s="51" t="e">
        <f ca="1"/>
        <v>#NAME?</v>
      </c>
      <c r="K180" s="47" t="e">
        <f ca="1"/>
        <v>#NAME?</v>
      </c>
      <c r="L180" s="47" t="e">
        <f ca="1"/>
        <v>#NAME?</v>
      </c>
      <c r="M180" s="47" t="e">
        <f ca="1"/>
        <v>#NAME?</v>
      </c>
      <c r="N180" s="47"/>
    </row>
    <row r="181" spans="1:14" ht="14.25" customHeight="1">
      <c r="A181" s="26">
        <v>3</v>
      </c>
      <c r="B181" s="47"/>
      <c r="C181" s="30" t="s">
        <v>4309</v>
      </c>
      <c r="D181" s="57" t="e">
        <f ca="1"/>
        <v>#NAME?</v>
      </c>
      <c r="E181" s="57" t="e">
        <f ca="1"/>
        <v>#NAME?</v>
      </c>
      <c r="F181" s="26" t="e">
        <f ca="1"/>
        <v>#NAME?</v>
      </c>
      <c r="G181" s="26" t="e">
        <f ca="1"/>
        <v>#NAME?</v>
      </c>
      <c r="H181" s="51" t="e">
        <f ca="1"/>
        <v>#NAME?</v>
      </c>
      <c r="I181" s="54" t="e">
        <f ca="1"/>
        <v>#NAME?</v>
      </c>
      <c r="J181" s="51" t="e">
        <f ca="1"/>
        <v>#NAME?</v>
      </c>
      <c r="K181" s="47" t="e">
        <f ca="1"/>
        <v>#NAME?</v>
      </c>
      <c r="L181" s="47" t="e">
        <f ca="1"/>
        <v>#NAME?</v>
      </c>
      <c r="M181" s="47" t="e">
        <f ca="1"/>
        <v>#NAME?</v>
      </c>
      <c r="N181" s="47"/>
    </row>
    <row r="182" spans="1:14" ht="14.25" customHeight="1">
      <c r="A182" s="26">
        <v>4</v>
      </c>
      <c r="B182" s="47"/>
      <c r="C182" s="30" t="s">
        <v>4868</v>
      </c>
      <c r="D182" s="57" t="e">
        <f ca="1"/>
        <v>#NAME?</v>
      </c>
      <c r="E182" s="57" t="e">
        <f ca="1"/>
        <v>#NAME?</v>
      </c>
      <c r="F182" s="26" t="e">
        <f ca="1"/>
        <v>#NAME?</v>
      </c>
      <c r="G182" s="26" t="e">
        <f ca="1"/>
        <v>#NAME?</v>
      </c>
      <c r="H182" s="51" t="e">
        <f ca="1"/>
        <v>#NAME?</v>
      </c>
      <c r="I182" s="54" t="e">
        <f ca="1"/>
        <v>#NAME?</v>
      </c>
      <c r="J182" s="51" t="e">
        <f ca="1"/>
        <v>#NAME?</v>
      </c>
      <c r="K182" s="47" t="e">
        <f ca="1"/>
        <v>#NAME?</v>
      </c>
      <c r="L182" s="47" t="e">
        <f ca="1"/>
        <v>#NAME?</v>
      </c>
      <c r="M182" s="47" t="e">
        <f ca="1"/>
        <v>#NAME?</v>
      </c>
      <c r="N182" s="47"/>
    </row>
    <row r="183" spans="1:14" ht="14.25" customHeight="1">
      <c r="A183" s="26">
        <v>5</v>
      </c>
      <c r="B183" s="78"/>
      <c r="C183" s="30" t="s">
        <v>4878</v>
      </c>
      <c r="D183" s="57" t="e">
        <f ca="1"/>
        <v>#NAME?</v>
      </c>
      <c r="E183" s="57" t="e">
        <f ca="1"/>
        <v>#NAME?</v>
      </c>
      <c r="F183" s="26" t="e">
        <f ca="1"/>
        <v>#NAME?</v>
      </c>
      <c r="G183" s="26" t="e">
        <f ca="1"/>
        <v>#NAME?</v>
      </c>
      <c r="H183" s="51" t="e">
        <f ca="1"/>
        <v>#NAME?</v>
      </c>
      <c r="I183" s="54" t="e">
        <f ca="1"/>
        <v>#NAME?</v>
      </c>
      <c r="J183" s="51" t="e">
        <f ca="1"/>
        <v>#NAME?</v>
      </c>
      <c r="K183" s="47" t="e">
        <f ca="1"/>
        <v>#NAME?</v>
      </c>
      <c r="L183" s="47" t="e">
        <f ca="1"/>
        <v>#NAME?</v>
      </c>
      <c r="M183" s="47" t="e">
        <f ca="1"/>
        <v>#NAME?</v>
      </c>
      <c r="N183" s="47"/>
    </row>
    <row r="184" spans="1:14" ht="14.25" customHeight="1">
      <c r="A184" s="26">
        <v>6</v>
      </c>
      <c r="B184" s="47"/>
      <c r="C184" s="30" t="s">
        <v>4888</v>
      </c>
      <c r="D184" s="57" t="e">
        <f ca="1"/>
        <v>#NAME?</v>
      </c>
      <c r="E184" s="57" t="e">
        <f ca="1"/>
        <v>#NAME?</v>
      </c>
      <c r="F184" s="26" t="e">
        <f ca="1"/>
        <v>#NAME?</v>
      </c>
      <c r="G184" s="26" t="e">
        <f ca="1"/>
        <v>#NAME?</v>
      </c>
      <c r="H184" s="51" t="e">
        <f ca="1"/>
        <v>#NAME?</v>
      </c>
      <c r="I184" s="54" t="e">
        <f ca="1"/>
        <v>#NAME?</v>
      </c>
      <c r="J184" s="51" t="e">
        <f ca="1"/>
        <v>#NAME?</v>
      </c>
      <c r="K184" s="47" t="e">
        <f ca="1"/>
        <v>#NAME?</v>
      </c>
      <c r="L184" s="47" t="e">
        <f ca="1"/>
        <v>#NAME?</v>
      </c>
      <c r="M184" s="47" t="e">
        <f ca="1"/>
        <v>#NAME?</v>
      </c>
      <c r="N184" s="47"/>
    </row>
    <row r="185" spans="1:14" ht="14.25" customHeight="1">
      <c r="A185" s="26">
        <v>7</v>
      </c>
      <c r="B185" s="78"/>
      <c r="C185" s="30" t="s">
        <v>4898</v>
      </c>
      <c r="D185" s="57" t="e">
        <f ca="1"/>
        <v>#NAME?</v>
      </c>
      <c r="E185" s="57" t="e">
        <f ca="1"/>
        <v>#NAME?</v>
      </c>
      <c r="F185" s="26" t="e">
        <f ca="1"/>
        <v>#NAME?</v>
      </c>
      <c r="G185" s="26" t="e">
        <f ca="1"/>
        <v>#NAME?</v>
      </c>
      <c r="H185" s="51" t="e">
        <f ca="1"/>
        <v>#NAME?</v>
      </c>
      <c r="I185" s="54" t="e">
        <f ca="1"/>
        <v>#NAME?</v>
      </c>
      <c r="J185" s="51" t="e">
        <f ca="1"/>
        <v>#NAME?</v>
      </c>
      <c r="K185" s="47" t="e">
        <f ca="1"/>
        <v>#NAME?</v>
      </c>
      <c r="L185" s="47" t="e">
        <f ca="1"/>
        <v>#NAME?</v>
      </c>
      <c r="M185" s="47" t="e">
        <f ca="1"/>
        <v>#NAME?</v>
      </c>
      <c r="N185" s="47"/>
    </row>
    <row r="186" spans="1:14" ht="14.25" customHeight="1">
      <c r="A186" s="26">
        <v>8</v>
      </c>
      <c r="B186" s="78"/>
      <c r="C186" s="30" t="s">
        <v>4907</v>
      </c>
      <c r="D186" s="57" t="e">
        <f ca="1"/>
        <v>#NAME?</v>
      </c>
      <c r="E186" s="57" t="e">
        <f ca="1"/>
        <v>#NAME?</v>
      </c>
      <c r="F186" s="26" t="e">
        <f ca="1"/>
        <v>#NAME?</v>
      </c>
      <c r="G186" s="26" t="e">
        <f ca="1"/>
        <v>#NAME?</v>
      </c>
      <c r="H186" s="51" t="e">
        <f ca="1"/>
        <v>#NAME?</v>
      </c>
      <c r="I186" s="54" t="e">
        <f ca="1"/>
        <v>#NAME?</v>
      </c>
      <c r="J186" s="51" t="e">
        <f ca="1"/>
        <v>#NAME?</v>
      </c>
      <c r="K186" s="47" t="e">
        <f ca="1"/>
        <v>#NAME?</v>
      </c>
      <c r="L186" s="47" t="e">
        <f ca="1"/>
        <v>#NAME?</v>
      </c>
      <c r="M186" s="47" t="e">
        <f ca="1"/>
        <v>#NAME?</v>
      </c>
      <c r="N186" s="47"/>
    </row>
    <row r="187" spans="1:14" ht="14.25" customHeight="1">
      <c r="A187" s="26">
        <v>9</v>
      </c>
      <c r="B187" s="47"/>
      <c r="C187" s="30" t="s">
        <v>4915</v>
      </c>
      <c r="D187" s="57" t="e">
        <f ca="1"/>
        <v>#NAME?</v>
      </c>
      <c r="E187" s="57" t="e">
        <f ca="1"/>
        <v>#NAME?</v>
      </c>
      <c r="F187" s="26" t="e">
        <f ca="1"/>
        <v>#NAME?</v>
      </c>
      <c r="G187" s="26" t="e">
        <f ca="1"/>
        <v>#NAME?</v>
      </c>
      <c r="H187" s="51" t="e">
        <f ca="1"/>
        <v>#NAME?</v>
      </c>
      <c r="I187" s="54" t="e">
        <f ca="1"/>
        <v>#NAME?</v>
      </c>
      <c r="J187" s="51" t="e">
        <f ca="1"/>
        <v>#NAME?</v>
      </c>
      <c r="K187" s="47" t="e">
        <f ca="1"/>
        <v>#NAME?</v>
      </c>
      <c r="L187" s="47" t="e">
        <f ca="1"/>
        <v>#NAME?</v>
      </c>
      <c r="M187" s="47" t="e">
        <f ca="1"/>
        <v>#NAME?</v>
      </c>
      <c r="N187" s="47"/>
    </row>
    <row r="188" spans="1:14" ht="14.25" customHeight="1">
      <c r="A188" s="26">
        <v>10</v>
      </c>
      <c r="B188" s="47"/>
      <c r="C188" s="30" t="s">
        <v>4925</v>
      </c>
      <c r="D188" s="57" t="e">
        <f ca="1"/>
        <v>#NAME?</v>
      </c>
      <c r="E188" s="57" t="e">
        <f ca="1"/>
        <v>#NAME?</v>
      </c>
      <c r="F188" s="26" t="e">
        <f ca="1"/>
        <v>#NAME?</v>
      </c>
      <c r="G188" s="26" t="e">
        <f ca="1"/>
        <v>#NAME?</v>
      </c>
      <c r="H188" s="51" t="e">
        <f ca="1"/>
        <v>#NAME?</v>
      </c>
      <c r="I188" s="54" t="e">
        <f ca="1"/>
        <v>#NAME?</v>
      </c>
      <c r="J188" s="51" t="e">
        <f ca="1"/>
        <v>#NAME?</v>
      </c>
      <c r="K188" s="47" t="e">
        <f ca="1"/>
        <v>#NAME?</v>
      </c>
      <c r="L188" s="47" t="e">
        <f ca="1"/>
        <v>#NAME?</v>
      </c>
      <c r="M188" s="47" t="e">
        <f ca="1"/>
        <v>#NAME?</v>
      </c>
      <c r="N188" s="47"/>
    </row>
    <row r="189" spans="1:14" ht="14.25" customHeight="1">
      <c r="A189" s="26">
        <v>11</v>
      </c>
      <c r="B189" s="78"/>
      <c r="C189" s="30" t="s">
        <v>4935</v>
      </c>
      <c r="D189" s="57" t="e">
        <f ca="1"/>
        <v>#NAME?</v>
      </c>
      <c r="E189" s="57" t="e">
        <f ca="1"/>
        <v>#NAME?</v>
      </c>
      <c r="F189" s="26" t="e">
        <f ca="1"/>
        <v>#NAME?</v>
      </c>
      <c r="G189" s="26" t="e">
        <f ca="1"/>
        <v>#NAME?</v>
      </c>
      <c r="H189" s="51" t="e">
        <f ca="1"/>
        <v>#NAME?</v>
      </c>
      <c r="I189" s="54" t="e">
        <f ca="1"/>
        <v>#NAME?</v>
      </c>
      <c r="J189" s="51" t="e">
        <f ca="1"/>
        <v>#NAME?</v>
      </c>
      <c r="K189" s="47" t="e">
        <f ca="1"/>
        <v>#NAME?</v>
      </c>
      <c r="L189" s="47" t="e">
        <f ca="1"/>
        <v>#NAME?</v>
      </c>
      <c r="M189" s="47" t="e">
        <f ca="1"/>
        <v>#NAME?</v>
      </c>
      <c r="N189" s="47"/>
    </row>
    <row r="190" spans="1:14" ht="14.25" customHeight="1">
      <c r="A190" s="26">
        <v>12</v>
      </c>
      <c r="B190" s="47"/>
      <c r="C190" s="30" t="s">
        <v>4945</v>
      </c>
      <c r="D190" s="57" t="e">
        <f ca="1"/>
        <v>#NAME?</v>
      </c>
      <c r="E190" s="57" t="e">
        <f ca="1"/>
        <v>#NAME?</v>
      </c>
      <c r="F190" s="26" t="e">
        <f ca="1"/>
        <v>#NAME?</v>
      </c>
      <c r="G190" s="26" t="e">
        <f ca="1"/>
        <v>#NAME?</v>
      </c>
      <c r="H190" s="51" t="e">
        <f ca="1"/>
        <v>#NAME?</v>
      </c>
      <c r="I190" s="54" t="e">
        <f ca="1"/>
        <v>#NAME?</v>
      </c>
      <c r="J190" s="51" t="e">
        <f ca="1"/>
        <v>#NAME?</v>
      </c>
      <c r="K190" s="47" t="e">
        <f ca="1"/>
        <v>#NAME?</v>
      </c>
      <c r="L190" s="47" t="e">
        <f ca="1"/>
        <v>#NAME?</v>
      </c>
      <c r="M190" s="47" t="e">
        <f ca="1"/>
        <v>#NAME?</v>
      </c>
      <c r="N190" s="47"/>
    </row>
    <row r="191" spans="1:14" ht="14.25" customHeight="1">
      <c r="A191" s="26">
        <v>13</v>
      </c>
      <c r="B191" s="47"/>
      <c r="C191" s="30" t="s">
        <v>4955</v>
      </c>
      <c r="D191" s="57" t="e">
        <f ca="1"/>
        <v>#NAME?</v>
      </c>
      <c r="E191" s="57" t="e">
        <f ca="1"/>
        <v>#NAME?</v>
      </c>
      <c r="F191" s="26" t="e">
        <f ca="1"/>
        <v>#NAME?</v>
      </c>
      <c r="G191" s="26" t="e">
        <f ca="1"/>
        <v>#NAME?</v>
      </c>
      <c r="H191" s="51" t="e">
        <f ca="1"/>
        <v>#NAME?</v>
      </c>
      <c r="I191" s="54" t="e">
        <f ca="1"/>
        <v>#NAME?</v>
      </c>
      <c r="J191" s="51" t="e">
        <f ca="1"/>
        <v>#NAME?</v>
      </c>
      <c r="K191" s="47" t="e">
        <f ca="1"/>
        <v>#NAME?</v>
      </c>
      <c r="L191" s="47" t="e">
        <f ca="1"/>
        <v>#NAME?</v>
      </c>
      <c r="M191" s="47" t="e">
        <f ca="1"/>
        <v>#NAME?</v>
      </c>
      <c r="N191" s="47"/>
    </row>
    <row r="192" spans="1:14" ht="14.25" customHeight="1">
      <c r="A192" s="40">
        <v>1</v>
      </c>
      <c r="B192" s="47"/>
      <c r="C192" s="58" t="s">
        <v>4820</v>
      </c>
      <c r="D192" s="45" t="e">
        <f ca="1"/>
        <v>#NAME?</v>
      </c>
      <c r="E192" s="45" t="e">
        <f ca="1"/>
        <v>#NAME?</v>
      </c>
      <c r="F192" s="40" t="e">
        <f ca="1"/>
        <v>#NAME?</v>
      </c>
      <c r="G192" s="40" t="e">
        <f ca="1"/>
        <v>#NAME?</v>
      </c>
      <c r="H192" s="44" t="e">
        <f ca="1"/>
        <v>#NAME?</v>
      </c>
      <c r="I192" s="65" t="e">
        <f ca="1"/>
        <v>#NAME?</v>
      </c>
      <c r="J192" s="44" t="e">
        <f ca="1"/>
        <v>#NAME?</v>
      </c>
      <c r="K192" s="41" t="e">
        <f ca="1"/>
        <v>#NAME?</v>
      </c>
      <c r="L192" s="41" t="e">
        <f ca="1"/>
        <v>#NAME?</v>
      </c>
      <c r="M192" s="41" t="e">
        <f ca="1"/>
        <v>#NAME?</v>
      </c>
      <c r="N192" s="41">
        <v>14</v>
      </c>
    </row>
    <row r="193" spans="1:14" ht="14.25" customHeight="1">
      <c r="A193" s="26">
        <v>2</v>
      </c>
      <c r="B193" s="47"/>
      <c r="C193" s="30" t="s">
        <v>4968</v>
      </c>
      <c r="D193" s="57" t="e">
        <f ca="1"/>
        <v>#NAME?</v>
      </c>
      <c r="E193" s="57" t="e">
        <f ca="1"/>
        <v>#NAME?</v>
      </c>
      <c r="F193" s="26" t="e">
        <f ca="1"/>
        <v>#NAME?</v>
      </c>
      <c r="G193" s="26" t="e">
        <f ca="1"/>
        <v>#NAME?</v>
      </c>
      <c r="H193" s="51" t="e">
        <f ca="1"/>
        <v>#NAME?</v>
      </c>
      <c r="I193" s="54" t="e">
        <f ca="1"/>
        <v>#NAME?</v>
      </c>
      <c r="J193" s="51" t="e">
        <f ca="1"/>
        <v>#NAME?</v>
      </c>
      <c r="K193" s="47" t="e">
        <f ca="1"/>
        <v>#NAME?</v>
      </c>
      <c r="L193" s="47" t="e">
        <f ca="1"/>
        <v>#NAME?</v>
      </c>
      <c r="M193" s="47" t="e">
        <f ca="1"/>
        <v>#NAME?</v>
      </c>
      <c r="N193" s="47"/>
    </row>
    <row r="194" spans="1:14" ht="14.25" customHeight="1">
      <c r="A194" s="26">
        <v>3</v>
      </c>
      <c r="B194" s="78"/>
      <c r="C194" s="30" t="s">
        <v>4979</v>
      </c>
      <c r="D194" s="57" t="e">
        <f ca="1"/>
        <v>#NAME?</v>
      </c>
      <c r="E194" s="57" t="e">
        <f ca="1"/>
        <v>#NAME?</v>
      </c>
      <c r="F194" s="26" t="e">
        <f ca="1"/>
        <v>#NAME?</v>
      </c>
      <c r="G194" s="26" t="e">
        <f ca="1"/>
        <v>#NAME?</v>
      </c>
      <c r="H194" s="51" t="e">
        <f ca="1"/>
        <v>#NAME?</v>
      </c>
      <c r="I194" s="54" t="e">
        <f ca="1"/>
        <v>#NAME?</v>
      </c>
      <c r="J194" s="51" t="e">
        <f ca="1"/>
        <v>#NAME?</v>
      </c>
      <c r="K194" s="47" t="e">
        <f ca="1"/>
        <v>#NAME?</v>
      </c>
      <c r="L194" s="47" t="e">
        <f ca="1"/>
        <v>#NAME?</v>
      </c>
      <c r="M194" s="47" t="e">
        <f ca="1"/>
        <v>#NAME?</v>
      </c>
      <c r="N194" s="47"/>
    </row>
    <row r="195" spans="1:14" ht="14.25" customHeight="1">
      <c r="A195" s="26">
        <v>4</v>
      </c>
      <c r="B195" s="78"/>
      <c r="C195" s="30" t="s">
        <v>4989</v>
      </c>
      <c r="D195" s="57" t="e">
        <f ca="1"/>
        <v>#NAME?</v>
      </c>
      <c r="E195" s="57" t="e">
        <f ca="1"/>
        <v>#NAME?</v>
      </c>
      <c r="F195" s="26" t="e">
        <f ca="1"/>
        <v>#NAME?</v>
      </c>
      <c r="G195" s="26" t="e">
        <f ca="1"/>
        <v>#NAME?</v>
      </c>
      <c r="H195" s="51" t="e">
        <f ca="1"/>
        <v>#NAME?</v>
      </c>
      <c r="I195" s="54" t="e">
        <f ca="1"/>
        <v>#NAME?</v>
      </c>
      <c r="J195" s="51" t="e">
        <f ca="1"/>
        <v>#NAME?</v>
      </c>
      <c r="K195" s="47" t="e">
        <f ca="1"/>
        <v>#NAME?</v>
      </c>
      <c r="L195" s="47" t="e">
        <f ca="1"/>
        <v>#NAME?</v>
      </c>
      <c r="M195" s="47" t="e">
        <f ca="1"/>
        <v>#NAME?</v>
      </c>
      <c r="N195" s="47"/>
    </row>
    <row r="196" spans="1:14" ht="14.25" customHeight="1">
      <c r="A196" s="26">
        <v>5</v>
      </c>
      <c r="B196" s="47"/>
      <c r="C196" s="30" t="s">
        <v>4999</v>
      </c>
      <c r="D196" s="57" t="e">
        <f ca="1"/>
        <v>#NAME?</v>
      </c>
      <c r="E196" s="57" t="e">
        <f ca="1"/>
        <v>#NAME?</v>
      </c>
      <c r="F196" s="26" t="e">
        <f ca="1"/>
        <v>#NAME?</v>
      </c>
      <c r="G196" s="26" t="e">
        <f ca="1"/>
        <v>#NAME?</v>
      </c>
      <c r="H196" s="51" t="e">
        <f ca="1"/>
        <v>#NAME?</v>
      </c>
      <c r="I196" s="54" t="e">
        <f ca="1"/>
        <v>#NAME?</v>
      </c>
      <c r="J196" s="51" t="e">
        <f ca="1"/>
        <v>#NAME?</v>
      </c>
      <c r="K196" s="47" t="e">
        <f ca="1"/>
        <v>#NAME?</v>
      </c>
      <c r="L196" s="47" t="e">
        <f ca="1"/>
        <v>#NAME?</v>
      </c>
      <c r="M196" s="47" t="e">
        <f ca="1"/>
        <v>#NAME?</v>
      </c>
      <c r="N196" s="47"/>
    </row>
    <row r="197" spans="1:14" ht="14.25" customHeight="1">
      <c r="A197" s="26">
        <v>6</v>
      </c>
      <c r="B197" s="47"/>
      <c r="C197" s="30" t="s">
        <v>5008</v>
      </c>
      <c r="D197" s="57" t="e">
        <f ca="1"/>
        <v>#NAME?</v>
      </c>
      <c r="E197" s="57" t="e">
        <f ca="1"/>
        <v>#NAME?</v>
      </c>
      <c r="F197" s="26" t="e">
        <f ca="1"/>
        <v>#NAME?</v>
      </c>
      <c r="G197" s="26" t="e">
        <f ca="1"/>
        <v>#NAME?</v>
      </c>
      <c r="H197" s="51" t="e">
        <f ca="1"/>
        <v>#NAME?</v>
      </c>
      <c r="I197" s="54" t="e">
        <f ca="1"/>
        <v>#NAME?</v>
      </c>
      <c r="J197" s="51" t="e">
        <f ca="1"/>
        <v>#NAME?</v>
      </c>
      <c r="K197" s="47" t="e">
        <f ca="1"/>
        <v>#NAME?</v>
      </c>
      <c r="L197" s="47" t="e">
        <f ca="1"/>
        <v>#NAME?</v>
      </c>
      <c r="M197" s="47" t="e">
        <f ca="1"/>
        <v>#NAME?</v>
      </c>
      <c r="N197" s="47"/>
    </row>
    <row r="198" spans="1:14" ht="14.25" customHeight="1">
      <c r="A198" s="26">
        <v>7</v>
      </c>
      <c r="B198" s="78"/>
      <c r="C198" s="30" t="s">
        <v>5017</v>
      </c>
      <c r="D198" s="57" t="e">
        <f ca="1"/>
        <v>#NAME?</v>
      </c>
      <c r="E198" s="57" t="e">
        <f ca="1"/>
        <v>#NAME?</v>
      </c>
      <c r="F198" s="26" t="e">
        <f ca="1"/>
        <v>#NAME?</v>
      </c>
      <c r="G198" s="26" t="e">
        <f ca="1"/>
        <v>#NAME?</v>
      </c>
      <c r="H198" s="51" t="e">
        <f ca="1"/>
        <v>#NAME?</v>
      </c>
      <c r="I198" s="54" t="e">
        <f ca="1"/>
        <v>#NAME?</v>
      </c>
      <c r="J198" s="51" t="e">
        <f ca="1"/>
        <v>#NAME?</v>
      </c>
      <c r="K198" s="47" t="e">
        <f ca="1"/>
        <v>#NAME?</v>
      </c>
      <c r="L198" s="47" t="e">
        <f ca="1"/>
        <v>#NAME?</v>
      </c>
      <c r="M198" s="47" t="e">
        <f ca="1"/>
        <v>#NAME?</v>
      </c>
      <c r="N198" s="47"/>
    </row>
    <row r="199" spans="1:14" ht="14.25" customHeight="1">
      <c r="A199" s="26">
        <v>8</v>
      </c>
      <c r="B199" s="78"/>
      <c r="C199" s="30" t="s">
        <v>5027</v>
      </c>
      <c r="D199" s="57" t="e">
        <f ca="1"/>
        <v>#NAME?</v>
      </c>
      <c r="E199" s="57" t="e">
        <f ca="1"/>
        <v>#NAME?</v>
      </c>
      <c r="F199" s="26" t="e">
        <f ca="1"/>
        <v>#NAME?</v>
      </c>
      <c r="G199" s="26" t="e">
        <f ca="1"/>
        <v>#NAME?</v>
      </c>
      <c r="H199" s="51" t="e">
        <f ca="1"/>
        <v>#NAME?</v>
      </c>
      <c r="I199" s="54" t="e">
        <f ca="1"/>
        <v>#NAME?</v>
      </c>
      <c r="J199" s="51" t="e">
        <f ca="1"/>
        <v>#NAME?</v>
      </c>
      <c r="K199" s="47" t="e">
        <f ca="1"/>
        <v>#NAME?</v>
      </c>
      <c r="L199" s="47" t="e">
        <f ca="1"/>
        <v>#NAME?</v>
      </c>
      <c r="M199" s="47" t="e">
        <f ca="1"/>
        <v>#NAME?</v>
      </c>
      <c r="N199" s="47"/>
    </row>
    <row r="200" spans="1:14" ht="14.25" customHeight="1">
      <c r="A200" s="26">
        <v>9</v>
      </c>
      <c r="B200" s="78"/>
      <c r="C200" s="30" t="s">
        <v>5037</v>
      </c>
      <c r="D200" s="57" t="e">
        <f ca="1"/>
        <v>#NAME?</v>
      </c>
      <c r="E200" s="57" t="e">
        <f ca="1"/>
        <v>#NAME?</v>
      </c>
      <c r="F200" s="26" t="e">
        <f ca="1"/>
        <v>#NAME?</v>
      </c>
      <c r="G200" s="26" t="e">
        <f ca="1"/>
        <v>#NAME?</v>
      </c>
      <c r="H200" s="51" t="e">
        <f ca="1"/>
        <v>#NAME?</v>
      </c>
      <c r="I200" s="54" t="e">
        <f ca="1"/>
        <v>#NAME?</v>
      </c>
      <c r="J200" s="51" t="e">
        <f ca="1"/>
        <v>#NAME?</v>
      </c>
      <c r="K200" s="47" t="e">
        <f ca="1"/>
        <v>#NAME?</v>
      </c>
      <c r="L200" s="47" t="e">
        <f ca="1"/>
        <v>#NAME?</v>
      </c>
      <c r="M200" s="47" t="e">
        <f ca="1"/>
        <v>#NAME?</v>
      </c>
      <c r="N200" s="47"/>
    </row>
    <row r="201" spans="1:14" ht="14.25" customHeight="1">
      <c r="A201" s="26">
        <v>10</v>
      </c>
      <c r="B201" s="47"/>
      <c r="C201" s="30" t="s">
        <v>5047</v>
      </c>
      <c r="D201" s="57" t="e">
        <f ca="1"/>
        <v>#NAME?</v>
      </c>
      <c r="E201" s="57" t="e">
        <f ca="1"/>
        <v>#NAME?</v>
      </c>
      <c r="F201" s="26" t="e">
        <f ca="1"/>
        <v>#NAME?</v>
      </c>
      <c r="G201" s="26" t="e">
        <f ca="1"/>
        <v>#NAME?</v>
      </c>
      <c r="H201" s="51" t="e">
        <f ca="1"/>
        <v>#NAME?</v>
      </c>
      <c r="I201" s="54" t="e">
        <f ca="1"/>
        <v>#NAME?</v>
      </c>
      <c r="J201" s="51" t="e">
        <f ca="1"/>
        <v>#NAME?</v>
      </c>
      <c r="K201" s="47" t="e">
        <f ca="1"/>
        <v>#NAME?</v>
      </c>
      <c r="L201" s="47" t="e">
        <f ca="1"/>
        <v>#NAME?</v>
      </c>
      <c r="M201" s="47" t="e">
        <f ca="1"/>
        <v>#NAME?</v>
      </c>
      <c r="N201" s="47"/>
    </row>
    <row r="202" spans="1:14" ht="14.25" customHeight="1">
      <c r="A202" s="26">
        <v>11</v>
      </c>
      <c r="B202" s="47"/>
      <c r="C202" s="30" t="s">
        <v>5057</v>
      </c>
      <c r="D202" s="57" t="e">
        <f ca="1"/>
        <v>#NAME?</v>
      </c>
      <c r="E202" s="57" t="e">
        <f ca="1"/>
        <v>#NAME?</v>
      </c>
      <c r="F202" s="26" t="e">
        <f ca="1"/>
        <v>#NAME?</v>
      </c>
      <c r="G202" s="26" t="e">
        <f ca="1"/>
        <v>#NAME?</v>
      </c>
      <c r="H202" s="51" t="e">
        <f ca="1"/>
        <v>#NAME?</v>
      </c>
      <c r="I202" s="54" t="e">
        <f ca="1"/>
        <v>#NAME?</v>
      </c>
      <c r="J202" s="51" t="e">
        <f ca="1"/>
        <v>#NAME?</v>
      </c>
      <c r="K202" s="47" t="e">
        <f ca="1"/>
        <v>#NAME?</v>
      </c>
      <c r="L202" s="47" t="e">
        <f ca="1"/>
        <v>#NAME?</v>
      </c>
      <c r="M202" s="47" t="e">
        <f ca="1"/>
        <v>#NAME?</v>
      </c>
      <c r="N202" s="47"/>
    </row>
    <row r="203" spans="1:14" ht="14.25" customHeight="1">
      <c r="A203" s="26">
        <v>12</v>
      </c>
      <c r="B203" s="47"/>
      <c r="C203" s="30" t="s">
        <v>5067</v>
      </c>
      <c r="D203" s="57" t="e">
        <f ca="1"/>
        <v>#NAME?</v>
      </c>
      <c r="E203" s="57" t="e">
        <f ca="1"/>
        <v>#NAME?</v>
      </c>
      <c r="F203" s="26" t="e">
        <f ca="1"/>
        <v>#NAME?</v>
      </c>
      <c r="G203" s="26" t="e">
        <f ca="1"/>
        <v>#NAME?</v>
      </c>
      <c r="H203" s="51" t="e">
        <f ca="1"/>
        <v>#NAME?</v>
      </c>
      <c r="I203" s="54" t="e">
        <f ca="1"/>
        <v>#NAME?</v>
      </c>
      <c r="J203" s="51" t="e">
        <f ca="1"/>
        <v>#NAME?</v>
      </c>
      <c r="K203" s="47" t="e">
        <f ca="1"/>
        <v>#NAME?</v>
      </c>
      <c r="L203" s="47" t="e">
        <f ca="1"/>
        <v>#NAME?</v>
      </c>
      <c r="M203" s="47" t="e">
        <f ca="1"/>
        <v>#NAME?</v>
      </c>
      <c r="N203" s="47"/>
    </row>
    <row r="204" spans="1:14" ht="14.25" customHeight="1">
      <c r="A204" s="40">
        <v>1</v>
      </c>
      <c r="B204" s="78"/>
      <c r="C204" s="58" t="s">
        <v>5077</v>
      </c>
      <c r="D204" s="45" t="e">
        <f ca="1"/>
        <v>#NAME?</v>
      </c>
      <c r="E204" s="45" t="e">
        <f ca="1"/>
        <v>#NAME?</v>
      </c>
      <c r="F204" s="40" t="e">
        <f ca="1"/>
        <v>#NAME?</v>
      </c>
      <c r="G204" s="40" t="e">
        <f ca="1"/>
        <v>#NAME?</v>
      </c>
      <c r="H204" s="44" t="e">
        <f ca="1"/>
        <v>#NAME?</v>
      </c>
      <c r="I204" s="65" t="e">
        <f ca="1"/>
        <v>#NAME?</v>
      </c>
      <c r="J204" s="44" t="e">
        <f ca="1"/>
        <v>#NAME?</v>
      </c>
      <c r="K204" s="41" t="e">
        <f ca="1"/>
        <v>#NAME?</v>
      </c>
      <c r="L204" s="41" t="e">
        <f ca="1"/>
        <v>#NAME?</v>
      </c>
      <c r="M204" s="41" t="e">
        <f ca="1"/>
        <v>#NAME?</v>
      </c>
      <c r="N204" s="41">
        <v>15</v>
      </c>
    </row>
    <row r="205" spans="1:14" ht="14.25" customHeight="1">
      <c r="A205" s="26">
        <v>2</v>
      </c>
      <c r="B205" s="78"/>
      <c r="C205" s="30" t="s">
        <v>5086</v>
      </c>
      <c r="D205" s="57" t="e">
        <f ca="1"/>
        <v>#NAME?</v>
      </c>
      <c r="E205" s="57" t="e">
        <f ca="1"/>
        <v>#NAME?</v>
      </c>
      <c r="F205" s="26" t="e">
        <f ca="1"/>
        <v>#NAME?</v>
      </c>
      <c r="G205" s="26" t="e">
        <f ca="1"/>
        <v>#NAME?</v>
      </c>
      <c r="H205" s="51" t="e">
        <f ca="1"/>
        <v>#NAME?</v>
      </c>
      <c r="I205" s="54" t="e">
        <f ca="1"/>
        <v>#NAME?</v>
      </c>
      <c r="J205" s="51" t="e">
        <f ca="1"/>
        <v>#NAME?</v>
      </c>
      <c r="K205" s="47" t="e">
        <f ca="1"/>
        <v>#NAME?</v>
      </c>
      <c r="L205" s="47" t="e">
        <f ca="1"/>
        <v>#NAME?</v>
      </c>
      <c r="M205" s="47" t="e">
        <f ca="1"/>
        <v>#NAME?</v>
      </c>
      <c r="N205" s="47"/>
    </row>
    <row r="206" spans="1:14" ht="14.25" customHeight="1">
      <c r="A206" s="26">
        <v>3</v>
      </c>
      <c r="B206" s="78"/>
      <c r="C206" s="30" t="s">
        <v>5097</v>
      </c>
      <c r="D206" s="57" t="e">
        <f ca="1"/>
        <v>#NAME?</v>
      </c>
      <c r="E206" s="57" t="e">
        <f ca="1"/>
        <v>#NAME?</v>
      </c>
      <c r="F206" s="26" t="e">
        <f ca="1"/>
        <v>#NAME?</v>
      </c>
      <c r="G206" s="26" t="e">
        <f ca="1"/>
        <v>#NAME?</v>
      </c>
      <c r="H206" s="51" t="e">
        <f ca="1"/>
        <v>#NAME?</v>
      </c>
      <c r="I206" s="54" t="e">
        <f ca="1"/>
        <v>#NAME?</v>
      </c>
      <c r="J206" s="51" t="e">
        <f ca="1"/>
        <v>#NAME?</v>
      </c>
      <c r="K206" s="47" t="e">
        <f ca="1"/>
        <v>#NAME?</v>
      </c>
      <c r="L206" s="47" t="e">
        <f ca="1"/>
        <v>#NAME?</v>
      </c>
      <c r="M206" s="47" t="e">
        <f ca="1"/>
        <v>#NAME?</v>
      </c>
      <c r="N206" s="47"/>
    </row>
    <row r="207" spans="1:14" ht="14.25" customHeight="1">
      <c r="A207" s="26">
        <v>4</v>
      </c>
      <c r="B207" s="78"/>
      <c r="C207" s="30" t="s">
        <v>5107</v>
      </c>
      <c r="D207" s="57" t="e">
        <f ca="1"/>
        <v>#NAME?</v>
      </c>
      <c r="E207" s="57" t="e">
        <f ca="1"/>
        <v>#NAME?</v>
      </c>
      <c r="F207" s="26" t="e">
        <f ca="1"/>
        <v>#NAME?</v>
      </c>
      <c r="G207" s="26" t="e">
        <f ca="1"/>
        <v>#NAME?</v>
      </c>
      <c r="H207" s="51" t="e">
        <f ca="1"/>
        <v>#NAME?</v>
      </c>
      <c r="I207" s="54" t="e">
        <f ca="1"/>
        <v>#NAME?</v>
      </c>
      <c r="J207" s="51" t="e">
        <f ca="1"/>
        <v>#NAME?</v>
      </c>
      <c r="K207" s="47" t="e">
        <f ca="1"/>
        <v>#NAME?</v>
      </c>
      <c r="L207" s="47" t="e">
        <f ca="1"/>
        <v>#NAME?</v>
      </c>
      <c r="M207" s="47" t="e">
        <f ca="1"/>
        <v>#NAME?</v>
      </c>
      <c r="N207" s="47"/>
    </row>
    <row r="208" spans="1:14" ht="14.25" customHeight="1">
      <c r="A208" s="26">
        <v>5</v>
      </c>
      <c r="B208" s="78"/>
      <c r="C208" s="30" t="s">
        <v>5117</v>
      </c>
      <c r="D208" s="57" t="e">
        <f ca="1"/>
        <v>#NAME?</v>
      </c>
      <c r="E208" s="57" t="e">
        <f ca="1"/>
        <v>#NAME?</v>
      </c>
      <c r="F208" s="26" t="e">
        <f ca="1"/>
        <v>#NAME?</v>
      </c>
      <c r="G208" s="26" t="e">
        <f ca="1"/>
        <v>#NAME?</v>
      </c>
      <c r="H208" s="51" t="e">
        <f ca="1"/>
        <v>#NAME?</v>
      </c>
      <c r="I208" s="54" t="e">
        <f ca="1"/>
        <v>#NAME?</v>
      </c>
      <c r="J208" s="51" t="e">
        <f ca="1"/>
        <v>#NAME?</v>
      </c>
      <c r="K208" s="47" t="e">
        <f ca="1"/>
        <v>#NAME?</v>
      </c>
      <c r="L208" s="47" t="e">
        <f ca="1"/>
        <v>#NAME?</v>
      </c>
      <c r="M208" s="47" t="e">
        <f ca="1"/>
        <v>#NAME?</v>
      </c>
      <c r="N208" s="47"/>
    </row>
    <row r="209" spans="1:14" ht="14.25" customHeight="1">
      <c r="A209" s="26">
        <v>6</v>
      </c>
      <c r="B209" s="78"/>
      <c r="C209" s="30" t="s">
        <v>5126</v>
      </c>
      <c r="D209" s="57" t="e">
        <f ca="1"/>
        <v>#NAME?</v>
      </c>
      <c r="E209" s="57" t="e">
        <f ca="1"/>
        <v>#NAME?</v>
      </c>
      <c r="F209" s="26" t="e">
        <f ca="1"/>
        <v>#NAME?</v>
      </c>
      <c r="G209" s="26" t="e">
        <f ca="1"/>
        <v>#NAME?</v>
      </c>
      <c r="H209" s="51" t="e">
        <f ca="1"/>
        <v>#NAME?</v>
      </c>
      <c r="I209" s="54" t="e">
        <f ca="1"/>
        <v>#NAME?</v>
      </c>
      <c r="J209" s="51" t="e">
        <f ca="1"/>
        <v>#NAME?</v>
      </c>
      <c r="K209" s="47" t="e">
        <f ca="1"/>
        <v>#NAME?</v>
      </c>
      <c r="L209" s="47" t="e">
        <f ca="1"/>
        <v>#NAME?</v>
      </c>
      <c r="M209" s="47" t="e">
        <f ca="1"/>
        <v>#NAME?</v>
      </c>
      <c r="N209" s="47"/>
    </row>
    <row r="210" spans="1:14" ht="14.25" customHeight="1">
      <c r="A210" s="26">
        <v>7</v>
      </c>
      <c r="B210" s="78"/>
      <c r="C210" s="30" t="s">
        <v>5136</v>
      </c>
      <c r="D210" s="57" t="e">
        <f ca="1"/>
        <v>#NAME?</v>
      </c>
      <c r="E210" s="57" t="e">
        <f ca="1"/>
        <v>#NAME?</v>
      </c>
      <c r="F210" s="26" t="e">
        <f ca="1"/>
        <v>#NAME?</v>
      </c>
      <c r="G210" s="26" t="e">
        <f ca="1"/>
        <v>#NAME?</v>
      </c>
      <c r="H210" s="51" t="e">
        <f ca="1"/>
        <v>#NAME?</v>
      </c>
      <c r="I210" s="54" t="e">
        <f ca="1"/>
        <v>#NAME?</v>
      </c>
      <c r="J210" s="51" t="e">
        <f ca="1"/>
        <v>#NAME?</v>
      </c>
      <c r="K210" s="47" t="e">
        <f ca="1"/>
        <v>#NAME?</v>
      </c>
      <c r="L210" s="47" t="e">
        <f ca="1"/>
        <v>#NAME?</v>
      </c>
      <c r="M210" s="47" t="e">
        <f ca="1"/>
        <v>#NAME?</v>
      </c>
      <c r="N210" s="47"/>
    </row>
    <row r="211" spans="1:14" ht="14.25" customHeight="1">
      <c r="A211" s="26">
        <v>8</v>
      </c>
      <c r="B211" s="47"/>
      <c r="C211" s="30" t="s">
        <v>3072</v>
      </c>
      <c r="D211" s="57" t="e">
        <f ca="1"/>
        <v>#NAME?</v>
      </c>
      <c r="E211" s="57" t="e">
        <f ca="1"/>
        <v>#NAME?</v>
      </c>
      <c r="F211" s="26" t="e">
        <f ca="1"/>
        <v>#NAME?</v>
      </c>
      <c r="G211" s="26" t="e">
        <f ca="1"/>
        <v>#NAME?</v>
      </c>
      <c r="H211" s="51" t="e">
        <f ca="1"/>
        <v>#NAME?</v>
      </c>
      <c r="I211" s="54" t="e">
        <f ca="1"/>
        <v>#NAME?</v>
      </c>
      <c r="J211" s="51" t="e">
        <f ca="1"/>
        <v>#NAME?</v>
      </c>
      <c r="K211" s="47" t="e">
        <f ca="1"/>
        <v>#NAME?</v>
      </c>
      <c r="L211" s="47" t="e">
        <f ca="1"/>
        <v>#NAME?</v>
      </c>
      <c r="M211" s="47" t="e">
        <f ca="1"/>
        <v>#NAME?</v>
      </c>
      <c r="N211" s="47"/>
    </row>
    <row r="212" spans="1:14" ht="14.25" customHeight="1">
      <c r="A212" s="26">
        <v>9</v>
      </c>
      <c r="B212" s="78"/>
      <c r="C212" s="30" t="s">
        <v>5152</v>
      </c>
      <c r="D212" s="57" t="e">
        <f ca="1"/>
        <v>#NAME?</v>
      </c>
      <c r="E212" s="57" t="e">
        <f ca="1"/>
        <v>#NAME?</v>
      </c>
      <c r="F212" s="26" t="e">
        <f ca="1"/>
        <v>#NAME?</v>
      </c>
      <c r="G212" s="26" t="e">
        <f ca="1"/>
        <v>#NAME?</v>
      </c>
      <c r="H212" s="51" t="e">
        <f ca="1"/>
        <v>#NAME?</v>
      </c>
      <c r="I212" s="54" t="e">
        <f ca="1"/>
        <v>#NAME?</v>
      </c>
      <c r="J212" s="51" t="e">
        <f ca="1"/>
        <v>#NAME?</v>
      </c>
      <c r="K212" s="47" t="e">
        <f ca="1"/>
        <v>#NAME?</v>
      </c>
      <c r="L212" s="47" t="e">
        <f ca="1"/>
        <v>#NAME?</v>
      </c>
      <c r="M212" s="47" t="e">
        <f ca="1"/>
        <v>#NAME?</v>
      </c>
      <c r="N212" s="47"/>
    </row>
    <row r="213" spans="1:14" ht="14.25" customHeight="1">
      <c r="A213" s="26">
        <v>10</v>
      </c>
      <c r="B213" s="78"/>
      <c r="C213" s="30" t="s">
        <v>5162</v>
      </c>
      <c r="D213" s="57" t="e">
        <f ca="1"/>
        <v>#NAME?</v>
      </c>
      <c r="E213" s="57" t="e">
        <f ca="1"/>
        <v>#NAME?</v>
      </c>
      <c r="F213" s="26" t="e">
        <f ca="1"/>
        <v>#NAME?</v>
      </c>
      <c r="G213" s="26" t="e">
        <f ca="1"/>
        <v>#NAME?</v>
      </c>
      <c r="H213" s="51" t="e">
        <f ca="1"/>
        <v>#NAME?</v>
      </c>
      <c r="I213" s="54" t="e">
        <f ca="1"/>
        <v>#NAME?</v>
      </c>
      <c r="J213" s="51" t="e">
        <f ca="1"/>
        <v>#NAME?</v>
      </c>
      <c r="K213" s="47" t="e">
        <f ca="1"/>
        <v>#NAME?</v>
      </c>
      <c r="L213" s="47" t="e">
        <f ca="1"/>
        <v>#NAME?</v>
      </c>
      <c r="M213" s="47" t="e">
        <f ca="1"/>
        <v>#NAME?</v>
      </c>
      <c r="N213" s="47"/>
    </row>
    <row r="214" spans="1:14" ht="14.25" customHeight="1">
      <c r="A214" s="26">
        <v>11</v>
      </c>
      <c r="B214" s="47"/>
      <c r="C214" s="30" t="s">
        <v>5172</v>
      </c>
      <c r="D214" s="57" t="e">
        <f ca="1"/>
        <v>#NAME?</v>
      </c>
      <c r="E214" s="57" t="e">
        <f ca="1"/>
        <v>#NAME?</v>
      </c>
      <c r="F214" s="26" t="e">
        <f ca="1"/>
        <v>#NAME?</v>
      </c>
      <c r="G214" s="26" t="e">
        <f ca="1"/>
        <v>#NAME?</v>
      </c>
      <c r="H214" s="51" t="e">
        <f ca="1"/>
        <v>#NAME?</v>
      </c>
      <c r="I214" s="54" t="e">
        <f ca="1"/>
        <v>#NAME?</v>
      </c>
      <c r="J214" s="51" t="e">
        <f ca="1"/>
        <v>#NAME?</v>
      </c>
      <c r="K214" s="47" t="e">
        <f ca="1"/>
        <v>#NAME?</v>
      </c>
      <c r="L214" s="47" t="e">
        <f ca="1"/>
        <v>#NAME?</v>
      </c>
      <c r="M214" s="47" t="e">
        <f ca="1"/>
        <v>#NAME?</v>
      </c>
      <c r="N214" s="47"/>
    </row>
    <row r="215" spans="1:14" ht="14.25" customHeight="1">
      <c r="A215" s="26">
        <v>12</v>
      </c>
      <c r="B215" s="47"/>
      <c r="C215" s="30" t="s">
        <v>5182</v>
      </c>
      <c r="D215" s="57" t="e">
        <f ca="1"/>
        <v>#NAME?</v>
      </c>
      <c r="E215" s="57" t="e">
        <f ca="1"/>
        <v>#NAME?</v>
      </c>
      <c r="F215" s="26" t="e">
        <f ca="1"/>
        <v>#NAME?</v>
      </c>
      <c r="G215" s="26" t="e">
        <f ca="1"/>
        <v>#NAME?</v>
      </c>
      <c r="H215" s="51" t="e">
        <f ca="1"/>
        <v>#NAME?</v>
      </c>
      <c r="I215" s="54" t="e">
        <f ca="1"/>
        <v>#NAME?</v>
      </c>
      <c r="J215" s="51" t="e">
        <f ca="1"/>
        <v>#NAME?</v>
      </c>
      <c r="K215" s="47" t="e">
        <f ca="1"/>
        <v>#NAME?</v>
      </c>
      <c r="L215" s="47" t="e">
        <f ca="1"/>
        <v>#NAME?</v>
      </c>
      <c r="M215" s="47" t="e">
        <f ca="1"/>
        <v>#NAME?</v>
      </c>
      <c r="N215" s="47"/>
    </row>
  </sheetData>
  <autoFilter ref="A1:N215" xr:uid="{00000000-0009-0000-0000-000004000000}"/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491"/>
  <sheetViews>
    <sheetView workbookViewId="0">
      <pane xSplit="3" topLeftCell="D1" activePane="topRight" state="frozen"/>
      <selection pane="topRight" activeCell="E2" sqref="E2"/>
    </sheetView>
  </sheetViews>
  <sheetFormatPr defaultColWidth="12.6640625" defaultRowHeight="15" customHeight="1"/>
  <cols>
    <col min="4" max="4" width="37.77734375" customWidth="1"/>
    <col min="7" max="7" width="37.21875" customWidth="1"/>
    <col min="8" max="8" width="37.6640625" customWidth="1"/>
    <col min="9" max="9" width="38" customWidth="1"/>
    <col min="10" max="10" width="38.6640625" customWidth="1"/>
    <col min="11" max="12" width="25.6640625" customWidth="1"/>
    <col min="13" max="13" width="25.109375" customWidth="1"/>
    <col min="15" max="15" width="26.21875" customWidth="1"/>
  </cols>
  <sheetData>
    <row r="1" spans="1:26" ht="14.4">
      <c r="A1" s="14" t="s">
        <v>12</v>
      </c>
      <c r="B1" s="35" t="s">
        <v>13</v>
      </c>
      <c r="C1" s="35" t="s">
        <v>14</v>
      </c>
      <c r="D1" s="35" t="s">
        <v>3114</v>
      </c>
      <c r="E1" s="35" t="s">
        <v>16</v>
      </c>
      <c r="F1" s="35" t="s">
        <v>17</v>
      </c>
      <c r="G1" s="35" t="s">
        <v>18</v>
      </c>
      <c r="H1" s="36" t="s">
        <v>19</v>
      </c>
      <c r="I1" s="35" t="s">
        <v>20</v>
      </c>
      <c r="J1" s="37" t="s">
        <v>21</v>
      </c>
      <c r="K1" s="38" t="s">
        <v>22</v>
      </c>
      <c r="L1" s="38" t="s">
        <v>23</v>
      </c>
      <c r="M1" s="38" t="s">
        <v>24</v>
      </c>
      <c r="N1" s="38" t="s">
        <v>25</v>
      </c>
      <c r="O1" s="38" t="s">
        <v>26</v>
      </c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4.4">
      <c r="A2" s="19">
        <v>1</v>
      </c>
      <c r="B2" s="88"/>
      <c r="C2" s="89" t="s">
        <v>5452</v>
      </c>
      <c r="D2" s="90" t="s">
        <v>5453</v>
      </c>
      <c r="E2" s="90" t="s">
        <v>5454</v>
      </c>
      <c r="F2" s="90" t="s">
        <v>117</v>
      </c>
      <c r="G2" s="90" t="s">
        <v>5455</v>
      </c>
      <c r="H2" s="91" t="s">
        <v>5456</v>
      </c>
      <c r="I2" s="90" t="s">
        <v>5457</v>
      </c>
      <c r="J2" s="92" t="s">
        <v>5458</v>
      </c>
      <c r="K2" s="88" t="s">
        <v>5459</v>
      </c>
      <c r="L2" s="88" t="s">
        <v>5460</v>
      </c>
      <c r="M2" s="88" t="s">
        <v>5461</v>
      </c>
      <c r="N2" s="88">
        <v>1</v>
      </c>
      <c r="O2" s="24" t="s">
        <v>38</v>
      </c>
    </row>
    <row r="3" spans="1:26" ht="14.4">
      <c r="A3" s="26">
        <v>2</v>
      </c>
      <c r="B3" s="47"/>
      <c r="C3" s="70" t="s">
        <v>5462</v>
      </c>
      <c r="D3" s="63" t="s">
        <v>5463</v>
      </c>
      <c r="E3" s="63" t="s">
        <v>5464</v>
      </c>
      <c r="F3" s="63" t="s">
        <v>117</v>
      </c>
      <c r="G3" s="63" t="s">
        <v>5465</v>
      </c>
      <c r="H3" s="93" t="s">
        <v>5466</v>
      </c>
      <c r="I3" s="63" t="s">
        <v>5467</v>
      </c>
      <c r="J3" s="51" t="s">
        <v>5468</v>
      </c>
      <c r="K3" s="47" t="s">
        <v>5469</v>
      </c>
      <c r="L3" s="47" t="s">
        <v>5470</v>
      </c>
      <c r="M3" s="47" t="s">
        <v>5471</v>
      </c>
      <c r="N3" s="47"/>
      <c r="O3" s="314" t="s">
        <v>5472</v>
      </c>
    </row>
    <row r="4" spans="1:26" ht="14.4">
      <c r="A4" s="26">
        <v>3</v>
      </c>
      <c r="B4" s="47"/>
      <c r="C4" s="70" t="s">
        <v>3982</v>
      </c>
      <c r="D4" s="63" t="s">
        <v>3983</v>
      </c>
      <c r="E4" s="63" t="s">
        <v>3984</v>
      </c>
      <c r="F4" s="63" t="s">
        <v>54</v>
      </c>
      <c r="G4" s="63" t="s">
        <v>3985</v>
      </c>
      <c r="H4" s="93" t="s">
        <v>5473</v>
      </c>
      <c r="I4" s="63" t="s">
        <v>3987</v>
      </c>
      <c r="J4" s="63" t="s">
        <v>3988</v>
      </c>
      <c r="K4" s="47" t="s">
        <v>5474</v>
      </c>
      <c r="L4" s="47" t="s">
        <v>5475</v>
      </c>
      <c r="M4" s="47" t="s">
        <v>5476</v>
      </c>
      <c r="N4" s="47"/>
      <c r="O4" s="310"/>
    </row>
    <row r="5" spans="1:26" ht="14.4">
      <c r="A5" s="26">
        <v>4</v>
      </c>
      <c r="B5" s="47"/>
      <c r="C5" s="70" t="s">
        <v>5477</v>
      </c>
      <c r="D5" s="63" t="s">
        <v>5478</v>
      </c>
      <c r="E5" s="63" t="s">
        <v>5479</v>
      </c>
      <c r="F5" s="63" t="s">
        <v>65</v>
      </c>
      <c r="G5" s="63" t="s">
        <v>5480</v>
      </c>
      <c r="H5" s="93" t="s">
        <v>5481</v>
      </c>
      <c r="I5" s="63" t="s">
        <v>5482</v>
      </c>
      <c r="J5" s="51" t="s">
        <v>5483</v>
      </c>
      <c r="K5" s="47" t="s">
        <v>5484</v>
      </c>
      <c r="L5" s="47" t="s">
        <v>5485</v>
      </c>
      <c r="M5" s="47" t="s">
        <v>5486</v>
      </c>
      <c r="N5" s="47"/>
      <c r="O5" s="310"/>
    </row>
    <row r="6" spans="1:26" ht="14.4">
      <c r="A6" s="26">
        <v>5</v>
      </c>
      <c r="B6" s="47"/>
      <c r="C6" s="70" t="s">
        <v>5487</v>
      </c>
      <c r="D6" s="63" t="s">
        <v>5488</v>
      </c>
      <c r="E6" s="63" t="s">
        <v>5489</v>
      </c>
      <c r="F6" s="63" t="s">
        <v>563</v>
      </c>
      <c r="G6" s="63" t="s">
        <v>5490</v>
      </c>
      <c r="H6" s="93" t="s">
        <v>5491</v>
      </c>
      <c r="I6" s="63" t="s">
        <v>5492</v>
      </c>
      <c r="J6" s="51" t="s">
        <v>5493</v>
      </c>
      <c r="K6" s="47" t="s">
        <v>5494</v>
      </c>
      <c r="L6" s="47" t="s">
        <v>5495</v>
      </c>
      <c r="M6" s="47" t="s">
        <v>5496</v>
      </c>
      <c r="N6" s="47"/>
      <c r="O6" s="310"/>
    </row>
    <row r="7" spans="1:26" ht="14.4">
      <c r="A7" s="26">
        <v>6</v>
      </c>
      <c r="B7" s="47"/>
      <c r="C7" s="70" t="s">
        <v>5497</v>
      </c>
      <c r="D7" s="63" t="s">
        <v>5498</v>
      </c>
      <c r="E7" s="63" t="s">
        <v>5499</v>
      </c>
      <c r="F7" s="63" t="s">
        <v>54</v>
      </c>
      <c r="G7" s="63" t="s">
        <v>5500</v>
      </c>
      <c r="H7" s="93" t="s">
        <v>5501</v>
      </c>
      <c r="I7" s="63" t="s">
        <v>5502</v>
      </c>
      <c r="J7" s="51" t="s">
        <v>5503</v>
      </c>
      <c r="K7" s="47" t="s">
        <v>5504</v>
      </c>
      <c r="L7" s="47" t="s">
        <v>5505</v>
      </c>
      <c r="M7" s="47" t="s">
        <v>5506</v>
      </c>
      <c r="N7" s="47"/>
      <c r="O7" s="310"/>
    </row>
    <row r="8" spans="1:26" ht="14.4">
      <c r="A8" s="26">
        <v>7</v>
      </c>
      <c r="B8" s="47"/>
      <c r="C8" s="70" t="s">
        <v>3082</v>
      </c>
      <c r="D8" s="63" t="s">
        <v>3083</v>
      </c>
      <c r="E8" s="63" t="s">
        <v>3084</v>
      </c>
      <c r="F8" s="63" t="s">
        <v>117</v>
      </c>
      <c r="G8" s="63" t="s">
        <v>3140</v>
      </c>
      <c r="H8" s="93" t="s">
        <v>5507</v>
      </c>
      <c r="I8" s="63" t="s">
        <v>3087</v>
      </c>
      <c r="J8" s="51" t="s">
        <v>3088</v>
      </c>
      <c r="K8" s="47" t="s">
        <v>5508</v>
      </c>
      <c r="L8" s="47" t="s">
        <v>5509</v>
      </c>
      <c r="M8" s="47" t="s">
        <v>5510</v>
      </c>
      <c r="N8" s="47"/>
      <c r="O8" s="310"/>
    </row>
    <row r="9" spans="1:26" ht="14.4">
      <c r="A9" s="26">
        <v>8</v>
      </c>
      <c r="B9" s="47"/>
      <c r="C9" s="70" t="s">
        <v>5511</v>
      </c>
      <c r="D9" s="63" t="s">
        <v>5512</v>
      </c>
      <c r="E9" s="63" t="s">
        <v>5513</v>
      </c>
      <c r="F9" s="63" t="s">
        <v>65</v>
      </c>
      <c r="G9" s="63" t="s">
        <v>5514</v>
      </c>
      <c r="H9" s="93" t="s">
        <v>5515</v>
      </c>
      <c r="I9" s="63" t="s">
        <v>5516</v>
      </c>
      <c r="J9" s="51" t="s">
        <v>5517</v>
      </c>
      <c r="K9" s="47" t="s">
        <v>5518</v>
      </c>
      <c r="L9" s="47" t="s">
        <v>5519</v>
      </c>
      <c r="M9" s="47" t="s">
        <v>5520</v>
      </c>
      <c r="N9" s="47"/>
      <c r="O9" s="310"/>
    </row>
    <row r="10" spans="1:26" ht="14.4">
      <c r="A10" s="26">
        <v>9</v>
      </c>
      <c r="B10" s="47"/>
      <c r="C10" s="94" t="s">
        <v>5521</v>
      </c>
      <c r="D10" s="64" t="s">
        <v>5522</v>
      </c>
      <c r="E10" s="64" t="s">
        <v>5523</v>
      </c>
      <c r="F10" s="64" t="s">
        <v>117</v>
      </c>
      <c r="G10" s="64" t="s">
        <v>5524</v>
      </c>
      <c r="H10" s="93" t="s">
        <v>5525</v>
      </c>
      <c r="I10" s="64" t="s">
        <v>5526</v>
      </c>
      <c r="J10" s="51" t="s">
        <v>5527</v>
      </c>
      <c r="K10" s="47" t="s">
        <v>5528</v>
      </c>
      <c r="L10" s="47" t="s">
        <v>5529</v>
      </c>
      <c r="M10" s="47" t="s">
        <v>5530</v>
      </c>
      <c r="N10" s="47"/>
      <c r="O10" s="310"/>
    </row>
    <row r="11" spans="1:26" ht="14.4">
      <c r="A11" s="26">
        <v>10</v>
      </c>
      <c r="B11" s="47"/>
      <c r="C11" s="94" t="s">
        <v>5531</v>
      </c>
      <c r="D11" s="64" t="s">
        <v>5532</v>
      </c>
      <c r="E11" s="64" t="s">
        <v>5533</v>
      </c>
      <c r="F11" s="64" t="s">
        <v>65</v>
      </c>
      <c r="G11" s="64" t="s">
        <v>5534</v>
      </c>
      <c r="H11" s="93" t="s">
        <v>5535</v>
      </c>
      <c r="I11" s="64" t="s">
        <v>5536</v>
      </c>
      <c r="J11" s="51" t="s">
        <v>5537</v>
      </c>
      <c r="K11" s="47" t="s">
        <v>5538</v>
      </c>
      <c r="L11" s="47" t="s">
        <v>5539</v>
      </c>
      <c r="M11" s="47" t="s">
        <v>5540</v>
      </c>
      <c r="N11" s="47"/>
      <c r="O11" s="310"/>
    </row>
    <row r="12" spans="1:26" ht="14.4">
      <c r="A12" s="26">
        <v>11</v>
      </c>
      <c r="B12" s="47"/>
      <c r="C12" s="94" t="s">
        <v>5541</v>
      </c>
      <c r="D12" s="95" t="s">
        <v>5542</v>
      </c>
      <c r="E12" s="64" t="s">
        <v>5543</v>
      </c>
      <c r="F12" s="64" t="s">
        <v>65</v>
      </c>
      <c r="G12" s="64" t="s">
        <v>5544</v>
      </c>
      <c r="H12" s="93" t="s">
        <v>5545</v>
      </c>
      <c r="I12" s="64" t="s">
        <v>5546</v>
      </c>
      <c r="J12" s="95" t="s">
        <v>5547</v>
      </c>
      <c r="K12" s="47" t="s">
        <v>5548</v>
      </c>
      <c r="L12" s="47" t="s">
        <v>5549</v>
      </c>
      <c r="M12" s="47" t="s">
        <v>5550</v>
      </c>
      <c r="N12" s="47"/>
      <c r="O12" s="310"/>
    </row>
    <row r="13" spans="1:26" ht="14.4">
      <c r="A13" s="26">
        <v>12</v>
      </c>
      <c r="B13" s="47"/>
      <c r="C13" s="94" t="s">
        <v>5172</v>
      </c>
      <c r="D13" s="64" t="s">
        <v>5173</v>
      </c>
      <c r="E13" s="64" t="s">
        <v>5174</v>
      </c>
      <c r="F13" s="64" t="s">
        <v>219</v>
      </c>
      <c r="G13" s="64" t="s">
        <v>5175</v>
      </c>
      <c r="H13" s="93" t="s">
        <v>5551</v>
      </c>
      <c r="I13" s="64" t="s">
        <v>5552</v>
      </c>
      <c r="J13" s="51" t="s">
        <v>5178</v>
      </c>
      <c r="K13" s="47" t="s">
        <v>5553</v>
      </c>
      <c r="L13" s="47" t="s">
        <v>5554</v>
      </c>
      <c r="M13" s="47" t="s">
        <v>5555</v>
      </c>
      <c r="N13" s="47"/>
      <c r="O13" s="310"/>
    </row>
    <row r="14" spans="1:26" ht="14.4">
      <c r="A14" s="26">
        <v>13</v>
      </c>
      <c r="B14" s="47"/>
      <c r="C14" s="94" t="s">
        <v>5556</v>
      </c>
      <c r="D14" s="64" t="s">
        <v>5557</v>
      </c>
      <c r="E14" s="64" t="s">
        <v>5558</v>
      </c>
      <c r="F14" s="64" t="s">
        <v>5559</v>
      </c>
      <c r="G14" s="64" t="s">
        <v>5560</v>
      </c>
      <c r="H14" s="93" t="s">
        <v>5561</v>
      </c>
      <c r="I14" s="64" t="s">
        <v>5562</v>
      </c>
      <c r="J14" s="51" t="s">
        <v>5563</v>
      </c>
      <c r="K14" s="47" t="s">
        <v>5564</v>
      </c>
      <c r="L14" s="47" t="s">
        <v>5565</v>
      </c>
      <c r="M14" s="47" t="s">
        <v>5566</v>
      </c>
      <c r="N14" s="47"/>
      <c r="O14" s="310"/>
    </row>
    <row r="15" spans="1:26" ht="14.4">
      <c r="A15" s="26">
        <v>14</v>
      </c>
      <c r="B15" s="47"/>
      <c r="C15" s="94" t="s">
        <v>5567</v>
      </c>
      <c r="D15" s="64" t="s">
        <v>5568</v>
      </c>
      <c r="E15" s="64" t="s">
        <v>5569</v>
      </c>
      <c r="F15" s="64" t="s">
        <v>117</v>
      </c>
      <c r="G15" s="64" t="s">
        <v>5570</v>
      </c>
      <c r="H15" s="93" t="s">
        <v>5571</v>
      </c>
      <c r="I15" s="64" t="s">
        <v>5572</v>
      </c>
      <c r="J15" s="95" t="s">
        <v>5573</v>
      </c>
      <c r="K15" s="47" t="s">
        <v>5574</v>
      </c>
      <c r="L15" s="47" t="s">
        <v>5575</v>
      </c>
      <c r="M15" s="47" t="s">
        <v>5297</v>
      </c>
      <c r="N15" s="47"/>
      <c r="O15" s="310"/>
    </row>
    <row r="16" spans="1:26" ht="14.4">
      <c r="A16" s="26">
        <v>15</v>
      </c>
      <c r="B16" s="47"/>
      <c r="C16" s="30" t="s">
        <v>5576</v>
      </c>
      <c r="D16" s="63" t="s">
        <v>5577</v>
      </c>
      <c r="E16" s="63" t="s">
        <v>5578</v>
      </c>
      <c r="F16" s="63" t="s">
        <v>65</v>
      </c>
      <c r="G16" s="80" t="s">
        <v>5579</v>
      </c>
      <c r="H16" s="93" t="s">
        <v>5580</v>
      </c>
      <c r="I16" s="63" t="s">
        <v>5581</v>
      </c>
      <c r="J16" s="63" t="s">
        <v>5582</v>
      </c>
      <c r="K16" s="47" t="s">
        <v>5583</v>
      </c>
      <c r="L16" s="47" t="s">
        <v>5584</v>
      </c>
      <c r="M16" s="47" t="s">
        <v>5585</v>
      </c>
      <c r="N16" s="47"/>
      <c r="O16" s="310"/>
    </row>
    <row r="17" spans="1:15" ht="14.4">
      <c r="A17" s="26">
        <v>16</v>
      </c>
      <c r="B17" s="47"/>
      <c r="C17" s="30" t="s">
        <v>5586</v>
      </c>
      <c r="D17" s="64" t="s">
        <v>5587</v>
      </c>
      <c r="E17" s="64" t="s">
        <v>5588</v>
      </c>
      <c r="F17" s="64" t="s">
        <v>65</v>
      </c>
      <c r="G17" s="80" t="s">
        <v>5589</v>
      </c>
      <c r="H17" s="93" t="s">
        <v>5590</v>
      </c>
      <c r="I17" s="64" t="s">
        <v>5591</v>
      </c>
      <c r="J17" s="51" t="s">
        <v>5592</v>
      </c>
      <c r="K17" s="47" t="s">
        <v>5593</v>
      </c>
      <c r="L17" s="47" t="s">
        <v>5594</v>
      </c>
      <c r="M17" s="47" t="s">
        <v>5595</v>
      </c>
      <c r="N17" s="47"/>
      <c r="O17" s="310"/>
    </row>
    <row r="18" spans="1:15" ht="14.4">
      <c r="A18" s="26">
        <v>17</v>
      </c>
      <c r="B18" s="47"/>
      <c r="C18" s="30" t="s">
        <v>5596</v>
      </c>
      <c r="D18" s="64" t="s">
        <v>5597</v>
      </c>
      <c r="E18" s="64" t="s">
        <v>5598</v>
      </c>
      <c r="F18" s="64" t="s">
        <v>117</v>
      </c>
      <c r="G18" s="80" t="s">
        <v>5599</v>
      </c>
      <c r="H18" s="93" t="s">
        <v>5600</v>
      </c>
      <c r="I18" s="64" t="s">
        <v>5601</v>
      </c>
      <c r="J18" s="51" t="s">
        <v>5602</v>
      </c>
      <c r="K18" s="47" t="s">
        <v>5603</v>
      </c>
      <c r="L18" s="47" t="s">
        <v>5604</v>
      </c>
      <c r="M18" s="47" t="s">
        <v>5605</v>
      </c>
      <c r="N18" s="47"/>
      <c r="O18" s="310"/>
    </row>
    <row r="19" spans="1:15" ht="14.4">
      <c r="A19" s="26">
        <v>18</v>
      </c>
      <c r="B19" s="47"/>
      <c r="C19" s="30" t="s">
        <v>4820</v>
      </c>
      <c r="D19" s="64" t="s">
        <v>4821</v>
      </c>
      <c r="E19" s="64" t="s">
        <v>4822</v>
      </c>
      <c r="F19" s="64" t="s">
        <v>4823</v>
      </c>
      <c r="G19" s="80" t="s">
        <v>4824</v>
      </c>
      <c r="H19" s="93" t="s">
        <v>5606</v>
      </c>
      <c r="I19" s="64" t="s">
        <v>4826</v>
      </c>
      <c r="J19" s="51" t="s">
        <v>4827</v>
      </c>
      <c r="K19" s="47" t="s">
        <v>5607</v>
      </c>
      <c r="L19" s="47" t="s">
        <v>5608</v>
      </c>
      <c r="M19" s="47" t="s">
        <v>5609</v>
      </c>
      <c r="N19" s="47"/>
      <c r="O19" s="310"/>
    </row>
    <row r="20" spans="1:15" ht="14.4">
      <c r="A20" s="26">
        <v>19</v>
      </c>
      <c r="B20" s="47"/>
      <c r="C20" s="30" t="s">
        <v>5610</v>
      </c>
      <c r="D20" s="64" t="s">
        <v>5611</v>
      </c>
      <c r="E20" s="64" t="s">
        <v>5612</v>
      </c>
      <c r="F20" s="64" t="s">
        <v>65</v>
      </c>
      <c r="G20" s="80" t="s">
        <v>5613</v>
      </c>
      <c r="H20" s="93" t="s">
        <v>5614</v>
      </c>
      <c r="I20" s="64" t="s">
        <v>5615</v>
      </c>
      <c r="J20" s="51" t="s">
        <v>5616</v>
      </c>
      <c r="K20" s="47" t="s">
        <v>5617</v>
      </c>
      <c r="L20" s="47" t="s">
        <v>5618</v>
      </c>
      <c r="M20" s="47" t="s">
        <v>5619</v>
      </c>
      <c r="N20" s="47"/>
      <c r="O20" s="310"/>
    </row>
    <row r="21" spans="1:15" ht="14.4">
      <c r="A21" s="26">
        <v>20</v>
      </c>
      <c r="B21" s="47"/>
      <c r="C21" s="30" t="s">
        <v>5620</v>
      </c>
      <c r="D21" s="64" t="s">
        <v>5621</v>
      </c>
      <c r="E21" s="64" t="s">
        <v>5622</v>
      </c>
      <c r="F21" s="64" t="s">
        <v>54</v>
      </c>
      <c r="G21" s="80" t="s">
        <v>5623</v>
      </c>
      <c r="H21" s="93" t="s">
        <v>5624</v>
      </c>
      <c r="I21" s="64" t="s">
        <v>5625</v>
      </c>
      <c r="J21" s="64" t="s">
        <v>5626</v>
      </c>
      <c r="K21" s="47" t="s">
        <v>5627</v>
      </c>
      <c r="L21" s="47" t="s">
        <v>5628</v>
      </c>
      <c r="M21" s="47" t="s">
        <v>5629</v>
      </c>
      <c r="N21" s="47"/>
      <c r="O21" s="310"/>
    </row>
    <row r="22" spans="1:15" ht="15.6">
      <c r="A22" s="26">
        <v>21</v>
      </c>
      <c r="B22" s="47"/>
      <c r="C22" s="30" t="s">
        <v>5630</v>
      </c>
      <c r="D22" s="64" t="s">
        <v>5631</v>
      </c>
      <c r="E22" s="64" t="s">
        <v>5632</v>
      </c>
      <c r="F22" s="64" t="s">
        <v>65</v>
      </c>
      <c r="G22" s="80" t="s">
        <v>5633</v>
      </c>
      <c r="H22" s="93" t="s">
        <v>5634</v>
      </c>
      <c r="I22" s="68" t="s">
        <v>5635</v>
      </c>
      <c r="J22" s="51" t="s">
        <v>5636</v>
      </c>
      <c r="K22" s="47" t="s">
        <v>5637</v>
      </c>
      <c r="L22" s="47" t="s">
        <v>5638</v>
      </c>
      <c r="M22" s="47" t="s">
        <v>5639</v>
      </c>
      <c r="N22" s="47"/>
      <c r="O22" s="310"/>
    </row>
    <row r="23" spans="1:15" ht="14.4">
      <c r="A23" s="26">
        <v>22</v>
      </c>
      <c r="B23" s="47"/>
      <c r="C23" s="30" t="s">
        <v>5640</v>
      </c>
      <c r="D23" s="64" t="s">
        <v>5641</v>
      </c>
      <c r="E23" s="64" t="s">
        <v>5642</v>
      </c>
      <c r="F23" s="64" t="s">
        <v>5559</v>
      </c>
      <c r="G23" s="80" t="s">
        <v>5643</v>
      </c>
      <c r="H23" s="93" t="s">
        <v>5644</v>
      </c>
      <c r="I23" s="64" t="s">
        <v>5645</v>
      </c>
      <c r="J23" s="64" t="s">
        <v>5646</v>
      </c>
      <c r="K23" s="47" t="s">
        <v>5647</v>
      </c>
      <c r="L23" s="47" t="s">
        <v>5648</v>
      </c>
      <c r="M23" s="47" t="s">
        <v>5649</v>
      </c>
      <c r="N23" s="47"/>
      <c r="O23" s="310"/>
    </row>
    <row r="24" spans="1:15" ht="14.4">
      <c r="A24" s="26">
        <v>23</v>
      </c>
      <c r="B24" s="47"/>
      <c r="C24" s="30" t="s">
        <v>5650</v>
      </c>
      <c r="D24" s="64" t="s">
        <v>5651</v>
      </c>
      <c r="E24" s="64" t="s">
        <v>5652</v>
      </c>
      <c r="F24" s="64" t="s">
        <v>117</v>
      </c>
      <c r="G24" s="80" t="s">
        <v>5653</v>
      </c>
      <c r="H24" s="93" t="s">
        <v>5654</v>
      </c>
      <c r="I24" s="64" t="s">
        <v>5655</v>
      </c>
      <c r="J24" s="51" t="s">
        <v>5656</v>
      </c>
      <c r="K24" s="47" t="s">
        <v>5657</v>
      </c>
      <c r="L24" s="47" t="s">
        <v>5658</v>
      </c>
      <c r="M24" s="47" t="s">
        <v>5659</v>
      </c>
      <c r="N24" s="47"/>
      <c r="O24" s="310"/>
    </row>
    <row r="25" spans="1:15" ht="14.4">
      <c r="A25" s="26">
        <v>24</v>
      </c>
      <c r="B25" s="47"/>
      <c r="C25" s="30" t="s">
        <v>5660</v>
      </c>
      <c r="D25" s="64" t="s">
        <v>5661</v>
      </c>
      <c r="E25" s="64" t="s">
        <v>5662</v>
      </c>
      <c r="F25" s="64" t="s">
        <v>117</v>
      </c>
      <c r="G25" s="80" t="s">
        <v>5663</v>
      </c>
      <c r="H25" s="93" t="s">
        <v>5664</v>
      </c>
      <c r="I25" s="64" t="s">
        <v>5665</v>
      </c>
      <c r="J25" s="64" t="s">
        <v>5666</v>
      </c>
      <c r="K25" s="47" t="s">
        <v>5667</v>
      </c>
      <c r="L25" s="47" t="s">
        <v>5668</v>
      </c>
      <c r="M25" s="47" t="s">
        <v>5669</v>
      </c>
      <c r="N25" s="47"/>
      <c r="O25" s="310"/>
    </row>
    <row r="26" spans="1:15" ht="14.4">
      <c r="A26" s="26">
        <v>25</v>
      </c>
      <c r="B26" s="47"/>
      <c r="C26" s="30" t="s">
        <v>5670</v>
      </c>
      <c r="D26" s="64" t="s">
        <v>5671</v>
      </c>
      <c r="E26" s="64" t="s">
        <v>5672</v>
      </c>
      <c r="F26" s="64" t="s">
        <v>117</v>
      </c>
      <c r="G26" s="80" t="s">
        <v>5673</v>
      </c>
      <c r="H26" s="93" t="s">
        <v>5674</v>
      </c>
      <c r="I26" s="64" t="s">
        <v>5675</v>
      </c>
      <c r="J26" s="64" t="s">
        <v>5676</v>
      </c>
      <c r="K26" s="47" t="s">
        <v>5677</v>
      </c>
      <c r="L26" s="47" t="s">
        <v>5678</v>
      </c>
      <c r="M26" s="47" t="s">
        <v>5679</v>
      </c>
      <c r="N26" s="47"/>
      <c r="O26" s="310"/>
    </row>
    <row r="27" spans="1:15" ht="14.4">
      <c r="A27" s="26">
        <v>26</v>
      </c>
      <c r="B27" s="47"/>
      <c r="C27" s="30" t="s">
        <v>5680</v>
      </c>
      <c r="D27" s="64" t="s">
        <v>5681</v>
      </c>
      <c r="E27" s="64" t="s">
        <v>5682</v>
      </c>
      <c r="F27" s="64" t="s">
        <v>117</v>
      </c>
      <c r="G27" s="80" t="s">
        <v>3168</v>
      </c>
      <c r="H27" s="93" t="s">
        <v>5683</v>
      </c>
      <c r="I27" s="64" t="s">
        <v>5684</v>
      </c>
      <c r="J27" s="64" t="s">
        <v>5685</v>
      </c>
      <c r="K27" s="47" t="s">
        <v>5686</v>
      </c>
      <c r="L27" s="47" t="s">
        <v>5687</v>
      </c>
      <c r="M27" s="47" t="s">
        <v>5688</v>
      </c>
      <c r="N27" s="47"/>
      <c r="O27" s="310"/>
    </row>
    <row r="28" spans="1:15" ht="14.4">
      <c r="A28" s="26">
        <v>27</v>
      </c>
      <c r="B28" s="47"/>
      <c r="C28" s="30" t="s">
        <v>5689</v>
      </c>
      <c r="D28" s="64" t="s">
        <v>5690</v>
      </c>
      <c r="E28" s="64" t="s">
        <v>5691</v>
      </c>
      <c r="F28" s="64" t="s">
        <v>65</v>
      </c>
      <c r="G28" s="80" t="s">
        <v>5692</v>
      </c>
      <c r="H28" s="93" t="s">
        <v>5693</v>
      </c>
      <c r="I28" s="64" t="s">
        <v>5694</v>
      </c>
      <c r="J28" s="64" t="s">
        <v>5695</v>
      </c>
      <c r="K28" s="47" t="s">
        <v>5696</v>
      </c>
      <c r="L28" s="47" t="s">
        <v>5697</v>
      </c>
      <c r="M28" s="47" t="s">
        <v>5698</v>
      </c>
      <c r="N28" s="47"/>
      <c r="O28" s="311"/>
    </row>
    <row r="29" spans="1:15" ht="14.4">
      <c r="A29" s="19">
        <v>1</v>
      </c>
      <c r="B29" s="88"/>
      <c r="C29" s="21" t="s">
        <v>5699</v>
      </c>
      <c r="D29" s="90" t="s">
        <v>5700</v>
      </c>
      <c r="E29" s="90" t="s">
        <v>5701</v>
      </c>
      <c r="F29" s="90" t="s">
        <v>65</v>
      </c>
      <c r="G29" s="96" t="s">
        <v>5702</v>
      </c>
      <c r="H29" s="91" t="s">
        <v>5703</v>
      </c>
      <c r="I29" s="90" t="s">
        <v>5704</v>
      </c>
      <c r="J29" s="90" t="s">
        <v>5705</v>
      </c>
      <c r="K29" s="88" t="s">
        <v>5706</v>
      </c>
      <c r="L29" s="88" t="s">
        <v>5707</v>
      </c>
      <c r="M29" s="88" t="s">
        <v>5708</v>
      </c>
      <c r="N29" s="88">
        <v>2</v>
      </c>
      <c r="O29" s="24" t="s">
        <v>38</v>
      </c>
    </row>
    <row r="30" spans="1:15" ht="14.4">
      <c r="A30" s="26">
        <v>2</v>
      </c>
      <c r="B30" s="47"/>
      <c r="C30" s="30" t="s">
        <v>5709</v>
      </c>
      <c r="D30" s="64" t="s">
        <v>5710</v>
      </c>
      <c r="E30" s="64" t="s">
        <v>4249</v>
      </c>
      <c r="F30" s="64" t="s">
        <v>5711</v>
      </c>
      <c r="G30" s="80" t="s">
        <v>5712</v>
      </c>
      <c r="H30" s="93" t="s">
        <v>5713</v>
      </c>
      <c r="I30" s="64" t="s">
        <v>5714</v>
      </c>
      <c r="J30" s="64" t="s">
        <v>5715</v>
      </c>
      <c r="K30" s="47" t="s">
        <v>5716</v>
      </c>
      <c r="L30" s="47" t="s">
        <v>5384</v>
      </c>
      <c r="M30" s="47" t="s">
        <v>5385</v>
      </c>
      <c r="N30" s="47"/>
      <c r="O30" s="314" t="s">
        <v>5717</v>
      </c>
    </row>
    <row r="31" spans="1:15" ht="14.4">
      <c r="A31" s="26">
        <v>3</v>
      </c>
      <c r="B31" s="47"/>
      <c r="C31" s="30" t="s">
        <v>5718</v>
      </c>
      <c r="D31" s="63" t="s">
        <v>5719</v>
      </c>
      <c r="E31" s="63" t="s">
        <v>5720</v>
      </c>
      <c r="F31" s="63" t="s">
        <v>5559</v>
      </c>
      <c r="G31" s="80" t="s">
        <v>5721</v>
      </c>
      <c r="H31" s="93" t="s">
        <v>5722</v>
      </c>
      <c r="I31" s="64" t="s">
        <v>5723</v>
      </c>
      <c r="J31" s="51" t="s">
        <v>5724</v>
      </c>
      <c r="K31" s="47" t="s">
        <v>5725</v>
      </c>
      <c r="L31" s="47" t="s">
        <v>5726</v>
      </c>
      <c r="M31" s="47" t="s">
        <v>5727</v>
      </c>
      <c r="N31" s="47"/>
      <c r="O31" s="310"/>
    </row>
    <row r="32" spans="1:15" ht="14.4">
      <c r="A32" s="26">
        <v>4</v>
      </c>
      <c r="B32" s="47"/>
      <c r="C32" s="30" t="s">
        <v>5728</v>
      </c>
      <c r="D32" s="64" t="s">
        <v>5729</v>
      </c>
      <c r="E32" s="64" t="s">
        <v>5730</v>
      </c>
      <c r="F32" s="64" t="s">
        <v>54</v>
      </c>
      <c r="G32" s="80" t="s">
        <v>5731</v>
      </c>
      <c r="H32" s="93" t="s">
        <v>5732</v>
      </c>
      <c r="I32" s="64" t="s">
        <v>5733</v>
      </c>
      <c r="J32" s="64" t="s">
        <v>5734</v>
      </c>
      <c r="K32" s="47" t="s">
        <v>5735</v>
      </c>
      <c r="L32" s="47" t="s">
        <v>5736</v>
      </c>
      <c r="M32" s="47" t="s">
        <v>5737</v>
      </c>
      <c r="N32" s="47"/>
      <c r="O32" s="310"/>
    </row>
    <row r="33" spans="1:15" ht="14.4">
      <c r="A33" s="26">
        <v>5</v>
      </c>
      <c r="B33" s="47"/>
      <c r="C33" s="30" t="s">
        <v>5738</v>
      </c>
      <c r="D33" s="64" t="s">
        <v>5739</v>
      </c>
      <c r="E33" s="64" t="s">
        <v>5740</v>
      </c>
      <c r="F33" s="64" t="s">
        <v>5741</v>
      </c>
      <c r="G33" s="80" t="s">
        <v>5742</v>
      </c>
      <c r="H33" s="93" t="s">
        <v>5743</v>
      </c>
      <c r="I33" s="64" t="s">
        <v>5744</v>
      </c>
      <c r="J33" s="51" t="s">
        <v>5745</v>
      </c>
      <c r="K33" s="47" t="s">
        <v>5746</v>
      </c>
      <c r="L33" s="47" t="s">
        <v>5747</v>
      </c>
      <c r="M33" s="47" t="s">
        <v>5748</v>
      </c>
      <c r="N33" s="47"/>
      <c r="O33" s="310"/>
    </row>
    <row r="34" spans="1:15" ht="14.4">
      <c r="A34" s="26">
        <v>6</v>
      </c>
      <c r="B34" s="47"/>
      <c r="C34" s="30" t="s">
        <v>5749</v>
      </c>
      <c r="D34" s="63" t="s">
        <v>5750</v>
      </c>
      <c r="E34" s="63" t="s">
        <v>5751</v>
      </c>
      <c r="F34" s="63" t="s">
        <v>65</v>
      </c>
      <c r="G34" s="63" t="s">
        <v>5752</v>
      </c>
      <c r="H34" s="93" t="s">
        <v>5753</v>
      </c>
      <c r="I34" s="63" t="s">
        <v>5754</v>
      </c>
      <c r="J34" s="51" t="s">
        <v>5755</v>
      </c>
      <c r="K34" s="47" t="s">
        <v>5756</v>
      </c>
      <c r="L34" s="47" t="s">
        <v>5757</v>
      </c>
      <c r="M34" s="47" t="s">
        <v>5758</v>
      </c>
      <c r="N34" s="47"/>
      <c r="O34" s="310"/>
    </row>
    <row r="35" spans="1:15" ht="15.6">
      <c r="A35" s="26">
        <v>7</v>
      </c>
      <c r="B35" s="47"/>
      <c r="C35" s="30" t="s">
        <v>5759</v>
      </c>
      <c r="D35" s="64" t="s">
        <v>5760</v>
      </c>
      <c r="E35" s="64" t="s">
        <v>5761</v>
      </c>
      <c r="F35" s="64" t="s">
        <v>54</v>
      </c>
      <c r="G35" s="63" t="s">
        <v>5762</v>
      </c>
      <c r="H35" s="93" t="s">
        <v>5763</v>
      </c>
      <c r="I35" s="68" t="s">
        <v>5764</v>
      </c>
      <c r="J35" s="51" t="s">
        <v>5765</v>
      </c>
      <c r="K35" s="47" t="s">
        <v>5766</v>
      </c>
      <c r="L35" s="47" t="s">
        <v>5767</v>
      </c>
      <c r="M35" s="47" t="s">
        <v>5768</v>
      </c>
      <c r="N35" s="47"/>
      <c r="O35" s="310"/>
    </row>
    <row r="36" spans="1:15" ht="14.4">
      <c r="A36" s="26">
        <v>8</v>
      </c>
      <c r="B36" s="47"/>
      <c r="C36" s="30" t="s">
        <v>5769</v>
      </c>
      <c r="D36" s="64" t="s">
        <v>5770</v>
      </c>
      <c r="E36" s="64" t="s">
        <v>5771</v>
      </c>
      <c r="F36" s="64" t="s">
        <v>117</v>
      </c>
      <c r="G36" s="63" t="s">
        <v>5772</v>
      </c>
      <c r="H36" s="93" t="s">
        <v>5773</v>
      </c>
      <c r="I36" s="64" t="s">
        <v>5774</v>
      </c>
      <c r="J36" s="64" t="s">
        <v>5775</v>
      </c>
      <c r="K36" s="47" t="s">
        <v>5776</v>
      </c>
      <c r="L36" s="47" t="s">
        <v>5777</v>
      </c>
      <c r="M36" s="47" t="s">
        <v>5778</v>
      </c>
      <c r="N36" s="47"/>
      <c r="O36" s="310"/>
    </row>
    <row r="37" spans="1:15" ht="14.4">
      <c r="A37" s="26">
        <v>9</v>
      </c>
      <c r="B37" s="47"/>
      <c r="C37" s="30" t="s">
        <v>5779</v>
      </c>
      <c r="D37" s="64" t="s">
        <v>5780</v>
      </c>
      <c r="E37" s="64" t="s">
        <v>1994</v>
      </c>
      <c r="F37" s="64" t="s">
        <v>65</v>
      </c>
      <c r="G37" s="63" t="s">
        <v>5781</v>
      </c>
      <c r="H37" s="93" t="s">
        <v>5782</v>
      </c>
      <c r="I37" s="64" t="s">
        <v>5783</v>
      </c>
      <c r="J37" s="64" t="s">
        <v>5784</v>
      </c>
      <c r="K37" s="47" t="s">
        <v>5785</v>
      </c>
      <c r="L37" s="47" t="s">
        <v>5786</v>
      </c>
      <c r="M37" s="47" t="s">
        <v>5787</v>
      </c>
      <c r="N37" s="47"/>
      <c r="O37" s="310"/>
    </row>
    <row r="38" spans="1:15" ht="14.4">
      <c r="A38" s="26">
        <v>10</v>
      </c>
      <c r="B38" s="47"/>
      <c r="C38" s="30" t="s">
        <v>5788</v>
      </c>
      <c r="D38" s="64" t="s">
        <v>5789</v>
      </c>
      <c r="E38" s="64" t="s">
        <v>5790</v>
      </c>
      <c r="F38" s="64" t="s">
        <v>5791</v>
      </c>
      <c r="G38" s="63" t="s">
        <v>5792</v>
      </c>
      <c r="H38" s="93" t="s">
        <v>5793</v>
      </c>
      <c r="I38" s="64" t="s">
        <v>5794</v>
      </c>
      <c r="J38" s="64" t="s">
        <v>5795</v>
      </c>
      <c r="K38" s="47" t="s">
        <v>5796</v>
      </c>
      <c r="L38" s="47" t="s">
        <v>5797</v>
      </c>
      <c r="M38" s="47" t="s">
        <v>5798</v>
      </c>
      <c r="N38" s="47"/>
      <c r="O38" s="310"/>
    </row>
    <row r="39" spans="1:15" ht="14.4">
      <c r="A39" s="26">
        <v>11</v>
      </c>
      <c r="B39" s="47"/>
      <c r="C39" s="30" t="s">
        <v>5799</v>
      </c>
      <c r="D39" s="64" t="s">
        <v>5800</v>
      </c>
      <c r="E39" s="64" t="s">
        <v>5801</v>
      </c>
      <c r="F39" s="64" t="s">
        <v>65</v>
      </c>
      <c r="G39" s="63" t="s">
        <v>5802</v>
      </c>
      <c r="H39" s="93" t="s">
        <v>5803</v>
      </c>
      <c r="I39" s="64" t="s">
        <v>5804</v>
      </c>
      <c r="J39" s="64" t="s">
        <v>5805</v>
      </c>
      <c r="K39" s="47" t="s">
        <v>5806</v>
      </c>
      <c r="L39" s="47" t="s">
        <v>5807</v>
      </c>
      <c r="M39" s="47" t="s">
        <v>5808</v>
      </c>
      <c r="N39" s="47"/>
      <c r="O39" s="310"/>
    </row>
    <row r="40" spans="1:15" ht="14.4">
      <c r="A40" s="26">
        <v>12</v>
      </c>
      <c r="B40" s="47"/>
      <c r="C40" s="30" t="s">
        <v>5809</v>
      </c>
      <c r="D40" s="64" t="s">
        <v>5810</v>
      </c>
      <c r="E40" s="64" t="s">
        <v>5811</v>
      </c>
      <c r="F40" s="64" t="s">
        <v>65</v>
      </c>
      <c r="G40" s="63" t="s">
        <v>5812</v>
      </c>
      <c r="H40" s="93" t="s">
        <v>5813</v>
      </c>
      <c r="I40" s="64" t="s">
        <v>5814</v>
      </c>
      <c r="J40" s="64" t="s">
        <v>5815</v>
      </c>
      <c r="K40" s="47" t="s">
        <v>5816</v>
      </c>
      <c r="L40" s="47" t="s">
        <v>5817</v>
      </c>
      <c r="M40" s="47" t="s">
        <v>5818</v>
      </c>
      <c r="N40" s="47"/>
      <c r="O40" s="310"/>
    </row>
    <row r="41" spans="1:15" ht="14.4">
      <c r="A41" s="26">
        <v>13</v>
      </c>
      <c r="B41" s="47"/>
      <c r="C41" s="30" t="s">
        <v>5819</v>
      </c>
      <c r="D41" s="64" t="s">
        <v>5820</v>
      </c>
      <c r="E41" s="64" t="s">
        <v>2957</v>
      </c>
      <c r="F41" s="64" t="s">
        <v>65</v>
      </c>
      <c r="G41" s="63" t="s">
        <v>5821</v>
      </c>
      <c r="H41" s="93" t="s">
        <v>5822</v>
      </c>
      <c r="I41" s="64" t="s">
        <v>5823</v>
      </c>
      <c r="J41" s="64" t="s">
        <v>5824</v>
      </c>
      <c r="K41" s="47" t="s">
        <v>5825</v>
      </c>
      <c r="L41" s="47" t="s">
        <v>5826</v>
      </c>
      <c r="M41" s="47" t="s">
        <v>5827</v>
      </c>
      <c r="N41" s="47"/>
      <c r="O41" s="310"/>
    </row>
    <row r="42" spans="1:15" ht="14.4">
      <c r="A42" s="26">
        <v>14</v>
      </c>
      <c r="B42" s="47"/>
      <c r="C42" s="30" t="s">
        <v>5828</v>
      </c>
      <c r="D42" s="63" t="s">
        <v>5829</v>
      </c>
      <c r="E42" s="63" t="s">
        <v>5830</v>
      </c>
      <c r="F42" s="63" t="s">
        <v>5711</v>
      </c>
      <c r="G42" s="63" t="s">
        <v>5831</v>
      </c>
      <c r="H42" s="93" t="s">
        <v>5832</v>
      </c>
      <c r="I42" s="64" t="s">
        <v>5833</v>
      </c>
      <c r="J42" s="51" t="s">
        <v>5834</v>
      </c>
      <c r="K42" s="47" t="s">
        <v>5835</v>
      </c>
      <c r="L42" s="47" t="s">
        <v>5408</v>
      </c>
      <c r="M42" s="47" t="s">
        <v>5409</v>
      </c>
      <c r="N42" s="47"/>
      <c r="O42" s="310"/>
    </row>
    <row r="43" spans="1:15" ht="14.4">
      <c r="A43" s="26">
        <v>15</v>
      </c>
      <c r="B43" s="47"/>
      <c r="C43" s="30" t="s">
        <v>5836</v>
      </c>
      <c r="D43" s="64" t="s">
        <v>5837</v>
      </c>
      <c r="E43" s="64" t="s">
        <v>5838</v>
      </c>
      <c r="F43" s="64" t="s">
        <v>54</v>
      </c>
      <c r="G43" s="63" t="s">
        <v>5839</v>
      </c>
      <c r="H43" s="93" t="s">
        <v>5840</v>
      </c>
      <c r="I43" s="64" t="s">
        <v>5841</v>
      </c>
      <c r="J43" s="64" t="s">
        <v>5842</v>
      </c>
      <c r="K43" s="47" t="s">
        <v>5843</v>
      </c>
      <c r="L43" s="47" t="s">
        <v>5844</v>
      </c>
      <c r="M43" s="47" t="s">
        <v>5845</v>
      </c>
      <c r="N43" s="47"/>
      <c r="O43" s="310"/>
    </row>
    <row r="44" spans="1:15" ht="14.4">
      <c r="A44" s="26">
        <v>16</v>
      </c>
      <c r="B44" s="47"/>
      <c r="C44" s="30" t="s">
        <v>5846</v>
      </c>
      <c r="D44" s="64" t="s">
        <v>5847</v>
      </c>
      <c r="E44" s="63" t="s">
        <v>3984</v>
      </c>
      <c r="F44" s="63" t="s">
        <v>117</v>
      </c>
      <c r="G44" s="63" t="s">
        <v>5848</v>
      </c>
      <c r="H44" s="93" t="s">
        <v>5849</v>
      </c>
      <c r="I44" s="64" t="s">
        <v>5850</v>
      </c>
      <c r="J44" s="64" t="s">
        <v>5851</v>
      </c>
      <c r="K44" s="47" t="s">
        <v>5852</v>
      </c>
      <c r="L44" s="47" t="s">
        <v>5853</v>
      </c>
      <c r="M44" s="47" t="s">
        <v>5854</v>
      </c>
      <c r="N44" s="47"/>
      <c r="O44" s="310"/>
    </row>
    <row r="45" spans="1:15" ht="14.4">
      <c r="A45" s="26">
        <v>17</v>
      </c>
      <c r="B45" s="47"/>
      <c r="C45" s="30" t="s">
        <v>5855</v>
      </c>
      <c r="D45" s="64" t="s">
        <v>5856</v>
      </c>
      <c r="E45" s="64" t="s">
        <v>5857</v>
      </c>
      <c r="F45" s="64" t="s">
        <v>117</v>
      </c>
      <c r="G45" s="63" t="s">
        <v>5858</v>
      </c>
      <c r="H45" s="93" t="s">
        <v>5859</v>
      </c>
      <c r="I45" s="64" t="s">
        <v>5860</v>
      </c>
      <c r="J45" s="51" t="s">
        <v>5861</v>
      </c>
      <c r="K45" s="47" t="s">
        <v>5862</v>
      </c>
      <c r="L45" s="47" t="s">
        <v>5863</v>
      </c>
      <c r="M45" s="47" t="s">
        <v>5864</v>
      </c>
      <c r="N45" s="47"/>
      <c r="O45" s="310"/>
    </row>
    <row r="46" spans="1:15" ht="14.4">
      <c r="A46" s="26">
        <v>18</v>
      </c>
      <c r="B46" s="47"/>
      <c r="C46" s="30" t="s">
        <v>5865</v>
      </c>
      <c r="D46" s="64" t="s">
        <v>5866</v>
      </c>
      <c r="E46" s="64" t="s">
        <v>5867</v>
      </c>
      <c r="F46" s="64" t="s">
        <v>117</v>
      </c>
      <c r="G46" s="63" t="s">
        <v>5868</v>
      </c>
      <c r="H46" s="93" t="s">
        <v>5869</v>
      </c>
      <c r="I46" s="64" t="s">
        <v>5870</v>
      </c>
      <c r="J46" s="64" t="s">
        <v>5871</v>
      </c>
      <c r="K46" s="47" t="s">
        <v>5872</v>
      </c>
      <c r="L46" s="47" t="s">
        <v>5873</v>
      </c>
      <c r="M46" s="47" t="s">
        <v>5874</v>
      </c>
      <c r="N46" s="47"/>
      <c r="O46" s="310"/>
    </row>
    <row r="47" spans="1:15" ht="14.4">
      <c r="A47" s="26">
        <v>19</v>
      </c>
      <c r="B47" s="47"/>
      <c r="C47" s="30" t="s">
        <v>5875</v>
      </c>
      <c r="D47" s="64" t="s">
        <v>5876</v>
      </c>
      <c r="E47" s="64" t="s">
        <v>5877</v>
      </c>
      <c r="F47" s="64" t="s">
        <v>65</v>
      </c>
      <c r="G47" s="63" t="s">
        <v>5878</v>
      </c>
      <c r="H47" s="93" t="s">
        <v>5879</v>
      </c>
      <c r="I47" s="64" t="s">
        <v>5880</v>
      </c>
      <c r="J47" s="64" t="s">
        <v>5881</v>
      </c>
      <c r="K47" s="47" t="s">
        <v>5882</v>
      </c>
      <c r="L47" s="47" t="s">
        <v>5883</v>
      </c>
      <c r="M47" s="47" t="s">
        <v>5884</v>
      </c>
      <c r="N47" s="47"/>
      <c r="O47" s="310"/>
    </row>
    <row r="48" spans="1:15" ht="14.4">
      <c r="A48" s="26">
        <v>20</v>
      </c>
      <c r="B48" s="47"/>
      <c r="C48" s="29" t="s">
        <v>5885</v>
      </c>
      <c r="D48" s="64" t="s">
        <v>5886</v>
      </c>
      <c r="E48" s="64" t="s">
        <v>5887</v>
      </c>
      <c r="F48" s="64" t="s">
        <v>563</v>
      </c>
      <c r="G48" s="63" t="s">
        <v>5888</v>
      </c>
      <c r="H48" s="93" t="s">
        <v>5889</v>
      </c>
      <c r="I48" s="64" t="s">
        <v>5890</v>
      </c>
      <c r="J48" s="51" t="s">
        <v>5891</v>
      </c>
      <c r="K48" s="47" t="s">
        <v>5892</v>
      </c>
      <c r="L48" s="47" t="s">
        <v>5893</v>
      </c>
      <c r="M48" s="47" t="s">
        <v>5894</v>
      </c>
      <c r="N48" s="47"/>
      <c r="O48" s="310"/>
    </row>
    <row r="49" spans="1:15" ht="14.4">
      <c r="A49" s="26">
        <v>21</v>
      </c>
      <c r="B49" s="47"/>
      <c r="C49" s="30" t="s">
        <v>5895</v>
      </c>
      <c r="D49" s="64" t="s">
        <v>5896</v>
      </c>
      <c r="E49" s="64" t="s">
        <v>5897</v>
      </c>
      <c r="F49" s="64" t="s">
        <v>5711</v>
      </c>
      <c r="G49" s="63" t="s">
        <v>5898</v>
      </c>
      <c r="H49" s="93" t="s">
        <v>5899</v>
      </c>
      <c r="I49" s="64" t="s">
        <v>5900</v>
      </c>
      <c r="J49" s="64" t="s">
        <v>5901</v>
      </c>
      <c r="K49" s="47" t="s">
        <v>5902</v>
      </c>
      <c r="L49" s="47" t="s">
        <v>5903</v>
      </c>
      <c r="M49" s="47" t="s">
        <v>5904</v>
      </c>
      <c r="N49" s="47"/>
      <c r="O49" s="310"/>
    </row>
    <row r="50" spans="1:15" ht="14.4">
      <c r="A50" s="26">
        <v>22</v>
      </c>
      <c r="B50" s="47"/>
      <c r="C50" s="30" t="s">
        <v>5905</v>
      </c>
      <c r="D50" s="64" t="s">
        <v>5906</v>
      </c>
      <c r="E50" s="64" t="s">
        <v>5907</v>
      </c>
      <c r="F50" s="64" t="s">
        <v>117</v>
      </c>
      <c r="G50" s="63" t="s">
        <v>5908</v>
      </c>
      <c r="H50" s="93" t="s">
        <v>5909</v>
      </c>
      <c r="I50" s="64" t="s">
        <v>5910</v>
      </c>
      <c r="J50" s="64" t="s">
        <v>5911</v>
      </c>
      <c r="K50" s="47" t="s">
        <v>5912</v>
      </c>
      <c r="L50" s="47" t="s">
        <v>5913</v>
      </c>
      <c r="M50" s="47" t="s">
        <v>5914</v>
      </c>
      <c r="N50" s="47"/>
      <c r="O50" s="310"/>
    </row>
    <row r="51" spans="1:15" ht="14.4">
      <c r="A51" s="26">
        <v>23</v>
      </c>
      <c r="B51" s="47"/>
      <c r="C51" s="63" t="s">
        <v>5915</v>
      </c>
      <c r="D51" s="80" t="s">
        <v>5916</v>
      </c>
      <c r="E51" s="63" t="s">
        <v>5917</v>
      </c>
      <c r="F51" s="63" t="s">
        <v>4102</v>
      </c>
      <c r="G51" s="80" t="s">
        <v>5918</v>
      </c>
      <c r="H51" s="93" t="s">
        <v>5919</v>
      </c>
      <c r="I51" s="80" t="s">
        <v>5920</v>
      </c>
      <c r="J51" s="51" t="s">
        <v>5921</v>
      </c>
      <c r="K51" s="47" t="s">
        <v>5922</v>
      </c>
      <c r="L51" s="47" t="s">
        <v>5923</v>
      </c>
      <c r="M51" s="47" t="s">
        <v>5924</v>
      </c>
      <c r="N51" s="47"/>
      <c r="O51" s="310"/>
    </row>
    <row r="52" spans="1:15" ht="14.4">
      <c r="A52" s="26">
        <v>24</v>
      </c>
      <c r="B52" s="47"/>
      <c r="C52" s="64" t="s">
        <v>5925</v>
      </c>
      <c r="D52" s="64" t="s">
        <v>5926</v>
      </c>
      <c r="E52" s="64" t="s">
        <v>5927</v>
      </c>
      <c r="F52" s="64" t="s">
        <v>54</v>
      </c>
      <c r="G52" s="80" t="s">
        <v>5928</v>
      </c>
      <c r="H52" s="93" t="s">
        <v>5929</v>
      </c>
      <c r="I52" s="64" t="s">
        <v>5930</v>
      </c>
      <c r="J52" s="51" t="s">
        <v>5931</v>
      </c>
      <c r="K52" s="47" t="s">
        <v>5932</v>
      </c>
      <c r="L52" s="47" t="s">
        <v>5933</v>
      </c>
      <c r="M52" s="47" t="s">
        <v>5934</v>
      </c>
      <c r="N52" s="47"/>
      <c r="O52" s="310"/>
    </row>
    <row r="53" spans="1:15" ht="14.4">
      <c r="A53" s="26">
        <v>25</v>
      </c>
      <c r="B53" s="47"/>
      <c r="C53" s="64" t="s">
        <v>3952</v>
      </c>
      <c r="D53" s="64" t="s">
        <v>5935</v>
      </c>
      <c r="E53" s="64" t="s">
        <v>3954</v>
      </c>
      <c r="F53" s="64" t="s">
        <v>65</v>
      </c>
      <c r="G53" s="80" t="s">
        <v>3955</v>
      </c>
      <c r="H53" s="93" t="s">
        <v>5936</v>
      </c>
      <c r="I53" s="62" t="s">
        <v>5937</v>
      </c>
      <c r="J53" s="64" t="s">
        <v>3958</v>
      </c>
      <c r="K53" s="47" t="s">
        <v>5938</v>
      </c>
      <c r="L53" s="47" t="s">
        <v>5939</v>
      </c>
      <c r="M53" s="47" t="s">
        <v>5940</v>
      </c>
      <c r="N53" s="47"/>
      <c r="O53" s="310"/>
    </row>
    <row r="54" spans="1:15" ht="14.4">
      <c r="A54" s="26">
        <v>26</v>
      </c>
      <c r="B54" s="47"/>
      <c r="C54" s="64" t="s">
        <v>1439</v>
      </c>
      <c r="D54" s="64" t="s">
        <v>1440</v>
      </c>
      <c r="E54" s="64" t="s">
        <v>1441</v>
      </c>
      <c r="F54" s="64" t="s">
        <v>219</v>
      </c>
      <c r="G54" s="80" t="s">
        <v>1442</v>
      </c>
      <c r="H54" s="93" t="s">
        <v>5941</v>
      </c>
      <c r="I54" s="64" t="s">
        <v>1444</v>
      </c>
      <c r="J54" s="64" t="s">
        <v>1445</v>
      </c>
      <c r="K54" s="47" t="s">
        <v>5942</v>
      </c>
      <c r="L54" s="47" t="s">
        <v>5943</v>
      </c>
      <c r="M54" s="47" t="s">
        <v>5944</v>
      </c>
      <c r="N54" s="47"/>
      <c r="O54" s="310"/>
    </row>
    <row r="55" spans="1:15" ht="14.4">
      <c r="A55" s="26">
        <v>27</v>
      </c>
      <c r="B55" s="47"/>
      <c r="C55" s="64" t="s">
        <v>5945</v>
      </c>
      <c r="D55" s="62" t="s">
        <v>5946</v>
      </c>
      <c r="E55" s="64" t="s">
        <v>5947</v>
      </c>
      <c r="F55" s="64" t="s">
        <v>65</v>
      </c>
      <c r="G55" s="80" t="s">
        <v>5948</v>
      </c>
      <c r="H55" s="93" t="s">
        <v>5949</v>
      </c>
      <c r="I55" s="64" t="s">
        <v>5950</v>
      </c>
      <c r="J55" s="64" t="s">
        <v>5951</v>
      </c>
      <c r="K55" s="47" t="s">
        <v>5952</v>
      </c>
      <c r="L55" s="47" t="s">
        <v>5953</v>
      </c>
      <c r="M55" s="47" t="s">
        <v>5954</v>
      </c>
      <c r="N55" s="47"/>
      <c r="O55" s="310"/>
    </row>
    <row r="56" spans="1:15" ht="14.4">
      <c r="A56" s="26">
        <v>28</v>
      </c>
      <c r="B56" s="47"/>
      <c r="C56" s="64" t="s">
        <v>5955</v>
      </c>
      <c r="D56" s="62" t="s">
        <v>5956</v>
      </c>
      <c r="E56" s="64" t="s">
        <v>5957</v>
      </c>
      <c r="F56" s="64" t="s">
        <v>54</v>
      </c>
      <c r="G56" s="80" t="s">
        <v>5958</v>
      </c>
      <c r="H56" s="93" t="s">
        <v>5959</v>
      </c>
      <c r="I56" s="64" t="s">
        <v>5960</v>
      </c>
      <c r="J56" s="51" t="s">
        <v>5961</v>
      </c>
      <c r="K56" s="47" t="s">
        <v>5962</v>
      </c>
      <c r="L56" s="47" t="s">
        <v>5963</v>
      </c>
      <c r="M56" s="47" t="s">
        <v>5964</v>
      </c>
      <c r="N56" s="47"/>
      <c r="O56" s="311"/>
    </row>
    <row r="57" spans="1:15" ht="14.4">
      <c r="A57" s="19">
        <v>1</v>
      </c>
      <c r="B57" s="88"/>
      <c r="C57" s="90" t="s">
        <v>5965</v>
      </c>
      <c r="D57" s="90" t="s">
        <v>5966</v>
      </c>
      <c r="E57" s="90" t="s">
        <v>5967</v>
      </c>
      <c r="F57" s="90" t="s">
        <v>65</v>
      </c>
      <c r="G57" s="96" t="s">
        <v>5968</v>
      </c>
      <c r="H57" s="91" t="s">
        <v>5969</v>
      </c>
      <c r="I57" s="90" t="s">
        <v>5970</v>
      </c>
      <c r="J57" s="90" t="s">
        <v>5971</v>
      </c>
      <c r="K57" s="88" t="s">
        <v>5972</v>
      </c>
      <c r="L57" s="88" t="s">
        <v>5973</v>
      </c>
      <c r="M57" s="88" t="s">
        <v>5974</v>
      </c>
      <c r="N57" s="88">
        <v>3</v>
      </c>
      <c r="O57" s="24" t="s">
        <v>38</v>
      </c>
    </row>
    <row r="58" spans="1:15" ht="14.4">
      <c r="A58" s="26">
        <v>2</v>
      </c>
      <c r="B58" s="47"/>
      <c r="C58" s="64" t="s">
        <v>5975</v>
      </c>
      <c r="D58" s="64" t="s">
        <v>5976</v>
      </c>
      <c r="E58" s="64" t="s">
        <v>5977</v>
      </c>
      <c r="F58" s="64" t="s">
        <v>65</v>
      </c>
      <c r="G58" s="80" t="s">
        <v>5978</v>
      </c>
      <c r="H58" s="93" t="s">
        <v>5979</v>
      </c>
      <c r="I58" s="64" t="s">
        <v>5980</v>
      </c>
      <c r="J58" s="64" t="s">
        <v>5981</v>
      </c>
      <c r="K58" s="47" t="s">
        <v>5982</v>
      </c>
      <c r="L58" s="47" t="s">
        <v>5983</v>
      </c>
      <c r="M58" s="47" t="s">
        <v>5984</v>
      </c>
      <c r="N58" s="47"/>
      <c r="O58" s="314" t="s">
        <v>5985</v>
      </c>
    </row>
    <row r="59" spans="1:15" ht="14.4">
      <c r="A59" s="26">
        <v>3</v>
      </c>
      <c r="B59" s="47"/>
      <c r="C59" s="64" t="s">
        <v>5986</v>
      </c>
      <c r="D59" s="62" t="s">
        <v>5987</v>
      </c>
      <c r="E59" s="64" t="s">
        <v>5988</v>
      </c>
      <c r="F59" s="64" t="s">
        <v>4823</v>
      </c>
      <c r="G59" s="80" t="s">
        <v>5989</v>
      </c>
      <c r="H59" s="93" t="s">
        <v>5990</v>
      </c>
      <c r="I59" s="64" t="s">
        <v>5991</v>
      </c>
      <c r="J59" s="64" t="s">
        <v>5992</v>
      </c>
      <c r="K59" s="47" t="s">
        <v>5993</v>
      </c>
      <c r="L59" s="47" t="s">
        <v>5346</v>
      </c>
      <c r="M59" s="47" t="s">
        <v>5347</v>
      </c>
      <c r="N59" s="47"/>
      <c r="O59" s="310"/>
    </row>
    <row r="60" spans="1:15" ht="13.5" customHeight="1">
      <c r="A60" s="26">
        <v>4</v>
      </c>
      <c r="B60" s="47"/>
      <c r="C60" s="64" t="s">
        <v>5017</v>
      </c>
      <c r="D60" s="64" t="s">
        <v>5994</v>
      </c>
      <c r="E60" s="64" t="s">
        <v>5019</v>
      </c>
      <c r="F60" s="64" t="s">
        <v>65</v>
      </c>
      <c r="G60" s="80" t="s">
        <v>5995</v>
      </c>
      <c r="H60" s="93" t="s">
        <v>5996</v>
      </c>
      <c r="I60" s="64" t="s">
        <v>5022</v>
      </c>
      <c r="J60" s="51" t="s">
        <v>5023</v>
      </c>
      <c r="K60" s="47" t="s">
        <v>5997</v>
      </c>
      <c r="L60" s="47" t="s">
        <v>5998</v>
      </c>
      <c r="M60" s="47" t="s">
        <v>5999</v>
      </c>
      <c r="N60" s="47"/>
      <c r="O60" s="310"/>
    </row>
    <row r="61" spans="1:15" ht="14.4">
      <c r="A61" s="26">
        <v>5</v>
      </c>
      <c r="B61" s="47"/>
      <c r="C61" s="64" t="s">
        <v>6000</v>
      </c>
      <c r="D61" s="62" t="s">
        <v>6001</v>
      </c>
      <c r="E61" s="64" t="s">
        <v>6002</v>
      </c>
      <c r="F61" s="64" t="s">
        <v>65</v>
      </c>
      <c r="G61" s="80" t="s">
        <v>6003</v>
      </c>
      <c r="H61" s="93" t="s">
        <v>6004</v>
      </c>
      <c r="I61" s="64" t="s">
        <v>6005</v>
      </c>
      <c r="J61" s="51" t="s">
        <v>6006</v>
      </c>
      <c r="K61" s="47" t="s">
        <v>6007</v>
      </c>
      <c r="L61" s="47" t="s">
        <v>6008</v>
      </c>
      <c r="M61" s="47" t="s">
        <v>6009</v>
      </c>
      <c r="N61" s="47"/>
      <c r="O61" s="310"/>
    </row>
    <row r="62" spans="1:15" ht="14.4">
      <c r="A62" s="26">
        <v>6</v>
      </c>
      <c r="B62" s="47"/>
      <c r="C62" s="64" t="s">
        <v>6010</v>
      </c>
      <c r="D62" s="64" t="s">
        <v>6011</v>
      </c>
      <c r="E62" s="64" t="s">
        <v>6002</v>
      </c>
      <c r="F62" s="64" t="s">
        <v>65</v>
      </c>
      <c r="G62" s="80" t="s">
        <v>6012</v>
      </c>
      <c r="H62" s="93" t="s">
        <v>6013</v>
      </c>
      <c r="I62" s="64" t="s">
        <v>6014</v>
      </c>
      <c r="J62" s="51" t="s">
        <v>6015</v>
      </c>
      <c r="K62" s="47" t="s">
        <v>6016</v>
      </c>
      <c r="L62" s="47" t="s">
        <v>6017</v>
      </c>
      <c r="M62" s="47" t="s">
        <v>6018</v>
      </c>
      <c r="N62" s="47"/>
      <c r="O62" s="310"/>
    </row>
    <row r="63" spans="1:15" ht="14.4">
      <c r="A63" s="26">
        <v>7</v>
      </c>
      <c r="B63" s="47"/>
      <c r="C63" s="64" t="s">
        <v>6019</v>
      </c>
      <c r="D63" s="62" t="s">
        <v>6020</v>
      </c>
      <c r="E63" s="64" t="s">
        <v>6021</v>
      </c>
      <c r="F63" s="64" t="s">
        <v>219</v>
      </c>
      <c r="G63" s="80" t="s">
        <v>6022</v>
      </c>
      <c r="H63" s="93" t="s">
        <v>6023</v>
      </c>
      <c r="I63" s="64" t="s">
        <v>6024</v>
      </c>
      <c r="J63" s="64" t="s">
        <v>6025</v>
      </c>
      <c r="K63" s="47" t="s">
        <v>6026</v>
      </c>
      <c r="L63" s="47" t="s">
        <v>5356</v>
      </c>
      <c r="M63" s="47" t="s">
        <v>5357</v>
      </c>
      <c r="N63" s="47"/>
      <c r="O63" s="310"/>
    </row>
    <row r="64" spans="1:15" ht="14.4">
      <c r="A64" s="26">
        <v>8</v>
      </c>
      <c r="B64" s="47"/>
      <c r="C64" s="64" t="s">
        <v>6027</v>
      </c>
      <c r="D64" s="64" t="s">
        <v>6028</v>
      </c>
      <c r="E64" s="64" t="s">
        <v>6029</v>
      </c>
      <c r="F64" s="64" t="s">
        <v>65</v>
      </c>
      <c r="G64" s="80" t="s">
        <v>6030</v>
      </c>
      <c r="H64" s="93" t="s">
        <v>6031</v>
      </c>
      <c r="I64" s="64" t="s">
        <v>6032</v>
      </c>
      <c r="J64" s="64" t="s">
        <v>6033</v>
      </c>
      <c r="K64" s="47" t="s">
        <v>6034</v>
      </c>
      <c r="L64" s="47" t="s">
        <v>6035</v>
      </c>
      <c r="M64" s="47" t="s">
        <v>6036</v>
      </c>
      <c r="N64" s="47"/>
      <c r="O64" s="310"/>
    </row>
    <row r="65" spans="1:15" ht="14.4">
      <c r="A65" s="26">
        <v>9</v>
      </c>
      <c r="B65" s="47"/>
      <c r="C65" s="64" t="s">
        <v>6037</v>
      </c>
      <c r="D65" s="64" t="s">
        <v>6038</v>
      </c>
      <c r="E65" s="64" t="s">
        <v>6039</v>
      </c>
      <c r="F65" s="64" t="s">
        <v>65</v>
      </c>
      <c r="G65" s="80" t="s">
        <v>6040</v>
      </c>
      <c r="H65" s="93" t="s">
        <v>6041</v>
      </c>
      <c r="I65" s="64" t="s">
        <v>6042</v>
      </c>
      <c r="J65" s="64" t="s">
        <v>6043</v>
      </c>
      <c r="K65" s="47" t="s">
        <v>6044</v>
      </c>
      <c r="L65" s="47" t="s">
        <v>5219</v>
      </c>
      <c r="M65" s="47" t="s">
        <v>5220</v>
      </c>
      <c r="N65" s="47"/>
      <c r="O65" s="310"/>
    </row>
    <row r="66" spans="1:15" ht="14.4">
      <c r="A66" s="26">
        <v>10</v>
      </c>
      <c r="B66" s="47"/>
      <c r="C66" s="64" t="s">
        <v>6045</v>
      </c>
      <c r="D66" s="64" t="s">
        <v>6046</v>
      </c>
      <c r="E66" s="64" t="s">
        <v>6047</v>
      </c>
      <c r="F66" s="64" t="s">
        <v>563</v>
      </c>
      <c r="G66" s="80" t="s">
        <v>6048</v>
      </c>
      <c r="H66" s="93" t="s">
        <v>6049</v>
      </c>
      <c r="I66" s="64" t="s">
        <v>6050</v>
      </c>
      <c r="J66" s="64" t="s">
        <v>6051</v>
      </c>
      <c r="K66" s="47" t="s">
        <v>6052</v>
      </c>
      <c r="L66" s="47" t="s">
        <v>5317</v>
      </c>
      <c r="M66" s="47" t="s">
        <v>5318</v>
      </c>
      <c r="N66" s="47"/>
      <c r="O66" s="310"/>
    </row>
    <row r="67" spans="1:15" ht="14.4">
      <c r="A67" s="26">
        <v>11</v>
      </c>
      <c r="B67" s="47"/>
      <c r="C67" s="30" t="s">
        <v>6053</v>
      </c>
      <c r="D67" s="63" t="s">
        <v>6054</v>
      </c>
      <c r="E67" s="63" t="s">
        <v>6055</v>
      </c>
      <c r="F67" s="63" t="s">
        <v>65</v>
      </c>
      <c r="G67" s="63" t="s">
        <v>6056</v>
      </c>
      <c r="H67" s="93" t="s">
        <v>6057</v>
      </c>
      <c r="I67" s="63" t="s">
        <v>6058</v>
      </c>
      <c r="J67" s="51" t="s">
        <v>6059</v>
      </c>
      <c r="K67" s="47" t="s">
        <v>6060</v>
      </c>
      <c r="L67" s="47" t="s">
        <v>5256</v>
      </c>
      <c r="M67" s="47" t="s">
        <v>5257</v>
      </c>
      <c r="N67" s="47"/>
      <c r="O67" s="310"/>
    </row>
    <row r="68" spans="1:15" ht="14.4">
      <c r="A68" s="26">
        <v>12</v>
      </c>
      <c r="B68" s="47"/>
      <c r="C68" s="29" t="s">
        <v>6061</v>
      </c>
      <c r="D68" s="64" t="s">
        <v>6062</v>
      </c>
      <c r="E68" s="64" t="s">
        <v>6063</v>
      </c>
      <c r="F68" s="64" t="s">
        <v>65</v>
      </c>
      <c r="G68" s="64" t="s">
        <v>6064</v>
      </c>
      <c r="H68" s="93" t="s">
        <v>6065</v>
      </c>
      <c r="I68" s="64" t="s">
        <v>6066</v>
      </c>
      <c r="J68" s="51" t="s">
        <v>6067</v>
      </c>
      <c r="K68" s="47" t="s">
        <v>6068</v>
      </c>
      <c r="L68" s="47" t="s">
        <v>5260</v>
      </c>
      <c r="M68" s="47" t="s">
        <v>5261</v>
      </c>
      <c r="N68" s="47"/>
      <c r="O68" s="310"/>
    </row>
    <row r="69" spans="1:15" ht="14.4">
      <c r="A69" s="26">
        <v>13</v>
      </c>
      <c r="B69" s="47"/>
      <c r="C69" s="30" t="s">
        <v>6069</v>
      </c>
      <c r="D69" s="64" t="s">
        <v>6070</v>
      </c>
      <c r="E69" s="64" t="s">
        <v>6071</v>
      </c>
      <c r="F69" s="64" t="s">
        <v>117</v>
      </c>
      <c r="G69" s="64" t="s">
        <v>6072</v>
      </c>
      <c r="H69" s="93" t="s">
        <v>6073</v>
      </c>
      <c r="I69" s="64" t="s">
        <v>6074</v>
      </c>
      <c r="J69" s="51" t="s">
        <v>6075</v>
      </c>
      <c r="K69" s="47" t="s">
        <v>6076</v>
      </c>
      <c r="L69" s="47" t="s">
        <v>6077</v>
      </c>
      <c r="M69" s="47" t="s">
        <v>6078</v>
      </c>
      <c r="N69" s="47"/>
      <c r="O69" s="310"/>
    </row>
    <row r="70" spans="1:15" ht="14.4">
      <c r="A70" s="26">
        <v>14</v>
      </c>
      <c r="B70" s="47"/>
      <c r="C70" s="30" t="s">
        <v>6079</v>
      </c>
      <c r="D70" s="64" t="s">
        <v>6080</v>
      </c>
      <c r="E70" s="64" t="s">
        <v>6081</v>
      </c>
      <c r="F70" s="64" t="s">
        <v>65</v>
      </c>
      <c r="G70" s="64" t="s">
        <v>6082</v>
      </c>
      <c r="H70" s="93" t="s">
        <v>6083</v>
      </c>
      <c r="I70" s="51" t="s">
        <v>6084</v>
      </c>
      <c r="J70" s="51" t="s">
        <v>6085</v>
      </c>
      <c r="K70" s="47" t="s">
        <v>6086</v>
      </c>
      <c r="L70" s="47" t="s">
        <v>6087</v>
      </c>
      <c r="M70" s="47" t="s">
        <v>6088</v>
      </c>
      <c r="N70" s="47"/>
      <c r="O70" s="310"/>
    </row>
    <row r="71" spans="1:15" ht="14.4">
      <c r="A71" s="26">
        <v>15</v>
      </c>
      <c r="B71" s="47"/>
      <c r="C71" s="30" t="s">
        <v>6089</v>
      </c>
      <c r="D71" s="64" t="s">
        <v>6090</v>
      </c>
      <c r="E71" s="64" t="s">
        <v>6091</v>
      </c>
      <c r="F71" s="64" t="s">
        <v>65</v>
      </c>
      <c r="G71" s="64" t="s">
        <v>4891</v>
      </c>
      <c r="H71" s="93" t="s">
        <v>6092</v>
      </c>
      <c r="I71" s="64" t="s">
        <v>6093</v>
      </c>
      <c r="J71" s="51" t="s">
        <v>6094</v>
      </c>
      <c r="K71" s="47" t="s">
        <v>6095</v>
      </c>
      <c r="L71" s="47" t="s">
        <v>6096</v>
      </c>
      <c r="M71" s="47" t="s">
        <v>6097</v>
      </c>
      <c r="N71" s="47"/>
      <c r="O71" s="310"/>
    </row>
    <row r="72" spans="1:15" ht="14.4">
      <c r="A72" s="26">
        <v>16</v>
      </c>
      <c r="B72" s="47"/>
      <c r="C72" s="30" t="s">
        <v>6098</v>
      </c>
      <c r="D72" s="64" t="s">
        <v>6099</v>
      </c>
      <c r="E72" s="64" t="s">
        <v>6100</v>
      </c>
      <c r="F72" s="64" t="s">
        <v>117</v>
      </c>
      <c r="G72" s="64" t="s">
        <v>6101</v>
      </c>
      <c r="H72" s="93" t="s">
        <v>6102</v>
      </c>
      <c r="I72" s="64" t="s">
        <v>6103</v>
      </c>
      <c r="J72" s="64" t="s">
        <v>6104</v>
      </c>
      <c r="K72" s="47" t="s">
        <v>6105</v>
      </c>
      <c r="L72" s="47" t="s">
        <v>6106</v>
      </c>
      <c r="M72" s="47" t="s">
        <v>6107</v>
      </c>
      <c r="N72" s="47"/>
      <c r="O72" s="310"/>
    </row>
    <row r="73" spans="1:15" ht="14.4">
      <c r="A73" s="26">
        <v>17</v>
      </c>
      <c r="B73" s="47"/>
      <c r="C73" s="30" t="s">
        <v>6108</v>
      </c>
      <c r="D73" s="64" t="s">
        <v>6109</v>
      </c>
      <c r="E73" s="64" t="s">
        <v>6110</v>
      </c>
      <c r="F73" s="64" t="s">
        <v>117</v>
      </c>
      <c r="G73" s="64" t="s">
        <v>6111</v>
      </c>
      <c r="H73" s="93" t="s">
        <v>6112</v>
      </c>
      <c r="I73" s="64" t="s">
        <v>6113</v>
      </c>
      <c r="J73" s="64" t="s">
        <v>6114</v>
      </c>
      <c r="K73" s="47" t="s">
        <v>6115</v>
      </c>
      <c r="L73" s="47" t="s">
        <v>6116</v>
      </c>
      <c r="M73" s="47" t="s">
        <v>6117</v>
      </c>
      <c r="N73" s="47"/>
      <c r="O73" s="310"/>
    </row>
    <row r="74" spans="1:15" ht="14.4">
      <c r="A74" s="26">
        <v>18</v>
      </c>
      <c r="B74" s="47"/>
      <c r="C74" s="30" t="s">
        <v>6118</v>
      </c>
      <c r="D74" s="64" t="s">
        <v>6119</v>
      </c>
      <c r="E74" s="64" t="s">
        <v>1314</v>
      </c>
      <c r="F74" s="64" t="s">
        <v>117</v>
      </c>
      <c r="G74" s="64" t="s">
        <v>6120</v>
      </c>
      <c r="H74" s="93" t="s">
        <v>6121</v>
      </c>
      <c r="I74" s="64" t="s">
        <v>6122</v>
      </c>
      <c r="J74" s="64" t="s">
        <v>6123</v>
      </c>
      <c r="K74" s="47" t="s">
        <v>6124</v>
      </c>
      <c r="L74" s="47" t="s">
        <v>6125</v>
      </c>
      <c r="M74" s="47" t="s">
        <v>6126</v>
      </c>
      <c r="N74" s="47"/>
      <c r="O74" s="310"/>
    </row>
    <row r="75" spans="1:15" ht="14.4">
      <c r="A75" s="26">
        <v>19</v>
      </c>
      <c r="B75" s="47"/>
      <c r="C75" s="30" t="s">
        <v>6127</v>
      </c>
      <c r="D75" s="64" t="s">
        <v>6128</v>
      </c>
      <c r="E75" s="64" t="s">
        <v>6129</v>
      </c>
      <c r="F75" s="64" t="s">
        <v>65</v>
      </c>
      <c r="G75" s="64" t="s">
        <v>6130</v>
      </c>
      <c r="H75" s="93" t="s">
        <v>6131</v>
      </c>
      <c r="I75" s="64" t="s">
        <v>6132</v>
      </c>
      <c r="J75" s="64" t="s">
        <v>6133</v>
      </c>
      <c r="K75" s="47" t="s">
        <v>6134</v>
      </c>
      <c r="L75" s="47" t="s">
        <v>6135</v>
      </c>
      <c r="M75" s="47" t="s">
        <v>6136</v>
      </c>
      <c r="N75" s="47"/>
      <c r="O75" s="310"/>
    </row>
    <row r="76" spans="1:15" ht="14.4">
      <c r="A76" s="26">
        <v>20</v>
      </c>
      <c r="B76" s="47"/>
      <c r="C76" s="30" t="s">
        <v>6137</v>
      </c>
      <c r="D76" s="64" t="s">
        <v>6138</v>
      </c>
      <c r="E76" s="64" t="s">
        <v>6139</v>
      </c>
      <c r="F76" s="64" t="s">
        <v>117</v>
      </c>
      <c r="G76" s="64" t="s">
        <v>6140</v>
      </c>
      <c r="H76" s="93" t="s">
        <v>6141</v>
      </c>
      <c r="I76" s="64" t="s">
        <v>6142</v>
      </c>
      <c r="J76" s="64" t="s">
        <v>6143</v>
      </c>
      <c r="K76" s="47" t="s">
        <v>6144</v>
      </c>
      <c r="L76" s="47" t="s">
        <v>6145</v>
      </c>
      <c r="M76" s="47" t="s">
        <v>6146</v>
      </c>
      <c r="N76" s="47"/>
      <c r="O76" s="310"/>
    </row>
    <row r="77" spans="1:15" ht="14.4">
      <c r="A77" s="26">
        <v>21</v>
      </c>
      <c r="B77" s="47"/>
      <c r="C77" s="30" t="s">
        <v>6147</v>
      </c>
      <c r="D77" s="64" t="s">
        <v>6148</v>
      </c>
      <c r="E77" s="64" t="s">
        <v>6149</v>
      </c>
      <c r="F77" s="64" t="s">
        <v>117</v>
      </c>
      <c r="G77" s="64" t="s">
        <v>6150</v>
      </c>
      <c r="H77" s="93" t="s">
        <v>6151</v>
      </c>
      <c r="I77" s="64" t="s">
        <v>6152</v>
      </c>
      <c r="J77" s="51" t="s">
        <v>6153</v>
      </c>
      <c r="K77" s="47" t="s">
        <v>6154</v>
      </c>
      <c r="L77" s="47" t="s">
        <v>6155</v>
      </c>
      <c r="M77" s="47" t="s">
        <v>6156</v>
      </c>
      <c r="N77" s="47"/>
      <c r="O77" s="310"/>
    </row>
    <row r="78" spans="1:15" ht="14.4">
      <c r="A78" s="26">
        <v>22</v>
      </c>
      <c r="B78" s="47"/>
      <c r="C78" s="30" t="s">
        <v>6157</v>
      </c>
      <c r="D78" s="64" t="s">
        <v>6158</v>
      </c>
      <c r="E78" s="64" t="s">
        <v>6159</v>
      </c>
      <c r="F78" s="64" t="s">
        <v>65</v>
      </c>
      <c r="G78" s="64" t="s">
        <v>6160</v>
      </c>
      <c r="H78" s="93" t="s">
        <v>6161</v>
      </c>
      <c r="I78" s="63" t="s">
        <v>6162</v>
      </c>
      <c r="J78" s="51" t="s">
        <v>6163</v>
      </c>
      <c r="K78" s="47" t="s">
        <v>6164</v>
      </c>
      <c r="L78" s="47" t="s">
        <v>6165</v>
      </c>
      <c r="M78" s="47" t="s">
        <v>6166</v>
      </c>
      <c r="N78" s="47"/>
      <c r="O78" s="310"/>
    </row>
    <row r="79" spans="1:15" ht="14.4">
      <c r="A79" s="26">
        <v>23</v>
      </c>
      <c r="B79" s="47"/>
      <c r="C79" s="30" t="s">
        <v>6167</v>
      </c>
      <c r="D79" s="63" t="s">
        <v>6168</v>
      </c>
      <c r="E79" s="63" t="s">
        <v>6169</v>
      </c>
      <c r="F79" s="63" t="s">
        <v>219</v>
      </c>
      <c r="G79" s="63" t="s">
        <v>6170</v>
      </c>
      <c r="H79" s="93" t="s">
        <v>6171</v>
      </c>
      <c r="I79" s="63" t="s">
        <v>6172</v>
      </c>
      <c r="J79" s="64" t="s">
        <v>6173</v>
      </c>
      <c r="K79" s="47" t="s">
        <v>6174</v>
      </c>
      <c r="L79" s="47" t="s">
        <v>6175</v>
      </c>
      <c r="M79" s="47" t="s">
        <v>6176</v>
      </c>
      <c r="N79" s="47"/>
      <c r="O79" s="310"/>
    </row>
    <row r="80" spans="1:15" ht="14.4">
      <c r="A80" s="26">
        <v>24</v>
      </c>
      <c r="B80" s="47"/>
      <c r="C80" s="30" t="s">
        <v>6177</v>
      </c>
      <c r="D80" s="63" t="s">
        <v>6178</v>
      </c>
      <c r="E80" s="97" t="s">
        <v>1441</v>
      </c>
      <c r="F80" s="63" t="s">
        <v>65</v>
      </c>
      <c r="G80" s="63" t="s">
        <v>6179</v>
      </c>
      <c r="H80" s="93" t="s">
        <v>6180</v>
      </c>
      <c r="I80" s="51" t="s">
        <v>6181</v>
      </c>
      <c r="J80" s="51" t="s">
        <v>6182</v>
      </c>
      <c r="K80" s="47" t="s">
        <v>6183</v>
      </c>
      <c r="L80" s="47" t="s">
        <v>6184</v>
      </c>
      <c r="M80" s="47" t="s">
        <v>6185</v>
      </c>
      <c r="N80" s="47"/>
      <c r="O80" s="310"/>
    </row>
    <row r="81" spans="1:15" ht="14.4">
      <c r="A81" s="26">
        <v>25</v>
      </c>
      <c r="B81" s="47"/>
      <c r="C81" s="30" t="s">
        <v>6186</v>
      </c>
      <c r="D81" s="64" t="s">
        <v>6187</v>
      </c>
      <c r="E81" s="64" t="s">
        <v>4957</v>
      </c>
      <c r="F81" s="64" t="s">
        <v>117</v>
      </c>
      <c r="G81" s="64" t="s">
        <v>6111</v>
      </c>
      <c r="H81" s="93" t="s">
        <v>6188</v>
      </c>
      <c r="I81" s="51" t="s">
        <v>6189</v>
      </c>
      <c r="J81" s="51" t="s">
        <v>6190</v>
      </c>
      <c r="K81" s="47" t="s">
        <v>6191</v>
      </c>
      <c r="L81" s="47" t="s">
        <v>6192</v>
      </c>
      <c r="M81" s="47" t="s">
        <v>6193</v>
      </c>
      <c r="N81" s="47"/>
      <c r="O81" s="310"/>
    </row>
    <row r="82" spans="1:15" ht="14.4">
      <c r="A82" s="26">
        <v>26</v>
      </c>
      <c r="B82" s="47"/>
      <c r="C82" s="30" t="s">
        <v>6194</v>
      </c>
      <c r="D82" s="64" t="s">
        <v>6195</v>
      </c>
      <c r="E82" s="64" t="s">
        <v>6196</v>
      </c>
      <c r="F82" s="64" t="s">
        <v>117</v>
      </c>
      <c r="G82" s="64" t="s">
        <v>6197</v>
      </c>
      <c r="H82" s="93" t="s">
        <v>6198</v>
      </c>
      <c r="I82" s="51" t="s">
        <v>6199</v>
      </c>
      <c r="J82" s="51" t="s">
        <v>6200</v>
      </c>
      <c r="K82" s="47" t="s">
        <v>6201</v>
      </c>
      <c r="L82" s="47" t="s">
        <v>6202</v>
      </c>
      <c r="M82" s="47" t="s">
        <v>6203</v>
      </c>
      <c r="N82" s="47"/>
      <c r="O82" s="311"/>
    </row>
    <row r="83" spans="1:15" ht="14.4">
      <c r="A83" s="19">
        <v>1</v>
      </c>
      <c r="B83" s="88"/>
      <c r="C83" s="21" t="s">
        <v>6204</v>
      </c>
      <c r="D83" s="90" t="s">
        <v>6205</v>
      </c>
      <c r="E83" s="90" t="s">
        <v>6206</v>
      </c>
      <c r="F83" s="90" t="s">
        <v>65</v>
      </c>
      <c r="G83" s="90" t="s">
        <v>6207</v>
      </c>
      <c r="H83" s="91" t="s">
        <v>6208</v>
      </c>
      <c r="I83" s="92" t="s">
        <v>6209</v>
      </c>
      <c r="J83" s="92" t="s">
        <v>6210</v>
      </c>
      <c r="K83" s="88" t="s">
        <v>6211</v>
      </c>
      <c r="L83" s="88" t="s">
        <v>6212</v>
      </c>
      <c r="M83" s="88" t="s">
        <v>6213</v>
      </c>
      <c r="N83" s="88">
        <v>4</v>
      </c>
      <c r="O83" s="24" t="s">
        <v>38</v>
      </c>
    </row>
    <row r="84" spans="1:15" ht="14.4">
      <c r="A84" s="26">
        <v>2</v>
      </c>
      <c r="B84" s="47"/>
      <c r="C84" s="30" t="s">
        <v>6214</v>
      </c>
      <c r="D84" s="64" t="s">
        <v>6215</v>
      </c>
      <c r="E84" s="64" t="s">
        <v>6216</v>
      </c>
      <c r="F84" s="64" t="s">
        <v>65</v>
      </c>
      <c r="G84" s="64" t="s">
        <v>6217</v>
      </c>
      <c r="H84" s="93" t="s">
        <v>6218</v>
      </c>
      <c r="I84" s="51" t="s">
        <v>6219</v>
      </c>
      <c r="J84" s="51" t="s">
        <v>6220</v>
      </c>
      <c r="K84" s="47" t="s">
        <v>6221</v>
      </c>
      <c r="L84" s="47" t="s">
        <v>6222</v>
      </c>
      <c r="M84" s="47" t="s">
        <v>6223</v>
      </c>
      <c r="N84" s="47"/>
      <c r="O84" s="314" t="s">
        <v>6224</v>
      </c>
    </row>
    <row r="85" spans="1:15" ht="14.4">
      <c r="A85" s="26">
        <v>3</v>
      </c>
      <c r="B85" s="47"/>
      <c r="C85" s="30" t="s">
        <v>6225</v>
      </c>
      <c r="D85" s="64" t="s">
        <v>6226</v>
      </c>
      <c r="E85" s="54" t="s">
        <v>6227</v>
      </c>
      <c r="F85" s="64" t="s">
        <v>65</v>
      </c>
      <c r="G85" s="64" t="s">
        <v>6228</v>
      </c>
      <c r="H85" s="93" t="s">
        <v>6229</v>
      </c>
      <c r="I85" s="51" t="s">
        <v>6230</v>
      </c>
      <c r="J85" s="51" t="s">
        <v>6231</v>
      </c>
      <c r="K85" s="47" t="s">
        <v>6232</v>
      </c>
      <c r="L85" s="47" t="s">
        <v>6233</v>
      </c>
      <c r="M85" s="47" t="s">
        <v>6234</v>
      </c>
      <c r="N85" s="47"/>
      <c r="O85" s="310"/>
    </row>
    <row r="86" spans="1:15" ht="14.4">
      <c r="A86" s="26">
        <v>4</v>
      </c>
      <c r="B86" s="47"/>
      <c r="C86" s="30" t="s">
        <v>6235</v>
      </c>
      <c r="D86" s="64" t="s">
        <v>6236</v>
      </c>
      <c r="E86" s="64" t="s">
        <v>6237</v>
      </c>
      <c r="F86" s="64" t="s">
        <v>65</v>
      </c>
      <c r="G86" s="64" t="s">
        <v>6238</v>
      </c>
      <c r="H86" s="93" t="s">
        <v>6239</v>
      </c>
      <c r="I86" s="51" t="s">
        <v>6240</v>
      </c>
      <c r="J86" s="51" t="s">
        <v>6241</v>
      </c>
      <c r="K86" s="47" t="s">
        <v>6242</v>
      </c>
      <c r="L86" s="47" t="s">
        <v>6243</v>
      </c>
      <c r="M86" s="47" t="s">
        <v>6244</v>
      </c>
      <c r="N86" s="47"/>
      <c r="O86" s="310"/>
    </row>
    <row r="87" spans="1:15" ht="14.4">
      <c r="A87" s="26">
        <v>5</v>
      </c>
      <c r="B87" s="47"/>
      <c r="C87" s="30" t="s">
        <v>6245</v>
      </c>
      <c r="D87" s="64" t="s">
        <v>6246</v>
      </c>
      <c r="E87" s="64" t="s">
        <v>6247</v>
      </c>
      <c r="F87" s="64" t="s">
        <v>4823</v>
      </c>
      <c r="G87" s="64" t="s">
        <v>6248</v>
      </c>
      <c r="H87" s="93" t="s">
        <v>6249</v>
      </c>
      <c r="I87" s="51" t="s">
        <v>6250</v>
      </c>
      <c r="J87" s="51" t="s">
        <v>6251</v>
      </c>
      <c r="K87" s="47" t="s">
        <v>6252</v>
      </c>
      <c r="L87" s="47" t="s">
        <v>6253</v>
      </c>
      <c r="M87" s="47" t="s">
        <v>6254</v>
      </c>
      <c r="N87" s="47"/>
      <c r="O87" s="310"/>
    </row>
    <row r="88" spans="1:15" ht="14.4">
      <c r="A88" s="26">
        <v>6</v>
      </c>
      <c r="B88" s="47"/>
      <c r="C88" s="30" t="s">
        <v>6255</v>
      </c>
      <c r="D88" s="64" t="s">
        <v>6256</v>
      </c>
      <c r="E88" s="64" t="s">
        <v>6257</v>
      </c>
      <c r="F88" s="64" t="s">
        <v>65</v>
      </c>
      <c r="G88" s="64" t="s">
        <v>6258</v>
      </c>
      <c r="H88" s="93" t="s">
        <v>6259</v>
      </c>
      <c r="I88" s="51" t="s">
        <v>6260</v>
      </c>
      <c r="J88" s="51" t="s">
        <v>6261</v>
      </c>
      <c r="K88" s="47" t="s">
        <v>6262</v>
      </c>
      <c r="L88" s="47" t="s">
        <v>6263</v>
      </c>
      <c r="M88" s="47" t="s">
        <v>6264</v>
      </c>
      <c r="N88" s="47"/>
      <c r="O88" s="310"/>
    </row>
    <row r="89" spans="1:15" ht="14.4">
      <c r="A89" s="26">
        <v>7</v>
      </c>
      <c r="B89" s="47"/>
      <c r="C89" s="30" t="s">
        <v>6265</v>
      </c>
      <c r="D89" s="64" t="s">
        <v>6266</v>
      </c>
      <c r="E89" s="64" t="s">
        <v>6267</v>
      </c>
      <c r="F89" s="64" t="s">
        <v>65</v>
      </c>
      <c r="G89" s="64" t="s">
        <v>6268</v>
      </c>
      <c r="H89" s="93" t="s">
        <v>6269</v>
      </c>
      <c r="I89" s="51" t="s">
        <v>6230</v>
      </c>
      <c r="J89" s="51" t="s">
        <v>6270</v>
      </c>
      <c r="K89" s="47" t="s">
        <v>6271</v>
      </c>
      <c r="L89" s="47" t="s">
        <v>6272</v>
      </c>
      <c r="M89" s="47" t="s">
        <v>6273</v>
      </c>
      <c r="N89" s="47"/>
      <c r="O89" s="310"/>
    </row>
    <row r="90" spans="1:15" ht="14.4">
      <c r="A90" s="26">
        <v>8</v>
      </c>
      <c r="B90" s="47"/>
      <c r="C90" s="30" t="s">
        <v>6274</v>
      </c>
      <c r="D90" s="64" t="s">
        <v>6275</v>
      </c>
      <c r="E90" s="64" t="s">
        <v>6276</v>
      </c>
      <c r="F90" s="64" t="s">
        <v>65</v>
      </c>
      <c r="G90" s="64" t="s">
        <v>6277</v>
      </c>
      <c r="H90" s="93" t="s">
        <v>6278</v>
      </c>
      <c r="I90" s="51" t="s">
        <v>6279</v>
      </c>
      <c r="J90" s="51" t="s">
        <v>6280</v>
      </c>
      <c r="K90" s="47" t="s">
        <v>6281</v>
      </c>
      <c r="L90" s="47" t="s">
        <v>6282</v>
      </c>
      <c r="M90" s="47" t="s">
        <v>6283</v>
      </c>
      <c r="N90" s="47"/>
      <c r="O90" s="310"/>
    </row>
    <row r="91" spans="1:15" ht="14.4">
      <c r="A91" s="26">
        <v>9</v>
      </c>
      <c r="B91" s="47"/>
      <c r="C91" s="30" t="s">
        <v>6284</v>
      </c>
      <c r="D91" s="64" t="s">
        <v>6285</v>
      </c>
      <c r="E91" s="64" t="s">
        <v>6286</v>
      </c>
      <c r="F91" s="64" t="s">
        <v>219</v>
      </c>
      <c r="G91" s="64" t="s">
        <v>6287</v>
      </c>
      <c r="H91" s="93" t="s">
        <v>6288</v>
      </c>
      <c r="I91" s="51" t="s">
        <v>6289</v>
      </c>
      <c r="J91" s="51" t="s">
        <v>6290</v>
      </c>
      <c r="K91" s="47" t="s">
        <v>6291</v>
      </c>
      <c r="L91" s="47" t="s">
        <v>6292</v>
      </c>
      <c r="M91" s="47" t="s">
        <v>6293</v>
      </c>
      <c r="N91" s="47"/>
      <c r="O91" s="310"/>
    </row>
    <row r="92" spans="1:15" ht="14.4">
      <c r="A92" s="26">
        <v>10</v>
      </c>
      <c r="B92" s="47"/>
      <c r="C92" s="30" t="s">
        <v>6294</v>
      </c>
      <c r="D92" s="64" t="s">
        <v>6295</v>
      </c>
      <c r="E92" s="64" t="s">
        <v>1232</v>
      </c>
      <c r="F92" s="64" t="s">
        <v>5791</v>
      </c>
      <c r="G92" s="64" t="s">
        <v>6296</v>
      </c>
      <c r="H92" s="93" t="s">
        <v>6297</v>
      </c>
      <c r="I92" s="51" t="s">
        <v>6298</v>
      </c>
      <c r="J92" s="51" t="s">
        <v>6299</v>
      </c>
      <c r="K92" s="47" t="s">
        <v>6300</v>
      </c>
      <c r="L92" s="47" t="s">
        <v>6301</v>
      </c>
      <c r="M92" s="47" t="s">
        <v>6302</v>
      </c>
      <c r="N92" s="47"/>
      <c r="O92" s="310"/>
    </row>
    <row r="93" spans="1:15" ht="14.4">
      <c r="A93" s="26">
        <v>11</v>
      </c>
      <c r="B93" s="47"/>
      <c r="C93" s="30" t="s">
        <v>6303</v>
      </c>
      <c r="D93" s="64" t="s">
        <v>6304</v>
      </c>
      <c r="E93" s="64" t="s">
        <v>6305</v>
      </c>
      <c r="F93" s="64" t="s">
        <v>4823</v>
      </c>
      <c r="G93" s="64" t="s">
        <v>6306</v>
      </c>
      <c r="H93" s="93" t="s">
        <v>6307</v>
      </c>
      <c r="I93" s="51" t="s">
        <v>6308</v>
      </c>
      <c r="J93" s="51" t="s">
        <v>6309</v>
      </c>
      <c r="K93" s="47" t="s">
        <v>6310</v>
      </c>
      <c r="L93" s="47" t="s">
        <v>6311</v>
      </c>
      <c r="M93" s="47" t="s">
        <v>6312</v>
      </c>
      <c r="N93" s="47"/>
      <c r="O93" s="310"/>
    </row>
    <row r="94" spans="1:15" ht="14.4">
      <c r="A94" s="26">
        <v>12</v>
      </c>
      <c r="B94" s="47"/>
      <c r="C94" s="30" t="s">
        <v>6313</v>
      </c>
      <c r="D94" s="64" t="s">
        <v>6314</v>
      </c>
      <c r="E94" s="64" t="s">
        <v>6315</v>
      </c>
      <c r="F94" s="64" t="s">
        <v>65</v>
      </c>
      <c r="G94" s="64" t="s">
        <v>3904</v>
      </c>
      <c r="H94" s="93" t="s">
        <v>6316</v>
      </c>
      <c r="I94" s="51" t="s">
        <v>6317</v>
      </c>
      <c r="J94" s="51" t="s">
        <v>6318</v>
      </c>
      <c r="K94" s="47" t="s">
        <v>6319</v>
      </c>
      <c r="L94" s="47" t="s">
        <v>6320</v>
      </c>
      <c r="M94" s="47" t="s">
        <v>6321</v>
      </c>
      <c r="N94" s="47"/>
      <c r="O94" s="310"/>
    </row>
    <row r="95" spans="1:15" ht="14.4">
      <c r="A95" s="26">
        <v>13</v>
      </c>
      <c r="B95" s="47"/>
      <c r="C95" s="30" t="s">
        <v>6322</v>
      </c>
      <c r="D95" s="63" t="s">
        <v>6323</v>
      </c>
      <c r="E95" s="63" t="s">
        <v>6324</v>
      </c>
      <c r="F95" s="63" t="s">
        <v>5711</v>
      </c>
      <c r="G95" s="63" t="s">
        <v>6325</v>
      </c>
      <c r="H95" s="93" t="s">
        <v>6326</v>
      </c>
      <c r="I95" s="51" t="s">
        <v>6327</v>
      </c>
      <c r="J95" s="51" t="s">
        <v>6328</v>
      </c>
      <c r="K95" s="47" t="s">
        <v>6329</v>
      </c>
      <c r="L95" s="47" t="s">
        <v>5411</v>
      </c>
      <c r="M95" s="47" t="s">
        <v>5412</v>
      </c>
      <c r="N95" s="47"/>
      <c r="O95" s="310"/>
    </row>
    <row r="96" spans="1:15" ht="14.4">
      <c r="A96" s="26">
        <v>14</v>
      </c>
      <c r="B96" s="47"/>
      <c r="C96" s="30" t="s">
        <v>6330</v>
      </c>
      <c r="D96" s="64" t="s">
        <v>6331</v>
      </c>
      <c r="E96" s="64" t="s">
        <v>6332</v>
      </c>
      <c r="F96" s="64" t="s">
        <v>42</v>
      </c>
      <c r="G96" s="64" t="s">
        <v>6333</v>
      </c>
      <c r="H96" s="93" t="s">
        <v>6334</v>
      </c>
      <c r="I96" s="51" t="s">
        <v>6335</v>
      </c>
      <c r="J96" s="51" t="s">
        <v>6336</v>
      </c>
      <c r="K96" s="47" t="s">
        <v>6337</v>
      </c>
      <c r="L96" s="47" t="s">
        <v>6338</v>
      </c>
      <c r="M96" s="47" t="s">
        <v>6339</v>
      </c>
      <c r="N96" s="47"/>
      <c r="O96" s="310"/>
    </row>
    <row r="97" spans="1:26" ht="14.4">
      <c r="A97" s="26">
        <v>15</v>
      </c>
      <c r="B97" s="47"/>
      <c r="C97" s="30" t="s">
        <v>6340</v>
      </c>
      <c r="D97" s="64" t="s">
        <v>6341</v>
      </c>
      <c r="E97" s="64" t="s">
        <v>6342</v>
      </c>
      <c r="F97" s="64" t="s">
        <v>54</v>
      </c>
      <c r="G97" s="64" t="s">
        <v>6343</v>
      </c>
      <c r="H97" s="93" t="s">
        <v>6344</v>
      </c>
      <c r="I97" s="51" t="s">
        <v>6345</v>
      </c>
      <c r="J97" s="51" t="s">
        <v>6346</v>
      </c>
      <c r="K97" s="47" t="s">
        <v>6347</v>
      </c>
      <c r="L97" s="47" t="s">
        <v>6348</v>
      </c>
      <c r="M97" s="47" t="s">
        <v>6349</v>
      </c>
      <c r="N97" s="47"/>
      <c r="O97" s="310"/>
    </row>
    <row r="98" spans="1:26" ht="14.4">
      <c r="A98" s="26">
        <v>16</v>
      </c>
      <c r="B98" s="47"/>
      <c r="C98" s="30" t="s">
        <v>6350</v>
      </c>
      <c r="D98" s="64" t="s">
        <v>6351</v>
      </c>
      <c r="E98" s="64" t="s">
        <v>6352</v>
      </c>
      <c r="F98" s="64" t="s">
        <v>65</v>
      </c>
      <c r="G98" s="64" t="s">
        <v>6353</v>
      </c>
      <c r="H98" s="93" t="s">
        <v>6354</v>
      </c>
      <c r="I98" s="51" t="s">
        <v>6355</v>
      </c>
      <c r="J98" s="51" t="s">
        <v>6356</v>
      </c>
      <c r="K98" s="47" t="s">
        <v>6357</v>
      </c>
      <c r="L98" s="47" t="s">
        <v>6358</v>
      </c>
      <c r="M98" s="47" t="s">
        <v>6359</v>
      </c>
      <c r="N98" s="47"/>
      <c r="O98" s="310"/>
    </row>
    <row r="99" spans="1:26" ht="14.4">
      <c r="A99" s="26">
        <v>17</v>
      </c>
      <c r="B99" s="47"/>
      <c r="C99" s="30" t="s">
        <v>6360</v>
      </c>
      <c r="D99" s="64" t="s">
        <v>6361</v>
      </c>
      <c r="E99" s="64" t="s">
        <v>6362</v>
      </c>
      <c r="F99" s="64" t="s">
        <v>65</v>
      </c>
      <c r="G99" s="64" t="s">
        <v>6363</v>
      </c>
      <c r="H99" s="93" t="s">
        <v>6364</v>
      </c>
      <c r="I99" s="51" t="s">
        <v>6365</v>
      </c>
      <c r="J99" s="51" t="s">
        <v>6366</v>
      </c>
      <c r="K99" s="47" t="s">
        <v>6367</v>
      </c>
      <c r="L99" s="47" t="s">
        <v>6368</v>
      </c>
      <c r="M99" s="47" t="s">
        <v>6369</v>
      </c>
      <c r="N99" s="47"/>
      <c r="O99" s="310"/>
    </row>
    <row r="100" spans="1:26" ht="14.4">
      <c r="A100" s="26">
        <v>18</v>
      </c>
      <c r="B100" s="47"/>
      <c r="C100" s="30" t="s">
        <v>6370</v>
      </c>
      <c r="D100" s="64" t="s">
        <v>6371</v>
      </c>
      <c r="E100" s="64" t="s">
        <v>6372</v>
      </c>
      <c r="F100" s="64" t="s">
        <v>117</v>
      </c>
      <c r="G100" s="64" t="s">
        <v>6373</v>
      </c>
      <c r="H100" s="93" t="s">
        <v>6374</v>
      </c>
      <c r="I100" s="51" t="s">
        <v>6375</v>
      </c>
      <c r="J100" s="51" t="s">
        <v>6376</v>
      </c>
      <c r="K100" s="47" t="s">
        <v>6377</v>
      </c>
      <c r="L100" s="47" t="s">
        <v>6378</v>
      </c>
      <c r="M100" s="47" t="s">
        <v>6379</v>
      </c>
      <c r="N100" s="47"/>
      <c r="O100" s="310"/>
    </row>
    <row r="101" spans="1:26" ht="14.4">
      <c r="A101" s="26">
        <v>19</v>
      </c>
      <c r="B101" s="47"/>
      <c r="C101" s="30" t="s">
        <v>6380</v>
      </c>
      <c r="D101" s="64" t="s">
        <v>6381</v>
      </c>
      <c r="E101" s="64" t="s">
        <v>6382</v>
      </c>
      <c r="F101" s="64" t="s">
        <v>65</v>
      </c>
      <c r="G101" s="64" t="s">
        <v>6383</v>
      </c>
      <c r="H101" s="93" t="s">
        <v>6384</v>
      </c>
      <c r="I101" s="51" t="s">
        <v>6385</v>
      </c>
      <c r="J101" s="51" t="s">
        <v>6386</v>
      </c>
      <c r="K101" s="47" t="s">
        <v>6387</v>
      </c>
      <c r="L101" s="47" t="s">
        <v>6388</v>
      </c>
      <c r="M101" s="47" t="s">
        <v>6389</v>
      </c>
      <c r="N101" s="47"/>
      <c r="O101" s="310"/>
    </row>
    <row r="102" spans="1:26" ht="14.4">
      <c r="A102" s="26">
        <v>20</v>
      </c>
      <c r="B102" s="47"/>
      <c r="C102" s="30" t="s">
        <v>6390</v>
      </c>
      <c r="D102" s="64" t="s">
        <v>6391</v>
      </c>
      <c r="E102" s="64" t="s">
        <v>6392</v>
      </c>
      <c r="F102" s="64" t="s">
        <v>117</v>
      </c>
      <c r="G102" s="64" t="s">
        <v>2958</v>
      </c>
      <c r="H102" s="93" t="s">
        <v>6393</v>
      </c>
      <c r="I102" s="51" t="s">
        <v>6394</v>
      </c>
      <c r="J102" s="51" t="s">
        <v>6395</v>
      </c>
      <c r="K102" s="47" t="s">
        <v>6396</v>
      </c>
      <c r="L102" s="47" t="s">
        <v>6397</v>
      </c>
      <c r="M102" s="47" t="s">
        <v>6398</v>
      </c>
      <c r="N102" s="47"/>
      <c r="O102" s="310"/>
    </row>
    <row r="103" spans="1:26" ht="14.4">
      <c r="A103" s="26">
        <v>21</v>
      </c>
      <c r="B103" s="47"/>
      <c r="C103" s="30" t="s">
        <v>6399</v>
      </c>
      <c r="D103" s="64" t="s">
        <v>6400</v>
      </c>
      <c r="E103" s="63" t="s">
        <v>6401</v>
      </c>
      <c r="F103" s="63" t="s">
        <v>54</v>
      </c>
      <c r="G103" s="63" t="s">
        <v>6402</v>
      </c>
      <c r="H103" s="93" t="s">
        <v>6403</v>
      </c>
      <c r="I103" s="51" t="s">
        <v>6404</v>
      </c>
      <c r="J103" s="64" t="s">
        <v>6405</v>
      </c>
      <c r="K103" s="47" t="s">
        <v>6406</v>
      </c>
      <c r="L103" s="47" t="s">
        <v>6407</v>
      </c>
      <c r="M103" s="47" t="s">
        <v>6408</v>
      </c>
      <c r="N103" s="47"/>
      <c r="O103" s="310"/>
    </row>
    <row r="104" spans="1:26" ht="14.4">
      <c r="A104" s="26">
        <v>22</v>
      </c>
      <c r="B104" s="47"/>
      <c r="C104" s="30" t="s">
        <v>6409</v>
      </c>
      <c r="D104" s="63" t="s">
        <v>6410</v>
      </c>
      <c r="E104" s="63" t="s">
        <v>6411</v>
      </c>
      <c r="F104" s="63" t="s">
        <v>501</v>
      </c>
      <c r="G104" s="63" t="s">
        <v>6412</v>
      </c>
      <c r="H104" s="93" t="s">
        <v>6413</v>
      </c>
      <c r="I104" s="51" t="s">
        <v>6414</v>
      </c>
      <c r="J104" s="51" t="s">
        <v>6415</v>
      </c>
      <c r="K104" s="47" t="s">
        <v>6416</v>
      </c>
      <c r="L104" s="47" t="s">
        <v>6417</v>
      </c>
      <c r="M104" s="47" t="s">
        <v>6418</v>
      </c>
      <c r="N104" s="47"/>
      <c r="O104" s="310"/>
    </row>
    <row r="105" spans="1:26" ht="14.4">
      <c r="A105" s="26">
        <v>23</v>
      </c>
      <c r="B105" s="47"/>
      <c r="C105" s="30" t="s">
        <v>6419</v>
      </c>
      <c r="D105" s="64" t="s">
        <v>6420</v>
      </c>
      <c r="E105" s="63" t="s">
        <v>6421</v>
      </c>
      <c r="F105" s="63" t="s">
        <v>65</v>
      </c>
      <c r="G105" s="63" t="s">
        <v>6422</v>
      </c>
      <c r="H105" s="93" t="s">
        <v>6423</v>
      </c>
      <c r="I105" s="51" t="s">
        <v>6424</v>
      </c>
      <c r="J105" s="64" t="s">
        <v>6425</v>
      </c>
      <c r="K105" s="47" t="s">
        <v>6426</v>
      </c>
      <c r="L105" s="47" t="s">
        <v>6427</v>
      </c>
      <c r="M105" s="47" t="s">
        <v>6428</v>
      </c>
      <c r="N105" s="47"/>
      <c r="O105" s="310"/>
    </row>
    <row r="106" spans="1:26" ht="14.4">
      <c r="A106" s="26">
        <v>24</v>
      </c>
      <c r="B106" s="47"/>
      <c r="C106" s="30" t="s">
        <v>6429</v>
      </c>
      <c r="D106" s="64" t="s">
        <v>6430</v>
      </c>
      <c r="E106" s="63" t="s">
        <v>6431</v>
      </c>
      <c r="F106" s="63" t="s">
        <v>219</v>
      </c>
      <c r="G106" s="63" t="s">
        <v>6432</v>
      </c>
      <c r="H106" s="93" t="s">
        <v>6433</v>
      </c>
      <c r="I106" s="51" t="s">
        <v>6434</v>
      </c>
      <c r="J106" s="64" t="s">
        <v>6435</v>
      </c>
      <c r="K106" s="47" t="s">
        <v>6436</v>
      </c>
      <c r="L106" s="47" t="s">
        <v>6437</v>
      </c>
      <c r="M106" s="47" t="s">
        <v>6438</v>
      </c>
      <c r="N106" s="47"/>
      <c r="O106" s="310"/>
    </row>
    <row r="107" spans="1:26" ht="14.4">
      <c r="A107" s="26">
        <v>25</v>
      </c>
      <c r="B107" s="47"/>
      <c r="C107" s="63" t="s">
        <v>6439</v>
      </c>
      <c r="D107" s="63" t="s">
        <v>6440</v>
      </c>
      <c r="E107" s="63" t="s">
        <v>6441</v>
      </c>
      <c r="F107" s="63" t="s">
        <v>219</v>
      </c>
      <c r="G107" s="63" t="s">
        <v>6442</v>
      </c>
      <c r="H107" s="93" t="s">
        <v>6443</v>
      </c>
      <c r="I107" s="51" t="s">
        <v>6444</v>
      </c>
      <c r="J107" s="51" t="s">
        <v>6445</v>
      </c>
      <c r="K107" s="47" t="s">
        <v>6446</v>
      </c>
      <c r="L107" s="47" t="s">
        <v>6447</v>
      </c>
      <c r="M107" s="47" t="s">
        <v>6448</v>
      </c>
      <c r="N107" s="47"/>
      <c r="O107" s="310"/>
    </row>
    <row r="108" spans="1:26" ht="14.4">
      <c r="A108" s="26">
        <v>26</v>
      </c>
      <c r="B108" s="47"/>
      <c r="C108" s="63" t="s">
        <v>6449</v>
      </c>
      <c r="D108" s="63" t="s">
        <v>6450</v>
      </c>
      <c r="E108" s="63" t="s">
        <v>6451</v>
      </c>
      <c r="F108" s="63" t="s">
        <v>54</v>
      </c>
      <c r="G108" s="63" t="s">
        <v>6452</v>
      </c>
      <c r="H108" s="93" t="s">
        <v>6453</v>
      </c>
      <c r="I108" s="51" t="s">
        <v>6454</v>
      </c>
      <c r="J108" s="51" t="s">
        <v>6455</v>
      </c>
      <c r="K108" s="47" t="s">
        <v>6456</v>
      </c>
      <c r="L108" s="47" t="s">
        <v>6457</v>
      </c>
      <c r="M108" s="47" t="s">
        <v>6458</v>
      </c>
      <c r="N108" s="47"/>
      <c r="O108" s="310"/>
    </row>
    <row r="109" spans="1:26" ht="14.4">
      <c r="A109" s="26">
        <v>27</v>
      </c>
      <c r="B109" s="47"/>
      <c r="C109" s="63" t="s">
        <v>6459</v>
      </c>
      <c r="D109" s="63" t="s">
        <v>6460</v>
      </c>
      <c r="E109" s="63" t="s">
        <v>6461</v>
      </c>
      <c r="F109" s="63" t="s">
        <v>4823</v>
      </c>
      <c r="G109" s="63" t="s">
        <v>6462</v>
      </c>
      <c r="H109" s="93" t="s">
        <v>6463</v>
      </c>
      <c r="I109" s="51" t="s">
        <v>6464</v>
      </c>
      <c r="J109" s="51" t="s">
        <v>6465</v>
      </c>
      <c r="K109" s="47" t="s">
        <v>6466</v>
      </c>
      <c r="L109" s="47" t="s">
        <v>6467</v>
      </c>
      <c r="M109" s="47" t="s">
        <v>6468</v>
      </c>
      <c r="N109" s="47"/>
      <c r="O109" s="311"/>
    </row>
    <row r="110" spans="1:26" ht="14.4">
      <c r="A110" s="19">
        <v>1</v>
      </c>
      <c r="B110" s="88"/>
      <c r="C110" s="90" t="s">
        <v>6469</v>
      </c>
      <c r="D110" s="90" t="s">
        <v>6470</v>
      </c>
      <c r="E110" s="90" t="s">
        <v>6471</v>
      </c>
      <c r="F110" s="90" t="s">
        <v>664</v>
      </c>
      <c r="G110" s="90" t="s">
        <v>6472</v>
      </c>
      <c r="H110" s="91" t="s">
        <v>6473</v>
      </c>
      <c r="I110" s="92" t="s">
        <v>6474</v>
      </c>
      <c r="J110" s="92" t="s">
        <v>6475</v>
      </c>
      <c r="K110" s="88" t="s">
        <v>6476</v>
      </c>
      <c r="L110" s="88" t="s">
        <v>6477</v>
      </c>
      <c r="M110" s="88" t="s">
        <v>6478</v>
      </c>
      <c r="N110" s="88">
        <v>5</v>
      </c>
      <c r="O110" s="24" t="s">
        <v>38</v>
      </c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4.4">
      <c r="A111" s="26">
        <v>2</v>
      </c>
      <c r="B111" s="47"/>
      <c r="C111" s="63" t="s">
        <v>6479</v>
      </c>
      <c r="D111" s="63" t="s">
        <v>6480</v>
      </c>
      <c r="E111" s="63" t="s">
        <v>6481</v>
      </c>
      <c r="F111" s="63" t="s">
        <v>219</v>
      </c>
      <c r="G111" s="63" t="s">
        <v>6482</v>
      </c>
      <c r="H111" s="93" t="s">
        <v>6483</v>
      </c>
      <c r="I111" s="51" t="s">
        <v>6484</v>
      </c>
      <c r="J111" s="51" t="s">
        <v>6485</v>
      </c>
      <c r="K111" s="47" t="s">
        <v>6486</v>
      </c>
      <c r="L111" s="47" t="s">
        <v>6487</v>
      </c>
      <c r="M111" s="47" t="s">
        <v>6488</v>
      </c>
      <c r="N111" s="47"/>
      <c r="O111" s="314" t="s">
        <v>6489</v>
      </c>
    </row>
    <row r="112" spans="1:26" ht="14.4">
      <c r="A112" s="26">
        <v>3</v>
      </c>
      <c r="B112" s="47"/>
      <c r="C112" s="63" t="s">
        <v>6490</v>
      </c>
      <c r="D112" s="63" t="s">
        <v>6491</v>
      </c>
      <c r="E112" s="63" t="s">
        <v>6492</v>
      </c>
      <c r="F112" s="63" t="s">
        <v>117</v>
      </c>
      <c r="G112" s="63" t="s">
        <v>6493</v>
      </c>
      <c r="H112" s="93" t="s">
        <v>6494</v>
      </c>
      <c r="I112" s="51" t="s">
        <v>6495</v>
      </c>
      <c r="J112" s="51" t="s">
        <v>6496</v>
      </c>
      <c r="K112" s="47" t="s">
        <v>6497</v>
      </c>
      <c r="L112" s="47" t="s">
        <v>6498</v>
      </c>
      <c r="M112" s="47" t="s">
        <v>6499</v>
      </c>
      <c r="N112" s="47"/>
      <c r="O112" s="310"/>
    </row>
    <row r="113" spans="1:15" ht="14.4">
      <c r="A113" s="26">
        <v>4</v>
      </c>
      <c r="B113" s="47"/>
      <c r="C113" s="63" t="s">
        <v>6500</v>
      </c>
      <c r="D113" s="63" t="s">
        <v>6501</v>
      </c>
      <c r="E113" s="63" t="s">
        <v>6502</v>
      </c>
      <c r="F113" s="63" t="s">
        <v>65</v>
      </c>
      <c r="G113" s="63" t="s">
        <v>6503</v>
      </c>
      <c r="H113" s="93" t="s">
        <v>6504</v>
      </c>
      <c r="I113" s="51" t="s">
        <v>6505</v>
      </c>
      <c r="J113" s="51" t="s">
        <v>6506</v>
      </c>
      <c r="K113" s="47" t="s">
        <v>6507</v>
      </c>
      <c r="L113" s="47" t="s">
        <v>6508</v>
      </c>
      <c r="M113" s="47" t="s">
        <v>6509</v>
      </c>
      <c r="N113" s="47"/>
      <c r="O113" s="310"/>
    </row>
    <row r="114" spans="1:15" ht="14.4">
      <c r="A114" s="26">
        <v>5</v>
      </c>
      <c r="B114" s="47"/>
      <c r="C114" s="63" t="s">
        <v>6510</v>
      </c>
      <c r="D114" s="63" t="s">
        <v>6511</v>
      </c>
      <c r="E114" s="63" t="s">
        <v>6512</v>
      </c>
      <c r="F114" s="63" t="s">
        <v>117</v>
      </c>
      <c r="G114" s="63" t="s">
        <v>6513</v>
      </c>
      <c r="H114" s="93" t="s">
        <v>6514</v>
      </c>
      <c r="I114" s="51" t="s">
        <v>6515</v>
      </c>
      <c r="J114" s="51" t="s">
        <v>6516</v>
      </c>
      <c r="K114" s="47" t="s">
        <v>6517</v>
      </c>
      <c r="L114" s="47" t="s">
        <v>6518</v>
      </c>
      <c r="M114" s="47" t="s">
        <v>6519</v>
      </c>
      <c r="N114" s="47"/>
      <c r="O114" s="310"/>
    </row>
    <row r="115" spans="1:15" ht="14.4">
      <c r="A115" s="26">
        <v>6</v>
      </c>
      <c r="B115" s="47"/>
      <c r="C115" s="63" t="s">
        <v>6520</v>
      </c>
      <c r="D115" s="63" t="s">
        <v>6521</v>
      </c>
      <c r="E115" s="63" t="s">
        <v>6522</v>
      </c>
      <c r="F115" s="63" t="s">
        <v>117</v>
      </c>
      <c r="G115" s="63" t="s">
        <v>6523</v>
      </c>
      <c r="H115" s="93" t="s">
        <v>6524</v>
      </c>
      <c r="I115" s="51" t="s">
        <v>6525</v>
      </c>
      <c r="J115" s="51" t="s">
        <v>6526</v>
      </c>
      <c r="K115" s="47" t="s">
        <v>6527</v>
      </c>
      <c r="L115" s="47" t="s">
        <v>6528</v>
      </c>
      <c r="M115" s="47" t="s">
        <v>6529</v>
      </c>
      <c r="N115" s="47"/>
      <c r="O115" s="310"/>
    </row>
    <row r="116" spans="1:15" ht="14.4">
      <c r="A116" s="26">
        <v>7</v>
      </c>
      <c r="B116" s="47"/>
      <c r="C116" s="63" t="s">
        <v>6530</v>
      </c>
      <c r="D116" s="63" t="s">
        <v>6531</v>
      </c>
      <c r="E116" s="63" t="s">
        <v>6532</v>
      </c>
      <c r="F116" s="63" t="s">
        <v>65</v>
      </c>
      <c r="G116" s="63" t="s">
        <v>6533</v>
      </c>
      <c r="H116" s="93" t="s">
        <v>6534</v>
      </c>
      <c r="I116" s="51" t="s">
        <v>6535</v>
      </c>
      <c r="J116" s="51" t="s">
        <v>6536</v>
      </c>
      <c r="K116" s="47" t="s">
        <v>6537</v>
      </c>
      <c r="L116" s="47" t="s">
        <v>6538</v>
      </c>
      <c r="M116" s="47" t="s">
        <v>6539</v>
      </c>
      <c r="N116" s="47"/>
      <c r="O116" s="310"/>
    </row>
    <row r="117" spans="1:15" ht="14.4">
      <c r="A117" s="26">
        <v>8</v>
      </c>
      <c r="B117" s="47"/>
      <c r="C117" s="63" t="s">
        <v>6540</v>
      </c>
      <c r="D117" s="63" t="s">
        <v>6541</v>
      </c>
      <c r="E117" s="63" t="s">
        <v>6542</v>
      </c>
      <c r="F117" s="63" t="s">
        <v>65</v>
      </c>
      <c r="G117" s="63" t="s">
        <v>6543</v>
      </c>
      <c r="H117" s="93" t="s">
        <v>6544</v>
      </c>
      <c r="I117" s="51" t="s">
        <v>6545</v>
      </c>
      <c r="J117" s="51" t="s">
        <v>6546</v>
      </c>
      <c r="K117" s="47" t="s">
        <v>6547</v>
      </c>
      <c r="L117" s="47" t="s">
        <v>6548</v>
      </c>
      <c r="M117" s="47" t="s">
        <v>6549</v>
      </c>
      <c r="N117" s="47"/>
      <c r="O117" s="310"/>
    </row>
    <row r="118" spans="1:15" ht="14.4">
      <c r="A118" s="26">
        <v>9</v>
      </c>
      <c r="B118" s="47"/>
      <c r="C118" s="63" t="s">
        <v>6550</v>
      </c>
      <c r="D118" s="63" t="s">
        <v>6551</v>
      </c>
      <c r="E118" s="63" t="s">
        <v>6552</v>
      </c>
      <c r="F118" s="63" t="s">
        <v>117</v>
      </c>
      <c r="G118" s="63" t="s">
        <v>6553</v>
      </c>
      <c r="H118" s="93" t="s">
        <v>6554</v>
      </c>
      <c r="I118" s="51" t="s">
        <v>6555</v>
      </c>
      <c r="J118" s="51" t="s">
        <v>6556</v>
      </c>
      <c r="K118" s="47" t="s">
        <v>6557</v>
      </c>
      <c r="L118" s="47" t="s">
        <v>6558</v>
      </c>
      <c r="M118" s="47" t="s">
        <v>6559</v>
      </c>
      <c r="N118" s="47"/>
      <c r="O118" s="310"/>
    </row>
    <row r="119" spans="1:15" ht="14.4">
      <c r="A119" s="26">
        <v>10</v>
      </c>
      <c r="B119" s="47"/>
      <c r="C119" s="63" t="s">
        <v>6560</v>
      </c>
      <c r="D119" s="63" t="s">
        <v>6561</v>
      </c>
      <c r="E119" s="63" t="s">
        <v>6562</v>
      </c>
      <c r="F119" s="63"/>
      <c r="G119" s="63" t="s">
        <v>6563</v>
      </c>
      <c r="H119" s="93" t="s">
        <v>6564</v>
      </c>
      <c r="I119" s="51" t="s">
        <v>6565</v>
      </c>
      <c r="J119" s="51" t="s">
        <v>6566</v>
      </c>
      <c r="K119" s="47" t="s">
        <v>6567</v>
      </c>
      <c r="L119" s="47" t="s">
        <v>6568</v>
      </c>
      <c r="M119" s="47" t="s">
        <v>6569</v>
      </c>
      <c r="N119" s="47"/>
      <c r="O119" s="310"/>
    </row>
    <row r="120" spans="1:15" ht="14.4">
      <c r="A120" s="26">
        <v>11</v>
      </c>
      <c r="B120" s="47"/>
      <c r="C120" s="63" t="s">
        <v>6570</v>
      </c>
      <c r="D120" s="63" t="s">
        <v>6571</v>
      </c>
      <c r="E120" s="63" t="s">
        <v>6572</v>
      </c>
      <c r="F120" s="63" t="s">
        <v>117</v>
      </c>
      <c r="G120" s="63" t="s">
        <v>6553</v>
      </c>
      <c r="H120" s="93" t="s">
        <v>6573</v>
      </c>
      <c r="I120" s="51" t="s">
        <v>6574</v>
      </c>
      <c r="J120" s="51" t="s">
        <v>6575</v>
      </c>
      <c r="K120" s="47" t="s">
        <v>6576</v>
      </c>
      <c r="L120" s="47" t="s">
        <v>6577</v>
      </c>
      <c r="M120" s="47" t="s">
        <v>6578</v>
      </c>
      <c r="N120" s="47"/>
      <c r="O120" s="310"/>
    </row>
    <row r="121" spans="1:15" ht="14.4">
      <c r="A121" s="26">
        <v>12</v>
      </c>
      <c r="B121" s="47"/>
      <c r="C121" s="63" t="s">
        <v>6579</v>
      </c>
      <c r="D121" s="63" t="s">
        <v>6580</v>
      </c>
      <c r="E121" s="63" t="s">
        <v>6581</v>
      </c>
      <c r="F121" s="63" t="s">
        <v>54</v>
      </c>
      <c r="G121" s="63" t="s">
        <v>6582</v>
      </c>
      <c r="H121" s="93" t="s">
        <v>6583</v>
      </c>
      <c r="I121" s="51" t="s">
        <v>6584</v>
      </c>
      <c r="J121" s="51" t="s">
        <v>6585</v>
      </c>
      <c r="K121" s="47" t="s">
        <v>6586</v>
      </c>
      <c r="L121" s="47" t="s">
        <v>6587</v>
      </c>
      <c r="M121" s="47" t="s">
        <v>6588</v>
      </c>
      <c r="N121" s="47"/>
      <c r="O121" s="310"/>
    </row>
    <row r="122" spans="1:15" ht="14.4">
      <c r="A122" s="26">
        <v>13</v>
      </c>
      <c r="B122" s="47"/>
      <c r="C122" s="63" t="s">
        <v>6589</v>
      </c>
      <c r="D122" s="63" t="s">
        <v>6590</v>
      </c>
      <c r="E122" s="63" t="s">
        <v>6591</v>
      </c>
      <c r="F122" s="63" t="s">
        <v>219</v>
      </c>
      <c r="G122" s="63" t="s">
        <v>6592</v>
      </c>
      <c r="H122" s="93" t="s">
        <v>6593</v>
      </c>
      <c r="I122" s="51" t="s">
        <v>6594</v>
      </c>
      <c r="J122" s="51" t="s">
        <v>6595</v>
      </c>
      <c r="K122" s="47" t="s">
        <v>6596</v>
      </c>
      <c r="L122" s="47" t="s">
        <v>6597</v>
      </c>
      <c r="M122" s="47" t="s">
        <v>6598</v>
      </c>
      <c r="N122" s="47"/>
      <c r="O122" s="310"/>
    </row>
    <row r="123" spans="1:15" ht="14.4">
      <c r="A123" s="26">
        <v>14</v>
      </c>
      <c r="B123" s="47"/>
      <c r="C123" s="63" t="s">
        <v>6599</v>
      </c>
      <c r="D123" s="63" t="s">
        <v>6600</v>
      </c>
      <c r="E123" s="63" t="s">
        <v>6601</v>
      </c>
      <c r="F123" s="63" t="s">
        <v>65</v>
      </c>
      <c r="G123" s="63" t="s">
        <v>6602</v>
      </c>
      <c r="H123" s="93" t="s">
        <v>6603</v>
      </c>
      <c r="I123" s="51" t="s">
        <v>6604</v>
      </c>
      <c r="J123" s="51" t="s">
        <v>6605</v>
      </c>
      <c r="K123" s="47" t="s">
        <v>6606</v>
      </c>
      <c r="L123" s="47" t="s">
        <v>6607</v>
      </c>
      <c r="M123" s="47" t="s">
        <v>6608</v>
      </c>
      <c r="N123" s="47"/>
      <c r="O123" s="310"/>
    </row>
    <row r="124" spans="1:15" ht="14.4">
      <c r="A124" s="26">
        <v>15</v>
      </c>
      <c r="B124" s="47"/>
      <c r="C124" s="30" t="s">
        <v>6609</v>
      </c>
      <c r="D124" s="63" t="s">
        <v>6610</v>
      </c>
      <c r="E124" s="63" t="s">
        <v>6611</v>
      </c>
      <c r="F124" s="63" t="s">
        <v>65</v>
      </c>
      <c r="G124" s="63" t="s">
        <v>6612</v>
      </c>
      <c r="H124" s="93" t="s">
        <v>6613</v>
      </c>
      <c r="I124" s="51" t="s">
        <v>6614</v>
      </c>
      <c r="J124" s="63" t="s">
        <v>6615</v>
      </c>
      <c r="K124" s="47" t="s">
        <v>6616</v>
      </c>
      <c r="L124" s="47" t="s">
        <v>6617</v>
      </c>
      <c r="M124" s="47" t="s">
        <v>6618</v>
      </c>
      <c r="N124" s="47"/>
      <c r="O124" s="310"/>
    </row>
    <row r="125" spans="1:15" ht="14.4">
      <c r="A125" s="26">
        <v>16</v>
      </c>
      <c r="B125" s="47"/>
      <c r="C125" s="30" t="s">
        <v>6619</v>
      </c>
      <c r="D125" s="63" t="s">
        <v>6620</v>
      </c>
      <c r="E125" s="63" t="s">
        <v>6621</v>
      </c>
      <c r="F125" s="63" t="s">
        <v>65</v>
      </c>
      <c r="G125" s="63" t="s">
        <v>6622</v>
      </c>
      <c r="H125" s="93" t="s">
        <v>6623</v>
      </c>
      <c r="I125" s="51" t="s">
        <v>6624</v>
      </c>
      <c r="J125" s="51" t="s">
        <v>6625</v>
      </c>
      <c r="K125" s="47" t="s">
        <v>6626</v>
      </c>
      <c r="L125" s="47" t="s">
        <v>6627</v>
      </c>
      <c r="M125" s="47" t="s">
        <v>6628</v>
      </c>
      <c r="N125" s="47"/>
      <c r="O125" s="310"/>
    </row>
    <row r="126" spans="1:15" ht="14.4">
      <c r="A126" s="26">
        <v>17</v>
      </c>
      <c r="B126" s="47"/>
      <c r="C126" s="30" t="s">
        <v>6629</v>
      </c>
      <c r="D126" s="63" t="s">
        <v>6630</v>
      </c>
      <c r="E126" s="63" t="s">
        <v>6631</v>
      </c>
      <c r="F126" s="63" t="s">
        <v>117</v>
      </c>
      <c r="G126" s="63" t="s">
        <v>6632</v>
      </c>
      <c r="H126" s="93" t="s">
        <v>6633</v>
      </c>
      <c r="I126" s="51" t="s">
        <v>6634</v>
      </c>
      <c r="J126" s="51" t="s">
        <v>6635</v>
      </c>
      <c r="K126" s="47" t="s">
        <v>6636</v>
      </c>
      <c r="L126" s="47" t="s">
        <v>6637</v>
      </c>
      <c r="M126" s="47" t="s">
        <v>6638</v>
      </c>
      <c r="N126" s="47"/>
      <c r="O126" s="310"/>
    </row>
    <row r="127" spans="1:15" ht="14.4">
      <c r="A127" s="26">
        <v>18</v>
      </c>
      <c r="B127" s="47"/>
      <c r="C127" s="30" t="s">
        <v>6639</v>
      </c>
      <c r="D127" s="63" t="s">
        <v>6640</v>
      </c>
      <c r="E127" s="63" t="s">
        <v>1387</v>
      </c>
      <c r="F127" s="63" t="s">
        <v>65</v>
      </c>
      <c r="G127" s="63" t="s">
        <v>6641</v>
      </c>
      <c r="H127" s="93" t="s">
        <v>6642</v>
      </c>
      <c r="I127" s="51" t="s">
        <v>6643</v>
      </c>
      <c r="J127" s="51" t="s">
        <v>6644</v>
      </c>
      <c r="K127" s="47" t="s">
        <v>6645</v>
      </c>
      <c r="L127" s="47" t="s">
        <v>6646</v>
      </c>
      <c r="M127" s="47" t="s">
        <v>6647</v>
      </c>
      <c r="N127" s="47"/>
      <c r="O127" s="310"/>
    </row>
    <row r="128" spans="1:15" ht="14.4">
      <c r="A128" s="26">
        <v>19</v>
      </c>
      <c r="B128" s="47"/>
      <c r="C128" s="30" t="s">
        <v>6648</v>
      </c>
      <c r="D128" s="63" t="s">
        <v>6649</v>
      </c>
      <c r="E128" s="51" t="s">
        <v>6650</v>
      </c>
      <c r="F128" s="63" t="s">
        <v>117</v>
      </c>
      <c r="G128" s="63" t="s">
        <v>6651</v>
      </c>
      <c r="H128" s="93" t="s">
        <v>6652</v>
      </c>
      <c r="I128" s="51" t="s">
        <v>6653</v>
      </c>
      <c r="J128" s="51" t="s">
        <v>6654</v>
      </c>
      <c r="K128" s="47" t="s">
        <v>6655</v>
      </c>
      <c r="L128" s="47" t="s">
        <v>6656</v>
      </c>
      <c r="M128" s="47" t="s">
        <v>6657</v>
      </c>
      <c r="N128" s="47"/>
      <c r="O128" s="310"/>
    </row>
    <row r="129" spans="1:15" ht="14.4">
      <c r="A129" s="26">
        <v>20</v>
      </c>
      <c r="B129" s="47"/>
      <c r="C129" s="30" t="s">
        <v>6658</v>
      </c>
      <c r="D129" s="63" t="s">
        <v>6659</v>
      </c>
      <c r="E129" s="63" t="s">
        <v>6660</v>
      </c>
      <c r="F129" s="63" t="s">
        <v>563</v>
      </c>
      <c r="G129" s="63" t="s">
        <v>6661</v>
      </c>
      <c r="H129" s="93" t="s">
        <v>6662</v>
      </c>
      <c r="I129" s="51" t="s">
        <v>6663</v>
      </c>
      <c r="J129" s="51" t="s">
        <v>6664</v>
      </c>
      <c r="K129" s="47" t="s">
        <v>6665</v>
      </c>
      <c r="L129" s="47" t="s">
        <v>6666</v>
      </c>
      <c r="M129" s="47" t="s">
        <v>6667</v>
      </c>
      <c r="N129" s="47"/>
      <c r="O129" s="310"/>
    </row>
    <row r="130" spans="1:15" ht="14.4">
      <c r="A130" s="26">
        <v>21</v>
      </c>
      <c r="B130" s="47"/>
      <c r="C130" s="30" t="s">
        <v>6668</v>
      </c>
      <c r="D130" s="63" t="s">
        <v>6669</v>
      </c>
      <c r="E130" s="63" t="s">
        <v>6670</v>
      </c>
      <c r="F130" s="63" t="s">
        <v>65</v>
      </c>
      <c r="G130" s="63" t="s">
        <v>6671</v>
      </c>
      <c r="H130" s="93" t="s">
        <v>6672</v>
      </c>
      <c r="I130" s="51" t="s">
        <v>6673</v>
      </c>
      <c r="J130" s="51" t="s">
        <v>6674</v>
      </c>
      <c r="K130" s="47" t="s">
        <v>6675</v>
      </c>
      <c r="L130" s="47" t="s">
        <v>6676</v>
      </c>
      <c r="M130" s="47" t="s">
        <v>6677</v>
      </c>
      <c r="N130" s="47"/>
      <c r="O130" s="310"/>
    </row>
    <row r="131" spans="1:15" ht="14.4">
      <c r="A131" s="26">
        <v>22</v>
      </c>
      <c r="B131" s="47"/>
      <c r="C131" s="30" t="s">
        <v>6678</v>
      </c>
      <c r="D131" s="63" t="s">
        <v>6679</v>
      </c>
      <c r="E131" s="63" t="s">
        <v>6680</v>
      </c>
      <c r="F131" s="63" t="s">
        <v>54</v>
      </c>
      <c r="G131" s="63" t="s">
        <v>6681</v>
      </c>
      <c r="H131" s="93" t="s">
        <v>6682</v>
      </c>
      <c r="I131" s="51" t="s">
        <v>6683</v>
      </c>
      <c r="J131" s="51" t="s">
        <v>6684</v>
      </c>
      <c r="K131" s="47" t="s">
        <v>6685</v>
      </c>
      <c r="L131" s="47" t="s">
        <v>6686</v>
      </c>
      <c r="M131" s="47" t="s">
        <v>6687</v>
      </c>
      <c r="N131" s="47"/>
      <c r="O131" s="310"/>
    </row>
    <row r="132" spans="1:15" ht="14.4">
      <c r="A132" s="26">
        <v>23</v>
      </c>
      <c r="B132" s="47"/>
      <c r="C132" s="30" t="s">
        <v>6688</v>
      </c>
      <c r="D132" s="63" t="s">
        <v>6689</v>
      </c>
      <c r="E132" s="97" t="s">
        <v>6690</v>
      </c>
      <c r="F132" s="63"/>
      <c r="G132" s="63" t="s">
        <v>6691</v>
      </c>
      <c r="H132" s="93" t="s">
        <v>6692</v>
      </c>
      <c r="I132" s="51" t="s">
        <v>6693</v>
      </c>
      <c r="J132" s="51" t="s">
        <v>6694</v>
      </c>
      <c r="K132" s="47" t="s">
        <v>6695</v>
      </c>
      <c r="L132" s="47" t="s">
        <v>6696</v>
      </c>
      <c r="M132" s="47" t="s">
        <v>6697</v>
      </c>
      <c r="N132" s="47"/>
      <c r="O132" s="310"/>
    </row>
    <row r="133" spans="1:15" ht="14.4">
      <c r="A133" s="26">
        <v>24</v>
      </c>
      <c r="B133" s="47"/>
      <c r="C133" s="30" t="s">
        <v>6698</v>
      </c>
      <c r="D133" s="63" t="s">
        <v>6699</v>
      </c>
      <c r="E133" s="63" t="s">
        <v>6700</v>
      </c>
      <c r="F133" s="63" t="s">
        <v>65</v>
      </c>
      <c r="G133" s="63" t="s">
        <v>6701</v>
      </c>
      <c r="H133" s="93" t="s">
        <v>6702</v>
      </c>
      <c r="I133" s="51" t="s">
        <v>6703</v>
      </c>
      <c r="J133" s="51" t="s">
        <v>6704</v>
      </c>
      <c r="K133" s="47" t="s">
        <v>6705</v>
      </c>
      <c r="L133" s="47" t="s">
        <v>6706</v>
      </c>
      <c r="M133" s="47" t="s">
        <v>6707</v>
      </c>
      <c r="N133" s="47"/>
      <c r="O133" s="310"/>
    </row>
    <row r="134" spans="1:15" ht="14.4">
      <c r="A134" s="26">
        <v>25</v>
      </c>
      <c r="B134" s="47"/>
      <c r="C134" s="30" t="s">
        <v>6708</v>
      </c>
      <c r="D134" s="63" t="s">
        <v>6709</v>
      </c>
      <c r="E134" s="63" t="s">
        <v>6710</v>
      </c>
      <c r="F134" s="63" t="s">
        <v>65</v>
      </c>
      <c r="G134" s="63" t="s">
        <v>6711</v>
      </c>
      <c r="H134" s="93" t="s">
        <v>6712</v>
      </c>
      <c r="I134" s="51" t="s">
        <v>6713</v>
      </c>
      <c r="J134" s="51" t="s">
        <v>6714</v>
      </c>
      <c r="K134" s="47" t="s">
        <v>6715</v>
      </c>
      <c r="L134" s="47" t="s">
        <v>6716</v>
      </c>
      <c r="M134" s="47" t="s">
        <v>6717</v>
      </c>
      <c r="N134" s="47"/>
      <c r="O134" s="310"/>
    </row>
    <row r="135" spans="1:15" ht="14.4">
      <c r="A135" s="26">
        <v>26</v>
      </c>
      <c r="B135" s="47"/>
      <c r="C135" s="30" t="s">
        <v>6718</v>
      </c>
      <c r="D135" s="63" t="s">
        <v>833</v>
      </c>
      <c r="E135" s="63" t="s">
        <v>834</v>
      </c>
      <c r="F135" s="63" t="s">
        <v>65</v>
      </c>
      <c r="G135" s="63" t="s">
        <v>6719</v>
      </c>
      <c r="H135" s="93" t="s">
        <v>6720</v>
      </c>
      <c r="I135" s="51" t="s">
        <v>6721</v>
      </c>
      <c r="J135" s="51" t="s">
        <v>6722</v>
      </c>
      <c r="K135" s="47" t="s">
        <v>6723</v>
      </c>
      <c r="L135" s="47" t="s">
        <v>6724</v>
      </c>
      <c r="M135" s="47" t="s">
        <v>6725</v>
      </c>
      <c r="N135" s="47"/>
      <c r="O135" s="310"/>
    </row>
    <row r="136" spans="1:15" ht="14.4">
      <c r="A136" s="26">
        <v>27</v>
      </c>
      <c r="B136" s="47"/>
      <c r="C136" s="30" t="s">
        <v>6726</v>
      </c>
      <c r="D136" s="63" t="s">
        <v>6727</v>
      </c>
      <c r="E136" s="63" t="s">
        <v>6728</v>
      </c>
      <c r="F136" s="63" t="s">
        <v>117</v>
      </c>
      <c r="G136" s="63" t="s">
        <v>6729</v>
      </c>
      <c r="H136" s="93" t="s">
        <v>6730</v>
      </c>
      <c r="I136" s="51" t="s">
        <v>6731</v>
      </c>
      <c r="J136" s="51" t="s">
        <v>6732</v>
      </c>
      <c r="K136" s="47" t="s">
        <v>6733</v>
      </c>
      <c r="L136" s="47" t="s">
        <v>6734</v>
      </c>
      <c r="M136" s="47" t="s">
        <v>6735</v>
      </c>
      <c r="N136" s="47"/>
      <c r="O136" s="311"/>
    </row>
    <row r="137" spans="1:15" ht="14.4">
      <c r="A137" s="19">
        <v>1</v>
      </c>
      <c r="B137" s="88"/>
      <c r="C137" s="96" t="s">
        <v>6736</v>
      </c>
      <c r="D137" s="96" t="s">
        <v>6737</v>
      </c>
      <c r="E137" s="96" t="s">
        <v>6738</v>
      </c>
      <c r="F137" s="96"/>
      <c r="G137" s="96" t="s">
        <v>5599</v>
      </c>
      <c r="H137" s="91" t="s">
        <v>6739</v>
      </c>
      <c r="I137" s="92" t="s">
        <v>6740</v>
      </c>
      <c r="J137" s="96" t="s">
        <v>6741</v>
      </c>
      <c r="K137" s="88" t="s">
        <v>6742</v>
      </c>
      <c r="L137" s="88" t="s">
        <v>6743</v>
      </c>
      <c r="M137" s="88" t="s">
        <v>6744</v>
      </c>
      <c r="N137" s="88">
        <v>6</v>
      </c>
      <c r="O137" s="24" t="s">
        <v>38</v>
      </c>
    </row>
    <row r="138" spans="1:15" ht="14.4">
      <c r="A138" s="26">
        <v>2</v>
      </c>
      <c r="B138" s="47"/>
      <c r="C138" s="80" t="s">
        <v>6745</v>
      </c>
      <c r="D138" s="80" t="s">
        <v>6746</v>
      </c>
      <c r="E138" s="80" t="s">
        <v>6747</v>
      </c>
      <c r="F138" s="80" t="s">
        <v>6748</v>
      </c>
      <c r="G138" s="80" t="s">
        <v>6749</v>
      </c>
      <c r="H138" s="93" t="s">
        <v>6750</v>
      </c>
      <c r="I138" s="51" t="s">
        <v>6751</v>
      </c>
      <c r="J138" s="80" t="s">
        <v>6752</v>
      </c>
      <c r="K138" s="47" t="s">
        <v>6753</v>
      </c>
      <c r="L138" s="47" t="s">
        <v>6754</v>
      </c>
      <c r="M138" s="47" t="s">
        <v>6755</v>
      </c>
      <c r="N138" s="47"/>
      <c r="O138" s="314" t="s">
        <v>6756</v>
      </c>
    </row>
    <row r="139" spans="1:15" ht="14.4">
      <c r="A139" s="26">
        <v>3</v>
      </c>
      <c r="B139" s="47"/>
      <c r="C139" s="80" t="s">
        <v>6757</v>
      </c>
      <c r="D139" s="80" t="s">
        <v>6758</v>
      </c>
      <c r="E139" s="80" t="s">
        <v>6759</v>
      </c>
      <c r="F139" s="80" t="s">
        <v>65</v>
      </c>
      <c r="G139" s="80" t="s">
        <v>6760</v>
      </c>
      <c r="H139" s="93" t="s">
        <v>6761</v>
      </c>
      <c r="I139" s="51" t="s">
        <v>6762</v>
      </c>
      <c r="J139" s="80" t="s">
        <v>6763</v>
      </c>
      <c r="K139" s="47" t="s">
        <v>6764</v>
      </c>
      <c r="L139" s="47" t="s">
        <v>6765</v>
      </c>
      <c r="M139" s="47" t="s">
        <v>6766</v>
      </c>
      <c r="N139" s="47"/>
      <c r="O139" s="310"/>
    </row>
    <row r="140" spans="1:15" ht="14.4">
      <c r="A140" s="26">
        <v>4</v>
      </c>
      <c r="B140" s="47"/>
      <c r="C140" s="80" t="s">
        <v>6767</v>
      </c>
      <c r="D140" s="80" t="s">
        <v>6768</v>
      </c>
      <c r="E140" s="80" t="s">
        <v>6769</v>
      </c>
      <c r="F140" s="80" t="s">
        <v>5741</v>
      </c>
      <c r="G140" s="80" t="s">
        <v>6770</v>
      </c>
      <c r="H140" s="93" t="s">
        <v>6771</v>
      </c>
      <c r="I140" s="51" t="s">
        <v>6772</v>
      </c>
      <c r="J140" s="80" t="s">
        <v>6773</v>
      </c>
      <c r="K140" s="47" t="s">
        <v>6774</v>
      </c>
      <c r="L140" s="47" t="s">
        <v>6775</v>
      </c>
      <c r="M140" s="47" t="s">
        <v>6776</v>
      </c>
      <c r="N140" s="47"/>
      <c r="O140" s="310"/>
    </row>
    <row r="141" spans="1:15" ht="14.4">
      <c r="A141" s="26">
        <v>5</v>
      </c>
      <c r="B141" s="47"/>
      <c r="C141" s="80" t="s">
        <v>6777</v>
      </c>
      <c r="D141" s="80" t="s">
        <v>6778</v>
      </c>
      <c r="E141" s="80" t="s">
        <v>6779</v>
      </c>
      <c r="F141" s="80" t="s">
        <v>65</v>
      </c>
      <c r="G141" s="80" t="s">
        <v>6780</v>
      </c>
      <c r="H141" s="93" t="s">
        <v>6781</v>
      </c>
      <c r="I141" s="51" t="s">
        <v>6782</v>
      </c>
      <c r="J141" s="99" t="s">
        <v>6783</v>
      </c>
      <c r="K141" s="47" t="s">
        <v>6784</v>
      </c>
      <c r="L141" s="47" t="s">
        <v>6785</v>
      </c>
      <c r="M141" s="47" t="s">
        <v>6786</v>
      </c>
      <c r="N141" s="47"/>
      <c r="O141" s="310"/>
    </row>
    <row r="142" spans="1:15" ht="14.4">
      <c r="A142" s="26">
        <v>6</v>
      </c>
      <c r="B142" s="47"/>
      <c r="C142" s="80" t="s">
        <v>6787</v>
      </c>
      <c r="D142" s="80" t="s">
        <v>6788</v>
      </c>
      <c r="E142" s="80" t="s">
        <v>6789</v>
      </c>
      <c r="F142" s="80" t="s">
        <v>117</v>
      </c>
      <c r="G142" s="80" t="s">
        <v>6790</v>
      </c>
      <c r="H142" s="93" t="s">
        <v>6791</v>
      </c>
      <c r="I142" s="51" t="s">
        <v>6792</v>
      </c>
      <c r="J142" s="80" t="s">
        <v>6793</v>
      </c>
      <c r="K142" s="47" t="s">
        <v>6794</v>
      </c>
      <c r="L142" s="47" t="s">
        <v>5204</v>
      </c>
      <c r="M142" s="47" t="s">
        <v>5205</v>
      </c>
      <c r="N142" s="47"/>
      <c r="O142" s="310"/>
    </row>
    <row r="143" spans="1:15" ht="14.4">
      <c r="A143" s="26">
        <v>7</v>
      </c>
      <c r="B143" s="47"/>
      <c r="C143" s="80" t="s">
        <v>6795</v>
      </c>
      <c r="D143" s="80" t="s">
        <v>6796</v>
      </c>
      <c r="E143" s="80" t="s">
        <v>6797</v>
      </c>
      <c r="F143" s="80" t="s">
        <v>117</v>
      </c>
      <c r="G143" s="80" t="s">
        <v>6798</v>
      </c>
      <c r="H143" s="93" t="s">
        <v>6799</v>
      </c>
      <c r="I143" s="51" t="s">
        <v>6800</v>
      </c>
      <c r="J143" s="80" t="s">
        <v>6801</v>
      </c>
      <c r="K143" s="47" t="s">
        <v>6802</v>
      </c>
      <c r="L143" s="47" t="s">
        <v>6803</v>
      </c>
      <c r="M143" s="47" t="s">
        <v>6804</v>
      </c>
      <c r="N143" s="47"/>
      <c r="O143" s="310"/>
    </row>
    <row r="144" spans="1:15" ht="14.4">
      <c r="A144" s="26">
        <v>8</v>
      </c>
      <c r="B144" s="47"/>
      <c r="C144" s="80" t="s">
        <v>6805</v>
      </c>
      <c r="D144" s="80" t="s">
        <v>6806</v>
      </c>
      <c r="E144" s="80" t="s">
        <v>6807</v>
      </c>
      <c r="F144" s="80" t="s">
        <v>65</v>
      </c>
      <c r="G144" s="80" t="s">
        <v>6808</v>
      </c>
      <c r="H144" s="93" t="s">
        <v>6809</v>
      </c>
      <c r="I144" s="51" t="s">
        <v>6810</v>
      </c>
      <c r="J144" s="80" t="s">
        <v>6811</v>
      </c>
      <c r="K144" s="47" t="s">
        <v>6812</v>
      </c>
      <c r="L144" s="47" t="s">
        <v>6813</v>
      </c>
      <c r="M144" s="47" t="s">
        <v>6814</v>
      </c>
      <c r="N144" s="47"/>
      <c r="O144" s="310"/>
    </row>
    <row r="145" spans="1:15" ht="14.4">
      <c r="A145" s="26">
        <v>9</v>
      </c>
      <c r="B145" s="47"/>
      <c r="C145" s="80" t="s">
        <v>6815</v>
      </c>
      <c r="D145" s="80" t="s">
        <v>6816</v>
      </c>
      <c r="E145" s="80" t="s">
        <v>6817</v>
      </c>
      <c r="F145" s="80" t="s">
        <v>65</v>
      </c>
      <c r="G145" s="80" t="s">
        <v>6818</v>
      </c>
      <c r="H145" s="93" t="s">
        <v>6819</v>
      </c>
      <c r="I145" s="51" t="s">
        <v>6820</v>
      </c>
      <c r="J145" s="99" t="s">
        <v>6821</v>
      </c>
      <c r="K145" s="47" t="s">
        <v>6822</v>
      </c>
      <c r="L145" s="47" t="s">
        <v>6823</v>
      </c>
      <c r="M145" s="47" t="s">
        <v>6824</v>
      </c>
      <c r="N145" s="47"/>
      <c r="O145" s="310"/>
    </row>
    <row r="146" spans="1:15" ht="14.4">
      <c r="A146" s="26">
        <v>10</v>
      </c>
      <c r="B146" s="47"/>
      <c r="C146" s="80" t="s">
        <v>6825</v>
      </c>
      <c r="D146" s="80" t="s">
        <v>6826</v>
      </c>
      <c r="E146" s="80" t="s">
        <v>6827</v>
      </c>
      <c r="F146" s="80" t="s">
        <v>6828</v>
      </c>
      <c r="G146" s="80" t="s">
        <v>6829</v>
      </c>
      <c r="H146" s="93" t="s">
        <v>6830</v>
      </c>
      <c r="I146" s="51" t="s">
        <v>6831</v>
      </c>
      <c r="J146" s="80" t="s">
        <v>6832</v>
      </c>
      <c r="K146" s="47" t="s">
        <v>6833</v>
      </c>
      <c r="L146" s="47" t="s">
        <v>6834</v>
      </c>
      <c r="M146" s="47" t="s">
        <v>6835</v>
      </c>
      <c r="N146" s="47"/>
      <c r="O146" s="310"/>
    </row>
    <row r="147" spans="1:15" ht="14.4">
      <c r="A147" s="26">
        <v>11</v>
      </c>
      <c r="B147" s="47"/>
      <c r="C147" s="80" t="s">
        <v>6836</v>
      </c>
      <c r="D147" s="80" t="s">
        <v>6837</v>
      </c>
      <c r="E147" s="80" t="s">
        <v>6838</v>
      </c>
      <c r="F147" s="80" t="s">
        <v>664</v>
      </c>
      <c r="G147" s="80" t="s">
        <v>6839</v>
      </c>
      <c r="H147" s="93" t="s">
        <v>6840</v>
      </c>
      <c r="I147" s="51" t="s">
        <v>6841</v>
      </c>
      <c r="J147" s="80" t="s">
        <v>6842</v>
      </c>
      <c r="K147" s="47" t="s">
        <v>6843</v>
      </c>
      <c r="L147" s="47" t="s">
        <v>6844</v>
      </c>
      <c r="M147" s="47" t="s">
        <v>6845</v>
      </c>
      <c r="N147" s="47"/>
      <c r="O147" s="310"/>
    </row>
    <row r="148" spans="1:15" ht="14.4">
      <c r="A148" s="26">
        <v>12</v>
      </c>
      <c r="B148" s="47"/>
      <c r="C148" s="80" t="s">
        <v>6846</v>
      </c>
      <c r="D148" s="80" t="s">
        <v>6847</v>
      </c>
      <c r="E148" s="80" t="s">
        <v>6848</v>
      </c>
      <c r="F148" s="80" t="s">
        <v>4392</v>
      </c>
      <c r="G148" s="63" t="s">
        <v>6849</v>
      </c>
      <c r="H148" s="93" t="s">
        <v>6850</v>
      </c>
      <c r="I148" s="51" t="s">
        <v>6851</v>
      </c>
      <c r="J148" s="99" t="s">
        <v>6852</v>
      </c>
      <c r="K148" s="47" t="s">
        <v>6853</v>
      </c>
      <c r="L148" s="47" t="s">
        <v>6854</v>
      </c>
      <c r="M148" s="47" t="s">
        <v>6855</v>
      </c>
      <c r="N148" s="47"/>
      <c r="O148" s="310"/>
    </row>
    <row r="149" spans="1:15" ht="14.4">
      <c r="A149" s="26">
        <v>13</v>
      </c>
      <c r="B149" s="47"/>
      <c r="C149" s="80" t="s">
        <v>6856</v>
      </c>
      <c r="D149" s="80" t="s">
        <v>6857</v>
      </c>
      <c r="E149" s="80" t="s">
        <v>6858</v>
      </c>
      <c r="F149" s="80" t="s">
        <v>65</v>
      </c>
      <c r="G149" s="63" t="s">
        <v>6859</v>
      </c>
      <c r="H149" s="93" t="s">
        <v>6860</v>
      </c>
      <c r="I149" s="51" t="s">
        <v>6861</v>
      </c>
      <c r="J149" s="80" t="s">
        <v>6862</v>
      </c>
      <c r="K149" s="47" t="s">
        <v>6863</v>
      </c>
      <c r="L149" s="47" t="s">
        <v>6864</v>
      </c>
      <c r="M149" s="47" t="s">
        <v>6865</v>
      </c>
      <c r="N149" s="47"/>
      <c r="O149" s="310"/>
    </row>
    <row r="150" spans="1:15" ht="14.4">
      <c r="A150" s="26">
        <v>14</v>
      </c>
      <c r="B150" s="47"/>
      <c r="C150" s="80" t="s">
        <v>6866</v>
      </c>
      <c r="D150" s="80" t="s">
        <v>6867</v>
      </c>
      <c r="E150" s="80" t="s">
        <v>6868</v>
      </c>
      <c r="F150" s="80" t="s">
        <v>65</v>
      </c>
      <c r="G150" s="80" t="s">
        <v>6869</v>
      </c>
      <c r="H150" s="93" t="s">
        <v>6870</v>
      </c>
      <c r="I150" s="51" t="s">
        <v>6871</v>
      </c>
      <c r="J150" s="80" t="s">
        <v>6872</v>
      </c>
      <c r="K150" s="47" t="s">
        <v>6873</v>
      </c>
      <c r="L150" s="47" t="s">
        <v>6874</v>
      </c>
      <c r="M150" s="47" t="s">
        <v>6875</v>
      </c>
      <c r="N150" s="47"/>
      <c r="O150" s="310"/>
    </row>
    <row r="151" spans="1:15" ht="14.4">
      <c r="A151" s="26">
        <v>15</v>
      </c>
      <c r="B151" s="47"/>
      <c r="C151" s="80" t="s">
        <v>6876</v>
      </c>
      <c r="D151" s="80" t="s">
        <v>6877</v>
      </c>
      <c r="E151" s="80" t="s">
        <v>6878</v>
      </c>
      <c r="F151" s="80"/>
      <c r="G151" s="80" t="s">
        <v>6879</v>
      </c>
      <c r="H151" s="93" t="s">
        <v>6880</v>
      </c>
      <c r="I151" s="51" t="s">
        <v>6881</v>
      </c>
      <c r="J151" s="80" t="s">
        <v>6882</v>
      </c>
      <c r="K151" s="47" t="s">
        <v>6883</v>
      </c>
      <c r="L151" s="47" t="s">
        <v>6884</v>
      </c>
      <c r="M151" s="47" t="s">
        <v>6885</v>
      </c>
      <c r="N151" s="47"/>
      <c r="O151" s="310"/>
    </row>
    <row r="152" spans="1:15" ht="14.4">
      <c r="A152" s="26">
        <v>16</v>
      </c>
      <c r="B152" s="47"/>
      <c r="C152" s="30" t="s">
        <v>6886</v>
      </c>
      <c r="D152" s="51" t="s">
        <v>6887</v>
      </c>
      <c r="E152" s="80" t="s">
        <v>775</v>
      </c>
      <c r="F152" s="51" t="s">
        <v>219</v>
      </c>
      <c r="G152" s="80" t="s">
        <v>6888</v>
      </c>
      <c r="H152" s="93" t="s">
        <v>6889</v>
      </c>
      <c r="I152" s="51" t="s">
        <v>6890</v>
      </c>
      <c r="J152" s="51" t="s">
        <v>6891</v>
      </c>
      <c r="K152" s="47" t="s">
        <v>6892</v>
      </c>
      <c r="L152" s="47" t="s">
        <v>6893</v>
      </c>
      <c r="M152" s="47" t="s">
        <v>6894</v>
      </c>
      <c r="N152" s="47"/>
      <c r="O152" s="310"/>
    </row>
    <row r="153" spans="1:15" ht="14.4">
      <c r="A153" s="26">
        <v>17</v>
      </c>
      <c r="B153" s="47"/>
      <c r="C153" s="30" t="s">
        <v>6895</v>
      </c>
      <c r="D153" s="51" t="s">
        <v>6896</v>
      </c>
      <c r="E153" s="80" t="s">
        <v>6897</v>
      </c>
      <c r="F153" s="51" t="s">
        <v>117</v>
      </c>
      <c r="G153" s="80" t="s">
        <v>6898</v>
      </c>
      <c r="H153" s="93" t="s">
        <v>6899</v>
      </c>
      <c r="I153" s="51" t="s">
        <v>6900</v>
      </c>
      <c r="J153" s="51" t="s">
        <v>6901</v>
      </c>
      <c r="K153" s="47" t="s">
        <v>6902</v>
      </c>
      <c r="L153" s="47" t="s">
        <v>6903</v>
      </c>
      <c r="M153" s="47" t="s">
        <v>6904</v>
      </c>
      <c r="N153" s="47"/>
      <c r="O153" s="310"/>
    </row>
    <row r="154" spans="1:15" ht="14.4">
      <c r="A154" s="26">
        <v>18</v>
      </c>
      <c r="B154" s="47"/>
      <c r="C154" s="30" t="s">
        <v>6905</v>
      </c>
      <c r="D154" s="51" t="s">
        <v>6906</v>
      </c>
      <c r="E154" s="80" t="s">
        <v>6907</v>
      </c>
      <c r="F154" s="51" t="s">
        <v>117</v>
      </c>
      <c r="G154" s="80" t="s">
        <v>6908</v>
      </c>
      <c r="H154" s="93" t="s">
        <v>6909</v>
      </c>
      <c r="I154" s="51" t="s">
        <v>6910</v>
      </c>
      <c r="J154" s="51" t="s">
        <v>6911</v>
      </c>
      <c r="K154" s="47" t="s">
        <v>6912</v>
      </c>
      <c r="L154" s="47" t="s">
        <v>6913</v>
      </c>
      <c r="M154" s="47" t="s">
        <v>6914</v>
      </c>
      <c r="N154" s="47"/>
      <c r="O154" s="310"/>
    </row>
    <row r="155" spans="1:15" ht="14.4">
      <c r="A155" s="26">
        <v>19</v>
      </c>
      <c r="B155" s="47"/>
      <c r="C155" s="30" t="s">
        <v>6915</v>
      </c>
      <c r="D155" s="51" t="s">
        <v>6916</v>
      </c>
      <c r="E155" s="80" t="s">
        <v>6917</v>
      </c>
      <c r="F155" s="51" t="s">
        <v>117</v>
      </c>
      <c r="G155" s="80" t="s">
        <v>6918</v>
      </c>
      <c r="H155" s="93" t="s">
        <v>6919</v>
      </c>
      <c r="I155" s="51" t="s">
        <v>6920</v>
      </c>
      <c r="J155" s="51" t="s">
        <v>6921</v>
      </c>
      <c r="K155" s="47" t="s">
        <v>6922</v>
      </c>
      <c r="L155" s="47" t="s">
        <v>6923</v>
      </c>
      <c r="M155" s="47" t="s">
        <v>6924</v>
      </c>
      <c r="N155" s="47"/>
      <c r="O155" s="310"/>
    </row>
    <row r="156" spans="1:15" ht="14.4">
      <c r="A156" s="26">
        <v>20</v>
      </c>
      <c r="B156" s="47"/>
      <c r="C156" s="30" t="s">
        <v>6925</v>
      </c>
      <c r="D156" s="51" t="s">
        <v>6926</v>
      </c>
      <c r="E156" s="80" t="s">
        <v>6927</v>
      </c>
      <c r="F156" s="51" t="s">
        <v>117</v>
      </c>
      <c r="G156" s="80" t="s">
        <v>6928</v>
      </c>
      <c r="H156" s="93" t="s">
        <v>6929</v>
      </c>
      <c r="I156" s="51" t="s">
        <v>6930</v>
      </c>
      <c r="J156" s="51" t="s">
        <v>6931</v>
      </c>
      <c r="K156" s="47" t="s">
        <v>6932</v>
      </c>
      <c r="L156" s="47" t="s">
        <v>6933</v>
      </c>
      <c r="M156" s="47" t="s">
        <v>6934</v>
      </c>
      <c r="N156" s="47"/>
      <c r="O156" s="310"/>
    </row>
    <row r="157" spans="1:15" ht="14.4">
      <c r="A157" s="26">
        <v>21</v>
      </c>
      <c r="B157" s="47"/>
      <c r="C157" s="30" t="s">
        <v>6935</v>
      </c>
      <c r="D157" s="51" t="s">
        <v>6936</v>
      </c>
      <c r="E157" s="80" t="s">
        <v>6937</v>
      </c>
      <c r="F157" s="51" t="s">
        <v>65</v>
      </c>
      <c r="G157" s="80" t="s">
        <v>6938</v>
      </c>
      <c r="H157" s="93" t="s">
        <v>6939</v>
      </c>
      <c r="I157" s="51" t="s">
        <v>6940</v>
      </c>
      <c r="J157" s="51" t="s">
        <v>6941</v>
      </c>
      <c r="K157" s="47" t="s">
        <v>6942</v>
      </c>
      <c r="L157" s="47" t="s">
        <v>6943</v>
      </c>
      <c r="M157" s="47" t="s">
        <v>6944</v>
      </c>
      <c r="N157" s="47"/>
      <c r="O157" s="310"/>
    </row>
    <row r="158" spans="1:15" ht="14.4">
      <c r="A158" s="26">
        <v>22</v>
      </c>
      <c r="B158" s="47"/>
      <c r="C158" s="30" t="s">
        <v>6945</v>
      </c>
      <c r="D158" s="51" t="s">
        <v>6946</v>
      </c>
      <c r="E158" s="54" t="s">
        <v>6947</v>
      </c>
      <c r="F158" s="51" t="s">
        <v>117</v>
      </c>
      <c r="G158" s="51" t="s">
        <v>6948</v>
      </c>
      <c r="H158" s="93" t="s">
        <v>6949</v>
      </c>
      <c r="I158" s="51" t="s">
        <v>6950</v>
      </c>
      <c r="J158" s="51" t="s">
        <v>6951</v>
      </c>
      <c r="K158" s="47" t="s">
        <v>6952</v>
      </c>
      <c r="L158" s="47" t="s">
        <v>6953</v>
      </c>
      <c r="M158" s="47" t="s">
        <v>6954</v>
      </c>
      <c r="N158" s="47"/>
      <c r="O158" s="310"/>
    </row>
    <row r="159" spans="1:15" ht="14.4">
      <c r="A159" s="26">
        <v>23</v>
      </c>
      <c r="B159" s="47"/>
      <c r="C159" s="30" t="s">
        <v>6955</v>
      </c>
      <c r="D159" s="80" t="s">
        <v>6956</v>
      </c>
      <c r="E159" s="80" t="s">
        <v>6957</v>
      </c>
      <c r="F159" s="51" t="s">
        <v>65</v>
      </c>
      <c r="G159" s="51" t="s">
        <v>6958</v>
      </c>
      <c r="H159" s="93" t="s">
        <v>6959</v>
      </c>
      <c r="I159" s="51" t="s">
        <v>6960</v>
      </c>
      <c r="J159" s="51" t="s">
        <v>6961</v>
      </c>
      <c r="K159" s="47" t="s">
        <v>6962</v>
      </c>
      <c r="L159" s="47" t="s">
        <v>6963</v>
      </c>
      <c r="M159" s="47" t="s">
        <v>6964</v>
      </c>
      <c r="N159" s="47"/>
      <c r="O159" s="310"/>
    </row>
    <row r="160" spans="1:15" ht="14.4">
      <c r="A160" s="26">
        <v>24</v>
      </c>
      <c r="B160" s="47"/>
      <c r="C160" s="30" t="s">
        <v>6965</v>
      </c>
      <c r="D160" s="51" t="s">
        <v>6966</v>
      </c>
      <c r="E160" s="80" t="s">
        <v>6967</v>
      </c>
      <c r="F160" s="51" t="s">
        <v>5559</v>
      </c>
      <c r="G160" s="51" t="s">
        <v>6968</v>
      </c>
      <c r="H160" s="93" t="s">
        <v>6969</v>
      </c>
      <c r="I160" s="51" t="s">
        <v>6970</v>
      </c>
      <c r="J160" s="51" t="s">
        <v>6971</v>
      </c>
      <c r="K160" s="47" t="s">
        <v>6972</v>
      </c>
      <c r="L160" s="47" t="s">
        <v>6973</v>
      </c>
      <c r="M160" s="47" t="s">
        <v>6974</v>
      </c>
      <c r="N160" s="47"/>
      <c r="O160" s="310"/>
    </row>
    <row r="161" spans="1:26" ht="14.4">
      <c r="A161" s="26">
        <v>25</v>
      </c>
      <c r="B161" s="47"/>
      <c r="C161" s="30" t="s">
        <v>6975</v>
      </c>
      <c r="D161" s="51" t="s">
        <v>6976</v>
      </c>
      <c r="E161" s="80" t="s">
        <v>6977</v>
      </c>
      <c r="F161" s="51" t="s">
        <v>117</v>
      </c>
      <c r="G161" s="51" t="s">
        <v>6978</v>
      </c>
      <c r="H161" s="93" t="s">
        <v>6979</v>
      </c>
      <c r="I161" s="51" t="s">
        <v>6980</v>
      </c>
      <c r="J161" s="51" t="s">
        <v>6981</v>
      </c>
      <c r="K161" s="47" t="s">
        <v>6982</v>
      </c>
      <c r="L161" s="47" t="s">
        <v>6983</v>
      </c>
      <c r="M161" s="47" t="s">
        <v>6984</v>
      </c>
      <c r="N161" s="47"/>
      <c r="O161" s="310"/>
    </row>
    <row r="162" spans="1:26" ht="14.4">
      <c r="A162" s="26">
        <v>26</v>
      </c>
      <c r="B162" s="47"/>
      <c r="C162" s="51" t="s">
        <v>6985</v>
      </c>
      <c r="D162" s="51" t="s">
        <v>6986</v>
      </c>
      <c r="E162" s="80" t="s">
        <v>6987</v>
      </c>
      <c r="F162" s="51" t="s">
        <v>219</v>
      </c>
      <c r="G162" s="30" t="s">
        <v>6988</v>
      </c>
      <c r="H162" s="93" t="s">
        <v>6989</v>
      </c>
      <c r="I162" s="51" t="s">
        <v>6990</v>
      </c>
      <c r="J162" s="51" t="s">
        <v>6991</v>
      </c>
      <c r="K162" s="47" t="s">
        <v>6992</v>
      </c>
      <c r="L162" s="47" t="s">
        <v>6993</v>
      </c>
      <c r="M162" s="47" t="s">
        <v>6994</v>
      </c>
      <c r="N162" s="47"/>
      <c r="O162" s="310"/>
    </row>
    <row r="163" spans="1:26" ht="14.4">
      <c r="A163" s="26">
        <v>27</v>
      </c>
      <c r="B163" s="47"/>
      <c r="C163" s="30" t="s">
        <v>6995</v>
      </c>
      <c r="D163" s="51" t="s">
        <v>6996</v>
      </c>
      <c r="E163" s="80" t="s">
        <v>6997</v>
      </c>
      <c r="F163" s="51"/>
      <c r="G163" s="80" t="s">
        <v>6998</v>
      </c>
      <c r="H163" s="93" t="s">
        <v>6999</v>
      </c>
      <c r="I163" s="51" t="s">
        <v>7000</v>
      </c>
      <c r="J163" s="51" t="s">
        <v>7001</v>
      </c>
      <c r="K163" s="47" t="s">
        <v>7002</v>
      </c>
      <c r="L163" s="47" t="s">
        <v>7003</v>
      </c>
      <c r="M163" s="47" t="s">
        <v>7004</v>
      </c>
      <c r="N163" s="47"/>
      <c r="O163" s="311"/>
    </row>
    <row r="164" spans="1:26" ht="14.4">
      <c r="A164" s="19">
        <v>1</v>
      </c>
      <c r="B164" s="88"/>
      <c r="C164" s="21" t="s">
        <v>7005</v>
      </c>
      <c r="D164" s="92" t="s">
        <v>7006</v>
      </c>
      <c r="E164" s="96" t="s">
        <v>7007</v>
      </c>
      <c r="F164" s="92" t="s">
        <v>563</v>
      </c>
      <c r="G164" s="96" t="s">
        <v>7008</v>
      </c>
      <c r="H164" s="91" t="s">
        <v>7009</v>
      </c>
      <c r="I164" s="92" t="s">
        <v>7010</v>
      </c>
      <c r="J164" s="92" t="s">
        <v>7011</v>
      </c>
      <c r="K164" s="88" t="s">
        <v>7012</v>
      </c>
      <c r="L164" s="88" t="s">
        <v>7013</v>
      </c>
      <c r="M164" s="88" t="s">
        <v>7014</v>
      </c>
      <c r="N164" s="88">
        <v>7</v>
      </c>
      <c r="O164" s="24" t="s">
        <v>38</v>
      </c>
    </row>
    <row r="165" spans="1:26" ht="14.4">
      <c r="A165" s="26">
        <v>2</v>
      </c>
      <c r="B165" s="47"/>
      <c r="C165" s="30" t="s">
        <v>7015</v>
      </c>
      <c r="D165" s="51" t="s">
        <v>7016</v>
      </c>
      <c r="E165" s="80" t="s">
        <v>7017</v>
      </c>
      <c r="F165" s="51" t="s">
        <v>65</v>
      </c>
      <c r="G165" s="80" t="s">
        <v>7018</v>
      </c>
      <c r="H165" s="93" t="s">
        <v>7019</v>
      </c>
      <c r="I165" s="51" t="s">
        <v>7020</v>
      </c>
      <c r="J165" s="51" t="s">
        <v>7021</v>
      </c>
      <c r="K165" s="47" t="s">
        <v>7022</v>
      </c>
      <c r="L165" s="47" t="s">
        <v>7023</v>
      </c>
      <c r="M165" s="47" t="s">
        <v>7024</v>
      </c>
      <c r="N165" s="47"/>
      <c r="O165" s="314" t="s">
        <v>7025</v>
      </c>
    </row>
    <row r="166" spans="1:26" ht="14.4">
      <c r="A166" s="26">
        <v>3</v>
      </c>
      <c r="B166" s="47"/>
      <c r="C166" s="30" t="s">
        <v>7026</v>
      </c>
      <c r="D166" s="51" t="s">
        <v>7027</v>
      </c>
      <c r="E166" s="80" t="s">
        <v>3117</v>
      </c>
      <c r="F166" s="51" t="s">
        <v>5559</v>
      </c>
      <c r="G166" s="80" t="s">
        <v>7028</v>
      </c>
      <c r="H166" s="93" t="s">
        <v>7029</v>
      </c>
      <c r="I166" s="51" t="s">
        <v>7030</v>
      </c>
      <c r="J166" s="51" t="s">
        <v>7031</v>
      </c>
      <c r="K166" s="47" t="s">
        <v>7032</v>
      </c>
      <c r="L166" s="47" t="s">
        <v>7033</v>
      </c>
      <c r="M166" s="47" t="s">
        <v>7034</v>
      </c>
      <c r="N166" s="47"/>
      <c r="O166" s="310"/>
    </row>
    <row r="167" spans="1:26" ht="14.4">
      <c r="A167" s="26">
        <v>4</v>
      </c>
      <c r="B167" s="47"/>
      <c r="C167" s="30" t="s">
        <v>7035</v>
      </c>
      <c r="D167" s="51" t="s">
        <v>7036</v>
      </c>
      <c r="E167" s="80" t="s">
        <v>7037</v>
      </c>
      <c r="F167" s="51" t="s">
        <v>5559</v>
      </c>
      <c r="G167" s="80" t="s">
        <v>7038</v>
      </c>
      <c r="H167" s="93" t="s">
        <v>7039</v>
      </c>
      <c r="I167" s="51" t="s">
        <v>7040</v>
      </c>
      <c r="J167" s="51" t="s">
        <v>7041</v>
      </c>
      <c r="K167" s="47" t="s">
        <v>7042</v>
      </c>
      <c r="L167" s="47" t="s">
        <v>7043</v>
      </c>
      <c r="M167" s="47" t="s">
        <v>7044</v>
      </c>
      <c r="N167" s="47"/>
      <c r="O167" s="310"/>
    </row>
    <row r="168" spans="1:26" ht="14.4">
      <c r="A168" s="26">
        <v>5</v>
      </c>
      <c r="B168" s="47"/>
      <c r="C168" s="30" t="s">
        <v>3641</v>
      </c>
      <c r="D168" s="51" t="s">
        <v>3642</v>
      </c>
      <c r="E168" s="80" t="s">
        <v>229</v>
      </c>
      <c r="F168" s="51" t="s">
        <v>117</v>
      </c>
      <c r="G168" s="80" t="s">
        <v>3643</v>
      </c>
      <c r="H168" s="93" t="s">
        <v>7045</v>
      </c>
      <c r="I168" s="51" t="s">
        <v>3645</v>
      </c>
      <c r="J168" s="51" t="s">
        <v>3646</v>
      </c>
      <c r="K168" s="47" t="s">
        <v>7046</v>
      </c>
      <c r="L168" s="47" t="s">
        <v>7047</v>
      </c>
      <c r="M168" s="47" t="s">
        <v>7048</v>
      </c>
      <c r="N168" s="47"/>
      <c r="O168" s="310"/>
    </row>
    <row r="169" spans="1:26" ht="14.4">
      <c r="A169" s="26">
        <v>6</v>
      </c>
      <c r="B169" s="47"/>
      <c r="C169" s="30" t="s">
        <v>7049</v>
      </c>
      <c r="D169" s="51" t="s">
        <v>7050</v>
      </c>
      <c r="E169" s="80" t="s">
        <v>7051</v>
      </c>
      <c r="F169" s="51" t="s">
        <v>65</v>
      </c>
      <c r="G169" s="80" t="s">
        <v>7052</v>
      </c>
      <c r="H169" s="93" t="s">
        <v>7053</v>
      </c>
      <c r="I169" s="51" t="s">
        <v>7054</v>
      </c>
      <c r="J169" s="86" t="s">
        <v>7055</v>
      </c>
      <c r="K169" s="47" t="s">
        <v>7056</v>
      </c>
      <c r="L169" s="47" t="s">
        <v>7057</v>
      </c>
      <c r="M169" s="47" t="s">
        <v>7058</v>
      </c>
      <c r="N169" s="47"/>
      <c r="O169" s="310"/>
    </row>
    <row r="170" spans="1:26" ht="14.4">
      <c r="A170" s="26">
        <v>7</v>
      </c>
      <c r="B170" s="47"/>
      <c r="C170" s="30" t="s">
        <v>7059</v>
      </c>
      <c r="D170" s="51" t="s">
        <v>7060</v>
      </c>
      <c r="E170" s="80" t="s">
        <v>7061</v>
      </c>
      <c r="F170" s="51" t="s">
        <v>65</v>
      </c>
      <c r="G170" s="80" t="s">
        <v>7062</v>
      </c>
      <c r="H170" s="93" t="s">
        <v>7063</v>
      </c>
      <c r="I170" s="51" t="s">
        <v>7064</v>
      </c>
      <c r="J170" s="51" t="s">
        <v>7065</v>
      </c>
      <c r="K170" s="47" t="s">
        <v>7066</v>
      </c>
      <c r="L170" s="47" t="s">
        <v>7067</v>
      </c>
      <c r="M170" s="47" t="s">
        <v>7068</v>
      </c>
      <c r="N170" s="47"/>
      <c r="O170" s="310"/>
    </row>
    <row r="171" spans="1:26" ht="14.4">
      <c r="A171" s="26">
        <v>8</v>
      </c>
      <c r="B171" s="47"/>
      <c r="C171" s="30" t="s">
        <v>7069</v>
      </c>
      <c r="D171" s="51" t="s">
        <v>7070</v>
      </c>
      <c r="E171" s="80" t="s">
        <v>7071</v>
      </c>
      <c r="F171" s="51" t="s">
        <v>65</v>
      </c>
      <c r="G171" s="51" t="s">
        <v>7072</v>
      </c>
      <c r="H171" s="93" t="s">
        <v>7073</v>
      </c>
      <c r="I171" s="51" t="s">
        <v>7074</v>
      </c>
      <c r="J171" s="51" t="s">
        <v>7075</v>
      </c>
      <c r="K171" s="47" t="s">
        <v>7076</v>
      </c>
      <c r="L171" s="47" t="s">
        <v>7077</v>
      </c>
      <c r="M171" s="47" t="s">
        <v>7078</v>
      </c>
      <c r="N171" s="47"/>
      <c r="O171" s="310"/>
    </row>
    <row r="172" spans="1:26" ht="14.4">
      <c r="A172" s="26">
        <v>9</v>
      </c>
      <c r="B172" s="47"/>
      <c r="C172" s="30" t="s">
        <v>7079</v>
      </c>
      <c r="D172" s="51" t="s">
        <v>7080</v>
      </c>
      <c r="E172" s="80" t="s">
        <v>7081</v>
      </c>
      <c r="F172" s="51" t="s">
        <v>54</v>
      </c>
      <c r="G172" s="51" t="s">
        <v>7082</v>
      </c>
      <c r="H172" s="93" t="s">
        <v>7083</v>
      </c>
      <c r="I172" s="51" t="s">
        <v>7084</v>
      </c>
      <c r="J172" s="51" t="s">
        <v>7085</v>
      </c>
      <c r="K172" s="47" t="s">
        <v>7086</v>
      </c>
      <c r="L172" s="47" t="s">
        <v>7087</v>
      </c>
      <c r="M172" s="47" t="s">
        <v>7088</v>
      </c>
      <c r="N172" s="47"/>
      <c r="O172" s="310"/>
    </row>
    <row r="173" spans="1:26" ht="14.4">
      <c r="A173" s="26">
        <v>10</v>
      </c>
      <c r="B173" s="47"/>
      <c r="C173" s="30" t="s">
        <v>7089</v>
      </c>
      <c r="D173" s="51" t="s">
        <v>7090</v>
      </c>
      <c r="E173" s="80" t="s">
        <v>7091</v>
      </c>
      <c r="F173" s="51" t="s">
        <v>65</v>
      </c>
      <c r="G173" s="51" t="s">
        <v>7092</v>
      </c>
      <c r="H173" s="93" t="s">
        <v>7093</v>
      </c>
      <c r="I173" s="51" t="s">
        <v>7094</v>
      </c>
      <c r="J173" s="51" t="s">
        <v>7095</v>
      </c>
      <c r="K173" s="47" t="s">
        <v>7096</v>
      </c>
      <c r="L173" s="47" t="s">
        <v>7097</v>
      </c>
      <c r="M173" s="47" t="s">
        <v>7098</v>
      </c>
      <c r="N173" s="47"/>
      <c r="O173" s="310"/>
    </row>
    <row r="174" spans="1:26" ht="14.4">
      <c r="A174" s="26">
        <v>11</v>
      </c>
      <c r="B174" s="47"/>
      <c r="C174" s="30" t="s">
        <v>3710</v>
      </c>
      <c r="D174" s="51" t="s">
        <v>3711</v>
      </c>
      <c r="E174" s="80" t="s">
        <v>3712</v>
      </c>
      <c r="F174" s="51" t="s">
        <v>219</v>
      </c>
      <c r="G174" s="51" t="s">
        <v>3713</v>
      </c>
      <c r="H174" s="93" t="s">
        <v>7099</v>
      </c>
      <c r="I174" s="51" t="s">
        <v>3715</v>
      </c>
      <c r="J174" s="51" t="s">
        <v>3716</v>
      </c>
      <c r="K174" s="47" t="s">
        <v>7100</v>
      </c>
      <c r="L174" s="47" t="s">
        <v>7101</v>
      </c>
      <c r="M174" s="47" t="s">
        <v>7102</v>
      </c>
      <c r="N174" s="47"/>
      <c r="O174" s="310"/>
    </row>
    <row r="175" spans="1:26" ht="14.4">
      <c r="A175" s="26">
        <v>12</v>
      </c>
      <c r="B175" s="47"/>
      <c r="C175" s="30" t="s">
        <v>7103</v>
      </c>
      <c r="D175" s="51" t="s">
        <v>7104</v>
      </c>
      <c r="E175" s="80" t="s">
        <v>7105</v>
      </c>
      <c r="F175" s="51" t="s">
        <v>117</v>
      </c>
      <c r="G175" s="51" t="s">
        <v>7106</v>
      </c>
      <c r="H175" s="93" t="s">
        <v>7107</v>
      </c>
      <c r="I175" s="51" t="s">
        <v>7108</v>
      </c>
      <c r="J175" s="51" t="s">
        <v>7109</v>
      </c>
      <c r="K175" s="47" t="s">
        <v>7110</v>
      </c>
      <c r="L175" s="47" t="s">
        <v>7111</v>
      </c>
      <c r="M175" s="47" t="s">
        <v>7112</v>
      </c>
      <c r="N175" s="47"/>
      <c r="O175" s="310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4.4">
      <c r="A176" s="26">
        <v>13</v>
      </c>
      <c r="B176" s="47"/>
      <c r="C176" s="30" t="s">
        <v>7113</v>
      </c>
      <c r="D176" s="51" t="s">
        <v>7114</v>
      </c>
      <c r="E176" s="80" t="s">
        <v>7115</v>
      </c>
      <c r="F176" s="51" t="s">
        <v>65</v>
      </c>
      <c r="G176" s="51" t="s">
        <v>7116</v>
      </c>
      <c r="H176" s="93" t="s">
        <v>7117</v>
      </c>
      <c r="I176" s="51" t="s">
        <v>7118</v>
      </c>
      <c r="J176" s="51" t="s">
        <v>7119</v>
      </c>
      <c r="K176" s="47" t="s">
        <v>7120</v>
      </c>
      <c r="L176" s="47" t="s">
        <v>7121</v>
      </c>
      <c r="M176" s="47" t="s">
        <v>7122</v>
      </c>
      <c r="N176" s="47"/>
      <c r="O176" s="310"/>
    </row>
    <row r="177" spans="1:15" ht="14.4">
      <c r="A177" s="26">
        <v>14</v>
      </c>
      <c r="B177" s="47"/>
      <c r="C177" s="30" t="s">
        <v>7123</v>
      </c>
      <c r="D177" s="51" t="s">
        <v>7124</v>
      </c>
      <c r="E177" s="80" t="s">
        <v>7125</v>
      </c>
      <c r="F177" s="51" t="s">
        <v>54</v>
      </c>
      <c r="G177" s="51" t="s">
        <v>7126</v>
      </c>
      <c r="H177" s="93" t="s">
        <v>7127</v>
      </c>
      <c r="I177" s="51" t="s">
        <v>7128</v>
      </c>
      <c r="J177" s="51" t="s">
        <v>7129</v>
      </c>
      <c r="K177" s="47" t="s">
        <v>7130</v>
      </c>
      <c r="L177" s="47" t="s">
        <v>7131</v>
      </c>
      <c r="M177" s="47" t="s">
        <v>7132</v>
      </c>
      <c r="N177" s="47"/>
      <c r="O177" s="310"/>
    </row>
    <row r="178" spans="1:15" ht="14.4">
      <c r="A178" s="26">
        <v>15</v>
      </c>
      <c r="B178" s="47"/>
      <c r="C178" s="30" t="s">
        <v>7133</v>
      </c>
      <c r="D178" s="51" t="s">
        <v>7134</v>
      </c>
      <c r="E178" s="80" t="s">
        <v>7135</v>
      </c>
      <c r="F178" s="51" t="s">
        <v>54</v>
      </c>
      <c r="G178" s="51" t="s">
        <v>7136</v>
      </c>
      <c r="H178" s="93" t="s">
        <v>7137</v>
      </c>
      <c r="I178" s="51" t="s">
        <v>7138</v>
      </c>
      <c r="J178" s="51" t="s">
        <v>7139</v>
      </c>
      <c r="K178" s="47" t="s">
        <v>7140</v>
      </c>
      <c r="L178" s="47" t="s">
        <v>7141</v>
      </c>
      <c r="M178" s="47" t="s">
        <v>7142</v>
      </c>
      <c r="N178" s="47"/>
      <c r="O178" s="310"/>
    </row>
    <row r="179" spans="1:15" ht="14.4">
      <c r="A179" s="26">
        <v>16</v>
      </c>
      <c r="B179" s="47"/>
      <c r="C179" s="30" t="s">
        <v>7143</v>
      </c>
      <c r="D179" s="51" t="s">
        <v>7144</v>
      </c>
      <c r="E179" s="80" t="s">
        <v>7145</v>
      </c>
      <c r="F179" s="51" t="s">
        <v>563</v>
      </c>
      <c r="G179" s="51" t="s">
        <v>7146</v>
      </c>
      <c r="H179" s="93" t="s">
        <v>7147</v>
      </c>
      <c r="I179" s="51" t="s">
        <v>7148</v>
      </c>
      <c r="J179" s="51" t="s">
        <v>7149</v>
      </c>
      <c r="K179" s="47" t="s">
        <v>7150</v>
      </c>
      <c r="L179" s="47" t="s">
        <v>7151</v>
      </c>
      <c r="M179" s="47" t="s">
        <v>7152</v>
      </c>
      <c r="N179" s="47"/>
      <c r="O179" s="310"/>
    </row>
    <row r="180" spans="1:15" ht="14.4">
      <c r="A180" s="26">
        <v>17</v>
      </c>
      <c r="B180" s="47"/>
      <c r="C180" s="30" t="s">
        <v>7153</v>
      </c>
      <c r="D180" s="51" t="s">
        <v>7154</v>
      </c>
      <c r="E180" s="80" t="s">
        <v>7155</v>
      </c>
      <c r="F180" s="51" t="s">
        <v>7156</v>
      </c>
      <c r="G180" s="51" t="s">
        <v>7157</v>
      </c>
      <c r="H180" s="93" t="s">
        <v>7158</v>
      </c>
      <c r="I180" s="51" t="s">
        <v>7159</v>
      </c>
      <c r="J180" s="51" t="s">
        <v>7160</v>
      </c>
      <c r="K180" s="47" t="s">
        <v>7161</v>
      </c>
      <c r="L180" s="47" t="s">
        <v>7162</v>
      </c>
      <c r="M180" s="47" t="s">
        <v>7163</v>
      </c>
      <c r="N180" s="47"/>
      <c r="O180" s="310"/>
    </row>
    <row r="181" spans="1:15" ht="14.4">
      <c r="A181" s="26">
        <v>18</v>
      </c>
      <c r="B181" s="47"/>
      <c r="C181" s="30" t="s">
        <v>7164</v>
      </c>
      <c r="D181" s="51" t="s">
        <v>7165</v>
      </c>
      <c r="E181" s="80" t="s">
        <v>6827</v>
      </c>
      <c r="F181" s="51" t="s">
        <v>5711</v>
      </c>
      <c r="G181" s="51" t="s">
        <v>7166</v>
      </c>
      <c r="H181" s="93" t="s">
        <v>7167</v>
      </c>
      <c r="I181" s="51" t="s">
        <v>7168</v>
      </c>
      <c r="J181" s="51" t="s">
        <v>7169</v>
      </c>
      <c r="K181" s="47" t="s">
        <v>7170</v>
      </c>
      <c r="L181" s="47" t="s">
        <v>7171</v>
      </c>
      <c r="M181" s="47" t="s">
        <v>7172</v>
      </c>
      <c r="N181" s="47"/>
      <c r="O181" s="310"/>
    </row>
    <row r="182" spans="1:15" ht="14.4">
      <c r="A182" s="26">
        <v>19</v>
      </c>
      <c r="B182" s="47"/>
      <c r="C182" s="30" t="s">
        <v>1933</v>
      </c>
      <c r="D182" s="51" t="s">
        <v>1934</v>
      </c>
      <c r="E182" s="80" t="s">
        <v>1935</v>
      </c>
      <c r="F182" s="51" t="s">
        <v>563</v>
      </c>
      <c r="G182" s="51" t="s">
        <v>7173</v>
      </c>
      <c r="H182" s="93" t="s">
        <v>7174</v>
      </c>
      <c r="I182" s="51" t="s">
        <v>7175</v>
      </c>
      <c r="J182" s="51" t="s">
        <v>7176</v>
      </c>
      <c r="K182" s="47" t="s">
        <v>7177</v>
      </c>
      <c r="L182" s="47" t="s">
        <v>7178</v>
      </c>
      <c r="M182" s="47" t="s">
        <v>7179</v>
      </c>
      <c r="N182" s="47"/>
      <c r="O182" s="310"/>
    </row>
    <row r="183" spans="1:15" ht="14.4">
      <c r="A183" s="26">
        <v>20</v>
      </c>
      <c r="B183" s="47"/>
      <c r="C183" s="30" t="s">
        <v>7180</v>
      </c>
      <c r="D183" s="51" t="s">
        <v>7181</v>
      </c>
      <c r="E183" s="80" t="s">
        <v>7182</v>
      </c>
      <c r="F183" s="51" t="s">
        <v>65</v>
      </c>
      <c r="G183" s="51" t="s">
        <v>7183</v>
      </c>
      <c r="H183" s="93" t="s">
        <v>7184</v>
      </c>
      <c r="I183" s="51" t="s">
        <v>7185</v>
      </c>
      <c r="J183" s="51" t="s">
        <v>7186</v>
      </c>
      <c r="K183" s="47" t="s">
        <v>7187</v>
      </c>
      <c r="L183" s="47" t="s">
        <v>7188</v>
      </c>
      <c r="M183" s="47" t="s">
        <v>7189</v>
      </c>
      <c r="N183" s="47"/>
      <c r="O183" s="310"/>
    </row>
    <row r="184" spans="1:15" ht="14.4">
      <c r="A184" s="26">
        <v>21</v>
      </c>
      <c r="B184" s="47"/>
      <c r="C184" s="30" t="s">
        <v>7190</v>
      </c>
      <c r="D184" s="51" t="s">
        <v>7191</v>
      </c>
      <c r="E184" s="80" t="s">
        <v>7192</v>
      </c>
      <c r="F184" s="51" t="s">
        <v>219</v>
      </c>
      <c r="G184" s="51" t="s">
        <v>7193</v>
      </c>
      <c r="H184" s="93" t="s">
        <v>7194</v>
      </c>
      <c r="I184" s="51" t="s">
        <v>7195</v>
      </c>
      <c r="J184" s="51" t="s">
        <v>7196</v>
      </c>
      <c r="K184" s="47" t="s">
        <v>7197</v>
      </c>
      <c r="L184" s="47" t="s">
        <v>7198</v>
      </c>
      <c r="M184" s="47" t="s">
        <v>7199</v>
      </c>
      <c r="N184" s="47"/>
      <c r="O184" s="310"/>
    </row>
    <row r="185" spans="1:15" ht="14.4">
      <c r="A185" s="26">
        <v>22</v>
      </c>
      <c r="B185" s="47"/>
      <c r="C185" s="30" t="s">
        <v>7200</v>
      </c>
      <c r="D185" s="51" t="s">
        <v>7201</v>
      </c>
      <c r="E185" s="80" t="s">
        <v>7202</v>
      </c>
      <c r="F185" s="51" t="s">
        <v>65</v>
      </c>
      <c r="G185" s="51" t="s">
        <v>7203</v>
      </c>
      <c r="H185" s="93" t="s">
        <v>7204</v>
      </c>
      <c r="I185" s="51" t="s">
        <v>7205</v>
      </c>
      <c r="J185" s="51" t="s">
        <v>7206</v>
      </c>
      <c r="K185" s="47" t="s">
        <v>7207</v>
      </c>
      <c r="L185" s="47" t="s">
        <v>7208</v>
      </c>
      <c r="M185" s="47" t="s">
        <v>7209</v>
      </c>
      <c r="N185" s="47"/>
      <c r="O185" s="310"/>
    </row>
    <row r="186" spans="1:15" ht="14.4">
      <c r="A186" s="26">
        <v>23</v>
      </c>
      <c r="B186" s="47"/>
      <c r="C186" s="30" t="s">
        <v>7210</v>
      </c>
      <c r="D186" s="100" t="s">
        <v>7211</v>
      </c>
      <c r="E186" s="80" t="s">
        <v>7212</v>
      </c>
      <c r="F186" s="51" t="s">
        <v>117</v>
      </c>
      <c r="G186" s="51" t="s">
        <v>7213</v>
      </c>
      <c r="H186" s="93" t="s">
        <v>7214</v>
      </c>
      <c r="I186" s="51" t="s">
        <v>7215</v>
      </c>
      <c r="J186" s="101" t="s">
        <v>7216</v>
      </c>
      <c r="K186" s="47" t="s">
        <v>7217</v>
      </c>
      <c r="L186" s="47" t="s">
        <v>7218</v>
      </c>
      <c r="M186" s="47" t="s">
        <v>7219</v>
      </c>
      <c r="N186" s="47"/>
      <c r="O186" s="310"/>
    </row>
    <row r="187" spans="1:15" ht="14.4">
      <c r="A187" s="26">
        <v>24</v>
      </c>
      <c r="B187" s="47"/>
      <c r="C187" s="30" t="s">
        <v>7220</v>
      </c>
      <c r="D187" s="51" t="s">
        <v>7221</v>
      </c>
      <c r="E187" s="80" t="s">
        <v>7222</v>
      </c>
      <c r="F187" s="51" t="s">
        <v>664</v>
      </c>
      <c r="G187" s="51" t="s">
        <v>7223</v>
      </c>
      <c r="H187" s="93" t="s">
        <v>7224</v>
      </c>
      <c r="I187" s="51" t="s">
        <v>7225</v>
      </c>
      <c r="J187" s="51" t="s">
        <v>7226</v>
      </c>
      <c r="K187" s="47" t="s">
        <v>7227</v>
      </c>
      <c r="L187" s="47" t="s">
        <v>7228</v>
      </c>
      <c r="M187" s="47" t="s">
        <v>7229</v>
      </c>
      <c r="N187" s="47"/>
      <c r="O187" s="310"/>
    </row>
    <row r="188" spans="1:15" ht="14.4">
      <c r="A188" s="26">
        <v>25</v>
      </c>
      <c r="B188" s="47"/>
      <c r="C188" s="30" t="s">
        <v>7230</v>
      </c>
      <c r="D188" s="100" t="s">
        <v>7231</v>
      </c>
      <c r="E188" s="80" t="s">
        <v>7232</v>
      </c>
      <c r="F188" s="30" t="s">
        <v>664</v>
      </c>
      <c r="G188" s="30" t="s">
        <v>7233</v>
      </c>
      <c r="H188" s="93" t="s">
        <v>7234</v>
      </c>
      <c r="I188" s="51" t="s">
        <v>7235</v>
      </c>
      <c r="J188" s="51" t="s">
        <v>7236</v>
      </c>
      <c r="K188" s="47" t="s">
        <v>7237</v>
      </c>
      <c r="L188" s="47" t="s">
        <v>7238</v>
      </c>
      <c r="M188" s="47" t="s">
        <v>7239</v>
      </c>
      <c r="N188" s="47"/>
      <c r="O188" s="310"/>
    </row>
    <row r="189" spans="1:15" ht="14.4">
      <c r="A189" s="26">
        <v>26</v>
      </c>
      <c r="B189" s="47"/>
      <c r="C189" s="30" t="s">
        <v>7240</v>
      </c>
      <c r="D189" s="100" t="s">
        <v>7241</v>
      </c>
      <c r="E189" s="80" t="s">
        <v>7242</v>
      </c>
      <c r="F189" s="30" t="s">
        <v>7243</v>
      </c>
      <c r="G189" s="30" t="s">
        <v>7244</v>
      </c>
      <c r="H189" s="93" t="s">
        <v>7245</v>
      </c>
      <c r="I189" s="51" t="s">
        <v>7246</v>
      </c>
      <c r="J189" s="51" t="s">
        <v>7247</v>
      </c>
      <c r="K189" s="47" t="s">
        <v>7248</v>
      </c>
      <c r="L189" s="47" t="s">
        <v>7249</v>
      </c>
      <c r="M189" s="47" t="s">
        <v>7250</v>
      </c>
      <c r="N189" s="47"/>
      <c r="O189" s="310"/>
    </row>
    <row r="190" spans="1:15" ht="14.4">
      <c r="A190" s="26">
        <v>27</v>
      </c>
      <c r="B190" s="47"/>
      <c r="C190" s="30" t="s">
        <v>7251</v>
      </c>
      <c r="D190" s="100" t="s">
        <v>7252</v>
      </c>
      <c r="E190" s="80" t="s">
        <v>7253</v>
      </c>
      <c r="F190" s="30" t="s">
        <v>117</v>
      </c>
      <c r="G190" s="30" t="s">
        <v>7254</v>
      </c>
      <c r="H190" s="93" t="s">
        <v>7255</v>
      </c>
      <c r="I190" s="51" t="s">
        <v>7256</v>
      </c>
      <c r="J190" s="51" t="s">
        <v>7257</v>
      </c>
      <c r="K190" s="47" t="s">
        <v>7258</v>
      </c>
      <c r="L190" s="47" t="s">
        <v>7259</v>
      </c>
      <c r="M190" s="47" t="s">
        <v>7260</v>
      </c>
      <c r="N190" s="47"/>
      <c r="O190" s="311"/>
    </row>
    <row r="191" spans="1:15" ht="14.4">
      <c r="A191" s="19">
        <v>1</v>
      </c>
      <c r="B191" s="88"/>
      <c r="C191" s="21" t="s">
        <v>7261</v>
      </c>
      <c r="D191" s="102" t="s">
        <v>7262</v>
      </c>
      <c r="E191" s="96" t="s">
        <v>7263</v>
      </c>
      <c r="F191" s="21" t="s">
        <v>219</v>
      </c>
      <c r="G191" s="21" t="s">
        <v>7264</v>
      </c>
      <c r="H191" s="91" t="s">
        <v>7265</v>
      </c>
      <c r="I191" s="92" t="s">
        <v>7266</v>
      </c>
      <c r="J191" s="90" t="s">
        <v>7267</v>
      </c>
      <c r="K191" s="88" t="s">
        <v>7268</v>
      </c>
      <c r="L191" s="88" t="s">
        <v>7269</v>
      </c>
      <c r="M191" s="88" t="s">
        <v>7270</v>
      </c>
      <c r="N191" s="88">
        <v>8</v>
      </c>
      <c r="O191" s="24" t="s">
        <v>38</v>
      </c>
    </row>
    <row r="192" spans="1:15" ht="14.4">
      <c r="A192" s="26">
        <v>2</v>
      </c>
      <c r="B192" s="47"/>
      <c r="C192" s="30" t="s">
        <v>7271</v>
      </c>
      <c r="D192" s="100" t="s">
        <v>7272</v>
      </c>
      <c r="E192" s="80" t="s">
        <v>3984</v>
      </c>
      <c r="F192" s="30" t="s">
        <v>219</v>
      </c>
      <c r="G192" s="30" t="s">
        <v>4636</v>
      </c>
      <c r="H192" s="93" t="s">
        <v>7273</v>
      </c>
      <c r="I192" s="51" t="s">
        <v>7274</v>
      </c>
      <c r="J192" s="101" t="s">
        <v>7275</v>
      </c>
      <c r="K192" s="47" t="s">
        <v>7276</v>
      </c>
      <c r="L192" s="47" t="s">
        <v>7277</v>
      </c>
      <c r="M192" s="47" t="s">
        <v>7278</v>
      </c>
      <c r="N192" s="47"/>
      <c r="O192" s="314" t="s">
        <v>7279</v>
      </c>
    </row>
    <row r="193" spans="1:15" ht="14.4">
      <c r="A193" s="26">
        <v>3</v>
      </c>
      <c r="B193" s="47"/>
      <c r="C193" s="30" t="s">
        <v>7280</v>
      </c>
      <c r="D193" s="51" t="s">
        <v>7281</v>
      </c>
      <c r="E193" s="80" t="s">
        <v>7282</v>
      </c>
      <c r="F193" s="30" t="s">
        <v>65</v>
      </c>
      <c r="G193" s="30" t="s">
        <v>7283</v>
      </c>
      <c r="H193" s="93" t="s">
        <v>7284</v>
      </c>
      <c r="I193" s="101" t="s">
        <v>7285</v>
      </c>
      <c r="J193" s="101" t="s">
        <v>7286</v>
      </c>
      <c r="K193" s="47" t="s">
        <v>7287</v>
      </c>
      <c r="L193" s="47" t="s">
        <v>7288</v>
      </c>
      <c r="M193" s="47" t="s">
        <v>7289</v>
      </c>
      <c r="N193" s="47"/>
      <c r="O193" s="310"/>
    </row>
    <row r="194" spans="1:15" ht="14.4">
      <c r="A194" s="26">
        <v>4</v>
      </c>
      <c r="B194" s="47"/>
      <c r="C194" s="30" t="s">
        <v>7290</v>
      </c>
      <c r="D194" s="100" t="s">
        <v>7291</v>
      </c>
      <c r="E194" s="80" t="s">
        <v>7292</v>
      </c>
      <c r="F194" s="30" t="s">
        <v>460</v>
      </c>
      <c r="G194" s="30" t="s">
        <v>7293</v>
      </c>
      <c r="H194" s="93" t="s">
        <v>7294</v>
      </c>
      <c r="I194" s="51" t="s">
        <v>7295</v>
      </c>
      <c r="J194" s="51" t="s">
        <v>7296</v>
      </c>
      <c r="K194" s="47" t="s">
        <v>7297</v>
      </c>
      <c r="L194" s="47" t="s">
        <v>7298</v>
      </c>
      <c r="M194" s="47" t="s">
        <v>7299</v>
      </c>
      <c r="N194" s="47"/>
      <c r="O194" s="310"/>
    </row>
    <row r="195" spans="1:15" ht="14.4">
      <c r="A195" s="26">
        <v>5</v>
      </c>
      <c r="B195" s="47"/>
      <c r="C195" s="30" t="s">
        <v>7300</v>
      </c>
      <c r="D195" s="51" t="s">
        <v>7301</v>
      </c>
      <c r="E195" s="80" t="s">
        <v>7302</v>
      </c>
      <c r="F195" s="30" t="s">
        <v>54</v>
      </c>
      <c r="G195" s="30" t="s">
        <v>7303</v>
      </c>
      <c r="H195" s="93" t="s">
        <v>7304</v>
      </c>
      <c r="I195" s="51" t="s">
        <v>7305</v>
      </c>
      <c r="J195" s="30" t="s">
        <v>7306</v>
      </c>
      <c r="K195" s="47" t="s">
        <v>7307</v>
      </c>
      <c r="L195" s="47" t="s">
        <v>7308</v>
      </c>
      <c r="M195" s="47" t="s">
        <v>7309</v>
      </c>
      <c r="N195" s="47"/>
      <c r="O195" s="310"/>
    </row>
    <row r="196" spans="1:15" ht="14.4">
      <c r="A196" s="26">
        <v>6</v>
      </c>
      <c r="B196" s="47"/>
      <c r="C196" s="30" t="s">
        <v>7310</v>
      </c>
      <c r="D196" s="100" t="s">
        <v>7311</v>
      </c>
      <c r="E196" s="80" t="s">
        <v>7312</v>
      </c>
      <c r="F196" s="30" t="s">
        <v>54</v>
      </c>
      <c r="G196" s="30" t="s">
        <v>7313</v>
      </c>
      <c r="H196" s="93" t="s">
        <v>7314</v>
      </c>
      <c r="I196" s="51" t="s">
        <v>7315</v>
      </c>
      <c r="J196" s="101" t="s">
        <v>7316</v>
      </c>
      <c r="K196" s="47" t="s">
        <v>7317</v>
      </c>
      <c r="L196" s="47" t="s">
        <v>7318</v>
      </c>
      <c r="M196" s="47" t="s">
        <v>7319</v>
      </c>
      <c r="N196" s="47"/>
      <c r="O196" s="310"/>
    </row>
    <row r="197" spans="1:15" ht="14.4">
      <c r="A197" s="26">
        <v>7</v>
      </c>
      <c r="B197" s="47"/>
      <c r="C197" s="30" t="s">
        <v>7320</v>
      </c>
      <c r="D197" s="51" t="s">
        <v>7321</v>
      </c>
      <c r="E197" s="80" t="s">
        <v>7322</v>
      </c>
      <c r="F197" s="30" t="s">
        <v>65</v>
      </c>
      <c r="G197" s="30" t="s">
        <v>7323</v>
      </c>
      <c r="H197" s="93" t="s">
        <v>7324</v>
      </c>
      <c r="I197" s="51" t="s">
        <v>7325</v>
      </c>
      <c r="J197" s="101" t="s">
        <v>7326</v>
      </c>
      <c r="K197" s="47" t="s">
        <v>7327</v>
      </c>
      <c r="L197" s="47" t="s">
        <v>7328</v>
      </c>
      <c r="M197" s="47" t="s">
        <v>7329</v>
      </c>
      <c r="N197" s="47"/>
      <c r="O197" s="310"/>
    </row>
    <row r="198" spans="1:15" ht="14.4">
      <c r="A198" s="26">
        <v>8</v>
      </c>
      <c r="B198" s="47"/>
      <c r="C198" s="30" t="s">
        <v>7330</v>
      </c>
      <c r="D198" s="51" t="s">
        <v>7331</v>
      </c>
      <c r="E198" s="80" t="s">
        <v>7332</v>
      </c>
      <c r="F198" s="30" t="s">
        <v>65</v>
      </c>
      <c r="G198" s="30" t="s">
        <v>7333</v>
      </c>
      <c r="H198" s="93" t="s">
        <v>7334</v>
      </c>
      <c r="I198" s="51" t="s">
        <v>7335</v>
      </c>
      <c r="J198" s="30" t="s">
        <v>7336</v>
      </c>
      <c r="K198" s="47" t="s">
        <v>7337</v>
      </c>
      <c r="L198" s="47" t="s">
        <v>7338</v>
      </c>
      <c r="M198" s="47" t="s">
        <v>7339</v>
      </c>
      <c r="N198" s="47"/>
      <c r="O198" s="310"/>
    </row>
    <row r="199" spans="1:15" ht="14.4">
      <c r="A199" s="26">
        <v>9</v>
      </c>
      <c r="B199" s="47"/>
      <c r="C199" s="30" t="s">
        <v>7340</v>
      </c>
      <c r="D199" s="51" t="s">
        <v>7341</v>
      </c>
      <c r="E199" s="80" t="s">
        <v>7342</v>
      </c>
      <c r="F199" s="30" t="s">
        <v>65</v>
      </c>
      <c r="G199" s="30" t="s">
        <v>7343</v>
      </c>
      <c r="H199" s="93" t="s">
        <v>7344</v>
      </c>
      <c r="I199" s="51" t="s">
        <v>7345</v>
      </c>
      <c r="J199" s="30" t="s">
        <v>7346</v>
      </c>
      <c r="K199" s="47" t="s">
        <v>7347</v>
      </c>
      <c r="L199" s="47" t="s">
        <v>7348</v>
      </c>
      <c r="M199" s="47" t="s">
        <v>7349</v>
      </c>
      <c r="N199" s="47"/>
      <c r="O199" s="310"/>
    </row>
    <row r="200" spans="1:15" ht="14.4">
      <c r="A200" s="26">
        <v>10</v>
      </c>
      <c r="B200" s="47"/>
      <c r="C200" s="30" t="s">
        <v>7350</v>
      </c>
      <c r="D200" s="51" t="s">
        <v>7351</v>
      </c>
      <c r="E200" s="80" t="s">
        <v>7352</v>
      </c>
      <c r="F200" s="30" t="s">
        <v>65</v>
      </c>
      <c r="G200" s="30" t="s">
        <v>7353</v>
      </c>
      <c r="H200" s="93" t="s">
        <v>7354</v>
      </c>
      <c r="I200" s="51" t="s">
        <v>7355</v>
      </c>
      <c r="J200" s="30" t="s">
        <v>7356</v>
      </c>
      <c r="K200" s="47" t="s">
        <v>7357</v>
      </c>
      <c r="L200" s="47" t="s">
        <v>7358</v>
      </c>
      <c r="M200" s="47" t="s">
        <v>7359</v>
      </c>
      <c r="N200" s="47"/>
      <c r="O200" s="310"/>
    </row>
    <row r="201" spans="1:15" ht="14.4">
      <c r="A201" s="26">
        <v>11</v>
      </c>
      <c r="B201" s="47"/>
      <c r="C201" s="30" t="s">
        <v>7360</v>
      </c>
      <c r="D201" s="51" t="s">
        <v>7361</v>
      </c>
      <c r="E201" s="80" t="s">
        <v>7362</v>
      </c>
      <c r="F201" s="51" t="s">
        <v>117</v>
      </c>
      <c r="G201" s="51" t="s">
        <v>7363</v>
      </c>
      <c r="H201" s="93" t="s">
        <v>7364</v>
      </c>
      <c r="I201" s="51" t="s">
        <v>7365</v>
      </c>
      <c r="J201" s="51" t="s">
        <v>7366</v>
      </c>
      <c r="K201" s="47" t="s">
        <v>7367</v>
      </c>
      <c r="L201" s="47" t="s">
        <v>7368</v>
      </c>
      <c r="M201" s="47" t="s">
        <v>7369</v>
      </c>
      <c r="N201" s="47"/>
      <c r="O201" s="310"/>
    </row>
    <row r="202" spans="1:15" ht="14.4">
      <c r="A202" s="26">
        <v>12</v>
      </c>
      <c r="B202" s="47"/>
      <c r="C202" s="30" t="s">
        <v>7370</v>
      </c>
      <c r="D202" s="51" t="s">
        <v>7371</v>
      </c>
      <c r="E202" s="80" t="s">
        <v>1718</v>
      </c>
      <c r="F202" s="51" t="s">
        <v>54</v>
      </c>
      <c r="G202" s="51" t="s">
        <v>7372</v>
      </c>
      <c r="H202" s="93" t="s">
        <v>7373</v>
      </c>
      <c r="I202" s="51" t="s">
        <v>7374</v>
      </c>
      <c r="J202" s="51" t="s">
        <v>7375</v>
      </c>
      <c r="K202" s="47" t="s">
        <v>7376</v>
      </c>
      <c r="L202" s="47" t="s">
        <v>7377</v>
      </c>
      <c r="M202" s="47" t="s">
        <v>7378</v>
      </c>
      <c r="N202" s="47"/>
      <c r="O202" s="310"/>
    </row>
    <row r="203" spans="1:15" ht="14.4">
      <c r="A203" s="26">
        <v>13</v>
      </c>
      <c r="B203" s="47"/>
      <c r="C203" s="30" t="s">
        <v>7379</v>
      </c>
      <c r="D203" s="51" t="s">
        <v>7380</v>
      </c>
      <c r="E203" s="80" t="s">
        <v>7381</v>
      </c>
      <c r="F203" s="51" t="s">
        <v>117</v>
      </c>
      <c r="G203" s="51" t="s">
        <v>7382</v>
      </c>
      <c r="H203" s="93" t="s">
        <v>7383</v>
      </c>
      <c r="I203" s="51" t="s">
        <v>7384</v>
      </c>
      <c r="J203" s="51" t="s">
        <v>7385</v>
      </c>
      <c r="K203" s="47" t="s">
        <v>7386</v>
      </c>
      <c r="L203" s="47" t="s">
        <v>7387</v>
      </c>
      <c r="M203" s="47" t="s">
        <v>7388</v>
      </c>
      <c r="N203" s="47"/>
      <c r="O203" s="310"/>
    </row>
    <row r="204" spans="1:15" ht="14.4">
      <c r="A204" s="26">
        <v>14</v>
      </c>
      <c r="B204" s="47"/>
      <c r="C204" s="30" t="s">
        <v>7389</v>
      </c>
      <c r="D204" s="51" t="s">
        <v>7390</v>
      </c>
      <c r="E204" s="80" t="s">
        <v>7391</v>
      </c>
      <c r="F204" s="51" t="s">
        <v>117</v>
      </c>
      <c r="G204" s="51" t="s">
        <v>7392</v>
      </c>
      <c r="H204" s="93" t="s">
        <v>7393</v>
      </c>
      <c r="I204" s="51" t="s">
        <v>7394</v>
      </c>
      <c r="J204" s="51" t="s">
        <v>7395</v>
      </c>
      <c r="K204" s="47" t="s">
        <v>7396</v>
      </c>
      <c r="L204" s="47" t="s">
        <v>7397</v>
      </c>
      <c r="M204" s="47" t="s">
        <v>7398</v>
      </c>
      <c r="N204" s="47"/>
      <c r="O204" s="310"/>
    </row>
    <row r="205" spans="1:15" ht="14.4">
      <c r="A205" s="26">
        <v>15</v>
      </c>
      <c r="B205" s="47"/>
      <c r="C205" s="30" t="s">
        <v>7399</v>
      </c>
      <c r="D205" s="51" t="s">
        <v>7400</v>
      </c>
      <c r="E205" s="80" t="s">
        <v>7401</v>
      </c>
      <c r="F205" s="51" t="s">
        <v>5711</v>
      </c>
      <c r="G205" s="51" t="s">
        <v>7402</v>
      </c>
      <c r="H205" s="93" t="s">
        <v>7403</v>
      </c>
      <c r="I205" s="51" t="s">
        <v>7404</v>
      </c>
      <c r="J205" s="51" t="s">
        <v>7405</v>
      </c>
      <c r="K205" s="47" t="s">
        <v>7406</v>
      </c>
      <c r="L205" s="47" t="s">
        <v>7407</v>
      </c>
      <c r="M205" s="47" t="s">
        <v>7408</v>
      </c>
      <c r="N205" s="47"/>
      <c r="O205" s="310"/>
    </row>
    <row r="206" spans="1:15" ht="14.4">
      <c r="A206" s="26">
        <v>16</v>
      </c>
      <c r="B206" s="47"/>
      <c r="C206" s="30" t="s">
        <v>7409</v>
      </c>
      <c r="D206" s="51" t="s">
        <v>7410</v>
      </c>
      <c r="E206" s="80" t="s">
        <v>7411</v>
      </c>
      <c r="F206" s="51" t="s">
        <v>117</v>
      </c>
      <c r="G206" s="51" t="s">
        <v>7412</v>
      </c>
      <c r="H206" s="93" t="s">
        <v>7413</v>
      </c>
      <c r="I206" s="51" t="s">
        <v>7414</v>
      </c>
      <c r="J206" s="51" t="s">
        <v>7415</v>
      </c>
      <c r="K206" s="47" t="s">
        <v>7416</v>
      </c>
      <c r="L206" s="47" t="s">
        <v>5421</v>
      </c>
      <c r="M206" s="47" t="s">
        <v>5422</v>
      </c>
      <c r="N206" s="47"/>
      <c r="O206" s="310"/>
    </row>
    <row r="207" spans="1:15" ht="14.4">
      <c r="A207" s="26">
        <v>17</v>
      </c>
      <c r="B207" s="47"/>
      <c r="C207" s="30" t="s">
        <v>7417</v>
      </c>
      <c r="D207" s="51" t="s">
        <v>7418</v>
      </c>
      <c r="E207" s="80" t="s">
        <v>7419</v>
      </c>
      <c r="F207" s="51" t="s">
        <v>117</v>
      </c>
      <c r="G207" s="51" t="s">
        <v>7420</v>
      </c>
      <c r="H207" s="93" t="s">
        <v>7421</v>
      </c>
      <c r="I207" s="51" t="s">
        <v>7422</v>
      </c>
      <c r="J207" s="51" t="s">
        <v>7423</v>
      </c>
      <c r="K207" s="47" t="s">
        <v>7424</v>
      </c>
      <c r="L207" s="47" t="s">
        <v>7425</v>
      </c>
      <c r="M207" s="47" t="s">
        <v>7426</v>
      </c>
      <c r="N207" s="47"/>
      <c r="O207" s="310"/>
    </row>
    <row r="208" spans="1:15" ht="14.4">
      <c r="A208" s="26">
        <v>18</v>
      </c>
      <c r="B208" s="47"/>
      <c r="C208" s="30" t="s">
        <v>7427</v>
      </c>
      <c r="D208" s="51" t="s">
        <v>7428</v>
      </c>
      <c r="E208" s="80" t="s">
        <v>7429</v>
      </c>
      <c r="F208" s="51" t="s">
        <v>65</v>
      </c>
      <c r="G208" s="51" t="s">
        <v>7430</v>
      </c>
      <c r="H208" s="93" t="s">
        <v>7431</v>
      </c>
      <c r="I208" s="51" t="s">
        <v>7432</v>
      </c>
      <c r="J208" s="51" t="s">
        <v>7433</v>
      </c>
      <c r="K208" s="47" t="s">
        <v>7434</v>
      </c>
      <c r="L208" s="47" t="s">
        <v>7435</v>
      </c>
      <c r="M208" s="47" t="s">
        <v>7436</v>
      </c>
      <c r="N208" s="47"/>
      <c r="O208" s="310"/>
    </row>
    <row r="209" spans="1:15" ht="14.4">
      <c r="A209" s="26">
        <v>19</v>
      </c>
      <c r="B209" s="47"/>
      <c r="C209" s="30" t="s">
        <v>1595</v>
      </c>
      <c r="D209" s="51" t="s">
        <v>1596</v>
      </c>
      <c r="E209" s="80" t="s">
        <v>7437</v>
      </c>
      <c r="F209" s="51" t="s">
        <v>65</v>
      </c>
      <c r="G209" s="51" t="s">
        <v>7438</v>
      </c>
      <c r="H209" s="93" t="s">
        <v>7439</v>
      </c>
      <c r="I209" s="51" t="s">
        <v>7440</v>
      </c>
      <c r="J209" s="51" t="s">
        <v>7441</v>
      </c>
      <c r="K209" s="47" t="s">
        <v>7442</v>
      </c>
      <c r="L209" s="47" t="s">
        <v>7443</v>
      </c>
      <c r="M209" s="47" t="s">
        <v>7444</v>
      </c>
      <c r="N209" s="47"/>
      <c r="O209" s="310"/>
    </row>
    <row r="210" spans="1:15" ht="14.4">
      <c r="A210" s="26">
        <v>20</v>
      </c>
      <c r="B210" s="47"/>
      <c r="C210" s="30" t="s">
        <v>7445</v>
      </c>
      <c r="D210" s="51" t="s">
        <v>7446</v>
      </c>
      <c r="E210" s="80" t="s">
        <v>7447</v>
      </c>
      <c r="F210" s="51" t="s">
        <v>219</v>
      </c>
      <c r="G210" s="51" t="s">
        <v>7448</v>
      </c>
      <c r="H210" s="93" t="s">
        <v>7449</v>
      </c>
      <c r="I210" s="51" t="s">
        <v>7450</v>
      </c>
      <c r="J210" s="51" t="s">
        <v>7451</v>
      </c>
      <c r="K210" s="47" t="s">
        <v>7452</v>
      </c>
      <c r="L210" s="47" t="s">
        <v>7453</v>
      </c>
      <c r="M210" s="47" t="s">
        <v>7454</v>
      </c>
      <c r="N210" s="47"/>
      <c r="O210" s="310"/>
    </row>
    <row r="211" spans="1:15" ht="14.4">
      <c r="A211" s="26">
        <v>21</v>
      </c>
      <c r="B211" s="47"/>
      <c r="C211" s="30" t="s">
        <v>7455</v>
      </c>
      <c r="D211" s="51" t="s">
        <v>7456</v>
      </c>
      <c r="E211" s="80" t="s">
        <v>319</v>
      </c>
      <c r="F211" s="51" t="s">
        <v>320</v>
      </c>
      <c r="G211" s="51" t="s">
        <v>7457</v>
      </c>
      <c r="H211" s="93" t="s">
        <v>7458</v>
      </c>
      <c r="I211" s="51" t="s">
        <v>7459</v>
      </c>
      <c r="J211" s="51" t="s">
        <v>7460</v>
      </c>
      <c r="K211" s="47" t="s">
        <v>7461</v>
      </c>
      <c r="L211" s="47" t="s">
        <v>7462</v>
      </c>
      <c r="M211" s="47" t="s">
        <v>7463</v>
      </c>
      <c r="N211" s="47"/>
      <c r="O211" s="310"/>
    </row>
    <row r="212" spans="1:15" ht="14.4">
      <c r="A212" s="26">
        <v>22</v>
      </c>
      <c r="B212" s="47"/>
      <c r="C212" s="30" t="s">
        <v>7464</v>
      </c>
      <c r="D212" s="51" t="s">
        <v>7465</v>
      </c>
      <c r="E212" s="80" t="s">
        <v>7466</v>
      </c>
      <c r="F212" s="51" t="s">
        <v>54</v>
      </c>
      <c r="G212" s="51" t="s">
        <v>3965</v>
      </c>
      <c r="H212" s="93" t="s">
        <v>7467</v>
      </c>
      <c r="I212" s="51" t="s">
        <v>7468</v>
      </c>
      <c r="J212" s="51" t="s">
        <v>7469</v>
      </c>
      <c r="K212" s="47" t="s">
        <v>7470</v>
      </c>
      <c r="L212" s="47" t="s">
        <v>7471</v>
      </c>
      <c r="M212" s="47" t="s">
        <v>7472</v>
      </c>
      <c r="N212" s="47"/>
      <c r="O212" s="310"/>
    </row>
    <row r="213" spans="1:15" ht="14.4">
      <c r="A213" s="26">
        <v>23</v>
      </c>
      <c r="B213" s="47"/>
      <c r="C213" s="30" t="s">
        <v>7473</v>
      </c>
      <c r="D213" s="51" t="s">
        <v>7474</v>
      </c>
      <c r="E213" s="80" t="s">
        <v>7475</v>
      </c>
      <c r="F213" s="51" t="s">
        <v>117</v>
      </c>
      <c r="G213" s="51" t="s">
        <v>7476</v>
      </c>
      <c r="H213" s="93" t="s">
        <v>7477</v>
      </c>
      <c r="I213" s="51" t="s">
        <v>7478</v>
      </c>
      <c r="J213" s="51" t="s">
        <v>7479</v>
      </c>
      <c r="K213" s="47" t="s">
        <v>7480</v>
      </c>
      <c r="L213" s="47" t="s">
        <v>7481</v>
      </c>
      <c r="M213" s="47" t="s">
        <v>7482</v>
      </c>
      <c r="N213" s="47"/>
      <c r="O213" s="310"/>
    </row>
    <row r="214" spans="1:15" ht="14.4">
      <c r="A214" s="26">
        <v>24</v>
      </c>
      <c r="B214" s="47"/>
      <c r="C214" s="30" t="s">
        <v>2729</v>
      </c>
      <c r="D214" s="51" t="s">
        <v>2730</v>
      </c>
      <c r="E214" s="80" t="s">
        <v>2731</v>
      </c>
      <c r="F214" s="51" t="s">
        <v>117</v>
      </c>
      <c r="G214" s="51" t="s">
        <v>7483</v>
      </c>
      <c r="H214" s="93" t="s">
        <v>7484</v>
      </c>
      <c r="I214" s="51" t="s">
        <v>2734</v>
      </c>
      <c r="J214" s="51" t="s">
        <v>2735</v>
      </c>
      <c r="K214" s="47" t="s">
        <v>7485</v>
      </c>
      <c r="L214" s="47" t="s">
        <v>7486</v>
      </c>
      <c r="M214" s="47" t="s">
        <v>7487</v>
      </c>
      <c r="N214" s="47"/>
      <c r="O214" s="310"/>
    </row>
    <row r="215" spans="1:15" ht="14.4">
      <c r="A215" s="26">
        <v>25</v>
      </c>
      <c r="B215" s="47"/>
      <c r="C215" s="30" t="s">
        <v>7488</v>
      </c>
      <c r="D215" s="51" t="s">
        <v>7489</v>
      </c>
      <c r="E215" s="80" t="s">
        <v>7490</v>
      </c>
      <c r="F215" s="51" t="s">
        <v>563</v>
      </c>
      <c r="G215" s="51" t="s">
        <v>7491</v>
      </c>
      <c r="H215" s="93" t="s">
        <v>7492</v>
      </c>
      <c r="I215" s="51" t="s">
        <v>7493</v>
      </c>
      <c r="J215" s="51" t="s">
        <v>7494</v>
      </c>
      <c r="K215" s="47" t="s">
        <v>7495</v>
      </c>
      <c r="L215" s="47" t="s">
        <v>7496</v>
      </c>
      <c r="M215" s="47" t="s">
        <v>7497</v>
      </c>
      <c r="N215" s="47"/>
      <c r="O215" s="310"/>
    </row>
    <row r="216" spans="1:15" ht="14.4">
      <c r="A216" s="26">
        <v>26</v>
      </c>
      <c r="B216" s="47"/>
      <c r="C216" s="30" t="s">
        <v>7498</v>
      </c>
      <c r="D216" s="51" t="s">
        <v>7499</v>
      </c>
      <c r="E216" s="80" t="s">
        <v>7500</v>
      </c>
      <c r="F216" s="51" t="s">
        <v>65</v>
      </c>
      <c r="G216" s="51" t="s">
        <v>7501</v>
      </c>
      <c r="H216" s="93" t="s">
        <v>7502</v>
      </c>
      <c r="I216" s="51" t="s">
        <v>7503</v>
      </c>
      <c r="J216" s="51" t="s">
        <v>7504</v>
      </c>
      <c r="K216" s="47" t="s">
        <v>7505</v>
      </c>
      <c r="L216" s="47" t="s">
        <v>7506</v>
      </c>
      <c r="M216" s="47" t="s">
        <v>7507</v>
      </c>
      <c r="N216" s="47"/>
      <c r="O216" s="310"/>
    </row>
    <row r="217" spans="1:15" ht="14.4">
      <c r="A217" s="26">
        <v>27</v>
      </c>
      <c r="B217" s="47"/>
      <c r="C217" s="30" t="s">
        <v>7508</v>
      </c>
      <c r="D217" s="51" t="s">
        <v>7509</v>
      </c>
      <c r="E217" s="80" t="s">
        <v>7510</v>
      </c>
      <c r="F217" s="51" t="s">
        <v>42</v>
      </c>
      <c r="G217" s="51" t="s">
        <v>6333</v>
      </c>
      <c r="H217" s="93" t="s">
        <v>7511</v>
      </c>
      <c r="I217" s="51" t="s">
        <v>7512</v>
      </c>
      <c r="J217" s="51" t="s">
        <v>7513</v>
      </c>
      <c r="K217" s="47" t="s">
        <v>7514</v>
      </c>
      <c r="L217" s="47" t="s">
        <v>7515</v>
      </c>
      <c r="M217" s="47" t="s">
        <v>7516</v>
      </c>
      <c r="N217" s="47"/>
      <c r="O217" s="310"/>
    </row>
    <row r="218" spans="1:15" ht="14.4">
      <c r="A218" s="26">
        <v>28</v>
      </c>
      <c r="B218" s="47"/>
      <c r="C218" s="30" t="s">
        <v>7517</v>
      </c>
      <c r="D218" s="51" t="s">
        <v>7518</v>
      </c>
      <c r="E218" s="63" t="s">
        <v>7519</v>
      </c>
      <c r="F218" s="51" t="s">
        <v>65</v>
      </c>
      <c r="G218" s="51" t="s">
        <v>7520</v>
      </c>
      <c r="H218" s="93" t="s">
        <v>7521</v>
      </c>
      <c r="I218" s="51" t="s">
        <v>7522</v>
      </c>
      <c r="J218" s="51" t="s">
        <v>7523</v>
      </c>
      <c r="K218" s="47" t="s">
        <v>7524</v>
      </c>
      <c r="L218" s="47" t="s">
        <v>7525</v>
      </c>
      <c r="M218" s="47" t="s">
        <v>7526</v>
      </c>
      <c r="N218" s="47"/>
      <c r="O218" s="311"/>
    </row>
    <row r="219" spans="1:15" ht="14.4">
      <c r="A219" s="19">
        <v>1</v>
      </c>
      <c r="B219" s="88"/>
      <c r="C219" s="21" t="s">
        <v>7527</v>
      </c>
      <c r="D219" s="92" t="s">
        <v>7528</v>
      </c>
      <c r="E219" s="90" t="s">
        <v>7529</v>
      </c>
      <c r="F219" s="92" t="s">
        <v>65</v>
      </c>
      <c r="G219" s="92" t="s">
        <v>7530</v>
      </c>
      <c r="H219" s="91" t="s">
        <v>7531</v>
      </c>
      <c r="I219" s="92" t="s">
        <v>7532</v>
      </c>
      <c r="J219" s="92" t="s">
        <v>7533</v>
      </c>
      <c r="K219" s="88" t="s">
        <v>7534</v>
      </c>
      <c r="L219" s="88" t="s">
        <v>7535</v>
      </c>
      <c r="M219" s="88" t="s">
        <v>7536</v>
      </c>
      <c r="N219" s="88">
        <v>9</v>
      </c>
      <c r="O219" s="24" t="s">
        <v>38</v>
      </c>
    </row>
    <row r="220" spans="1:15" ht="14.4">
      <c r="A220" s="26">
        <v>2</v>
      </c>
      <c r="B220" s="47"/>
      <c r="C220" s="30" t="s">
        <v>7537</v>
      </c>
      <c r="D220" s="51" t="s">
        <v>7538</v>
      </c>
      <c r="E220" s="63" t="s">
        <v>7539</v>
      </c>
      <c r="F220" s="51" t="s">
        <v>65</v>
      </c>
      <c r="G220" s="51" t="s">
        <v>6130</v>
      </c>
      <c r="H220" s="93" t="s">
        <v>7540</v>
      </c>
      <c r="I220" s="51" t="s">
        <v>7541</v>
      </c>
      <c r="J220" s="51" t="s">
        <v>7542</v>
      </c>
      <c r="K220" s="47" t="s">
        <v>7543</v>
      </c>
      <c r="L220" s="47" t="s">
        <v>7544</v>
      </c>
      <c r="M220" s="47" t="s">
        <v>7545</v>
      </c>
      <c r="N220" s="47"/>
      <c r="O220" s="314" t="s">
        <v>7546</v>
      </c>
    </row>
    <row r="221" spans="1:15" ht="14.4">
      <c r="A221" s="26">
        <v>3</v>
      </c>
      <c r="B221" s="47"/>
      <c r="C221" s="30" t="s">
        <v>7547</v>
      </c>
      <c r="D221" s="51" t="s">
        <v>7548</v>
      </c>
      <c r="E221" s="63" t="s">
        <v>7549</v>
      </c>
      <c r="F221" s="51" t="s">
        <v>65</v>
      </c>
      <c r="G221" s="51" t="s">
        <v>7550</v>
      </c>
      <c r="H221" s="93" t="s">
        <v>7551</v>
      </c>
      <c r="I221" s="51" t="s">
        <v>7552</v>
      </c>
      <c r="J221" s="51" t="s">
        <v>7553</v>
      </c>
      <c r="K221" s="47" t="s">
        <v>7554</v>
      </c>
      <c r="L221" s="47" t="s">
        <v>7555</v>
      </c>
      <c r="M221" s="47" t="s">
        <v>7556</v>
      </c>
      <c r="N221" s="47"/>
      <c r="O221" s="310"/>
    </row>
    <row r="222" spans="1:15" ht="14.4">
      <c r="A222" s="26">
        <v>4</v>
      </c>
      <c r="B222" s="47"/>
      <c r="C222" s="30" t="s">
        <v>7557</v>
      </c>
      <c r="D222" s="51" t="s">
        <v>7558</v>
      </c>
      <c r="E222" s="63" t="s">
        <v>7559</v>
      </c>
      <c r="F222" s="51" t="s">
        <v>501</v>
      </c>
      <c r="G222" s="51" t="s">
        <v>7560</v>
      </c>
      <c r="H222" s="93" t="s">
        <v>7561</v>
      </c>
      <c r="I222" s="51" t="s">
        <v>7562</v>
      </c>
      <c r="J222" s="51" t="s">
        <v>7563</v>
      </c>
      <c r="K222" s="47" t="s">
        <v>7564</v>
      </c>
      <c r="L222" s="47" t="s">
        <v>7565</v>
      </c>
      <c r="M222" s="47" t="s">
        <v>7566</v>
      </c>
      <c r="N222" s="47"/>
      <c r="O222" s="310"/>
    </row>
    <row r="223" spans="1:15" ht="14.4">
      <c r="A223" s="26">
        <v>5</v>
      </c>
      <c r="B223" s="47"/>
      <c r="C223" s="30" t="s">
        <v>7567</v>
      </c>
      <c r="D223" s="51" t="s">
        <v>7568</v>
      </c>
      <c r="E223" s="63" t="s">
        <v>7569</v>
      </c>
      <c r="F223" s="51" t="s">
        <v>65</v>
      </c>
      <c r="G223" s="51" t="s">
        <v>7570</v>
      </c>
      <c r="H223" s="93" t="s">
        <v>7571</v>
      </c>
      <c r="I223" s="51" t="s">
        <v>7572</v>
      </c>
      <c r="J223" s="51" t="s">
        <v>7573</v>
      </c>
      <c r="K223" s="47" t="s">
        <v>7574</v>
      </c>
      <c r="L223" s="47" t="s">
        <v>7575</v>
      </c>
      <c r="M223" s="47" t="s">
        <v>7576</v>
      </c>
      <c r="N223" s="47"/>
      <c r="O223" s="310"/>
    </row>
    <row r="224" spans="1:15" ht="14.4">
      <c r="A224" s="26">
        <v>6</v>
      </c>
      <c r="B224" s="47"/>
      <c r="C224" s="30" t="s">
        <v>7577</v>
      </c>
      <c r="D224" s="51" t="s">
        <v>7578</v>
      </c>
      <c r="E224" s="63" t="s">
        <v>7579</v>
      </c>
      <c r="F224" s="51" t="s">
        <v>65</v>
      </c>
      <c r="G224" s="51" t="s">
        <v>7580</v>
      </c>
      <c r="H224" s="93" t="s">
        <v>7581</v>
      </c>
      <c r="I224" s="51" t="s">
        <v>7582</v>
      </c>
      <c r="J224" s="51" t="s">
        <v>7583</v>
      </c>
      <c r="K224" s="47" t="s">
        <v>7584</v>
      </c>
      <c r="L224" s="47" t="s">
        <v>7585</v>
      </c>
      <c r="M224" s="47" t="s">
        <v>7586</v>
      </c>
      <c r="N224" s="47"/>
      <c r="O224" s="310"/>
    </row>
    <row r="225" spans="1:26" ht="14.4">
      <c r="A225" s="26">
        <v>7</v>
      </c>
      <c r="B225" s="47"/>
      <c r="C225" s="30" t="s">
        <v>7587</v>
      </c>
      <c r="D225" s="51" t="s">
        <v>7588</v>
      </c>
      <c r="E225" s="63" t="s">
        <v>7589</v>
      </c>
      <c r="F225" s="51" t="s">
        <v>117</v>
      </c>
      <c r="G225" s="51" t="s">
        <v>7590</v>
      </c>
      <c r="H225" s="93" t="s">
        <v>7591</v>
      </c>
      <c r="I225" s="51" t="s">
        <v>7592</v>
      </c>
      <c r="J225" s="51" t="s">
        <v>7593</v>
      </c>
      <c r="K225" s="47" t="s">
        <v>7594</v>
      </c>
      <c r="L225" s="47" t="s">
        <v>7595</v>
      </c>
      <c r="M225" s="47" t="s">
        <v>7596</v>
      </c>
      <c r="N225" s="47"/>
      <c r="O225" s="310"/>
    </row>
    <row r="226" spans="1:26" ht="14.4">
      <c r="A226" s="26">
        <v>8</v>
      </c>
      <c r="B226" s="47"/>
      <c r="C226" s="30" t="s">
        <v>7597</v>
      </c>
      <c r="D226" s="51" t="s">
        <v>7598</v>
      </c>
      <c r="E226" s="63" t="s">
        <v>7599</v>
      </c>
      <c r="F226" s="51" t="s">
        <v>117</v>
      </c>
      <c r="G226" s="51" t="s">
        <v>7600</v>
      </c>
      <c r="H226" s="93" t="s">
        <v>7601</v>
      </c>
      <c r="I226" s="51" t="s">
        <v>7602</v>
      </c>
      <c r="J226" s="51" t="s">
        <v>7603</v>
      </c>
      <c r="K226" s="47" t="s">
        <v>7604</v>
      </c>
      <c r="L226" s="47" t="s">
        <v>7605</v>
      </c>
      <c r="M226" s="47" t="s">
        <v>7606</v>
      </c>
      <c r="N226" s="47"/>
      <c r="O226" s="310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4.4">
      <c r="A227" s="26">
        <v>9</v>
      </c>
      <c r="B227" s="47"/>
      <c r="C227" s="30" t="s">
        <v>7607</v>
      </c>
      <c r="D227" s="51" t="s">
        <v>7608</v>
      </c>
      <c r="E227" s="63" t="s">
        <v>7609</v>
      </c>
      <c r="F227" s="51" t="s">
        <v>65</v>
      </c>
      <c r="G227" s="51" t="s">
        <v>7610</v>
      </c>
      <c r="H227" s="93" t="s">
        <v>7611</v>
      </c>
      <c r="I227" s="51" t="s">
        <v>7612</v>
      </c>
      <c r="J227" s="51" t="s">
        <v>7613</v>
      </c>
      <c r="K227" s="47" t="s">
        <v>7614</v>
      </c>
      <c r="L227" s="47" t="s">
        <v>7615</v>
      </c>
      <c r="M227" s="47" t="s">
        <v>7616</v>
      </c>
      <c r="N227" s="47"/>
      <c r="O227" s="310"/>
    </row>
    <row r="228" spans="1:26" ht="14.4">
      <c r="A228" s="26">
        <v>10</v>
      </c>
      <c r="B228" s="47"/>
      <c r="C228" s="30" t="s">
        <v>7617</v>
      </c>
      <c r="D228" s="51" t="s">
        <v>7618</v>
      </c>
      <c r="E228" s="63" t="s">
        <v>7619</v>
      </c>
      <c r="F228" s="51" t="s">
        <v>4102</v>
      </c>
      <c r="G228" s="51" t="s">
        <v>7620</v>
      </c>
      <c r="H228" s="93" t="s">
        <v>7621</v>
      </c>
      <c r="I228" s="51" t="s">
        <v>7622</v>
      </c>
      <c r="J228" s="51" t="s">
        <v>7623</v>
      </c>
      <c r="K228" s="47" t="s">
        <v>7624</v>
      </c>
      <c r="L228" s="47" t="s">
        <v>7625</v>
      </c>
      <c r="M228" s="47" t="s">
        <v>7626</v>
      </c>
      <c r="N228" s="47"/>
      <c r="O228" s="310"/>
    </row>
    <row r="229" spans="1:26" ht="14.4">
      <c r="A229" s="26">
        <v>11</v>
      </c>
      <c r="B229" s="47"/>
      <c r="C229" s="30" t="s">
        <v>7627</v>
      </c>
      <c r="D229" s="51" t="s">
        <v>7628</v>
      </c>
      <c r="E229" s="63" t="s">
        <v>7629</v>
      </c>
      <c r="F229" s="51" t="s">
        <v>117</v>
      </c>
      <c r="G229" s="51" t="s">
        <v>7630</v>
      </c>
      <c r="H229" s="93" t="s">
        <v>7631</v>
      </c>
      <c r="I229" s="51" t="s">
        <v>7632</v>
      </c>
      <c r="J229" s="51" t="s">
        <v>7633</v>
      </c>
      <c r="K229" s="47" t="s">
        <v>7634</v>
      </c>
      <c r="L229" s="47" t="s">
        <v>7635</v>
      </c>
      <c r="M229" s="47" t="s">
        <v>7636</v>
      </c>
      <c r="N229" s="47"/>
      <c r="O229" s="310"/>
    </row>
    <row r="230" spans="1:26" ht="14.4">
      <c r="A230" s="26">
        <v>12</v>
      </c>
      <c r="B230" s="47"/>
      <c r="C230" s="30" t="s">
        <v>7637</v>
      </c>
      <c r="D230" s="51" t="s">
        <v>7638</v>
      </c>
      <c r="E230" s="63" t="s">
        <v>7639</v>
      </c>
      <c r="F230" s="51"/>
      <c r="G230" s="51" t="s">
        <v>7640</v>
      </c>
      <c r="H230" s="93" t="s">
        <v>7641</v>
      </c>
      <c r="I230" s="51" t="s">
        <v>7642</v>
      </c>
      <c r="J230" s="51" t="s">
        <v>7643</v>
      </c>
      <c r="K230" s="47" t="s">
        <v>7644</v>
      </c>
      <c r="L230" s="47" t="s">
        <v>7645</v>
      </c>
      <c r="M230" s="47" t="s">
        <v>7646</v>
      </c>
      <c r="N230" s="47"/>
      <c r="O230" s="310"/>
    </row>
    <row r="231" spans="1:26" ht="14.4">
      <c r="A231" s="26">
        <v>13</v>
      </c>
      <c r="B231" s="47"/>
      <c r="C231" s="30" t="s">
        <v>7647</v>
      </c>
      <c r="D231" s="51" t="s">
        <v>7648</v>
      </c>
      <c r="E231" s="63" t="s">
        <v>7649</v>
      </c>
      <c r="F231" s="51" t="s">
        <v>219</v>
      </c>
      <c r="G231" s="51" t="s">
        <v>7650</v>
      </c>
      <c r="H231" s="93" t="s">
        <v>7651</v>
      </c>
      <c r="I231" s="51" t="s">
        <v>7652</v>
      </c>
      <c r="J231" s="51" t="s">
        <v>7653</v>
      </c>
      <c r="K231" s="47" t="s">
        <v>7654</v>
      </c>
      <c r="L231" s="47" t="s">
        <v>7655</v>
      </c>
      <c r="M231" s="47" t="s">
        <v>7656</v>
      </c>
      <c r="N231" s="47"/>
      <c r="O231" s="310"/>
    </row>
    <row r="232" spans="1:26" ht="14.4">
      <c r="A232" s="26">
        <v>14</v>
      </c>
      <c r="B232" s="47"/>
      <c r="C232" s="30" t="s">
        <v>7657</v>
      </c>
      <c r="D232" s="51" t="s">
        <v>7658</v>
      </c>
      <c r="E232" s="63" t="s">
        <v>7659</v>
      </c>
      <c r="F232" s="51" t="s">
        <v>219</v>
      </c>
      <c r="G232" s="51" t="s">
        <v>7660</v>
      </c>
      <c r="H232" s="93" t="s">
        <v>7661</v>
      </c>
      <c r="I232" s="51" t="s">
        <v>7662</v>
      </c>
      <c r="J232" s="51" t="s">
        <v>7663</v>
      </c>
      <c r="K232" s="47" t="s">
        <v>7664</v>
      </c>
      <c r="L232" s="47" t="s">
        <v>7665</v>
      </c>
      <c r="M232" s="47" t="s">
        <v>7666</v>
      </c>
      <c r="N232" s="47"/>
      <c r="O232" s="310"/>
    </row>
    <row r="233" spans="1:26" ht="14.4">
      <c r="A233" s="26">
        <v>15</v>
      </c>
      <c r="B233" s="47"/>
      <c r="C233" s="30" t="s">
        <v>7667</v>
      </c>
      <c r="D233" s="51" t="s">
        <v>7668</v>
      </c>
      <c r="E233" s="63" t="s">
        <v>7669</v>
      </c>
      <c r="F233" s="51" t="s">
        <v>65</v>
      </c>
      <c r="G233" s="51" t="s">
        <v>7670</v>
      </c>
      <c r="H233" s="93" t="s">
        <v>7671</v>
      </c>
      <c r="I233" s="51" t="s">
        <v>7672</v>
      </c>
      <c r="J233" s="51" t="s">
        <v>7673</v>
      </c>
      <c r="K233" s="47" t="s">
        <v>7674</v>
      </c>
      <c r="L233" s="47" t="s">
        <v>7675</v>
      </c>
      <c r="M233" s="47" t="s">
        <v>7676</v>
      </c>
      <c r="N233" s="47"/>
      <c r="O233" s="310"/>
    </row>
    <row r="234" spans="1:26" ht="14.4">
      <c r="A234" s="26">
        <v>16</v>
      </c>
      <c r="B234" s="47"/>
      <c r="C234" s="30" t="s">
        <v>2478</v>
      </c>
      <c r="D234" s="51" t="s">
        <v>2479</v>
      </c>
      <c r="E234" s="63" t="s">
        <v>2480</v>
      </c>
      <c r="F234" s="51" t="s">
        <v>117</v>
      </c>
      <c r="G234" s="51" t="s">
        <v>2481</v>
      </c>
      <c r="H234" s="93" t="s">
        <v>7677</v>
      </c>
      <c r="I234" s="51" t="s">
        <v>2483</v>
      </c>
      <c r="J234" s="86" t="s">
        <v>2484</v>
      </c>
      <c r="K234" s="47" t="s">
        <v>7678</v>
      </c>
      <c r="L234" s="47" t="s">
        <v>7679</v>
      </c>
      <c r="M234" s="47" t="s">
        <v>7680</v>
      </c>
      <c r="N234" s="47"/>
      <c r="O234" s="310"/>
    </row>
    <row r="235" spans="1:26" ht="14.4">
      <c r="A235" s="26">
        <v>17</v>
      </c>
      <c r="B235" s="47"/>
      <c r="C235" s="30" t="s">
        <v>7681</v>
      </c>
      <c r="D235" s="51" t="s">
        <v>7682</v>
      </c>
      <c r="E235" s="63" t="s">
        <v>7683</v>
      </c>
      <c r="F235" s="51" t="s">
        <v>54</v>
      </c>
      <c r="G235" s="51" t="s">
        <v>7684</v>
      </c>
      <c r="H235" s="93" t="s">
        <v>7685</v>
      </c>
      <c r="I235" s="51" t="s">
        <v>7686</v>
      </c>
      <c r="J235" s="51" t="s">
        <v>7687</v>
      </c>
      <c r="K235" s="47" t="s">
        <v>7688</v>
      </c>
      <c r="L235" s="47" t="s">
        <v>7689</v>
      </c>
      <c r="M235" s="47" t="s">
        <v>7690</v>
      </c>
      <c r="N235" s="47"/>
      <c r="O235" s="310"/>
    </row>
    <row r="236" spans="1:26" ht="14.4">
      <c r="A236" s="26">
        <v>18</v>
      </c>
      <c r="B236" s="47"/>
      <c r="C236" s="30" t="s">
        <v>7691</v>
      </c>
      <c r="D236" s="51" t="s">
        <v>7692</v>
      </c>
      <c r="E236" s="63" t="s">
        <v>7693</v>
      </c>
      <c r="F236" s="51" t="s">
        <v>54</v>
      </c>
      <c r="G236" s="51" t="s">
        <v>7694</v>
      </c>
      <c r="H236" s="93" t="s">
        <v>7695</v>
      </c>
      <c r="I236" s="51" t="s">
        <v>7696</v>
      </c>
      <c r="J236" s="51" t="s">
        <v>7697</v>
      </c>
      <c r="K236" s="47" t="s">
        <v>7698</v>
      </c>
      <c r="L236" s="47" t="s">
        <v>7699</v>
      </c>
      <c r="M236" s="47" t="s">
        <v>7700</v>
      </c>
      <c r="N236" s="47"/>
      <c r="O236" s="310"/>
    </row>
    <row r="237" spans="1:26" ht="14.4">
      <c r="A237" s="26">
        <v>19</v>
      </c>
      <c r="B237" s="47"/>
      <c r="C237" s="30" t="s">
        <v>7701</v>
      </c>
      <c r="D237" s="51" t="s">
        <v>7702</v>
      </c>
      <c r="E237" s="63" t="s">
        <v>7703</v>
      </c>
      <c r="F237" s="51" t="s">
        <v>117</v>
      </c>
      <c r="G237" s="51" t="s">
        <v>6651</v>
      </c>
      <c r="H237" s="93" t="s">
        <v>7704</v>
      </c>
      <c r="I237" s="51" t="s">
        <v>7705</v>
      </c>
      <c r="J237" s="59" t="s">
        <v>7706</v>
      </c>
      <c r="K237" s="47" t="s">
        <v>7707</v>
      </c>
      <c r="L237" s="47" t="s">
        <v>7708</v>
      </c>
      <c r="M237" s="47" t="s">
        <v>7709</v>
      </c>
      <c r="N237" s="47"/>
      <c r="O237" s="310"/>
    </row>
    <row r="238" spans="1:26" ht="14.4">
      <c r="A238" s="26">
        <v>20</v>
      </c>
      <c r="B238" s="47"/>
      <c r="C238" s="30" t="s">
        <v>7710</v>
      </c>
      <c r="D238" s="51" t="s">
        <v>7711</v>
      </c>
      <c r="E238" s="63" t="s">
        <v>7712</v>
      </c>
      <c r="F238" s="51" t="s">
        <v>4392</v>
      </c>
      <c r="G238" s="51" t="s">
        <v>7713</v>
      </c>
      <c r="H238" s="93" t="s">
        <v>7714</v>
      </c>
      <c r="I238" s="51" t="s">
        <v>7715</v>
      </c>
      <c r="J238" s="51" t="s">
        <v>7716</v>
      </c>
      <c r="K238" s="47" t="s">
        <v>7717</v>
      </c>
      <c r="L238" s="47" t="s">
        <v>7718</v>
      </c>
      <c r="M238" s="47" t="s">
        <v>7719</v>
      </c>
      <c r="N238" s="47"/>
      <c r="O238" s="310"/>
    </row>
    <row r="239" spans="1:26" ht="14.4">
      <c r="A239" s="26">
        <v>21</v>
      </c>
      <c r="B239" s="47"/>
      <c r="C239" s="63" t="s">
        <v>7720</v>
      </c>
      <c r="D239" s="63" t="s">
        <v>7721</v>
      </c>
      <c r="E239" s="63" t="s">
        <v>7722</v>
      </c>
      <c r="F239" s="63" t="s">
        <v>7156</v>
      </c>
      <c r="G239" s="63" t="s">
        <v>7723</v>
      </c>
      <c r="H239" s="93" t="s">
        <v>7724</v>
      </c>
      <c r="I239" s="101" t="s">
        <v>7725</v>
      </c>
      <c r="J239" s="51" t="s">
        <v>7726</v>
      </c>
      <c r="K239" s="47" t="s">
        <v>7727</v>
      </c>
      <c r="L239" s="47" t="s">
        <v>7728</v>
      </c>
      <c r="M239" s="47" t="s">
        <v>7729</v>
      </c>
      <c r="N239" s="47"/>
      <c r="O239" s="310"/>
    </row>
    <row r="240" spans="1:26" ht="14.4">
      <c r="A240" s="26">
        <v>22</v>
      </c>
      <c r="B240" s="47"/>
      <c r="C240" s="63" t="s">
        <v>7730</v>
      </c>
      <c r="D240" s="63" t="s">
        <v>7731</v>
      </c>
      <c r="E240" s="63" t="s">
        <v>7732</v>
      </c>
      <c r="F240" s="63" t="s">
        <v>65</v>
      </c>
      <c r="G240" s="63" t="s">
        <v>7733</v>
      </c>
      <c r="H240" s="93" t="s">
        <v>7734</v>
      </c>
      <c r="I240" s="101" t="s">
        <v>7735</v>
      </c>
      <c r="J240" s="51" t="s">
        <v>7736</v>
      </c>
      <c r="K240" s="47" t="s">
        <v>7737</v>
      </c>
      <c r="L240" s="47" t="s">
        <v>7738</v>
      </c>
      <c r="M240" s="47" t="s">
        <v>7739</v>
      </c>
      <c r="N240" s="47"/>
      <c r="O240" s="310"/>
    </row>
    <row r="241" spans="1:15" ht="14.4">
      <c r="A241" s="26">
        <v>23</v>
      </c>
      <c r="B241" s="47"/>
      <c r="C241" s="63" t="s">
        <v>7740</v>
      </c>
      <c r="D241" s="63" t="s">
        <v>7741</v>
      </c>
      <c r="E241" s="63" t="s">
        <v>7742</v>
      </c>
      <c r="F241" s="63" t="s">
        <v>65</v>
      </c>
      <c r="G241" s="63" t="s">
        <v>7743</v>
      </c>
      <c r="H241" s="93" t="s">
        <v>7744</v>
      </c>
      <c r="I241" s="101" t="s">
        <v>7745</v>
      </c>
      <c r="J241" s="51" t="s">
        <v>7746</v>
      </c>
      <c r="K241" s="47" t="s">
        <v>7747</v>
      </c>
      <c r="L241" s="47" t="s">
        <v>7748</v>
      </c>
      <c r="M241" s="47" t="s">
        <v>7749</v>
      </c>
      <c r="N241" s="47"/>
      <c r="O241" s="310"/>
    </row>
    <row r="242" spans="1:15" ht="14.4">
      <c r="A242" s="26">
        <v>24</v>
      </c>
      <c r="B242" s="47"/>
      <c r="C242" s="63" t="s">
        <v>7750</v>
      </c>
      <c r="D242" s="63" t="s">
        <v>7751</v>
      </c>
      <c r="E242" s="63" t="s">
        <v>7752</v>
      </c>
      <c r="F242" s="63" t="s">
        <v>65</v>
      </c>
      <c r="G242" s="63" t="s">
        <v>7753</v>
      </c>
      <c r="H242" s="93" t="s">
        <v>7754</v>
      </c>
      <c r="I242" s="101" t="s">
        <v>7755</v>
      </c>
      <c r="J242" s="51" t="s">
        <v>7756</v>
      </c>
      <c r="K242" s="47" t="s">
        <v>7757</v>
      </c>
      <c r="L242" s="47" t="s">
        <v>7758</v>
      </c>
      <c r="M242" s="47" t="s">
        <v>7759</v>
      </c>
      <c r="N242" s="47"/>
      <c r="O242" s="310"/>
    </row>
    <row r="243" spans="1:15" ht="14.4">
      <c r="A243" s="26">
        <v>25</v>
      </c>
      <c r="B243" s="47"/>
      <c r="C243" s="63" t="s">
        <v>7760</v>
      </c>
      <c r="D243" s="63" t="s">
        <v>7761</v>
      </c>
      <c r="E243" s="63" t="s">
        <v>7762</v>
      </c>
      <c r="F243" s="63" t="s">
        <v>117</v>
      </c>
      <c r="G243" s="63" t="s">
        <v>7763</v>
      </c>
      <c r="H243" s="93" t="s">
        <v>7764</v>
      </c>
      <c r="I243" s="101" t="s">
        <v>7765</v>
      </c>
      <c r="J243" s="51" t="s">
        <v>7766</v>
      </c>
      <c r="K243" s="47" t="s">
        <v>7767</v>
      </c>
      <c r="L243" s="47" t="s">
        <v>7768</v>
      </c>
      <c r="M243" s="47" t="s">
        <v>7769</v>
      </c>
      <c r="N243" s="47"/>
      <c r="O243" s="310"/>
    </row>
    <row r="244" spans="1:15" ht="14.4">
      <c r="A244" s="26">
        <v>26</v>
      </c>
      <c r="B244" s="47"/>
      <c r="C244" s="63" t="s">
        <v>7770</v>
      </c>
      <c r="D244" s="63" t="s">
        <v>7771</v>
      </c>
      <c r="E244" s="63" t="s">
        <v>7772</v>
      </c>
      <c r="F244" s="63" t="s">
        <v>65</v>
      </c>
      <c r="G244" s="63" t="s">
        <v>7773</v>
      </c>
      <c r="H244" s="93" t="s">
        <v>7774</v>
      </c>
      <c r="I244" s="101" t="s">
        <v>7775</v>
      </c>
      <c r="J244" s="51" t="s">
        <v>7776</v>
      </c>
      <c r="K244" s="47" t="s">
        <v>7777</v>
      </c>
      <c r="L244" s="47" t="s">
        <v>7778</v>
      </c>
      <c r="M244" s="47" t="s">
        <v>7779</v>
      </c>
      <c r="N244" s="47"/>
      <c r="O244" s="310"/>
    </row>
    <row r="245" spans="1:15" ht="14.4">
      <c r="A245" s="26">
        <v>27</v>
      </c>
      <c r="B245" s="47"/>
      <c r="C245" s="63" t="s">
        <v>7780</v>
      </c>
      <c r="D245" s="63" t="s">
        <v>7781</v>
      </c>
      <c r="E245" s="63" t="s">
        <v>7782</v>
      </c>
      <c r="F245" s="63" t="s">
        <v>65</v>
      </c>
      <c r="G245" s="63" t="s">
        <v>7783</v>
      </c>
      <c r="H245" s="93" t="s">
        <v>7784</v>
      </c>
      <c r="I245" s="101" t="s">
        <v>7785</v>
      </c>
      <c r="J245" s="51" t="s">
        <v>7786</v>
      </c>
      <c r="K245" s="47" t="s">
        <v>7787</v>
      </c>
      <c r="L245" s="47" t="s">
        <v>7788</v>
      </c>
      <c r="M245" s="47" t="s">
        <v>7789</v>
      </c>
      <c r="N245" s="47"/>
      <c r="O245" s="310"/>
    </row>
    <row r="246" spans="1:15" ht="14.4">
      <c r="A246" s="26">
        <v>28</v>
      </c>
      <c r="B246" s="47"/>
      <c r="C246" s="63" t="s">
        <v>7790</v>
      </c>
      <c r="D246" s="63" t="s">
        <v>7791</v>
      </c>
      <c r="E246" s="63" t="s">
        <v>7792</v>
      </c>
      <c r="F246" s="63" t="s">
        <v>65</v>
      </c>
      <c r="G246" s="63" t="s">
        <v>7793</v>
      </c>
      <c r="H246" s="93" t="s">
        <v>7794</v>
      </c>
      <c r="I246" s="101" t="s">
        <v>7795</v>
      </c>
      <c r="J246" s="51" t="s">
        <v>7796</v>
      </c>
      <c r="K246" s="47" t="s">
        <v>7797</v>
      </c>
      <c r="L246" s="47" t="s">
        <v>7798</v>
      </c>
      <c r="M246" s="47" t="s">
        <v>7799</v>
      </c>
      <c r="N246" s="47"/>
      <c r="O246" s="311"/>
    </row>
    <row r="247" spans="1:15" ht="14.4">
      <c r="A247" s="19">
        <v>1</v>
      </c>
      <c r="B247" s="88"/>
      <c r="C247" s="90" t="s">
        <v>7800</v>
      </c>
      <c r="D247" s="90" t="s">
        <v>7801</v>
      </c>
      <c r="E247" s="90" t="s">
        <v>7802</v>
      </c>
      <c r="F247" s="90" t="s">
        <v>65</v>
      </c>
      <c r="G247" s="90" t="s">
        <v>7803</v>
      </c>
      <c r="H247" s="91" t="s">
        <v>7804</v>
      </c>
      <c r="I247" s="103" t="s">
        <v>7805</v>
      </c>
      <c r="J247" s="92" t="s">
        <v>7806</v>
      </c>
      <c r="K247" s="88" t="s">
        <v>7807</v>
      </c>
      <c r="L247" s="88" t="s">
        <v>5369</v>
      </c>
      <c r="M247" s="88" t="s">
        <v>5370</v>
      </c>
      <c r="N247" s="88">
        <v>10</v>
      </c>
      <c r="O247" s="24" t="s">
        <v>38</v>
      </c>
    </row>
    <row r="248" spans="1:15" ht="14.4">
      <c r="A248" s="26">
        <v>2</v>
      </c>
      <c r="B248" s="47"/>
      <c r="C248" s="63" t="s">
        <v>7808</v>
      </c>
      <c r="D248" s="63" t="s">
        <v>7809</v>
      </c>
      <c r="E248" s="63" t="s">
        <v>7810</v>
      </c>
      <c r="F248" s="63" t="s">
        <v>54</v>
      </c>
      <c r="G248" s="63" t="s">
        <v>7811</v>
      </c>
      <c r="H248" s="93" t="s">
        <v>7812</v>
      </c>
      <c r="I248" s="101" t="s">
        <v>7813</v>
      </c>
      <c r="J248" s="51" t="s">
        <v>7814</v>
      </c>
      <c r="K248" s="47" t="s">
        <v>7815</v>
      </c>
      <c r="L248" s="47" t="s">
        <v>7816</v>
      </c>
      <c r="M248" s="47" t="s">
        <v>7817</v>
      </c>
      <c r="N248" s="47"/>
      <c r="O248" s="315" t="s">
        <v>7818</v>
      </c>
    </row>
    <row r="249" spans="1:15" ht="14.4">
      <c r="A249" s="26">
        <v>3</v>
      </c>
      <c r="B249" s="47"/>
      <c r="C249" s="63" t="s">
        <v>7819</v>
      </c>
      <c r="D249" s="63" t="s">
        <v>7820</v>
      </c>
      <c r="E249" s="63" t="s">
        <v>7821</v>
      </c>
      <c r="F249" s="63" t="s">
        <v>65</v>
      </c>
      <c r="G249" s="63" t="s">
        <v>7822</v>
      </c>
      <c r="H249" s="93" t="s">
        <v>7823</v>
      </c>
      <c r="I249" s="101" t="s">
        <v>7824</v>
      </c>
      <c r="J249" s="51" t="s">
        <v>7825</v>
      </c>
      <c r="K249" s="47" t="s">
        <v>7826</v>
      </c>
      <c r="L249" s="47" t="s">
        <v>7827</v>
      </c>
      <c r="M249" s="47" t="s">
        <v>7828</v>
      </c>
      <c r="N249" s="47"/>
      <c r="O249" s="310"/>
    </row>
    <row r="250" spans="1:15" ht="14.4">
      <c r="A250" s="26">
        <v>4</v>
      </c>
      <c r="B250" s="47"/>
      <c r="C250" s="63" t="s">
        <v>7829</v>
      </c>
      <c r="D250" s="63" t="s">
        <v>7830</v>
      </c>
      <c r="E250" s="63" t="s">
        <v>7831</v>
      </c>
      <c r="F250" s="63" t="s">
        <v>54</v>
      </c>
      <c r="G250" s="63" t="s">
        <v>7832</v>
      </c>
      <c r="H250" s="93" t="s">
        <v>7833</v>
      </c>
      <c r="I250" s="101" t="s">
        <v>7834</v>
      </c>
      <c r="J250" s="51" t="s">
        <v>7835</v>
      </c>
      <c r="K250" s="47" t="s">
        <v>7836</v>
      </c>
      <c r="L250" s="47" t="s">
        <v>7837</v>
      </c>
      <c r="M250" s="47" t="s">
        <v>7838</v>
      </c>
      <c r="N250" s="47"/>
      <c r="O250" s="310"/>
    </row>
    <row r="251" spans="1:15" ht="14.4">
      <c r="A251" s="26">
        <v>5</v>
      </c>
      <c r="B251" s="47"/>
      <c r="C251" s="63" t="s">
        <v>7839</v>
      </c>
      <c r="D251" s="63" t="s">
        <v>7840</v>
      </c>
      <c r="E251" s="63" t="s">
        <v>7841</v>
      </c>
      <c r="F251" s="63" t="s">
        <v>65</v>
      </c>
      <c r="G251" s="63" t="s">
        <v>7842</v>
      </c>
      <c r="H251" s="93" t="s">
        <v>7843</v>
      </c>
      <c r="I251" s="101" t="s">
        <v>7844</v>
      </c>
      <c r="J251" s="51" t="s">
        <v>7845</v>
      </c>
      <c r="K251" s="47" t="s">
        <v>7846</v>
      </c>
      <c r="L251" s="47" t="s">
        <v>7847</v>
      </c>
      <c r="M251" s="47" t="s">
        <v>7848</v>
      </c>
      <c r="N251" s="47"/>
      <c r="O251" s="310"/>
    </row>
    <row r="252" spans="1:15" ht="14.4">
      <c r="A252" s="26">
        <v>6</v>
      </c>
      <c r="B252" s="47"/>
      <c r="C252" s="63" t="s">
        <v>7849</v>
      </c>
      <c r="D252" s="63" t="s">
        <v>7850</v>
      </c>
      <c r="E252" s="63" t="s">
        <v>7851</v>
      </c>
      <c r="F252" s="104" t="s">
        <v>501</v>
      </c>
      <c r="G252" s="63" t="s">
        <v>7852</v>
      </c>
      <c r="H252" s="93" t="s">
        <v>7853</v>
      </c>
      <c r="I252" s="101" t="s">
        <v>7854</v>
      </c>
      <c r="J252" s="51" t="s">
        <v>7855</v>
      </c>
      <c r="K252" s="47" t="s">
        <v>7856</v>
      </c>
      <c r="L252" s="47" t="s">
        <v>7857</v>
      </c>
      <c r="M252" s="47" t="s">
        <v>7858</v>
      </c>
      <c r="N252" s="47"/>
      <c r="O252" s="310"/>
    </row>
    <row r="253" spans="1:15" ht="14.4">
      <c r="A253" s="26">
        <v>7</v>
      </c>
      <c r="B253" s="47"/>
      <c r="C253" s="63" t="s">
        <v>7859</v>
      </c>
      <c r="D253" s="63" t="s">
        <v>7860</v>
      </c>
      <c r="E253" s="63" t="s">
        <v>7861</v>
      </c>
      <c r="F253" s="63" t="s">
        <v>65</v>
      </c>
      <c r="G253" s="63" t="s">
        <v>7862</v>
      </c>
      <c r="H253" s="93" t="s">
        <v>7863</v>
      </c>
      <c r="I253" s="101" t="s">
        <v>7864</v>
      </c>
      <c r="J253" s="51" t="s">
        <v>7865</v>
      </c>
      <c r="K253" s="47" t="s">
        <v>7866</v>
      </c>
      <c r="L253" s="47" t="s">
        <v>7867</v>
      </c>
      <c r="M253" s="47" t="s">
        <v>7868</v>
      </c>
      <c r="N253" s="47"/>
      <c r="O253" s="310"/>
    </row>
    <row r="254" spans="1:15" ht="14.4">
      <c r="A254" s="26">
        <v>8</v>
      </c>
      <c r="B254" s="47"/>
      <c r="C254" s="63" t="s">
        <v>7869</v>
      </c>
      <c r="D254" s="63" t="s">
        <v>7870</v>
      </c>
      <c r="E254" s="63" t="s">
        <v>7871</v>
      </c>
      <c r="F254" s="63" t="s">
        <v>563</v>
      </c>
      <c r="G254" s="63" t="s">
        <v>7872</v>
      </c>
      <c r="H254" s="93" t="s">
        <v>7873</v>
      </c>
      <c r="I254" s="101" t="s">
        <v>7874</v>
      </c>
      <c r="J254" s="51" t="s">
        <v>7875</v>
      </c>
      <c r="K254" s="47" t="s">
        <v>7876</v>
      </c>
      <c r="L254" s="47" t="s">
        <v>7877</v>
      </c>
      <c r="M254" s="47" t="s">
        <v>7878</v>
      </c>
      <c r="N254" s="47"/>
      <c r="O254" s="310"/>
    </row>
    <row r="255" spans="1:15" ht="14.4">
      <c r="A255" s="26">
        <v>9</v>
      </c>
      <c r="B255" s="47"/>
      <c r="C255" s="63" t="s">
        <v>7879</v>
      </c>
      <c r="D255" s="63" t="s">
        <v>7880</v>
      </c>
      <c r="E255" s="63" t="s">
        <v>7881</v>
      </c>
      <c r="F255" s="63" t="s">
        <v>117</v>
      </c>
      <c r="G255" s="63" t="s">
        <v>7882</v>
      </c>
      <c r="H255" s="93" t="s">
        <v>7883</v>
      </c>
      <c r="I255" s="51" t="s">
        <v>7884</v>
      </c>
      <c r="J255" s="51" t="s">
        <v>7885</v>
      </c>
      <c r="K255" s="47" t="s">
        <v>7886</v>
      </c>
      <c r="L255" s="47" t="s">
        <v>7887</v>
      </c>
      <c r="M255" s="47" t="s">
        <v>7888</v>
      </c>
      <c r="N255" s="47"/>
      <c r="O255" s="310"/>
    </row>
    <row r="256" spans="1:15" ht="14.4">
      <c r="A256" s="26">
        <v>10</v>
      </c>
      <c r="B256" s="47"/>
      <c r="C256" s="63" t="s">
        <v>7889</v>
      </c>
      <c r="D256" s="63" t="s">
        <v>7890</v>
      </c>
      <c r="E256" s="63" t="s">
        <v>7891</v>
      </c>
      <c r="F256" s="63" t="s">
        <v>65</v>
      </c>
      <c r="G256" s="63" t="s">
        <v>7892</v>
      </c>
      <c r="H256" s="93" t="s">
        <v>7893</v>
      </c>
      <c r="I256" s="51" t="s">
        <v>7894</v>
      </c>
      <c r="J256" s="51" t="s">
        <v>7895</v>
      </c>
      <c r="K256" s="47" t="s">
        <v>7896</v>
      </c>
      <c r="L256" s="47" t="s">
        <v>7897</v>
      </c>
      <c r="M256" s="47" t="s">
        <v>7898</v>
      </c>
      <c r="N256" s="47"/>
      <c r="O256" s="310"/>
    </row>
    <row r="257" spans="1:15" ht="14.4">
      <c r="A257" s="26">
        <v>11</v>
      </c>
      <c r="B257" s="47"/>
      <c r="C257" s="63" t="s">
        <v>7899</v>
      </c>
      <c r="D257" s="63" t="s">
        <v>7900</v>
      </c>
      <c r="E257" s="63" t="s">
        <v>2043</v>
      </c>
      <c r="F257" s="63" t="s">
        <v>54</v>
      </c>
      <c r="G257" s="63" t="s">
        <v>7901</v>
      </c>
      <c r="H257" s="93" t="s">
        <v>7902</v>
      </c>
      <c r="I257" s="51" t="s">
        <v>7903</v>
      </c>
      <c r="J257" s="51" t="s">
        <v>7904</v>
      </c>
      <c r="K257" s="47" t="s">
        <v>7905</v>
      </c>
      <c r="L257" s="47" t="s">
        <v>7906</v>
      </c>
      <c r="M257" s="47" t="s">
        <v>7907</v>
      </c>
      <c r="N257" s="47"/>
      <c r="O257" s="310"/>
    </row>
    <row r="258" spans="1:15" ht="14.4">
      <c r="A258" s="26">
        <v>12</v>
      </c>
      <c r="B258" s="47"/>
      <c r="C258" s="63" t="s">
        <v>7908</v>
      </c>
      <c r="D258" s="63" t="s">
        <v>7909</v>
      </c>
      <c r="E258" s="63" t="s">
        <v>7910</v>
      </c>
      <c r="F258" s="63" t="s">
        <v>65</v>
      </c>
      <c r="G258" s="63" t="s">
        <v>7911</v>
      </c>
      <c r="H258" s="93" t="s">
        <v>7912</v>
      </c>
      <c r="I258" s="51" t="s">
        <v>7913</v>
      </c>
      <c r="J258" s="51" t="s">
        <v>7914</v>
      </c>
      <c r="K258" s="47" t="s">
        <v>7915</v>
      </c>
      <c r="L258" s="47" t="s">
        <v>7916</v>
      </c>
      <c r="M258" s="47" t="s">
        <v>7917</v>
      </c>
      <c r="N258" s="47"/>
      <c r="O258" s="310"/>
    </row>
    <row r="259" spans="1:15" ht="14.4">
      <c r="A259" s="26">
        <v>13</v>
      </c>
      <c r="B259" s="47"/>
      <c r="C259" s="63" t="s">
        <v>7918</v>
      </c>
      <c r="D259" s="63" t="s">
        <v>7919</v>
      </c>
      <c r="E259" s="63" t="s">
        <v>7920</v>
      </c>
      <c r="F259" s="63" t="s">
        <v>117</v>
      </c>
      <c r="G259" s="63" t="s">
        <v>7921</v>
      </c>
      <c r="H259" s="93" t="s">
        <v>7922</v>
      </c>
      <c r="I259" s="51" t="s">
        <v>7923</v>
      </c>
      <c r="J259" s="51" t="s">
        <v>7924</v>
      </c>
      <c r="K259" s="47" t="s">
        <v>7925</v>
      </c>
      <c r="L259" s="47" t="s">
        <v>7926</v>
      </c>
      <c r="M259" s="47" t="s">
        <v>7927</v>
      </c>
      <c r="N259" s="47"/>
      <c r="O259" s="310"/>
    </row>
    <row r="260" spans="1:15" ht="14.4">
      <c r="A260" s="26">
        <v>14</v>
      </c>
      <c r="B260" s="47"/>
      <c r="C260" s="63" t="s">
        <v>7928</v>
      </c>
      <c r="D260" s="63" t="s">
        <v>7929</v>
      </c>
      <c r="E260" s="63" t="s">
        <v>7930</v>
      </c>
      <c r="F260" s="63" t="s">
        <v>117</v>
      </c>
      <c r="G260" s="63" t="s">
        <v>7931</v>
      </c>
      <c r="H260" s="93" t="s">
        <v>7932</v>
      </c>
      <c r="I260" s="51" t="s">
        <v>7933</v>
      </c>
      <c r="J260" s="51" t="s">
        <v>7934</v>
      </c>
      <c r="K260" s="47" t="s">
        <v>7935</v>
      </c>
      <c r="L260" s="47" t="s">
        <v>7936</v>
      </c>
      <c r="M260" s="47" t="s">
        <v>7937</v>
      </c>
      <c r="N260" s="47"/>
      <c r="O260" s="310"/>
    </row>
    <row r="261" spans="1:15" ht="14.4">
      <c r="A261" s="26">
        <v>15</v>
      </c>
      <c r="B261" s="47"/>
      <c r="C261" s="63" t="s">
        <v>7938</v>
      </c>
      <c r="D261" s="63" t="s">
        <v>7939</v>
      </c>
      <c r="E261" s="63" t="s">
        <v>7940</v>
      </c>
      <c r="F261" s="63" t="s">
        <v>65</v>
      </c>
      <c r="G261" s="63" t="s">
        <v>7941</v>
      </c>
      <c r="H261" s="93" t="s">
        <v>7942</v>
      </c>
      <c r="I261" s="51" t="s">
        <v>7943</v>
      </c>
      <c r="J261" s="51" t="s">
        <v>7944</v>
      </c>
      <c r="K261" s="47" t="s">
        <v>7945</v>
      </c>
      <c r="L261" s="47" t="s">
        <v>7946</v>
      </c>
      <c r="M261" s="47" t="s">
        <v>7947</v>
      </c>
      <c r="N261" s="47"/>
      <c r="O261" s="310"/>
    </row>
    <row r="262" spans="1:15" ht="14.4">
      <c r="A262" s="26">
        <v>16</v>
      </c>
      <c r="B262" s="47"/>
      <c r="C262" s="63" t="s">
        <v>7948</v>
      </c>
      <c r="D262" s="63" t="s">
        <v>7949</v>
      </c>
      <c r="E262" s="63" t="s">
        <v>7950</v>
      </c>
      <c r="F262" s="63" t="s">
        <v>219</v>
      </c>
      <c r="G262" s="63" t="s">
        <v>7951</v>
      </c>
      <c r="H262" s="93" t="s">
        <v>7952</v>
      </c>
      <c r="I262" s="51" t="s">
        <v>7953</v>
      </c>
      <c r="J262" s="51" t="s">
        <v>7954</v>
      </c>
      <c r="K262" s="47" t="s">
        <v>7955</v>
      </c>
      <c r="L262" s="47" t="s">
        <v>7956</v>
      </c>
      <c r="M262" s="47" t="s">
        <v>7957</v>
      </c>
      <c r="N262" s="47"/>
      <c r="O262" s="310"/>
    </row>
    <row r="263" spans="1:15" ht="14.4">
      <c r="A263" s="26">
        <v>17</v>
      </c>
      <c r="B263" s="47"/>
      <c r="C263" s="63" t="s">
        <v>7958</v>
      </c>
      <c r="D263" s="63" t="s">
        <v>7959</v>
      </c>
      <c r="E263" s="63" t="s">
        <v>7960</v>
      </c>
      <c r="F263" s="63" t="s">
        <v>117</v>
      </c>
      <c r="G263" s="63" t="s">
        <v>7961</v>
      </c>
      <c r="H263" s="93" t="s">
        <v>7962</v>
      </c>
      <c r="I263" s="51" t="s">
        <v>7963</v>
      </c>
      <c r="J263" s="51" t="s">
        <v>7964</v>
      </c>
      <c r="K263" s="47" t="s">
        <v>7965</v>
      </c>
      <c r="L263" s="47" t="s">
        <v>7966</v>
      </c>
      <c r="M263" s="47" t="s">
        <v>7967</v>
      </c>
      <c r="N263" s="47"/>
      <c r="O263" s="310"/>
    </row>
    <row r="264" spans="1:15" ht="14.4">
      <c r="A264" s="26">
        <v>18</v>
      </c>
      <c r="B264" s="47"/>
      <c r="C264" s="63" t="s">
        <v>7968</v>
      </c>
      <c r="D264" s="63" t="s">
        <v>7969</v>
      </c>
      <c r="E264" s="63" t="s">
        <v>7970</v>
      </c>
      <c r="F264" s="63" t="s">
        <v>65</v>
      </c>
      <c r="G264" s="63" t="s">
        <v>7971</v>
      </c>
      <c r="H264" s="93" t="s">
        <v>7972</v>
      </c>
      <c r="I264" s="51" t="s">
        <v>7973</v>
      </c>
      <c r="J264" s="51" t="s">
        <v>7974</v>
      </c>
      <c r="K264" s="47" t="s">
        <v>7975</v>
      </c>
      <c r="L264" s="47" t="s">
        <v>7976</v>
      </c>
      <c r="M264" s="47" t="s">
        <v>7977</v>
      </c>
      <c r="N264" s="47"/>
      <c r="O264" s="310"/>
    </row>
    <row r="265" spans="1:15" ht="14.4">
      <c r="A265" s="26">
        <v>19</v>
      </c>
      <c r="B265" s="47"/>
      <c r="C265" s="63" t="s">
        <v>7978</v>
      </c>
      <c r="D265" s="63" t="s">
        <v>7979</v>
      </c>
      <c r="E265" s="63" t="s">
        <v>7980</v>
      </c>
      <c r="F265" s="63" t="s">
        <v>563</v>
      </c>
      <c r="G265" s="63" t="s">
        <v>7981</v>
      </c>
      <c r="H265" s="93" t="s">
        <v>7982</v>
      </c>
      <c r="I265" s="51" t="s">
        <v>7983</v>
      </c>
      <c r="J265" s="51" t="s">
        <v>7984</v>
      </c>
      <c r="K265" s="47" t="s">
        <v>7985</v>
      </c>
      <c r="L265" s="47" t="s">
        <v>7986</v>
      </c>
      <c r="M265" s="47" t="s">
        <v>7987</v>
      </c>
      <c r="N265" s="47"/>
      <c r="O265" s="310"/>
    </row>
    <row r="266" spans="1:15" ht="14.4">
      <c r="A266" s="26">
        <v>20</v>
      </c>
      <c r="B266" s="47"/>
      <c r="C266" s="63" t="s">
        <v>7988</v>
      </c>
      <c r="D266" s="63" t="s">
        <v>7989</v>
      </c>
      <c r="E266" s="63" t="s">
        <v>7990</v>
      </c>
      <c r="F266" s="63" t="s">
        <v>117</v>
      </c>
      <c r="G266" s="63" t="s">
        <v>7991</v>
      </c>
      <c r="H266" s="93" t="s">
        <v>7992</v>
      </c>
      <c r="I266" s="51" t="s">
        <v>7993</v>
      </c>
      <c r="J266" s="51" t="s">
        <v>7994</v>
      </c>
      <c r="K266" s="47" t="s">
        <v>7995</v>
      </c>
      <c r="L266" s="47" t="s">
        <v>7996</v>
      </c>
      <c r="M266" s="47" t="s">
        <v>7997</v>
      </c>
      <c r="N266" s="47"/>
      <c r="O266" s="310"/>
    </row>
    <row r="267" spans="1:15" ht="14.4">
      <c r="A267" s="26">
        <v>21</v>
      </c>
      <c r="B267" s="47"/>
      <c r="C267" s="63" t="s">
        <v>7998</v>
      </c>
      <c r="D267" s="63" t="s">
        <v>7999</v>
      </c>
      <c r="E267" s="63" t="s">
        <v>8000</v>
      </c>
      <c r="F267" s="63" t="s">
        <v>5559</v>
      </c>
      <c r="G267" s="63" t="s">
        <v>8001</v>
      </c>
      <c r="H267" s="93" t="s">
        <v>8002</v>
      </c>
      <c r="I267" s="51" t="s">
        <v>8003</v>
      </c>
      <c r="J267" s="51" t="s">
        <v>8004</v>
      </c>
      <c r="K267" s="47" t="s">
        <v>8005</v>
      </c>
      <c r="L267" s="47" t="s">
        <v>8006</v>
      </c>
      <c r="M267" s="47" t="s">
        <v>8007</v>
      </c>
      <c r="N267" s="47"/>
      <c r="O267" s="310"/>
    </row>
    <row r="268" spans="1:15" ht="14.4">
      <c r="A268" s="26">
        <v>22</v>
      </c>
      <c r="B268" s="47"/>
      <c r="C268" s="63" t="s">
        <v>8008</v>
      </c>
      <c r="D268" s="63" t="s">
        <v>8009</v>
      </c>
      <c r="E268" s="63" t="s">
        <v>8010</v>
      </c>
      <c r="F268" s="63" t="s">
        <v>117</v>
      </c>
      <c r="G268" s="63" t="s">
        <v>8011</v>
      </c>
      <c r="H268" s="93" t="s">
        <v>8012</v>
      </c>
      <c r="I268" s="51" t="s">
        <v>8013</v>
      </c>
      <c r="J268" s="51" t="s">
        <v>8014</v>
      </c>
      <c r="K268" s="47" t="s">
        <v>8015</v>
      </c>
      <c r="L268" s="47" t="s">
        <v>8016</v>
      </c>
      <c r="M268" s="47" t="s">
        <v>8017</v>
      </c>
      <c r="N268" s="47"/>
      <c r="O268" s="310"/>
    </row>
    <row r="269" spans="1:15" ht="14.4">
      <c r="A269" s="26">
        <v>23</v>
      </c>
      <c r="B269" s="47"/>
      <c r="C269" s="63" t="s">
        <v>8018</v>
      </c>
      <c r="D269" s="63" t="s">
        <v>8019</v>
      </c>
      <c r="E269" s="63" t="s">
        <v>8020</v>
      </c>
      <c r="F269" s="63" t="s">
        <v>563</v>
      </c>
      <c r="G269" s="63" t="s">
        <v>8021</v>
      </c>
      <c r="H269" s="93" t="s">
        <v>8022</v>
      </c>
      <c r="I269" s="51" t="s">
        <v>8023</v>
      </c>
      <c r="J269" s="51" t="s">
        <v>8024</v>
      </c>
      <c r="K269" s="47" t="s">
        <v>8025</v>
      </c>
      <c r="L269" s="47" t="s">
        <v>8026</v>
      </c>
      <c r="M269" s="47" t="s">
        <v>8027</v>
      </c>
      <c r="N269" s="47"/>
      <c r="O269" s="310"/>
    </row>
    <row r="270" spans="1:15" ht="14.4">
      <c r="A270" s="26">
        <v>24</v>
      </c>
      <c r="B270" s="47"/>
      <c r="C270" s="63" t="s">
        <v>8028</v>
      </c>
      <c r="D270" s="63" t="s">
        <v>8029</v>
      </c>
      <c r="E270" s="63" t="s">
        <v>8030</v>
      </c>
      <c r="F270" s="63" t="s">
        <v>65</v>
      </c>
      <c r="G270" s="63" t="s">
        <v>8031</v>
      </c>
      <c r="H270" s="93" t="s">
        <v>8032</v>
      </c>
      <c r="I270" s="51" t="s">
        <v>8033</v>
      </c>
      <c r="J270" s="51" t="s">
        <v>8034</v>
      </c>
      <c r="K270" s="47" t="s">
        <v>8035</v>
      </c>
      <c r="L270" s="47" t="s">
        <v>8036</v>
      </c>
      <c r="M270" s="47" t="s">
        <v>8037</v>
      </c>
      <c r="N270" s="47"/>
      <c r="O270" s="310"/>
    </row>
    <row r="271" spans="1:15" ht="14.4">
      <c r="A271" s="26">
        <v>25</v>
      </c>
      <c r="B271" s="47"/>
      <c r="C271" s="63" t="s">
        <v>8038</v>
      </c>
      <c r="D271" s="63" t="s">
        <v>8039</v>
      </c>
      <c r="E271" s="63" t="s">
        <v>8040</v>
      </c>
      <c r="F271" s="63" t="s">
        <v>65</v>
      </c>
      <c r="G271" s="63" t="s">
        <v>8041</v>
      </c>
      <c r="H271" s="93" t="s">
        <v>8042</v>
      </c>
      <c r="I271" s="51" t="s">
        <v>8043</v>
      </c>
      <c r="J271" s="51" t="s">
        <v>8044</v>
      </c>
      <c r="K271" s="47" t="s">
        <v>8045</v>
      </c>
      <c r="L271" s="47" t="s">
        <v>8046</v>
      </c>
      <c r="M271" s="47" t="s">
        <v>8047</v>
      </c>
      <c r="N271" s="47"/>
      <c r="O271" s="310"/>
    </row>
    <row r="272" spans="1:15" ht="14.4">
      <c r="A272" s="26">
        <v>26</v>
      </c>
      <c r="B272" s="47"/>
      <c r="C272" s="63" t="s">
        <v>8048</v>
      </c>
      <c r="D272" s="63" t="s">
        <v>8049</v>
      </c>
      <c r="E272" s="63" t="s">
        <v>8050</v>
      </c>
      <c r="F272" s="63" t="s">
        <v>65</v>
      </c>
      <c r="G272" s="63" t="s">
        <v>2863</v>
      </c>
      <c r="H272" s="93" t="s">
        <v>8051</v>
      </c>
      <c r="I272" s="51" t="s">
        <v>8052</v>
      </c>
      <c r="J272" s="51" t="s">
        <v>8053</v>
      </c>
      <c r="K272" s="47" t="s">
        <v>8054</v>
      </c>
      <c r="L272" s="47" t="s">
        <v>8055</v>
      </c>
      <c r="M272" s="47" t="s">
        <v>8056</v>
      </c>
      <c r="N272" s="47"/>
      <c r="O272" s="310"/>
    </row>
    <row r="273" spans="1:15" ht="14.4">
      <c r="A273" s="26">
        <v>27</v>
      </c>
      <c r="B273" s="47"/>
      <c r="C273" s="63" t="s">
        <v>8057</v>
      </c>
      <c r="D273" s="63" t="s">
        <v>8058</v>
      </c>
      <c r="E273" s="63" t="s">
        <v>8059</v>
      </c>
      <c r="F273" s="63" t="s">
        <v>54</v>
      </c>
      <c r="G273" s="63" t="s">
        <v>8060</v>
      </c>
      <c r="H273" s="93" t="s">
        <v>8061</v>
      </c>
      <c r="I273" s="51" t="s">
        <v>8062</v>
      </c>
      <c r="J273" s="51" t="s">
        <v>8063</v>
      </c>
      <c r="K273" s="47" t="s">
        <v>8064</v>
      </c>
      <c r="L273" s="47" t="s">
        <v>8065</v>
      </c>
      <c r="M273" s="47" t="s">
        <v>8066</v>
      </c>
      <c r="N273" s="47"/>
      <c r="O273" s="310"/>
    </row>
    <row r="274" spans="1:15" ht="14.4">
      <c r="A274" s="26">
        <v>28</v>
      </c>
      <c r="B274" s="47"/>
      <c r="C274" s="63" t="s">
        <v>8067</v>
      </c>
      <c r="D274" s="63" t="s">
        <v>8068</v>
      </c>
      <c r="E274" s="63" t="s">
        <v>8069</v>
      </c>
      <c r="F274" s="63" t="s">
        <v>6828</v>
      </c>
      <c r="G274" s="63" t="s">
        <v>8070</v>
      </c>
      <c r="H274" s="93" t="s">
        <v>8071</v>
      </c>
      <c r="I274" s="51" t="s">
        <v>8072</v>
      </c>
      <c r="J274" s="51" t="s">
        <v>8073</v>
      </c>
      <c r="K274" s="47" t="s">
        <v>8074</v>
      </c>
      <c r="L274" s="47" t="s">
        <v>8075</v>
      </c>
      <c r="M274" s="47" t="s">
        <v>8076</v>
      </c>
      <c r="N274" s="47"/>
      <c r="O274" s="311"/>
    </row>
    <row r="275" spans="1:15" ht="14.4">
      <c r="A275" s="19">
        <v>1</v>
      </c>
      <c r="B275" s="88"/>
      <c r="C275" s="90" t="s">
        <v>8077</v>
      </c>
      <c r="D275" s="90" t="s">
        <v>8078</v>
      </c>
      <c r="E275" s="90" t="s">
        <v>8079</v>
      </c>
      <c r="F275" s="90" t="s">
        <v>65</v>
      </c>
      <c r="G275" s="90" t="s">
        <v>8080</v>
      </c>
      <c r="H275" s="91" t="s">
        <v>8081</v>
      </c>
      <c r="I275" s="92" t="s">
        <v>8082</v>
      </c>
      <c r="J275" s="92" t="s">
        <v>8083</v>
      </c>
      <c r="K275" s="88" t="s">
        <v>8084</v>
      </c>
      <c r="L275" s="88" t="s">
        <v>8085</v>
      </c>
      <c r="M275" s="88" t="s">
        <v>8086</v>
      </c>
      <c r="N275" s="88">
        <v>11</v>
      </c>
      <c r="O275" s="24" t="s">
        <v>38</v>
      </c>
    </row>
    <row r="276" spans="1:15" ht="14.4">
      <c r="A276" s="26">
        <v>2</v>
      </c>
      <c r="B276" s="47"/>
      <c r="C276" s="63" t="s">
        <v>8087</v>
      </c>
      <c r="D276" s="63" t="s">
        <v>8088</v>
      </c>
      <c r="E276" s="63" t="s">
        <v>8089</v>
      </c>
      <c r="F276" s="63" t="s">
        <v>65</v>
      </c>
      <c r="G276" s="63" t="s">
        <v>8090</v>
      </c>
      <c r="H276" s="93" t="s">
        <v>8091</v>
      </c>
      <c r="I276" s="51" t="s">
        <v>8092</v>
      </c>
      <c r="J276" s="51" t="s">
        <v>8093</v>
      </c>
      <c r="K276" s="47" t="s">
        <v>8094</v>
      </c>
      <c r="L276" s="47" t="s">
        <v>8095</v>
      </c>
      <c r="M276" s="47" t="s">
        <v>8096</v>
      </c>
      <c r="N276" s="47"/>
      <c r="O276" s="315" t="s">
        <v>8097</v>
      </c>
    </row>
    <row r="277" spans="1:15" ht="14.4">
      <c r="A277" s="26">
        <v>3</v>
      </c>
      <c r="B277" s="47"/>
      <c r="C277" s="63" t="s">
        <v>8098</v>
      </c>
      <c r="D277" s="63" t="s">
        <v>8099</v>
      </c>
      <c r="E277" s="63" t="s">
        <v>8100</v>
      </c>
      <c r="F277" s="63" t="s">
        <v>117</v>
      </c>
      <c r="G277" s="63" t="s">
        <v>8101</v>
      </c>
      <c r="H277" s="93" t="s">
        <v>8102</v>
      </c>
      <c r="I277" s="51" t="s">
        <v>8103</v>
      </c>
      <c r="J277" s="51" t="s">
        <v>8104</v>
      </c>
      <c r="K277" s="47" t="s">
        <v>8105</v>
      </c>
      <c r="L277" s="47" t="s">
        <v>8106</v>
      </c>
      <c r="M277" s="47" t="s">
        <v>8107</v>
      </c>
      <c r="N277" s="47"/>
      <c r="O277" s="310"/>
    </row>
    <row r="278" spans="1:15" ht="14.4">
      <c r="A278" s="26">
        <v>4</v>
      </c>
      <c r="B278" s="47"/>
      <c r="C278" s="63" t="s">
        <v>8108</v>
      </c>
      <c r="D278" s="63" t="s">
        <v>8109</v>
      </c>
      <c r="E278" s="63" t="s">
        <v>8110</v>
      </c>
      <c r="F278" s="63" t="s">
        <v>65</v>
      </c>
      <c r="G278" s="63" t="s">
        <v>8111</v>
      </c>
      <c r="H278" s="93" t="s">
        <v>8112</v>
      </c>
      <c r="I278" s="51" t="s">
        <v>8113</v>
      </c>
      <c r="J278" s="51" t="s">
        <v>8114</v>
      </c>
      <c r="K278" s="47" t="s">
        <v>8115</v>
      </c>
      <c r="L278" s="47" t="s">
        <v>8116</v>
      </c>
      <c r="M278" s="47" t="s">
        <v>8117</v>
      </c>
      <c r="N278" s="47"/>
      <c r="O278" s="310"/>
    </row>
    <row r="279" spans="1:15" ht="14.4">
      <c r="A279" s="26">
        <v>5</v>
      </c>
      <c r="B279" s="47"/>
      <c r="C279" s="63" t="s">
        <v>8118</v>
      </c>
      <c r="D279" s="63" t="s">
        <v>8119</v>
      </c>
      <c r="E279" s="63" t="s">
        <v>8120</v>
      </c>
      <c r="F279" s="63" t="s">
        <v>65</v>
      </c>
      <c r="G279" s="63" t="s">
        <v>8121</v>
      </c>
      <c r="H279" s="93" t="s">
        <v>8122</v>
      </c>
      <c r="I279" s="51" t="s">
        <v>8123</v>
      </c>
      <c r="J279" s="51" t="s">
        <v>8124</v>
      </c>
      <c r="K279" s="47" t="s">
        <v>8125</v>
      </c>
      <c r="L279" s="47" t="s">
        <v>8126</v>
      </c>
      <c r="M279" s="47" t="s">
        <v>8127</v>
      </c>
      <c r="N279" s="47"/>
      <c r="O279" s="310"/>
    </row>
    <row r="280" spans="1:15" ht="14.4">
      <c r="A280" s="26">
        <v>6</v>
      </c>
      <c r="B280" s="47"/>
      <c r="C280" s="63" t="s">
        <v>8128</v>
      </c>
      <c r="D280" s="63" t="s">
        <v>8129</v>
      </c>
      <c r="E280" s="63" t="s">
        <v>229</v>
      </c>
      <c r="F280" s="63" t="s">
        <v>65</v>
      </c>
      <c r="G280" s="63" t="s">
        <v>8130</v>
      </c>
      <c r="H280" s="93" t="s">
        <v>8131</v>
      </c>
      <c r="I280" s="51" t="s">
        <v>8132</v>
      </c>
      <c r="J280" s="51" t="s">
        <v>8133</v>
      </c>
      <c r="K280" s="47" t="s">
        <v>8134</v>
      </c>
      <c r="L280" s="47" t="s">
        <v>8135</v>
      </c>
      <c r="M280" s="47" t="s">
        <v>8136</v>
      </c>
      <c r="N280" s="47"/>
      <c r="O280" s="310"/>
    </row>
    <row r="281" spans="1:15" ht="14.4">
      <c r="A281" s="26">
        <v>7</v>
      </c>
      <c r="B281" s="47"/>
      <c r="C281" s="63" t="s">
        <v>8137</v>
      </c>
      <c r="D281" s="63" t="s">
        <v>8138</v>
      </c>
      <c r="E281" s="63" t="s">
        <v>8139</v>
      </c>
      <c r="F281" s="63" t="s">
        <v>117</v>
      </c>
      <c r="G281" s="63" t="s">
        <v>8140</v>
      </c>
      <c r="H281" s="93" t="s">
        <v>8141</v>
      </c>
      <c r="I281" s="51" t="s">
        <v>8142</v>
      </c>
      <c r="J281" s="51" t="s">
        <v>8143</v>
      </c>
      <c r="K281" s="47" t="s">
        <v>8144</v>
      </c>
      <c r="L281" s="47" t="s">
        <v>8145</v>
      </c>
      <c r="M281" s="47" t="s">
        <v>8146</v>
      </c>
      <c r="N281" s="47"/>
      <c r="O281" s="310"/>
    </row>
    <row r="282" spans="1:15" ht="14.4">
      <c r="A282" s="26">
        <v>8</v>
      </c>
      <c r="B282" s="47"/>
      <c r="C282" s="63" t="s">
        <v>8147</v>
      </c>
      <c r="D282" s="63" t="s">
        <v>8148</v>
      </c>
      <c r="E282" s="63" t="s">
        <v>8149</v>
      </c>
      <c r="F282" s="63" t="s">
        <v>65</v>
      </c>
      <c r="G282" s="63" t="s">
        <v>8150</v>
      </c>
      <c r="H282" s="93" t="s">
        <v>8151</v>
      </c>
      <c r="I282" s="51" t="s">
        <v>8152</v>
      </c>
      <c r="J282" s="51" t="s">
        <v>8153</v>
      </c>
      <c r="K282" s="47" t="s">
        <v>8154</v>
      </c>
      <c r="L282" s="47" t="s">
        <v>8155</v>
      </c>
      <c r="M282" s="47" t="s">
        <v>8156</v>
      </c>
      <c r="N282" s="47"/>
      <c r="O282" s="310"/>
    </row>
    <row r="283" spans="1:15" ht="14.4">
      <c r="A283" s="26">
        <v>9</v>
      </c>
      <c r="B283" s="47"/>
      <c r="C283" s="63" t="s">
        <v>8157</v>
      </c>
      <c r="D283" s="63" t="s">
        <v>8158</v>
      </c>
      <c r="E283" s="63" t="s">
        <v>8159</v>
      </c>
      <c r="F283" s="63" t="s">
        <v>664</v>
      </c>
      <c r="G283" s="63" t="s">
        <v>8160</v>
      </c>
      <c r="H283" s="93" t="s">
        <v>8161</v>
      </c>
      <c r="I283" s="51" t="s">
        <v>8162</v>
      </c>
      <c r="J283" s="51" t="s">
        <v>8163</v>
      </c>
      <c r="K283" s="47" t="s">
        <v>8164</v>
      </c>
      <c r="L283" s="47" t="s">
        <v>8165</v>
      </c>
      <c r="M283" s="47" t="s">
        <v>8166</v>
      </c>
      <c r="N283" s="47"/>
      <c r="O283" s="310"/>
    </row>
    <row r="284" spans="1:15" ht="14.4">
      <c r="A284" s="26">
        <v>10</v>
      </c>
      <c r="B284" s="47"/>
      <c r="C284" s="63" t="s">
        <v>8167</v>
      </c>
      <c r="D284" s="63" t="s">
        <v>8168</v>
      </c>
      <c r="E284" s="63" t="s">
        <v>8169</v>
      </c>
      <c r="F284" s="63" t="s">
        <v>65</v>
      </c>
      <c r="G284" s="63" t="s">
        <v>8170</v>
      </c>
      <c r="H284" s="93" t="s">
        <v>8171</v>
      </c>
      <c r="I284" s="51" t="s">
        <v>8172</v>
      </c>
      <c r="J284" s="51" t="s">
        <v>8173</v>
      </c>
      <c r="K284" s="47" t="s">
        <v>8174</v>
      </c>
      <c r="L284" s="47" t="s">
        <v>8175</v>
      </c>
      <c r="M284" s="47" t="s">
        <v>8176</v>
      </c>
      <c r="N284" s="47"/>
      <c r="O284" s="310"/>
    </row>
    <row r="285" spans="1:15" ht="14.4">
      <c r="A285" s="26">
        <v>11</v>
      </c>
      <c r="B285" s="47"/>
      <c r="C285" s="63" t="s">
        <v>8177</v>
      </c>
      <c r="D285" s="63" t="s">
        <v>8178</v>
      </c>
      <c r="E285" s="63" t="s">
        <v>8179</v>
      </c>
      <c r="F285" s="63" t="s">
        <v>117</v>
      </c>
      <c r="G285" s="63" t="s">
        <v>8180</v>
      </c>
      <c r="H285" s="93" t="s">
        <v>8181</v>
      </c>
      <c r="I285" s="51" t="s">
        <v>8182</v>
      </c>
      <c r="J285" s="51" t="s">
        <v>8183</v>
      </c>
      <c r="K285" s="47" t="s">
        <v>8184</v>
      </c>
      <c r="L285" s="47" t="s">
        <v>8185</v>
      </c>
      <c r="M285" s="47" t="s">
        <v>8186</v>
      </c>
      <c r="N285" s="47"/>
      <c r="O285" s="310"/>
    </row>
    <row r="286" spans="1:15" ht="14.4">
      <c r="A286" s="26">
        <v>12</v>
      </c>
      <c r="B286" s="47"/>
      <c r="C286" s="63" t="s">
        <v>8187</v>
      </c>
      <c r="D286" s="63" t="s">
        <v>8188</v>
      </c>
      <c r="E286" s="63" t="s">
        <v>8189</v>
      </c>
      <c r="F286" s="63" t="s">
        <v>65</v>
      </c>
      <c r="G286" s="63" t="s">
        <v>8190</v>
      </c>
      <c r="H286" s="93" t="s">
        <v>8191</v>
      </c>
      <c r="I286" s="51" t="s">
        <v>8192</v>
      </c>
      <c r="J286" s="51" t="s">
        <v>8193</v>
      </c>
      <c r="K286" s="47" t="s">
        <v>8194</v>
      </c>
      <c r="L286" s="47" t="s">
        <v>8195</v>
      </c>
      <c r="M286" s="47" t="s">
        <v>8196</v>
      </c>
      <c r="N286" s="47"/>
      <c r="O286" s="310"/>
    </row>
    <row r="287" spans="1:15" ht="14.4">
      <c r="A287" s="26">
        <v>13</v>
      </c>
      <c r="B287" s="47"/>
      <c r="C287" s="63" t="s">
        <v>8197</v>
      </c>
      <c r="D287" s="63" t="s">
        <v>8198</v>
      </c>
      <c r="E287" s="63" t="s">
        <v>8199</v>
      </c>
      <c r="F287" s="63" t="s">
        <v>117</v>
      </c>
      <c r="G287" s="63" t="s">
        <v>8200</v>
      </c>
      <c r="H287" s="93" t="s">
        <v>8201</v>
      </c>
      <c r="I287" s="51" t="s">
        <v>8202</v>
      </c>
      <c r="J287" s="51" t="s">
        <v>8203</v>
      </c>
      <c r="K287" s="47" t="s">
        <v>8204</v>
      </c>
      <c r="L287" s="47" t="s">
        <v>8205</v>
      </c>
      <c r="M287" s="47" t="s">
        <v>8206</v>
      </c>
      <c r="N287" s="47"/>
      <c r="O287" s="310"/>
    </row>
    <row r="288" spans="1:15" ht="14.4">
      <c r="A288" s="26">
        <v>14</v>
      </c>
      <c r="B288" s="47"/>
      <c r="C288" s="63" t="s">
        <v>8207</v>
      </c>
      <c r="D288" s="63" t="s">
        <v>8208</v>
      </c>
      <c r="E288" s="63" t="s">
        <v>8209</v>
      </c>
      <c r="F288" s="63"/>
      <c r="G288" s="63" t="s">
        <v>8210</v>
      </c>
      <c r="H288" s="93" t="s">
        <v>8211</v>
      </c>
      <c r="I288" s="51" t="s">
        <v>8212</v>
      </c>
      <c r="J288" s="51" t="s">
        <v>8213</v>
      </c>
      <c r="K288" s="47" t="s">
        <v>8214</v>
      </c>
      <c r="L288" s="47" t="s">
        <v>8215</v>
      </c>
      <c r="M288" s="47" t="s">
        <v>8216</v>
      </c>
      <c r="N288" s="47"/>
      <c r="O288" s="310"/>
    </row>
    <row r="289" spans="1:15" ht="14.4">
      <c r="A289" s="26">
        <v>15</v>
      </c>
      <c r="B289" s="47"/>
      <c r="C289" s="63" t="s">
        <v>8217</v>
      </c>
      <c r="D289" s="86" t="s">
        <v>8218</v>
      </c>
      <c r="E289" s="63" t="s">
        <v>8219</v>
      </c>
      <c r="F289" s="63" t="s">
        <v>65</v>
      </c>
      <c r="G289" s="63" t="s">
        <v>8220</v>
      </c>
      <c r="H289" s="93" t="s">
        <v>8221</v>
      </c>
      <c r="I289" s="51" t="s">
        <v>8222</v>
      </c>
      <c r="J289" s="51" t="s">
        <v>8223</v>
      </c>
      <c r="K289" s="47" t="s">
        <v>8224</v>
      </c>
      <c r="L289" s="47" t="s">
        <v>8225</v>
      </c>
      <c r="M289" s="47" t="s">
        <v>8226</v>
      </c>
      <c r="N289" s="47"/>
      <c r="O289" s="310"/>
    </row>
    <row r="290" spans="1:15" ht="14.4">
      <c r="A290" s="26">
        <v>16</v>
      </c>
      <c r="B290" s="47"/>
      <c r="C290" s="63" t="s">
        <v>8227</v>
      </c>
      <c r="D290" s="86" t="s">
        <v>8228</v>
      </c>
      <c r="E290" s="63" t="s">
        <v>8229</v>
      </c>
      <c r="F290" s="63" t="s">
        <v>117</v>
      </c>
      <c r="G290" s="63" t="s">
        <v>8230</v>
      </c>
      <c r="H290" s="93" t="s">
        <v>8231</v>
      </c>
      <c r="I290" s="51" t="s">
        <v>8232</v>
      </c>
      <c r="J290" s="51" t="s">
        <v>8233</v>
      </c>
      <c r="K290" s="47" t="s">
        <v>8234</v>
      </c>
      <c r="L290" s="47" t="s">
        <v>8235</v>
      </c>
      <c r="M290" s="47" t="s">
        <v>8236</v>
      </c>
      <c r="N290" s="47"/>
      <c r="O290" s="310"/>
    </row>
    <row r="291" spans="1:15" ht="14.4">
      <c r="A291" s="26">
        <v>17</v>
      </c>
      <c r="B291" s="47"/>
      <c r="C291" s="63" t="s">
        <v>8237</v>
      </c>
      <c r="D291" s="86" t="s">
        <v>8238</v>
      </c>
      <c r="E291" s="63" t="s">
        <v>8239</v>
      </c>
      <c r="F291" s="63" t="s">
        <v>65</v>
      </c>
      <c r="G291" s="63" t="s">
        <v>8240</v>
      </c>
      <c r="H291" s="93" t="s">
        <v>8241</v>
      </c>
      <c r="I291" s="51" t="s">
        <v>8242</v>
      </c>
      <c r="J291" s="86" t="s">
        <v>8243</v>
      </c>
      <c r="K291" s="47" t="s">
        <v>8244</v>
      </c>
      <c r="L291" s="47" t="s">
        <v>8245</v>
      </c>
      <c r="M291" s="47" t="s">
        <v>8246</v>
      </c>
      <c r="N291" s="47"/>
      <c r="O291" s="310"/>
    </row>
    <row r="292" spans="1:15" ht="14.4">
      <c r="A292" s="26">
        <v>18</v>
      </c>
      <c r="B292" s="47"/>
      <c r="C292" s="63" t="s">
        <v>8247</v>
      </c>
      <c r="D292" s="86" t="s">
        <v>8248</v>
      </c>
      <c r="E292" s="63" t="s">
        <v>8249</v>
      </c>
      <c r="F292" s="63" t="s">
        <v>117</v>
      </c>
      <c r="G292" s="63" t="s">
        <v>6948</v>
      </c>
      <c r="H292" s="93" t="s">
        <v>8250</v>
      </c>
      <c r="I292" s="51" t="s">
        <v>8251</v>
      </c>
      <c r="J292" s="51" t="s">
        <v>8252</v>
      </c>
      <c r="K292" s="47" t="s">
        <v>8253</v>
      </c>
      <c r="L292" s="47" t="s">
        <v>5405</v>
      </c>
      <c r="M292" s="47" t="s">
        <v>5406</v>
      </c>
      <c r="N292" s="47"/>
      <c r="O292" s="310"/>
    </row>
    <row r="293" spans="1:15" ht="14.4">
      <c r="A293" s="26">
        <v>19</v>
      </c>
      <c r="B293" s="47"/>
      <c r="C293" s="63" t="s">
        <v>8254</v>
      </c>
      <c r="D293" s="86" t="s">
        <v>8255</v>
      </c>
      <c r="E293" s="63" t="s">
        <v>8256</v>
      </c>
      <c r="F293" s="63" t="s">
        <v>117</v>
      </c>
      <c r="G293" s="63" t="s">
        <v>8257</v>
      </c>
      <c r="H293" s="93" t="s">
        <v>8258</v>
      </c>
      <c r="I293" s="51" t="s">
        <v>8259</v>
      </c>
      <c r="J293" s="51" t="s">
        <v>8260</v>
      </c>
      <c r="K293" s="47" t="s">
        <v>8261</v>
      </c>
      <c r="L293" s="47" t="s">
        <v>8262</v>
      </c>
      <c r="M293" s="47" t="s">
        <v>8263</v>
      </c>
      <c r="N293" s="47"/>
      <c r="O293" s="310"/>
    </row>
    <row r="294" spans="1:15" ht="14.4">
      <c r="A294" s="26">
        <v>20</v>
      </c>
      <c r="B294" s="47"/>
      <c r="C294" s="63" t="s">
        <v>8264</v>
      </c>
      <c r="D294" s="86" t="s">
        <v>8265</v>
      </c>
      <c r="E294" s="63" t="s">
        <v>8266</v>
      </c>
      <c r="F294" s="63" t="s">
        <v>65</v>
      </c>
      <c r="G294" s="63" t="s">
        <v>6671</v>
      </c>
      <c r="H294" s="93" t="s">
        <v>8267</v>
      </c>
      <c r="I294" s="51" t="s">
        <v>8268</v>
      </c>
      <c r="J294" s="51" t="s">
        <v>8269</v>
      </c>
      <c r="K294" s="47" t="s">
        <v>8270</v>
      </c>
      <c r="L294" s="47" t="s">
        <v>8271</v>
      </c>
      <c r="M294" s="47" t="s">
        <v>8272</v>
      </c>
      <c r="N294" s="47"/>
      <c r="O294" s="310"/>
    </row>
    <row r="295" spans="1:15" ht="14.4">
      <c r="A295" s="26">
        <v>21</v>
      </c>
      <c r="B295" s="47"/>
      <c r="C295" s="63" t="s">
        <v>8273</v>
      </c>
      <c r="D295" s="86" t="s">
        <v>8274</v>
      </c>
      <c r="E295" s="63" t="s">
        <v>8275</v>
      </c>
      <c r="F295" s="63" t="s">
        <v>3241</v>
      </c>
      <c r="G295" s="63" t="s">
        <v>8276</v>
      </c>
      <c r="H295" s="93" t="s">
        <v>8277</v>
      </c>
      <c r="I295" s="51" t="s">
        <v>8278</v>
      </c>
      <c r="J295" s="51" t="s">
        <v>8279</v>
      </c>
      <c r="K295" s="47" t="s">
        <v>8280</v>
      </c>
      <c r="L295" s="47" t="s">
        <v>8281</v>
      </c>
      <c r="M295" s="47" t="s">
        <v>8282</v>
      </c>
      <c r="N295" s="47"/>
      <c r="O295" s="310"/>
    </row>
    <row r="296" spans="1:15" ht="14.4">
      <c r="A296" s="26">
        <v>22</v>
      </c>
      <c r="B296" s="47"/>
      <c r="C296" s="63" t="s">
        <v>8283</v>
      </c>
      <c r="D296" s="86" t="s">
        <v>8284</v>
      </c>
      <c r="E296" s="63" t="s">
        <v>8285</v>
      </c>
      <c r="F296" s="63" t="s">
        <v>117</v>
      </c>
      <c r="G296" s="63" t="s">
        <v>8286</v>
      </c>
      <c r="H296" s="93" t="s">
        <v>8287</v>
      </c>
      <c r="I296" s="51" t="s">
        <v>8288</v>
      </c>
      <c r="J296" s="51" t="s">
        <v>8289</v>
      </c>
      <c r="K296" s="47" t="s">
        <v>8290</v>
      </c>
      <c r="L296" s="47" t="s">
        <v>8291</v>
      </c>
      <c r="M296" s="47" t="s">
        <v>8292</v>
      </c>
      <c r="N296" s="47"/>
      <c r="O296" s="310"/>
    </row>
    <row r="297" spans="1:15" ht="14.4">
      <c r="A297" s="26">
        <v>23</v>
      </c>
      <c r="B297" s="47"/>
      <c r="C297" s="63" t="s">
        <v>8293</v>
      </c>
      <c r="D297" s="86" t="s">
        <v>8294</v>
      </c>
      <c r="E297" s="63" t="s">
        <v>8295</v>
      </c>
      <c r="F297" s="63" t="s">
        <v>65</v>
      </c>
      <c r="G297" s="63" t="s">
        <v>8296</v>
      </c>
      <c r="H297" s="93" t="s">
        <v>8297</v>
      </c>
      <c r="I297" s="51" t="s">
        <v>8298</v>
      </c>
      <c r="J297" s="63" t="s">
        <v>8299</v>
      </c>
      <c r="K297" s="47" t="s">
        <v>8300</v>
      </c>
      <c r="L297" s="47" t="s">
        <v>8301</v>
      </c>
      <c r="M297" s="47" t="s">
        <v>8302</v>
      </c>
      <c r="N297" s="47"/>
      <c r="O297" s="310"/>
    </row>
    <row r="298" spans="1:15" ht="14.4">
      <c r="A298" s="26">
        <v>24</v>
      </c>
      <c r="B298" s="47"/>
      <c r="C298" s="63" t="s">
        <v>8303</v>
      </c>
      <c r="D298" s="86" t="s">
        <v>8304</v>
      </c>
      <c r="E298" s="63" t="s">
        <v>8305</v>
      </c>
      <c r="F298" s="63" t="s">
        <v>117</v>
      </c>
      <c r="G298" s="63" t="s">
        <v>8306</v>
      </c>
      <c r="H298" s="93" t="s">
        <v>8307</v>
      </c>
      <c r="I298" s="51" t="s">
        <v>8308</v>
      </c>
      <c r="J298" s="51" t="s">
        <v>8309</v>
      </c>
      <c r="K298" s="47" t="s">
        <v>8310</v>
      </c>
      <c r="L298" s="47" t="s">
        <v>8311</v>
      </c>
      <c r="M298" s="47" t="s">
        <v>8312</v>
      </c>
      <c r="N298" s="47"/>
      <c r="O298" s="310"/>
    </row>
    <row r="299" spans="1:15" ht="14.4">
      <c r="A299" s="26">
        <v>25</v>
      </c>
      <c r="B299" s="47"/>
      <c r="C299" s="63" t="s">
        <v>8313</v>
      </c>
      <c r="D299" s="86" t="s">
        <v>8314</v>
      </c>
      <c r="E299" s="63" t="s">
        <v>8315</v>
      </c>
      <c r="F299" s="63" t="s">
        <v>65</v>
      </c>
      <c r="G299" s="63" t="s">
        <v>8316</v>
      </c>
      <c r="H299" s="93" t="s">
        <v>8317</v>
      </c>
      <c r="I299" s="51" t="s">
        <v>8318</v>
      </c>
      <c r="J299" s="51" t="s">
        <v>8319</v>
      </c>
      <c r="K299" s="47" t="s">
        <v>8320</v>
      </c>
      <c r="L299" s="47" t="s">
        <v>8321</v>
      </c>
      <c r="M299" s="47" t="s">
        <v>8322</v>
      </c>
      <c r="N299" s="47"/>
      <c r="O299" s="310"/>
    </row>
    <row r="300" spans="1:15" ht="14.4">
      <c r="A300" s="26">
        <v>26</v>
      </c>
      <c r="B300" s="47"/>
      <c r="C300" s="63" t="s">
        <v>8323</v>
      </c>
      <c r="D300" s="86" t="s">
        <v>8324</v>
      </c>
      <c r="E300" s="63" t="s">
        <v>8325</v>
      </c>
      <c r="F300" s="63" t="s">
        <v>65</v>
      </c>
      <c r="G300" s="63" t="s">
        <v>8326</v>
      </c>
      <c r="H300" s="93" t="s">
        <v>8327</v>
      </c>
      <c r="I300" s="51" t="s">
        <v>8328</v>
      </c>
      <c r="J300" s="51" t="s">
        <v>8329</v>
      </c>
      <c r="K300" s="47" t="s">
        <v>8330</v>
      </c>
      <c r="L300" s="47" t="s">
        <v>8331</v>
      </c>
      <c r="M300" s="47" t="s">
        <v>8332</v>
      </c>
      <c r="N300" s="47"/>
      <c r="O300" s="310"/>
    </row>
    <row r="301" spans="1:15" ht="14.4">
      <c r="A301" s="26">
        <v>27</v>
      </c>
      <c r="B301" s="47"/>
      <c r="C301" s="63" t="s">
        <v>8333</v>
      </c>
      <c r="D301" s="86" t="s">
        <v>8334</v>
      </c>
      <c r="E301" s="63" t="s">
        <v>438</v>
      </c>
      <c r="F301" s="63" t="s">
        <v>501</v>
      </c>
      <c r="G301" s="63" t="s">
        <v>8335</v>
      </c>
      <c r="H301" s="93" t="s">
        <v>8336</v>
      </c>
      <c r="I301" s="51" t="s">
        <v>8337</v>
      </c>
      <c r="J301" s="51" t="s">
        <v>8338</v>
      </c>
      <c r="K301" s="47" t="s">
        <v>8339</v>
      </c>
      <c r="L301" s="47" t="s">
        <v>8340</v>
      </c>
      <c r="M301" s="47" t="s">
        <v>8341</v>
      </c>
      <c r="N301" s="47"/>
      <c r="O301" s="310"/>
    </row>
    <row r="302" spans="1:15" ht="14.4">
      <c r="A302" s="26">
        <v>28</v>
      </c>
      <c r="B302" s="47"/>
      <c r="C302" s="63" t="s">
        <v>8342</v>
      </c>
      <c r="D302" s="86" t="s">
        <v>8343</v>
      </c>
      <c r="E302" s="63" t="s">
        <v>8344</v>
      </c>
      <c r="F302" s="63"/>
      <c r="G302" s="63" t="s">
        <v>8345</v>
      </c>
      <c r="H302" s="93" t="s">
        <v>8346</v>
      </c>
      <c r="I302" s="51" t="s">
        <v>8347</v>
      </c>
      <c r="J302" s="51" t="s">
        <v>8348</v>
      </c>
      <c r="K302" s="47" t="s">
        <v>8349</v>
      </c>
      <c r="L302" s="47" t="s">
        <v>8350</v>
      </c>
      <c r="M302" s="47" t="s">
        <v>8351</v>
      </c>
      <c r="N302" s="47"/>
      <c r="O302" s="311"/>
    </row>
    <row r="303" spans="1:15" ht="14.4">
      <c r="A303" s="19">
        <v>1</v>
      </c>
      <c r="B303" s="88"/>
      <c r="C303" s="90" t="s">
        <v>8352</v>
      </c>
      <c r="D303" s="90" t="s">
        <v>8353</v>
      </c>
      <c r="E303" s="90" t="s">
        <v>3084</v>
      </c>
      <c r="F303" s="90" t="s">
        <v>65</v>
      </c>
      <c r="G303" s="90" t="s">
        <v>8354</v>
      </c>
      <c r="H303" s="91" t="s">
        <v>8355</v>
      </c>
      <c r="I303" s="92" t="s">
        <v>8356</v>
      </c>
      <c r="J303" s="92" t="s">
        <v>8357</v>
      </c>
      <c r="K303" s="88" t="s">
        <v>8358</v>
      </c>
      <c r="L303" s="88" t="s">
        <v>8359</v>
      </c>
      <c r="M303" s="88" t="s">
        <v>8360</v>
      </c>
      <c r="N303" s="88">
        <v>12</v>
      </c>
      <c r="O303" s="24" t="s">
        <v>38</v>
      </c>
    </row>
    <row r="304" spans="1:15" ht="14.4">
      <c r="A304" s="26">
        <v>2</v>
      </c>
      <c r="B304" s="47"/>
      <c r="C304" s="63" t="s">
        <v>8361</v>
      </c>
      <c r="D304" s="63" t="s">
        <v>8362</v>
      </c>
      <c r="E304" s="63" t="s">
        <v>8363</v>
      </c>
      <c r="F304" s="63" t="s">
        <v>117</v>
      </c>
      <c r="G304" s="63" t="s">
        <v>8364</v>
      </c>
      <c r="H304" s="93" t="s">
        <v>8365</v>
      </c>
      <c r="I304" s="51" t="s">
        <v>8366</v>
      </c>
      <c r="J304" s="51" t="s">
        <v>8367</v>
      </c>
      <c r="K304" s="47" t="s">
        <v>8368</v>
      </c>
      <c r="L304" s="47" t="s">
        <v>8369</v>
      </c>
      <c r="M304" s="47" t="s">
        <v>8370</v>
      </c>
      <c r="N304" s="47"/>
      <c r="O304" s="315" t="s">
        <v>8371</v>
      </c>
    </row>
    <row r="305" spans="1:15" ht="14.4">
      <c r="A305" s="26">
        <v>3</v>
      </c>
      <c r="B305" s="47"/>
      <c r="C305" s="63" t="s">
        <v>8372</v>
      </c>
      <c r="D305" s="63" t="s">
        <v>8373</v>
      </c>
      <c r="E305" s="63" t="s">
        <v>8374</v>
      </c>
      <c r="F305" s="63" t="s">
        <v>65</v>
      </c>
      <c r="G305" s="63" t="s">
        <v>8375</v>
      </c>
      <c r="H305" s="93" t="s">
        <v>8376</v>
      </c>
      <c r="I305" s="51" t="s">
        <v>8377</v>
      </c>
      <c r="J305" s="51" t="s">
        <v>8378</v>
      </c>
      <c r="K305" s="47" t="s">
        <v>8379</v>
      </c>
      <c r="L305" s="47" t="s">
        <v>8380</v>
      </c>
      <c r="M305" s="47" t="s">
        <v>8381</v>
      </c>
      <c r="N305" s="47"/>
      <c r="O305" s="310"/>
    </row>
    <row r="306" spans="1:15" ht="14.4">
      <c r="A306" s="26">
        <v>4</v>
      </c>
      <c r="B306" s="47"/>
      <c r="C306" s="63" t="s">
        <v>8382</v>
      </c>
      <c r="D306" s="63" t="s">
        <v>8383</v>
      </c>
      <c r="E306" s="63" t="s">
        <v>8384</v>
      </c>
      <c r="F306" s="63" t="s">
        <v>65</v>
      </c>
      <c r="G306" s="63" t="s">
        <v>8385</v>
      </c>
      <c r="H306" s="93" t="s">
        <v>8386</v>
      </c>
      <c r="I306" s="51" t="s">
        <v>8387</v>
      </c>
      <c r="J306" s="51" t="s">
        <v>8388</v>
      </c>
      <c r="K306" s="47" t="s">
        <v>8389</v>
      </c>
      <c r="L306" s="47" t="s">
        <v>8390</v>
      </c>
      <c r="M306" s="47" t="s">
        <v>8391</v>
      </c>
      <c r="N306" s="47"/>
      <c r="O306" s="310"/>
    </row>
    <row r="307" spans="1:15" ht="14.4">
      <c r="A307" s="26">
        <v>5</v>
      </c>
      <c r="B307" s="47"/>
      <c r="C307" s="63" t="s">
        <v>8392</v>
      </c>
      <c r="D307" s="63" t="s">
        <v>8393</v>
      </c>
      <c r="E307" s="63" t="s">
        <v>8394</v>
      </c>
      <c r="F307" s="63" t="s">
        <v>65</v>
      </c>
      <c r="G307" s="63" t="s">
        <v>4473</v>
      </c>
      <c r="H307" s="93" t="s">
        <v>8395</v>
      </c>
      <c r="I307" s="51" t="s">
        <v>8396</v>
      </c>
      <c r="J307" s="51" t="s">
        <v>8397</v>
      </c>
      <c r="K307" s="47" t="s">
        <v>8398</v>
      </c>
      <c r="L307" s="47" t="s">
        <v>5236</v>
      </c>
      <c r="M307" s="47" t="s">
        <v>5237</v>
      </c>
      <c r="N307" s="47"/>
      <c r="O307" s="310"/>
    </row>
    <row r="308" spans="1:15" ht="14.4">
      <c r="A308" s="26">
        <v>6</v>
      </c>
      <c r="B308" s="47"/>
      <c r="C308" s="63" t="s">
        <v>8399</v>
      </c>
      <c r="D308" s="63" t="s">
        <v>8400</v>
      </c>
      <c r="E308" s="63" t="s">
        <v>8401</v>
      </c>
      <c r="F308" s="63" t="s">
        <v>65</v>
      </c>
      <c r="G308" s="63" t="s">
        <v>8121</v>
      </c>
      <c r="H308" s="93" t="s">
        <v>8402</v>
      </c>
      <c r="I308" s="51" t="s">
        <v>8403</v>
      </c>
      <c r="J308" s="51" t="s">
        <v>8404</v>
      </c>
      <c r="K308" s="47" t="s">
        <v>8405</v>
      </c>
      <c r="L308" s="47" t="s">
        <v>5432</v>
      </c>
      <c r="M308" s="47" t="s">
        <v>5433</v>
      </c>
      <c r="N308" s="47"/>
      <c r="O308" s="310"/>
    </row>
    <row r="309" spans="1:15" ht="14.4">
      <c r="A309" s="26">
        <v>7</v>
      </c>
      <c r="B309" s="47"/>
      <c r="C309" s="63" t="s">
        <v>8406</v>
      </c>
      <c r="D309" s="63" t="s">
        <v>8407</v>
      </c>
      <c r="E309" s="63" t="s">
        <v>8408</v>
      </c>
      <c r="F309" s="63" t="s">
        <v>4392</v>
      </c>
      <c r="G309" s="63" t="s">
        <v>8409</v>
      </c>
      <c r="H309" s="93" t="s">
        <v>8410</v>
      </c>
      <c r="I309" s="51" t="s">
        <v>8411</v>
      </c>
      <c r="J309" s="51" t="s">
        <v>8412</v>
      </c>
      <c r="K309" s="47" t="s">
        <v>8413</v>
      </c>
      <c r="L309" s="47" t="s">
        <v>8414</v>
      </c>
      <c r="M309" s="47" t="s">
        <v>8415</v>
      </c>
      <c r="N309" s="47"/>
      <c r="O309" s="310"/>
    </row>
    <row r="310" spans="1:15" ht="14.4">
      <c r="A310" s="26">
        <v>8</v>
      </c>
      <c r="B310" s="47"/>
      <c r="C310" s="63" t="s">
        <v>8416</v>
      </c>
      <c r="D310" s="63" t="s">
        <v>8417</v>
      </c>
      <c r="E310" s="63" t="s">
        <v>8418</v>
      </c>
      <c r="F310" s="63" t="s">
        <v>117</v>
      </c>
      <c r="G310" s="63" t="s">
        <v>8419</v>
      </c>
      <c r="H310" s="93" t="s">
        <v>8420</v>
      </c>
      <c r="I310" s="51" t="s">
        <v>8421</v>
      </c>
      <c r="J310" s="51" t="s">
        <v>8422</v>
      </c>
      <c r="K310" s="47" t="s">
        <v>8423</v>
      </c>
      <c r="L310" s="47" t="s">
        <v>8424</v>
      </c>
      <c r="M310" s="47" t="s">
        <v>8425</v>
      </c>
      <c r="N310" s="47"/>
      <c r="O310" s="310"/>
    </row>
    <row r="311" spans="1:15" ht="14.4">
      <c r="A311" s="26">
        <v>9</v>
      </c>
      <c r="B311" s="47"/>
      <c r="C311" s="63" t="s">
        <v>8426</v>
      </c>
      <c r="D311" s="63" t="s">
        <v>8427</v>
      </c>
      <c r="E311" s="63" t="s">
        <v>6660</v>
      </c>
      <c r="F311" s="63" t="s">
        <v>65</v>
      </c>
      <c r="G311" s="63" t="s">
        <v>8428</v>
      </c>
      <c r="H311" s="93" t="s">
        <v>8429</v>
      </c>
      <c r="I311" s="51" t="s">
        <v>8430</v>
      </c>
      <c r="J311" s="51" t="s">
        <v>8431</v>
      </c>
      <c r="K311" s="47" t="s">
        <v>8432</v>
      </c>
      <c r="L311" s="47" t="s">
        <v>8433</v>
      </c>
      <c r="M311" s="47" t="s">
        <v>8434</v>
      </c>
      <c r="N311" s="47"/>
      <c r="O311" s="310"/>
    </row>
    <row r="312" spans="1:15" ht="14.4">
      <c r="A312" s="26">
        <v>10</v>
      </c>
      <c r="B312" s="47"/>
      <c r="C312" s="63" t="s">
        <v>8435</v>
      </c>
      <c r="D312" s="63" t="s">
        <v>8436</v>
      </c>
      <c r="E312" s="63" t="s">
        <v>8437</v>
      </c>
      <c r="F312" s="63" t="s">
        <v>65</v>
      </c>
      <c r="G312" s="63" t="s">
        <v>8438</v>
      </c>
      <c r="H312" s="93" t="s">
        <v>8439</v>
      </c>
      <c r="I312" s="51" t="s">
        <v>8440</v>
      </c>
      <c r="J312" s="51" t="s">
        <v>8441</v>
      </c>
      <c r="K312" s="47" t="s">
        <v>8442</v>
      </c>
      <c r="L312" s="47" t="s">
        <v>8443</v>
      </c>
      <c r="M312" s="47" t="s">
        <v>8444</v>
      </c>
      <c r="N312" s="47"/>
      <c r="O312" s="310"/>
    </row>
    <row r="313" spans="1:15" ht="14.4">
      <c r="A313" s="26">
        <v>11</v>
      </c>
      <c r="B313" s="47"/>
      <c r="C313" s="63" t="s">
        <v>8445</v>
      </c>
      <c r="D313" s="63" t="s">
        <v>8446</v>
      </c>
      <c r="E313" s="63" t="s">
        <v>8447</v>
      </c>
      <c r="F313" s="63" t="s">
        <v>65</v>
      </c>
      <c r="G313" s="63" t="s">
        <v>8448</v>
      </c>
      <c r="H313" s="93" t="s">
        <v>8449</v>
      </c>
      <c r="I313" s="51" t="s">
        <v>8450</v>
      </c>
      <c r="J313" s="51" t="s">
        <v>8451</v>
      </c>
      <c r="K313" s="47" t="s">
        <v>8452</v>
      </c>
      <c r="L313" s="47" t="s">
        <v>8453</v>
      </c>
      <c r="M313" s="47" t="s">
        <v>8454</v>
      </c>
      <c r="N313" s="47"/>
      <c r="O313" s="310"/>
    </row>
    <row r="314" spans="1:15" ht="14.4">
      <c r="A314" s="26">
        <v>12</v>
      </c>
      <c r="B314" s="47"/>
      <c r="C314" s="63" t="s">
        <v>8455</v>
      </c>
      <c r="D314" s="63" t="s">
        <v>8456</v>
      </c>
      <c r="E314" s="63" t="s">
        <v>8457</v>
      </c>
      <c r="F314" s="63" t="s">
        <v>117</v>
      </c>
      <c r="G314" s="63" t="s">
        <v>8458</v>
      </c>
      <c r="H314" s="93" t="s">
        <v>8459</v>
      </c>
      <c r="I314" s="51" t="s">
        <v>8460</v>
      </c>
      <c r="J314" s="51" t="s">
        <v>8461</v>
      </c>
      <c r="K314" s="47" t="s">
        <v>8462</v>
      </c>
      <c r="L314" s="47" t="s">
        <v>5303</v>
      </c>
      <c r="M314" s="47" t="s">
        <v>5304</v>
      </c>
      <c r="N314" s="47"/>
      <c r="O314" s="310"/>
    </row>
    <row r="315" spans="1:15" ht="14.4">
      <c r="A315" s="26">
        <v>13</v>
      </c>
      <c r="B315" s="47"/>
      <c r="C315" s="63" t="s">
        <v>7849</v>
      </c>
      <c r="D315" s="63" t="s">
        <v>7850</v>
      </c>
      <c r="E315" s="63" t="s">
        <v>7851</v>
      </c>
      <c r="F315" s="63" t="s">
        <v>563</v>
      </c>
      <c r="G315" s="63" t="s">
        <v>8463</v>
      </c>
      <c r="H315" s="93" t="s">
        <v>8464</v>
      </c>
      <c r="I315" s="51" t="s">
        <v>8465</v>
      </c>
      <c r="J315" s="51" t="s">
        <v>8466</v>
      </c>
      <c r="K315" s="47" t="s">
        <v>8467</v>
      </c>
      <c r="L315" s="47" t="s">
        <v>8468</v>
      </c>
      <c r="M315" s="47" t="s">
        <v>8469</v>
      </c>
      <c r="N315" s="47"/>
      <c r="O315" s="310"/>
    </row>
    <row r="316" spans="1:15" ht="14.4">
      <c r="A316" s="26">
        <v>14</v>
      </c>
      <c r="B316" s="47"/>
      <c r="C316" s="63" t="s">
        <v>8470</v>
      </c>
      <c r="D316" s="63" t="s">
        <v>8471</v>
      </c>
      <c r="E316" s="63" t="s">
        <v>8472</v>
      </c>
      <c r="F316" s="63" t="s">
        <v>65</v>
      </c>
      <c r="G316" s="63" t="s">
        <v>8473</v>
      </c>
      <c r="H316" s="93" t="s">
        <v>8474</v>
      </c>
      <c r="I316" s="51" t="s">
        <v>8475</v>
      </c>
      <c r="J316" s="51" t="s">
        <v>8476</v>
      </c>
      <c r="K316" s="47" t="s">
        <v>8477</v>
      </c>
      <c r="L316" s="47" t="s">
        <v>8478</v>
      </c>
      <c r="M316" s="47" t="s">
        <v>8479</v>
      </c>
      <c r="N316" s="47"/>
      <c r="O316" s="310"/>
    </row>
    <row r="317" spans="1:15" ht="14.4">
      <c r="A317" s="26">
        <v>15</v>
      </c>
      <c r="B317" s="47"/>
      <c r="C317" s="63" t="s">
        <v>8480</v>
      </c>
      <c r="D317" s="63" t="s">
        <v>8481</v>
      </c>
      <c r="E317" s="63" t="s">
        <v>7871</v>
      </c>
      <c r="F317" s="63" t="s">
        <v>117</v>
      </c>
      <c r="G317" s="63" t="s">
        <v>8482</v>
      </c>
      <c r="H317" s="93" t="s">
        <v>8483</v>
      </c>
      <c r="I317" s="51" t="s">
        <v>8484</v>
      </c>
      <c r="J317" s="51" t="s">
        <v>8485</v>
      </c>
      <c r="K317" s="47" t="s">
        <v>8486</v>
      </c>
      <c r="L317" s="47" t="s">
        <v>8487</v>
      </c>
      <c r="M317" s="47" t="s">
        <v>8488</v>
      </c>
      <c r="N317" s="47"/>
      <c r="O317" s="310"/>
    </row>
    <row r="318" spans="1:15" ht="14.4">
      <c r="A318" s="26">
        <v>16</v>
      </c>
      <c r="B318" s="47"/>
      <c r="C318" s="63" t="s">
        <v>8489</v>
      </c>
      <c r="D318" s="63" t="s">
        <v>8490</v>
      </c>
      <c r="E318" s="63" t="s">
        <v>8491</v>
      </c>
      <c r="F318" s="63" t="s">
        <v>65</v>
      </c>
      <c r="G318" s="63" t="s">
        <v>8492</v>
      </c>
      <c r="H318" s="93" t="s">
        <v>8493</v>
      </c>
      <c r="I318" s="51" t="s">
        <v>8494</v>
      </c>
      <c r="J318" s="51" t="s">
        <v>8495</v>
      </c>
      <c r="K318" s="47" t="s">
        <v>8496</v>
      </c>
      <c r="L318" s="47" t="s">
        <v>8497</v>
      </c>
      <c r="M318" s="47" t="s">
        <v>8498</v>
      </c>
      <c r="N318" s="47"/>
      <c r="O318" s="310"/>
    </row>
    <row r="319" spans="1:15" ht="14.4">
      <c r="A319" s="26">
        <v>17</v>
      </c>
      <c r="B319" s="47"/>
      <c r="C319" s="63" t="s">
        <v>8499</v>
      </c>
      <c r="D319" s="63" t="s">
        <v>8500</v>
      </c>
      <c r="E319" s="63" t="s">
        <v>8501</v>
      </c>
      <c r="F319" s="63" t="s">
        <v>4823</v>
      </c>
      <c r="G319" s="63" t="s">
        <v>8502</v>
      </c>
      <c r="H319" s="93" t="s">
        <v>8503</v>
      </c>
      <c r="I319" s="51" t="s">
        <v>8504</v>
      </c>
      <c r="J319" s="51" t="s">
        <v>8505</v>
      </c>
      <c r="K319" s="47" t="s">
        <v>8506</v>
      </c>
      <c r="L319" s="47" t="s">
        <v>8507</v>
      </c>
      <c r="M319" s="47" t="s">
        <v>8508</v>
      </c>
      <c r="N319" s="47"/>
      <c r="O319" s="310"/>
    </row>
    <row r="320" spans="1:15" ht="14.4">
      <c r="A320" s="26">
        <v>18</v>
      </c>
      <c r="B320" s="47"/>
      <c r="C320" s="63" t="s">
        <v>8509</v>
      </c>
      <c r="D320" s="63" t="s">
        <v>8510</v>
      </c>
      <c r="E320" s="63" t="s">
        <v>8511</v>
      </c>
      <c r="F320" s="63" t="s">
        <v>65</v>
      </c>
      <c r="G320" s="63" t="s">
        <v>8512</v>
      </c>
      <c r="H320" s="93" t="s">
        <v>8513</v>
      </c>
      <c r="I320" s="51" t="s">
        <v>8514</v>
      </c>
      <c r="J320" s="51" t="s">
        <v>8515</v>
      </c>
      <c r="K320" s="47" t="s">
        <v>8516</v>
      </c>
      <c r="L320" s="47" t="s">
        <v>8517</v>
      </c>
      <c r="M320" s="47" t="s">
        <v>8518</v>
      </c>
      <c r="N320" s="47"/>
      <c r="O320" s="310"/>
    </row>
    <row r="321" spans="1:26" ht="14.4">
      <c r="A321" s="26">
        <v>19</v>
      </c>
      <c r="B321" s="47"/>
      <c r="C321" s="63" t="s">
        <v>8519</v>
      </c>
      <c r="D321" s="63" t="s">
        <v>8520</v>
      </c>
      <c r="E321" s="63" t="s">
        <v>8521</v>
      </c>
      <c r="F321" s="63" t="s">
        <v>219</v>
      </c>
      <c r="G321" s="63" t="s">
        <v>4636</v>
      </c>
      <c r="H321" s="93" t="s">
        <v>8522</v>
      </c>
      <c r="I321" s="51" t="s">
        <v>8523</v>
      </c>
      <c r="J321" s="51" t="s">
        <v>8524</v>
      </c>
      <c r="K321" s="47" t="s">
        <v>8525</v>
      </c>
      <c r="L321" s="47" t="s">
        <v>8526</v>
      </c>
      <c r="M321" s="47" t="s">
        <v>8527</v>
      </c>
      <c r="N321" s="47"/>
      <c r="O321" s="310"/>
    </row>
    <row r="322" spans="1:26" ht="14.4">
      <c r="A322" s="26">
        <v>20</v>
      </c>
      <c r="B322" s="47"/>
      <c r="C322" s="63" t="s">
        <v>8528</v>
      </c>
      <c r="D322" s="63" t="s">
        <v>8529</v>
      </c>
      <c r="E322" s="63" t="s">
        <v>8530</v>
      </c>
      <c r="F322" s="63" t="s">
        <v>117</v>
      </c>
      <c r="G322" s="63" t="s">
        <v>8531</v>
      </c>
      <c r="H322" s="93" t="s">
        <v>8532</v>
      </c>
      <c r="I322" s="51" t="s">
        <v>8533</v>
      </c>
      <c r="J322" s="51" t="s">
        <v>8534</v>
      </c>
      <c r="K322" s="47" t="s">
        <v>8535</v>
      </c>
      <c r="L322" s="47" t="s">
        <v>8536</v>
      </c>
      <c r="M322" s="47" t="s">
        <v>8537</v>
      </c>
      <c r="N322" s="47"/>
      <c r="O322" s="310"/>
    </row>
    <row r="323" spans="1:26" ht="14.4">
      <c r="A323" s="26">
        <v>21</v>
      </c>
      <c r="B323" s="47"/>
      <c r="C323" s="63" t="s">
        <v>8538</v>
      </c>
      <c r="D323" s="63" t="s">
        <v>8539</v>
      </c>
      <c r="E323" s="63" t="s">
        <v>8540</v>
      </c>
      <c r="F323" s="63" t="s">
        <v>65</v>
      </c>
      <c r="G323" s="63" t="s">
        <v>8541</v>
      </c>
      <c r="H323" s="93" t="s">
        <v>8542</v>
      </c>
      <c r="I323" s="51" t="s">
        <v>8543</v>
      </c>
      <c r="J323" s="51" t="s">
        <v>8544</v>
      </c>
      <c r="K323" s="47" t="s">
        <v>8545</v>
      </c>
      <c r="L323" s="47" t="s">
        <v>8546</v>
      </c>
      <c r="M323" s="47" t="s">
        <v>8547</v>
      </c>
      <c r="N323" s="47"/>
      <c r="O323" s="310"/>
    </row>
    <row r="324" spans="1:26" ht="14.4">
      <c r="A324" s="26">
        <v>22</v>
      </c>
      <c r="B324" s="47"/>
      <c r="C324" s="63" t="s">
        <v>8548</v>
      </c>
      <c r="D324" s="63" t="s">
        <v>8549</v>
      </c>
      <c r="E324" s="63" t="s">
        <v>8550</v>
      </c>
      <c r="F324" s="63" t="s">
        <v>65</v>
      </c>
      <c r="G324" s="63" t="s">
        <v>8551</v>
      </c>
      <c r="H324" s="93" t="s">
        <v>8552</v>
      </c>
      <c r="I324" s="51" t="s">
        <v>8553</v>
      </c>
      <c r="J324" s="51" t="s">
        <v>8554</v>
      </c>
      <c r="K324" s="47" t="s">
        <v>8555</v>
      </c>
      <c r="L324" s="47" t="s">
        <v>8556</v>
      </c>
      <c r="M324" s="47" t="s">
        <v>8557</v>
      </c>
      <c r="N324" s="47"/>
      <c r="O324" s="310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4.4">
      <c r="A325" s="26">
        <v>23</v>
      </c>
      <c r="B325" s="47"/>
      <c r="C325" s="63" t="s">
        <v>8558</v>
      </c>
      <c r="D325" s="63" t="s">
        <v>8559</v>
      </c>
      <c r="E325" s="63" t="s">
        <v>8560</v>
      </c>
      <c r="F325" s="63" t="s">
        <v>65</v>
      </c>
      <c r="G325" s="63" t="s">
        <v>8561</v>
      </c>
      <c r="H325" s="93" t="s">
        <v>8562</v>
      </c>
      <c r="I325" s="51" t="s">
        <v>8563</v>
      </c>
      <c r="J325" s="51" t="s">
        <v>8564</v>
      </c>
      <c r="K325" s="47" t="s">
        <v>8565</v>
      </c>
      <c r="L325" s="47" t="s">
        <v>8566</v>
      </c>
      <c r="M325" s="47" t="s">
        <v>8567</v>
      </c>
      <c r="N325" s="47"/>
      <c r="O325" s="310"/>
    </row>
    <row r="326" spans="1:26" ht="14.4">
      <c r="A326" s="26">
        <v>24</v>
      </c>
      <c r="B326" s="47"/>
      <c r="C326" s="63" t="s">
        <v>8568</v>
      </c>
      <c r="D326" s="63" t="s">
        <v>8569</v>
      </c>
      <c r="E326" s="63" t="s">
        <v>8570</v>
      </c>
      <c r="F326" s="63" t="s">
        <v>54</v>
      </c>
      <c r="G326" s="63" t="s">
        <v>8571</v>
      </c>
      <c r="H326" s="93" t="s">
        <v>8572</v>
      </c>
      <c r="I326" s="51" t="s">
        <v>8573</v>
      </c>
      <c r="J326" s="51" t="s">
        <v>8574</v>
      </c>
      <c r="K326" s="47" t="s">
        <v>8575</v>
      </c>
      <c r="L326" s="47" t="s">
        <v>8576</v>
      </c>
      <c r="M326" s="47" t="s">
        <v>8577</v>
      </c>
      <c r="N326" s="47"/>
      <c r="O326" s="310"/>
    </row>
    <row r="327" spans="1:26" ht="14.4">
      <c r="A327" s="26">
        <v>25</v>
      </c>
      <c r="B327" s="47"/>
      <c r="C327" s="63" t="s">
        <v>8578</v>
      </c>
      <c r="D327" s="63" t="s">
        <v>8579</v>
      </c>
      <c r="E327" s="63" t="s">
        <v>8580</v>
      </c>
      <c r="F327" s="63" t="s">
        <v>65</v>
      </c>
      <c r="G327" s="63" t="s">
        <v>8581</v>
      </c>
      <c r="H327" s="93" t="s">
        <v>8582</v>
      </c>
      <c r="I327" s="51" t="s">
        <v>8583</v>
      </c>
      <c r="J327" s="51" t="s">
        <v>8584</v>
      </c>
      <c r="K327" s="47" t="s">
        <v>8585</v>
      </c>
      <c r="L327" s="47" t="s">
        <v>8586</v>
      </c>
      <c r="M327" s="47" t="s">
        <v>8587</v>
      </c>
      <c r="N327" s="47"/>
      <c r="O327" s="310"/>
    </row>
    <row r="328" spans="1:26" ht="14.4">
      <c r="A328" s="26">
        <v>26</v>
      </c>
      <c r="B328" s="47"/>
      <c r="C328" s="63" t="s">
        <v>8588</v>
      </c>
      <c r="D328" s="63" t="s">
        <v>8589</v>
      </c>
      <c r="E328" s="63" t="s">
        <v>8590</v>
      </c>
      <c r="F328" s="63" t="s">
        <v>65</v>
      </c>
      <c r="G328" s="63" t="s">
        <v>8591</v>
      </c>
      <c r="H328" s="93" t="s">
        <v>8592</v>
      </c>
      <c r="I328" s="51" t="s">
        <v>8593</v>
      </c>
      <c r="J328" s="51" t="s">
        <v>8594</v>
      </c>
      <c r="K328" s="47" t="s">
        <v>8595</v>
      </c>
      <c r="L328" s="47" t="s">
        <v>8596</v>
      </c>
      <c r="M328" s="47" t="s">
        <v>8597</v>
      </c>
      <c r="N328" s="47"/>
      <c r="O328" s="310"/>
    </row>
    <row r="329" spans="1:26" ht="14.4">
      <c r="A329" s="26">
        <v>27</v>
      </c>
      <c r="B329" s="47"/>
      <c r="C329" s="63" t="s">
        <v>8598</v>
      </c>
      <c r="D329" s="63" t="s">
        <v>8599</v>
      </c>
      <c r="E329" s="63" t="s">
        <v>8600</v>
      </c>
      <c r="F329" s="63" t="s">
        <v>117</v>
      </c>
      <c r="G329" s="63" t="s">
        <v>8482</v>
      </c>
      <c r="H329" s="93" t="s">
        <v>8601</v>
      </c>
      <c r="I329" s="51" t="s">
        <v>8602</v>
      </c>
      <c r="J329" s="51" t="s">
        <v>8603</v>
      </c>
      <c r="K329" s="47" t="s">
        <v>8604</v>
      </c>
      <c r="L329" s="47" t="s">
        <v>8605</v>
      </c>
      <c r="M329" s="47" t="s">
        <v>8606</v>
      </c>
      <c r="N329" s="47"/>
      <c r="O329" s="311"/>
    </row>
    <row r="330" spans="1:26" ht="14.4">
      <c r="A330" s="19">
        <v>1</v>
      </c>
      <c r="B330" s="88"/>
      <c r="C330" s="90" t="s">
        <v>8607</v>
      </c>
      <c r="D330" s="90" t="s">
        <v>8608</v>
      </c>
      <c r="E330" s="90" t="s">
        <v>8609</v>
      </c>
      <c r="F330" s="90" t="s">
        <v>117</v>
      </c>
      <c r="G330" s="90" t="s">
        <v>8610</v>
      </c>
      <c r="H330" s="91" t="s">
        <v>8611</v>
      </c>
      <c r="I330" s="92" t="s">
        <v>8612</v>
      </c>
      <c r="J330" s="92" t="s">
        <v>8613</v>
      </c>
      <c r="K330" s="88" t="s">
        <v>8614</v>
      </c>
      <c r="L330" s="88" t="s">
        <v>8615</v>
      </c>
      <c r="M330" s="88" t="s">
        <v>8616</v>
      </c>
      <c r="N330" s="88">
        <v>13</v>
      </c>
      <c r="O330" s="24" t="s">
        <v>38</v>
      </c>
    </row>
    <row r="331" spans="1:26" ht="14.4">
      <c r="A331" s="26">
        <v>2</v>
      </c>
      <c r="B331" s="47"/>
      <c r="C331" s="63" t="s">
        <v>8617</v>
      </c>
      <c r="D331" s="63" t="s">
        <v>8618</v>
      </c>
      <c r="E331" s="63" t="s">
        <v>8619</v>
      </c>
      <c r="F331" s="63" t="s">
        <v>65</v>
      </c>
      <c r="G331" s="63" t="s">
        <v>8620</v>
      </c>
      <c r="H331" s="93" t="s">
        <v>8621</v>
      </c>
      <c r="I331" s="51" t="s">
        <v>8622</v>
      </c>
      <c r="J331" s="51" t="s">
        <v>8623</v>
      </c>
      <c r="K331" s="47" t="s">
        <v>8624</v>
      </c>
      <c r="L331" s="47" t="s">
        <v>5285</v>
      </c>
      <c r="M331" s="47" t="s">
        <v>5286</v>
      </c>
      <c r="N331" s="47"/>
      <c r="O331" s="315" t="s">
        <v>8625</v>
      </c>
    </row>
    <row r="332" spans="1:26" ht="14.4">
      <c r="A332" s="26">
        <v>3</v>
      </c>
      <c r="B332" s="47"/>
      <c r="C332" s="63" t="s">
        <v>8626</v>
      </c>
      <c r="D332" s="63" t="s">
        <v>8627</v>
      </c>
      <c r="E332" s="63" t="s">
        <v>8628</v>
      </c>
      <c r="F332" s="63" t="s">
        <v>65</v>
      </c>
      <c r="G332" s="63" t="s">
        <v>8629</v>
      </c>
      <c r="H332" s="93" t="s">
        <v>8630</v>
      </c>
      <c r="I332" s="51" t="s">
        <v>8631</v>
      </c>
      <c r="J332" s="51" t="s">
        <v>8632</v>
      </c>
      <c r="K332" s="47" t="s">
        <v>8633</v>
      </c>
      <c r="L332" s="47" t="s">
        <v>5291</v>
      </c>
      <c r="M332" s="47" t="s">
        <v>5292</v>
      </c>
      <c r="N332" s="47"/>
      <c r="O332" s="310"/>
    </row>
    <row r="333" spans="1:26" ht="14.4">
      <c r="A333" s="26">
        <v>4</v>
      </c>
      <c r="B333" s="47"/>
      <c r="C333" s="63" t="s">
        <v>8634</v>
      </c>
      <c r="D333" s="63" t="s">
        <v>8635</v>
      </c>
      <c r="E333" s="63" t="s">
        <v>8636</v>
      </c>
      <c r="F333" s="63" t="s">
        <v>65</v>
      </c>
      <c r="G333" s="63" t="s">
        <v>7501</v>
      </c>
      <c r="H333" s="93" t="s">
        <v>8637</v>
      </c>
      <c r="I333" s="51" t="s">
        <v>8638</v>
      </c>
      <c r="J333" s="51" t="s">
        <v>8639</v>
      </c>
      <c r="K333" s="47" t="s">
        <v>8640</v>
      </c>
      <c r="L333" s="47" t="s">
        <v>5288</v>
      </c>
      <c r="M333" s="47" t="s">
        <v>5289</v>
      </c>
      <c r="N333" s="47"/>
      <c r="O333" s="310"/>
    </row>
    <row r="334" spans="1:26" ht="14.4">
      <c r="A334" s="26">
        <v>5</v>
      </c>
      <c r="B334" s="47"/>
      <c r="C334" s="63" t="s">
        <v>8641</v>
      </c>
      <c r="D334" s="63" t="s">
        <v>8642</v>
      </c>
      <c r="E334" s="63" t="s">
        <v>8643</v>
      </c>
      <c r="F334" s="63" t="s">
        <v>54</v>
      </c>
      <c r="G334" s="63" t="s">
        <v>8644</v>
      </c>
      <c r="H334" s="93" t="s">
        <v>8645</v>
      </c>
      <c r="I334" s="51" t="s">
        <v>8646</v>
      </c>
      <c r="J334" s="51" t="s">
        <v>8647</v>
      </c>
      <c r="K334" s="47" t="s">
        <v>8648</v>
      </c>
      <c r="L334" s="47" t="s">
        <v>8649</v>
      </c>
      <c r="M334" s="47" t="s">
        <v>8650</v>
      </c>
      <c r="N334" s="47"/>
      <c r="O334" s="310"/>
    </row>
    <row r="335" spans="1:26" ht="14.4">
      <c r="A335" s="26">
        <v>6</v>
      </c>
      <c r="B335" s="47"/>
      <c r="C335" s="63" t="s">
        <v>8651</v>
      </c>
      <c r="D335" s="63" t="s">
        <v>8652</v>
      </c>
      <c r="E335" s="63" t="s">
        <v>8653</v>
      </c>
      <c r="F335" s="63" t="s">
        <v>117</v>
      </c>
      <c r="G335" s="63" t="s">
        <v>8654</v>
      </c>
      <c r="H335" s="93" t="s">
        <v>8655</v>
      </c>
      <c r="I335" s="51" t="s">
        <v>8656</v>
      </c>
      <c r="J335" s="51" t="s">
        <v>8657</v>
      </c>
      <c r="K335" s="47" t="s">
        <v>8658</v>
      </c>
      <c r="L335" s="47" t="s">
        <v>8659</v>
      </c>
      <c r="M335" s="47" t="s">
        <v>8660</v>
      </c>
      <c r="N335" s="47"/>
      <c r="O335" s="310"/>
    </row>
    <row r="336" spans="1:26" ht="14.4">
      <c r="A336" s="26">
        <v>7</v>
      </c>
      <c r="B336" s="47"/>
      <c r="C336" s="63" t="s">
        <v>8661</v>
      </c>
      <c r="D336" s="63" t="s">
        <v>8662</v>
      </c>
      <c r="E336" s="63" t="s">
        <v>8663</v>
      </c>
      <c r="F336" s="63"/>
      <c r="G336" s="63" t="s">
        <v>8664</v>
      </c>
      <c r="H336" s="93" t="s">
        <v>8665</v>
      </c>
      <c r="I336" s="51" t="s">
        <v>8666</v>
      </c>
      <c r="J336" s="51" t="s">
        <v>8667</v>
      </c>
      <c r="K336" s="47" t="s">
        <v>8668</v>
      </c>
      <c r="L336" s="47" t="s">
        <v>5272</v>
      </c>
      <c r="M336" s="47" t="s">
        <v>5273</v>
      </c>
      <c r="N336" s="47"/>
      <c r="O336" s="310"/>
    </row>
    <row r="337" spans="1:26" ht="14.4">
      <c r="A337" s="26">
        <v>8</v>
      </c>
      <c r="B337" s="47"/>
      <c r="C337" s="63" t="s">
        <v>8669</v>
      </c>
      <c r="D337" s="63" t="s">
        <v>8670</v>
      </c>
      <c r="E337" s="63" t="s">
        <v>8671</v>
      </c>
      <c r="F337" s="63" t="s">
        <v>117</v>
      </c>
      <c r="G337" s="63" t="s">
        <v>8672</v>
      </c>
      <c r="H337" s="93" t="s">
        <v>8673</v>
      </c>
      <c r="I337" s="51" t="s">
        <v>8674</v>
      </c>
      <c r="J337" s="51" t="s">
        <v>8675</v>
      </c>
      <c r="K337" s="47" t="s">
        <v>8676</v>
      </c>
      <c r="L337" s="47" t="s">
        <v>8677</v>
      </c>
      <c r="M337" s="47" t="s">
        <v>8678</v>
      </c>
      <c r="N337" s="47"/>
      <c r="O337" s="310"/>
    </row>
    <row r="338" spans="1:26" ht="14.4">
      <c r="A338" s="26">
        <v>9</v>
      </c>
      <c r="B338" s="47"/>
      <c r="C338" s="63" t="s">
        <v>8679</v>
      </c>
      <c r="D338" s="63" t="s">
        <v>8680</v>
      </c>
      <c r="E338" s="63" t="s">
        <v>8681</v>
      </c>
      <c r="F338" s="63" t="s">
        <v>65</v>
      </c>
      <c r="G338" s="63" t="s">
        <v>8682</v>
      </c>
      <c r="H338" s="93" t="s">
        <v>8683</v>
      </c>
      <c r="I338" s="51" t="s">
        <v>8684</v>
      </c>
      <c r="J338" s="51" t="s">
        <v>8685</v>
      </c>
      <c r="K338" s="47" t="s">
        <v>8686</v>
      </c>
      <c r="L338" s="47" t="s">
        <v>8687</v>
      </c>
      <c r="M338" s="47" t="s">
        <v>8688</v>
      </c>
      <c r="N338" s="47"/>
      <c r="O338" s="310"/>
    </row>
    <row r="339" spans="1:26" ht="14.4">
      <c r="A339" s="26">
        <v>10</v>
      </c>
      <c r="B339" s="47"/>
      <c r="C339" s="63" t="s">
        <v>8689</v>
      </c>
      <c r="D339" s="63" t="s">
        <v>8690</v>
      </c>
      <c r="E339" s="63" t="s">
        <v>8691</v>
      </c>
      <c r="F339" s="63" t="s">
        <v>4823</v>
      </c>
      <c r="G339" s="63" t="s">
        <v>8692</v>
      </c>
      <c r="H339" s="93" t="s">
        <v>8693</v>
      </c>
      <c r="I339" s="51" t="s">
        <v>8694</v>
      </c>
      <c r="J339" s="51" t="s">
        <v>8695</v>
      </c>
      <c r="K339" s="47" t="s">
        <v>8696</v>
      </c>
      <c r="L339" s="47" t="s">
        <v>8697</v>
      </c>
      <c r="M339" s="47" t="s">
        <v>8698</v>
      </c>
      <c r="N339" s="47"/>
      <c r="O339" s="310"/>
    </row>
    <row r="340" spans="1:26" ht="14.4">
      <c r="A340" s="26">
        <v>11</v>
      </c>
      <c r="B340" s="47"/>
      <c r="C340" s="63" t="s">
        <v>8699</v>
      </c>
      <c r="D340" s="63" t="s">
        <v>8700</v>
      </c>
      <c r="E340" s="63" t="s">
        <v>6401</v>
      </c>
      <c r="F340" s="63" t="s">
        <v>65</v>
      </c>
      <c r="G340" s="63" t="s">
        <v>8701</v>
      </c>
      <c r="H340" s="93" t="s">
        <v>8702</v>
      </c>
      <c r="I340" s="51" t="s">
        <v>8703</v>
      </c>
      <c r="J340" s="51" t="s">
        <v>8704</v>
      </c>
      <c r="K340" s="47" t="s">
        <v>8705</v>
      </c>
      <c r="L340" s="47" t="s">
        <v>8706</v>
      </c>
      <c r="M340" s="47" t="s">
        <v>8707</v>
      </c>
      <c r="N340" s="47"/>
      <c r="O340" s="310"/>
    </row>
    <row r="341" spans="1:26" ht="14.4">
      <c r="A341" s="26">
        <v>12</v>
      </c>
      <c r="B341" s="47"/>
      <c r="C341" s="63" t="s">
        <v>8708</v>
      </c>
      <c r="D341" s="63" t="s">
        <v>8709</v>
      </c>
      <c r="E341" s="63" t="s">
        <v>8710</v>
      </c>
      <c r="F341" s="63" t="s">
        <v>117</v>
      </c>
      <c r="G341" s="63" t="s">
        <v>8711</v>
      </c>
      <c r="H341" s="93" t="s">
        <v>8712</v>
      </c>
      <c r="I341" s="51" t="s">
        <v>8713</v>
      </c>
      <c r="J341" s="51" t="s">
        <v>8714</v>
      </c>
      <c r="K341" s="47" t="s">
        <v>8715</v>
      </c>
      <c r="L341" s="47" t="s">
        <v>8716</v>
      </c>
      <c r="M341" s="47" t="s">
        <v>8717</v>
      </c>
      <c r="N341" s="47"/>
      <c r="O341" s="310"/>
    </row>
    <row r="342" spans="1:26" ht="14.4">
      <c r="A342" s="26">
        <v>13</v>
      </c>
      <c r="B342" s="47"/>
      <c r="C342" s="63" t="s">
        <v>8718</v>
      </c>
      <c r="D342" s="63" t="s">
        <v>8719</v>
      </c>
      <c r="E342" s="63" t="s">
        <v>8720</v>
      </c>
      <c r="F342" s="63" t="s">
        <v>65</v>
      </c>
      <c r="G342" s="63" t="s">
        <v>8721</v>
      </c>
      <c r="H342" s="93" t="s">
        <v>8722</v>
      </c>
      <c r="I342" s="51" t="s">
        <v>8723</v>
      </c>
      <c r="J342" s="51" t="s">
        <v>8724</v>
      </c>
      <c r="K342" s="47" t="s">
        <v>8725</v>
      </c>
      <c r="L342" s="47" t="s">
        <v>8726</v>
      </c>
      <c r="M342" s="47" t="s">
        <v>8727</v>
      </c>
      <c r="N342" s="47"/>
      <c r="O342" s="310"/>
    </row>
    <row r="343" spans="1:26" ht="14.4">
      <c r="A343" s="26">
        <v>14</v>
      </c>
      <c r="B343" s="47"/>
      <c r="C343" s="63" t="s">
        <v>8728</v>
      </c>
      <c r="D343" s="63" t="s">
        <v>8729</v>
      </c>
      <c r="E343" s="63" t="s">
        <v>8730</v>
      </c>
      <c r="F343" s="63" t="s">
        <v>65</v>
      </c>
      <c r="G343" s="63" t="s">
        <v>8731</v>
      </c>
      <c r="H343" s="93" t="s">
        <v>8732</v>
      </c>
      <c r="I343" s="51" t="s">
        <v>8733</v>
      </c>
      <c r="J343" s="51" t="s">
        <v>8734</v>
      </c>
      <c r="K343" s="47" t="s">
        <v>8735</v>
      </c>
      <c r="L343" s="47" t="s">
        <v>5363</v>
      </c>
      <c r="M343" s="47" t="s">
        <v>5364</v>
      </c>
      <c r="N343" s="47"/>
      <c r="O343" s="310"/>
    </row>
    <row r="344" spans="1:26" ht="14.4">
      <c r="A344" s="26">
        <v>15</v>
      </c>
      <c r="B344" s="47"/>
      <c r="C344" s="63" t="s">
        <v>3851</v>
      </c>
      <c r="D344" s="63" t="s">
        <v>3852</v>
      </c>
      <c r="E344" s="63" t="s">
        <v>3853</v>
      </c>
      <c r="F344" s="63" t="s">
        <v>65</v>
      </c>
      <c r="G344" s="63" t="s">
        <v>3854</v>
      </c>
      <c r="H344" s="93" t="s">
        <v>8736</v>
      </c>
      <c r="I344" s="51" t="s">
        <v>3856</v>
      </c>
      <c r="J344" s="51" t="s">
        <v>3857</v>
      </c>
      <c r="K344" s="47" t="s">
        <v>8737</v>
      </c>
      <c r="L344" s="47" t="s">
        <v>8738</v>
      </c>
      <c r="M344" s="47" t="s">
        <v>8739</v>
      </c>
      <c r="N344" s="47"/>
      <c r="O344" s="310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4.4">
      <c r="A345" s="26">
        <v>16</v>
      </c>
      <c r="B345" s="47"/>
      <c r="C345" s="63" t="s">
        <v>8740</v>
      </c>
      <c r="D345" s="63" t="s">
        <v>8741</v>
      </c>
      <c r="E345" s="63" t="s">
        <v>8742</v>
      </c>
      <c r="F345" s="63" t="s">
        <v>65</v>
      </c>
      <c r="G345" s="63" t="s">
        <v>8743</v>
      </c>
      <c r="H345" s="93" t="s">
        <v>8744</v>
      </c>
      <c r="I345" s="51" t="s">
        <v>8745</v>
      </c>
      <c r="J345" s="51" t="s">
        <v>8746</v>
      </c>
      <c r="K345" s="47" t="s">
        <v>8747</v>
      </c>
      <c r="L345" s="47" t="s">
        <v>8748</v>
      </c>
      <c r="M345" s="47" t="s">
        <v>8749</v>
      </c>
      <c r="N345" s="47"/>
      <c r="O345" s="310"/>
    </row>
    <row r="346" spans="1:26" ht="14.4">
      <c r="A346" s="26">
        <v>17</v>
      </c>
      <c r="B346" s="47"/>
      <c r="C346" s="63" t="s">
        <v>8750</v>
      </c>
      <c r="D346" s="63" t="s">
        <v>8751</v>
      </c>
      <c r="E346" s="63" t="s">
        <v>8752</v>
      </c>
      <c r="F346" s="63" t="s">
        <v>65</v>
      </c>
      <c r="G346" s="63" t="s">
        <v>8753</v>
      </c>
      <c r="H346" s="93" t="s">
        <v>8754</v>
      </c>
      <c r="I346" s="51" t="s">
        <v>8755</v>
      </c>
      <c r="J346" s="51" t="s">
        <v>8756</v>
      </c>
      <c r="K346" s="47" t="s">
        <v>8757</v>
      </c>
      <c r="L346" s="47" t="s">
        <v>8758</v>
      </c>
      <c r="M346" s="47" t="s">
        <v>8759</v>
      </c>
      <c r="N346" s="47"/>
      <c r="O346" s="310"/>
    </row>
    <row r="347" spans="1:26" ht="14.4">
      <c r="A347" s="26">
        <v>18</v>
      </c>
      <c r="B347" s="47"/>
      <c r="C347" s="63" t="s">
        <v>8760</v>
      </c>
      <c r="D347" s="63" t="s">
        <v>8761</v>
      </c>
      <c r="E347" s="63" t="s">
        <v>8762</v>
      </c>
      <c r="F347" s="63" t="s">
        <v>219</v>
      </c>
      <c r="G347" s="63" t="s">
        <v>8763</v>
      </c>
      <c r="H347" s="93" t="s">
        <v>8764</v>
      </c>
      <c r="I347" s="51" t="s">
        <v>8765</v>
      </c>
      <c r="J347" s="51" t="s">
        <v>8766</v>
      </c>
      <c r="K347" s="47" t="s">
        <v>8767</v>
      </c>
      <c r="L347" s="47" t="s">
        <v>8768</v>
      </c>
      <c r="M347" s="47" t="s">
        <v>8769</v>
      </c>
      <c r="N347" s="47"/>
      <c r="O347" s="310"/>
    </row>
    <row r="348" spans="1:26" ht="14.4">
      <c r="A348" s="26">
        <v>19</v>
      </c>
      <c r="B348" s="47"/>
      <c r="C348" s="63" t="s">
        <v>8770</v>
      </c>
      <c r="D348" s="63" t="s">
        <v>8771</v>
      </c>
      <c r="E348" s="54" t="s">
        <v>8772</v>
      </c>
      <c r="F348" s="63" t="s">
        <v>117</v>
      </c>
      <c r="G348" s="63" t="s">
        <v>8773</v>
      </c>
      <c r="H348" s="93" t="s">
        <v>8774</v>
      </c>
      <c r="I348" s="51" t="s">
        <v>8775</v>
      </c>
      <c r="J348" s="51" t="s">
        <v>8776</v>
      </c>
      <c r="K348" s="47" t="s">
        <v>8777</v>
      </c>
      <c r="L348" s="47" t="s">
        <v>8778</v>
      </c>
      <c r="M348" s="47" t="s">
        <v>8779</v>
      </c>
      <c r="N348" s="47"/>
      <c r="O348" s="310"/>
    </row>
    <row r="349" spans="1:26" ht="14.4">
      <c r="A349" s="26">
        <v>20</v>
      </c>
      <c r="B349" s="47"/>
      <c r="C349" s="63" t="s">
        <v>8780</v>
      </c>
      <c r="D349" s="63" t="s">
        <v>8781</v>
      </c>
      <c r="E349" s="63" t="s">
        <v>8782</v>
      </c>
      <c r="F349" s="63" t="s">
        <v>117</v>
      </c>
      <c r="G349" s="63" t="s">
        <v>8783</v>
      </c>
      <c r="H349" s="93" t="s">
        <v>8784</v>
      </c>
      <c r="I349" s="51" t="s">
        <v>8785</v>
      </c>
      <c r="J349" s="51" t="s">
        <v>8786</v>
      </c>
      <c r="K349" s="47" t="s">
        <v>8787</v>
      </c>
      <c r="L349" s="47" t="s">
        <v>8788</v>
      </c>
      <c r="M349" s="47" t="s">
        <v>8789</v>
      </c>
      <c r="N349" s="47"/>
      <c r="O349" s="310"/>
    </row>
    <row r="350" spans="1:26" ht="14.4">
      <c r="A350" s="26">
        <v>21</v>
      </c>
      <c r="B350" s="47"/>
      <c r="C350" s="63" t="s">
        <v>8790</v>
      </c>
      <c r="D350" s="63" t="s">
        <v>8791</v>
      </c>
      <c r="E350" s="64" t="s">
        <v>8792</v>
      </c>
      <c r="F350" s="63" t="s">
        <v>65</v>
      </c>
      <c r="G350" s="63" t="s">
        <v>8793</v>
      </c>
      <c r="H350" s="93" t="s">
        <v>8794</v>
      </c>
      <c r="I350" s="51" t="s">
        <v>8795</v>
      </c>
      <c r="J350" s="51" t="s">
        <v>8796</v>
      </c>
      <c r="K350" s="47" t="s">
        <v>8797</v>
      </c>
      <c r="L350" s="47" t="s">
        <v>8798</v>
      </c>
      <c r="M350" s="47" t="s">
        <v>8799</v>
      </c>
      <c r="N350" s="47"/>
      <c r="O350" s="310"/>
    </row>
    <row r="351" spans="1:26" ht="14.4">
      <c r="A351" s="26">
        <v>22</v>
      </c>
      <c r="B351" s="47"/>
      <c r="C351" s="63" t="s">
        <v>8800</v>
      </c>
      <c r="D351" s="63" t="s">
        <v>8801</v>
      </c>
      <c r="E351" s="64" t="s">
        <v>8802</v>
      </c>
      <c r="F351" s="63" t="s">
        <v>117</v>
      </c>
      <c r="G351" s="63" t="s">
        <v>8803</v>
      </c>
      <c r="H351" s="93" t="s">
        <v>8804</v>
      </c>
      <c r="I351" s="51" t="s">
        <v>8805</v>
      </c>
      <c r="J351" s="51" t="s">
        <v>8806</v>
      </c>
      <c r="K351" s="47" t="s">
        <v>8807</v>
      </c>
      <c r="L351" s="47" t="s">
        <v>8808</v>
      </c>
      <c r="M351" s="47" t="s">
        <v>8809</v>
      </c>
      <c r="N351" s="47"/>
      <c r="O351" s="310"/>
    </row>
    <row r="352" spans="1:26" ht="14.4">
      <c r="A352" s="26">
        <v>23</v>
      </c>
      <c r="B352" s="47"/>
      <c r="C352" s="63" t="s">
        <v>8810</v>
      </c>
      <c r="D352" s="63" t="s">
        <v>8811</v>
      </c>
      <c r="E352" s="63" t="s">
        <v>8812</v>
      </c>
      <c r="F352" s="63" t="s">
        <v>65</v>
      </c>
      <c r="G352" s="63" t="s">
        <v>8813</v>
      </c>
      <c r="H352" s="93" t="s">
        <v>8814</v>
      </c>
      <c r="I352" s="51" t="s">
        <v>8815</v>
      </c>
      <c r="J352" s="51" t="s">
        <v>8816</v>
      </c>
      <c r="K352" s="47" t="s">
        <v>8817</v>
      </c>
      <c r="L352" s="47" t="s">
        <v>8818</v>
      </c>
      <c r="M352" s="47" t="s">
        <v>8819</v>
      </c>
      <c r="N352" s="47"/>
      <c r="O352" s="310"/>
    </row>
    <row r="353" spans="1:26" ht="14.4">
      <c r="A353" s="26">
        <v>24</v>
      </c>
      <c r="B353" s="47"/>
      <c r="C353" s="63" t="s">
        <v>1188</v>
      </c>
      <c r="D353" s="63" t="s">
        <v>1189</v>
      </c>
      <c r="E353" s="63" t="s">
        <v>1190</v>
      </c>
      <c r="F353" s="63" t="s">
        <v>1191</v>
      </c>
      <c r="G353" s="63" t="s">
        <v>1192</v>
      </c>
      <c r="H353" s="93" t="s">
        <v>8820</v>
      </c>
      <c r="I353" s="51" t="s">
        <v>1194</v>
      </c>
      <c r="J353" s="51" t="s">
        <v>1195</v>
      </c>
      <c r="K353" s="47" t="s">
        <v>8821</v>
      </c>
      <c r="L353" s="47" t="s">
        <v>8822</v>
      </c>
      <c r="M353" s="47" t="s">
        <v>8823</v>
      </c>
      <c r="N353" s="47"/>
      <c r="O353" s="310"/>
    </row>
    <row r="354" spans="1:26" ht="14.4">
      <c r="A354" s="26">
        <v>25</v>
      </c>
      <c r="B354" s="47"/>
      <c r="C354" s="63" t="s">
        <v>8824</v>
      </c>
      <c r="D354" s="63" t="s">
        <v>8825</v>
      </c>
      <c r="E354" s="63" t="s">
        <v>8826</v>
      </c>
      <c r="F354" s="63" t="s">
        <v>117</v>
      </c>
      <c r="G354" s="63" t="s">
        <v>8827</v>
      </c>
      <c r="H354" s="93" t="s">
        <v>8828</v>
      </c>
      <c r="I354" s="51" t="s">
        <v>8829</v>
      </c>
      <c r="J354" s="51" t="s">
        <v>8830</v>
      </c>
      <c r="K354" s="47" t="s">
        <v>8831</v>
      </c>
      <c r="L354" s="47" t="s">
        <v>8832</v>
      </c>
      <c r="M354" s="47" t="s">
        <v>8833</v>
      </c>
      <c r="N354" s="47"/>
      <c r="O354" s="310"/>
    </row>
    <row r="355" spans="1:26" ht="14.4">
      <c r="A355" s="26">
        <v>26</v>
      </c>
      <c r="B355" s="47"/>
      <c r="C355" s="63" t="s">
        <v>8834</v>
      </c>
      <c r="D355" s="63" t="s">
        <v>8835</v>
      </c>
      <c r="E355" s="63" t="s">
        <v>8836</v>
      </c>
      <c r="F355" s="63" t="s">
        <v>65</v>
      </c>
      <c r="G355" s="63" t="s">
        <v>8837</v>
      </c>
      <c r="H355" s="93" t="s">
        <v>8838</v>
      </c>
      <c r="I355" s="51" t="s">
        <v>8839</v>
      </c>
      <c r="J355" s="51" t="s">
        <v>8840</v>
      </c>
      <c r="K355" s="47" t="s">
        <v>8841</v>
      </c>
      <c r="L355" s="47" t="s">
        <v>8842</v>
      </c>
      <c r="M355" s="47" t="s">
        <v>8843</v>
      </c>
      <c r="N355" s="47"/>
      <c r="O355" s="310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4.4">
      <c r="A356" s="26">
        <v>27</v>
      </c>
      <c r="B356" s="47"/>
      <c r="C356" s="63" t="s">
        <v>8844</v>
      </c>
      <c r="D356" s="63" t="s">
        <v>8845</v>
      </c>
      <c r="E356" s="63" t="s">
        <v>8846</v>
      </c>
      <c r="F356" s="63" t="s">
        <v>65</v>
      </c>
      <c r="G356" s="63" t="s">
        <v>8847</v>
      </c>
      <c r="H356" s="93" t="s">
        <v>8848</v>
      </c>
      <c r="I356" s="51" t="s">
        <v>8849</v>
      </c>
      <c r="J356" s="51" t="s">
        <v>8850</v>
      </c>
      <c r="K356" s="47" t="s">
        <v>8851</v>
      </c>
      <c r="L356" s="47" t="s">
        <v>8852</v>
      </c>
      <c r="M356" s="47" t="s">
        <v>8853</v>
      </c>
      <c r="N356" s="47"/>
      <c r="O356" s="310"/>
    </row>
    <row r="357" spans="1:26" ht="14.4">
      <c r="A357" s="26">
        <v>28</v>
      </c>
      <c r="B357" s="47"/>
      <c r="C357" s="63" t="s">
        <v>8854</v>
      </c>
      <c r="D357" s="63" t="s">
        <v>8855</v>
      </c>
      <c r="E357" s="63" t="s">
        <v>8856</v>
      </c>
      <c r="F357" s="63" t="s">
        <v>65</v>
      </c>
      <c r="G357" s="63" t="s">
        <v>8857</v>
      </c>
      <c r="H357" s="93" t="s">
        <v>8858</v>
      </c>
      <c r="I357" s="51" t="s">
        <v>8859</v>
      </c>
      <c r="J357" s="51" t="s">
        <v>8860</v>
      </c>
      <c r="K357" s="47" t="s">
        <v>8861</v>
      </c>
      <c r="L357" s="47" t="s">
        <v>8862</v>
      </c>
      <c r="M357" s="47" t="s">
        <v>8863</v>
      </c>
      <c r="N357" s="47"/>
      <c r="O357" s="311"/>
    </row>
    <row r="358" spans="1:26" ht="14.4">
      <c r="A358" s="19">
        <v>1</v>
      </c>
      <c r="B358" s="88"/>
      <c r="C358" s="90" t="s">
        <v>8864</v>
      </c>
      <c r="D358" s="90" t="s">
        <v>8865</v>
      </c>
      <c r="E358" s="90" t="s">
        <v>8866</v>
      </c>
      <c r="F358" s="90" t="s">
        <v>65</v>
      </c>
      <c r="G358" s="90" t="s">
        <v>8867</v>
      </c>
      <c r="H358" s="91" t="s">
        <v>8868</v>
      </c>
      <c r="I358" s="92" t="s">
        <v>8869</v>
      </c>
      <c r="J358" s="92" t="s">
        <v>8870</v>
      </c>
      <c r="K358" s="88" t="s">
        <v>8871</v>
      </c>
      <c r="L358" s="88" t="s">
        <v>8872</v>
      </c>
      <c r="M358" s="88" t="s">
        <v>8873</v>
      </c>
      <c r="N358" s="88">
        <v>14</v>
      </c>
      <c r="O358" s="24" t="s">
        <v>38</v>
      </c>
    </row>
    <row r="359" spans="1:26" ht="14.4">
      <c r="A359" s="26">
        <v>2</v>
      </c>
      <c r="B359" s="47"/>
      <c r="C359" s="63" t="s">
        <v>8874</v>
      </c>
      <c r="D359" s="63" t="s">
        <v>8875</v>
      </c>
      <c r="E359" s="63" t="s">
        <v>8876</v>
      </c>
      <c r="F359" s="63" t="s">
        <v>219</v>
      </c>
      <c r="G359" s="63" t="s">
        <v>8877</v>
      </c>
      <c r="H359" s="93" t="s">
        <v>8878</v>
      </c>
      <c r="I359" s="51" t="s">
        <v>8879</v>
      </c>
      <c r="J359" s="51" t="s">
        <v>8880</v>
      </c>
      <c r="K359" s="47" t="s">
        <v>8881</v>
      </c>
      <c r="L359" s="47" t="s">
        <v>8882</v>
      </c>
      <c r="M359" s="47" t="s">
        <v>8883</v>
      </c>
      <c r="N359" s="47"/>
      <c r="O359" s="315" t="s">
        <v>8884</v>
      </c>
    </row>
    <row r="360" spans="1:26" ht="14.4">
      <c r="A360" s="26">
        <v>3</v>
      </c>
      <c r="B360" s="47"/>
      <c r="C360" s="63" t="s">
        <v>8885</v>
      </c>
      <c r="D360" s="63" t="s">
        <v>8886</v>
      </c>
      <c r="E360" s="63" t="s">
        <v>8887</v>
      </c>
      <c r="F360" s="63" t="s">
        <v>563</v>
      </c>
      <c r="G360" s="63" t="s">
        <v>8888</v>
      </c>
      <c r="H360" s="93" t="s">
        <v>8889</v>
      </c>
      <c r="I360" s="51" t="s">
        <v>8890</v>
      </c>
      <c r="J360" s="51" t="s">
        <v>8891</v>
      </c>
      <c r="K360" s="47" t="s">
        <v>8892</v>
      </c>
      <c r="L360" s="47" t="s">
        <v>8893</v>
      </c>
      <c r="M360" s="47" t="s">
        <v>8894</v>
      </c>
      <c r="N360" s="47"/>
      <c r="O360" s="310"/>
    </row>
    <row r="361" spans="1:26" ht="14.4">
      <c r="A361" s="26">
        <v>4</v>
      </c>
      <c r="B361" s="47"/>
      <c r="C361" s="63" t="s">
        <v>8895</v>
      </c>
      <c r="D361" s="63" t="s">
        <v>8896</v>
      </c>
      <c r="E361" s="63" t="s">
        <v>8897</v>
      </c>
      <c r="F361" s="63" t="s">
        <v>65</v>
      </c>
      <c r="G361" s="63" t="s">
        <v>8898</v>
      </c>
      <c r="H361" s="93" t="s">
        <v>8899</v>
      </c>
      <c r="I361" s="51" t="s">
        <v>8900</v>
      </c>
      <c r="J361" s="51" t="s">
        <v>8901</v>
      </c>
      <c r="K361" s="47" t="s">
        <v>8902</v>
      </c>
      <c r="L361" s="47" t="s">
        <v>8903</v>
      </c>
      <c r="M361" s="47" t="s">
        <v>8904</v>
      </c>
      <c r="N361" s="47"/>
      <c r="O361" s="310"/>
    </row>
    <row r="362" spans="1:26" ht="14.4">
      <c r="A362" s="26">
        <v>5</v>
      </c>
      <c r="B362" s="47"/>
      <c r="C362" s="63" t="s">
        <v>8905</v>
      </c>
      <c r="D362" s="63" t="s">
        <v>8906</v>
      </c>
      <c r="E362" s="63" t="s">
        <v>8907</v>
      </c>
      <c r="F362" s="63" t="s">
        <v>501</v>
      </c>
      <c r="G362" s="63" t="s">
        <v>8908</v>
      </c>
      <c r="H362" s="93" t="s">
        <v>8909</v>
      </c>
      <c r="I362" s="51" t="s">
        <v>8910</v>
      </c>
      <c r="J362" s="51" t="s">
        <v>8911</v>
      </c>
      <c r="K362" s="47" t="s">
        <v>8912</v>
      </c>
      <c r="L362" s="47" t="s">
        <v>8913</v>
      </c>
      <c r="M362" s="47" t="s">
        <v>8914</v>
      </c>
      <c r="N362" s="47"/>
      <c r="O362" s="310"/>
    </row>
    <row r="363" spans="1:26" ht="14.4">
      <c r="A363" s="26">
        <v>6</v>
      </c>
      <c r="B363" s="47"/>
      <c r="C363" s="63" t="s">
        <v>8915</v>
      </c>
      <c r="D363" s="63" t="s">
        <v>8916</v>
      </c>
      <c r="E363" s="63" t="s">
        <v>8917</v>
      </c>
      <c r="F363" s="63" t="s">
        <v>65</v>
      </c>
      <c r="G363" s="63" t="s">
        <v>8918</v>
      </c>
      <c r="H363" s="93" t="s">
        <v>8919</v>
      </c>
      <c r="I363" s="51" t="s">
        <v>8920</v>
      </c>
      <c r="J363" s="51" t="s">
        <v>8921</v>
      </c>
      <c r="K363" s="47" t="s">
        <v>8922</v>
      </c>
      <c r="L363" s="47" t="s">
        <v>8923</v>
      </c>
      <c r="M363" s="47" t="s">
        <v>8924</v>
      </c>
      <c r="N363" s="47"/>
      <c r="O363" s="310"/>
    </row>
    <row r="364" spans="1:26" ht="14.4">
      <c r="A364" s="26">
        <v>7</v>
      </c>
      <c r="B364" s="47"/>
      <c r="C364" s="63" t="s">
        <v>8925</v>
      </c>
      <c r="D364" s="63" t="s">
        <v>8926</v>
      </c>
      <c r="E364" s="63" t="s">
        <v>8927</v>
      </c>
      <c r="F364" s="63" t="s">
        <v>65</v>
      </c>
      <c r="G364" s="63" t="s">
        <v>8928</v>
      </c>
      <c r="H364" s="93" t="s">
        <v>8929</v>
      </c>
      <c r="I364" s="51" t="s">
        <v>8930</v>
      </c>
      <c r="J364" s="51" t="s">
        <v>8931</v>
      </c>
      <c r="K364" s="47" t="s">
        <v>8932</v>
      </c>
      <c r="L364" s="47" t="s">
        <v>8933</v>
      </c>
      <c r="M364" s="47" t="s">
        <v>8934</v>
      </c>
      <c r="N364" s="47"/>
      <c r="O364" s="310"/>
    </row>
    <row r="365" spans="1:26" ht="14.4">
      <c r="A365" s="26">
        <v>8</v>
      </c>
      <c r="B365" s="47"/>
      <c r="C365" s="63" t="s">
        <v>8935</v>
      </c>
      <c r="D365" s="63" t="s">
        <v>8936</v>
      </c>
      <c r="E365" s="63" t="s">
        <v>8937</v>
      </c>
      <c r="F365" s="63" t="s">
        <v>664</v>
      </c>
      <c r="G365" s="63" t="s">
        <v>8938</v>
      </c>
      <c r="H365" s="93" t="s">
        <v>8939</v>
      </c>
      <c r="I365" s="51" t="s">
        <v>8940</v>
      </c>
      <c r="J365" s="51" t="s">
        <v>8941</v>
      </c>
      <c r="K365" s="47" t="s">
        <v>8942</v>
      </c>
      <c r="L365" s="47" t="s">
        <v>8943</v>
      </c>
      <c r="M365" s="47" t="s">
        <v>8944</v>
      </c>
      <c r="N365" s="47"/>
      <c r="O365" s="310"/>
    </row>
    <row r="366" spans="1:26" ht="14.4">
      <c r="A366" s="26">
        <v>9</v>
      </c>
      <c r="B366" s="47"/>
      <c r="C366" s="63" t="s">
        <v>8945</v>
      </c>
      <c r="D366" s="63" t="s">
        <v>8946</v>
      </c>
      <c r="E366" s="63" t="s">
        <v>8947</v>
      </c>
      <c r="F366" s="63" t="s">
        <v>65</v>
      </c>
      <c r="G366" s="63" t="s">
        <v>8948</v>
      </c>
      <c r="H366" s="93" t="s">
        <v>8949</v>
      </c>
      <c r="I366" s="51" t="s">
        <v>8950</v>
      </c>
      <c r="J366" s="51" t="s">
        <v>8951</v>
      </c>
      <c r="K366" s="47" t="s">
        <v>8952</v>
      </c>
      <c r="L366" s="47" t="s">
        <v>8953</v>
      </c>
      <c r="M366" s="47" t="s">
        <v>8954</v>
      </c>
      <c r="N366" s="47"/>
      <c r="O366" s="310"/>
    </row>
    <row r="367" spans="1:26" ht="14.4">
      <c r="A367" s="26">
        <v>10</v>
      </c>
      <c r="B367" s="47"/>
      <c r="C367" s="63" t="s">
        <v>8955</v>
      </c>
      <c r="D367" s="63" t="s">
        <v>8956</v>
      </c>
      <c r="E367" s="63" t="s">
        <v>8957</v>
      </c>
      <c r="F367" s="63" t="s">
        <v>117</v>
      </c>
      <c r="G367" s="63" t="s">
        <v>3924</v>
      </c>
      <c r="H367" s="93" t="s">
        <v>8958</v>
      </c>
      <c r="I367" s="51" t="s">
        <v>8959</v>
      </c>
      <c r="J367" s="51" t="s">
        <v>8960</v>
      </c>
      <c r="K367" s="47" t="s">
        <v>8961</v>
      </c>
      <c r="L367" s="47" t="s">
        <v>8962</v>
      </c>
      <c r="M367" s="47" t="s">
        <v>8963</v>
      </c>
      <c r="N367" s="47"/>
      <c r="O367" s="310"/>
    </row>
    <row r="368" spans="1:26" ht="14.4">
      <c r="A368" s="26">
        <v>11</v>
      </c>
      <c r="B368" s="47"/>
      <c r="C368" s="63" t="s">
        <v>8964</v>
      </c>
      <c r="D368" s="63" t="s">
        <v>8965</v>
      </c>
      <c r="E368" s="63" t="s">
        <v>8966</v>
      </c>
      <c r="F368" s="63" t="s">
        <v>65</v>
      </c>
      <c r="G368" s="63" t="s">
        <v>8967</v>
      </c>
      <c r="H368" s="93" t="s">
        <v>8968</v>
      </c>
      <c r="I368" s="51" t="s">
        <v>8969</v>
      </c>
      <c r="J368" s="51" t="s">
        <v>8970</v>
      </c>
      <c r="K368" s="47" t="s">
        <v>8971</v>
      </c>
      <c r="L368" s="47" t="s">
        <v>8972</v>
      </c>
      <c r="M368" s="47" t="s">
        <v>8973</v>
      </c>
      <c r="N368" s="47"/>
      <c r="O368" s="310"/>
    </row>
    <row r="369" spans="1:15" ht="14.4">
      <c r="A369" s="26">
        <v>12</v>
      </c>
      <c r="B369" s="47"/>
      <c r="C369" s="63" t="s">
        <v>8974</v>
      </c>
      <c r="D369" s="63" t="s">
        <v>8975</v>
      </c>
      <c r="E369" s="63" t="s">
        <v>8976</v>
      </c>
      <c r="F369" s="63" t="s">
        <v>65</v>
      </c>
      <c r="G369" s="63" t="s">
        <v>8977</v>
      </c>
      <c r="H369" s="93" t="s">
        <v>8978</v>
      </c>
      <c r="I369" s="51" t="s">
        <v>8979</v>
      </c>
      <c r="J369" s="51" t="s">
        <v>8980</v>
      </c>
      <c r="K369" s="47" t="s">
        <v>8981</v>
      </c>
      <c r="L369" s="47" t="s">
        <v>8982</v>
      </c>
      <c r="M369" s="47" t="s">
        <v>8983</v>
      </c>
      <c r="N369" s="47"/>
      <c r="O369" s="310"/>
    </row>
    <row r="370" spans="1:15" ht="14.4">
      <c r="A370" s="26">
        <v>13</v>
      </c>
      <c r="B370" s="47"/>
      <c r="C370" s="63" t="s">
        <v>8984</v>
      </c>
      <c r="D370" s="63" t="s">
        <v>8985</v>
      </c>
      <c r="E370" s="63" t="s">
        <v>8986</v>
      </c>
      <c r="F370" s="63" t="s">
        <v>117</v>
      </c>
      <c r="G370" s="63" t="s">
        <v>8987</v>
      </c>
      <c r="H370" s="93" t="s">
        <v>8988</v>
      </c>
      <c r="I370" s="51" t="s">
        <v>8989</v>
      </c>
      <c r="J370" s="51" t="s">
        <v>8990</v>
      </c>
      <c r="K370" s="47" t="s">
        <v>8991</v>
      </c>
      <c r="L370" s="47" t="s">
        <v>8992</v>
      </c>
      <c r="M370" s="47" t="s">
        <v>8993</v>
      </c>
      <c r="N370" s="47"/>
      <c r="O370" s="310"/>
    </row>
    <row r="371" spans="1:15" ht="14.4">
      <c r="A371" s="26">
        <v>14</v>
      </c>
      <c r="B371" s="47"/>
      <c r="C371" s="63" t="s">
        <v>8994</v>
      </c>
      <c r="D371" s="63" t="s">
        <v>8995</v>
      </c>
      <c r="E371" s="63" t="s">
        <v>8996</v>
      </c>
      <c r="F371" s="63" t="s">
        <v>65</v>
      </c>
      <c r="G371" s="63" t="s">
        <v>8997</v>
      </c>
      <c r="H371" s="93" t="s">
        <v>8998</v>
      </c>
      <c r="I371" s="51" t="s">
        <v>8999</v>
      </c>
      <c r="J371" s="51" t="s">
        <v>9000</v>
      </c>
      <c r="K371" s="47" t="s">
        <v>9001</v>
      </c>
      <c r="L371" s="47" t="s">
        <v>9002</v>
      </c>
      <c r="M371" s="47" t="s">
        <v>9003</v>
      </c>
      <c r="N371" s="47"/>
      <c r="O371" s="310"/>
    </row>
    <row r="372" spans="1:15" ht="14.4">
      <c r="A372" s="26">
        <v>15</v>
      </c>
      <c r="B372" s="47"/>
      <c r="C372" s="63" t="s">
        <v>9004</v>
      </c>
      <c r="D372" s="63" t="s">
        <v>9005</v>
      </c>
      <c r="E372" s="63" t="s">
        <v>9006</v>
      </c>
      <c r="F372" s="63"/>
      <c r="G372" s="63" t="s">
        <v>9007</v>
      </c>
      <c r="H372" s="93" t="s">
        <v>9008</v>
      </c>
      <c r="I372" s="51" t="s">
        <v>9009</v>
      </c>
      <c r="J372" s="51" t="s">
        <v>9010</v>
      </c>
      <c r="K372" s="47" t="s">
        <v>9011</v>
      </c>
      <c r="L372" s="47" t="s">
        <v>9012</v>
      </c>
      <c r="M372" s="47" t="s">
        <v>9013</v>
      </c>
      <c r="N372" s="47"/>
      <c r="O372" s="310"/>
    </row>
    <row r="373" spans="1:15" ht="14.4">
      <c r="A373" s="26">
        <v>16</v>
      </c>
      <c r="B373" s="47"/>
      <c r="C373" s="63" t="s">
        <v>9014</v>
      </c>
      <c r="D373" s="63" t="s">
        <v>9015</v>
      </c>
      <c r="E373" s="63" t="s">
        <v>9016</v>
      </c>
      <c r="F373" s="63" t="s">
        <v>65</v>
      </c>
      <c r="G373" s="63" t="s">
        <v>9017</v>
      </c>
      <c r="H373" s="93" t="s">
        <v>9018</v>
      </c>
      <c r="I373" s="51" t="s">
        <v>9019</v>
      </c>
      <c r="J373" s="51" t="s">
        <v>9020</v>
      </c>
      <c r="K373" s="47" t="s">
        <v>9021</v>
      </c>
      <c r="L373" s="47" t="s">
        <v>9022</v>
      </c>
      <c r="M373" s="47" t="s">
        <v>9023</v>
      </c>
      <c r="N373" s="47"/>
      <c r="O373" s="310"/>
    </row>
    <row r="374" spans="1:15" ht="14.4">
      <c r="A374" s="26">
        <v>17</v>
      </c>
      <c r="B374" s="47"/>
      <c r="C374" s="63" t="s">
        <v>9024</v>
      </c>
      <c r="D374" s="63" t="s">
        <v>9025</v>
      </c>
      <c r="E374" s="63" t="s">
        <v>9026</v>
      </c>
      <c r="F374" s="63" t="s">
        <v>65</v>
      </c>
      <c r="G374" s="63" t="s">
        <v>1624</v>
      </c>
      <c r="H374" s="93" t="s">
        <v>9027</v>
      </c>
      <c r="I374" s="51" t="s">
        <v>9028</v>
      </c>
      <c r="J374" s="51" t="s">
        <v>9029</v>
      </c>
      <c r="K374" s="47" t="s">
        <v>9030</v>
      </c>
      <c r="L374" s="47" t="s">
        <v>9031</v>
      </c>
      <c r="M374" s="47" t="s">
        <v>9032</v>
      </c>
      <c r="N374" s="47"/>
      <c r="O374" s="310"/>
    </row>
    <row r="375" spans="1:15" ht="14.4">
      <c r="A375" s="26">
        <v>18</v>
      </c>
      <c r="B375" s="47"/>
      <c r="C375" s="63" t="s">
        <v>2739</v>
      </c>
      <c r="D375" s="63" t="s">
        <v>2740</v>
      </c>
      <c r="E375" s="63" t="s">
        <v>9033</v>
      </c>
      <c r="F375" s="63" t="s">
        <v>219</v>
      </c>
      <c r="G375" s="63" t="s">
        <v>9034</v>
      </c>
      <c r="H375" s="93" t="s">
        <v>9035</v>
      </c>
      <c r="I375" s="51" t="s">
        <v>9036</v>
      </c>
      <c r="J375" s="51" t="s">
        <v>9037</v>
      </c>
      <c r="K375" s="47" t="s">
        <v>9038</v>
      </c>
      <c r="L375" s="47" t="s">
        <v>9039</v>
      </c>
      <c r="M375" s="47" t="s">
        <v>9040</v>
      </c>
      <c r="N375" s="47"/>
      <c r="O375" s="310"/>
    </row>
    <row r="376" spans="1:15" ht="14.4">
      <c r="A376" s="26">
        <v>19</v>
      </c>
      <c r="B376" s="47"/>
      <c r="C376" s="63" t="s">
        <v>9041</v>
      </c>
      <c r="D376" s="63" t="s">
        <v>9042</v>
      </c>
      <c r="E376" s="63" t="s">
        <v>9043</v>
      </c>
      <c r="F376" s="63" t="s">
        <v>117</v>
      </c>
      <c r="G376" s="63" t="s">
        <v>9044</v>
      </c>
      <c r="H376" s="93" t="s">
        <v>9045</v>
      </c>
      <c r="I376" s="51" t="s">
        <v>9046</v>
      </c>
      <c r="J376" s="51" t="s">
        <v>9047</v>
      </c>
      <c r="K376" s="47" t="s">
        <v>9048</v>
      </c>
      <c r="L376" s="47" t="s">
        <v>9049</v>
      </c>
      <c r="M376" s="47" t="s">
        <v>9050</v>
      </c>
      <c r="N376" s="47"/>
      <c r="O376" s="310"/>
    </row>
    <row r="377" spans="1:15" ht="14.4">
      <c r="A377" s="26">
        <v>20</v>
      </c>
      <c r="B377" s="47"/>
      <c r="C377" s="63" t="s">
        <v>4845</v>
      </c>
      <c r="D377" s="63" t="s">
        <v>4846</v>
      </c>
      <c r="E377" s="63" t="s">
        <v>4847</v>
      </c>
      <c r="F377" s="63" t="s">
        <v>65</v>
      </c>
      <c r="G377" s="63" t="s">
        <v>4848</v>
      </c>
      <c r="H377" s="93" t="s">
        <v>9051</v>
      </c>
      <c r="I377" s="51" t="s">
        <v>3014</v>
      </c>
      <c r="J377" s="51" t="s">
        <v>4850</v>
      </c>
      <c r="K377" s="47" t="s">
        <v>9052</v>
      </c>
      <c r="L377" s="47" t="s">
        <v>9053</v>
      </c>
      <c r="M377" s="47" t="s">
        <v>9054</v>
      </c>
      <c r="N377" s="47"/>
      <c r="O377" s="310"/>
    </row>
    <row r="378" spans="1:15" ht="14.4">
      <c r="A378" s="26">
        <v>21</v>
      </c>
      <c r="B378" s="47"/>
      <c r="C378" s="63" t="s">
        <v>9055</v>
      </c>
      <c r="D378" s="63" t="s">
        <v>9056</v>
      </c>
      <c r="E378" s="63" t="s">
        <v>9057</v>
      </c>
      <c r="F378" s="63" t="s">
        <v>65</v>
      </c>
      <c r="G378" s="63" t="s">
        <v>9058</v>
      </c>
      <c r="H378" s="93" t="s">
        <v>9059</v>
      </c>
      <c r="I378" s="51" t="s">
        <v>9060</v>
      </c>
      <c r="J378" s="51" t="s">
        <v>9061</v>
      </c>
      <c r="K378" s="47" t="s">
        <v>9062</v>
      </c>
      <c r="L378" s="47" t="s">
        <v>9063</v>
      </c>
      <c r="M378" s="47" t="s">
        <v>9064</v>
      </c>
      <c r="N378" s="47"/>
      <c r="O378" s="310"/>
    </row>
    <row r="379" spans="1:15" ht="14.4">
      <c r="A379" s="26">
        <v>22</v>
      </c>
      <c r="B379" s="47"/>
      <c r="C379" s="63" t="s">
        <v>9065</v>
      </c>
      <c r="D379" s="63" t="s">
        <v>9066</v>
      </c>
      <c r="E379" s="63" t="s">
        <v>9067</v>
      </c>
      <c r="F379" s="63" t="s">
        <v>117</v>
      </c>
      <c r="G379" s="63" t="s">
        <v>9068</v>
      </c>
      <c r="H379" s="93" t="s">
        <v>9069</v>
      </c>
      <c r="I379" s="51" t="s">
        <v>9070</v>
      </c>
      <c r="J379" s="51" t="s">
        <v>9071</v>
      </c>
      <c r="K379" s="47" t="s">
        <v>9072</v>
      </c>
      <c r="L379" s="47" t="s">
        <v>9073</v>
      </c>
      <c r="M379" s="47" t="s">
        <v>9074</v>
      </c>
      <c r="N379" s="47"/>
      <c r="O379" s="310"/>
    </row>
    <row r="380" spans="1:15" ht="14.4">
      <c r="A380" s="26">
        <v>23</v>
      </c>
      <c r="B380" s="47"/>
      <c r="C380" s="63" t="s">
        <v>9075</v>
      </c>
      <c r="D380" s="63" t="s">
        <v>9076</v>
      </c>
      <c r="E380" s="63" t="s">
        <v>9077</v>
      </c>
      <c r="F380" s="63" t="s">
        <v>65</v>
      </c>
      <c r="G380" s="63" t="s">
        <v>9078</v>
      </c>
      <c r="H380" s="93" t="s">
        <v>9079</v>
      </c>
      <c r="I380" s="51" t="s">
        <v>9080</v>
      </c>
      <c r="J380" s="51" t="s">
        <v>9081</v>
      </c>
      <c r="K380" s="47" t="s">
        <v>9082</v>
      </c>
      <c r="L380" s="47" t="s">
        <v>9083</v>
      </c>
      <c r="M380" s="47" t="s">
        <v>9084</v>
      </c>
      <c r="N380" s="47"/>
      <c r="O380" s="310"/>
    </row>
    <row r="381" spans="1:15" ht="14.4">
      <c r="A381" s="26">
        <v>24</v>
      </c>
      <c r="B381" s="47"/>
      <c r="C381" s="63" t="s">
        <v>9085</v>
      </c>
      <c r="D381" s="63" t="s">
        <v>9086</v>
      </c>
      <c r="E381" s="63" t="s">
        <v>9087</v>
      </c>
      <c r="F381" s="63" t="s">
        <v>4392</v>
      </c>
      <c r="G381" s="63" t="s">
        <v>6482</v>
      </c>
      <c r="H381" s="93" t="s">
        <v>9088</v>
      </c>
      <c r="I381" s="51" t="s">
        <v>9089</v>
      </c>
      <c r="J381" s="51" t="s">
        <v>9090</v>
      </c>
      <c r="K381" s="47" t="s">
        <v>9091</v>
      </c>
      <c r="L381" s="47" t="s">
        <v>9092</v>
      </c>
      <c r="M381" s="47" t="s">
        <v>9093</v>
      </c>
      <c r="N381" s="47"/>
      <c r="O381" s="310"/>
    </row>
    <row r="382" spans="1:15" ht="14.4">
      <c r="A382" s="26">
        <v>25</v>
      </c>
      <c r="B382" s="47"/>
      <c r="C382" s="63" t="s">
        <v>9094</v>
      </c>
      <c r="D382" s="63" t="s">
        <v>9095</v>
      </c>
      <c r="E382" s="63" t="s">
        <v>9096</v>
      </c>
      <c r="F382" s="63" t="s">
        <v>9097</v>
      </c>
      <c r="G382" s="63" t="s">
        <v>9098</v>
      </c>
      <c r="H382" s="93" t="s">
        <v>9099</v>
      </c>
      <c r="I382" s="51" t="s">
        <v>9100</v>
      </c>
      <c r="J382" s="51" t="s">
        <v>9101</v>
      </c>
      <c r="K382" s="47" t="s">
        <v>9102</v>
      </c>
      <c r="L382" s="47" t="s">
        <v>9103</v>
      </c>
      <c r="M382" s="47" t="s">
        <v>9104</v>
      </c>
      <c r="N382" s="47"/>
      <c r="O382" s="310"/>
    </row>
    <row r="383" spans="1:15" ht="14.4">
      <c r="A383" s="26">
        <v>26</v>
      </c>
      <c r="B383" s="47"/>
      <c r="C383" s="63" t="s">
        <v>9105</v>
      </c>
      <c r="D383" s="63" t="s">
        <v>9106</v>
      </c>
      <c r="E383" s="63" t="s">
        <v>9107</v>
      </c>
      <c r="F383" s="63" t="s">
        <v>65</v>
      </c>
      <c r="G383" s="63" t="s">
        <v>9108</v>
      </c>
      <c r="H383" s="93" t="s">
        <v>9109</v>
      </c>
      <c r="I383" s="51" t="s">
        <v>9110</v>
      </c>
      <c r="J383" s="51" t="s">
        <v>9111</v>
      </c>
      <c r="K383" s="47" t="s">
        <v>9112</v>
      </c>
      <c r="L383" s="47" t="s">
        <v>9113</v>
      </c>
      <c r="M383" s="47" t="s">
        <v>9114</v>
      </c>
      <c r="N383" s="47"/>
      <c r="O383" s="310"/>
    </row>
    <row r="384" spans="1:15" ht="14.4">
      <c r="A384" s="26">
        <v>27</v>
      </c>
      <c r="B384" s="47"/>
      <c r="C384" s="63" t="s">
        <v>9115</v>
      </c>
      <c r="D384" s="63" t="s">
        <v>9116</v>
      </c>
      <c r="E384" s="63" t="s">
        <v>9117</v>
      </c>
      <c r="F384" s="63" t="s">
        <v>65</v>
      </c>
      <c r="G384" s="63" t="s">
        <v>9118</v>
      </c>
      <c r="H384" s="93" t="s">
        <v>9119</v>
      </c>
      <c r="I384" s="51" t="s">
        <v>9120</v>
      </c>
      <c r="J384" s="51" t="s">
        <v>9121</v>
      </c>
      <c r="K384" s="47" t="s">
        <v>9122</v>
      </c>
      <c r="L384" s="47" t="s">
        <v>9123</v>
      </c>
      <c r="M384" s="47" t="s">
        <v>9124</v>
      </c>
      <c r="N384" s="47"/>
      <c r="O384" s="311"/>
    </row>
    <row r="385" spans="1:15" ht="14.4">
      <c r="A385" s="19">
        <v>1</v>
      </c>
      <c r="B385" s="88"/>
      <c r="C385" s="90" t="s">
        <v>9125</v>
      </c>
      <c r="D385" s="90" t="s">
        <v>9126</v>
      </c>
      <c r="E385" s="90" t="s">
        <v>9127</v>
      </c>
      <c r="F385" s="90" t="s">
        <v>54</v>
      </c>
      <c r="G385" s="90" t="s">
        <v>9128</v>
      </c>
      <c r="H385" s="91" t="s">
        <v>9129</v>
      </c>
      <c r="I385" s="92" t="s">
        <v>9130</v>
      </c>
      <c r="J385" s="92" t="s">
        <v>9131</v>
      </c>
      <c r="K385" s="88" t="s">
        <v>9132</v>
      </c>
      <c r="L385" s="88" t="s">
        <v>9133</v>
      </c>
      <c r="M385" s="88" t="s">
        <v>9134</v>
      </c>
      <c r="N385" s="88">
        <v>15</v>
      </c>
      <c r="O385" s="24" t="s">
        <v>38</v>
      </c>
    </row>
    <row r="386" spans="1:15" ht="14.4">
      <c r="A386" s="26">
        <v>2</v>
      </c>
      <c r="B386" s="47"/>
      <c r="C386" s="63" t="s">
        <v>9135</v>
      </c>
      <c r="D386" s="63" t="s">
        <v>9136</v>
      </c>
      <c r="E386" s="63" t="s">
        <v>9137</v>
      </c>
      <c r="F386" s="63" t="s">
        <v>563</v>
      </c>
      <c r="G386" s="63" t="s">
        <v>9138</v>
      </c>
      <c r="H386" s="93" t="s">
        <v>9139</v>
      </c>
      <c r="I386" s="51" t="s">
        <v>9140</v>
      </c>
      <c r="J386" s="51" t="s">
        <v>9141</v>
      </c>
      <c r="K386" s="47" t="s">
        <v>9142</v>
      </c>
      <c r="L386" s="47" t="s">
        <v>9143</v>
      </c>
      <c r="M386" s="47" t="s">
        <v>9144</v>
      </c>
      <c r="N386" s="47"/>
      <c r="O386" s="315" t="s">
        <v>9145</v>
      </c>
    </row>
    <row r="387" spans="1:15" ht="14.4">
      <c r="A387" s="26">
        <v>3</v>
      </c>
      <c r="B387" s="47"/>
      <c r="C387" s="63" t="s">
        <v>9146</v>
      </c>
      <c r="D387" s="63" t="s">
        <v>9147</v>
      </c>
      <c r="E387" s="63" t="s">
        <v>9148</v>
      </c>
      <c r="F387" s="63" t="s">
        <v>65</v>
      </c>
      <c r="G387" s="63" t="s">
        <v>9149</v>
      </c>
      <c r="H387" s="93" t="s">
        <v>9150</v>
      </c>
      <c r="I387" s="51" t="s">
        <v>9151</v>
      </c>
      <c r="J387" s="51" t="s">
        <v>9152</v>
      </c>
      <c r="K387" s="47" t="s">
        <v>9153</v>
      </c>
      <c r="L387" s="47" t="s">
        <v>9154</v>
      </c>
      <c r="M387" s="47" t="s">
        <v>9155</v>
      </c>
      <c r="N387" s="47"/>
      <c r="O387" s="310"/>
    </row>
    <row r="388" spans="1:15" ht="14.4">
      <c r="A388" s="26">
        <v>4</v>
      </c>
      <c r="B388" s="47"/>
      <c r="C388" s="63" t="s">
        <v>9156</v>
      </c>
      <c r="D388" s="63" t="s">
        <v>9157</v>
      </c>
      <c r="E388" s="63" t="s">
        <v>9158</v>
      </c>
      <c r="F388" s="63" t="s">
        <v>65</v>
      </c>
      <c r="G388" s="63" t="s">
        <v>5129</v>
      </c>
      <c r="H388" s="93" t="s">
        <v>9159</v>
      </c>
      <c r="I388" s="51" t="s">
        <v>9160</v>
      </c>
      <c r="J388" s="51" t="s">
        <v>9161</v>
      </c>
      <c r="K388" s="47" t="s">
        <v>9162</v>
      </c>
      <c r="L388" s="47" t="s">
        <v>9163</v>
      </c>
      <c r="M388" s="47" t="s">
        <v>9164</v>
      </c>
      <c r="N388" s="47"/>
      <c r="O388" s="310"/>
    </row>
    <row r="389" spans="1:15" ht="20.25" customHeight="1">
      <c r="A389" s="26">
        <v>5</v>
      </c>
      <c r="B389" s="47"/>
      <c r="C389" s="63" t="s">
        <v>9165</v>
      </c>
      <c r="D389" s="63" t="s">
        <v>9166</v>
      </c>
      <c r="E389" s="63" t="s">
        <v>9167</v>
      </c>
      <c r="F389" s="63" t="s">
        <v>65</v>
      </c>
      <c r="G389" s="63" t="s">
        <v>9168</v>
      </c>
      <c r="H389" s="93" t="s">
        <v>9169</v>
      </c>
      <c r="I389" s="51" t="s">
        <v>9170</v>
      </c>
      <c r="J389" s="51" t="s">
        <v>9171</v>
      </c>
      <c r="K389" s="47" t="s">
        <v>9172</v>
      </c>
      <c r="L389" s="47" t="s">
        <v>9173</v>
      </c>
      <c r="M389" s="47" t="s">
        <v>9174</v>
      </c>
      <c r="N389" s="47"/>
      <c r="O389" s="310"/>
    </row>
    <row r="390" spans="1:15" ht="14.4">
      <c r="A390" s="26">
        <v>6</v>
      </c>
      <c r="B390" s="47"/>
      <c r="C390" s="63" t="s">
        <v>9175</v>
      </c>
      <c r="D390" s="63" t="s">
        <v>9176</v>
      </c>
      <c r="E390" s="63" t="s">
        <v>9177</v>
      </c>
      <c r="F390" s="63" t="s">
        <v>65</v>
      </c>
      <c r="G390" s="63" t="s">
        <v>9178</v>
      </c>
      <c r="H390" s="93" t="s">
        <v>9179</v>
      </c>
      <c r="I390" s="51" t="s">
        <v>9180</v>
      </c>
      <c r="J390" s="51" t="s">
        <v>9181</v>
      </c>
      <c r="K390" s="47" t="s">
        <v>9182</v>
      </c>
      <c r="L390" s="47" t="s">
        <v>9183</v>
      </c>
      <c r="M390" s="47" t="s">
        <v>9184</v>
      </c>
      <c r="N390" s="47"/>
      <c r="O390" s="310"/>
    </row>
    <row r="391" spans="1:15" ht="14.4">
      <c r="A391" s="26">
        <v>7</v>
      </c>
      <c r="B391" s="47"/>
      <c r="C391" s="63" t="s">
        <v>9185</v>
      </c>
      <c r="D391" s="63" t="s">
        <v>9186</v>
      </c>
      <c r="E391" s="63" t="s">
        <v>9187</v>
      </c>
      <c r="F391" s="63" t="s">
        <v>65</v>
      </c>
      <c r="G391" s="63" t="s">
        <v>9188</v>
      </c>
      <c r="H391" s="93" t="s">
        <v>9189</v>
      </c>
      <c r="I391" s="51" t="s">
        <v>9190</v>
      </c>
      <c r="J391" s="51" t="s">
        <v>9191</v>
      </c>
      <c r="K391" s="47" t="s">
        <v>9192</v>
      </c>
      <c r="L391" s="47" t="s">
        <v>9193</v>
      </c>
      <c r="M391" s="47" t="s">
        <v>9194</v>
      </c>
      <c r="N391" s="47"/>
      <c r="O391" s="310"/>
    </row>
    <row r="392" spans="1:15" ht="14.4">
      <c r="A392" s="26">
        <v>8</v>
      </c>
      <c r="B392" s="47"/>
      <c r="C392" s="63" t="s">
        <v>9195</v>
      </c>
      <c r="D392" s="63" t="s">
        <v>9196</v>
      </c>
      <c r="E392" s="63" t="s">
        <v>9197</v>
      </c>
      <c r="F392" s="63" t="s">
        <v>501</v>
      </c>
      <c r="G392" s="63" t="s">
        <v>9198</v>
      </c>
      <c r="H392" s="93" t="s">
        <v>9199</v>
      </c>
      <c r="I392" s="51" t="s">
        <v>9200</v>
      </c>
      <c r="J392" s="51" t="s">
        <v>9201</v>
      </c>
      <c r="K392" s="47" t="s">
        <v>9202</v>
      </c>
      <c r="L392" s="47" t="s">
        <v>9203</v>
      </c>
      <c r="M392" s="47" t="s">
        <v>9204</v>
      </c>
      <c r="N392" s="47"/>
      <c r="O392" s="310"/>
    </row>
    <row r="393" spans="1:15" ht="14.4">
      <c r="A393" s="26">
        <v>9</v>
      </c>
      <c r="B393" s="47"/>
      <c r="C393" s="63" t="s">
        <v>9205</v>
      </c>
      <c r="D393" s="63" t="s">
        <v>9206</v>
      </c>
      <c r="E393" s="63" t="s">
        <v>9207</v>
      </c>
      <c r="F393" s="63" t="s">
        <v>117</v>
      </c>
      <c r="G393" s="63" t="s">
        <v>9208</v>
      </c>
      <c r="H393" s="93" t="s">
        <v>9209</v>
      </c>
      <c r="I393" s="51" t="s">
        <v>9210</v>
      </c>
      <c r="J393" s="51" t="s">
        <v>9211</v>
      </c>
      <c r="K393" s="47" t="s">
        <v>9212</v>
      </c>
      <c r="L393" s="47" t="s">
        <v>9213</v>
      </c>
      <c r="M393" s="47" t="s">
        <v>9214</v>
      </c>
      <c r="N393" s="47"/>
      <c r="O393" s="310"/>
    </row>
    <row r="394" spans="1:15" ht="14.4">
      <c r="A394" s="26">
        <v>10</v>
      </c>
      <c r="B394" s="47"/>
      <c r="C394" s="63" t="s">
        <v>9215</v>
      </c>
      <c r="D394" s="63" t="s">
        <v>9216</v>
      </c>
      <c r="E394" s="63" t="s">
        <v>9217</v>
      </c>
      <c r="F394" s="63" t="s">
        <v>664</v>
      </c>
      <c r="G394" s="63" t="s">
        <v>3262</v>
      </c>
      <c r="H394" s="93" t="s">
        <v>9218</v>
      </c>
      <c r="I394" s="51" t="s">
        <v>9219</v>
      </c>
      <c r="J394" s="51" t="s">
        <v>9220</v>
      </c>
      <c r="K394" s="47" t="s">
        <v>9221</v>
      </c>
      <c r="L394" s="47" t="s">
        <v>9222</v>
      </c>
      <c r="M394" s="47" t="s">
        <v>9223</v>
      </c>
      <c r="N394" s="47"/>
      <c r="O394" s="310"/>
    </row>
    <row r="395" spans="1:15" ht="14.4">
      <c r="A395" s="26">
        <v>11</v>
      </c>
      <c r="B395" s="47"/>
      <c r="C395" s="63" t="s">
        <v>9224</v>
      </c>
      <c r="D395" s="63" t="s">
        <v>9225</v>
      </c>
      <c r="E395" s="63" t="s">
        <v>9226</v>
      </c>
      <c r="F395" s="63" t="s">
        <v>65</v>
      </c>
      <c r="G395" s="63" t="s">
        <v>9227</v>
      </c>
      <c r="H395" s="93" t="s">
        <v>9228</v>
      </c>
      <c r="I395" s="51" t="s">
        <v>9229</v>
      </c>
      <c r="J395" s="51" t="s">
        <v>9230</v>
      </c>
      <c r="K395" s="47" t="s">
        <v>9231</v>
      </c>
      <c r="L395" s="47" t="s">
        <v>5426</v>
      </c>
      <c r="M395" s="47" t="s">
        <v>5427</v>
      </c>
      <c r="N395" s="47"/>
      <c r="O395" s="310"/>
    </row>
    <row r="396" spans="1:15" ht="14.4">
      <c r="A396" s="26">
        <v>12</v>
      </c>
      <c r="B396" s="47"/>
      <c r="C396" s="63" t="s">
        <v>9232</v>
      </c>
      <c r="D396" s="63" t="s">
        <v>9233</v>
      </c>
      <c r="E396" s="63" t="s">
        <v>9234</v>
      </c>
      <c r="F396" s="63" t="s">
        <v>54</v>
      </c>
      <c r="G396" s="63" t="s">
        <v>9235</v>
      </c>
      <c r="H396" s="93" t="s">
        <v>9236</v>
      </c>
      <c r="I396" s="51" t="s">
        <v>9237</v>
      </c>
      <c r="J396" s="51" t="s">
        <v>9238</v>
      </c>
      <c r="K396" s="47" t="s">
        <v>9239</v>
      </c>
      <c r="L396" s="47" t="s">
        <v>9240</v>
      </c>
      <c r="M396" s="47" t="s">
        <v>9241</v>
      </c>
      <c r="N396" s="47"/>
      <c r="O396" s="310"/>
    </row>
    <row r="397" spans="1:15" ht="14.4">
      <c r="A397" s="26">
        <v>13</v>
      </c>
      <c r="B397" s="47"/>
      <c r="C397" s="63" t="s">
        <v>9242</v>
      </c>
      <c r="D397" s="63" t="s">
        <v>9243</v>
      </c>
      <c r="E397" s="63" t="s">
        <v>9244</v>
      </c>
      <c r="F397" s="63" t="s">
        <v>65</v>
      </c>
      <c r="G397" s="63" t="s">
        <v>9245</v>
      </c>
      <c r="H397" s="93" t="s">
        <v>9246</v>
      </c>
      <c r="I397" s="51" t="s">
        <v>9247</v>
      </c>
      <c r="J397" s="51" t="s">
        <v>9248</v>
      </c>
      <c r="K397" s="47" t="s">
        <v>9249</v>
      </c>
      <c r="L397" s="47" t="s">
        <v>9250</v>
      </c>
      <c r="M397" s="47" t="s">
        <v>9251</v>
      </c>
      <c r="N397" s="47"/>
      <c r="O397" s="310"/>
    </row>
    <row r="398" spans="1:15" ht="14.4">
      <c r="A398" s="26">
        <v>14</v>
      </c>
      <c r="B398" s="47"/>
      <c r="C398" s="63" t="s">
        <v>9252</v>
      </c>
      <c r="D398" s="63" t="s">
        <v>9253</v>
      </c>
      <c r="E398" s="63" t="s">
        <v>9254</v>
      </c>
      <c r="F398" s="63" t="s">
        <v>65</v>
      </c>
      <c r="G398" s="63" t="s">
        <v>9255</v>
      </c>
      <c r="H398" s="93" t="s">
        <v>9256</v>
      </c>
      <c r="I398" s="51" t="s">
        <v>9257</v>
      </c>
      <c r="J398" s="51" t="s">
        <v>9258</v>
      </c>
      <c r="K398" s="47" t="s">
        <v>9259</v>
      </c>
      <c r="L398" s="47" t="s">
        <v>9260</v>
      </c>
      <c r="M398" s="47" t="s">
        <v>9261</v>
      </c>
      <c r="N398" s="47"/>
      <c r="O398" s="310"/>
    </row>
    <row r="399" spans="1:15" ht="14.4">
      <c r="A399" s="26">
        <v>15</v>
      </c>
      <c r="B399" s="47"/>
      <c r="C399" s="63" t="s">
        <v>9262</v>
      </c>
      <c r="D399" s="63" t="s">
        <v>9263</v>
      </c>
      <c r="E399" s="63" t="s">
        <v>9264</v>
      </c>
      <c r="F399" s="63" t="s">
        <v>65</v>
      </c>
      <c r="G399" s="63" t="s">
        <v>9265</v>
      </c>
      <c r="H399" s="93" t="s">
        <v>9266</v>
      </c>
      <c r="I399" s="51" t="s">
        <v>9267</v>
      </c>
      <c r="J399" s="51" t="s">
        <v>9268</v>
      </c>
      <c r="K399" s="47" t="s">
        <v>9269</v>
      </c>
      <c r="L399" s="47" t="s">
        <v>9270</v>
      </c>
      <c r="M399" s="47" t="s">
        <v>9271</v>
      </c>
      <c r="N399" s="47"/>
      <c r="O399" s="310"/>
    </row>
    <row r="400" spans="1:15" ht="14.4">
      <c r="A400" s="26">
        <v>16</v>
      </c>
      <c r="B400" s="47"/>
      <c r="C400" s="63" t="s">
        <v>9272</v>
      </c>
      <c r="D400" s="63" t="s">
        <v>9273</v>
      </c>
      <c r="E400" s="63" t="s">
        <v>9274</v>
      </c>
      <c r="F400" s="63" t="s">
        <v>117</v>
      </c>
      <c r="G400" s="63" t="s">
        <v>8773</v>
      </c>
      <c r="H400" s="93" t="s">
        <v>9275</v>
      </c>
      <c r="I400" s="51" t="s">
        <v>9276</v>
      </c>
      <c r="J400" s="51" t="s">
        <v>9277</v>
      </c>
      <c r="K400" s="47" t="s">
        <v>9278</v>
      </c>
      <c r="L400" s="47" t="s">
        <v>9279</v>
      </c>
      <c r="M400" s="47" t="s">
        <v>9280</v>
      </c>
      <c r="N400" s="47"/>
      <c r="O400" s="310"/>
    </row>
    <row r="401" spans="1:15" ht="14.4">
      <c r="A401" s="26">
        <v>17</v>
      </c>
      <c r="B401" s="47"/>
      <c r="C401" s="63" t="s">
        <v>9281</v>
      </c>
      <c r="D401" s="63" t="s">
        <v>9282</v>
      </c>
      <c r="E401" s="63" t="s">
        <v>9283</v>
      </c>
      <c r="F401" s="63" t="s">
        <v>3241</v>
      </c>
      <c r="G401" s="63" t="s">
        <v>9284</v>
      </c>
      <c r="H401" s="93" t="s">
        <v>9285</v>
      </c>
      <c r="I401" s="51" t="s">
        <v>9286</v>
      </c>
      <c r="J401" s="51" t="s">
        <v>9287</v>
      </c>
      <c r="K401" s="47" t="s">
        <v>9288</v>
      </c>
      <c r="L401" s="47" t="s">
        <v>9289</v>
      </c>
      <c r="M401" s="47" t="s">
        <v>9290</v>
      </c>
      <c r="N401" s="47"/>
      <c r="O401" s="310"/>
    </row>
    <row r="402" spans="1:15" ht="14.4">
      <c r="A402" s="26">
        <v>18</v>
      </c>
      <c r="B402" s="47"/>
      <c r="C402" s="63" t="s">
        <v>9291</v>
      </c>
      <c r="D402" s="63" t="s">
        <v>9292</v>
      </c>
      <c r="E402" s="63" t="s">
        <v>663</v>
      </c>
      <c r="F402" s="63" t="s">
        <v>65</v>
      </c>
      <c r="G402" s="63" t="s">
        <v>9293</v>
      </c>
      <c r="H402" s="93" t="s">
        <v>9294</v>
      </c>
      <c r="I402" s="51" t="s">
        <v>9295</v>
      </c>
      <c r="J402" s="51" t="s">
        <v>9296</v>
      </c>
      <c r="K402" s="47" t="s">
        <v>9297</v>
      </c>
      <c r="L402" s="47" t="s">
        <v>9298</v>
      </c>
      <c r="M402" s="47" t="s">
        <v>9299</v>
      </c>
      <c r="N402" s="47"/>
      <c r="O402" s="310"/>
    </row>
    <row r="403" spans="1:15" ht="14.4">
      <c r="A403" s="26">
        <v>19</v>
      </c>
      <c r="B403" s="47"/>
      <c r="C403" s="63" t="s">
        <v>9300</v>
      </c>
      <c r="D403" s="63" t="s">
        <v>9301</v>
      </c>
      <c r="E403" s="63" t="s">
        <v>9302</v>
      </c>
      <c r="F403" s="63" t="s">
        <v>65</v>
      </c>
      <c r="G403" s="63" t="s">
        <v>9303</v>
      </c>
      <c r="H403" s="93" t="s">
        <v>9304</v>
      </c>
      <c r="I403" s="51" t="s">
        <v>9305</v>
      </c>
      <c r="J403" s="51" t="s">
        <v>9306</v>
      </c>
      <c r="K403" s="47" t="s">
        <v>9307</v>
      </c>
      <c r="L403" s="47" t="s">
        <v>9308</v>
      </c>
      <c r="M403" s="47" t="s">
        <v>9309</v>
      </c>
      <c r="N403" s="47"/>
      <c r="O403" s="310"/>
    </row>
    <row r="404" spans="1:15" ht="14.4">
      <c r="A404" s="26">
        <v>20</v>
      </c>
      <c r="B404" s="47"/>
      <c r="C404" s="63" t="s">
        <v>9310</v>
      </c>
      <c r="D404" s="63" t="s">
        <v>9311</v>
      </c>
      <c r="E404" s="63" t="s">
        <v>9312</v>
      </c>
      <c r="F404" s="63" t="s">
        <v>117</v>
      </c>
      <c r="G404" s="63" t="s">
        <v>9313</v>
      </c>
      <c r="H404" s="93" t="s">
        <v>9314</v>
      </c>
      <c r="I404" s="51" t="s">
        <v>9315</v>
      </c>
      <c r="J404" s="51" t="s">
        <v>9316</v>
      </c>
      <c r="K404" s="47" t="s">
        <v>9317</v>
      </c>
      <c r="L404" s="47" t="s">
        <v>9318</v>
      </c>
      <c r="M404" s="47" t="s">
        <v>9319</v>
      </c>
      <c r="N404" s="47"/>
      <c r="O404" s="310"/>
    </row>
    <row r="405" spans="1:15" ht="14.4">
      <c r="A405" s="26">
        <v>21</v>
      </c>
      <c r="B405" s="47"/>
      <c r="C405" s="63" t="s">
        <v>9320</v>
      </c>
      <c r="D405" s="63" t="s">
        <v>9321</v>
      </c>
      <c r="E405" s="63" t="s">
        <v>9322</v>
      </c>
      <c r="F405" s="63" t="s">
        <v>65</v>
      </c>
      <c r="G405" s="63" t="s">
        <v>9323</v>
      </c>
      <c r="H405" s="93" t="s">
        <v>9324</v>
      </c>
      <c r="I405" s="51" t="s">
        <v>9325</v>
      </c>
      <c r="J405" s="51" t="s">
        <v>9326</v>
      </c>
      <c r="K405" s="47" t="s">
        <v>9327</v>
      </c>
      <c r="L405" s="47" t="s">
        <v>9328</v>
      </c>
      <c r="M405" s="47" t="s">
        <v>9329</v>
      </c>
      <c r="N405" s="47"/>
      <c r="O405" s="310"/>
    </row>
    <row r="406" spans="1:15" ht="14.4">
      <c r="A406" s="26">
        <v>22</v>
      </c>
      <c r="B406" s="47"/>
      <c r="C406" s="63" t="s">
        <v>9330</v>
      </c>
      <c r="D406" s="63" t="s">
        <v>9331</v>
      </c>
      <c r="E406" s="63" t="s">
        <v>9332</v>
      </c>
      <c r="F406" s="63" t="s">
        <v>65</v>
      </c>
      <c r="G406" s="63" t="s">
        <v>9333</v>
      </c>
      <c r="H406" s="93" t="s">
        <v>9334</v>
      </c>
      <c r="I406" s="51" t="s">
        <v>9335</v>
      </c>
      <c r="J406" s="51" t="s">
        <v>9336</v>
      </c>
      <c r="K406" s="47" t="s">
        <v>9337</v>
      </c>
      <c r="L406" s="47" t="s">
        <v>9338</v>
      </c>
      <c r="M406" s="47" t="s">
        <v>9339</v>
      </c>
      <c r="N406" s="47"/>
      <c r="O406" s="310"/>
    </row>
    <row r="407" spans="1:15" ht="14.4">
      <c r="A407" s="26">
        <v>23</v>
      </c>
      <c r="B407" s="47"/>
      <c r="C407" s="63" t="s">
        <v>9340</v>
      </c>
      <c r="D407" s="63" t="s">
        <v>9341</v>
      </c>
      <c r="E407" s="63" t="s">
        <v>9342</v>
      </c>
      <c r="F407" s="63" t="s">
        <v>117</v>
      </c>
      <c r="G407" s="63" t="s">
        <v>9343</v>
      </c>
      <c r="H407" s="93" t="s">
        <v>9344</v>
      </c>
      <c r="I407" s="51" t="s">
        <v>9345</v>
      </c>
      <c r="J407" s="51" t="s">
        <v>9346</v>
      </c>
      <c r="K407" s="47" t="s">
        <v>9347</v>
      </c>
      <c r="L407" s="47" t="s">
        <v>9348</v>
      </c>
      <c r="M407" s="47" t="s">
        <v>9349</v>
      </c>
      <c r="N407" s="47"/>
      <c r="O407" s="310"/>
    </row>
    <row r="408" spans="1:15" ht="14.4">
      <c r="A408" s="26">
        <v>24</v>
      </c>
      <c r="B408" s="47"/>
      <c r="C408" s="63" t="s">
        <v>9350</v>
      </c>
      <c r="D408" s="63" t="s">
        <v>9351</v>
      </c>
      <c r="E408" s="63" t="s">
        <v>9352</v>
      </c>
      <c r="F408" s="63" t="s">
        <v>65</v>
      </c>
      <c r="G408" s="63" t="s">
        <v>9353</v>
      </c>
      <c r="H408" s="93" t="s">
        <v>9354</v>
      </c>
      <c r="I408" s="51" t="s">
        <v>9355</v>
      </c>
      <c r="J408" s="51" t="s">
        <v>9356</v>
      </c>
      <c r="K408" s="47" t="s">
        <v>9357</v>
      </c>
      <c r="L408" s="47" t="s">
        <v>9358</v>
      </c>
      <c r="M408" s="47" t="s">
        <v>9359</v>
      </c>
      <c r="N408" s="47"/>
      <c r="O408" s="310"/>
    </row>
    <row r="409" spans="1:15" ht="14.4">
      <c r="A409" s="26">
        <v>25</v>
      </c>
      <c r="B409" s="47"/>
      <c r="C409" s="63" t="s">
        <v>9360</v>
      </c>
      <c r="D409" s="63" t="s">
        <v>9361</v>
      </c>
      <c r="E409" s="63" t="s">
        <v>9362</v>
      </c>
      <c r="F409" s="63" t="s">
        <v>117</v>
      </c>
      <c r="G409" s="63" t="s">
        <v>9363</v>
      </c>
      <c r="H409" s="93" t="s">
        <v>9364</v>
      </c>
      <c r="I409" s="51" t="s">
        <v>9365</v>
      </c>
      <c r="J409" s="51" t="s">
        <v>9366</v>
      </c>
      <c r="K409" s="47" t="s">
        <v>9367</v>
      </c>
      <c r="L409" s="47" t="s">
        <v>9368</v>
      </c>
      <c r="M409" s="47" t="s">
        <v>9369</v>
      </c>
      <c r="N409" s="47"/>
      <c r="O409" s="311"/>
    </row>
    <row r="410" spans="1:15" ht="14.4">
      <c r="A410" s="19">
        <v>1</v>
      </c>
      <c r="B410" s="88"/>
      <c r="C410" s="90" t="s">
        <v>9370</v>
      </c>
      <c r="D410" s="90" t="s">
        <v>9371</v>
      </c>
      <c r="E410" s="90" t="s">
        <v>9372</v>
      </c>
      <c r="F410" s="90" t="s">
        <v>54</v>
      </c>
      <c r="G410" s="90" t="s">
        <v>9373</v>
      </c>
      <c r="H410" s="91" t="s">
        <v>9374</v>
      </c>
      <c r="I410" s="92" t="s">
        <v>9375</v>
      </c>
      <c r="J410" s="92" t="s">
        <v>9376</v>
      </c>
      <c r="K410" s="88" t="s">
        <v>9377</v>
      </c>
      <c r="L410" s="88" t="s">
        <v>9378</v>
      </c>
      <c r="M410" s="88" t="s">
        <v>9379</v>
      </c>
      <c r="N410" s="88">
        <v>16</v>
      </c>
      <c r="O410" s="24" t="s">
        <v>38</v>
      </c>
    </row>
    <row r="411" spans="1:15" ht="14.4">
      <c r="A411" s="26">
        <v>2</v>
      </c>
      <c r="B411" s="47"/>
      <c r="C411" s="63" t="s">
        <v>9380</v>
      </c>
      <c r="D411" s="63" t="s">
        <v>9381</v>
      </c>
      <c r="E411" s="63" t="s">
        <v>9382</v>
      </c>
      <c r="F411" s="63" t="s">
        <v>54</v>
      </c>
      <c r="G411" s="63" t="s">
        <v>9383</v>
      </c>
      <c r="H411" s="93" t="s">
        <v>9384</v>
      </c>
      <c r="I411" s="51" t="s">
        <v>9385</v>
      </c>
      <c r="J411" s="51" t="s">
        <v>9386</v>
      </c>
      <c r="K411" s="47" t="s">
        <v>9387</v>
      </c>
      <c r="L411" s="47" t="s">
        <v>9388</v>
      </c>
      <c r="M411" s="47" t="s">
        <v>9389</v>
      </c>
      <c r="N411" s="47"/>
      <c r="O411" s="315" t="s">
        <v>9390</v>
      </c>
    </row>
    <row r="412" spans="1:15" ht="14.4">
      <c r="A412" s="26">
        <v>3</v>
      </c>
      <c r="B412" s="47"/>
      <c r="C412" s="63" t="s">
        <v>3800</v>
      </c>
      <c r="D412" s="63" t="s">
        <v>9391</v>
      </c>
      <c r="E412" s="63" t="s">
        <v>3802</v>
      </c>
      <c r="F412" s="63" t="s">
        <v>219</v>
      </c>
      <c r="G412" s="63" t="s">
        <v>3804</v>
      </c>
      <c r="H412" s="93" t="s">
        <v>9392</v>
      </c>
      <c r="I412" s="51" t="s">
        <v>3806</v>
      </c>
      <c r="J412" s="51" t="s">
        <v>9393</v>
      </c>
      <c r="K412" s="47" t="s">
        <v>9394</v>
      </c>
      <c r="L412" s="47" t="s">
        <v>9395</v>
      </c>
      <c r="M412" s="47" t="s">
        <v>9396</v>
      </c>
      <c r="N412" s="47"/>
      <c r="O412" s="310"/>
    </row>
    <row r="413" spans="1:15" ht="14.4">
      <c r="A413" s="26">
        <v>4</v>
      </c>
      <c r="B413" s="47"/>
      <c r="C413" s="63" t="s">
        <v>9397</v>
      </c>
      <c r="D413" s="63" t="s">
        <v>9398</v>
      </c>
      <c r="E413" s="63" t="s">
        <v>9399</v>
      </c>
      <c r="F413" s="63" t="s">
        <v>65</v>
      </c>
      <c r="G413" s="63" t="s">
        <v>9400</v>
      </c>
      <c r="H413" s="93" t="s">
        <v>9401</v>
      </c>
      <c r="I413" s="51" t="s">
        <v>9402</v>
      </c>
      <c r="J413" s="51" t="s">
        <v>9403</v>
      </c>
      <c r="K413" s="47" t="s">
        <v>9404</v>
      </c>
      <c r="L413" s="47" t="s">
        <v>9405</v>
      </c>
      <c r="M413" s="47" t="s">
        <v>9406</v>
      </c>
      <c r="N413" s="47"/>
      <c r="O413" s="310"/>
    </row>
    <row r="414" spans="1:15" ht="14.4">
      <c r="A414" s="26">
        <v>5</v>
      </c>
      <c r="B414" s="47"/>
      <c r="C414" s="63" t="s">
        <v>9407</v>
      </c>
      <c r="D414" s="63" t="s">
        <v>9408</v>
      </c>
      <c r="E414" s="63" t="s">
        <v>9409</v>
      </c>
      <c r="F414" s="63" t="s">
        <v>117</v>
      </c>
      <c r="G414" s="63" t="s">
        <v>9410</v>
      </c>
      <c r="H414" s="93" t="s">
        <v>9411</v>
      </c>
      <c r="I414" s="51" t="s">
        <v>9412</v>
      </c>
      <c r="J414" s="51" t="s">
        <v>9413</v>
      </c>
      <c r="K414" s="47" t="s">
        <v>9414</v>
      </c>
      <c r="L414" s="47" t="s">
        <v>9415</v>
      </c>
      <c r="M414" s="47" t="s">
        <v>9416</v>
      </c>
      <c r="N414" s="47"/>
      <c r="O414" s="310"/>
    </row>
    <row r="415" spans="1:15" ht="14.4">
      <c r="A415" s="26">
        <v>6</v>
      </c>
      <c r="B415" s="47"/>
      <c r="C415" s="63" t="s">
        <v>5172</v>
      </c>
      <c r="D415" s="63" t="s">
        <v>5173</v>
      </c>
      <c r="E415" s="63" t="s">
        <v>5174</v>
      </c>
      <c r="F415" s="63" t="s">
        <v>219</v>
      </c>
      <c r="G415" s="63" t="s">
        <v>5175</v>
      </c>
      <c r="H415" s="93" t="s">
        <v>9417</v>
      </c>
      <c r="I415" s="51" t="s">
        <v>5552</v>
      </c>
      <c r="J415" s="51" t="s">
        <v>5178</v>
      </c>
      <c r="K415" s="47" t="s">
        <v>9418</v>
      </c>
      <c r="L415" s="47" t="s">
        <v>9419</v>
      </c>
      <c r="M415" s="47" t="s">
        <v>9420</v>
      </c>
      <c r="N415" s="47"/>
      <c r="O415" s="310"/>
    </row>
    <row r="416" spans="1:15" ht="14.4">
      <c r="A416" s="26">
        <v>7</v>
      </c>
      <c r="B416" s="47"/>
      <c r="C416" s="63" t="s">
        <v>9421</v>
      </c>
      <c r="D416" s="63" t="s">
        <v>9422</v>
      </c>
      <c r="E416" s="63" t="s">
        <v>9423</v>
      </c>
      <c r="F416" s="63" t="s">
        <v>117</v>
      </c>
      <c r="G416" s="63" t="s">
        <v>9424</v>
      </c>
      <c r="H416" s="93" t="s">
        <v>9425</v>
      </c>
      <c r="I416" s="51" t="s">
        <v>9426</v>
      </c>
      <c r="J416" s="51" t="s">
        <v>9427</v>
      </c>
      <c r="K416" s="47" t="s">
        <v>9428</v>
      </c>
      <c r="L416" s="47" t="s">
        <v>9429</v>
      </c>
      <c r="M416" s="47" t="s">
        <v>9430</v>
      </c>
      <c r="N416" s="47"/>
      <c r="O416" s="310"/>
    </row>
    <row r="417" spans="1:15" ht="14.4">
      <c r="A417" s="26">
        <v>8</v>
      </c>
      <c r="B417" s="47"/>
      <c r="C417" s="63" t="s">
        <v>9431</v>
      </c>
      <c r="D417" s="63" t="s">
        <v>9432</v>
      </c>
      <c r="E417" s="63" t="s">
        <v>9433</v>
      </c>
      <c r="F417" s="63" t="s">
        <v>65</v>
      </c>
      <c r="G417" s="63" t="s">
        <v>9434</v>
      </c>
      <c r="H417" s="93" t="s">
        <v>9435</v>
      </c>
      <c r="I417" s="51" t="s">
        <v>9436</v>
      </c>
      <c r="J417" s="51" t="s">
        <v>9437</v>
      </c>
      <c r="K417" s="47" t="s">
        <v>9438</v>
      </c>
      <c r="L417" s="47" t="s">
        <v>9439</v>
      </c>
      <c r="M417" s="47" t="s">
        <v>9440</v>
      </c>
      <c r="N417" s="47"/>
      <c r="O417" s="310"/>
    </row>
    <row r="418" spans="1:15" ht="14.4">
      <c r="A418" s="26">
        <v>9</v>
      </c>
      <c r="B418" s="47"/>
      <c r="C418" s="63" t="s">
        <v>9441</v>
      </c>
      <c r="D418" s="63" t="s">
        <v>9442</v>
      </c>
      <c r="E418" s="63" t="s">
        <v>9443</v>
      </c>
      <c r="F418" s="63" t="s">
        <v>65</v>
      </c>
      <c r="G418" s="63" t="s">
        <v>9444</v>
      </c>
      <c r="H418" s="93" t="s">
        <v>9445</v>
      </c>
      <c r="I418" s="51" t="s">
        <v>9446</v>
      </c>
      <c r="J418" s="51" t="s">
        <v>9447</v>
      </c>
      <c r="K418" s="47" t="s">
        <v>9448</v>
      </c>
      <c r="L418" s="47" t="s">
        <v>9449</v>
      </c>
      <c r="M418" s="47" t="s">
        <v>9450</v>
      </c>
      <c r="N418" s="47"/>
      <c r="O418" s="310"/>
    </row>
    <row r="419" spans="1:15" ht="14.4">
      <c r="A419" s="26">
        <v>10</v>
      </c>
      <c r="B419" s="47"/>
      <c r="C419" s="63" t="s">
        <v>9451</v>
      </c>
      <c r="D419" s="63" t="s">
        <v>9452</v>
      </c>
      <c r="E419" s="63" t="s">
        <v>9453</v>
      </c>
      <c r="F419" s="63" t="s">
        <v>65</v>
      </c>
      <c r="G419" s="63" t="s">
        <v>9454</v>
      </c>
      <c r="H419" s="93" t="s">
        <v>9455</v>
      </c>
      <c r="I419" s="51" t="s">
        <v>9456</v>
      </c>
      <c r="J419" s="51" t="s">
        <v>9457</v>
      </c>
      <c r="K419" s="47" t="s">
        <v>9458</v>
      </c>
      <c r="L419" s="47" t="s">
        <v>9459</v>
      </c>
      <c r="M419" s="47" t="s">
        <v>9460</v>
      </c>
      <c r="N419" s="47"/>
      <c r="O419" s="310"/>
    </row>
    <row r="420" spans="1:15" ht="14.4">
      <c r="A420" s="26">
        <v>11</v>
      </c>
      <c r="B420" s="47"/>
      <c r="C420" s="63" t="s">
        <v>9461</v>
      </c>
      <c r="D420" s="63" t="s">
        <v>9462</v>
      </c>
      <c r="E420" s="63" t="s">
        <v>9463</v>
      </c>
      <c r="F420" s="63" t="s">
        <v>65</v>
      </c>
      <c r="G420" s="63" t="s">
        <v>9464</v>
      </c>
      <c r="H420" s="93" t="s">
        <v>9465</v>
      </c>
      <c r="I420" s="51" t="s">
        <v>9466</v>
      </c>
      <c r="J420" s="51" t="s">
        <v>9467</v>
      </c>
      <c r="K420" s="47" t="s">
        <v>9468</v>
      </c>
      <c r="L420" s="47" t="s">
        <v>9469</v>
      </c>
      <c r="M420" s="47" t="s">
        <v>9470</v>
      </c>
      <c r="N420" s="47"/>
      <c r="O420" s="310"/>
    </row>
    <row r="421" spans="1:15" ht="14.4">
      <c r="A421" s="26">
        <v>12</v>
      </c>
      <c r="B421" s="47"/>
      <c r="C421" s="63" t="s">
        <v>9471</v>
      </c>
      <c r="D421" s="63" t="s">
        <v>9472</v>
      </c>
      <c r="E421" s="63" t="s">
        <v>9473</v>
      </c>
      <c r="F421" s="63" t="s">
        <v>54</v>
      </c>
      <c r="G421" s="63" t="s">
        <v>9474</v>
      </c>
      <c r="H421" s="93" t="s">
        <v>9475</v>
      </c>
      <c r="I421" s="51" t="s">
        <v>9476</v>
      </c>
      <c r="J421" s="51" t="s">
        <v>9477</v>
      </c>
      <c r="K421" s="47" t="s">
        <v>9478</v>
      </c>
      <c r="L421" s="47" t="s">
        <v>9479</v>
      </c>
      <c r="M421" s="47" t="s">
        <v>9480</v>
      </c>
      <c r="N421" s="47"/>
      <c r="O421" s="310"/>
    </row>
    <row r="422" spans="1:15" ht="14.4">
      <c r="A422" s="26">
        <v>13</v>
      </c>
      <c r="B422" s="47"/>
      <c r="C422" s="63" t="s">
        <v>9481</v>
      </c>
      <c r="D422" s="63" t="s">
        <v>9482</v>
      </c>
      <c r="E422" s="63" t="s">
        <v>9483</v>
      </c>
      <c r="F422" s="63" t="s">
        <v>1410</v>
      </c>
      <c r="G422" s="63" t="s">
        <v>9484</v>
      </c>
      <c r="H422" s="93" t="s">
        <v>9485</v>
      </c>
      <c r="I422" s="51" t="s">
        <v>9486</v>
      </c>
      <c r="J422" s="51" t="s">
        <v>9487</v>
      </c>
      <c r="K422" s="47" t="s">
        <v>9488</v>
      </c>
      <c r="L422" s="47" t="s">
        <v>9489</v>
      </c>
      <c r="M422" s="47" t="s">
        <v>9490</v>
      </c>
      <c r="N422" s="47"/>
      <c r="O422" s="310"/>
    </row>
    <row r="423" spans="1:15" ht="14.4">
      <c r="A423" s="26">
        <v>14</v>
      </c>
      <c r="B423" s="47"/>
      <c r="C423" s="63" t="s">
        <v>9491</v>
      </c>
      <c r="D423" s="63" t="s">
        <v>9492</v>
      </c>
      <c r="E423" s="63" t="s">
        <v>9493</v>
      </c>
      <c r="F423" s="63" t="s">
        <v>65</v>
      </c>
      <c r="G423" s="63" t="s">
        <v>9494</v>
      </c>
      <c r="H423" s="93" t="s">
        <v>9495</v>
      </c>
      <c r="I423" s="51" t="s">
        <v>9496</v>
      </c>
      <c r="J423" s="51" t="s">
        <v>9497</v>
      </c>
      <c r="K423" s="47" t="s">
        <v>9498</v>
      </c>
      <c r="L423" s="47" t="s">
        <v>9499</v>
      </c>
      <c r="M423" s="47" t="s">
        <v>9500</v>
      </c>
      <c r="N423" s="47"/>
      <c r="O423" s="310"/>
    </row>
    <row r="424" spans="1:15" ht="14.4">
      <c r="A424" s="26">
        <v>15</v>
      </c>
      <c r="B424" s="47"/>
      <c r="C424" s="63" t="s">
        <v>9501</v>
      </c>
      <c r="D424" s="63" t="s">
        <v>9502</v>
      </c>
      <c r="E424" s="63" t="s">
        <v>9503</v>
      </c>
      <c r="F424" s="63" t="s">
        <v>65</v>
      </c>
      <c r="G424" s="63" t="s">
        <v>9504</v>
      </c>
      <c r="H424" s="93" t="s">
        <v>9505</v>
      </c>
      <c r="I424" s="51" t="s">
        <v>9506</v>
      </c>
      <c r="J424" s="51" t="s">
        <v>9467</v>
      </c>
      <c r="K424" s="47" t="s">
        <v>9507</v>
      </c>
      <c r="L424" s="47" t="s">
        <v>9508</v>
      </c>
      <c r="M424" s="47" t="s">
        <v>9509</v>
      </c>
      <c r="N424" s="47"/>
      <c r="O424" s="310"/>
    </row>
    <row r="425" spans="1:15" ht="14.4">
      <c r="A425" s="26">
        <v>16</v>
      </c>
      <c r="B425" s="47"/>
      <c r="C425" s="63" t="s">
        <v>9510</v>
      </c>
      <c r="D425" s="63" t="s">
        <v>9511</v>
      </c>
      <c r="E425" s="63" t="s">
        <v>9512</v>
      </c>
      <c r="F425" s="63" t="s">
        <v>54</v>
      </c>
      <c r="G425" s="63" t="s">
        <v>9513</v>
      </c>
      <c r="H425" s="93" t="s">
        <v>9514</v>
      </c>
      <c r="I425" s="51" t="s">
        <v>9515</v>
      </c>
      <c r="J425" s="51" t="s">
        <v>9516</v>
      </c>
      <c r="K425" s="47" t="s">
        <v>9517</v>
      </c>
      <c r="L425" s="47" t="s">
        <v>9518</v>
      </c>
      <c r="M425" s="47" t="s">
        <v>9519</v>
      </c>
      <c r="N425" s="47"/>
      <c r="O425" s="310"/>
    </row>
    <row r="426" spans="1:15" ht="14.4">
      <c r="A426" s="26">
        <v>17</v>
      </c>
      <c r="B426" s="47"/>
      <c r="C426" s="63" t="s">
        <v>9520</v>
      </c>
      <c r="D426" s="63" t="s">
        <v>9521</v>
      </c>
      <c r="E426" s="63" t="s">
        <v>9522</v>
      </c>
      <c r="F426" s="63" t="s">
        <v>54</v>
      </c>
      <c r="G426" s="63" t="s">
        <v>9523</v>
      </c>
      <c r="H426" s="93" t="s">
        <v>9524</v>
      </c>
      <c r="I426" s="51" t="s">
        <v>9525</v>
      </c>
      <c r="J426" s="51" t="s">
        <v>9526</v>
      </c>
      <c r="K426" s="47" t="s">
        <v>9527</v>
      </c>
      <c r="L426" s="47" t="s">
        <v>9528</v>
      </c>
      <c r="M426" s="47" t="s">
        <v>9529</v>
      </c>
      <c r="N426" s="47"/>
      <c r="O426" s="310"/>
    </row>
    <row r="427" spans="1:15" ht="14.4">
      <c r="A427" s="26">
        <v>18</v>
      </c>
      <c r="B427" s="47"/>
      <c r="C427" s="63" t="s">
        <v>9530</v>
      </c>
      <c r="D427" s="63" t="s">
        <v>9531</v>
      </c>
      <c r="E427" s="63" t="s">
        <v>9532</v>
      </c>
      <c r="F427" s="63" t="s">
        <v>501</v>
      </c>
      <c r="G427" s="63" t="s">
        <v>9533</v>
      </c>
      <c r="H427" s="93" t="s">
        <v>9534</v>
      </c>
      <c r="I427" s="51" t="s">
        <v>9535</v>
      </c>
      <c r="J427" s="51" t="s">
        <v>9536</v>
      </c>
      <c r="K427" s="47" t="s">
        <v>9537</v>
      </c>
      <c r="L427" s="47" t="s">
        <v>9538</v>
      </c>
      <c r="M427" s="47" t="s">
        <v>9539</v>
      </c>
      <c r="N427" s="47"/>
      <c r="O427" s="310"/>
    </row>
    <row r="428" spans="1:15" ht="14.4">
      <c r="A428" s="26">
        <v>19</v>
      </c>
      <c r="B428" s="47"/>
      <c r="C428" s="63" t="s">
        <v>9540</v>
      </c>
      <c r="D428" s="63" t="s">
        <v>9541</v>
      </c>
      <c r="E428" s="63" t="s">
        <v>9542</v>
      </c>
      <c r="F428" s="63" t="s">
        <v>54</v>
      </c>
      <c r="G428" s="63" t="s">
        <v>9543</v>
      </c>
      <c r="H428" s="93" t="s">
        <v>9544</v>
      </c>
      <c r="I428" s="51" t="s">
        <v>9545</v>
      </c>
      <c r="J428" s="51" t="s">
        <v>9546</v>
      </c>
      <c r="K428" s="47" t="s">
        <v>9547</v>
      </c>
      <c r="L428" s="47" t="s">
        <v>9548</v>
      </c>
      <c r="M428" s="47" t="s">
        <v>9549</v>
      </c>
      <c r="N428" s="47"/>
      <c r="O428" s="310"/>
    </row>
    <row r="429" spans="1:15" ht="14.4">
      <c r="A429" s="26">
        <v>20</v>
      </c>
      <c r="B429" s="47"/>
      <c r="C429" s="63" t="s">
        <v>5885</v>
      </c>
      <c r="D429" s="63" t="s">
        <v>5886</v>
      </c>
      <c r="E429" s="63" t="s">
        <v>5887</v>
      </c>
      <c r="F429" s="63" t="s">
        <v>563</v>
      </c>
      <c r="G429" s="63" t="s">
        <v>9550</v>
      </c>
      <c r="H429" s="93" t="s">
        <v>9551</v>
      </c>
      <c r="I429" s="51" t="s">
        <v>9552</v>
      </c>
      <c r="J429" s="51" t="s">
        <v>9553</v>
      </c>
      <c r="K429" s="47" t="s">
        <v>9554</v>
      </c>
      <c r="L429" s="47" t="s">
        <v>9555</v>
      </c>
      <c r="M429" s="47" t="s">
        <v>9556</v>
      </c>
      <c r="N429" s="47"/>
      <c r="O429" s="310"/>
    </row>
    <row r="430" spans="1:15" ht="14.4">
      <c r="A430" s="26">
        <v>21</v>
      </c>
      <c r="B430" s="47"/>
      <c r="C430" s="63" t="s">
        <v>9557</v>
      </c>
      <c r="D430" s="63" t="s">
        <v>9558</v>
      </c>
      <c r="E430" s="63" t="s">
        <v>9559</v>
      </c>
      <c r="F430" s="63" t="s">
        <v>65</v>
      </c>
      <c r="G430" s="63" t="s">
        <v>9560</v>
      </c>
      <c r="H430" s="93" t="s">
        <v>9561</v>
      </c>
      <c r="I430" s="51" t="s">
        <v>9562</v>
      </c>
      <c r="J430" s="51" t="s">
        <v>9563</v>
      </c>
      <c r="K430" s="47" t="s">
        <v>9564</v>
      </c>
      <c r="L430" s="47" t="s">
        <v>9565</v>
      </c>
      <c r="M430" s="47" t="s">
        <v>9566</v>
      </c>
      <c r="N430" s="47"/>
      <c r="O430" s="310"/>
    </row>
    <row r="431" spans="1:15" ht="14.4">
      <c r="A431" s="26">
        <v>22</v>
      </c>
      <c r="B431" s="47"/>
      <c r="C431" s="63" t="s">
        <v>9567</v>
      </c>
      <c r="D431" s="63" t="s">
        <v>9568</v>
      </c>
      <c r="E431" s="63" t="s">
        <v>9569</v>
      </c>
      <c r="F431" s="63" t="s">
        <v>65</v>
      </c>
      <c r="G431" s="63" t="s">
        <v>4362</v>
      </c>
      <c r="H431" s="93" t="s">
        <v>9570</v>
      </c>
      <c r="I431" s="51" t="s">
        <v>9571</v>
      </c>
      <c r="J431" s="51" t="s">
        <v>9572</v>
      </c>
      <c r="K431" s="47" t="s">
        <v>9573</v>
      </c>
      <c r="L431" s="47" t="s">
        <v>9574</v>
      </c>
      <c r="M431" s="47" t="s">
        <v>9575</v>
      </c>
      <c r="N431" s="47"/>
      <c r="O431" s="310"/>
    </row>
    <row r="432" spans="1:15" ht="14.4">
      <c r="A432" s="26">
        <v>23</v>
      </c>
      <c r="B432" s="47"/>
      <c r="C432" s="63" t="s">
        <v>9576</v>
      </c>
      <c r="D432" s="63" t="s">
        <v>9577</v>
      </c>
      <c r="E432" s="63" t="s">
        <v>9578</v>
      </c>
      <c r="F432" s="63" t="s">
        <v>563</v>
      </c>
      <c r="G432" s="63" t="s">
        <v>9579</v>
      </c>
      <c r="H432" s="93" t="s">
        <v>9580</v>
      </c>
      <c r="I432" s="51" t="s">
        <v>9581</v>
      </c>
      <c r="J432" s="51" t="s">
        <v>9582</v>
      </c>
      <c r="K432" s="47" t="s">
        <v>9583</v>
      </c>
      <c r="L432" s="47" t="s">
        <v>9584</v>
      </c>
      <c r="M432" s="47" t="s">
        <v>9585</v>
      </c>
      <c r="N432" s="47"/>
      <c r="O432" s="310"/>
    </row>
    <row r="433" spans="1:15" ht="14.4">
      <c r="A433" s="26">
        <v>24</v>
      </c>
      <c r="B433" s="47"/>
      <c r="C433" s="63" t="s">
        <v>9586</v>
      </c>
      <c r="D433" s="63" t="s">
        <v>9587</v>
      </c>
      <c r="E433" s="63" t="s">
        <v>9588</v>
      </c>
      <c r="F433" s="63" t="s">
        <v>65</v>
      </c>
      <c r="G433" s="63" t="s">
        <v>9589</v>
      </c>
      <c r="H433" s="93" t="s">
        <v>9590</v>
      </c>
      <c r="I433" s="51" t="s">
        <v>9591</v>
      </c>
      <c r="J433" s="51" t="s">
        <v>9592</v>
      </c>
      <c r="K433" s="47" t="s">
        <v>9593</v>
      </c>
      <c r="L433" s="47" t="s">
        <v>9594</v>
      </c>
      <c r="M433" s="47" t="s">
        <v>9595</v>
      </c>
      <c r="N433" s="47"/>
      <c r="O433" s="310"/>
    </row>
    <row r="434" spans="1:15" ht="14.4">
      <c r="A434" s="26">
        <v>25</v>
      </c>
      <c r="B434" s="47"/>
      <c r="C434" s="63" t="s">
        <v>9596</v>
      </c>
      <c r="D434" s="63" t="s">
        <v>9597</v>
      </c>
      <c r="E434" s="63" t="s">
        <v>9598</v>
      </c>
      <c r="F434" s="63" t="s">
        <v>65</v>
      </c>
      <c r="G434" s="63" t="s">
        <v>9599</v>
      </c>
      <c r="H434" s="93" t="s">
        <v>9600</v>
      </c>
      <c r="I434" s="51" t="s">
        <v>9601</v>
      </c>
      <c r="J434" s="51" t="s">
        <v>9602</v>
      </c>
      <c r="K434" s="47" t="s">
        <v>9603</v>
      </c>
      <c r="L434" s="47" t="s">
        <v>9604</v>
      </c>
      <c r="M434" s="47" t="s">
        <v>9605</v>
      </c>
      <c r="N434" s="47"/>
      <c r="O434" s="310"/>
    </row>
    <row r="435" spans="1:15" ht="14.4">
      <c r="A435" s="26">
        <v>26</v>
      </c>
      <c r="B435" s="47"/>
      <c r="C435" s="63" t="s">
        <v>9606</v>
      </c>
      <c r="D435" s="63" t="s">
        <v>9607</v>
      </c>
      <c r="E435" s="63" t="s">
        <v>9608</v>
      </c>
      <c r="F435" s="63" t="s">
        <v>117</v>
      </c>
      <c r="G435" s="63" t="s">
        <v>2968</v>
      </c>
      <c r="H435" s="93" t="s">
        <v>9609</v>
      </c>
      <c r="I435" s="51" t="s">
        <v>9610</v>
      </c>
      <c r="J435" s="51" t="s">
        <v>9611</v>
      </c>
      <c r="K435" s="47" t="s">
        <v>9612</v>
      </c>
      <c r="L435" s="47" t="s">
        <v>9613</v>
      </c>
      <c r="M435" s="47" t="s">
        <v>9614</v>
      </c>
      <c r="N435" s="47"/>
      <c r="O435" s="311"/>
    </row>
    <row r="436" spans="1:15" ht="14.4">
      <c r="A436" s="19">
        <v>1</v>
      </c>
      <c r="B436" s="88"/>
      <c r="C436" s="90" t="s">
        <v>9615</v>
      </c>
      <c r="D436" s="90" t="s">
        <v>9616</v>
      </c>
      <c r="E436" s="90" t="s">
        <v>5464</v>
      </c>
      <c r="F436" s="90" t="s">
        <v>501</v>
      </c>
      <c r="G436" s="90" t="s">
        <v>9617</v>
      </c>
      <c r="H436" s="91" t="s">
        <v>9618</v>
      </c>
      <c r="I436" s="92" t="s">
        <v>9619</v>
      </c>
      <c r="J436" s="92" t="s">
        <v>9620</v>
      </c>
      <c r="K436" s="88" t="s">
        <v>9621</v>
      </c>
      <c r="L436" s="88" t="s">
        <v>9622</v>
      </c>
      <c r="M436" s="88" t="s">
        <v>9623</v>
      </c>
      <c r="N436" s="88">
        <v>17</v>
      </c>
      <c r="O436" s="24" t="s">
        <v>38</v>
      </c>
    </row>
    <row r="437" spans="1:15" ht="14.4">
      <c r="A437" s="26">
        <v>2</v>
      </c>
      <c r="B437" s="47"/>
      <c r="C437" s="63" t="s">
        <v>9624</v>
      </c>
      <c r="D437" s="63" t="s">
        <v>9625</v>
      </c>
      <c r="E437" s="63" t="s">
        <v>9626</v>
      </c>
      <c r="F437" s="63" t="s">
        <v>65</v>
      </c>
      <c r="G437" s="63" t="s">
        <v>9627</v>
      </c>
      <c r="H437" s="93" t="s">
        <v>9628</v>
      </c>
      <c r="I437" s="51" t="s">
        <v>9629</v>
      </c>
      <c r="J437" s="51" t="s">
        <v>9630</v>
      </c>
      <c r="K437" s="47" t="s">
        <v>9631</v>
      </c>
      <c r="L437" s="47" t="s">
        <v>9632</v>
      </c>
      <c r="M437" s="47" t="s">
        <v>9633</v>
      </c>
      <c r="N437" s="47"/>
      <c r="O437" s="315" t="s">
        <v>9634</v>
      </c>
    </row>
    <row r="438" spans="1:15" ht="14.4">
      <c r="A438" s="26">
        <v>3</v>
      </c>
      <c r="B438" s="47"/>
      <c r="C438" s="63" t="s">
        <v>9635</v>
      </c>
      <c r="D438" s="63" t="s">
        <v>9636</v>
      </c>
      <c r="E438" s="63" t="s">
        <v>9637</v>
      </c>
      <c r="F438" s="63" t="s">
        <v>117</v>
      </c>
      <c r="G438" s="63" t="s">
        <v>8257</v>
      </c>
      <c r="H438" s="93" t="s">
        <v>9638</v>
      </c>
      <c r="I438" s="51" t="s">
        <v>9639</v>
      </c>
      <c r="J438" s="51" t="s">
        <v>9640</v>
      </c>
      <c r="K438" s="47" t="s">
        <v>9641</v>
      </c>
      <c r="L438" s="47" t="s">
        <v>9642</v>
      </c>
      <c r="M438" s="47" t="s">
        <v>9643</v>
      </c>
      <c r="N438" s="47"/>
      <c r="O438" s="310"/>
    </row>
    <row r="439" spans="1:15" ht="14.4">
      <c r="A439" s="26">
        <v>4</v>
      </c>
      <c r="B439" s="47"/>
      <c r="C439" s="63" t="s">
        <v>9644</v>
      </c>
      <c r="D439" s="63" t="s">
        <v>9645</v>
      </c>
      <c r="E439" s="63" t="s">
        <v>9646</v>
      </c>
      <c r="F439" s="63" t="s">
        <v>117</v>
      </c>
      <c r="G439" s="63" t="s">
        <v>9647</v>
      </c>
      <c r="H439" s="93" t="s">
        <v>9648</v>
      </c>
      <c r="I439" s="51" t="s">
        <v>9649</v>
      </c>
      <c r="J439" s="51" t="s">
        <v>9650</v>
      </c>
      <c r="K439" s="47" t="s">
        <v>9651</v>
      </c>
      <c r="L439" s="47" t="s">
        <v>9652</v>
      </c>
      <c r="M439" s="47" t="s">
        <v>9653</v>
      </c>
      <c r="N439" s="47"/>
      <c r="O439" s="310"/>
    </row>
    <row r="440" spans="1:15" ht="14.4">
      <c r="A440" s="26">
        <v>5</v>
      </c>
      <c r="B440" s="47"/>
      <c r="C440" s="63" t="s">
        <v>9654</v>
      </c>
      <c r="D440" s="63" t="s">
        <v>9655</v>
      </c>
      <c r="E440" s="63" t="s">
        <v>9656</v>
      </c>
      <c r="F440" s="63"/>
      <c r="G440" s="63" t="s">
        <v>9657</v>
      </c>
      <c r="H440" s="93" t="s">
        <v>9658</v>
      </c>
      <c r="I440" s="51" t="s">
        <v>9659</v>
      </c>
      <c r="J440" s="51" t="s">
        <v>9660</v>
      </c>
      <c r="K440" s="47" t="s">
        <v>9661</v>
      </c>
      <c r="L440" s="47" t="s">
        <v>9662</v>
      </c>
      <c r="M440" s="47" t="s">
        <v>9663</v>
      </c>
      <c r="N440" s="47"/>
      <c r="O440" s="310"/>
    </row>
    <row r="441" spans="1:15" ht="14.4">
      <c r="A441" s="26">
        <v>6</v>
      </c>
      <c r="B441" s="47"/>
      <c r="C441" s="63" t="s">
        <v>9664</v>
      </c>
      <c r="D441" s="63" t="s">
        <v>9665</v>
      </c>
      <c r="E441" s="63" t="s">
        <v>9666</v>
      </c>
      <c r="F441" s="63" t="s">
        <v>54</v>
      </c>
      <c r="G441" s="63" t="s">
        <v>9667</v>
      </c>
      <c r="H441" s="93" t="s">
        <v>9668</v>
      </c>
      <c r="I441" s="51" t="s">
        <v>9669</v>
      </c>
      <c r="J441" s="51" t="s">
        <v>9670</v>
      </c>
      <c r="K441" s="47" t="s">
        <v>9671</v>
      </c>
      <c r="L441" s="47" t="s">
        <v>9672</v>
      </c>
      <c r="M441" s="47" t="s">
        <v>9673</v>
      </c>
      <c r="N441" s="47"/>
      <c r="O441" s="310"/>
    </row>
    <row r="442" spans="1:15" ht="14.4">
      <c r="A442" s="26">
        <v>7</v>
      </c>
      <c r="B442" s="47"/>
      <c r="C442" s="63" t="s">
        <v>4558</v>
      </c>
      <c r="D442" s="63" t="s">
        <v>4559</v>
      </c>
      <c r="E442" s="63" t="s">
        <v>4560</v>
      </c>
      <c r="F442" s="63" t="s">
        <v>54</v>
      </c>
      <c r="G442" s="63" t="s">
        <v>4561</v>
      </c>
      <c r="H442" s="93" t="s">
        <v>9674</v>
      </c>
      <c r="I442" s="51" t="s">
        <v>4563</v>
      </c>
      <c r="J442" s="51" t="s">
        <v>4564</v>
      </c>
      <c r="K442" s="47" t="s">
        <v>9675</v>
      </c>
      <c r="L442" s="47" t="s">
        <v>9676</v>
      </c>
      <c r="M442" s="47" t="s">
        <v>9677</v>
      </c>
      <c r="N442" s="47"/>
      <c r="O442" s="310"/>
    </row>
    <row r="443" spans="1:15" ht="14.4">
      <c r="A443" s="26">
        <v>8</v>
      </c>
      <c r="B443" s="47"/>
      <c r="C443" s="63" t="s">
        <v>9678</v>
      </c>
      <c r="D443" s="63" t="s">
        <v>9679</v>
      </c>
      <c r="E443" s="63" t="s">
        <v>9680</v>
      </c>
      <c r="F443" s="63" t="s">
        <v>117</v>
      </c>
      <c r="G443" s="63" t="s">
        <v>9681</v>
      </c>
      <c r="H443" s="93" t="s">
        <v>9682</v>
      </c>
      <c r="I443" s="51" t="s">
        <v>9683</v>
      </c>
      <c r="J443" s="51" t="s">
        <v>9684</v>
      </c>
      <c r="K443" s="47" t="s">
        <v>9685</v>
      </c>
      <c r="L443" s="47" t="s">
        <v>9686</v>
      </c>
      <c r="M443" s="47" t="s">
        <v>9687</v>
      </c>
      <c r="N443" s="47"/>
      <c r="O443" s="310"/>
    </row>
    <row r="444" spans="1:15" ht="14.4">
      <c r="A444" s="26">
        <v>9</v>
      </c>
      <c r="B444" s="47"/>
      <c r="C444" s="63" t="s">
        <v>9688</v>
      </c>
      <c r="D444" s="63" t="s">
        <v>9689</v>
      </c>
      <c r="E444" s="63" t="s">
        <v>9690</v>
      </c>
      <c r="F444" s="63" t="s">
        <v>219</v>
      </c>
      <c r="G444" s="63" t="s">
        <v>9691</v>
      </c>
      <c r="H444" s="93" t="s">
        <v>9692</v>
      </c>
      <c r="I444" s="51" t="s">
        <v>9693</v>
      </c>
      <c r="J444" s="51" t="s">
        <v>9694</v>
      </c>
      <c r="K444" s="47" t="s">
        <v>9695</v>
      </c>
      <c r="L444" s="47" t="s">
        <v>9696</v>
      </c>
      <c r="M444" s="47" t="s">
        <v>9697</v>
      </c>
      <c r="N444" s="47"/>
      <c r="O444" s="310"/>
    </row>
    <row r="445" spans="1:15" ht="14.4">
      <c r="A445" s="26">
        <v>10</v>
      </c>
      <c r="B445" s="47"/>
      <c r="C445" s="63" t="s">
        <v>9698</v>
      </c>
      <c r="D445" s="63" t="s">
        <v>9699</v>
      </c>
      <c r="E445" s="63" t="s">
        <v>9700</v>
      </c>
      <c r="F445" s="63" t="s">
        <v>117</v>
      </c>
      <c r="G445" s="63" t="s">
        <v>9701</v>
      </c>
      <c r="H445" s="93" t="s">
        <v>9702</v>
      </c>
      <c r="I445" s="51" t="s">
        <v>9703</v>
      </c>
      <c r="J445" s="51" t="s">
        <v>9704</v>
      </c>
      <c r="K445" s="47" t="s">
        <v>9705</v>
      </c>
      <c r="L445" s="47" t="s">
        <v>5331</v>
      </c>
      <c r="M445" s="47" t="s">
        <v>5332</v>
      </c>
      <c r="N445" s="47"/>
      <c r="O445" s="310"/>
    </row>
    <row r="446" spans="1:15" ht="14.4">
      <c r="A446" s="26">
        <v>11</v>
      </c>
      <c r="B446" s="47"/>
      <c r="C446" s="63" t="s">
        <v>9706</v>
      </c>
      <c r="D446" s="63" t="s">
        <v>9707</v>
      </c>
      <c r="E446" s="63" t="s">
        <v>9708</v>
      </c>
      <c r="F446" s="63" t="s">
        <v>117</v>
      </c>
      <c r="G446" s="63" t="s">
        <v>9709</v>
      </c>
      <c r="H446" s="93" t="s">
        <v>9710</v>
      </c>
      <c r="I446" s="51" t="s">
        <v>9711</v>
      </c>
      <c r="J446" s="51" t="s">
        <v>9712</v>
      </c>
      <c r="K446" s="47" t="s">
        <v>9713</v>
      </c>
      <c r="L446" s="47" t="s">
        <v>9714</v>
      </c>
      <c r="M446" s="47" t="s">
        <v>9715</v>
      </c>
      <c r="N446" s="47"/>
      <c r="O446" s="310"/>
    </row>
    <row r="447" spans="1:15" ht="14.4">
      <c r="A447" s="26">
        <v>12</v>
      </c>
      <c r="B447" s="47"/>
      <c r="C447" s="63" t="s">
        <v>9716</v>
      </c>
      <c r="D447" s="63" t="s">
        <v>9717</v>
      </c>
      <c r="E447" s="63" t="s">
        <v>5730</v>
      </c>
      <c r="F447" s="63" t="s">
        <v>664</v>
      </c>
      <c r="G447" s="63" t="s">
        <v>3262</v>
      </c>
      <c r="H447" s="93" t="s">
        <v>9718</v>
      </c>
      <c r="I447" s="51" t="s">
        <v>9719</v>
      </c>
      <c r="J447" s="51" t="s">
        <v>9720</v>
      </c>
      <c r="K447" s="47" t="s">
        <v>9721</v>
      </c>
      <c r="L447" s="47" t="s">
        <v>9722</v>
      </c>
      <c r="M447" s="47" t="s">
        <v>9723</v>
      </c>
      <c r="N447" s="47"/>
      <c r="O447" s="310"/>
    </row>
    <row r="448" spans="1:15" ht="14.4">
      <c r="A448" s="26">
        <v>13</v>
      </c>
      <c r="B448" s="47"/>
      <c r="C448" s="63" t="s">
        <v>9724</v>
      </c>
      <c r="D448" s="63" t="s">
        <v>9725</v>
      </c>
      <c r="E448" s="63" t="s">
        <v>9726</v>
      </c>
      <c r="F448" s="63" t="s">
        <v>65</v>
      </c>
      <c r="G448" s="63" t="s">
        <v>9727</v>
      </c>
      <c r="H448" s="93" t="s">
        <v>9728</v>
      </c>
      <c r="I448" s="51" t="s">
        <v>9729</v>
      </c>
      <c r="J448" s="51" t="s">
        <v>9730</v>
      </c>
      <c r="K448" s="47" t="s">
        <v>9731</v>
      </c>
      <c r="L448" s="47" t="s">
        <v>9732</v>
      </c>
      <c r="M448" s="47" t="s">
        <v>9733</v>
      </c>
      <c r="N448" s="47"/>
      <c r="O448" s="310"/>
    </row>
    <row r="449" spans="1:15" ht="14.4">
      <c r="A449" s="26">
        <v>14</v>
      </c>
      <c r="B449" s="47"/>
      <c r="C449" s="63" t="s">
        <v>9734</v>
      </c>
      <c r="D449" s="63" t="s">
        <v>9735</v>
      </c>
      <c r="E449" s="63" t="s">
        <v>9736</v>
      </c>
      <c r="F449" s="63" t="s">
        <v>117</v>
      </c>
      <c r="G449" s="63" t="s">
        <v>9737</v>
      </c>
      <c r="H449" s="93" t="s">
        <v>9738</v>
      </c>
      <c r="I449" s="51" t="s">
        <v>9739</v>
      </c>
      <c r="J449" s="51" t="s">
        <v>9740</v>
      </c>
      <c r="K449" s="47" t="s">
        <v>9741</v>
      </c>
      <c r="L449" s="47" t="s">
        <v>9742</v>
      </c>
      <c r="M449" s="47" t="s">
        <v>9743</v>
      </c>
      <c r="N449" s="47"/>
      <c r="O449" s="310"/>
    </row>
    <row r="450" spans="1:15" ht="14.4">
      <c r="A450" s="26">
        <v>15</v>
      </c>
      <c r="B450" s="47"/>
      <c r="C450" s="63" t="s">
        <v>9744</v>
      </c>
      <c r="D450" s="63" t="s">
        <v>9745</v>
      </c>
      <c r="E450" s="63" t="s">
        <v>9746</v>
      </c>
      <c r="F450" s="63" t="s">
        <v>117</v>
      </c>
      <c r="G450" s="63" t="s">
        <v>9747</v>
      </c>
      <c r="H450" s="93" t="s">
        <v>9748</v>
      </c>
      <c r="I450" s="51" t="s">
        <v>9749</v>
      </c>
      <c r="J450" s="51" t="s">
        <v>9750</v>
      </c>
      <c r="K450" s="47" t="s">
        <v>9751</v>
      </c>
      <c r="L450" s="47" t="s">
        <v>9752</v>
      </c>
      <c r="M450" s="47" t="s">
        <v>9753</v>
      </c>
      <c r="N450" s="47"/>
      <c r="O450" s="310"/>
    </row>
    <row r="451" spans="1:15" ht="14.4">
      <c r="A451" s="26">
        <v>16</v>
      </c>
      <c r="B451" s="47"/>
      <c r="C451" s="63" t="s">
        <v>9754</v>
      </c>
      <c r="D451" s="63" t="s">
        <v>9755</v>
      </c>
      <c r="E451" s="63" t="s">
        <v>9756</v>
      </c>
      <c r="F451" s="63" t="s">
        <v>65</v>
      </c>
      <c r="G451" s="63" t="s">
        <v>9757</v>
      </c>
      <c r="H451" s="93" t="s">
        <v>9758</v>
      </c>
      <c r="I451" s="51" t="s">
        <v>9759</v>
      </c>
      <c r="J451" s="51" t="s">
        <v>9760</v>
      </c>
      <c r="K451" s="47" t="s">
        <v>9761</v>
      </c>
      <c r="L451" s="47" t="s">
        <v>9762</v>
      </c>
      <c r="M451" s="47" t="s">
        <v>9763</v>
      </c>
      <c r="N451" s="47"/>
      <c r="O451" s="310"/>
    </row>
    <row r="452" spans="1:15" ht="14.4">
      <c r="A452" s="26">
        <v>17</v>
      </c>
      <c r="B452" s="47"/>
      <c r="C452" s="63" t="s">
        <v>9764</v>
      </c>
      <c r="D452" s="63" t="s">
        <v>9765</v>
      </c>
      <c r="E452" s="63" t="s">
        <v>9766</v>
      </c>
      <c r="F452" s="63" t="s">
        <v>117</v>
      </c>
      <c r="G452" s="63" t="s">
        <v>9767</v>
      </c>
      <c r="H452" s="93" t="s">
        <v>9768</v>
      </c>
      <c r="I452" s="51" t="s">
        <v>9769</v>
      </c>
      <c r="J452" s="51" t="s">
        <v>9770</v>
      </c>
      <c r="K452" s="47" t="s">
        <v>9771</v>
      </c>
      <c r="L452" s="47" t="s">
        <v>9772</v>
      </c>
      <c r="M452" s="47" t="s">
        <v>9773</v>
      </c>
      <c r="N452" s="47"/>
      <c r="O452" s="310"/>
    </row>
    <row r="453" spans="1:15" ht="14.4">
      <c r="A453" s="26">
        <v>18</v>
      </c>
      <c r="B453" s="47"/>
      <c r="C453" s="63" t="s">
        <v>9774</v>
      </c>
      <c r="D453" s="63" t="s">
        <v>9775</v>
      </c>
      <c r="E453" s="63" t="s">
        <v>9776</v>
      </c>
      <c r="F453" s="63" t="s">
        <v>65</v>
      </c>
      <c r="G453" s="63" t="s">
        <v>9777</v>
      </c>
      <c r="H453" s="93" t="s">
        <v>9778</v>
      </c>
      <c r="I453" s="51" t="s">
        <v>9779</v>
      </c>
      <c r="J453" s="51" t="s">
        <v>9780</v>
      </c>
      <c r="K453" s="47" t="s">
        <v>9781</v>
      </c>
      <c r="L453" s="47" t="s">
        <v>9782</v>
      </c>
      <c r="M453" s="47" t="s">
        <v>9783</v>
      </c>
      <c r="N453" s="47"/>
      <c r="O453" s="310"/>
    </row>
    <row r="454" spans="1:15" ht="14.4">
      <c r="A454" s="26">
        <v>19</v>
      </c>
      <c r="B454" s="47"/>
      <c r="C454" s="63" t="s">
        <v>9784</v>
      </c>
      <c r="D454" s="63" t="s">
        <v>9785</v>
      </c>
      <c r="E454" s="63" t="s">
        <v>9786</v>
      </c>
      <c r="F454" s="63" t="s">
        <v>117</v>
      </c>
      <c r="G454" s="63" t="s">
        <v>9787</v>
      </c>
      <c r="H454" s="93" t="s">
        <v>9788</v>
      </c>
      <c r="I454" s="51" t="s">
        <v>9789</v>
      </c>
      <c r="J454" s="51" t="s">
        <v>9790</v>
      </c>
      <c r="K454" s="47" t="s">
        <v>9791</v>
      </c>
      <c r="L454" s="47" t="s">
        <v>9792</v>
      </c>
      <c r="M454" s="47" t="s">
        <v>9793</v>
      </c>
      <c r="N454" s="47"/>
      <c r="O454" s="310"/>
    </row>
    <row r="455" spans="1:15" ht="14.4">
      <c r="A455" s="26">
        <v>20</v>
      </c>
      <c r="B455" s="47"/>
      <c r="C455" s="63" t="s">
        <v>9794</v>
      </c>
      <c r="D455" s="63" t="s">
        <v>9795</v>
      </c>
      <c r="E455" s="63" t="s">
        <v>2697</v>
      </c>
      <c r="F455" s="63" t="s">
        <v>117</v>
      </c>
      <c r="G455" s="63" t="s">
        <v>9796</v>
      </c>
      <c r="H455" s="93" t="s">
        <v>9797</v>
      </c>
      <c r="I455" s="51" t="s">
        <v>9798</v>
      </c>
      <c r="J455" s="51" t="s">
        <v>9799</v>
      </c>
      <c r="K455" s="47" t="s">
        <v>9800</v>
      </c>
      <c r="L455" s="47" t="s">
        <v>9801</v>
      </c>
      <c r="M455" s="47" t="s">
        <v>9802</v>
      </c>
      <c r="N455" s="47"/>
      <c r="O455" s="310"/>
    </row>
    <row r="456" spans="1:15" ht="14.4">
      <c r="A456" s="26">
        <v>21</v>
      </c>
      <c r="B456" s="47"/>
      <c r="C456" s="63" t="s">
        <v>9803</v>
      </c>
      <c r="D456" s="63" t="s">
        <v>9804</v>
      </c>
      <c r="E456" s="63" t="s">
        <v>9805</v>
      </c>
      <c r="F456" s="63" t="s">
        <v>54</v>
      </c>
      <c r="G456" s="63" t="s">
        <v>9806</v>
      </c>
      <c r="H456" s="93" t="s">
        <v>9807</v>
      </c>
      <c r="I456" s="51" t="s">
        <v>9808</v>
      </c>
      <c r="J456" s="51" t="s">
        <v>9809</v>
      </c>
      <c r="K456" s="47" t="s">
        <v>9810</v>
      </c>
      <c r="L456" s="47" t="s">
        <v>9811</v>
      </c>
      <c r="M456" s="47" t="s">
        <v>9812</v>
      </c>
      <c r="N456" s="47"/>
      <c r="O456" s="310"/>
    </row>
    <row r="457" spans="1:15" ht="14.4">
      <c r="A457" s="26">
        <v>22</v>
      </c>
      <c r="B457" s="47"/>
      <c r="C457" s="63" t="s">
        <v>9813</v>
      </c>
      <c r="D457" s="63" t="s">
        <v>9814</v>
      </c>
      <c r="E457" s="63" t="s">
        <v>9815</v>
      </c>
      <c r="F457" s="63" t="s">
        <v>54</v>
      </c>
      <c r="G457" s="63" t="s">
        <v>9816</v>
      </c>
      <c r="H457" s="93" t="s">
        <v>9817</v>
      </c>
      <c r="I457" s="51" t="s">
        <v>9818</v>
      </c>
      <c r="J457" s="51" t="s">
        <v>9819</v>
      </c>
      <c r="K457" s="47" t="s">
        <v>9820</v>
      </c>
      <c r="L457" s="47" t="s">
        <v>9821</v>
      </c>
      <c r="M457" s="47" t="s">
        <v>9822</v>
      </c>
      <c r="N457" s="47"/>
      <c r="O457" s="310"/>
    </row>
    <row r="458" spans="1:15" ht="14.4">
      <c r="A458" s="26">
        <v>23</v>
      </c>
      <c r="B458" s="47"/>
      <c r="C458" s="63" t="s">
        <v>9823</v>
      </c>
      <c r="D458" s="63" t="s">
        <v>9824</v>
      </c>
      <c r="E458" s="63" t="s">
        <v>9825</v>
      </c>
      <c r="F458" s="63" t="s">
        <v>4823</v>
      </c>
      <c r="G458" s="63" t="s">
        <v>9826</v>
      </c>
      <c r="H458" s="93" t="s">
        <v>9827</v>
      </c>
      <c r="I458" s="51" t="s">
        <v>9828</v>
      </c>
      <c r="J458" s="51" t="s">
        <v>9829</v>
      </c>
      <c r="K458" s="47" t="s">
        <v>9830</v>
      </c>
      <c r="L458" s="47" t="s">
        <v>9831</v>
      </c>
      <c r="M458" s="47" t="s">
        <v>9832</v>
      </c>
      <c r="N458" s="47"/>
      <c r="O458" s="310"/>
    </row>
    <row r="459" spans="1:15" ht="14.4">
      <c r="A459" s="26">
        <v>24</v>
      </c>
      <c r="B459" s="47"/>
      <c r="C459" s="63" t="s">
        <v>9833</v>
      </c>
      <c r="D459" s="63" t="s">
        <v>9834</v>
      </c>
      <c r="E459" s="63" t="s">
        <v>9835</v>
      </c>
      <c r="F459" s="63" t="s">
        <v>65</v>
      </c>
      <c r="G459" s="63" t="s">
        <v>9836</v>
      </c>
      <c r="H459" s="93" t="s">
        <v>9837</v>
      </c>
      <c r="I459" s="51" t="s">
        <v>9838</v>
      </c>
      <c r="J459" s="51" t="s">
        <v>9839</v>
      </c>
      <c r="K459" s="47" t="s">
        <v>9840</v>
      </c>
      <c r="L459" s="47" t="s">
        <v>9841</v>
      </c>
      <c r="M459" s="47" t="s">
        <v>9842</v>
      </c>
      <c r="N459" s="47"/>
      <c r="O459" s="310"/>
    </row>
    <row r="460" spans="1:15" ht="14.4">
      <c r="A460" s="26">
        <v>25</v>
      </c>
      <c r="B460" s="47"/>
      <c r="C460" s="63" t="s">
        <v>9843</v>
      </c>
      <c r="D460" s="63" t="s">
        <v>9844</v>
      </c>
      <c r="E460" s="63" t="s">
        <v>9845</v>
      </c>
      <c r="F460" s="63" t="s">
        <v>664</v>
      </c>
      <c r="G460" s="63" t="s">
        <v>9846</v>
      </c>
      <c r="H460" s="93" t="s">
        <v>9847</v>
      </c>
      <c r="I460" s="51" t="s">
        <v>9848</v>
      </c>
      <c r="J460" s="51" t="s">
        <v>9849</v>
      </c>
      <c r="K460" s="47" t="s">
        <v>9850</v>
      </c>
      <c r="L460" s="47" t="s">
        <v>9851</v>
      </c>
      <c r="M460" s="47" t="s">
        <v>9852</v>
      </c>
      <c r="N460" s="47"/>
      <c r="O460" s="310"/>
    </row>
    <row r="461" spans="1:15" ht="14.4">
      <c r="A461" s="26">
        <v>26</v>
      </c>
      <c r="B461" s="47"/>
      <c r="C461" s="63" t="s">
        <v>9853</v>
      </c>
      <c r="D461" s="63" t="s">
        <v>9854</v>
      </c>
      <c r="E461" s="63" t="s">
        <v>9855</v>
      </c>
      <c r="F461" s="63" t="s">
        <v>54</v>
      </c>
      <c r="G461" s="63" t="s">
        <v>9856</v>
      </c>
      <c r="H461" s="93" t="s">
        <v>9857</v>
      </c>
      <c r="I461" s="51" t="s">
        <v>9858</v>
      </c>
      <c r="J461" s="51" t="s">
        <v>9859</v>
      </c>
      <c r="K461" s="47" t="s">
        <v>9860</v>
      </c>
      <c r="L461" s="47" t="s">
        <v>9861</v>
      </c>
      <c r="M461" s="47" t="s">
        <v>9862</v>
      </c>
      <c r="N461" s="47"/>
      <c r="O461" s="310"/>
    </row>
    <row r="462" spans="1:15" ht="14.4">
      <c r="A462" s="26">
        <v>27</v>
      </c>
      <c r="B462" s="47"/>
      <c r="C462" s="63" t="s">
        <v>9863</v>
      </c>
      <c r="D462" s="63" t="s">
        <v>9864</v>
      </c>
      <c r="E462" s="63" t="s">
        <v>9865</v>
      </c>
      <c r="F462" s="63" t="s">
        <v>65</v>
      </c>
      <c r="G462" s="63" t="s">
        <v>9866</v>
      </c>
      <c r="H462" s="93" t="s">
        <v>9867</v>
      </c>
      <c r="I462" s="51" t="s">
        <v>9868</v>
      </c>
      <c r="J462" s="51" t="s">
        <v>9869</v>
      </c>
      <c r="K462" s="47" t="s">
        <v>9870</v>
      </c>
      <c r="L462" s="47" t="s">
        <v>9871</v>
      </c>
      <c r="M462" s="47" t="s">
        <v>9872</v>
      </c>
      <c r="N462" s="47"/>
      <c r="O462" s="311"/>
    </row>
    <row r="463" spans="1:15" ht="14.4">
      <c r="A463" s="19">
        <v>1</v>
      </c>
      <c r="B463" s="88"/>
      <c r="C463" s="90" t="s">
        <v>9873</v>
      </c>
      <c r="D463" s="90" t="s">
        <v>9874</v>
      </c>
      <c r="E463" s="90" t="s">
        <v>9875</v>
      </c>
      <c r="F463" s="90" t="s">
        <v>42</v>
      </c>
      <c r="G463" s="90" t="s">
        <v>9876</v>
      </c>
      <c r="H463" s="91" t="s">
        <v>9877</v>
      </c>
      <c r="I463" s="92" t="s">
        <v>9878</v>
      </c>
      <c r="J463" s="92" t="s">
        <v>9879</v>
      </c>
      <c r="K463" s="88" t="s">
        <v>9880</v>
      </c>
      <c r="L463" s="88" t="s">
        <v>9881</v>
      </c>
      <c r="M463" s="88" t="s">
        <v>9882</v>
      </c>
      <c r="N463" s="88">
        <v>18</v>
      </c>
      <c r="O463" s="24" t="s">
        <v>38</v>
      </c>
    </row>
    <row r="464" spans="1:15" ht="14.4">
      <c r="A464" s="26">
        <v>2</v>
      </c>
      <c r="B464" s="47"/>
      <c r="C464" s="63" t="s">
        <v>9883</v>
      </c>
      <c r="D464" s="63" t="s">
        <v>9884</v>
      </c>
      <c r="E464" s="63" t="s">
        <v>9885</v>
      </c>
      <c r="F464" s="63" t="s">
        <v>117</v>
      </c>
      <c r="G464" s="63" t="s">
        <v>4982</v>
      </c>
      <c r="H464" s="93" t="s">
        <v>9886</v>
      </c>
      <c r="I464" s="51" t="s">
        <v>9887</v>
      </c>
      <c r="J464" s="51" t="s">
        <v>9888</v>
      </c>
      <c r="K464" s="47" t="s">
        <v>9889</v>
      </c>
      <c r="L464" s="47" t="s">
        <v>9890</v>
      </c>
      <c r="M464" s="47" t="s">
        <v>9891</v>
      </c>
      <c r="N464" s="47"/>
      <c r="O464" s="315" t="s">
        <v>9892</v>
      </c>
    </row>
    <row r="465" spans="1:15" ht="14.4">
      <c r="A465" s="26">
        <v>3</v>
      </c>
      <c r="B465" s="47"/>
      <c r="C465" s="63" t="s">
        <v>8885</v>
      </c>
      <c r="D465" s="63" t="s">
        <v>8886</v>
      </c>
      <c r="E465" s="63" t="s">
        <v>8887</v>
      </c>
      <c r="F465" s="63" t="s">
        <v>65</v>
      </c>
      <c r="G465" s="104" t="s">
        <v>9893</v>
      </c>
      <c r="H465" s="93" t="s">
        <v>9894</v>
      </c>
      <c r="I465" s="51" t="s">
        <v>9895</v>
      </c>
      <c r="J465" s="51" t="s">
        <v>9896</v>
      </c>
      <c r="K465" s="47" t="s">
        <v>9897</v>
      </c>
      <c r="L465" s="47" t="s">
        <v>9898</v>
      </c>
      <c r="M465" s="47" t="s">
        <v>9899</v>
      </c>
      <c r="N465" s="47"/>
      <c r="O465" s="310"/>
    </row>
    <row r="466" spans="1:15" ht="14.4">
      <c r="A466" s="26">
        <v>4</v>
      </c>
      <c r="B466" s="47"/>
      <c r="C466" s="63" t="s">
        <v>9900</v>
      </c>
      <c r="D466" s="63" t="s">
        <v>9901</v>
      </c>
      <c r="E466" s="63" t="s">
        <v>9902</v>
      </c>
      <c r="F466" s="63" t="s">
        <v>65</v>
      </c>
      <c r="G466" s="63" t="s">
        <v>9903</v>
      </c>
      <c r="H466" s="93" t="s">
        <v>9904</v>
      </c>
      <c r="I466" s="51" t="s">
        <v>9905</v>
      </c>
      <c r="J466" s="51" t="s">
        <v>9906</v>
      </c>
      <c r="K466" s="47" t="s">
        <v>9907</v>
      </c>
      <c r="L466" s="47" t="s">
        <v>9908</v>
      </c>
      <c r="M466" s="47" t="s">
        <v>9909</v>
      </c>
      <c r="N466" s="47"/>
      <c r="O466" s="310"/>
    </row>
    <row r="467" spans="1:15" ht="14.4">
      <c r="A467" s="26">
        <v>5</v>
      </c>
      <c r="B467" s="47"/>
      <c r="C467" s="63" t="s">
        <v>9910</v>
      </c>
      <c r="D467" s="63" t="s">
        <v>9911</v>
      </c>
      <c r="E467" s="63" t="s">
        <v>9912</v>
      </c>
      <c r="F467" s="63" t="s">
        <v>117</v>
      </c>
      <c r="G467" s="63" t="s">
        <v>9913</v>
      </c>
      <c r="H467" s="93" t="s">
        <v>9914</v>
      </c>
      <c r="I467" s="51" t="s">
        <v>9915</v>
      </c>
      <c r="J467" s="51" t="s">
        <v>9916</v>
      </c>
      <c r="K467" s="47" t="s">
        <v>9917</v>
      </c>
      <c r="L467" s="47" t="s">
        <v>9918</v>
      </c>
      <c r="M467" s="47" t="s">
        <v>9919</v>
      </c>
      <c r="N467" s="47"/>
      <c r="O467" s="310"/>
    </row>
    <row r="468" spans="1:15" ht="14.4">
      <c r="A468" s="26">
        <v>6</v>
      </c>
      <c r="B468" s="47"/>
      <c r="C468" s="63" t="s">
        <v>9920</v>
      </c>
      <c r="D468" s="63" t="s">
        <v>9921</v>
      </c>
      <c r="E468" s="63" t="s">
        <v>9922</v>
      </c>
      <c r="F468" s="63" t="s">
        <v>219</v>
      </c>
      <c r="G468" s="63" t="s">
        <v>9923</v>
      </c>
      <c r="H468" s="93" t="s">
        <v>9924</v>
      </c>
      <c r="I468" s="51" t="s">
        <v>9925</v>
      </c>
      <c r="J468" s="51" t="s">
        <v>9926</v>
      </c>
      <c r="K468" s="47" t="s">
        <v>9927</v>
      </c>
      <c r="L468" s="47" t="s">
        <v>9928</v>
      </c>
      <c r="M468" s="47" t="s">
        <v>9929</v>
      </c>
      <c r="N468" s="47"/>
      <c r="O468" s="310"/>
    </row>
    <row r="469" spans="1:15" ht="14.4">
      <c r="A469" s="26">
        <v>7</v>
      </c>
      <c r="B469" s="47"/>
      <c r="C469" s="63" t="s">
        <v>9930</v>
      </c>
      <c r="D469" s="63" t="s">
        <v>9931</v>
      </c>
      <c r="E469" s="63" t="s">
        <v>9932</v>
      </c>
      <c r="F469" s="63" t="s">
        <v>65</v>
      </c>
      <c r="G469" s="63" t="s">
        <v>9933</v>
      </c>
      <c r="H469" s="93" t="s">
        <v>9934</v>
      </c>
      <c r="I469" s="51" t="s">
        <v>9935</v>
      </c>
      <c r="J469" s="51" t="s">
        <v>9936</v>
      </c>
      <c r="K469" s="47" t="s">
        <v>9937</v>
      </c>
      <c r="L469" s="47" t="s">
        <v>9938</v>
      </c>
      <c r="M469" s="47" t="s">
        <v>9939</v>
      </c>
      <c r="N469" s="47"/>
      <c r="O469" s="310"/>
    </row>
    <row r="470" spans="1:15" ht="14.4">
      <c r="A470" s="26">
        <v>8</v>
      </c>
      <c r="B470" s="47"/>
      <c r="C470" s="63" t="s">
        <v>9940</v>
      </c>
      <c r="D470" s="63" t="s">
        <v>9941</v>
      </c>
      <c r="E470" s="63" t="s">
        <v>9942</v>
      </c>
      <c r="F470" s="63" t="s">
        <v>65</v>
      </c>
      <c r="G470" s="63" t="s">
        <v>9943</v>
      </c>
      <c r="H470" s="93" t="s">
        <v>9944</v>
      </c>
      <c r="I470" s="51" t="s">
        <v>9945</v>
      </c>
      <c r="J470" s="51" t="s">
        <v>9946</v>
      </c>
      <c r="K470" s="47" t="s">
        <v>9947</v>
      </c>
      <c r="L470" s="47" t="s">
        <v>9948</v>
      </c>
      <c r="M470" s="47" t="s">
        <v>9949</v>
      </c>
      <c r="N470" s="47"/>
      <c r="O470" s="310"/>
    </row>
    <row r="471" spans="1:15" ht="14.4">
      <c r="A471" s="26">
        <v>9</v>
      </c>
      <c r="B471" s="47"/>
      <c r="C471" s="63" t="s">
        <v>9950</v>
      </c>
      <c r="D471" s="63" t="s">
        <v>9951</v>
      </c>
      <c r="E471" s="63" t="s">
        <v>9952</v>
      </c>
      <c r="F471" s="63" t="s">
        <v>65</v>
      </c>
      <c r="G471" s="63" t="s">
        <v>9953</v>
      </c>
      <c r="H471" s="93" t="s">
        <v>9954</v>
      </c>
      <c r="I471" s="51" t="s">
        <v>9955</v>
      </c>
      <c r="J471" s="51" t="s">
        <v>9956</v>
      </c>
      <c r="K471" s="47" t="s">
        <v>9957</v>
      </c>
      <c r="L471" s="47" t="s">
        <v>9958</v>
      </c>
      <c r="M471" s="47" t="s">
        <v>9959</v>
      </c>
      <c r="N471" s="47"/>
      <c r="O471" s="310"/>
    </row>
    <row r="472" spans="1:15" ht="14.4">
      <c r="A472" s="26">
        <v>10</v>
      </c>
      <c r="B472" s="47"/>
      <c r="C472" s="63" t="s">
        <v>9960</v>
      </c>
      <c r="D472" s="63" t="s">
        <v>9961</v>
      </c>
      <c r="E472" s="63" t="s">
        <v>9962</v>
      </c>
      <c r="F472" s="63" t="s">
        <v>117</v>
      </c>
      <c r="G472" s="63" t="s">
        <v>9963</v>
      </c>
      <c r="H472" s="93" t="s">
        <v>9964</v>
      </c>
      <c r="I472" s="51" t="s">
        <v>9965</v>
      </c>
      <c r="J472" s="51" t="s">
        <v>9966</v>
      </c>
      <c r="K472" s="47" t="s">
        <v>9967</v>
      </c>
      <c r="L472" s="47" t="s">
        <v>9968</v>
      </c>
      <c r="M472" s="47" t="s">
        <v>9969</v>
      </c>
      <c r="N472" s="47"/>
      <c r="O472" s="310"/>
    </row>
    <row r="473" spans="1:15" ht="14.4">
      <c r="A473" s="26">
        <v>11</v>
      </c>
      <c r="B473" s="47"/>
      <c r="C473" s="63" t="s">
        <v>9970</v>
      </c>
      <c r="D473" s="63" t="s">
        <v>9971</v>
      </c>
      <c r="E473" s="63" t="s">
        <v>9972</v>
      </c>
      <c r="F473" s="63" t="s">
        <v>219</v>
      </c>
      <c r="G473" s="63" t="s">
        <v>9973</v>
      </c>
      <c r="H473" s="93" t="s">
        <v>9974</v>
      </c>
      <c r="I473" s="51" t="s">
        <v>9975</v>
      </c>
      <c r="J473" s="51" t="s">
        <v>9976</v>
      </c>
      <c r="K473" s="47" t="s">
        <v>9977</v>
      </c>
      <c r="L473" s="47" t="s">
        <v>9978</v>
      </c>
      <c r="M473" s="47" t="s">
        <v>9979</v>
      </c>
      <c r="N473" s="47"/>
      <c r="O473" s="310"/>
    </row>
    <row r="474" spans="1:15" ht="14.4">
      <c r="A474" s="26">
        <v>12</v>
      </c>
      <c r="B474" s="47"/>
      <c r="C474" s="63" t="s">
        <v>9980</v>
      </c>
      <c r="D474" s="63" t="s">
        <v>9981</v>
      </c>
      <c r="E474" s="63" t="s">
        <v>9982</v>
      </c>
      <c r="F474" s="63" t="s">
        <v>563</v>
      </c>
      <c r="G474" s="63" t="s">
        <v>9983</v>
      </c>
      <c r="H474" s="93" t="s">
        <v>9984</v>
      </c>
      <c r="I474" s="51" t="s">
        <v>9985</v>
      </c>
      <c r="J474" s="51" t="s">
        <v>9986</v>
      </c>
      <c r="K474" s="47" t="s">
        <v>9987</v>
      </c>
      <c r="L474" s="47" t="s">
        <v>9988</v>
      </c>
      <c r="M474" s="47" t="s">
        <v>9989</v>
      </c>
      <c r="N474" s="47"/>
      <c r="O474" s="310"/>
    </row>
    <row r="475" spans="1:15" ht="14.4">
      <c r="A475" s="26">
        <v>13</v>
      </c>
      <c r="B475" s="47"/>
      <c r="C475" s="63" t="s">
        <v>9990</v>
      </c>
      <c r="D475" s="63" t="s">
        <v>9991</v>
      </c>
      <c r="E475" s="63" t="s">
        <v>9992</v>
      </c>
      <c r="F475" s="63" t="s">
        <v>4823</v>
      </c>
      <c r="G475" s="63" t="s">
        <v>9993</v>
      </c>
      <c r="H475" s="93" t="s">
        <v>9994</v>
      </c>
      <c r="I475" s="51" t="s">
        <v>9995</v>
      </c>
      <c r="J475" s="51" t="s">
        <v>9996</v>
      </c>
      <c r="K475" s="47" t="s">
        <v>9997</v>
      </c>
      <c r="L475" s="47" t="s">
        <v>9998</v>
      </c>
      <c r="M475" s="47" t="s">
        <v>9999</v>
      </c>
      <c r="N475" s="47"/>
      <c r="O475" s="310"/>
    </row>
    <row r="476" spans="1:15" ht="14.4">
      <c r="A476" s="26">
        <v>14</v>
      </c>
      <c r="B476" s="47"/>
      <c r="C476" s="63" t="s">
        <v>10000</v>
      </c>
      <c r="D476" s="63" t="s">
        <v>10001</v>
      </c>
      <c r="E476" s="63" t="s">
        <v>10002</v>
      </c>
      <c r="F476" s="63" t="s">
        <v>65</v>
      </c>
      <c r="G476" s="63" t="s">
        <v>10003</v>
      </c>
      <c r="H476" s="93" t="s">
        <v>10004</v>
      </c>
      <c r="I476" s="51" t="s">
        <v>10005</v>
      </c>
      <c r="J476" s="51" t="s">
        <v>10006</v>
      </c>
      <c r="K476" s="47" t="s">
        <v>10007</v>
      </c>
      <c r="L476" s="47" t="s">
        <v>10008</v>
      </c>
      <c r="M476" s="47" t="s">
        <v>10009</v>
      </c>
      <c r="N476" s="47"/>
      <c r="O476" s="310"/>
    </row>
    <row r="477" spans="1:15" ht="14.4">
      <c r="A477" s="26">
        <v>15</v>
      </c>
      <c r="B477" s="47"/>
      <c r="C477" s="63" t="s">
        <v>10010</v>
      </c>
      <c r="D477" s="63" t="s">
        <v>10011</v>
      </c>
      <c r="E477" s="63" t="s">
        <v>10012</v>
      </c>
      <c r="F477" s="63" t="s">
        <v>219</v>
      </c>
      <c r="G477" s="63" t="s">
        <v>10013</v>
      </c>
      <c r="H477" s="93" t="s">
        <v>10014</v>
      </c>
      <c r="I477" s="51" t="s">
        <v>10015</v>
      </c>
      <c r="J477" s="51" t="s">
        <v>10016</v>
      </c>
      <c r="K477" s="47" t="s">
        <v>10017</v>
      </c>
      <c r="L477" s="47" t="s">
        <v>10018</v>
      </c>
      <c r="M477" s="47" t="s">
        <v>10019</v>
      </c>
      <c r="N477" s="47"/>
      <c r="O477" s="310"/>
    </row>
    <row r="478" spans="1:15" ht="14.4">
      <c r="A478" s="26">
        <v>16</v>
      </c>
      <c r="B478" s="47"/>
      <c r="C478" s="63" t="s">
        <v>10020</v>
      </c>
      <c r="D478" s="63" t="s">
        <v>10021</v>
      </c>
      <c r="E478" s="63" t="s">
        <v>10022</v>
      </c>
      <c r="F478" s="63" t="s">
        <v>117</v>
      </c>
      <c r="G478" s="63" t="s">
        <v>10023</v>
      </c>
      <c r="H478" s="93" t="s">
        <v>10024</v>
      </c>
      <c r="I478" s="51" t="s">
        <v>10025</v>
      </c>
      <c r="J478" s="51" t="s">
        <v>10026</v>
      </c>
      <c r="K478" s="47" t="s">
        <v>10027</v>
      </c>
      <c r="L478" s="47" t="s">
        <v>10028</v>
      </c>
      <c r="M478" s="47" t="s">
        <v>10029</v>
      </c>
      <c r="N478" s="47"/>
      <c r="O478" s="310"/>
    </row>
    <row r="479" spans="1:15" ht="14.4">
      <c r="A479" s="26">
        <v>17</v>
      </c>
      <c r="B479" s="47"/>
      <c r="C479" s="63" t="s">
        <v>10030</v>
      </c>
      <c r="D479" s="63" t="s">
        <v>10031</v>
      </c>
      <c r="E479" s="63" t="s">
        <v>10032</v>
      </c>
      <c r="F479" s="63" t="s">
        <v>54</v>
      </c>
      <c r="G479" s="63" t="s">
        <v>10033</v>
      </c>
      <c r="H479" s="93" t="s">
        <v>10034</v>
      </c>
      <c r="I479" s="51" t="s">
        <v>10035</v>
      </c>
      <c r="J479" s="51" t="s">
        <v>10036</v>
      </c>
      <c r="K479" s="47" t="s">
        <v>10037</v>
      </c>
      <c r="L479" s="47" t="s">
        <v>10038</v>
      </c>
      <c r="M479" s="47" t="s">
        <v>10039</v>
      </c>
      <c r="N479" s="47"/>
      <c r="O479" s="310"/>
    </row>
    <row r="480" spans="1:15" ht="14.4">
      <c r="A480" s="26">
        <v>18</v>
      </c>
      <c r="B480" s="47"/>
      <c r="C480" s="63" t="s">
        <v>10040</v>
      </c>
      <c r="D480" s="63" t="s">
        <v>10041</v>
      </c>
      <c r="E480" s="63" t="s">
        <v>10042</v>
      </c>
      <c r="F480" s="63" t="s">
        <v>117</v>
      </c>
      <c r="G480" s="63" t="s">
        <v>10043</v>
      </c>
      <c r="H480" s="93" t="s">
        <v>10044</v>
      </c>
      <c r="I480" s="51" t="s">
        <v>10045</v>
      </c>
      <c r="J480" s="51" t="s">
        <v>10046</v>
      </c>
      <c r="K480" s="47" t="s">
        <v>10047</v>
      </c>
      <c r="L480" s="47" t="s">
        <v>5314</v>
      </c>
      <c r="M480" s="47" t="s">
        <v>5315</v>
      </c>
      <c r="N480" s="47"/>
      <c r="O480" s="310"/>
    </row>
    <row r="481" spans="1:26" ht="14.4">
      <c r="A481" s="26">
        <v>19</v>
      </c>
      <c r="B481" s="47"/>
      <c r="C481" s="63" t="s">
        <v>10048</v>
      </c>
      <c r="D481" s="63" t="s">
        <v>10049</v>
      </c>
      <c r="E481" s="63" t="s">
        <v>10050</v>
      </c>
      <c r="F481" s="63" t="s">
        <v>219</v>
      </c>
      <c r="G481" s="63" t="s">
        <v>10051</v>
      </c>
      <c r="H481" s="93" t="s">
        <v>10052</v>
      </c>
      <c r="I481" s="51" t="s">
        <v>10053</v>
      </c>
      <c r="J481" s="51" t="s">
        <v>10054</v>
      </c>
      <c r="K481" s="47" t="s">
        <v>10055</v>
      </c>
      <c r="L481" s="47" t="s">
        <v>10056</v>
      </c>
      <c r="M481" s="47" t="s">
        <v>10057</v>
      </c>
      <c r="N481" s="47"/>
      <c r="O481" s="310"/>
    </row>
    <row r="482" spans="1:26" ht="14.4">
      <c r="A482" s="26">
        <v>20</v>
      </c>
      <c r="B482" s="47"/>
      <c r="C482" s="63" t="s">
        <v>10058</v>
      </c>
      <c r="D482" s="63" t="s">
        <v>10059</v>
      </c>
      <c r="E482" s="63" t="s">
        <v>10060</v>
      </c>
      <c r="F482" s="63" t="s">
        <v>664</v>
      </c>
      <c r="G482" s="63" t="s">
        <v>10061</v>
      </c>
      <c r="H482" s="93" t="s">
        <v>10062</v>
      </c>
      <c r="I482" s="51" t="s">
        <v>10063</v>
      </c>
      <c r="J482" s="51" t="s">
        <v>10064</v>
      </c>
      <c r="K482" s="47" t="s">
        <v>10065</v>
      </c>
      <c r="L482" s="47" t="s">
        <v>10066</v>
      </c>
      <c r="M482" s="47" t="s">
        <v>10067</v>
      </c>
      <c r="N482" s="47"/>
      <c r="O482" s="310"/>
    </row>
    <row r="483" spans="1:26" ht="14.4">
      <c r="A483" s="26">
        <v>21</v>
      </c>
      <c r="B483" s="47"/>
      <c r="C483" s="63" t="s">
        <v>10068</v>
      </c>
      <c r="D483" s="63" t="s">
        <v>10069</v>
      </c>
      <c r="E483" s="63" t="s">
        <v>10070</v>
      </c>
      <c r="F483" s="63" t="s">
        <v>65</v>
      </c>
      <c r="G483" s="63" t="s">
        <v>10071</v>
      </c>
      <c r="H483" s="93" t="s">
        <v>10072</v>
      </c>
      <c r="I483" s="51" t="s">
        <v>10073</v>
      </c>
      <c r="J483" s="51" t="s">
        <v>10074</v>
      </c>
      <c r="K483" s="47" t="s">
        <v>10075</v>
      </c>
      <c r="L483" s="47" t="s">
        <v>10076</v>
      </c>
      <c r="M483" s="47" t="s">
        <v>10077</v>
      </c>
      <c r="N483" s="47"/>
      <c r="O483" s="310"/>
    </row>
    <row r="484" spans="1:26" ht="18" customHeight="1">
      <c r="A484" s="26">
        <v>22</v>
      </c>
      <c r="B484" s="47"/>
      <c r="C484" s="63" t="s">
        <v>10078</v>
      </c>
      <c r="D484" s="63" t="s">
        <v>10079</v>
      </c>
      <c r="E484" s="63" t="s">
        <v>10080</v>
      </c>
      <c r="F484" s="63" t="s">
        <v>117</v>
      </c>
      <c r="G484" s="63" t="s">
        <v>10081</v>
      </c>
      <c r="H484" s="93" t="s">
        <v>10082</v>
      </c>
      <c r="I484" s="51" t="s">
        <v>10083</v>
      </c>
      <c r="J484" s="51" t="s">
        <v>10084</v>
      </c>
      <c r="K484" s="47" t="s">
        <v>10085</v>
      </c>
      <c r="L484" s="47" t="s">
        <v>10086</v>
      </c>
      <c r="M484" s="47" t="s">
        <v>10087</v>
      </c>
      <c r="N484" s="47"/>
      <c r="O484" s="310"/>
    </row>
    <row r="485" spans="1:26" ht="14.4">
      <c r="A485" s="26">
        <v>23</v>
      </c>
      <c r="B485" s="47"/>
      <c r="C485" s="63" t="s">
        <v>10088</v>
      </c>
      <c r="D485" s="63" t="s">
        <v>10089</v>
      </c>
      <c r="E485" s="63" t="s">
        <v>10090</v>
      </c>
      <c r="F485" s="63" t="s">
        <v>117</v>
      </c>
      <c r="G485" s="63" t="s">
        <v>10091</v>
      </c>
      <c r="H485" s="93" t="s">
        <v>10092</v>
      </c>
      <c r="I485" s="51" t="s">
        <v>10093</v>
      </c>
      <c r="J485" s="51" t="s">
        <v>10094</v>
      </c>
      <c r="K485" s="47" t="s">
        <v>10095</v>
      </c>
      <c r="L485" s="47" t="s">
        <v>10096</v>
      </c>
      <c r="M485" s="47" t="s">
        <v>10097</v>
      </c>
      <c r="N485" s="47"/>
      <c r="O485" s="310"/>
    </row>
    <row r="486" spans="1:26" ht="14.4">
      <c r="A486" s="26">
        <v>24</v>
      </c>
      <c r="B486" s="47"/>
      <c r="C486" s="63" t="s">
        <v>3680</v>
      </c>
      <c r="D486" s="63" t="s">
        <v>3681</v>
      </c>
      <c r="E486" s="63" t="s">
        <v>3682</v>
      </c>
      <c r="F486" s="63" t="s">
        <v>65</v>
      </c>
      <c r="G486" s="63" t="s">
        <v>3683</v>
      </c>
      <c r="H486" s="93" t="s">
        <v>10098</v>
      </c>
      <c r="I486" s="51" t="s">
        <v>3685</v>
      </c>
      <c r="J486" s="51" t="s">
        <v>3686</v>
      </c>
      <c r="K486" s="47" t="s">
        <v>10099</v>
      </c>
      <c r="L486" s="47" t="s">
        <v>10100</v>
      </c>
      <c r="M486" s="47" t="s">
        <v>10101</v>
      </c>
      <c r="N486" s="47"/>
      <c r="O486" s="310"/>
    </row>
    <row r="487" spans="1:26" ht="14.4">
      <c r="A487" s="26">
        <v>25</v>
      </c>
      <c r="B487" s="47"/>
      <c r="C487" s="63" t="s">
        <v>10102</v>
      </c>
      <c r="D487" s="63" t="s">
        <v>10103</v>
      </c>
      <c r="E487" s="63" t="s">
        <v>10104</v>
      </c>
      <c r="F487" s="63" t="s">
        <v>117</v>
      </c>
      <c r="G487" s="63" t="s">
        <v>10105</v>
      </c>
      <c r="H487" s="93" t="s">
        <v>10106</v>
      </c>
      <c r="I487" s="51" t="s">
        <v>10107</v>
      </c>
      <c r="J487" s="51" t="s">
        <v>10108</v>
      </c>
      <c r="K487" s="47" t="s">
        <v>10109</v>
      </c>
      <c r="L487" s="47" t="s">
        <v>10110</v>
      </c>
      <c r="M487" s="47" t="s">
        <v>10111</v>
      </c>
      <c r="N487" s="47"/>
      <c r="O487" s="310"/>
    </row>
    <row r="488" spans="1:26" ht="14.4">
      <c r="A488" s="26">
        <v>26</v>
      </c>
      <c r="B488" s="47"/>
      <c r="C488" s="63" t="s">
        <v>10112</v>
      </c>
      <c r="D488" s="63" t="s">
        <v>10113</v>
      </c>
      <c r="E488" s="63" t="s">
        <v>10114</v>
      </c>
      <c r="F488" s="63" t="s">
        <v>117</v>
      </c>
      <c r="G488" s="63" t="s">
        <v>10115</v>
      </c>
      <c r="H488" s="93" t="s">
        <v>10116</v>
      </c>
      <c r="I488" s="51" t="s">
        <v>10117</v>
      </c>
      <c r="J488" s="51" t="s">
        <v>10118</v>
      </c>
      <c r="K488" s="47" t="s">
        <v>10119</v>
      </c>
      <c r="L488" s="47" t="s">
        <v>10120</v>
      </c>
      <c r="M488" s="47" t="s">
        <v>10121</v>
      </c>
      <c r="N488" s="47"/>
      <c r="O488" s="310"/>
    </row>
    <row r="489" spans="1:26" ht="14.4">
      <c r="A489" s="26">
        <v>27</v>
      </c>
      <c r="B489" s="47"/>
      <c r="C489" s="63" t="s">
        <v>10122</v>
      </c>
      <c r="D489" s="63" t="s">
        <v>10123</v>
      </c>
      <c r="E489" s="63" t="s">
        <v>10124</v>
      </c>
      <c r="F489" s="63" t="s">
        <v>117</v>
      </c>
      <c r="G489" s="63" t="s">
        <v>10125</v>
      </c>
      <c r="H489" s="93" t="s">
        <v>10126</v>
      </c>
      <c r="I489" s="51" t="s">
        <v>10127</v>
      </c>
      <c r="J489" s="51" t="s">
        <v>10128</v>
      </c>
      <c r="K489" s="47" t="s">
        <v>10129</v>
      </c>
      <c r="L489" s="47" t="s">
        <v>10130</v>
      </c>
      <c r="M489" s="47" t="s">
        <v>10131</v>
      </c>
      <c r="N489" s="47"/>
      <c r="O489" s="310"/>
    </row>
    <row r="490" spans="1:26" ht="14.4">
      <c r="A490" s="26">
        <v>28</v>
      </c>
      <c r="B490" s="47"/>
      <c r="C490" s="63" t="s">
        <v>10132</v>
      </c>
      <c r="D490" s="63" t="s">
        <v>10133</v>
      </c>
      <c r="E490" s="63" t="s">
        <v>10134</v>
      </c>
      <c r="F490" s="63" t="s">
        <v>65</v>
      </c>
      <c r="G490" s="63" t="s">
        <v>10135</v>
      </c>
      <c r="H490" s="93" t="s">
        <v>10136</v>
      </c>
      <c r="I490" s="51" t="s">
        <v>10137</v>
      </c>
      <c r="J490" s="51" t="s">
        <v>10138</v>
      </c>
      <c r="K490" s="47" t="s">
        <v>10139</v>
      </c>
      <c r="L490" s="47" t="s">
        <v>10140</v>
      </c>
      <c r="M490" s="47" t="s">
        <v>10141</v>
      </c>
      <c r="N490" s="47"/>
      <c r="O490" s="310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4.4">
      <c r="A491" s="26">
        <v>29</v>
      </c>
      <c r="B491" s="47"/>
      <c r="C491" s="63" t="s">
        <v>10142</v>
      </c>
      <c r="D491" s="63" t="s">
        <v>10143</v>
      </c>
      <c r="E491" s="63" t="s">
        <v>10144</v>
      </c>
      <c r="F491" s="63" t="s">
        <v>117</v>
      </c>
      <c r="G491" s="63" t="s">
        <v>10145</v>
      </c>
      <c r="H491" s="93" t="s">
        <v>10146</v>
      </c>
      <c r="I491" s="51" t="s">
        <v>10147</v>
      </c>
      <c r="J491" s="51" t="s">
        <v>10148</v>
      </c>
      <c r="K491" s="47" t="s">
        <v>10149</v>
      </c>
      <c r="L491" s="47" t="s">
        <v>10150</v>
      </c>
      <c r="M491" s="47" t="s">
        <v>10151</v>
      </c>
      <c r="N491" s="47"/>
      <c r="O491" s="311"/>
    </row>
  </sheetData>
  <mergeCells count="18">
    <mergeCell ref="O464:O491"/>
    <mergeCell ref="O192:O218"/>
    <mergeCell ref="O220:O246"/>
    <mergeCell ref="O248:O274"/>
    <mergeCell ref="O276:O302"/>
    <mergeCell ref="O304:O329"/>
    <mergeCell ref="O331:O357"/>
    <mergeCell ref="O359:O384"/>
    <mergeCell ref="O138:O163"/>
    <mergeCell ref="O165:O190"/>
    <mergeCell ref="O386:O409"/>
    <mergeCell ref="O411:O435"/>
    <mergeCell ref="O437:O462"/>
    <mergeCell ref="O3:O28"/>
    <mergeCell ref="O30:O56"/>
    <mergeCell ref="O58:O82"/>
    <mergeCell ref="O84:O109"/>
    <mergeCell ref="O111:O136"/>
  </mergeCells>
  <dataValidations count="1">
    <dataValidation type="list" allowBlank="1" showErrorMessage="1" sqref="O2 O29 O57 O83 O110 O137 O164 O191 O219 O247 O275 O303 O330 O358 O385 O410 O436 O463" xr:uid="{00000000-0002-0000-0500-000000000000}">
      <formula1>"Đang thực hiện,Sẵn sàng soát 1 ,Sửa 1,Sẵn sàng soát 2,Sửa 2,Done"</formula1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7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640625" defaultRowHeight="15" customHeight="1"/>
  <cols>
    <col min="1" max="1" width="4.88671875" customWidth="1"/>
    <col min="2" max="2" width="20.44140625" customWidth="1"/>
    <col min="3" max="3" width="12.33203125" customWidth="1"/>
    <col min="4" max="4" width="44.6640625" customWidth="1"/>
    <col min="5" max="5" width="13.44140625" customWidth="1"/>
    <col min="6" max="6" width="13.88671875" customWidth="1"/>
    <col min="7" max="7" width="33.21875" customWidth="1"/>
    <col min="8" max="8" width="51.33203125" customWidth="1"/>
    <col min="9" max="9" width="44" customWidth="1"/>
    <col min="10" max="10" width="33.6640625" customWidth="1"/>
    <col min="11" max="11" width="21" customWidth="1"/>
    <col min="12" max="12" width="21.109375" customWidth="1"/>
    <col min="13" max="13" width="21.33203125" customWidth="1"/>
  </cols>
  <sheetData>
    <row r="1" spans="1:13" ht="14.25" customHeight="1">
      <c r="A1" s="105" t="s">
        <v>12</v>
      </c>
      <c r="B1" s="14" t="s">
        <v>13</v>
      </c>
      <c r="C1" s="106" t="s">
        <v>14</v>
      </c>
      <c r="D1" s="14" t="s">
        <v>3114</v>
      </c>
      <c r="E1" s="14" t="s">
        <v>16</v>
      </c>
      <c r="F1" s="14" t="s">
        <v>17</v>
      </c>
      <c r="G1" s="14" t="s">
        <v>18</v>
      </c>
      <c r="H1" s="107" t="s">
        <v>19</v>
      </c>
      <c r="I1" s="14" t="s">
        <v>20</v>
      </c>
      <c r="J1" s="16" t="s">
        <v>21</v>
      </c>
      <c r="K1" s="17" t="s">
        <v>22</v>
      </c>
      <c r="L1" s="17" t="s">
        <v>23</v>
      </c>
      <c r="M1" s="17" t="s">
        <v>24</v>
      </c>
    </row>
    <row r="2" spans="1:13" ht="14.25" customHeight="1">
      <c r="A2" s="108">
        <v>1</v>
      </c>
      <c r="B2" s="41"/>
      <c r="C2" s="109" t="s">
        <v>3155</v>
      </c>
      <c r="D2" s="110" t="s">
        <v>3156</v>
      </c>
      <c r="E2" s="110" t="s">
        <v>3157</v>
      </c>
      <c r="F2" s="110" t="s">
        <v>117</v>
      </c>
      <c r="G2" s="110" t="s">
        <v>5201</v>
      </c>
      <c r="H2" s="43" t="s">
        <v>10152</v>
      </c>
      <c r="I2" s="111" t="s">
        <v>3160</v>
      </c>
      <c r="J2" s="112" t="s">
        <v>3161</v>
      </c>
      <c r="K2" s="41" t="s">
        <v>5202</v>
      </c>
      <c r="L2" s="41" t="s">
        <v>3123</v>
      </c>
      <c r="M2" s="41" t="s">
        <v>3124</v>
      </c>
    </row>
    <row r="3" spans="1:13" ht="14.25" customHeight="1">
      <c r="A3" s="113">
        <v>2</v>
      </c>
      <c r="B3" s="47"/>
      <c r="C3" s="114" t="s">
        <v>2368</v>
      </c>
      <c r="D3" s="61" t="s">
        <v>2369</v>
      </c>
      <c r="E3" s="61" t="s">
        <v>2370</v>
      </c>
      <c r="F3" s="61" t="s">
        <v>117</v>
      </c>
      <c r="G3" s="61" t="s">
        <v>2371</v>
      </c>
      <c r="H3" s="50" t="s">
        <v>10153</v>
      </c>
      <c r="I3" s="115" t="s">
        <v>2373</v>
      </c>
      <c r="J3" s="116" t="s">
        <v>2374</v>
      </c>
      <c r="K3" s="47" t="s">
        <v>10154</v>
      </c>
      <c r="L3" s="47" t="s">
        <v>3127</v>
      </c>
      <c r="M3" s="47" t="s">
        <v>3128</v>
      </c>
    </row>
    <row r="4" spans="1:13" ht="14.25" customHeight="1">
      <c r="A4" s="113">
        <v>3</v>
      </c>
      <c r="B4" s="47"/>
      <c r="C4" s="114" t="s">
        <v>4720</v>
      </c>
      <c r="D4" s="61" t="s">
        <v>4721</v>
      </c>
      <c r="E4" s="61" t="s">
        <v>4722</v>
      </c>
      <c r="F4" s="61" t="s">
        <v>219</v>
      </c>
      <c r="G4" s="61" t="s">
        <v>5394</v>
      </c>
      <c r="H4" s="50" t="s">
        <v>10155</v>
      </c>
      <c r="I4" s="115" t="s">
        <v>4725</v>
      </c>
      <c r="J4" s="116" t="s">
        <v>5395</v>
      </c>
      <c r="K4" s="47" t="s">
        <v>5396</v>
      </c>
      <c r="L4" s="47" t="s">
        <v>3138</v>
      </c>
      <c r="M4" s="47" t="s">
        <v>3139</v>
      </c>
    </row>
    <row r="5" spans="1:13" ht="14.25" customHeight="1">
      <c r="A5" s="113">
        <v>4</v>
      </c>
      <c r="B5" s="47"/>
      <c r="C5" s="114" t="s">
        <v>3509</v>
      </c>
      <c r="D5" s="61" t="s">
        <v>3510</v>
      </c>
      <c r="E5" s="61" t="s">
        <v>3511</v>
      </c>
      <c r="F5" s="61"/>
      <c r="G5" s="61" t="s">
        <v>5243</v>
      </c>
      <c r="H5" s="117" t="s">
        <v>10156</v>
      </c>
      <c r="I5" s="118" t="s">
        <v>3514</v>
      </c>
      <c r="J5" s="118" t="s">
        <v>3515</v>
      </c>
      <c r="K5" s="47" t="s">
        <v>5244</v>
      </c>
      <c r="L5" s="47" t="s">
        <v>3143</v>
      </c>
      <c r="M5" s="47" t="s">
        <v>3144</v>
      </c>
    </row>
    <row r="6" spans="1:13" ht="14.25" customHeight="1">
      <c r="A6" s="113">
        <v>5</v>
      </c>
      <c r="B6" s="47"/>
      <c r="C6" s="114" t="s">
        <v>297</v>
      </c>
      <c r="D6" s="61" t="s">
        <v>298</v>
      </c>
      <c r="E6" s="61" t="s">
        <v>299</v>
      </c>
      <c r="F6" s="61" t="s">
        <v>219</v>
      </c>
      <c r="G6" s="61" t="s">
        <v>10157</v>
      </c>
      <c r="H6" s="50" t="s">
        <v>10158</v>
      </c>
      <c r="I6" s="115" t="s">
        <v>10159</v>
      </c>
      <c r="J6" s="116" t="s">
        <v>10160</v>
      </c>
      <c r="K6" s="47" t="s">
        <v>10161</v>
      </c>
      <c r="L6" s="47" t="s">
        <v>3153</v>
      </c>
      <c r="M6" s="47" t="s">
        <v>3154</v>
      </c>
    </row>
    <row r="7" spans="1:13" ht="14.25" customHeight="1">
      <c r="A7" s="113">
        <v>6</v>
      </c>
      <c r="B7" s="47"/>
      <c r="C7" s="114" t="s">
        <v>4099</v>
      </c>
      <c r="D7" s="61" t="s">
        <v>4100</v>
      </c>
      <c r="E7" s="61" t="s">
        <v>4101</v>
      </c>
      <c r="F7" s="61" t="s">
        <v>4102</v>
      </c>
      <c r="G7" s="61" t="s">
        <v>5324</v>
      </c>
      <c r="H7" s="50" t="s">
        <v>10162</v>
      </c>
      <c r="I7" s="115" t="s">
        <v>4105</v>
      </c>
      <c r="J7" s="116" t="s">
        <v>4106</v>
      </c>
      <c r="K7" s="47" t="s">
        <v>5325</v>
      </c>
      <c r="L7" s="47" t="s">
        <v>3163</v>
      </c>
      <c r="M7" s="47" t="s">
        <v>3164</v>
      </c>
    </row>
    <row r="8" spans="1:13" ht="14.25" customHeight="1">
      <c r="A8" s="113">
        <v>7</v>
      </c>
      <c r="B8" s="47"/>
      <c r="C8" s="114" t="s">
        <v>10163</v>
      </c>
      <c r="D8" s="61" t="s">
        <v>10164</v>
      </c>
      <c r="E8" s="61" t="s">
        <v>10165</v>
      </c>
      <c r="F8" s="61"/>
      <c r="G8" s="61" t="s">
        <v>10166</v>
      </c>
      <c r="H8" s="50" t="s">
        <v>10167</v>
      </c>
      <c r="I8" s="115" t="s">
        <v>4115</v>
      </c>
      <c r="J8" s="116" t="s">
        <v>10168</v>
      </c>
      <c r="K8" s="47" t="s">
        <v>10169</v>
      </c>
      <c r="L8" s="47" t="s">
        <v>3173</v>
      </c>
      <c r="M8" s="47" t="s">
        <v>3174</v>
      </c>
    </row>
    <row r="9" spans="1:13" ht="14.25" customHeight="1">
      <c r="A9" s="113">
        <v>8</v>
      </c>
      <c r="B9" s="47"/>
      <c r="C9" s="114" t="s">
        <v>3449</v>
      </c>
      <c r="D9" s="61" t="s">
        <v>10170</v>
      </c>
      <c r="E9" s="61" t="s">
        <v>10171</v>
      </c>
      <c r="F9" s="61" t="s">
        <v>219</v>
      </c>
      <c r="G9" s="61" t="s">
        <v>10172</v>
      </c>
      <c r="H9" s="50" t="s">
        <v>10173</v>
      </c>
      <c r="I9" s="115" t="s">
        <v>10174</v>
      </c>
      <c r="J9" s="116" t="s">
        <v>10175</v>
      </c>
      <c r="K9" s="47" t="s">
        <v>10176</v>
      </c>
      <c r="L9" s="47" t="s">
        <v>3182</v>
      </c>
      <c r="M9" s="47" t="s">
        <v>3183</v>
      </c>
    </row>
    <row r="10" spans="1:13" ht="14.25" customHeight="1">
      <c r="A10" s="113">
        <v>9</v>
      </c>
      <c r="B10" s="47"/>
      <c r="C10" s="114" t="s">
        <v>2277</v>
      </c>
      <c r="D10" s="61" t="s">
        <v>2278</v>
      </c>
      <c r="E10" s="61" t="s">
        <v>2279</v>
      </c>
      <c r="F10" s="61" t="s">
        <v>10177</v>
      </c>
      <c r="G10" s="61" t="s">
        <v>2281</v>
      </c>
      <c r="H10" s="50" t="s">
        <v>10178</v>
      </c>
      <c r="I10" s="115" t="s">
        <v>2283</v>
      </c>
      <c r="J10" s="116" t="s">
        <v>2284</v>
      </c>
      <c r="K10" s="47" t="s">
        <v>10179</v>
      </c>
      <c r="L10" s="47" t="s">
        <v>3192</v>
      </c>
      <c r="M10" s="47" t="s">
        <v>3193</v>
      </c>
    </row>
    <row r="11" spans="1:13" ht="14.25" customHeight="1">
      <c r="A11" s="113">
        <v>10</v>
      </c>
      <c r="B11" s="47"/>
      <c r="C11" s="114" t="s">
        <v>913</v>
      </c>
      <c r="D11" s="61" t="s">
        <v>914</v>
      </c>
      <c r="E11" s="61" t="s">
        <v>915</v>
      </c>
      <c r="F11" s="61" t="s">
        <v>54</v>
      </c>
      <c r="G11" s="61" t="s">
        <v>916</v>
      </c>
      <c r="H11" s="50" t="s">
        <v>10180</v>
      </c>
      <c r="I11" s="115" t="s">
        <v>918</v>
      </c>
      <c r="J11" s="116" t="s">
        <v>919</v>
      </c>
      <c r="K11" s="47" t="s">
        <v>10181</v>
      </c>
      <c r="L11" s="47" t="s">
        <v>3196</v>
      </c>
      <c r="M11" s="47" t="s">
        <v>3197</v>
      </c>
    </row>
    <row r="12" spans="1:13" ht="14.25" customHeight="1">
      <c r="A12" s="113">
        <v>11</v>
      </c>
      <c r="B12" s="47"/>
      <c r="C12" s="114" t="s">
        <v>963</v>
      </c>
      <c r="D12" s="61" t="s">
        <v>964</v>
      </c>
      <c r="E12" s="61" t="s">
        <v>418</v>
      </c>
      <c r="F12" s="61" t="s">
        <v>42</v>
      </c>
      <c r="G12" s="61" t="s">
        <v>965</v>
      </c>
      <c r="H12" s="50" t="s">
        <v>10182</v>
      </c>
      <c r="I12" s="115" t="s">
        <v>967</v>
      </c>
      <c r="J12" s="116" t="s">
        <v>968</v>
      </c>
      <c r="K12" s="47" t="s">
        <v>10183</v>
      </c>
      <c r="L12" s="47" t="s">
        <v>3206</v>
      </c>
      <c r="M12" s="47" t="s">
        <v>3207</v>
      </c>
    </row>
    <row r="13" spans="1:13" ht="14.25" customHeight="1">
      <c r="A13" s="113">
        <v>12</v>
      </c>
      <c r="B13" s="47"/>
      <c r="C13" s="114" t="s">
        <v>5057</v>
      </c>
      <c r="D13" s="61" t="s">
        <v>5058</v>
      </c>
      <c r="E13" s="61" t="s">
        <v>5059</v>
      </c>
      <c r="F13" s="61" t="s">
        <v>65</v>
      </c>
      <c r="G13" s="61" t="s">
        <v>5440</v>
      </c>
      <c r="H13" s="50" t="s">
        <v>10184</v>
      </c>
      <c r="I13" s="115" t="s">
        <v>5062</v>
      </c>
      <c r="J13" s="116" t="s">
        <v>5063</v>
      </c>
      <c r="K13" s="47" t="s">
        <v>5441</v>
      </c>
      <c r="L13" s="47" t="s">
        <v>3216</v>
      </c>
      <c r="M13" s="47" t="s">
        <v>3217</v>
      </c>
    </row>
    <row r="14" spans="1:13" ht="14.25" customHeight="1">
      <c r="A14" s="113">
        <v>1</v>
      </c>
      <c r="B14" s="41"/>
      <c r="C14" s="109" t="s">
        <v>2421</v>
      </c>
      <c r="D14" s="119" t="s">
        <v>2422</v>
      </c>
      <c r="E14" s="119" t="s">
        <v>2423</v>
      </c>
      <c r="F14" s="110" t="s">
        <v>117</v>
      </c>
      <c r="G14" s="110" t="s">
        <v>2424</v>
      </c>
      <c r="H14" s="43" t="s">
        <v>10185</v>
      </c>
      <c r="I14" s="111" t="s">
        <v>2426</v>
      </c>
      <c r="J14" s="112" t="s">
        <v>2427</v>
      </c>
      <c r="K14" s="41" t="s">
        <v>10186</v>
      </c>
      <c r="L14" s="41" t="s">
        <v>3257</v>
      </c>
      <c r="M14" s="41" t="s">
        <v>3258</v>
      </c>
    </row>
    <row r="15" spans="1:13" ht="14.25" customHeight="1">
      <c r="A15" s="113">
        <v>2</v>
      </c>
      <c r="B15" s="47"/>
      <c r="C15" s="120" t="s">
        <v>2462</v>
      </c>
      <c r="D15" s="121" t="s">
        <v>2463</v>
      </c>
      <c r="E15" s="121" t="s">
        <v>2279</v>
      </c>
      <c r="F15" s="113" t="s">
        <v>65</v>
      </c>
      <c r="G15" s="113" t="s">
        <v>2464</v>
      </c>
      <c r="H15" s="122" t="s">
        <v>10187</v>
      </c>
      <c r="I15" s="116" t="s">
        <v>2466</v>
      </c>
      <c r="J15" s="116" t="s">
        <v>2467</v>
      </c>
      <c r="K15" s="47" t="s">
        <v>10188</v>
      </c>
      <c r="L15" s="47" t="s">
        <v>3267</v>
      </c>
      <c r="M15" s="47" t="s">
        <v>3268</v>
      </c>
    </row>
    <row r="16" spans="1:13" ht="14.25" customHeight="1">
      <c r="A16" s="113">
        <v>3</v>
      </c>
      <c r="B16" s="47"/>
      <c r="C16" s="120" t="s">
        <v>4700</v>
      </c>
      <c r="D16" s="121" t="s">
        <v>4701</v>
      </c>
      <c r="E16" s="121" t="s">
        <v>4702</v>
      </c>
      <c r="F16" s="113" t="s">
        <v>65</v>
      </c>
      <c r="G16" s="113" t="s">
        <v>10189</v>
      </c>
      <c r="H16" s="122" t="s">
        <v>10190</v>
      </c>
      <c r="I16" s="116" t="s">
        <v>10191</v>
      </c>
      <c r="J16" s="116" t="s">
        <v>10192</v>
      </c>
      <c r="K16" s="47" t="s">
        <v>10193</v>
      </c>
      <c r="L16" s="47" t="s">
        <v>3278</v>
      </c>
      <c r="M16" s="47" t="s">
        <v>3279</v>
      </c>
    </row>
    <row r="17" spans="1:13" ht="14.25" customHeight="1">
      <c r="A17" s="113">
        <v>4</v>
      </c>
      <c r="B17" s="47"/>
      <c r="C17" s="120" t="s">
        <v>7473</v>
      </c>
      <c r="D17" s="121" t="s">
        <v>7474</v>
      </c>
      <c r="E17" s="121" t="s">
        <v>7475</v>
      </c>
      <c r="F17" s="113"/>
      <c r="G17" s="113" t="s">
        <v>10194</v>
      </c>
      <c r="H17" s="122" t="s">
        <v>10195</v>
      </c>
      <c r="I17" s="116" t="s">
        <v>7478</v>
      </c>
      <c r="J17" s="116" t="s">
        <v>7479</v>
      </c>
      <c r="K17" s="47" t="s">
        <v>10196</v>
      </c>
      <c r="L17" s="47" t="s">
        <v>3288</v>
      </c>
      <c r="M17" s="47" t="s">
        <v>3289</v>
      </c>
    </row>
    <row r="18" spans="1:13" ht="14.25" customHeight="1">
      <c r="A18" s="113">
        <v>5</v>
      </c>
      <c r="B18" s="47"/>
      <c r="C18" s="120" t="s">
        <v>4410</v>
      </c>
      <c r="D18" s="121" t="s">
        <v>4411</v>
      </c>
      <c r="E18" s="121" t="s">
        <v>4412</v>
      </c>
      <c r="F18" s="113" t="s">
        <v>54</v>
      </c>
      <c r="G18" s="113" t="s">
        <v>5371</v>
      </c>
      <c r="H18" s="122" t="s">
        <v>10197</v>
      </c>
      <c r="I18" s="116" t="s">
        <v>4415</v>
      </c>
      <c r="J18" s="116" t="s">
        <v>4416</v>
      </c>
      <c r="K18" s="47" t="s">
        <v>5372</v>
      </c>
      <c r="L18" s="47" t="s">
        <v>3298</v>
      </c>
      <c r="M18" s="47" t="s">
        <v>3299</v>
      </c>
    </row>
    <row r="19" spans="1:13" ht="14.25" customHeight="1">
      <c r="A19" s="113">
        <v>6</v>
      </c>
      <c r="B19" s="47"/>
      <c r="C19" s="120" t="s">
        <v>5487</v>
      </c>
      <c r="D19" s="123" t="s">
        <v>5488</v>
      </c>
      <c r="E19" s="123" t="s">
        <v>5489</v>
      </c>
      <c r="F19" s="113" t="s">
        <v>563</v>
      </c>
      <c r="G19" s="113" t="s">
        <v>10198</v>
      </c>
      <c r="H19" s="124" t="s">
        <v>10199</v>
      </c>
      <c r="I19" s="116" t="s">
        <v>5492</v>
      </c>
      <c r="J19" s="124" t="s">
        <v>5493</v>
      </c>
      <c r="K19" s="47" t="s">
        <v>10200</v>
      </c>
      <c r="L19" s="47" t="s">
        <v>3308</v>
      </c>
      <c r="M19" s="47" t="s">
        <v>3309</v>
      </c>
    </row>
    <row r="20" spans="1:13" ht="14.25" customHeight="1">
      <c r="A20" s="113">
        <v>7</v>
      </c>
      <c r="B20" s="47"/>
      <c r="C20" s="120" t="s">
        <v>822</v>
      </c>
      <c r="D20" s="121" t="s">
        <v>823</v>
      </c>
      <c r="E20" s="121" t="s">
        <v>824</v>
      </c>
      <c r="F20" s="113" t="s">
        <v>117</v>
      </c>
      <c r="G20" s="113" t="s">
        <v>825</v>
      </c>
      <c r="H20" s="125" t="s">
        <v>10201</v>
      </c>
      <c r="I20" s="116" t="s">
        <v>827</v>
      </c>
      <c r="J20" s="126" t="s">
        <v>828</v>
      </c>
      <c r="K20" s="47" t="s">
        <v>10202</v>
      </c>
      <c r="L20" s="47" t="s">
        <v>3318</v>
      </c>
      <c r="M20" s="47" t="s">
        <v>3319</v>
      </c>
    </row>
    <row r="21" spans="1:13" ht="14.25" customHeight="1">
      <c r="A21" s="113">
        <v>8</v>
      </c>
      <c r="B21" s="47"/>
      <c r="C21" s="120" t="s">
        <v>478</v>
      </c>
      <c r="D21" s="121" t="s">
        <v>479</v>
      </c>
      <c r="E21" s="121" t="s">
        <v>480</v>
      </c>
      <c r="F21" s="113" t="s">
        <v>54</v>
      </c>
      <c r="G21" s="113" t="s">
        <v>481</v>
      </c>
      <c r="H21" s="122" t="s">
        <v>10203</v>
      </c>
      <c r="I21" s="116" t="s">
        <v>483</v>
      </c>
      <c r="J21" s="116" t="s">
        <v>484</v>
      </c>
      <c r="K21" s="47" t="s">
        <v>10204</v>
      </c>
      <c r="L21" s="47" t="s">
        <v>3328</v>
      </c>
      <c r="M21" s="47" t="s">
        <v>3329</v>
      </c>
    </row>
    <row r="22" spans="1:13" ht="14.25" customHeight="1">
      <c r="A22" s="113">
        <v>9</v>
      </c>
      <c r="B22" s="47"/>
      <c r="C22" s="120" t="s">
        <v>3549</v>
      </c>
      <c r="D22" s="121" t="s">
        <v>3550</v>
      </c>
      <c r="E22" s="121" t="s">
        <v>3551</v>
      </c>
      <c r="F22" s="113" t="s">
        <v>42</v>
      </c>
      <c r="G22" s="113" t="s">
        <v>5249</v>
      </c>
      <c r="H22" s="122" t="s">
        <v>10205</v>
      </c>
      <c r="I22" s="116" t="s">
        <v>3554</v>
      </c>
      <c r="J22" s="116" t="s">
        <v>3555</v>
      </c>
      <c r="K22" s="47" t="s">
        <v>5250</v>
      </c>
      <c r="L22" s="47" t="s">
        <v>3338</v>
      </c>
      <c r="M22" s="47" t="s">
        <v>3339</v>
      </c>
    </row>
    <row r="23" spans="1:13" ht="14.25" customHeight="1">
      <c r="A23" s="113">
        <v>10</v>
      </c>
      <c r="B23" s="47"/>
      <c r="C23" s="120" t="s">
        <v>1200</v>
      </c>
      <c r="D23" s="121" t="s">
        <v>1201</v>
      </c>
      <c r="E23" s="121" t="s">
        <v>1202</v>
      </c>
      <c r="F23" s="113" t="s">
        <v>65</v>
      </c>
      <c r="G23" s="113" t="s">
        <v>1203</v>
      </c>
      <c r="H23" s="122" t="s">
        <v>10206</v>
      </c>
      <c r="I23" s="116" t="s">
        <v>1205</v>
      </c>
      <c r="J23" s="116" t="s">
        <v>1206</v>
      </c>
      <c r="K23" s="47" t="s">
        <v>10207</v>
      </c>
      <c r="L23" s="47" t="s">
        <v>3349</v>
      </c>
      <c r="M23" s="47" t="s">
        <v>3350</v>
      </c>
    </row>
    <row r="24" spans="1:13" ht="14.25" customHeight="1">
      <c r="A24" s="113">
        <v>11</v>
      </c>
      <c r="B24" s="47"/>
      <c r="C24" s="120" t="s">
        <v>4149</v>
      </c>
      <c r="D24" s="121" t="s">
        <v>4150</v>
      </c>
      <c r="E24" s="121" t="s">
        <v>4151</v>
      </c>
      <c r="F24" s="113" t="s">
        <v>117</v>
      </c>
      <c r="G24" s="113" t="s">
        <v>5326</v>
      </c>
      <c r="H24" s="122" t="s">
        <v>10208</v>
      </c>
      <c r="I24" s="116" t="s">
        <v>4154</v>
      </c>
      <c r="J24" s="116" t="s">
        <v>4075</v>
      </c>
      <c r="K24" s="47" t="s">
        <v>5327</v>
      </c>
      <c r="L24" s="47" t="s">
        <v>3359</v>
      </c>
      <c r="M24" s="47" t="s">
        <v>3360</v>
      </c>
    </row>
    <row r="25" spans="1:13" ht="14.25" customHeight="1">
      <c r="A25" s="113">
        <v>12</v>
      </c>
      <c r="B25" s="47"/>
      <c r="C25" s="120" t="s">
        <v>2195</v>
      </c>
      <c r="D25" s="121" t="s">
        <v>2196</v>
      </c>
      <c r="E25" s="121" t="s">
        <v>2197</v>
      </c>
      <c r="F25" s="113" t="s">
        <v>117</v>
      </c>
      <c r="G25" s="113" t="s">
        <v>2198</v>
      </c>
      <c r="H25" s="122" t="s">
        <v>10209</v>
      </c>
      <c r="I25" s="116" t="s">
        <v>2200</v>
      </c>
      <c r="J25" s="116" t="s">
        <v>2201</v>
      </c>
      <c r="K25" s="47" t="s">
        <v>10210</v>
      </c>
      <c r="L25" s="47" t="s">
        <v>3369</v>
      </c>
      <c r="M25" s="47" t="s">
        <v>3370</v>
      </c>
    </row>
    <row r="26" spans="1:13" ht="14.25" customHeight="1">
      <c r="A26" s="113">
        <v>13</v>
      </c>
      <c r="B26" s="47"/>
      <c r="C26" s="120" t="s">
        <v>10211</v>
      </c>
      <c r="D26" s="121" t="s">
        <v>10212</v>
      </c>
      <c r="E26" s="121" t="s">
        <v>10213</v>
      </c>
      <c r="F26" s="113" t="s">
        <v>117</v>
      </c>
      <c r="G26" s="113" t="s">
        <v>10214</v>
      </c>
      <c r="H26" s="122" t="s">
        <v>10215</v>
      </c>
      <c r="I26" s="116" t="s">
        <v>10216</v>
      </c>
      <c r="J26" s="116" t="s">
        <v>10217</v>
      </c>
      <c r="K26" s="47" t="s">
        <v>10218</v>
      </c>
      <c r="L26" s="47" t="s">
        <v>3378</v>
      </c>
      <c r="M26" s="47" t="s">
        <v>3379</v>
      </c>
    </row>
    <row r="27" spans="1:13" ht="14.25" customHeight="1">
      <c r="A27" s="113">
        <v>14</v>
      </c>
      <c r="B27" s="47"/>
      <c r="C27" s="120" t="s">
        <v>2082</v>
      </c>
      <c r="D27" s="121" t="s">
        <v>2083</v>
      </c>
      <c r="E27" s="121" t="s">
        <v>2084</v>
      </c>
      <c r="F27" s="113" t="s">
        <v>117</v>
      </c>
      <c r="G27" s="113" t="s">
        <v>2085</v>
      </c>
      <c r="H27" s="122" t="s">
        <v>10219</v>
      </c>
      <c r="I27" s="116" t="s">
        <v>2087</v>
      </c>
      <c r="J27" s="116" t="s">
        <v>2088</v>
      </c>
      <c r="K27" s="47" t="s">
        <v>10220</v>
      </c>
      <c r="L27" s="47" t="s">
        <v>3388</v>
      </c>
      <c r="M27" s="47" t="s">
        <v>3389</v>
      </c>
    </row>
    <row r="28" spans="1:13" ht="14.25" customHeight="1">
      <c r="A28" s="113">
        <v>15</v>
      </c>
      <c r="B28" s="47"/>
      <c r="C28" s="120" t="s">
        <v>3062</v>
      </c>
      <c r="D28" s="121" t="s">
        <v>3063</v>
      </c>
      <c r="E28" s="121" t="s">
        <v>3064</v>
      </c>
      <c r="F28" s="113" t="s">
        <v>65</v>
      </c>
      <c r="G28" s="113" t="s">
        <v>3065</v>
      </c>
      <c r="H28" s="127" t="s">
        <v>10221</v>
      </c>
      <c r="I28" s="116" t="s">
        <v>3067</v>
      </c>
      <c r="J28" s="116" t="s">
        <v>3068</v>
      </c>
      <c r="K28" s="47" t="s">
        <v>10222</v>
      </c>
      <c r="L28" s="47" t="s">
        <v>3398</v>
      </c>
      <c r="M28" s="47" t="s">
        <v>3399</v>
      </c>
    </row>
    <row r="29" spans="1:13" ht="14.25" customHeight="1">
      <c r="A29" s="113">
        <v>1</v>
      </c>
      <c r="B29" s="41"/>
      <c r="C29" s="109" t="s">
        <v>4197</v>
      </c>
      <c r="D29" s="119" t="s">
        <v>4198</v>
      </c>
      <c r="E29" s="119" t="s">
        <v>4199</v>
      </c>
      <c r="F29" s="110" t="s">
        <v>65</v>
      </c>
      <c r="G29" s="110" t="s">
        <v>5335</v>
      </c>
      <c r="H29" s="43" t="s">
        <v>10223</v>
      </c>
      <c r="I29" s="111" t="s">
        <v>4202</v>
      </c>
      <c r="J29" s="112" t="s">
        <v>4203</v>
      </c>
      <c r="K29" s="41" t="s">
        <v>5336</v>
      </c>
      <c r="L29" s="41" t="s">
        <v>3427</v>
      </c>
      <c r="M29" s="41" t="s">
        <v>3428</v>
      </c>
    </row>
    <row r="30" spans="1:13" ht="14.25" customHeight="1">
      <c r="A30" s="113">
        <v>2</v>
      </c>
      <c r="B30" s="47"/>
      <c r="C30" s="120" t="s">
        <v>8945</v>
      </c>
      <c r="D30" s="123" t="s">
        <v>8946</v>
      </c>
      <c r="E30" s="123" t="s">
        <v>8947</v>
      </c>
      <c r="F30" s="113" t="s">
        <v>65</v>
      </c>
      <c r="G30" s="113" t="s">
        <v>10224</v>
      </c>
      <c r="H30" s="122" t="s">
        <v>10225</v>
      </c>
      <c r="I30" s="116" t="s">
        <v>8950</v>
      </c>
      <c r="J30" s="116" t="s">
        <v>8951</v>
      </c>
      <c r="K30" s="47" t="s">
        <v>10226</v>
      </c>
      <c r="L30" s="47" t="s">
        <v>3437</v>
      </c>
      <c r="M30" s="47" t="s">
        <v>3438</v>
      </c>
    </row>
    <row r="31" spans="1:13" ht="14.25" customHeight="1">
      <c r="A31" s="113">
        <v>3</v>
      </c>
      <c r="B31" s="47"/>
      <c r="C31" s="120" t="s">
        <v>2571</v>
      </c>
      <c r="D31" s="123" t="s">
        <v>2572</v>
      </c>
      <c r="E31" s="123" t="s">
        <v>2573</v>
      </c>
      <c r="F31" s="113" t="s">
        <v>2454</v>
      </c>
      <c r="G31" s="113" t="s">
        <v>2574</v>
      </c>
      <c r="H31" s="122" t="s">
        <v>10227</v>
      </c>
      <c r="I31" s="116" t="s">
        <v>2576</v>
      </c>
      <c r="J31" s="116" t="s">
        <v>2577</v>
      </c>
      <c r="K31" s="47" t="s">
        <v>10228</v>
      </c>
      <c r="L31" s="47" t="s">
        <v>3447</v>
      </c>
      <c r="M31" s="47" t="s">
        <v>3448</v>
      </c>
    </row>
    <row r="32" spans="1:13" ht="14.25" customHeight="1">
      <c r="A32" s="113">
        <v>4</v>
      </c>
      <c r="B32" s="47"/>
      <c r="C32" s="120" t="s">
        <v>1069</v>
      </c>
      <c r="D32" s="123" t="s">
        <v>1070</v>
      </c>
      <c r="E32" s="123" t="s">
        <v>1071</v>
      </c>
      <c r="F32" s="113" t="s">
        <v>65</v>
      </c>
      <c r="G32" s="113" t="s">
        <v>1072</v>
      </c>
      <c r="H32" s="122" t="s">
        <v>10229</v>
      </c>
      <c r="I32" s="116" t="s">
        <v>1074</v>
      </c>
      <c r="J32" s="116" t="s">
        <v>1075</v>
      </c>
      <c r="K32" s="47" t="s">
        <v>10230</v>
      </c>
      <c r="L32" s="47" t="s">
        <v>3457</v>
      </c>
      <c r="M32" s="47" t="s">
        <v>3458</v>
      </c>
    </row>
    <row r="33" spans="1:13" ht="14.25" customHeight="1">
      <c r="A33" s="113">
        <v>5</v>
      </c>
      <c r="B33" s="47"/>
      <c r="C33" s="120" t="s">
        <v>10231</v>
      </c>
      <c r="D33" s="123" t="s">
        <v>10232</v>
      </c>
      <c r="E33" s="123" t="s">
        <v>10233</v>
      </c>
      <c r="F33" s="113" t="s">
        <v>65</v>
      </c>
      <c r="G33" s="113" t="s">
        <v>10234</v>
      </c>
      <c r="H33" s="122" t="s">
        <v>10235</v>
      </c>
      <c r="I33" s="116" t="s">
        <v>10236</v>
      </c>
      <c r="J33" s="116" t="s">
        <v>10237</v>
      </c>
      <c r="K33" s="47" t="s">
        <v>10238</v>
      </c>
      <c r="L33" s="47" t="s">
        <v>3467</v>
      </c>
      <c r="M33" s="47" t="s">
        <v>3468</v>
      </c>
    </row>
    <row r="34" spans="1:13" ht="14.25" customHeight="1">
      <c r="A34" s="113">
        <v>6</v>
      </c>
      <c r="B34" s="47"/>
      <c r="C34" s="120" t="s">
        <v>10239</v>
      </c>
      <c r="D34" s="123" t="s">
        <v>10240</v>
      </c>
      <c r="E34" s="123" t="s">
        <v>10241</v>
      </c>
      <c r="F34" s="113" t="s">
        <v>54</v>
      </c>
      <c r="G34" s="113" t="s">
        <v>10242</v>
      </c>
      <c r="H34" s="122" t="s">
        <v>10243</v>
      </c>
      <c r="I34" s="116" t="s">
        <v>10244</v>
      </c>
      <c r="J34" s="116" t="s">
        <v>10245</v>
      </c>
      <c r="K34" s="47" t="s">
        <v>10246</v>
      </c>
      <c r="L34" s="47" t="s">
        <v>3477</v>
      </c>
      <c r="M34" s="47" t="s">
        <v>3478</v>
      </c>
    </row>
    <row r="35" spans="1:13" ht="14.25" customHeight="1">
      <c r="A35" s="113">
        <v>7</v>
      </c>
      <c r="B35" s="47"/>
      <c r="C35" s="120" t="s">
        <v>3720</v>
      </c>
      <c r="D35" s="123" t="s">
        <v>3721</v>
      </c>
      <c r="E35" s="123" t="s">
        <v>3722</v>
      </c>
      <c r="F35" s="113" t="s">
        <v>65</v>
      </c>
      <c r="G35" s="113" t="s">
        <v>5276</v>
      </c>
      <c r="H35" s="122" t="s">
        <v>10247</v>
      </c>
      <c r="I35" s="116" t="s">
        <v>3725</v>
      </c>
      <c r="J35" s="116" t="s">
        <v>3726</v>
      </c>
      <c r="K35" s="47" t="s">
        <v>5277</v>
      </c>
      <c r="L35" s="47" t="s">
        <v>3487</v>
      </c>
      <c r="M35" s="47" t="s">
        <v>3488</v>
      </c>
    </row>
    <row r="36" spans="1:13" ht="14.25" customHeight="1">
      <c r="A36" s="113">
        <v>8</v>
      </c>
      <c r="B36" s="47"/>
      <c r="C36" s="120" t="s">
        <v>3650</v>
      </c>
      <c r="D36" s="123" t="s">
        <v>3651</v>
      </c>
      <c r="E36" s="123" t="s">
        <v>3652</v>
      </c>
      <c r="F36" s="113" t="s">
        <v>65</v>
      </c>
      <c r="G36" s="113" t="s">
        <v>5267</v>
      </c>
      <c r="H36" s="122" t="s">
        <v>10248</v>
      </c>
      <c r="I36" s="116" t="s">
        <v>3655</v>
      </c>
      <c r="J36" s="116" t="s">
        <v>3656</v>
      </c>
      <c r="K36" s="47" t="s">
        <v>5268</v>
      </c>
      <c r="L36" s="47" t="s">
        <v>3497</v>
      </c>
      <c r="M36" s="47" t="s">
        <v>3498</v>
      </c>
    </row>
    <row r="37" spans="1:13" ht="14.25" customHeight="1">
      <c r="A37" s="113">
        <v>9</v>
      </c>
      <c r="B37" s="47"/>
      <c r="C37" s="120" t="s">
        <v>10249</v>
      </c>
      <c r="D37" s="123" t="s">
        <v>10250</v>
      </c>
      <c r="E37" s="123" t="s">
        <v>10251</v>
      </c>
      <c r="F37" s="113" t="s">
        <v>54</v>
      </c>
      <c r="G37" s="113" t="s">
        <v>10252</v>
      </c>
      <c r="H37" s="122" t="s">
        <v>10253</v>
      </c>
      <c r="I37" s="116" t="s">
        <v>10254</v>
      </c>
      <c r="J37" s="116" t="s">
        <v>10255</v>
      </c>
      <c r="K37" s="47" t="s">
        <v>10256</v>
      </c>
      <c r="L37" s="47" t="s">
        <v>3507</v>
      </c>
      <c r="M37" s="47" t="s">
        <v>3508</v>
      </c>
    </row>
    <row r="38" spans="1:13" ht="14.25" customHeight="1">
      <c r="A38" s="113">
        <v>10</v>
      </c>
      <c r="B38" s="47"/>
      <c r="C38" s="120" t="s">
        <v>10257</v>
      </c>
      <c r="D38" s="123" t="s">
        <v>10258</v>
      </c>
      <c r="E38" s="123" t="s">
        <v>10259</v>
      </c>
      <c r="F38" s="113" t="s">
        <v>885</v>
      </c>
      <c r="G38" s="113" t="s">
        <v>10260</v>
      </c>
      <c r="H38" s="122" t="s">
        <v>10261</v>
      </c>
      <c r="I38" s="116" t="s">
        <v>10262</v>
      </c>
      <c r="J38" s="116" t="s">
        <v>10263</v>
      </c>
      <c r="K38" s="47" t="s">
        <v>10264</v>
      </c>
      <c r="L38" s="47" t="s">
        <v>3517</v>
      </c>
      <c r="M38" s="47" t="s">
        <v>3518</v>
      </c>
    </row>
    <row r="39" spans="1:13" ht="14.25" customHeight="1">
      <c r="A39" s="113">
        <v>11</v>
      </c>
      <c r="B39" s="47"/>
      <c r="C39" s="120" t="s">
        <v>3529</v>
      </c>
      <c r="D39" s="123" t="s">
        <v>3530</v>
      </c>
      <c r="E39" s="123" t="s">
        <v>3531</v>
      </c>
      <c r="F39" s="113" t="s">
        <v>117</v>
      </c>
      <c r="G39" s="113" t="s">
        <v>5247</v>
      </c>
      <c r="H39" s="122" t="s">
        <v>10265</v>
      </c>
      <c r="I39" s="116" t="s">
        <v>3534</v>
      </c>
      <c r="J39" s="116" t="s">
        <v>3535</v>
      </c>
      <c r="K39" s="47" t="s">
        <v>5248</v>
      </c>
      <c r="L39" s="47" t="s">
        <v>3527</v>
      </c>
      <c r="M39" s="47" t="s">
        <v>3528</v>
      </c>
    </row>
    <row r="40" spans="1:13" ht="14.25" customHeight="1">
      <c r="A40" s="113">
        <v>12</v>
      </c>
      <c r="B40" s="47"/>
      <c r="C40" s="120" t="s">
        <v>1418</v>
      </c>
      <c r="D40" s="123" t="s">
        <v>1419</v>
      </c>
      <c r="E40" s="123" t="s">
        <v>1420</v>
      </c>
      <c r="F40" s="113" t="s">
        <v>65</v>
      </c>
      <c r="G40" s="113" t="s">
        <v>1421</v>
      </c>
      <c r="H40" s="122" t="s">
        <v>10266</v>
      </c>
      <c r="I40" s="116" t="s">
        <v>1423</v>
      </c>
      <c r="J40" s="116" t="s">
        <v>1424</v>
      </c>
      <c r="K40" s="47" t="s">
        <v>10267</v>
      </c>
      <c r="L40" s="47" t="s">
        <v>3537</v>
      </c>
      <c r="M40" s="47" t="s">
        <v>3538</v>
      </c>
    </row>
    <row r="41" spans="1:13" ht="14.25" customHeight="1">
      <c r="A41" s="113">
        <v>13</v>
      </c>
      <c r="B41" s="47"/>
      <c r="C41" s="120" t="s">
        <v>4329</v>
      </c>
      <c r="D41" s="123" t="s">
        <v>4330</v>
      </c>
      <c r="E41" s="123" t="s">
        <v>4331</v>
      </c>
      <c r="F41" s="113" t="s">
        <v>65</v>
      </c>
      <c r="G41" s="113" t="s">
        <v>5360</v>
      </c>
      <c r="H41" s="122" t="s">
        <v>10268</v>
      </c>
      <c r="I41" s="116" t="s">
        <v>4334</v>
      </c>
      <c r="J41" s="116" t="s">
        <v>4335</v>
      </c>
      <c r="K41" s="47" t="s">
        <v>5361</v>
      </c>
      <c r="L41" s="47" t="s">
        <v>3547</v>
      </c>
      <c r="M41" s="47" t="s">
        <v>3548</v>
      </c>
    </row>
    <row r="42" spans="1:13" ht="14.25" customHeight="1">
      <c r="A42" s="113">
        <v>14</v>
      </c>
      <c r="B42" s="47"/>
      <c r="C42" s="120" t="s">
        <v>4359</v>
      </c>
      <c r="D42" s="123" t="s">
        <v>4360</v>
      </c>
      <c r="E42" s="123" t="s">
        <v>4361</v>
      </c>
      <c r="F42" s="113" t="s">
        <v>65</v>
      </c>
      <c r="G42" s="113" t="s">
        <v>5365</v>
      </c>
      <c r="H42" s="122" t="s">
        <v>10269</v>
      </c>
      <c r="I42" s="116" t="s">
        <v>4364</v>
      </c>
      <c r="J42" s="116" t="s">
        <v>4365</v>
      </c>
      <c r="K42" s="47" t="s">
        <v>5366</v>
      </c>
      <c r="L42" s="47" t="s">
        <v>3557</v>
      </c>
      <c r="M42" s="47" t="s">
        <v>3558</v>
      </c>
    </row>
    <row r="43" spans="1:13" ht="14.25" customHeight="1">
      <c r="A43" s="113">
        <v>15</v>
      </c>
      <c r="B43" s="47"/>
      <c r="C43" s="120" t="s">
        <v>933</v>
      </c>
      <c r="D43" s="123" t="s">
        <v>934</v>
      </c>
      <c r="E43" s="123" t="s">
        <v>935</v>
      </c>
      <c r="F43" s="113" t="s">
        <v>219</v>
      </c>
      <c r="G43" s="113" t="s">
        <v>936</v>
      </c>
      <c r="H43" s="122" t="s">
        <v>10270</v>
      </c>
      <c r="I43" s="116" t="s">
        <v>938</v>
      </c>
      <c r="J43" s="116" t="s">
        <v>939</v>
      </c>
      <c r="K43" s="47" t="s">
        <v>10271</v>
      </c>
      <c r="L43" s="47" t="s">
        <v>3567</v>
      </c>
      <c r="M43" s="47" t="s">
        <v>3568</v>
      </c>
    </row>
    <row r="44" spans="1:13" ht="14.25" customHeight="1">
      <c r="A44" s="113">
        <v>16</v>
      </c>
      <c r="B44" s="47"/>
      <c r="C44" s="120" t="s">
        <v>4207</v>
      </c>
      <c r="D44" s="123" t="s">
        <v>4208</v>
      </c>
      <c r="E44" s="123" t="s">
        <v>4209</v>
      </c>
      <c r="F44" s="113" t="s">
        <v>65</v>
      </c>
      <c r="G44" s="113" t="s">
        <v>5337</v>
      </c>
      <c r="H44" s="122" t="s">
        <v>10272</v>
      </c>
      <c r="I44" s="116" t="s">
        <v>4212</v>
      </c>
      <c r="J44" s="116" t="s">
        <v>4213</v>
      </c>
      <c r="K44" s="47" t="s">
        <v>5338</v>
      </c>
      <c r="L44" s="47" t="s">
        <v>5339</v>
      </c>
      <c r="M44" s="47" t="s">
        <v>5340</v>
      </c>
    </row>
    <row r="45" spans="1:13" ht="14.25" customHeight="1">
      <c r="A45" s="113">
        <v>1</v>
      </c>
      <c r="B45" s="41"/>
      <c r="C45" s="109" t="s">
        <v>3911</v>
      </c>
      <c r="D45" s="119" t="s">
        <v>3912</v>
      </c>
      <c r="E45" s="119" t="s">
        <v>3913</v>
      </c>
      <c r="F45" s="110" t="s">
        <v>65</v>
      </c>
      <c r="G45" s="110" t="s">
        <v>5300</v>
      </c>
      <c r="H45" s="43" t="s">
        <v>10273</v>
      </c>
      <c r="I45" s="111" t="s">
        <v>3916</v>
      </c>
      <c r="J45" s="112" t="s">
        <v>3917</v>
      </c>
      <c r="K45" s="41" t="s">
        <v>5301</v>
      </c>
      <c r="L45" s="41" t="s">
        <v>3578</v>
      </c>
      <c r="M45" s="41" t="s">
        <v>3579</v>
      </c>
    </row>
    <row r="46" spans="1:13" ht="14.25" customHeight="1">
      <c r="A46" s="113">
        <v>2</v>
      </c>
      <c r="B46" s="47"/>
      <c r="C46" s="120" t="s">
        <v>3962</v>
      </c>
      <c r="D46" s="121" t="s">
        <v>3963</v>
      </c>
      <c r="E46" s="121" t="s">
        <v>3964</v>
      </c>
      <c r="F46" s="113" t="s">
        <v>54</v>
      </c>
      <c r="G46" s="113" t="s">
        <v>5305</v>
      </c>
      <c r="H46" s="122" t="s">
        <v>10274</v>
      </c>
      <c r="I46" s="116" t="s">
        <v>3967</v>
      </c>
      <c r="J46" s="116" t="s">
        <v>3968</v>
      </c>
      <c r="K46" s="47" t="s">
        <v>5306</v>
      </c>
      <c r="L46" s="47" t="s">
        <v>3588</v>
      </c>
      <c r="M46" s="47" t="s">
        <v>3589</v>
      </c>
    </row>
    <row r="47" spans="1:13" ht="14.25" customHeight="1">
      <c r="A47" s="113">
        <v>3</v>
      </c>
      <c r="B47" s="47"/>
      <c r="C47" s="120" t="s">
        <v>2614</v>
      </c>
      <c r="D47" s="121" t="s">
        <v>2615</v>
      </c>
      <c r="E47" s="121" t="s">
        <v>2616</v>
      </c>
      <c r="F47" s="113" t="s">
        <v>501</v>
      </c>
      <c r="G47" s="113" t="s">
        <v>10275</v>
      </c>
      <c r="H47" s="122" t="s">
        <v>10276</v>
      </c>
      <c r="I47" s="116" t="s">
        <v>10277</v>
      </c>
      <c r="J47" s="116" t="s">
        <v>10278</v>
      </c>
      <c r="K47" s="47" t="s">
        <v>10279</v>
      </c>
      <c r="L47" s="47" t="s">
        <v>3599</v>
      </c>
      <c r="M47" s="47" t="s">
        <v>3600</v>
      </c>
    </row>
    <row r="48" spans="1:13" ht="14.25" customHeight="1">
      <c r="A48" s="113">
        <v>4</v>
      </c>
      <c r="B48" s="47"/>
      <c r="C48" s="120" t="s">
        <v>3082</v>
      </c>
      <c r="D48" s="123" t="s">
        <v>3083</v>
      </c>
      <c r="E48" s="123" t="s">
        <v>3084</v>
      </c>
      <c r="F48" s="113" t="s">
        <v>117</v>
      </c>
      <c r="G48" s="113" t="s">
        <v>3085</v>
      </c>
      <c r="H48" s="122" t="s">
        <v>10280</v>
      </c>
      <c r="I48" s="116" t="s">
        <v>3087</v>
      </c>
      <c r="J48" s="116" t="s">
        <v>3088</v>
      </c>
      <c r="K48" s="47" t="s">
        <v>5197</v>
      </c>
      <c r="L48" s="47" t="s">
        <v>3609</v>
      </c>
      <c r="M48" s="47" t="s">
        <v>3610</v>
      </c>
    </row>
    <row r="49" spans="1:13" ht="14.25" customHeight="1">
      <c r="A49" s="113">
        <v>5</v>
      </c>
      <c r="B49" s="47"/>
      <c r="C49" s="120" t="s">
        <v>1355</v>
      </c>
      <c r="D49" s="121" t="s">
        <v>1356</v>
      </c>
      <c r="E49" s="121" t="s">
        <v>1357</v>
      </c>
      <c r="F49" s="113" t="s">
        <v>65</v>
      </c>
      <c r="G49" s="113" t="s">
        <v>1358</v>
      </c>
      <c r="H49" s="122" t="s">
        <v>10281</v>
      </c>
      <c r="I49" s="116" t="s">
        <v>1360</v>
      </c>
      <c r="J49" s="116" t="s">
        <v>1361</v>
      </c>
      <c r="K49" s="47" t="s">
        <v>10282</v>
      </c>
      <c r="L49" s="47" t="s">
        <v>3619</v>
      </c>
      <c r="M49" s="47" t="s">
        <v>3620</v>
      </c>
    </row>
    <row r="50" spans="1:13" ht="14.25" customHeight="1">
      <c r="A50" s="113">
        <v>6</v>
      </c>
      <c r="B50" s="47"/>
      <c r="C50" s="120" t="s">
        <v>2254</v>
      </c>
      <c r="D50" s="121" t="s">
        <v>2255</v>
      </c>
      <c r="E50" s="121" t="s">
        <v>2256</v>
      </c>
      <c r="F50" s="113" t="s">
        <v>117</v>
      </c>
      <c r="G50" s="113" t="s">
        <v>10283</v>
      </c>
      <c r="H50" s="122" t="s">
        <v>10284</v>
      </c>
      <c r="I50" s="116" t="s">
        <v>10285</v>
      </c>
      <c r="J50" s="116" t="s">
        <v>10286</v>
      </c>
      <c r="K50" s="47" t="s">
        <v>10287</v>
      </c>
      <c r="L50" s="47" t="s">
        <v>3629</v>
      </c>
      <c r="M50" s="47" t="s">
        <v>3630</v>
      </c>
    </row>
    <row r="51" spans="1:13" ht="14.25" customHeight="1">
      <c r="A51" s="113">
        <v>7</v>
      </c>
      <c r="B51" s="47"/>
      <c r="C51" s="120" t="s">
        <v>1119</v>
      </c>
      <c r="D51" s="121" t="s">
        <v>1120</v>
      </c>
      <c r="E51" s="121" t="s">
        <v>1121</v>
      </c>
      <c r="F51" s="113" t="s">
        <v>219</v>
      </c>
      <c r="G51" s="113" t="s">
        <v>1122</v>
      </c>
      <c r="H51" s="122" t="s">
        <v>10288</v>
      </c>
      <c r="I51" s="116" t="s">
        <v>1124</v>
      </c>
      <c r="J51" s="116" t="s">
        <v>1125</v>
      </c>
      <c r="K51" s="47" t="s">
        <v>10289</v>
      </c>
      <c r="L51" s="47" t="s">
        <v>3639</v>
      </c>
      <c r="M51" s="47" t="s">
        <v>3640</v>
      </c>
    </row>
    <row r="52" spans="1:13" ht="14.25" customHeight="1">
      <c r="A52" s="113">
        <v>8</v>
      </c>
      <c r="B52" s="47"/>
      <c r="C52" s="120" t="s">
        <v>4187</v>
      </c>
      <c r="D52" s="121" t="s">
        <v>4188</v>
      </c>
      <c r="E52" s="121" t="s">
        <v>4189</v>
      </c>
      <c r="F52" s="113" t="s">
        <v>117</v>
      </c>
      <c r="G52" s="113" t="s">
        <v>5333</v>
      </c>
      <c r="H52" s="122" t="s">
        <v>10290</v>
      </c>
      <c r="I52" s="116" t="s">
        <v>4192</v>
      </c>
      <c r="J52" s="116" t="s">
        <v>4193</v>
      </c>
      <c r="K52" s="47" t="s">
        <v>5334</v>
      </c>
      <c r="L52" s="47" t="s">
        <v>3648</v>
      </c>
      <c r="M52" s="47" t="s">
        <v>3649</v>
      </c>
    </row>
    <row r="53" spans="1:13" ht="14.25" customHeight="1">
      <c r="A53" s="113">
        <v>9</v>
      </c>
      <c r="B53" s="47"/>
      <c r="C53" s="120" t="s">
        <v>3184</v>
      </c>
      <c r="D53" s="121" t="s">
        <v>3185</v>
      </c>
      <c r="E53" s="121" t="s">
        <v>3186</v>
      </c>
      <c r="F53" s="113" t="s">
        <v>219</v>
      </c>
      <c r="G53" s="113" t="s">
        <v>5206</v>
      </c>
      <c r="H53" s="122" t="s">
        <v>10291</v>
      </c>
      <c r="I53" s="116" t="s">
        <v>3189</v>
      </c>
      <c r="J53" s="116" t="s">
        <v>3190</v>
      </c>
      <c r="K53" s="47" t="s">
        <v>5207</v>
      </c>
      <c r="L53" s="47" t="s">
        <v>3658</v>
      </c>
      <c r="M53" s="47" t="s">
        <v>3659</v>
      </c>
    </row>
    <row r="54" spans="1:13" ht="14.25" customHeight="1">
      <c r="A54" s="113">
        <v>10</v>
      </c>
      <c r="B54" s="47"/>
      <c r="C54" s="120" t="s">
        <v>3982</v>
      </c>
      <c r="D54" s="121" t="s">
        <v>3983</v>
      </c>
      <c r="E54" s="121" t="s">
        <v>3984</v>
      </c>
      <c r="F54" s="113" t="s">
        <v>54</v>
      </c>
      <c r="G54" s="113" t="s">
        <v>5307</v>
      </c>
      <c r="H54" s="122" t="s">
        <v>10292</v>
      </c>
      <c r="I54" s="116" t="s">
        <v>3987</v>
      </c>
      <c r="J54" s="116" t="s">
        <v>3988</v>
      </c>
      <c r="K54" s="47" t="s">
        <v>5308</v>
      </c>
      <c r="L54" s="47" t="s">
        <v>3668</v>
      </c>
      <c r="M54" s="47" t="s">
        <v>3669</v>
      </c>
    </row>
    <row r="55" spans="1:13" ht="14.25" customHeight="1">
      <c r="A55" s="113">
        <v>11</v>
      </c>
      <c r="B55" s="47"/>
      <c r="C55" s="120" t="s">
        <v>10293</v>
      </c>
      <c r="D55" s="121" t="s">
        <v>10294</v>
      </c>
      <c r="E55" s="121" t="s">
        <v>10295</v>
      </c>
      <c r="F55" s="113" t="s">
        <v>885</v>
      </c>
      <c r="G55" s="113" t="s">
        <v>10296</v>
      </c>
      <c r="H55" s="118" t="s">
        <v>10297</v>
      </c>
      <c r="I55" s="116" t="s">
        <v>10298</v>
      </c>
      <c r="J55" s="115" t="s">
        <v>10299</v>
      </c>
      <c r="K55" s="47" t="s">
        <v>10300</v>
      </c>
      <c r="L55" s="47" t="s">
        <v>3678</v>
      </c>
      <c r="M55" s="47" t="s">
        <v>3679</v>
      </c>
    </row>
    <row r="56" spans="1:13" ht="14.25" customHeight="1">
      <c r="A56" s="113">
        <v>12</v>
      </c>
      <c r="B56" s="47"/>
      <c r="C56" s="120" t="s">
        <v>10301</v>
      </c>
      <c r="D56" s="121" t="s">
        <v>4521</v>
      </c>
      <c r="E56" s="121" t="s">
        <v>4522</v>
      </c>
      <c r="F56" s="113" t="s">
        <v>117</v>
      </c>
      <c r="G56" s="113" t="s">
        <v>10302</v>
      </c>
      <c r="H56" s="118" t="s">
        <v>10303</v>
      </c>
      <c r="I56" s="116" t="s">
        <v>10304</v>
      </c>
      <c r="J56" s="115" t="s">
        <v>10305</v>
      </c>
      <c r="K56" s="47" t="s">
        <v>10306</v>
      </c>
      <c r="L56" s="47" t="s">
        <v>3688</v>
      </c>
      <c r="M56" s="47" t="s">
        <v>3689</v>
      </c>
    </row>
    <row r="57" spans="1:13" ht="14.25" customHeight="1">
      <c r="A57" s="113">
        <v>13</v>
      </c>
      <c r="B57" s="47"/>
      <c r="C57" s="120" t="s">
        <v>3198</v>
      </c>
      <c r="D57" s="121" t="s">
        <v>3199</v>
      </c>
      <c r="E57" s="121" t="s">
        <v>3200</v>
      </c>
      <c r="F57" s="113" t="s">
        <v>117</v>
      </c>
      <c r="G57" s="113" t="s">
        <v>5210</v>
      </c>
      <c r="H57" s="122" t="s">
        <v>10307</v>
      </c>
      <c r="I57" s="116" t="s">
        <v>3203</v>
      </c>
      <c r="J57" s="116" t="s">
        <v>3204</v>
      </c>
      <c r="K57" s="47" t="s">
        <v>5211</v>
      </c>
      <c r="L57" s="47" t="s">
        <v>3698</v>
      </c>
      <c r="M57" s="47" t="s">
        <v>3699</v>
      </c>
    </row>
    <row r="58" spans="1:13" ht="14.25" customHeight="1">
      <c r="A58" s="113">
        <v>1</v>
      </c>
      <c r="B58" s="41"/>
      <c r="C58" s="128" t="s">
        <v>4771</v>
      </c>
      <c r="D58" s="128" t="s">
        <v>4772</v>
      </c>
      <c r="E58" s="128" t="s">
        <v>4773</v>
      </c>
      <c r="F58" s="128" t="s">
        <v>65</v>
      </c>
      <c r="G58" s="128" t="s">
        <v>1431</v>
      </c>
      <c r="H58" s="129" t="s">
        <v>10308</v>
      </c>
      <c r="I58" s="128" t="s">
        <v>4775</v>
      </c>
      <c r="J58" s="112" t="s">
        <v>4776</v>
      </c>
      <c r="K58" s="41" t="s">
        <v>5401</v>
      </c>
      <c r="L58" s="41" t="s">
        <v>3737</v>
      </c>
      <c r="M58" s="41" t="s">
        <v>3738</v>
      </c>
    </row>
    <row r="59" spans="1:13" ht="14.25" customHeight="1">
      <c r="A59" s="113">
        <v>2</v>
      </c>
      <c r="B59" s="47"/>
      <c r="C59" s="130" t="s">
        <v>3861</v>
      </c>
      <c r="D59" s="130" t="s">
        <v>3862</v>
      </c>
      <c r="E59" s="130" t="s">
        <v>3863</v>
      </c>
      <c r="F59" s="130" t="s">
        <v>117</v>
      </c>
      <c r="G59" s="104" t="s">
        <v>5293</v>
      </c>
      <c r="H59" s="117" t="s">
        <v>10309</v>
      </c>
      <c r="I59" s="130" t="s">
        <v>3866</v>
      </c>
      <c r="J59" s="116" t="s">
        <v>3867</v>
      </c>
      <c r="K59" s="47" t="s">
        <v>5294</v>
      </c>
      <c r="L59" s="47" t="s">
        <v>3747</v>
      </c>
      <c r="M59" s="47" t="s">
        <v>3748</v>
      </c>
    </row>
    <row r="60" spans="1:13" ht="14.25" customHeight="1">
      <c r="A60" s="113">
        <v>3</v>
      </c>
      <c r="B60" s="47"/>
      <c r="C60" s="130" t="s">
        <v>3115</v>
      </c>
      <c r="D60" s="130" t="s">
        <v>3116</v>
      </c>
      <c r="E60" s="130" t="s">
        <v>3117</v>
      </c>
      <c r="F60" s="130" t="s">
        <v>219</v>
      </c>
      <c r="G60" s="104" t="s">
        <v>5192</v>
      </c>
      <c r="H60" s="117" t="s">
        <v>10310</v>
      </c>
      <c r="I60" s="130" t="s">
        <v>3120</v>
      </c>
      <c r="J60" s="116" t="s">
        <v>3121</v>
      </c>
      <c r="K60" s="47" t="s">
        <v>5193</v>
      </c>
      <c r="L60" s="47" t="s">
        <v>3758</v>
      </c>
      <c r="M60" s="47" t="s">
        <v>3759</v>
      </c>
    </row>
    <row r="61" spans="1:13" ht="14.25" customHeight="1">
      <c r="A61" s="113">
        <v>4</v>
      </c>
      <c r="B61" s="47"/>
      <c r="C61" s="130" t="s">
        <v>1260</v>
      </c>
      <c r="D61" s="130" t="s">
        <v>1261</v>
      </c>
      <c r="E61" s="130" t="s">
        <v>1262</v>
      </c>
      <c r="F61" s="130" t="s">
        <v>320</v>
      </c>
      <c r="G61" s="104" t="s">
        <v>10311</v>
      </c>
      <c r="H61" s="117" t="s">
        <v>10312</v>
      </c>
      <c r="I61" s="130" t="s">
        <v>10313</v>
      </c>
      <c r="J61" s="116" t="s">
        <v>10314</v>
      </c>
      <c r="K61" s="47" t="s">
        <v>10315</v>
      </c>
      <c r="L61" s="47" t="s">
        <v>3768</v>
      </c>
      <c r="M61" s="47" t="s">
        <v>3769</v>
      </c>
    </row>
    <row r="62" spans="1:13" ht="14.25" customHeight="1">
      <c r="A62" s="113">
        <v>5</v>
      </c>
      <c r="B62" s="47"/>
      <c r="C62" s="104" t="s">
        <v>498</v>
      </c>
      <c r="D62" s="104" t="s">
        <v>499</v>
      </c>
      <c r="E62" s="104" t="s">
        <v>500</v>
      </c>
      <c r="F62" s="104" t="s">
        <v>501</v>
      </c>
      <c r="G62" s="104" t="s">
        <v>502</v>
      </c>
      <c r="H62" s="131" t="s">
        <v>10316</v>
      </c>
      <c r="I62" s="104" t="s">
        <v>504</v>
      </c>
      <c r="J62" s="116" t="s">
        <v>505</v>
      </c>
      <c r="K62" s="47" t="s">
        <v>10317</v>
      </c>
      <c r="L62" s="47" t="s">
        <v>3778</v>
      </c>
      <c r="M62" s="47" t="s">
        <v>3779</v>
      </c>
    </row>
    <row r="63" spans="1:13" ht="14.25" customHeight="1">
      <c r="A63" s="113">
        <v>6</v>
      </c>
      <c r="B63" s="47"/>
      <c r="C63" s="130" t="s">
        <v>7320</v>
      </c>
      <c r="D63" s="130" t="s">
        <v>7321</v>
      </c>
      <c r="E63" s="130" t="s">
        <v>7322</v>
      </c>
      <c r="F63" s="130" t="s">
        <v>65</v>
      </c>
      <c r="G63" s="104" t="s">
        <v>10318</v>
      </c>
      <c r="H63" s="117" t="s">
        <v>10319</v>
      </c>
      <c r="I63" s="130" t="s">
        <v>7325</v>
      </c>
      <c r="J63" s="116" t="s">
        <v>7326</v>
      </c>
      <c r="K63" s="47" t="s">
        <v>10320</v>
      </c>
      <c r="L63" s="47" t="s">
        <v>3788</v>
      </c>
      <c r="M63" s="47" t="s">
        <v>3789</v>
      </c>
    </row>
    <row r="64" spans="1:13" ht="14.25" customHeight="1">
      <c r="A64" s="113">
        <v>7</v>
      </c>
      <c r="B64" s="47"/>
      <c r="C64" s="104" t="s">
        <v>4529</v>
      </c>
      <c r="D64" s="104" t="s">
        <v>4530</v>
      </c>
      <c r="E64" s="104" t="s">
        <v>4531</v>
      </c>
      <c r="F64" s="104" t="s">
        <v>65</v>
      </c>
      <c r="G64" s="104" t="s">
        <v>5378</v>
      </c>
      <c r="H64" s="131" t="s">
        <v>10321</v>
      </c>
      <c r="I64" s="104" t="s">
        <v>4534</v>
      </c>
      <c r="J64" s="116" t="s">
        <v>4535</v>
      </c>
      <c r="K64" s="47" t="s">
        <v>5379</v>
      </c>
      <c r="L64" s="47" t="s">
        <v>3798</v>
      </c>
      <c r="M64" s="47" t="s">
        <v>3799</v>
      </c>
    </row>
    <row r="65" spans="1:13" ht="14.25" customHeight="1">
      <c r="A65" s="113">
        <v>8</v>
      </c>
      <c r="B65" s="47"/>
      <c r="C65" s="130" t="s">
        <v>3992</v>
      </c>
      <c r="D65" s="130" t="s">
        <v>3993</v>
      </c>
      <c r="E65" s="130" t="s">
        <v>3994</v>
      </c>
      <c r="F65" s="130" t="s">
        <v>65</v>
      </c>
      <c r="G65" s="104" t="s">
        <v>5309</v>
      </c>
      <c r="H65" s="117" t="s">
        <v>10322</v>
      </c>
      <c r="I65" s="130" t="s">
        <v>3997</v>
      </c>
      <c r="J65" s="116" t="s">
        <v>3998</v>
      </c>
      <c r="K65" s="47" t="s">
        <v>5310</v>
      </c>
      <c r="L65" s="47" t="s">
        <v>3809</v>
      </c>
      <c r="M65" s="47" t="s">
        <v>3810</v>
      </c>
    </row>
    <row r="66" spans="1:13" ht="14.25" customHeight="1">
      <c r="A66" s="113">
        <v>9</v>
      </c>
      <c r="B66" s="47"/>
      <c r="C66" s="130" t="s">
        <v>1983</v>
      </c>
      <c r="D66" s="130" t="s">
        <v>1984</v>
      </c>
      <c r="E66" s="130" t="s">
        <v>1252</v>
      </c>
      <c r="F66" s="130" t="s">
        <v>563</v>
      </c>
      <c r="G66" s="104" t="s">
        <v>1985</v>
      </c>
      <c r="H66" s="117" t="s">
        <v>10323</v>
      </c>
      <c r="I66" s="130" t="s">
        <v>1987</v>
      </c>
      <c r="J66" s="116" t="s">
        <v>1988</v>
      </c>
      <c r="K66" s="47" t="s">
        <v>10324</v>
      </c>
      <c r="L66" s="47" t="s">
        <v>3819</v>
      </c>
      <c r="M66" s="47" t="s">
        <v>3820</v>
      </c>
    </row>
    <row r="67" spans="1:13" ht="14.25" customHeight="1">
      <c r="A67" s="113">
        <v>10</v>
      </c>
      <c r="B67" s="47"/>
      <c r="C67" s="130" t="s">
        <v>468</v>
      </c>
      <c r="D67" s="130" t="s">
        <v>469</v>
      </c>
      <c r="E67" s="130" t="s">
        <v>470</v>
      </c>
      <c r="F67" s="130" t="s">
        <v>219</v>
      </c>
      <c r="G67" s="130" t="s">
        <v>471</v>
      </c>
      <c r="H67" s="117" t="s">
        <v>10325</v>
      </c>
      <c r="I67" s="130" t="s">
        <v>473</v>
      </c>
      <c r="J67" s="132" t="s">
        <v>474</v>
      </c>
      <c r="K67" s="47" t="s">
        <v>10326</v>
      </c>
      <c r="L67" s="47" t="s">
        <v>3829</v>
      </c>
      <c r="M67" s="47" t="s">
        <v>3830</v>
      </c>
    </row>
    <row r="68" spans="1:13" ht="14.25" customHeight="1">
      <c r="A68" s="113">
        <v>11</v>
      </c>
      <c r="B68" s="47"/>
      <c r="C68" s="130" t="s">
        <v>2527</v>
      </c>
      <c r="D68" s="130" t="s">
        <v>2528</v>
      </c>
      <c r="E68" s="130" t="s">
        <v>2529</v>
      </c>
      <c r="F68" s="130" t="s">
        <v>54</v>
      </c>
      <c r="G68" s="104" t="s">
        <v>2530</v>
      </c>
      <c r="H68" s="117" t="s">
        <v>10327</v>
      </c>
      <c r="I68" s="130" t="s">
        <v>2532</v>
      </c>
      <c r="J68" s="116" t="s">
        <v>2533</v>
      </c>
      <c r="K68" s="47" t="s">
        <v>10328</v>
      </c>
      <c r="L68" s="47" t="s">
        <v>3839</v>
      </c>
      <c r="M68" s="47" t="s">
        <v>3840</v>
      </c>
    </row>
    <row r="69" spans="1:13" ht="14.25" customHeight="1">
      <c r="A69" s="113">
        <v>12</v>
      </c>
      <c r="B69" s="47"/>
      <c r="C69" s="130" t="s">
        <v>3519</v>
      </c>
      <c r="D69" s="130" t="s">
        <v>3520</v>
      </c>
      <c r="E69" s="130" t="s">
        <v>3521</v>
      </c>
      <c r="F69" s="130" t="s">
        <v>54</v>
      </c>
      <c r="G69" s="104" t="s">
        <v>5245</v>
      </c>
      <c r="H69" s="117" t="s">
        <v>10329</v>
      </c>
      <c r="I69" s="130" t="s">
        <v>3524</v>
      </c>
      <c r="J69" s="116" t="s">
        <v>3525</v>
      </c>
      <c r="K69" s="47" t="s">
        <v>5246</v>
      </c>
      <c r="L69" s="47" t="s">
        <v>3849</v>
      </c>
      <c r="M69" s="47" t="s">
        <v>3850</v>
      </c>
    </row>
    <row r="70" spans="1:13" ht="14.25" customHeight="1">
      <c r="A70" s="113">
        <v>13</v>
      </c>
      <c r="B70" s="47"/>
      <c r="C70" s="130" t="s">
        <v>4430</v>
      </c>
      <c r="D70" s="130" t="s">
        <v>4431</v>
      </c>
      <c r="E70" s="130" t="s">
        <v>4432</v>
      </c>
      <c r="F70" s="130" t="s">
        <v>65</v>
      </c>
      <c r="G70" s="104" t="s">
        <v>5373</v>
      </c>
      <c r="H70" s="117" t="s">
        <v>10330</v>
      </c>
      <c r="I70" s="130" t="s">
        <v>4435</v>
      </c>
      <c r="J70" s="116" t="s">
        <v>4436</v>
      </c>
      <c r="K70" s="47" t="s">
        <v>5374</v>
      </c>
      <c r="L70" s="47" t="s">
        <v>3859</v>
      </c>
      <c r="M70" s="47" t="s">
        <v>3860</v>
      </c>
    </row>
    <row r="71" spans="1:13" ht="14.25" customHeight="1">
      <c r="A71" s="113">
        <v>14</v>
      </c>
      <c r="B71" s="47"/>
      <c r="C71" s="130" t="s">
        <v>3228</v>
      </c>
      <c r="D71" s="130" t="s">
        <v>3229</v>
      </c>
      <c r="E71" s="130" t="s">
        <v>3230</v>
      </c>
      <c r="F71" s="130" t="s">
        <v>65</v>
      </c>
      <c r="G71" s="104" t="s">
        <v>5214</v>
      </c>
      <c r="H71" s="117" t="s">
        <v>10331</v>
      </c>
      <c r="I71" s="130" t="s">
        <v>3233</v>
      </c>
      <c r="J71" s="116" t="s">
        <v>3234</v>
      </c>
      <c r="K71" s="47" t="s">
        <v>5215</v>
      </c>
      <c r="L71" s="47" t="s">
        <v>3869</v>
      </c>
      <c r="M71" s="47" t="s">
        <v>3870</v>
      </c>
    </row>
    <row r="72" spans="1:13" ht="14.25" customHeight="1">
      <c r="A72" s="113">
        <v>1</v>
      </c>
      <c r="B72" s="41"/>
      <c r="C72" s="128" t="s">
        <v>10332</v>
      </c>
      <c r="D72" s="128" t="s">
        <v>4491</v>
      </c>
      <c r="E72" s="128" t="s">
        <v>4492</v>
      </c>
      <c r="F72" s="128" t="s">
        <v>65</v>
      </c>
      <c r="G72" s="128" t="s">
        <v>10333</v>
      </c>
      <c r="H72" s="129" t="s">
        <v>10334</v>
      </c>
      <c r="I72" s="128" t="s">
        <v>10335</v>
      </c>
      <c r="J72" s="112" t="s">
        <v>10336</v>
      </c>
      <c r="K72" s="41" t="s">
        <v>10337</v>
      </c>
      <c r="L72" s="41" t="s">
        <v>3919</v>
      </c>
      <c r="M72" s="41" t="s">
        <v>3920</v>
      </c>
    </row>
    <row r="73" spans="1:13" ht="14.25" customHeight="1">
      <c r="A73" s="113">
        <v>2</v>
      </c>
      <c r="B73" s="47"/>
      <c r="C73" s="130" t="s">
        <v>1428</v>
      </c>
      <c r="D73" s="130" t="s">
        <v>1429</v>
      </c>
      <c r="E73" s="130" t="s">
        <v>1430</v>
      </c>
      <c r="F73" s="130" t="s">
        <v>65</v>
      </c>
      <c r="G73" s="130" t="s">
        <v>1431</v>
      </c>
      <c r="H73" s="117" t="s">
        <v>10338</v>
      </c>
      <c r="I73" s="130" t="s">
        <v>1433</v>
      </c>
      <c r="J73" s="116" t="s">
        <v>1434</v>
      </c>
      <c r="K73" s="47" t="s">
        <v>10339</v>
      </c>
      <c r="L73" s="47" t="s">
        <v>3929</v>
      </c>
      <c r="M73" s="47" t="s">
        <v>3930</v>
      </c>
    </row>
    <row r="74" spans="1:13" ht="14.25" customHeight="1">
      <c r="A74" s="113">
        <v>3</v>
      </c>
      <c r="B74" s="47"/>
      <c r="C74" s="130" t="s">
        <v>7015</v>
      </c>
      <c r="D74" s="130" t="s">
        <v>7016</v>
      </c>
      <c r="E74" s="130" t="s">
        <v>7017</v>
      </c>
      <c r="F74" s="130" t="s">
        <v>65</v>
      </c>
      <c r="G74" s="130" t="s">
        <v>10340</v>
      </c>
      <c r="H74" s="117" t="s">
        <v>10341</v>
      </c>
      <c r="I74" s="130" t="s">
        <v>7020</v>
      </c>
      <c r="J74" s="116" t="s">
        <v>7021</v>
      </c>
      <c r="K74" s="47" t="s">
        <v>10342</v>
      </c>
      <c r="L74" s="47" t="s">
        <v>3940</v>
      </c>
      <c r="M74" s="47" t="s">
        <v>3941</v>
      </c>
    </row>
    <row r="75" spans="1:13" ht="14.25" customHeight="1">
      <c r="A75" s="113">
        <v>4</v>
      </c>
      <c r="B75" s="47"/>
      <c r="C75" s="130" t="s">
        <v>7143</v>
      </c>
      <c r="D75" s="130" t="s">
        <v>7144</v>
      </c>
      <c r="E75" s="130" t="s">
        <v>7145</v>
      </c>
      <c r="F75" s="130" t="s">
        <v>563</v>
      </c>
      <c r="G75" s="130" t="s">
        <v>7146</v>
      </c>
      <c r="H75" s="117" t="s">
        <v>10343</v>
      </c>
      <c r="I75" s="130" t="s">
        <v>7148</v>
      </c>
      <c r="J75" s="116" t="s">
        <v>7149</v>
      </c>
      <c r="K75" s="47" t="s">
        <v>10344</v>
      </c>
      <c r="L75" s="47" t="s">
        <v>3950</v>
      </c>
      <c r="M75" s="47" t="s">
        <v>3951</v>
      </c>
    </row>
    <row r="76" spans="1:13" ht="14.25" customHeight="1">
      <c r="A76" s="113">
        <v>5</v>
      </c>
      <c r="B76" s="47"/>
      <c r="C76" s="130" t="s">
        <v>447</v>
      </c>
      <c r="D76" s="130" t="s">
        <v>448</v>
      </c>
      <c r="E76" s="130" t="s">
        <v>449</v>
      </c>
      <c r="F76" s="130" t="s">
        <v>65</v>
      </c>
      <c r="G76" s="130" t="s">
        <v>450</v>
      </c>
      <c r="H76" s="117" t="s">
        <v>10345</v>
      </c>
      <c r="I76" s="130" t="s">
        <v>452</v>
      </c>
      <c r="J76" s="116" t="s">
        <v>453</v>
      </c>
      <c r="K76" s="47" t="s">
        <v>10346</v>
      </c>
      <c r="L76" s="47" t="s">
        <v>3960</v>
      </c>
      <c r="M76" s="47" t="s">
        <v>3961</v>
      </c>
    </row>
    <row r="77" spans="1:13" ht="14.25" customHeight="1">
      <c r="A77" s="113">
        <v>6</v>
      </c>
      <c r="B77" s="47"/>
      <c r="C77" s="130" t="s">
        <v>10347</v>
      </c>
      <c r="D77" s="130" t="s">
        <v>10348</v>
      </c>
      <c r="E77" s="130" t="s">
        <v>10349</v>
      </c>
      <c r="F77" s="130" t="s">
        <v>65</v>
      </c>
      <c r="G77" s="130" t="s">
        <v>10350</v>
      </c>
      <c r="H77" s="117" t="s">
        <v>10351</v>
      </c>
      <c r="I77" s="130" t="s">
        <v>10352</v>
      </c>
      <c r="J77" s="116" t="s">
        <v>10353</v>
      </c>
      <c r="K77" s="47" t="s">
        <v>10354</v>
      </c>
      <c r="L77" s="47" t="s">
        <v>3970</v>
      </c>
      <c r="M77" s="47" t="s">
        <v>3971</v>
      </c>
    </row>
    <row r="78" spans="1:13" ht="14.25" customHeight="1">
      <c r="A78" s="113">
        <v>7</v>
      </c>
      <c r="B78" s="47"/>
      <c r="C78" s="130" t="s">
        <v>1129</v>
      </c>
      <c r="D78" s="130" t="s">
        <v>1130</v>
      </c>
      <c r="E78" s="130" t="s">
        <v>1131</v>
      </c>
      <c r="F78" s="130" t="s">
        <v>54</v>
      </c>
      <c r="G78" s="130" t="s">
        <v>10355</v>
      </c>
      <c r="H78" s="117" t="s">
        <v>10356</v>
      </c>
      <c r="I78" s="130" t="s">
        <v>10357</v>
      </c>
      <c r="J78" s="116" t="s">
        <v>10358</v>
      </c>
      <c r="K78" s="47" t="s">
        <v>10359</v>
      </c>
      <c r="L78" s="47" t="s">
        <v>3980</v>
      </c>
      <c r="M78" s="47" t="s">
        <v>3981</v>
      </c>
    </row>
    <row r="79" spans="1:13" ht="14.25" customHeight="1">
      <c r="A79" s="113">
        <v>8</v>
      </c>
      <c r="B79" s="47"/>
      <c r="C79" s="130" t="s">
        <v>10360</v>
      </c>
      <c r="D79" s="130" t="s">
        <v>10361</v>
      </c>
      <c r="E79" s="130" t="s">
        <v>10362</v>
      </c>
      <c r="F79" s="130" t="s">
        <v>65</v>
      </c>
      <c r="G79" s="130" t="s">
        <v>10363</v>
      </c>
      <c r="H79" s="117" t="s">
        <v>10364</v>
      </c>
      <c r="I79" s="130" t="s">
        <v>10365</v>
      </c>
      <c r="J79" s="116" t="s">
        <v>868</v>
      </c>
      <c r="K79" s="47" t="s">
        <v>10366</v>
      </c>
      <c r="L79" s="47" t="s">
        <v>3990</v>
      </c>
      <c r="M79" s="47" t="s">
        <v>3991</v>
      </c>
    </row>
    <row r="80" spans="1:13" ht="14.25" customHeight="1">
      <c r="A80" s="113">
        <v>9</v>
      </c>
      <c r="B80" s="47"/>
      <c r="C80" s="130" t="s">
        <v>10367</v>
      </c>
      <c r="D80" s="130" t="s">
        <v>10368</v>
      </c>
      <c r="E80" s="130" t="s">
        <v>10369</v>
      </c>
      <c r="F80" s="130"/>
      <c r="G80" s="130" t="s">
        <v>10370</v>
      </c>
      <c r="H80" s="117" t="s">
        <v>10371</v>
      </c>
      <c r="I80" s="130" t="s">
        <v>10372</v>
      </c>
      <c r="J80" s="116" t="s">
        <v>10373</v>
      </c>
      <c r="K80" s="47" t="s">
        <v>10374</v>
      </c>
      <c r="L80" s="47" t="s">
        <v>4000</v>
      </c>
      <c r="M80" s="47" t="s">
        <v>4001</v>
      </c>
    </row>
    <row r="81" spans="1:13" ht="14.25" customHeight="1">
      <c r="A81" s="113">
        <v>10</v>
      </c>
      <c r="B81" s="47"/>
      <c r="C81" s="130" t="s">
        <v>4158</v>
      </c>
      <c r="D81" s="130" t="s">
        <v>4159</v>
      </c>
      <c r="E81" s="130" t="s">
        <v>4160</v>
      </c>
      <c r="F81" s="130" t="s">
        <v>117</v>
      </c>
      <c r="G81" s="130" t="s">
        <v>5328</v>
      </c>
      <c r="H81" s="117" t="s">
        <v>10375</v>
      </c>
      <c r="I81" s="130" t="s">
        <v>4163</v>
      </c>
      <c r="J81" s="116" t="s">
        <v>4164</v>
      </c>
      <c r="K81" s="47" t="s">
        <v>5329</v>
      </c>
      <c r="L81" s="47" t="s">
        <v>4010</v>
      </c>
      <c r="M81" s="47" t="s">
        <v>4011</v>
      </c>
    </row>
    <row r="82" spans="1:13" ht="14.25" customHeight="1">
      <c r="A82" s="113">
        <v>11</v>
      </c>
      <c r="B82" s="47"/>
      <c r="C82" s="130" t="s">
        <v>3631</v>
      </c>
      <c r="D82" s="130" t="s">
        <v>3632</v>
      </c>
      <c r="E82" s="130" t="s">
        <v>3633</v>
      </c>
      <c r="F82" s="130" t="s">
        <v>664</v>
      </c>
      <c r="G82" s="104" t="s">
        <v>5262</v>
      </c>
      <c r="H82" s="117" t="s">
        <v>10376</v>
      </c>
      <c r="I82" s="130" t="s">
        <v>3636</v>
      </c>
      <c r="J82" s="116" t="s">
        <v>3637</v>
      </c>
      <c r="K82" s="47" t="s">
        <v>5263</v>
      </c>
      <c r="L82" s="47" t="s">
        <v>4018</v>
      </c>
      <c r="M82" s="47" t="s">
        <v>4019</v>
      </c>
    </row>
    <row r="83" spans="1:13" ht="14.25" customHeight="1">
      <c r="A83" s="113">
        <v>12</v>
      </c>
      <c r="B83" s="47"/>
      <c r="C83" s="130" t="s">
        <v>3660</v>
      </c>
      <c r="D83" s="130" t="s">
        <v>3661</v>
      </c>
      <c r="E83" s="130" t="s">
        <v>3662</v>
      </c>
      <c r="F83" s="130" t="s">
        <v>664</v>
      </c>
      <c r="G83" s="104" t="s">
        <v>5269</v>
      </c>
      <c r="H83" s="117" t="s">
        <v>10377</v>
      </c>
      <c r="I83" s="130" t="s">
        <v>3665</v>
      </c>
      <c r="J83" s="116" t="s">
        <v>3666</v>
      </c>
      <c r="K83" s="47" t="s">
        <v>5270</v>
      </c>
      <c r="L83" s="47" t="s">
        <v>4027</v>
      </c>
      <c r="M83" s="47" t="s">
        <v>4028</v>
      </c>
    </row>
    <row r="84" spans="1:13" ht="14.25" customHeight="1">
      <c r="A84" s="113">
        <v>13</v>
      </c>
      <c r="B84" s="47"/>
      <c r="C84" s="130" t="s">
        <v>4633</v>
      </c>
      <c r="D84" s="130" t="s">
        <v>4634</v>
      </c>
      <c r="E84" s="130" t="s">
        <v>4635</v>
      </c>
      <c r="F84" s="130" t="s">
        <v>219</v>
      </c>
      <c r="G84" s="104" t="s">
        <v>5386</v>
      </c>
      <c r="H84" s="117" t="s">
        <v>10378</v>
      </c>
      <c r="I84" s="130" t="s">
        <v>4638</v>
      </c>
      <c r="J84" s="133" t="s">
        <v>4639</v>
      </c>
      <c r="K84" s="47" t="s">
        <v>5387</v>
      </c>
      <c r="L84" s="47" t="s">
        <v>4037</v>
      </c>
      <c r="M84" s="47" t="s">
        <v>4038</v>
      </c>
    </row>
    <row r="85" spans="1:13" ht="14.25" customHeight="1">
      <c r="A85" s="113">
        <v>1</v>
      </c>
      <c r="B85" s="41"/>
      <c r="C85" s="128" t="s">
        <v>3380</v>
      </c>
      <c r="D85" s="128" t="s">
        <v>3381</v>
      </c>
      <c r="E85" s="128" t="s">
        <v>3382</v>
      </c>
      <c r="F85" s="128" t="s">
        <v>65</v>
      </c>
      <c r="G85" s="128" t="s">
        <v>5222</v>
      </c>
      <c r="H85" s="129" t="s">
        <v>10379</v>
      </c>
      <c r="I85" s="128" t="s">
        <v>3385</v>
      </c>
      <c r="J85" s="112" t="s">
        <v>3386</v>
      </c>
      <c r="K85" s="41" t="s">
        <v>5223</v>
      </c>
      <c r="L85" s="41" t="s">
        <v>4057</v>
      </c>
      <c r="M85" s="41" t="s">
        <v>4058</v>
      </c>
    </row>
    <row r="86" spans="1:13" ht="14.25" customHeight="1">
      <c r="A86" s="113">
        <v>2</v>
      </c>
      <c r="B86" s="47"/>
      <c r="C86" s="130" t="s">
        <v>3072</v>
      </c>
      <c r="D86" s="130" t="s">
        <v>3073</v>
      </c>
      <c r="E86" s="130" t="s">
        <v>3074</v>
      </c>
      <c r="F86" s="130" t="s">
        <v>65</v>
      </c>
      <c r="G86" s="130" t="s">
        <v>3075</v>
      </c>
      <c r="H86" s="117" t="s">
        <v>10380</v>
      </c>
      <c r="I86" s="130" t="s">
        <v>3077</v>
      </c>
      <c r="J86" s="116" t="s">
        <v>3078</v>
      </c>
      <c r="K86" s="47" t="s">
        <v>5444</v>
      </c>
      <c r="L86" s="47" t="s">
        <v>4067</v>
      </c>
      <c r="M86" s="47" t="s">
        <v>4068</v>
      </c>
    </row>
    <row r="87" spans="1:13" ht="14.25" customHeight="1">
      <c r="A87" s="113">
        <v>3</v>
      </c>
      <c r="B87" s="47"/>
      <c r="C87" s="130" t="s">
        <v>10381</v>
      </c>
      <c r="D87" s="130" t="s">
        <v>5127</v>
      </c>
      <c r="E87" s="130" t="s">
        <v>10382</v>
      </c>
      <c r="F87" s="130" t="s">
        <v>65</v>
      </c>
      <c r="G87" s="130" t="s">
        <v>10383</v>
      </c>
      <c r="H87" s="117" t="s">
        <v>10384</v>
      </c>
      <c r="I87" s="130" t="s">
        <v>10385</v>
      </c>
      <c r="J87" s="116" t="s">
        <v>10386</v>
      </c>
      <c r="K87" s="47" t="s">
        <v>10387</v>
      </c>
      <c r="L87" s="47" t="s">
        <v>4077</v>
      </c>
      <c r="M87" s="47" t="s">
        <v>4078</v>
      </c>
    </row>
    <row r="88" spans="1:13" ht="14.25" customHeight="1">
      <c r="A88" s="113">
        <v>4</v>
      </c>
      <c r="B88" s="47"/>
      <c r="C88" s="130" t="s">
        <v>2411</v>
      </c>
      <c r="D88" s="130" t="s">
        <v>2412</v>
      </c>
      <c r="E88" s="130" t="s">
        <v>2413</v>
      </c>
      <c r="F88" s="130" t="s">
        <v>65</v>
      </c>
      <c r="G88" s="130" t="s">
        <v>2414</v>
      </c>
      <c r="H88" s="117" t="s">
        <v>10388</v>
      </c>
      <c r="I88" s="130" t="s">
        <v>2416</v>
      </c>
      <c r="J88" s="116" t="s">
        <v>2417</v>
      </c>
      <c r="K88" s="47" t="s">
        <v>10389</v>
      </c>
      <c r="L88" s="47" t="s">
        <v>4087</v>
      </c>
      <c r="M88" s="47" t="s">
        <v>4088</v>
      </c>
    </row>
    <row r="89" spans="1:13" ht="14.25" customHeight="1">
      <c r="A89" s="113">
        <v>5</v>
      </c>
      <c r="B89" s="47"/>
      <c r="C89" s="130" t="s">
        <v>10390</v>
      </c>
      <c r="D89" s="130" t="s">
        <v>10391</v>
      </c>
      <c r="E89" s="130" t="s">
        <v>10392</v>
      </c>
      <c r="F89" s="130"/>
      <c r="G89" s="130" t="s">
        <v>10393</v>
      </c>
      <c r="H89" s="117" t="s">
        <v>10394</v>
      </c>
      <c r="I89" s="130" t="s">
        <v>10395</v>
      </c>
      <c r="J89" s="116" t="s">
        <v>10396</v>
      </c>
      <c r="K89" s="47" t="s">
        <v>10397</v>
      </c>
      <c r="L89" s="47" t="s">
        <v>4097</v>
      </c>
      <c r="M89" s="47" t="s">
        <v>4098</v>
      </c>
    </row>
    <row r="90" spans="1:13" ht="14.25" customHeight="1">
      <c r="A90" s="113">
        <v>6</v>
      </c>
      <c r="B90" s="47"/>
      <c r="C90" s="130" t="s">
        <v>3042</v>
      </c>
      <c r="D90" s="130" t="s">
        <v>3043</v>
      </c>
      <c r="E90" s="130" t="s">
        <v>3044</v>
      </c>
      <c r="F90" s="130" t="s">
        <v>65</v>
      </c>
      <c r="G90" s="130" t="s">
        <v>3045</v>
      </c>
      <c r="H90" s="117" t="s">
        <v>10398</v>
      </c>
      <c r="I90" s="130" t="s">
        <v>3047</v>
      </c>
      <c r="J90" s="116" t="s">
        <v>3048</v>
      </c>
      <c r="K90" s="47" t="s">
        <v>10399</v>
      </c>
      <c r="L90" s="47" t="s">
        <v>4108</v>
      </c>
      <c r="M90" s="47" t="s">
        <v>4109</v>
      </c>
    </row>
    <row r="91" spans="1:13" ht="14.25" customHeight="1">
      <c r="A91" s="113">
        <v>7</v>
      </c>
      <c r="B91" s="47"/>
      <c r="C91" s="130" t="s">
        <v>10400</v>
      </c>
      <c r="D91" s="130" t="s">
        <v>4674</v>
      </c>
      <c r="E91" s="130" t="s">
        <v>4675</v>
      </c>
      <c r="F91" s="130" t="s">
        <v>54</v>
      </c>
      <c r="G91" s="130" t="s">
        <v>10401</v>
      </c>
      <c r="H91" s="117" t="s">
        <v>10402</v>
      </c>
      <c r="I91" s="130" t="s">
        <v>10403</v>
      </c>
      <c r="J91" s="116" t="s">
        <v>10404</v>
      </c>
      <c r="K91" s="47" t="s">
        <v>10405</v>
      </c>
      <c r="L91" s="47" t="s">
        <v>4118</v>
      </c>
      <c r="M91" s="47" t="s">
        <v>4119</v>
      </c>
    </row>
    <row r="92" spans="1:13" ht="14.25" customHeight="1">
      <c r="A92" s="113">
        <v>8</v>
      </c>
      <c r="B92" s="47"/>
      <c r="C92" s="130" t="s">
        <v>3730</v>
      </c>
      <c r="D92" s="130" t="s">
        <v>3731</v>
      </c>
      <c r="E92" s="130" t="s">
        <v>1885</v>
      </c>
      <c r="F92" s="130" t="s">
        <v>54</v>
      </c>
      <c r="G92" s="130" t="s">
        <v>5278</v>
      </c>
      <c r="H92" s="117" t="s">
        <v>10406</v>
      </c>
      <c r="I92" s="130" t="s">
        <v>3734</v>
      </c>
      <c r="J92" s="116" t="s">
        <v>3735</v>
      </c>
      <c r="K92" s="47" t="s">
        <v>5279</v>
      </c>
      <c r="L92" s="47" t="s">
        <v>4128</v>
      </c>
      <c r="M92" s="47" t="s">
        <v>4129</v>
      </c>
    </row>
    <row r="93" spans="1:13" ht="14.25" customHeight="1">
      <c r="A93" s="113">
        <v>9</v>
      </c>
      <c r="B93" s="47"/>
      <c r="C93" s="104" t="s">
        <v>4012</v>
      </c>
      <c r="D93" s="104" t="s">
        <v>3570</v>
      </c>
      <c r="E93" s="104" t="s">
        <v>3571</v>
      </c>
      <c r="F93" s="104" t="s">
        <v>117</v>
      </c>
      <c r="G93" s="104" t="s">
        <v>5311</v>
      </c>
      <c r="H93" s="131" t="s">
        <v>10407</v>
      </c>
      <c r="I93" s="104" t="s">
        <v>4015</v>
      </c>
      <c r="J93" s="116" t="s">
        <v>4016</v>
      </c>
      <c r="K93" s="47" t="s">
        <v>5312</v>
      </c>
      <c r="L93" s="47" t="s">
        <v>4138</v>
      </c>
      <c r="M93" s="47" t="s">
        <v>4139</v>
      </c>
    </row>
    <row r="94" spans="1:13" ht="14.25" customHeight="1">
      <c r="A94" s="113">
        <v>10</v>
      </c>
      <c r="B94" s="47"/>
      <c r="C94" s="130" t="s">
        <v>3891</v>
      </c>
      <c r="D94" s="130" t="s">
        <v>3892</v>
      </c>
      <c r="E94" s="130" t="s">
        <v>3893</v>
      </c>
      <c r="F94" s="130" t="s">
        <v>117</v>
      </c>
      <c r="G94" s="130" t="s">
        <v>5298</v>
      </c>
      <c r="H94" s="117" t="s">
        <v>10408</v>
      </c>
      <c r="I94" s="130" t="s">
        <v>3896</v>
      </c>
      <c r="J94" s="116" t="s">
        <v>3897</v>
      </c>
      <c r="K94" s="47" t="s">
        <v>5299</v>
      </c>
      <c r="L94" s="47" t="s">
        <v>4147</v>
      </c>
      <c r="M94" s="47" t="s">
        <v>4148</v>
      </c>
    </row>
    <row r="95" spans="1:13" ht="14.25" customHeight="1">
      <c r="A95" s="113">
        <v>11</v>
      </c>
      <c r="B95" s="47"/>
      <c r="C95" s="130" t="s">
        <v>1562</v>
      </c>
      <c r="D95" s="130" t="s">
        <v>1563</v>
      </c>
      <c r="E95" s="130" t="s">
        <v>1564</v>
      </c>
      <c r="F95" s="130" t="s">
        <v>117</v>
      </c>
      <c r="G95" s="104" t="s">
        <v>1565</v>
      </c>
      <c r="H95" s="117" t="s">
        <v>10409</v>
      </c>
      <c r="I95" s="130" t="s">
        <v>1567</v>
      </c>
      <c r="J95" s="116" t="s">
        <v>1568</v>
      </c>
      <c r="K95" s="47" t="s">
        <v>10410</v>
      </c>
      <c r="L95" s="47" t="s">
        <v>4156</v>
      </c>
      <c r="M95" s="47" t="s">
        <v>4157</v>
      </c>
    </row>
    <row r="96" spans="1:13" ht="14.25" customHeight="1">
      <c r="A96" s="113">
        <v>12</v>
      </c>
      <c r="B96" s="47"/>
      <c r="C96" s="130" t="s">
        <v>4440</v>
      </c>
      <c r="D96" s="130" t="s">
        <v>4441</v>
      </c>
      <c r="E96" s="130" t="s">
        <v>4442</v>
      </c>
      <c r="F96" s="130" t="s">
        <v>117</v>
      </c>
      <c r="G96" s="130" t="s">
        <v>5375</v>
      </c>
      <c r="H96" s="117" t="s">
        <v>10411</v>
      </c>
      <c r="I96" s="130" t="s">
        <v>4445</v>
      </c>
      <c r="J96" s="116" t="s">
        <v>4446</v>
      </c>
      <c r="K96" s="47" t="s">
        <v>5376</v>
      </c>
      <c r="L96" s="47" t="s">
        <v>4166</v>
      </c>
      <c r="M96" s="47" t="s">
        <v>4167</v>
      </c>
    </row>
    <row r="97" spans="1:13" ht="14.25" customHeight="1">
      <c r="A97" s="113">
        <v>13</v>
      </c>
      <c r="B97" s="47"/>
      <c r="C97" s="130" t="s">
        <v>3280</v>
      </c>
      <c r="D97" s="130" t="s">
        <v>3281</v>
      </c>
      <c r="E97" s="130" t="s">
        <v>3282</v>
      </c>
      <c r="F97" s="130" t="s">
        <v>54</v>
      </c>
      <c r="G97" s="130" t="s">
        <v>5216</v>
      </c>
      <c r="H97" s="117" t="s">
        <v>10412</v>
      </c>
      <c r="I97" s="130" t="s">
        <v>3285</v>
      </c>
      <c r="J97" s="116" t="s">
        <v>3286</v>
      </c>
      <c r="K97" s="47" t="s">
        <v>5217</v>
      </c>
      <c r="L97" s="47" t="s">
        <v>4175</v>
      </c>
      <c r="M97" s="47" t="s">
        <v>4176</v>
      </c>
    </row>
    <row r="98" spans="1:13" ht="14.25" customHeight="1">
      <c r="A98" s="113">
        <v>1</v>
      </c>
      <c r="B98" s="41"/>
      <c r="C98" s="109" t="s">
        <v>2488</v>
      </c>
      <c r="D98" s="119" t="s">
        <v>2489</v>
      </c>
      <c r="E98" s="119" t="s">
        <v>1334</v>
      </c>
      <c r="F98" s="110" t="s">
        <v>219</v>
      </c>
      <c r="G98" s="110" t="s">
        <v>2490</v>
      </c>
      <c r="H98" s="43" t="s">
        <v>10413</v>
      </c>
      <c r="I98" s="111" t="s">
        <v>2492</v>
      </c>
      <c r="J98" s="112" t="s">
        <v>2493</v>
      </c>
      <c r="K98" s="41" t="s">
        <v>10414</v>
      </c>
      <c r="L98" s="41" t="s">
        <v>4205</v>
      </c>
      <c r="M98" s="41" t="s">
        <v>4206</v>
      </c>
    </row>
    <row r="99" spans="1:13" ht="14.25" customHeight="1">
      <c r="A99" s="113">
        <v>2</v>
      </c>
      <c r="B99" s="47"/>
      <c r="C99" s="120" t="s">
        <v>3130</v>
      </c>
      <c r="D99" s="121" t="s">
        <v>3131</v>
      </c>
      <c r="E99" s="121" t="s">
        <v>3132</v>
      </c>
      <c r="F99" s="113" t="s">
        <v>117</v>
      </c>
      <c r="G99" s="113" t="s">
        <v>5195</v>
      </c>
      <c r="H99" s="122" t="s">
        <v>10415</v>
      </c>
      <c r="I99" s="116" t="s">
        <v>3135</v>
      </c>
      <c r="J99" s="116" t="s">
        <v>3136</v>
      </c>
      <c r="K99" s="47" t="s">
        <v>5196</v>
      </c>
      <c r="L99" s="47" t="s">
        <v>4215</v>
      </c>
      <c r="M99" s="47" t="s">
        <v>4216</v>
      </c>
    </row>
    <row r="100" spans="1:13" ht="14.25" customHeight="1">
      <c r="A100" s="113">
        <v>3</v>
      </c>
      <c r="B100" s="47"/>
      <c r="C100" s="120" t="s">
        <v>4945</v>
      </c>
      <c r="D100" s="123" t="s">
        <v>4946</v>
      </c>
      <c r="E100" s="123" t="s">
        <v>4947</v>
      </c>
      <c r="F100" s="113" t="s">
        <v>117</v>
      </c>
      <c r="G100" s="113" t="s">
        <v>5428</v>
      </c>
      <c r="H100" s="122" t="s">
        <v>10416</v>
      </c>
      <c r="I100" s="116" t="s">
        <v>4950</v>
      </c>
      <c r="J100" s="116" t="s">
        <v>4951</v>
      </c>
      <c r="K100" s="47" t="s">
        <v>5429</v>
      </c>
      <c r="L100" s="47" t="s">
        <v>4225</v>
      </c>
      <c r="M100" s="47" t="s">
        <v>4226</v>
      </c>
    </row>
    <row r="101" spans="1:13" ht="14.25" customHeight="1">
      <c r="A101" s="113">
        <v>4</v>
      </c>
      <c r="B101" s="47"/>
      <c r="C101" s="120" t="s">
        <v>3790</v>
      </c>
      <c r="D101" s="121" t="s">
        <v>3791</v>
      </c>
      <c r="E101" s="121" t="s">
        <v>3792</v>
      </c>
      <c r="F101" s="113" t="s">
        <v>117</v>
      </c>
      <c r="G101" s="113" t="s">
        <v>5282</v>
      </c>
      <c r="H101" s="122" t="s">
        <v>10417</v>
      </c>
      <c r="I101" s="116" t="s">
        <v>3795</v>
      </c>
      <c r="J101" s="116" t="s">
        <v>3796</v>
      </c>
      <c r="K101" s="47" t="s">
        <v>5283</v>
      </c>
      <c r="L101" s="47" t="s">
        <v>4235</v>
      </c>
      <c r="M101" s="47" t="s">
        <v>4236</v>
      </c>
    </row>
    <row r="102" spans="1:13" ht="14.25" customHeight="1">
      <c r="A102" s="113">
        <v>5</v>
      </c>
      <c r="B102" s="47"/>
      <c r="C102" s="120" t="s">
        <v>2102</v>
      </c>
      <c r="D102" s="121" t="s">
        <v>2103</v>
      </c>
      <c r="E102" s="121" t="s">
        <v>2104</v>
      </c>
      <c r="F102" s="113" t="s">
        <v>117</v>
      </c>
      <c r="G102" s="113" t="s">
        <v>2105</v>
      </c>
      <c r="H102" s="122" t="s">
        <v>10418</v>
      </c>
      <c r="I102" s="116" t="s">
        <v>2107</v>
      </c>
      <c r="J102" s="116" t="s">
        <v>2108</v>
      </c>
      <c r="K102" s="47" t="s">
        <v>10419</v>
      </c>
      <c r="L102" s="47" t="s">
        <v>4245</v>
      </c>
      <c r="M102" s="47" t="s">
        <v>4246</v>
      </c>
    </row>
    <row r="103" spans="1:13" ht="14.25" customHeight="1">
      <c r="A103" s="113">
        <v>6</v>
      </c>
      <c r="B103" s="47"/>
      <c r="C103" s="120" t="s">
        <v>4740</v>
      </c>
      <c r="D103" s="121" t="s">
        <v>4741</v>
      </c>
      <c r="E103" s="121" t="s">
        <v>4742</v>
      </c>
      <c r="F103" s="113" t="s">
        <v>65</v>
      </c>
      <c r="G103" s="113" t="s">
        <v>5397</v>
      </c>
      <c r="H103" s="93" t="s">
        <v>10420</v>
      </c>
      <c r="I103" s="134" t="s">
        <v>4745</v>
      </c>
      <c r="J103" s="116" t="s">
        <v>4746</v>
      </c>
      <c r="K103" s="47" t="s">
        <v>5398</v>
      </c>
      <c r="L103" s="47" t="s">
        <v>4254</v>
      </c>
      <c r="M103" s="47" t="s">
        <v>4255</v>
      </c>
    </row>
    <row r="104" spans="1:13" ht="14.25" customHeight="1">
      <c r="A104" s="113">
        <v>7</v>
      </c>
      <c r="B104" s="47"/>
      <c r="C104" s="120" t="s">
        <v>2581</v>
      </c>
      <c r="D104" s="121" t="s">
        <v>2582</v>
      </c>
      <c r="E104" s="121" t="s">
        <v>2583</v>
      </c>
      <c r="F104" s="113" t="s">
        <v>65</v>
      </c>
      <c r="G104" s="113" t="s">
        <v>2584</v>
      </c>
      <c r="H104" s="93" t="s">
        <v>10421</v>
      </c>
      <c r="I104" s="134" t="s">
        <v>2586</v>
      </c>
      <c r="J104" s="116" t="s">
        <v>2587</v>
      </c>
      <c r="K104" s="47" t="s">
        <v>10422</v>
      </c>
      <c r="L104" s="47" t="s">
        <v>4264</v>
      </c>
      <c r="M104" s="47" t="s">
        <v>4265</v>
      </c>
    </row>
    <row r="105" spans="1:13" ht="14.25" customHeight="1">
      <c r="A105" s="113">
        <v>8</v>
      </c>
      <c r="B105" s="47"/>
      <c r="C105" s="120" t="s">
        <v>10423</v>
      </c>
      <c r="D105" s="121" t="s">
        <v>10424</v>
      </c>
      <c r="E105" s="121" t="s">
        <v>10425</v>
      </c>
      <c r="F105" s="113" t="s">
        <v>54</v>
      </c>
      <c r="G105" s="113" t="s">
        <v>10426</v>
      </c>
      <c r="H105" s="93" t="s">
        <v>10427</v>
      </c>
      <c r="I105" s="134" t="s">
        <v>10428</v>
      </c>
      <c r="J105" s="116" t="s">
        <v>10429</v>
      </c>
      <c r="K105" s="47" t="s">
        <v>10430</v>
      </c>
      <c r="L105" s="47" t="s">
        <v>4274</v>
      </c>
      <c r="M105" s="47" t="s">
        <v>4275</v>
      </c>
    </row>
    <row r="106" spans="1:13" ht="14.25" customHeight="1">
      <c r="A106" s="113">
        <v>9</v>
      </c>
      <c r="B106" s="47"/>
      <c r="C106" s="135" t="s">
        <v>10431</v>
      </c>
      <c r="D106" s="121" t="s">
        <v>10432</v>
      </c>
      <c r="E106" s="121" t="s">
        <v>10433</v>
      </c>
      <c r="F106" s="136" t="s">
        <v>54</v>
      </c>
      <c r="G106" s="136" t="s">
        <v>10434</v>
      </c>
      <c r="H106" s="13" t="s">
        <v>10435</v>
      </c>
      <c r="I106" s="115" t="s">
        <v>10436</v>
      </c>
      <c r="J106" s="13" t="s">
        <v>10437</v>
      </c>
      <c r="K106" s="47" t="s">
        <v>10438</v>
      </c>
      <c r="L106" s="47" t="s">
        <v>4284</v>
      </c>
      <c r="M106" s="47" t="s">
        <v>4285</v>
      </c>
    </row>
    <row r="107" spans="1:13" ht="14.25" customHeight="1">
      <c r="A107" s="113">
        <v>10</v>
      </c>
      <c r="B107" s="47"/>
      <c r="C107" s="120" t="s">
        <v>2011</v>
      </c>
      <c r="D107" s="121" t="s">
        <v>2012</v>
      </c>
      <c r="E107" s="121" t="s">
        <v>2013</v>
      </c>
      <c r="F107" s="113" t="s">
        <v>54</v>
      </c>
      <c r="G107" s="113" t="s">
        <v>2014</v>
      </c>
      <c r="H107" s="93" t="s">
        <v>10439</v>
      </c>
      <c r="I107" s="134" t="s">
        <v>2016</v>
      </c>
      <c r="J107" s="116" t="s">
        <v>2017</v>
      </c>
      <c r="K107" s="47" t="s">
        <v>10440</v>
      </c>
      <c r="L107" s="47" t="s">
        <v>4288</v>
      </c>
      <c r="M107" s="47" t="s">
        <v>4289</v>
      </c>
    </row>
    <row r="108" spans="1:13" ht="14.25" customHeight="1">
      <c r="A108" s="113">
        <v>1</v>
      </c>
      <c r="B108" s="41"/>
      <c r="C108" s="109" t="s">
        <v>4558</v>
      </c>
      <c r="D108" s="119" t="s">
        <v>4559</v>
      </c>
      <c r="E108" s="119" t="s">
        <v>4560</v>
      </c>
      <c r="F108" s="110" t="s">
        <v>54</v>
      </c>
      <c r="G108" s="110" t="s">
        <v>5380</v>
      </c>
      <c r="H108" s="43" t="s">
        <v>10441</v>
      </c>
      <c r="I108" s="111" t="s">
        <v>4563</v>
      </c>
      <c r="J108" s="112" t="s">
        <v>4564</v>
      </c>
      <c r="K108" s="41" t="s">
        <v>5381</v>
      </c>
      <c r="L108" s="41" t="s">
        <v>4357</v>
      </c>
      <c r="M108" s="41" t="s">
        <v>4358</v>
      </c>
    </row>
    <row r="109" spans="1:13" ht="14.25" customHeight="1">
      <c r="A109" s="113">
        <v>2</v>
      </c>
      <c r="B109" s="47"/>
      <c r="C109" s="135" t="s">
        <v>4049</v>
      </c>
      <c r="D109" s="121" t="s">
        <v>4050</v>
      </c>
      <c r="E109" s="121" t="s">
        <v>4051</v>
      </c>
      <c r="F109" s="136" t="s">
        <v>501</v>
      </c>
      <c r="G109" s="136" t="s">
        <v>5319</v>
      </c>
      <c r="H109" s="50" t="s">
        <v>10442</v>
      </c>
      <c r="I109" s="115" t="s">
        <v>4054</v>
      </c>
      <c r="J109" s="132" t="s">
        <v>4055</v>
      </c>
      <c r="K109" s="47" t="s">
        <v>5320</v>
      </c>
      <c r="L109" s="47" t="s">
        <v>4367</v>
      </c>
      <c r="M109" s="47" t="s">
        <v>4368</v>
      </c>
    </row>
    <row r="110" spans="1:13" ht="14.25" customHeight="1">
      <c r="A110" s="113">
        <v>3</v>
      </c>
      <c r="B110" s="47"/>
      <c r="C110" s="120" t="s">
        <v>5067</v>
      </c>
      <c r="D110" s="121" t="s">
        <v>5068</v>
      </c>
      <c r="E110" s="121" t="s">
        <v>5069</v>
      </c>
      <c r="F110" s="113" t="s">
        <v>117</v>
      </c>
      <c r="G110" s="113" t="s">
        <v>5442</v>
      </c>
      <c r="H110" s="93" t="s">
        <v>10443</v>
      </c>
      <c r="I110" s="134" t="s">
        <v>5072</v>
      </c>
      <c r="J110" s="116" t="s">
        <v>5073</v>
      </c>
      <c r="K110" s="47" t="s">
        <v>5443</v>
      </c>
      <c r="L110" s="47" t="s">
        <v>4378</v>
      </c>
      <c r="M110" s="47" t="s">
        <v>4379</v>
      </c>
    </row>
    <row r="111" spans="1:13" ht="14.25" customHeight="1">
      <c r="A111" s="113">
        <v>4</v>
      </c>
      <c r="B111" s="47"/>
      <c r="C111" s="120" t="s">
        <v>10444</v>
      </c>
      <c r="D111" s="121" t="s">
        <v>10445</v>
      </c>
      <c r="E111" s="121" t="s">
        <v>10446</v>
      </c>
      <c r="F111" s="113" t="s">
        <v>885</v>
      </c>
      <c r="G111" s="113" t="s">
        <v>10447</v>
      </c>
      <c r="H111" s="93" t="s">
        <v>10448</v>
      </c>
      <c r="I111" s="134" t="s">
        <v>10449</v>
      </c>
      <c r="J111" s="116" t="s">
        <v>10450</v>
      </c>
      <c r="K111" s="47" t="s">
        <v>10451</v>
      </c>
      <c r="L111" s="47" t="s">
        <v>4387</v>
      </c>
      <c r="M111" s="47" t="s">
        <v>4388</v>
      </c>
    </row>
    <row r="112" spans="1:13" ht="14.25" customHeight="1">
      <c r="A112" s="113">
        <v>5</v>
      </c>
      <c r="B112" s="47"/>
      <c r="C112" s="120" t="s">
        <v>4868</v>
      </c>
      <c r="D112" s="121" t="s">
        <v>4869</v>
      </c>
      <c r="E112" s="121" t="s">
        <v>4870</v>
      </c>
      <c r="F112" s="113" t="s">
        <v>117</v>
      </c>
      <c r="G112" s="113" t="s">
        <v>5418</v>
      </c>
      <c r="H112" s="93" t="s">
        <v>10452</v>
      </c>
      <c r="I112" s="134" t="s">
        <v>4873</v>
      </c>
      <c r="J112" s="116" t="s">
        <v>4874</v>
      </c>
      <c r="K112" s="47" t="s">
        <v>5419</v>
      </c>
      <c r="L112" s="47" t="s">
        <v>4398</v>
      </c>
      <c r="M112" s="47" t="s">
        <v>4399</v>
      </c>
    </row>
    <row r="113" spans="1:13" ht="14.25" customHeight="1">
      <c r="A113" s="113">
        <v>6</v>
      </c>
      <c r="B113" s="47"/>
      <c r="C113" s="120" t="s">
        <v>2541</v>
      </c>
      <c r="D113" s="121" t="s">
        <v>2542</v>
      </c>
      <c r="E113" s="121" t="s">
        <v>2543</v>
      </c>
      <c r="F113" s="113" t="s">
        <v>65</v>
      </c>
      <c r="G113" s="113" t="s">
        <v>2544</v>
      </c>
      <c r="H113" s="93" t="s">
        <v>10453</v>
      </c>
      <c r="I113" s="134" t="s">
        <v>2546</v>
      </c>
      <c r="J113" s="116" t="s">
        <v>2547</v>
      </c>
      <c r="K113" s="47" t="s">
        <v>10454</v>
      </c>
      <c r="L113" s="47" t="s">
        <v>4408</v>
      </c>
      <c r="M113" s="47" t="s">
        <v>4409</v>
      </c>
    </row>
    <row r="114" spans="1:13" ht="14.25" customHeight="1">
      <c r="A114" s="113">
        <v>7</v>
      </c>
      <c r="B114" s="47"/>
      <c r="C114" s="120" t="s">
        <v>6370</v>
      </c>
      <c r="D114" s="121" t="s">
        <v>6371</v>
      </c>
      <c r="E114" s="121" t="s">
        <v>6372</v>
      </c>
      <c r="F114" s="113" t="s">
        <v>117</v>
      </c>
      <c r="G114" s="113" t="s">
        <v>10455</v>
      </c>
      <c r="H114" s="93" t="s">
        <v>10456</v>
      </c>
      <c r="I114" s="134" t="s">
        <v>6375</v>
      </c>
      <c r="J114" s="116" t="s">
        <v>6376</v>
      </c>
      <c r="K114" s="47" t="s">
        <v>10457</v>
      </c>
      <c r="L114" s="47" t="s">
        <v>4418</v>
      </c>
      <c r="M114" s="47" t="s">
        <v>4419</v>
      </c>
    </row>
    <row r="115" spans="1:13" ht="14.25" customHeight="1">
      <c r="A115" s="113">
        <v>8</v>
      </c>
      <c r="B115" s="47"/>
      <c r="C115" s="120" t="s">
        <v>1375</v>
      </c>
      <c r="D115" s="121" t="s">
        <v>1376</v>
      </c>
      <c r="E115" s="121" t="s">
        <v>1377</v>
      </c>
      <c r="F115" s="113" t="s">
        <v>117</v>
      </c>
      <c r="G115" s="113" t="s">
        <v>1378</v>
      </c>
      <c r="H115" s="93" t="s">
        <v>10458</v>
      </c>
      <c r="I115" s="134" t="s">
        <v>1380</v>
      </c>
      <c r="J115" s="116" t="s">
        <v>1381</v>
      </c>
      <c r="K115" s="47" t="s">
        <v>10459</v>
      </c>
      <c r="L115" s="47" t="s">
        <v>4428</v>
      </c>
      <c r="M115" s="47" t="s">
        <v>4429</v>
      </c>
    </row>
    <row r="116" spans="1:13" ht="14.25" customHeight="1">
      <c r="A116" s="113">
        <v>9</v>
      </c>
      <c r="B116" s="47"/>
      <c r="C116" s="120" t="s">
        <v>3218</v>
      </c>
      <c r="D116" s="121" t="s">
        <v>3219</v>
      </c>
      <c r="E116" s="121" t="s">
        <v>3220</v>
      </c>
      <c r="F116" s="113" t="s">
        <v>117</v>
      </c>
      <c r="G116" s="113" t="s">
        <v>5212</v>
      </c>
      <c r="H116" s="93" t="s">
        <v>10460</v>
      </c>
      <c r="I116" s="134" t="s">
        <v>3223</v>
      </c>
      <c r="J116" s="116" t="s">
        <v>3224</v>
      </c>
      <c r="K116" s="47" t="s">
        <v>5213</v>
      </c>
      <c r="L116" s="47" t="s">
        <v>4438</v>
      </c>
      <c r="M116" s="47" t="s">
        <v>4439</v>
      </c>
    </row>
    <row r="117" spans="1:13" ht="14.25" customHeight="1">
      <c r="A117" s="113">
        <v>10</v>
      </c>
      <c r="B117" s="47"/>
      <c r="C117" s="120" t="s">
        <v>3440</v>
      </c>
      <c r="D117" s="121" t="s">
        <v>3441</v>
      </c>
      <c r="E117" s="121" t="s">
        <v>1825</v>
      </c>
      <c r="F117" s="113" t="s">
        <v>117</v>
      </c>
      <c r="G117" s="113" t="s">
        <v>5229</v>
      </c>
      <c r="H117" s="93" t="s">
        <v>10461</v>
      </c>
      <c r="I117" s="134" t="s">
        <v>3444</v>
      </c>
      <c r="J117" s="116" t="s">
        <v>3445</v>
      </c>
      <c r="K117" s="47" t="s">
        <v>5230</v>
      </c>
      <c r="L117" s="47" t="s">
        <v>4448</v>
      </c>
      <c r="M117" s="47" t="s">
        <v>4449</v>
      </c>
    </row>
    <row r="118" spans="1:13" ht="14.25" customHeight="1">
      <c r="A118" s="113">
        <v>11</v>
      </c>
      <c r="B118" s="47"/>
      <c r="C118" s="120" t="s">
        <v>10462</v>
      </c>
      <c r="D118" s="121" t="s">
        <v>4569</v>
      </c>
      <c r="E118" s="121" t="s">
        <v>10463</v>
      </c>
      <c r="F118" s="113" t="s">
        <v>65</v>
      </c>
      <c r="G118" s="113" t="s">
        <v>10464</v>
      </c>
      <c r="H118" s="93" t="s">
        <v>10465</v>
      </c>
      <c r="I118" s="134" t="s">
        <v>10466</v>
      </c>
      <c r="J118" s="116" t="s">
        <v>10467</v>
      </c>
      <c r="K118" s="47" t="s">
        <v>10468</v>
      </c>
      <c r="L118" s="47" t="s">
        <v>4458</v>
      </c>
      <c r="M118" s="47" t="s">
        <v>4459</v>
      </c>
    </row>
    <row r="119" spans="1:13" ht="14.25" customHeight="1">
      <c r="A119" s="113">
        <v>1</v>
      </c>
      <c r="B119" s="41"/>
      <c r="C119" s="109" t="s">
        <v>1230</v>
      </c>
      <c r="D119" s="119" t="s">
        <v>1231</v>
      </c>
      <c r="E119" s="119" t="s">
        <v>1232</v>
      </c>
      <c r="F119" s="110" t="s">
        <v>65</v>
      </c>
      <c r="G119" s="110" t="s">
        <v>1233</v>
      </c>
      <c r="H119" s="43" t="s">
        <v>10469</v>
      </c>
      <c r="I119" s="111" t="s">
        <v>1235</v>
      </c>
      <c r="J119" s="112" t="s">
        <v>1236</v>
      </c>
      <c r="K119" s="41" t="s">
        <v>10470</v>
      </c>
      <c r="L119" s="41" t="s">
        <v>4488</v>
      </c>
      <c r="M119" s="41" t="s">
        <v>4489</v>
      </c>
    </row>
    <row r="120" spans="1:13" ht="14.25" customHeight="1">
      <c r="A120" s="113">
        <v>2</v>
      </c>
      <c r="B120" s="47"/>
      <c r="C120" s="120" t="s">
        <v>5680</v>
      </c>
      <c r="D120" s="121" t="s">
        <v>5681</v>
      </c>
      <c r="E120" s="121" t="s">
        <v>5682</v>
      </c>
      <c r="F120" s="113" t="s">
        <v>117</v>
      </c>
      <c r="G120" s="113" t="s">
        <v>10471</v>
      </c>
      <c r="H120" s="93" t="s">
        <v>10472</v>
      </c>
      <c r="I120" s="134" t="s">
        <v>5684</v>
      </c>
      <c r="J120" s="116" t="s">
        <v>5685</v>
      </c>
      <c r="K120" s="47" t="s">
        <v>10473</v>
      </c>
      <c r="L120" s="47" t="s">
        <v>4498</v>
      </c>
      <c r="M120" s="47" t="s">
        <v>4499</v>
      </c>
    </row>
    <row r="121" spans="1:13" ht="14.25" customHeight="1">
      <c r="A121" s="113">
        <v>3</v>
      </c>
      <c r="B121" s="47"/>
      <c r="C121" s="120" t="s">
        <v>3400</v>
      </c>
      <c r="D121" s="121" t="s">
        <v>3401</v>
      </c>
      <c r="E121" s="121" t="s">
        <v>3402</v>
      </c>
      <c r="F121" s="113" t="s">
        <v>219</v>
      </c>
      <c r="G121" s="113" t="s">
        <v>5226</v>
      </c>
      <c r="H121" s="122" t="s">
        <v>10474</v>
      </c>
      <c r="I121" s="116" t="s">
        <v>3404</v>
      </c>
      <c r="J121" s="116" t="s">
        <v>3405</v>
      </c>
      <c r="K121" s="47" t="s">
        <v>5227</v>
      </c>
      <c r="L121" s="47" t="s">
        <v>4509</v>
      </c>
      <c r="M121" s="47" t="s">
        <v>4510</v>
      </c>
    </row>
    <row r="122" spans="1:13" ht="14.25" customHeight="1">
      <c r="A122" s="113">
        <v>4</v>
      </c>
      <c r="B122" s="47"/>
      <c r="C122" s="120" t="s">
        <v>571</v>
      </c>
      <c r="D122" s="121" t="s">
        <v>572</v>
      </c>
      <c r="E122" s="121" t="s">
        <v>573</v>
      </c>
      <c r="F122" s="113" t="s">
        <v>65</v>
      </c>
      <c r="G122" s="113" t="s">
        <v>574</v>
      </c>
      <c r="H122" s="122" t="s">
        <v>10475</v>
      </c>
      <c r="I122" s="116" t="s">
        <v>576</v>
      </c>
      <c r="J122" s="116" t="s">
        <v>577</v>
      </c>
      <c r="K122" s="47" t="s">
        <v>10476</v>
      </c>
      <c r="L122" s="47" t="s">
        <v>4518</v>
      </c>
      <c r="M122" s="47" t="s">
        <v>4519</v>
      </c>
    </row>
    <row r="123" spans="1:13" ht="14.25" customHeight="1">
      <c r="A123" s="113">
        <v>5</v>
      </c>
      <c r="B123" s="47"/>
      <c r="C123" s="120" t="s">
        <v>2665</v>
      </c>
      <c r="D123" s="121" t="s">
        <v>2666</v>
      </c>
      <c r="E123" s="121" t="s">
        <v>2667</v>
      </c>
      <c r="F123" s="113" t="s">
        <v>65</v>
      </c>
      <c r="G123" s="113" t="s">
        <v>2668</v>
      </c>
      <c r="H123" s="122" t="s">
        <v>10477</v>
      </c>
      <c r="I123" s="116" t="s">
        <v>2670</v>
      </c>
      <c r="J123" s="116" t="s">
        <v>2671</v>
      </c>
      <c r="K123" s="47" t="s">
        <v>10478</v>
      </c>
      <c r="L123" s="47" t="s">
        <v>4527</v>
      </c>
      <c r="M123" s="47" t="s">
        <v>4528</v>
      </c>
    </row>
    <row r="124" spans="1:13" ht="14.25" customHeight="1">
      <c r="A124" s="113">
        <v>6</v>
      </c>
      <c r="B124" s="47"/>
      <c r="C124" s="120" t="s">
        <v>7113</v>
      </c>
      <c r="D124" s="121" t="s">
        <v>7114</v>
      </c>
      <c r="E124" s="121" t="s">
        <v>7115</v>
      </c>
      <c r="F124" s="113" t="s">
        <v>65</v>
      </c>
      <c r="G124" s="113" t="s">
        <v>10479</v>
      </c>
      <c r="H124" s="122" t="s">
        <v>10480</v>
      </c>
      <c r="I124" s="116" t="s">
        <v>7118</v>
      </c>
      <c r="J124" s="116" t="s">
        <v>7119</v>
      </c>
      <c r="K124" s="47" t="s">
        <v>10481</v>
      </c>
      <c r="L124" s="47" t="s">
        <v>4537</v>
      </c>
      <c r="M124" s="47" t="s">
        <v>4538</v>
      </c>
    </row>
    <row r="125" spans="1:13" ht="14.25" customHeight="1">
      <c r="A125" s="113">
        <v>7</v>
      </c>
      <c r="B125" s="47"/>
      <c r="C125" s="120" t="s">
        <v>2092</v>
      </c>
      <c r="D125" s="121" t="s">
        <v>2093</v>
      </c>
      <c r="E125" s="121" t="s">
        <v>2094</v>
      </c>
      <c r="F125" s="113" t="s">
        <v>219</v>
      </c>
      <c r="G125" s="113" t="s">
        <v>2095</v>
      </c>
      <c r="H125" s="122" t="s">
        <v>10482</v>
      </c>
      <c r="I125" s="116" t="s">
        <v>2097</v>
      </c>
      <c r="J125" s="116" t="s">
        <v>2098</v>
      </c>
      <c r="K125" s="47" t="s">
        <v>10483</v>
      </c>
      <c r="L125" s="47" t="s">
        <v>4546</v>
      </c>
      <c r="M125" s="47" t="s">
        <v>4547</v>
      </c>
    </row>
    <row r="126" spans="1:13" ht="14.25" customHeight="1">
      <c r="A126" s="113">
        <v>8</v>
      </c>
      <c r="B126" s="47"/>
      <c r="C126" s="120" t="s">
        <v>972</v>
      </c>
      <c r="D126" s="121" t="s">
        <v>973</v>
      </c>
      <c r="E126" s="121" t="s">
        <v>974</v>
      </c>
      <c r="F126" s="113" t="s">
        <v>65</v>
      </c>
      <c r="G126" s="113" t="s">
        <v>975</v>
      </c>
      <c r="H126" s="122" t="s">
        <v>10484</v>
      </c>
      <c r="I126" s="116" t="s">
        <v>977</v>
      </c>
      <c r="J126" s="116" t="s">
        <v>978</v>
      </c>
      <c r="K126" s="47" t="s">
        <v>10485</v>
      </c>
      <c r="L126" s="47" t="s">
        <v>4556</v>
      </c>
      <c r="M126" s="47" t="s">
        <v>4557</v>
      </c>
    </row>
    <row r="127" spans="1:13" ht="14.25" customHeight="1">
      <c r="A127" s="113">
        <v>9</v>
      </c>
      <c r="B127" s="47"/>
      <c r="C127" s="120" t="s">
        <v>3469</v>
      </c>
      <c r="D127" s="123" t="s">
        <v>3470</v>
      </c>
      <c r="E127" s="123" t="s">
        <v>3471</v>
      </c>
      <c r="F127" s="113" t="s">
        <v>117</v>
      </c>
      <c r="G127" s="113" t="s">
        <v>5233</v>
      </c>
      <c r="H127" s="122" t="s">
        <v>10486</v>
      </c>
      <c r="I127" s="116" t="s">
        <v>3474</v>
      </c>
      <c r="J127" s="116" t="s">
        <v>3475</v>
      </c>
      <c r="K127" s="47" t="s">
        <v>5234</v>
      </c>
      <c r="L127" s="47" t="s">
        <v>4566</v>
      </c>
      <c r="M127" s="47" t="s">
        <v>4567</v>
      </c>
    </row>
    <row r="128" spans="1:13" ht="14.25" customHeight="1">
      <c r="A128" s="113">
        <v>1</v>
      </c>
      <c r="B128" s="41"/>
      <c r="C128" s="109" t="s">
        <v>10487</v>
      </c>
      <c r="D128" s="119" t="s">
        <v>10488</v>
      </c>
      <c r="E128" s="119" t="s">
        <v>10489</v>
      </c>
      <c r="F128" s="110" t="s">
        <v>117</v>
      </c>
      <c r="G128" s="110" t="s">
        <v>10490</v>
      </c>
      <c r="H128" s="43" t="s">
        <v>10491</v>
      </c>
      <c r="I128" s="111" t="s">
        <v>10492</v>
      </c>
      <c r="J128" s="112" t="s">
        <v>1779</v>
      </c>
      <c r="K128" s="41" t="s">
        <v>10493</v>
      </c>
      <c r="L128" s="41" t="s">
        <v>4620</v>
      </c>
      <c r="M128" s="41" t="s">
        <v>4621</v>
      </c>
    </row>
    <row r="129" spans="1:13" ht="14.25" customHeight="1">
      <c r="A129" s="113">
        <v>2</v>
      </c>
      <c r="B129" s="47"/>
      <c r="C129" s="120" t="s">
        <v>2041</v>
      </c>
      <c r="D129" s="121" t="s">
        <v>2042</v>
      </c>
      <c r="E129" s="121" t="s">
        <v>2043</v>
      </c>
      <c r="F129" s="113" t="s">
        <v>54</v>
      </c>
      <c r="G129" s="113" t="s">
        <v>2044</v>
      </c>
      <c r="H129" s="122" t="s">
        <v>10494</v>
      </c>
      <c r="I129" s="116" t="s">
        <v>2046</v>
      </c>
      <c r="J129" s="116" t="s">
        <v>2047</v>
      </c>
      <c r="K129" s="47" t="s">
        <v>10495</v>
      </c>
      <c r="L129" s="47" t="s">
        <v>4630</v>
      </c>
      <c r="M129" s="47" t="s">
        <v>4631</v>
      </c>
    </row>
    <row r="130" spans="1:13" ht="14.25" customHeight="1">
      <c r="A130" s="113">
        <v>3</v>
      </c>
      <c r="B130" s="47"/>
      <c r="C130" s="120" t="s">
        <v>2031</v>
      </c>
      <c r="D130" s="121" t="s">
        <v>2032</v>
      </c>
      <c r="E130" s="121" t="s">
        <v>2033</v>
      </c>
      <c r="F130" s="113" t="s">
        <v>54</v>
      </c>
      <c r="G130" s="113" t="s">
        <v>2034</v>
      </c>
      <c r="H130" s="122" t="s">
        <v>10496</v>
      </c>
      <c r="I130" s="116" t="s">
        <v>2036</v>
      </c>
      <c r="J130" s="116" t="s">
        <v>2037</v>
      </c>
      <c r="K130" s="47" t="s">
        <v>10497</v>
      </c>
      <c r="L130" s="47" t="s">
        <v>4641</v>
      </c>
      <c r="M130" s="47" t="s">
        <v>4642</v>
      </c>
    </row>
    <row r="131" spans="1:13" ht="14.25" customHeight="1">
      <c r="A131" s="113">
        <v>4</v>
      </c>
      <c r="B131" s="47"/>
      <c r="C131" s="120" t="s">
        <v>682</v>
      </c>
      <c r="D131" s="121" t="s">
        <v>683</v>
      </c>
      <c r="E131" s="121" t="s">
        <v>684</v>
      </c>
      <c r="F131" s="113" t="s">
        <v>65</v>
      </c>
      <c r="G131" s="113" t="s">
        <v>685</v>
      </c>
      <c r="H131" s="122" t="s">
        <v>10498</v>
      </c>
      <c r="I131" s="116" t="s">
        <v>687</v>
      </c>
      <c r="J131" s="116" t="s">
        <v>688</v>
      </c>
      <c r="K131" s="47" t="s">
        <v>10499</v>
      </c>
      <c r="L131" s="47" t="s">
        <v>4651</v>
      </c>
      <c r="M131" s="47" t="s">
        <v>4652</v>
      </c>
    </row>
    <row r="132" spans="1:13" ht="14.25" customHeight="1">
      <c r="A132" s="113">
        <v>5</v>
      </c>
      <c r="B132" s="47"/>
      <c r="C132" s="120" t="s">
        <v>4237</v>
      </c>
      <c r="D132" s="121" t="s">
        <v>4238</v>
      </c>
      <c r="E132" s="121" t="s">
        <v>4239</v>
      </c>
      <c r="F132" s="113" t="s">
        <v>65</v>
      </c>
      <c r="G132" s="113" t="s">
        <v>5343</v>
      </c>
      <c r="H132" s="122" t="s">
        <v>10500</v>
      </c>
      <c r="I132" s="116" t="s">
        <v>4242</v>
      </c>
      <c r="J132" s="116" t="s">
        <v>4243</v>
      </c>
      <c r="K132" s="47" t="s">
        <v>5344</v>
      </c>
      <c r="L132" s="47" t="s">
        <v>4661</v>
      </c>
      <c r="M132" s="47" t="s">
        <v>4662</v>
      </c>
    </row>
    <row r="133" spans="1:13" ht="14.25" customHeight="1">
      <c r="A133" s="113">
        <v>6</v>
      </c>
      <c r="B133" s="47"/>
      <c r="C133" s="120" t="s">
        <v>4227</v>
      </c>
      <c r="D133" s="121" t="s">
        <v>4228</v>
      </c>
      <c r="E133" s="121" t="s">
        <v>4229</v>
      </c>
      <c r="F133" s="113" t="s">
        <v>501</v>
      </c>
      <c r="G133" s="113" t="s">
        <v>5341</v>
      </c>
      <c r="H133" s="122" t="s">
        <v>10501</v>
      </c>
      <c r="I133" s="116" t="s">
        <v>4232</v>
      </c>
      <c r="J133" s="116" t="s">
        <v>4233</v>
      </c>
      <c r="K133" s="47" t="s">
        <v>5342</v>
      </c>
      <c r="L133" s="47" t="s">
        <v>4671</v>
      </c>
      <c r="M133" s="47" t="s">
        <v>4672</v>
      </c>
    </row>
    <row r="134" spans="1:13" ht="14.25" customHeight="1">
      <c r="A134" s="113">
        <v>7</v>
      </c>
      <c r="B134" s="47"/>
      <c r="C134" s="120" t="s">
        <v>1953</v>
      </c>
      <c r="D134" s="121" t="s">
        <v>1954</v>
      </c>
      <c r="E134" s="121" t="s">
        <v>1955</v>
      </c>
      <c r="F134" s="113" t="s">
        <v>54</v>
      </c>
      <c r="G134" s="113" t="s">
        <v>1956</v>
      </c>
      <c r="H134" s="13" t="s">
        <v>10502</v>
      </c>
      <c r="I134" s="116" t="s">
        <v>1958</v>
      </c>
      <c r="J134" s="116" t="s">
        <v>1959</v>
      </c>
      <c r="K134" s="47" t="s">
        <v>10503</v>
      </c>
      <c r="L134" s="47" t="s">
        <v>4681</v>
      </c>
      <c r="M134" s="47" t="s">
        <v>4682</v>
      </c>
    </row>
    <row r="135" spans="1:13" ht="14.25" customHeight="1">
      <c r="A135" s="113">
        <v>8</v>
      </c>
      <c r="B135" s="47"/>
      <c r="C135" s="120" t="s">
        <v>2802</v>
      </c>
      <c r="D135" s="121" t="s">
        <v>2803</v>
      </c>
      <c r="E135" s="121" t="s">
        <v>2804</v>
      </c>
      <c r="F135" s="113" t="s">
        <v>117</v>
      </c>
      <c r="G135" s="113" t="s">
        <v>2805</v>
      </c>
      <c r="H135" s="122" t="s">
        <v>10504</v>
      </c>
      <c r="I135" s="116" t="s">
        <v>2807</v>
      </c>
      <c r="J135" s="116" t="s">
        <v>2808</v>
      </c>
      <c r="K135" s="47" t="s">
        <v>10505</v>
      </c>
      <c r="L135" s="47" t="s">
        <v>4690</v>
      </c>
      <c r="M135" s="47" t="s">
        <v>4691</v>
      </c>
    </row>
    <row r="136" spans="1:13" ht="14.25" customHeight="1">
      <c r="A136" s="113">
        <v>9</v>
      </c>
      <c r="B136" s="47"/>
      <c r="C136" s="120" t="s">
        <v>4915</v>
      </c>
      <c r="D136" s="121" t="s">
        <v>4916</v>
      </c>
      <c r="E136" s="121" t="s">
        <v>4917</v>
      </c>
      <c r="F136" s="113" t="s">
        <v>2280</v>
      </c>
      <c r="G136" s="113" t="s">
        <v>5423</v>
      </c>
      <c r="H136" s="122" t="s">
        <v>10506</v>
      </c>
      <c r="I136" s="116" t="s">
        <v>4920</v>
      </c>
      <c r="J136" s="116" t="s">
        <v>4921</v>
      </c>
      <c r="K136" s="47" t="s">
        <v>5424</v>
      </c>
      <c r="L136" s="47" t="s">
        <v>4698</v>
      </c>
      <c r="M136" s="47" t="s">
        <v>4699</v>
      </c>
    </row>
    <row r="137" spans="1:13" ht="14.25" customHeight="1">
      <c r="A137" s="113">
        <v>10</v>
      </c>
      <c r="B137" s="47"/>
      <c r="C137" s="120" t="s">
        <v>2986</v>
      </c>
      <c r="D137" s="121" t="s">
        <v>2987</v>
      </c>
      <c r="E137" s="121" t="s">
        <v>2988</v>
      </c>
      <c r="F137" s="113" t="s">
        <v>65</v>
      </c>
      <c r="G137" s="113" t="s">
        <v>2989</v>
      </c>
      <c r="H137" s="122" t="s">
        <v>10507</v>
      </c>
      <c r="I137" s="116" t="s">
        <v>2991</v>
      </c>
      <c r="J137" s="116" t="s">
        <v>2992</v>
      </c>
      <c r="K137" s="47" t="s">
        <v>10508</v>
      </c>
      <c r="L137" s="47" t="s">
        <v>4708</v>
      </c>
      <c r="M137" s="47" t="s">
        <v>4709</v>
      </c>
    </row>
    <row r="138" spans="1:13" ht="14.25" customHeight="1">
      <c r="A138" s="113">
        <v>11</v>
      </c>
      <c r="B138" s="47"/>
      <c r="C138" s="120" t="s">
        <v>5047</v>
      </c>
      <c r="D138" s="121" t="s">
        <v>5048</v>
      </c>
      <c r="E138" s="121" t="s">
        <v>5049</v>
      </c>
      <c r="F138" s="113" t="s">
        <v>117</v>
      </c>
      <c r="G138" s="113" t="s">
        <v>5438</v>
      </c>
      <c r="H138" s="122" t="s">
        <v>10509</v>
      </c>
      <c r="I138" s="116" t="s">
        <v>5052</v>
      </c>
      <c r="J138" s="116" t="s">
        <v>5053</v>
      </c>
      <c r="K138" s="47" t="s">
        <v>5439</v>
      </c>
      <c r="L138" s="47" t="s">
        <v>4718</v>
      </c>
      <c r="M138" s="47" t="s">
        <v>4719</v>
      </c>
    </row>
    <row r="139" spans="1:13" ht="14.25" customHeight="1">
      <c r="A139" s="113">
        <v>1</v>
      </c>
      <c r="B139" s="41"/>
      <c r="C139" s="109" t="s">
        <v>7455</v>
      </c>
      <c r="D139" s="119" t="s">
        <v>7456</v>
      </c>
      <c r="E139" s="119" t="s">
        <v>319</v>
      </c>
      <c r="F139" s="110" t="s">
        <v>320</v>
      </c>
      <c r="G139" s="110" t="s">
        <v>10510</v>
      </c>
      <c r="H139" s="43" t="s">
        <v>10511</v>
      </c>
      <c r="I139" s="111" t="s">
        <v>7459</v>
      </c>
      <c r="J139" s="112" t="s">
        <v>7460</v>
      </c>
      <c r="K139" s="41" t="s">
        <v>10512</v>
      </c>
      <c r="L139" s="41" t="s">
        <v>4748</v>
      </c>
      <c r="M139" s="41" t="s">
        <v>4749</v>
      </c>
    </row>
    <row r="140" spans="1:13" ht="14.25" customHeight="1">
      <c r="A140" s="113">
        <v>2</v>
      </c>
      <c r="B140" s="47"/>
      <c r="C140" s="120" t="s">
        <v>4319</v>
      </c>
      <c r="D140" s="121" t="s">
        <v>4320</v>
      </c>
      <c r="E140" s="121" t="s">
        <v>4321</v>
      </c>
      <c r="F140" s="113" t="s">
        <v>65</v>
      </c>
      <c r="G140" s="113" t="s">
        <v>5358</v>
      </c>
      <c r="H140" s="122" t="s">
        <v>10513</v>
      </c>
      <c r="I140" s="116" t="s">
        <v>4324</v>
      </c>
      <c r="J140" s="116" t="s">
        <v>4325</v>
      </c>
      <c r="K140" s="47" t="s">
        <v>5359</v>
      </c>
      <c r="L140" s="47" t="s">
        <v>4758</v>
      </c>
      <c r="M140" s="47" t="s">
        <v>4759</v>
      </c>
    </row>
    <row r="141" spans="1:13" ht="14.25" customHeight="1">
      <c r="A141" s="113">
        <v>3</v>
      </c>
      <c r="B141" s="47"/>
      <c r="C141" s="120" t="s">
        <v>2391</v>
      </c>
      <c r="D141" s="121" t="s">
        <v>2392</v>
      </c>
      <c r="E141" s="121" t="s">
        <v>2393</v>
      </c>
      <c r="F141" s="113" t="s">
        <v>65</v>
      </c>
      <c r="G141" s="113" t="s">
        <v>2394</v>
      </c>
      <c r="H141" s="122" t="s">
        <v>10514</v>
      </c>
      <c r="I141" s="116" t="s">
        <v>2396</v>
      </c>
      <c r="J141" s="116" t="s">
        <v>2397</v>
      </c>
      <c r="K141" s="47" t="s">
        <v>10515</v>
      </c>
      <c r="L141" s="47" t="s">
        <v>4769</v>
      </c>
      <c r="M141" s="47" t="s">
        <v>4770</v>
      </c>
    </row>
    <row r="142" spans="1:13" ht="14.25" customHeight="1">
      <c r="A142" s="113">
        <v>4</v>
      </c>
      <c r="B142" s="47"/>
      <c r="C142" s="120" t="s">
        <v>10516</v>
      </c>
      <c r="D142" s="121" t="s">
        <v>10517</v>
      </c>
      <c r="E142" s="121" t="s">
        <v>10518</v>
      </c>
      <c r="F142" s="113" t="s">
        <v>885</v>
      </c>
      <c r="G142" s="113" t="s">
        <v>10519</v>
      </c>
      <c r="H142" s="137" t="s">
        <v>10520</v>
      </c>
      <c r="I142" s="104" t="s">
        <v>10521</v>
      </c>
      <c r="J142" s="116" t="s">
        <v>10522</v>
      </c>
      <c r="K142" s="47" t="s">
        <v>10523</v>
      </c>
      <c r="L142" s="47" t="s">
        <v>4778</v>
      </c>
      <c r="M142" s="47" t="s">
        <v>4779</v>
      </c>
    </row>
    <row r="143" spans="1:13" ht="14.25" customHeight="1">
      <c r="A143" s="113">
        <v>5</v>
      </c>
      <c r="B143" s="47"/>
      <c r="C143" s="120" t="s">
        <v>10524</v>
      </c>
      <c r="D143" s="121" t="s">
        <v>10525</v>
      </c>
      <c r="E143" s="121" t="s">
        <v>10526</v>
      </c>
      <c r="F143" s="113" t="s">
        <v>65</v>
      </c>
      <c r="G143" s="113" t="s">
        <v>10527</v>
      </c>
      <c r="H143" s="122" t="s">
        <v>10528</v>
      </c>
      <c r="I143" s="116" t="s">
        <v>10529</v>
      </c>
      <c r="J143" s="116" t="s">
        <v>10530</v>
      </c>
      <c r="K143" s="47" t="s">
        <v>10531</v>
      </c>
      <c r="L143" s="47" t="s">
        <v>4788</v>
      </c>
      <c r="M143" s="47" t="s">
        <v>4789</v>
      </c>
    </row>
    <row r="144" spans="1:13" ht="14.25" customHeight="1">
      <c r="A144" s="113">
        <v>6</v>
      </c>
      <c r="B144" s="47"/>
      <c r="C144" s="120" t="s">
        <v>2021</v>
      </c>
      <c r="D144" s="121" t="s">
        <v>2022</v>
      </c>
      <c r="E144" s="121" t="s">
        <v>2023</v>
      </c>
      <c r="F144" s="113" t="s">
        <v>117</v>
      </c>
      <c r="G144" s="113" t="s">
        <v>2024</v>
      </c>
      <c r="H144" s="122" t="s">
        <v>10532</v>
      </c>
      <c r="I144" s="116" t="s">
        <v>2026</v>
      </c>
      <c r="J144" s="116" t="s">
        <v>2027</v>
      </c>
      <c r="K144" s="47" t="s">
        <v>10533</v>
      </c>
      <c r="L144" s="47" t="s">
        <v>4798</v>
      </c>
      <c r="M144" s="47" t="s">
        <v>4799</v>
      </c>
    </row>
    <row r="145" spans="1:13" ht="14.25" customHeight="1">
      <c r="A145" s="113">
        <v>7</v>
      </c>
      <c r="B145" s="47"/>
      <c r="C145" s="120" t="s">
        <v>4683</v>
      </c>
      <c r="D145" s="123" t="s">
        <v>4684</v>
      </c>
      <c r="E145" s="123" t="s">
        <v>4452</v>
      </c>
      <c r="F145" s="113" t="s">
        <v>117</v>
      </c>
      <c r="G145" s="113" t="s">
        <v>5391</v>
      </c>
      <c r="H145" s="122" t="s">
        <v>10534</v>
      </c>
      <c r="I145" s="116" t="s">
        <v>4687</v>
      </c>
      <c r="J145" s="116" t="s">
        <v>4688</v>
      </c>
      <c r="K145" s="47" t="s">
        <v>5392</v>
      </c>
      <c r="L145" s="47" t="s">
        <v>4808</v>
      </c>
      <c r="M145" s="47" t="s">
        <v>4809</v>
      </c>
    </row>
    <row r="146" spans="1:13" ht="14.25" customHeight="1">
      <c r="A146" s="113">
        <v>8</v>
      </c>
      <c r="B146" s="47"/>
      <c r="C146" s="120" t="s">
        <v>2185</v>
      </c>
      <c r="D146" s="121" t="s">
        <v>2186</v>
      </c>
      <c r="E146" s="121" t="s">
        <v>2187</v>
      </c>
      <c r="F146" s="113" t="s">
        <v>65</v>
      </c>
      <c r="G146" s="113" t="s">
        <v>2188</v>
      </c>
      <c r="H146" s="122" t="s">
        <v>10535</v>
      </c>
      <c r="I146" s="116" t="s">
        <v>2190</v>
      </c>
      <c r="J146" s="116" t="s">
        <v>2191</v>
      </c>
      <c r="K146" s="47" t="s">
        <v>10536</v>
      </c>
      <c r="L146" s="47" t="s">
        <v>4818</v>
      </c>
      <c r="M146" s="47" t="s">
        <v>4819</v>
      </c>
    </row>
    <row r="147" spans="1:13" ht="14.25" customHeight="1">
      <c r="A147" s="113">
        <v>9</v>
      </c>
      <c r="B147" s="47"/>
      <c r="C147" s="120" t="s">
        <v>10537</v>
      </c>
      <c r="D147" s="121" t="s">
        <v>4451</v>
      </c>
      <c r="E147" s="121" t="s">
        <v>4452</v>
      </c>
      <c r="F147" s="113" t="s">
        <v>54</v>
      </c>
      <c r="G147" s="113" t="s">
        <v>10538</v>
      </c>
      <c r="H147" s="122" t="s">
        <v>10539</v>
      </c>
      <c r="I147" s="116" t="s">
        <v>10540</v>
      </c>
      <c r="J147" s="116" t="s">
        <v>10541</v>
      </c>
      <c r="K147" s="47" t="s">
        <v>10542</v>
      </c>
      <c r="L147" s="47" t="s">
        <v>4829</v>
      </c>
      <c r="M147" s="47" t="s">
        <v>4830</v>
      </c>
    </row>
    <row r="148" spans="1:13" ht="14.25" customHeight="1">
      <c r="A148" s="113">
        <v>1</v>
      </c>
      <c r="B148" s="41"/>
      <c r="C148" s="109" t="s">
        <v>4653</v>
      </c>
      <c r="D148" s="119" t="s">
        <v>4654</v>
      </c>
      <c r="E148" s="119" t="s">
        <v>4655</v>
      </c>
      <c r="F148" s="110" t="s">
        <v>320</v>
      </c>
      <c r="G148" s="110" t="s">
        <v>5388</v>
      </c>
      <c r="H148" s="111" t="s">
        <v>5389</v>
      </c>
      <c r="I148" s="128" t="s">
        <v>4658</v>
      </c>
      <c r="J148" s="128" t="s">
        <v>4659</v>
      </c>
      <c r="K148" s="41" t="s">
        <v>5390</v>
      </c>
      <c r="L148" s="41" t="s">
        <v>4852</v>
      </c>
      <c r="M148" s="41" t="s">
        <v>4853</v>
      </c>
    </row>
    <row r="149" spans="1:13" ht="14.25" customHeight="1">
      <c r="A149" s="113">
        <v>2</v>
      </c>
      <c r="B149" s="47"/>
      <c r="C149" s="120" t="s">
        <v>3499</v>
      </c>
      <c r="D149" s="121" t="s">
        <v>3500</v>
      </c>
      <c r="E149" s="121" t="s">
        <v>3501</v>
      </c>
      <c r="F149" s="113" t="s">
        <v>65</v>
      </c>
      <c r="G149" s="113" t="s">
        <v>5241</v>
      </c>
      <c r="H149" s="122" t="s">
        <v>10543</v>
      </c>
      <c r="I149" s="116" t="s">
        <v>3504</v>
      </c>
      <c r="J149" s="116" t="s">
        <v>3505</v>
      </c>
      <c r="K149" s="47" t="s">
        <v>5242</v>
      </c>
      <c r="L149" s="47" t="s">
        <v>4861</v>
      </c>
      <c r="M149" s="47" t="s">
        <v>4862</v>
      </c>
    </row>
    <row r="150" spans="1:13" ht="14.25" customHeight="1">
      <c r="A150" s="113">
        <v>3</v>
      </c>
      <c r="B150" s="47"/>
      <c r="C150" s="120" t="s">
        <v>3489</v>
      </c>
      <c r="D150" s="121" t="s">
        <v>3490</v>
      </c>
      <c r="E150" s="121" t="s">
        <v>3491</v>
      </c>
      <c r="F150" s="113" t="s">
        <v>117</v>
      </c>
      <c r="G150" s="113" t="s">
        <v>5238</v>
      </c>
      <c r="H150" s="122" t="s">
        <v>5239</v>
      </c>
      <c r="I150" s="116" t="s">
        <v>3494</v>
      </c>
      <c r="J150" s="116" t="s">
        <v>3495</v>
      </c>
      <c r="K150" s="47" t="s">
        <v>5240</v>
      </c>
      <c r="L150" s="47" t="s">
        <v>4866</v>
      </c>
      <c r="M150" s="47" t="s">
        <v>4867</v>
      </c>
    </row>
    <row r="151" spans="1:13" ht="14.25" customHeight="1">
      <c r="A151" s="113">
        <v>4</v>
      </c>
      <c r="B151" s="47"/>
      <c r="C151" s="120" t="s">
        <v>10544</v>
      </c>
      <c r="D151" s="121" t="s">
        <v>10545</v>
      </c>
      <c r="E151" s="121" t="s">
        <v>10546</v>
      </c>
      <c r="F151" s="113" t="s">
        <v>65</v>
      </c>
      <c r="G151" s="113" t="s">
        <v>10547</v>
      </c>
      <c r="H151" s="122" t="s">
        <v>10548</v>
      </c>
      <c r="I151" s="116" t="s">
        <v>10549</v>
      </c>
      <c r="J151" s="116" t="s">
        <v>10550</v>
      </c>
      <c r="K151" s="47" t="s">
        <v>10551</v>
      </c>
      <c r="L151" s="47" t="s">
        <v>4876</v>
      </c>
      <c r="M151" s="47" t="s">
        <v>4877</v>
      </c>
    </row>
    <row r="152" spans="1:13" ht="14.25" customHeight="1">
      <c r="A152" s="113">
        <v>5</v>
      </c>
      <c r="B152" s="47"/>
      <c r="C152" s="120" t="s">
        <v>4955</v>
      </c>
      <c r="D152" s="121" t="s">
        <v>4956</v>
      </c>
      <c r="E152" s="121" t="s">
        <v>4957</v>
      </c>
      <c r="F152" s="113" t="s">
        <v>65</v>
      </c>
      <c r="G152" s="113" t="s">
        <v>5222</v>
      </c>
      <c r="H152" s="122" t="s">
        <v>10552</v>
      </c>
      <c r="I152" s="116" t="s">
        <v>4959</v>
      </c>
      <c r="J152" s="116" t="s">
        <v>4960</v>
      </c>
      <c r="K152" s="47" t="s">
        <v>5430</v>
      </c>
      <c r="L152" s="47" t="s">
        <v>4886</v>
      </c>
      <c r="M152" s="47" t="s">
        <v>4887</v>
      </c>
    </row>
    <row r="153" spans="1:13" ht="14.25" customHeight="1">
      <c r="A153" s="113">
        <v>6</v>
      </c>
      <c r="B153" s="47"/>
      <c r="C153" s="120" t="s">
        <v>3982</v>
      </c>
      <c r="D153" s="123" t="s">
        <v>10553</v>
      </c>
      <c r="E153" s="123" t="s">
        <v>10554</v>
      </c>
      <c r="F153" s="113" t="s">
        <v>117</v>
      </c>
      <c r="G153" s="113" t="s">
        <v>10555</v>
      </c>
      <c r="H153" s="122" t="s">
        <v>10556</v>
      </c>
      <c r="I153" s="116" t="s">
        <v>10557</v>
      </c>
      <c r="J153" s="116" t="s">
        <v>10558</v>
      </c>
      <c r="K153" s="47" t="s">
        <v>10559</v>
      </c>
      <c r="L153" s="47" t="s">
        <v>4896</v>
      </c>
      <c r="M153" s="47" t="s">
        <v>4897</v>
      </c>
    </row>
    <row r="154" spans="1:13" ht="14.25" customHeight="1">
      <c r="A154" s="113">
        <v>7</v>
      </c>
      <c r="B154" s="47"/>
      <c r="C154" s="120" t="s">
        <v>10560</v>
      </c>
      <c r="D154" s="121" t="s">
        <v>4603</v>
      </c>
      <c r="E154" s="121" t="s">
        <v>4604</v>
      </c>
      <c r="F154" s="113" t="s">
        <v>117</v>
      </c>
      <c r="G154" s="113" t="s">
        <v>10561</v>
      </c>
      <c r="H154" s="122" t="s">
        <v>10562</v>
      </c>
      <c r="I154" s="116" t="s">
        <v>10563</v>
      </c>
      <c r="J154" s="116" t="s">
        <v>10564</v>
      </c>
      <c r="K154" s="47" t="s">
        <v>10565</v>
      </c>
      <c r="L154" s="47" t="s">
        <v>4905</v>
      </c>
      <c r="M154" s="47" t="s">
        <v>4906</v>
      </c>
    </row>
    <row r="155" spans="1:13" ht="14.25" customHeight="1">
      <c r="A155" s="113">
        <v>8</v>
      </c>
      <c r="B155" s="47"/>
      <c r="C155" s="120" t="s">
        <v>10566</v>
      </c>
      <c r="D155" s="121" t="s">
        <v>10567</v>
      </c>
      <c r="E155" s="121" t="s">
        <v>10568</v>
      </c>
      <c r="F155" s="113" t="s">
        <v>65</v>
      </c>
      <c r="G155" s="113" t="s">
        <v>10569</v>
      </c>
      <c r="H155" s="122" t="s">
        <v>10570</v>
      </c>
      <c r="I155" s="116" t="s">
        <v>10571</v>
      </c>
      <c r="J155" s="116" t="s">
        <v>10572</v>
      </c>
      <c r="K155" s="47" t="s">
        <v>10573</v>
      </c>
      <c r="L155" s="47" t="s">
        <v>4913</v>
      </c>
      <c r="M155" s="47" t="s">
        <v>4914</v>
      </c>
    </row>
    <row r="156" spans="1:13" ht="14.25" customHeight="1">
      <c r="A156" s="113">
        <v>9</v>
      </c>
      <c r="B156" s="47"/>
      <c r="C156" s="120" t="s">
        <v>6439</v>
      </c>
      <c r="D156" s="121" t="s">
        <v>6440</v>
      </c>
      <c r="E156" s="121" t="s">
        <v>6441</v>
      </c>
      <c r="F156" s="113" t="s">
        <v>219</v>
      </c>
      <c r="G156" s="113" t="s">
        <v>10574</v>
      </c>
      <c r="H156" s="122" t="s">
        <v>10575</v>
      </c>
      <c r="I156" s="116" t="s">
        <v>6444</v>
      </c>
      <c r="J156" s="116" t="s">
        <v>6445</v>
      </c>
      <c r="K156" s="47" t="s">
        <v>10576</v>
      </c>
      <c r="L156" s="47" t="s">
        <v>4923</v>
      </c>
      <c r="M156" s="47" t="s">
        <v>4924</v>
      </c>
    </row>
    <row r="157" spans="1:13" ht="14.25" customHeight="1">
      <c r="A157" s="113">
        <v>10</v>
      </c>
      <c r="B157" s="47"/>
      <c r="C157" s="120" t="s">
        <v>4059</v>
      </c>
      <c r="D157" s="121" t="s">
        <v>4060</v>
      </c>
      <c r="E157" s="121" t="s">
        <v>4061</v>
      </c>
      <c r="F157" s="113" t="s">
        <v>501</v>
      </c>
      <c r="G157" s="113" t="s">
        <v>5321</v>
      </c>
      <c r="H157" s="122" t="s">
        <v>5322</v>
      </c>
      <c r="I157" s="116" t="s">
        <v>4064</v>
      </c>
      <c r="J157" s="116" t="s">
        <v>4065</v>
      </c>
      <c r="K157" s="47" t="s">
        <v>5323</v>
      </c>
      <c r="L157" s="47" t="s">
        <v>4933</v>
      </c>
      <c r="M157" s="47" t="s">
        <v>4934</v>
      </c>
    </row>
    <row r="158" spans="1:13" ht="14.25" customHeight="1">
      <c r="A158" s="113">
        <v>11</v>
      </c>
      <c r="B158" s="47"/>
      <c r="C158" s="120" t="s">
        <v>6777</v>
      </c>
      <c r="D158" s="121" t="s">
        <v>6778</v>
      </c>
      <c r="E158" s="121" t="s">
        <v>6779</v>
      </c>
      <c r="F158" s="113" t="s">
        <v>65</v>
      </c>
      <c r="G158" s="113" t="s">
        <v>10577</v>
      </c>
      <c r="H158" s="116" t="s">
        <v>10578</v>
      </c>
      <c r="I158" s="98" t="s">
        <v>6782</v>
      </c>
      <c r="J158" s="116" t="s">
        <v>10579</v>
      </c>
      <c r="K158" s="47" t="s">
        <v>10580</v>
      </c>
      <c r="L158" s="47" t="s">
        <v>4943</v>
      </c>
      <c r="M158" s="47" t="s">
        <v>4944</v>
      </c>
    </row>
    <row r="159" spans="1:13" ht="14.25" customHeight="1">
      <c r="A159" s="113">
        <v>1</v>
      </c>
      <c r="B159" s="41"/>
      <c r="C159" s="109" t="s">
        <v>4276</v>
      </c>
      <c r="D159" s="119" t="s">
        <v>4277</v>
      </c>
      <c r="E159" s="119" t="s">
        <v>4278</v>
      </c>
      <c r="F159" s="110"/>
      <c r="G159" s="110" t="s">
        <v>5348</v>
      </c>
      <c r="H159" s="138" t="s">
        <v>10581</v>
      </c>
      <c r="I159" s="111" t="s">
        <v>4281</v>
      </c>
      <c r="J159" s="112" t="s">
        <v>4282</v>
      </c>
      <c r="K159" s="41" t="s">
        <v>5349</v>
      </c>
      <c r="L159" s="41" t="s">
        <v>4966</v>
      </c>
      <c r="M159" s="41" t="s">
        <v>4967</v>
      </c>
    </row>
    <row r="160" spans="1:13" ht="14.25" customHeight="1">
      <c r="A160" s="113">
        <v>2</v>
      </c>
      <c r="B160" s="47"/>
      <c r="C160" s="120" t="s">
        <v>4300</v>
      </c>
      <c r="D160" s="121" t="s">
        <v>4301</v>
      </c>
      <c r="E160" s="121" t="s">
        <v>4302</v>
      </c>
      <c r="F160" s="113" t="s">
        <v>664</v>
      </c>
      <c r="G160" s="113" t="s">
        <v>5353</v>
      </c>
      <c r="H160" s="13" t="s">
        <v>10582</v>
      </c>
      <c r="I160" s="116" t="s">
        <v>4304</v>
      </c>
      <c r="J160" s="116" t="s">
        <v>4305</v>
      </c>
      <c r="K160" s="47" t="s">
        <v>5354</v>
      </c>
      <c r="L160" s="47" t="s">
        <v>4976</v>
      </c>
      <c r="M160" s="47" t="s">
        <v>4977</v>
      </c>
    </row>
    <row r="161" spans="1:13" ht="14.25" customHeight="1">
      <c r="A161" s="113">
        <v>3</v>
      </c>
      <c r="B161" s="47"/>
      <c r="C161" s="120" t="s">
        <v>4290</v>
      </c>
      <c r="D161" s="121" t="s">
        <v>4291</v>
      </c>
      <c r="E161" s="121" t="s">
        <v>4292</v>
      </c>
      <c r="F161" s="113" t="s">
        <v>664</v>
      </c>
      <c r="G161" s="113" t="s">
        <v>5351</v>
      </c>
      <c r="H161" s="122" t="s">
        <v>10583</v>
      </c>
      <c r="I161" s="116" t="s">
        <v>4295</v>
      </c>
      <c r="J161" s="116" t="s">
        <v>4296</v>
      </c>
      <c r="K161" s="47" t="s">
        <v>5352</v>
      </c>
      <c r="L161" s="47" t="s">
        <v>4987</v>
      </c>
      <c r="M161" s="47" t="s">
        <v>4988</v>
      </c>
    </row>
    <row r="162" spans="1:13" ht="14.25" customHeight="1">
      <c r="A162" s="113">
        <v>4</v>
      </c>
      <c r="B162" s="47"/>
      <c r="C162" s="120" t="s">
        <v>3145</v>
      </c>
      <c r="D162" s="123" t="s">
        <v>3146</v>
      </c>
      <c r="E162" s="123" t="s">
        <v>3147</v>
      </c>
      <c r="F162" s="113" t="s">
        <v>563</v>
      </c>
      <c r="G162" s="113" t="s">
        <v>5198</v>
      </c>
      <c r="H162" s="122" t="s">
        <v>5199</v>
      </c>
      <c r="I162" s="116" t="s">
        <v>3150</v>
      </c>
      <c r="J162" s="116" t="s">
        <v>3151</v>
      </c>
      <c r="K162" s="47" t="s">
        <v>5200</v>
      </c>
      <c r="L162" s="47" t="s">
        <v>4997</v>
      </c>
      <c r="M162" s="47" t="s">
        <v>4998</v>
      </c>
    </row>
    <row r="163" spans="1:13" ht="14.25" customHeight="1">
      <c r="A163" s="113">
        <v>5</v>
      </c>
      <c r="B163" s="47"/>
      <c r="C163" s="120" t="s">
        <v>10584</v>
      </c>
      <c r="D163" s="121" t="s">
        <v>10585</v>
      </c>
      <c r="E163" s="121" t="s">
        <v>10586</v>
      </c>
      <c r="F163" s="113" t="s">
        <v>117</v>
      </c>
      <c r="G163" s="113" t="s">
        <v>10587</v>
      </c>
      <c r="H163" s="122" t="s">
        <v>10588</v>
      </c>
      <c r="I163" s="116" t="s">
        <v>10589</v>
      </c>
      <c r="J163" s="116" t="s">
        <v>10590</v>
      </c>
      <c r="K163" s="47" t="s">
        <v>10591</v>
      </c>
      <c r="L163" s="47" t="s">
        <v>5006</v>
      </c>
      <c r="M163" s="47" t="s">
        <v>5007</v>
      </c>
    </row>
    <row r="164" spans="1:13" ht="14.25" customHeight="1">
      <c r="A164" s="113">
        <v>6</v>
      </c>
      <c r="B164" s="47"/>
      <c r="C164" s="120" t="s">
        <v>4750</v>
      </c>
      <c r="D164" s="121" t="s">
        <v>4751</v>
      </c>
      <c r="E164" s="121" t="s">
        <v>4752</v>
      </c>
      <c r="F164" s="113" t="s">
        <v>54</v>
      </c>
      <c r="G164" s="113" t="s">
        <v>5399</v>
      </c>
      <c r="H164" s="122" t="s">
        <v>10592</v>
      </c>
      <c r="I164" s="116" t="s">
        <v>4755</v>
      </c>
      <c r="J164" s="116" t="s">
        <v>4756</v>
      </c>
      <c r="K164" s="47" t="s">
        <v>5400</v>
      </c>
      <c r="L164" s="47" t="s">
        <v>5015</v>
      </c>
      <c r="M164" s="47" t="s">
        <v>5016</v>
      </c>
    </row>
    <row r="165" spans="1:13" ht="14.25" customHeight="1">
      <c r="A165" s="113">
        <v>7</v>
      </c>
      <c r="B165" s="47"/>
      <c r="C165" s="120" t="s">
        <v>10593</v>
      </c>
      <c r="D165" s="121" t="s">
        <v>10594</v>
      </c>
      <c r="E165" s="121" t="s">
        <v>10595</v>
      </c>
      <c r="F165" s="113" t="s">
        <v>885</v>
      </c>
      <c r="G165" s="113" t="s">
        <v>10596</v>
      </c>
      <c r="H165" s="122" t="s">
        <v>10597</v>
      </c>
      <c r="I165" s="116" t="s">
        <v>10598</v>
      </c>
      <c r="J165" s="116" t="s">
        <v>10599</v>
      </c>
      <c r="K165" s="47" t="s">
        <v>10600</v>
      </c>
      <c r="L165" s="47" t="s">
        <v>5025</v>
      </c>
      <c r="M165" s="47" t="s">
        <v>5026</v>
      </c>
    </row>
    <row r="166" spans="1:13" ht="14.25" customHeight="1">
      <c r="A166" s="113">
        <v>1</v>
      </c>
      <c r="B166" s="41"/>
      <c r="C166" s="109" t="s">
        <v>783</v>
      </c>
      <c r="D166" s="119" t="s">
        <v>784</v>
      </c>
      <c r="E166" s="119" t="s">
        <v>785</v>
      </c>
      <c r="F166" s="110" t="s">
        <v>65</v>
      </c>
      <c r="G166" s="110" t="s">
        <v>786</v>
      </c>
      <c r="H166" s="43" t="s">
        <v>10601</v>
      </c>
      <c r="I166" s="111" t="s">
        <v>788</v>
      </c>
      <c r="J166" s="112" t="s">
        <v>789</v>
      </c>
      <c r="K166" s="41" t="s">
        <v>10602</v>
      </c>
      <c r="L166" s="41" t="s">
        <v>5084</v>
      </c>
      <c r="M166" s="41" t="s">
        <v>5085</v>
      </c>
    </row>
    <row r="167" spans="1:13" ht="14.25" customHeight="1">
      <c r="A167" s="113">
        <v>2</v>
      </c>
      <c r="B167" s="47"/>
      <c r="C167" s="120" t="s">
        <v>4845</v>
      </c>
      <c r="D167" s="121" t="s">
        <v>4846</v>
      </c>
      <c r="E167" s="121" t="s">
        <v>4847</v>
      </c>
      <c r="F167" s="113" t="s">
        <v>65</v>
      </c>
      <c r="G167" s="113" t="s">
        <v>5416</v>
      </c>
      <c r="H167" s="122" t="s">
        <v>10603</v>
      </c>
      <c r="I167" s="116" t="s">
        <v>3014</v>
      </c>
      <c r="J167" s="116" t="s">
        <v>4850</v>
      </c>
      <c r="K167" s="47" t="s">
        <v>5417</v>
      </c>
      <c r="L167" s="47" t="s">
        <v>5094</v>
      </c>
      <c r="M167" s="47" t="s">
        <v>5095</v>
      </c>
    </row>
    <row r="168" spans="1:13" ht="14.25" customHeight="1">
      <c r="A168" s="113">
        <v>3</v>
      </c>
      <c r="B168" s="47"/>
      <c r="C168" s="120" t="s">
        <v>3390</v>
      </c>
      <c r="D168" s="121" t="s">
        <v>3391</v>
      </c>
      <c r="E168" s="121" t="s">
        <v>3392</v>
      </c>
      <c r="F168" s="113" t="s">
        <v>65</v>
      </c>
      <c r="G168" s="113" t="s">
        <v>5224</v>
      </c>
      <c r="H168" s="122" t="s">
        <v>10604</v>
      </c>
      <c r="I168" s="116" t="s">
        <v>3395</v>
      </c>
      <c r="J168" s="116" t="s">
        <v>3396</v>
      </c>
      <c r="K168" s="47" t="s">
        <v>5225</v>
      </c>
      <c r="L168" s="47" t="s">
        <v>5105</v>
      </c>
      <c r="M168" s="47" t="s">
        <v>5106</v>
      </c>
    </row>
    <row r="169" spans="1:13" ht="14.25" customHeight="1">
      <c r="A169" s="113">
        <v>4</v>
      </c>
      <c r="B169" s="47"/>
      <c r="C169" s="120" t="s">
        <v>10605</v>
      </c>
      <c r="D169" s="121" t="s">
        <v>10606</v>
      </c>
      <c r="E169" s="121" t="s">
        <v>10607</v>
      </c>
      <c r="F169" s="113" t="s">
        <v>65</v>
      </c>
      <c r="G169" s="113" t="s">
        <v>10608</v>
      </c>
      <c r="H169" s="122" t="s">
        <v>10609</v>
      </c>
      <c r="I169" s="116" t="s">
        <v>10610</v>
      </c>
      <c r="J169" s="116" t="s">
        <v>10611</v>
      </c>
      <c r="K169" s="47" t="s">
        <v>10612</v>
      </c>
      <c r="L169" s="47" t="s">
        <v>5115</v>
      </c>
      <c r="M169" s="47" t="s">
        <v>5116</v>
      </c>
    </row>
    <row r="170" spans="1:13" ht="14.25" customHeight="1">
      <c r="A170" s="113">
        <v>5</v>
      </c>
      <c r="B170" s="47"/>
      <c r="C170" s="120" t="s">
        <v>39</v>
      </c>
      <c r="D170" s="121" t="s">
        <v>40</v>
      </c>
      <c r="E170" s="121" t="s">
        <v>41</v>
      </c>
      <c r="F170" s="113" t="s">
        <v>42</v>
      </c>
      <c r="G170" s="113" t="s">
        <v>43</v>
      </c>
      <c r="H170" s="122" t="s">
        <v>10613</v>
      </c>
      <c r="I170" s="116" t="s">
        <v>45</v>
      </c>
      <c r="J170" s="116" t="s">
        <v>46</v>
      </c>
      <c r="K170" s="47" t="s">
        <v>10614</v>
      </c>
      <c r="L170" s="47" t="s">
        <v>5124</v>
      </c>
      <c r="M170" s="47" t="s">
        <v>5125</v>
      </c>
    </row>
    <row r="171" spans="1:13" ht="14.25" customHeight="1">
      <c r="A171" s="113">
        <v>6</v>
      </c>
      <c r="B171" s="47"/>
      <c r="C171" s="120" t="s">
        <v>3710</v>
      </c>
      <c r="D171" s="121" t="s">
        <v>3711</v>
      </c>
      <c r="E171" s="121" t="s">
        <v>3712</v>
      </c>
      <c r="F171" s="113" t="s">
        <v>219</v>
      </c>
      <c r="G171" s="113" t="s">
        <v>5274</v>
      </c>
      <c r="H171" s="122" t="s">
        <v>10615</v>
      </c>
      <c r="I171" s="116" t="s">
        <v>3715</v>
      </c>
      <c r="J171" s="116" t="s">
        <v>3716</v>
      </c>
      <c r="K171" s="47" t="s">
        <v>5275</v>
      </c>
      <c r="L171" s="47" t="s">
        <v>5134</v>
      </c>
      <c r="M171" s="47" t="s">
        <v>5135</v>
      </c>
    </row>
    <row r="172" spans="1:13" ht="14.25" customHeight="1">
      <c r="A172" s="113">
        <v>7</v>
      </c>
      <c r="B172" s="47"/>
      <c r="C172" s="120" t="s">
        <v>651</v>
      </c>
      <c r="D172" s="121" t="s">
        <v>652</v>
      </c>
      <c r="E172" s="121" t="s">
        <v>653</v>
      </c>
      <c r="F172" s="113" t="s">
        <v>65</v>
      </c>
      <c r="G172" s="113" t="s">
        <v>654</v>
      </c>
      <c r="H172" s="122" t="s">
        <v>10616</v>
      </c>
      <c r="I172" s="116" t="s">
        <v>656</v>
      </c>
      <c r="J172" s="116" t="s">
        <v>657</v>
      </c>
      <c r="K172" s="47" t="s">
        <v>10617</v>
      </c>
      <c r="L172" s="47" t="s">
        <v>5145</v>
      </c>
      <c r="M172" s="47" t="s">
        <v>5146</v>
      </c>
    </row>
    <row r="173" spans="1:13" ht="14.25" customHeight="1">
      <c r="A173" s="113">
        <v>8</v>
      </c>
      <c r="B173" s="47"/>
      <c r="C173" s="120" t="s">
        <v>4780</v>
      </c>
      <c r="D173" s="121" t="s">
        <v>4781</v>
      </c>
      <c r="E173" s="121" t="s">
        <v>4782</v>
      </c>
      <c r="F173" s="113" t="s">
        <v>54</v>
      </c>
      <c r="G173" s="113" t="s">
        <v>5402</v>
      </c>
      <c r="H173" s="116" t="s">
        <v>10618</v>
      </c>
      <c r="I173" s="13" t="s">
        <v>4785</v>
      </c>
      <c r="J173" s="116" t="s">
        <v>4786</v>
      </c>
      <c r="K173" s="47" t="s">
        <v>5403</v>
      </c>
      <c r="L173" s="47" t="s">
        <v>5150</v>
      </c>
      <c r="M173" s="47" t="s">
        <v>5151</v>
      </c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9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640625" defaultRowHeight="15" customHeight="1"/>
  <cols>
    <col min="1" max="1" width="11.88671875" customWidth="1"/>
    <col min="2" max="2" width="20.44140625" customWidth="1"/>
    <col min="3" max="3" width="10.88671875" customWidth="1"/>
    <col min="4" max="4" width="28.109375" customWidth="1"/>
    <col min="5" max="5" width="11.44140625" customWidth="1"/>
    <col min="6" max="6" width="11.88671875" customWidth="1"/>
    <col min="7" max="7" width="47.33203125" customWidth="1"/>
    <col min="8" max="8" width="46.33203125" customWidth="1"/>
    <col min="9" max="9" width="48.88671875" customWidth="1"/>
    <col min="10" max="10" width="36" customWidth="1"/>
    <col min="11" max="11" width="21" customWidth="1"/>
    <col min="12" max="12" width="21.109375" customWidth="1"/>
    <col min="13" max="14" width="21.33203125" customWidth="1"/>
  </cols>
  <sheetData>
    <row r="1" spans="1:14" ht="29.25" customHeight="1">
      <c r="A1" s="139" t="s">
        <v>12</v>
      </c>
      <c r="B1" s="35" t="s">
        <v>13</v>
      </c>
      <c r="C1" s="73" t="s">
        <v>14</v>
      </c>
      <c r="D1" s="35" t="s">
        <v>3114</v>
      </c>
      <c r="E1" s="35" t="s">
        <v>16</v>
      </c>
      <c r="F1" s="35" t="s">
        <v>17</v>
      </c>
      <c r="G1" s="35" t="s">
        <v>18</v>
      </c>
      <c r="H1" s="36" t="s">
        <v>19</v>
      </c>
      <c r="I1" s="35" t="s">
        <v>20</v>
      </c>
      <c r="J1" s="37" t="s">
        <v>21</v>
      </c>
      <c r="K1" s="38" t="s">
        <v>22</v>
      </c>
      <c r="L1" s="38" t="s">
        <v>23</v>
      </c>
      <c r="M1" s="38" t="s">
        <v>24</v>
      </c>
      <c r="N1" s="38" t="s">
        <v>25</v>
      </c>
    </row>
    <row r="2" spans="1:14" ht="14.25" customHeight="1">
      <c r="A2" s="19">
        <v>1</v>
      </c>
      <c r="B2" s="78"/>
      <c r="C2" s="89" t="s">
        <v>5452</v>
      </c>
      <c r="D2" s="90" t="e">
        <f t="array" aca="1" ref="D2:M491" ca="1">_xludf.MAP(C2:C491, _xludf.LAMBDA(tu, IF(tu="", "", IFERROR(_xludf.XLOOKUP(tu, 'Tổng hợp'!C:C, 'Tổng hợp'!D:M), ""))))</f>
        <v>#NAME?</v>
      </c>
      <c r="E2" s="90" t="e">
        <f ca="1"/>
        <v>#NAME?</v>
      </c>
      <c r="F2" s="90" t="e">
        <f ca="1"/>
        <v>#NAME?</v>
      </c>
      <c r="G2" s="90" t="e">
        <f ca="1"/>
        <v>#NAME?</v>
      </c>
      <c r="H2" s="140" t="e">
        <f ca="1"/>
        <v>#NAME?</v>
      </c>
      <c r="I2" s="90" t="e">
        <f ca="1"/>
        <v>#NAME?</v>
      </c>
      <c r="J2" s="92" t="e">
        <f ca="1"/>
        <v>#NAME?</v>
      </c>
      <c r="K2" s="88" t="e">
        <f ca="1"/>
        <v>#NAME?</v>
      </c>
      <c r="L2" s="88" t="e">
        <f ca="1"/>
        <v>#NAME?</v>
      </c>
      <c r="M2" s="88" t="e">
        <f ca="1"/>
        <v>#NAME?</v>
      </c>
      <c r="N2" s="88">
        <v>1</v>
      </c>
    </row>
    <row r="3" spans="1:14" ht="14.25" customHeight="1">
      <c r="A3" s="26">
        <v>2</v>
      </c>
      <c r="B3" s="47"/>
      <c r="C3" s="70" t="s">
        <v>5462</v>
      </c>
      <c r="D3" s="63" t="e">
        <f ca="1"/>
        <v>#NAME?</v>
      </c>
      <c r="E3" s="63" t="e">
        <f ca="1"/>
        <v>#NAME?</v>
      </c>
      <c r="F3" s="63" t="e">
        <f ca="1"/>
        <v>#NAME?</v>
      </c>
      <c r="G3" s="63" t="e">
        <f ca="1"/>
        <v>#NAME?</v>
      </c>
      <c r="H3" s="84" t="e">
        <f ca="1"/>
        <v>#NAME?</v>
      </c>
      <c r="I3" s="63" t="e">
        <f ca="1"/>
        <v>#NAME?</v>
      </c>
      <c r="J3" s="51" t="e">
        <f ca="1"/>
        <v>#NAME?</v>
      </c>
      <c r="K3" s="47" t="e">
        <f ca="1"/>
        <v>#NAME?</v>
      </c>
      <c r="L3" s="47" t="e">
        <f ca="1"/>
        <v>#NAME?</v>
      </c>
      <c r="M3" s="47" t="e">
        <f ca="1"/>
        <v>#NAME?</v>
      </c>
      <c r="N3" s="47"/>
    </row>
    <row r="4" spans="1:14" ht="14.25" customHeight="1">
      <c r="A4" s="26">
        <v>3</v>
      </c>
      <c r="B4" s="47"/>
      <c r="C4" s="70" t="s">
        <v>3982</v>
      </c>
      <c r="D4" s="63" t="e">
        <f ca="1"/>
        <v>#NAME?</v>
      </c>
      <c r="E4" s="63" t="e">
        <f ca="1"/>
        <v>#NAME?</v>
      </c>
      <c r="F4" s="63" t="e">
        <f ca="1"/>
        <v>#NAME?</v>
      </c>
      <c r="G4" s="63" t="e">
        <f ca="1"/>
        <v>#NAME?</v>
      </c>
      <c r="H4" s="84" t="e">
        <f ca="1"/>
        <v>#NAME?</v>
      </c>
      <c r="I4" s="63" t="e">
        <f ca="1"/>
        <v>#NAME?</v>
      </c>
      <c r="J4" s="63" t="e">
        <f ca="1"/>
        <v>#NAME?</v>
      </c>
      <c r="K4" s="47" t="e">
        <f ca="1"/>
        <v>#NAME?</v>
      </c>
      <c r="L4" s="47" t="e">
        <f ca="1"/>
        <v>#NAME?</v>
      </c>
      <c r="M4" s="47" t="e">
        <f ca="1"/>
        <v>#NAME?</v>
      </c>
      <c r="N4" s="47"/>
    </row>
    <row r="5" spans="1:14" ht="14.25" customHeight="1">
      <c r="A5" s="26">
        <v>4</v>
      </c>
      <c r="B5" s="78"/>
      <c r="C5" s="70" t="s">
        <v>5477</v>
      </c>
      <c r="D5" s="63" t="e">
        <f ca="1"/>
        <v>#NAME?</v>
      </c>
      <c r="E5" s="63" t="e">
        <f ca="1"/>
        <v>#NAME?</v>
      </c>
      <c r="F5" s="63" t="e">
        <f ca="1"/>
        <v>#NAME?</v>
      </c>
      <c r="G5" s="63" t="e">
        <f ca="1"/>
        <v>#NAME?</v>
      </c>
      <c r="H5" s="84" t="e">
        <f ca="1"/>
        <v>#NAME?</v>
      </c>
      <c r="I5" s="63" t="e">
        <f ca="1"/>
        <v>#NAME?</v>
      </c>
      <c r="J5" s="51" t="e">
        <f ca="1"/>
        <v>#NAME?</v>
      </c>
      <c r="K5" s="47" t="e">
        <f ca="1"/>
        <v>#NAME?</v>
      </c>
      <c r="L5" s="47" t="e">
        <f ca="1"/>
        <v>#NAME?</v>
      </c>
      <c r="M5" s="47" t="e">
        <f ca="1"/>
        <v>#NAME?</v>
      </c>
      <c r="N5" s="47"/>
    </row>
    <row r="6" spans="1:14" ht="14.25" customHeight="1">
      <c r="A6" s="26">
        <v>5</v>
      </c>
      <c r="B6" s="47"/>
      <c r="C6" s="70" t="s">
        <v>5487</v>
      </c>
      <c r="D6" s="63" t="e">
        <f ca="1"/>
        <v>#NAME?</v>
      </c>
      <c r="E6" s="63" t="e">
        <f ca="1"/>
        <v>#NAME?</v>
      </c>
      <c r="F6" s="63" t="e">
        <f ca="1"/>
        <v>#NAME?</v>
      </c>
      <c r="G6" s="63" t="e">
        <f ca="1"/>
        <v>#NAME?</v>
      </c>
      <c r="H6" s="84" t="e">
        <f ca="1"/>
        <v>#NAME?</v>
      </c>
      <c r="I6" s="63" t="e">
        <f ca="1"/>
        <v>#NAME?</v>
      </c>
      <c r="J6" s="51" t="e">
        <f ca="1"/>
        <v>#NAME?</v>
      </c>
      <c r="K6" s="47" t="e">
        <f ca="1"/>
        <v>#NAME?</v>
      </c>
      <c r="L6" s="47" t="e">
        <f ca="1"/>
        <v>#NAME?</v>
      </c>
      <c r="M6" s="47" t="e">
        <f ca="1"/>
        <v>#NAME?</v>
      </c>
      <c r="N6" s="47"/>
    </row>
    <row r="7" spans="1:14" ht="14.25" customHeight="1">
      <c r="A7" s="26">
        <v>6</v>
      </c>
      <c r="B7" s="47"/>
      <c r="C7" s="70" t="s">
        <v>5497</v>
      </c>
      <c r="D7" s="63" t="e">
        <f ca="1"/>
        <v>#NAME?</v>
      </c>
      <c r="E7" s="63" t="e">
        <f ca="1"/>
        <v>#NAME?</v>
      </c>
      <c r="F7" s="63" t="e">
        <f ca="1"/>
        <v>#NAME?</v>
      </c>
      <c r="G7" s="63" t="e">
        <f ca="1"/>
        <v>#NAME?</v>
      </c>
      <c r="H7" s="84" t="e">
        <f ca="1"/>
        <v>#NAME?</v>
      </c>
      <c r="I7" s="63" t="e">
        <f ca="1"/>
        <v>#NAME?</v>
      </c>
      <c r="J7" s="51" t="e">
        <f ca="1"/>
        <v>#NAME?</v>
      </c>
      <c r="K7" s="47" t="e">
        <f ca="1"/>
        <v>#NAME?</v>
      </c>
      <c r="L7" s="47" t="e">
        <f ca="1"/>
        <v>#NAME?</v>
      </c>
      <c r="M7" s="47" t="e">
        <f ca="1"/>
        <v>#NAME?</v>
      </c>
      <c r="N7" s="47"/>
    </row>
    <row r="8" spans="1:14" ht="14.25" customHeight="1">
      <c r="A8" s="26">
        <v>7</v>
      </c>
      <c r="B8" s="47"/>
      <c r="C8" s="70" t="s">
        <v>3082</v>
      </c>
      <c r="D8" s="63" t="e">
        <f ca="1"/>
        <v>#NAME?</v>
      </c>
      <c r="E8" s="63" t="e">
        <f ca="1"/>
        <v>#NAME?</v>
      </c>
      <c r="F8" s="63" t="e">
        <f ca="1"/>
        <v>#NAME?</v>
      </c>
      <c r="G8" s="63" t="e">
        <f ca="1"/>
        <v>#NAME?</v>
      </c>
      <c r="H8" s="84" t="e">
        <f ca="1"/>
        <v>#NAME?</v>
      </c>
      <c r="I8" s="63" t="e">
        <f ca="1"/>
        <v>#NAME?</v>
      </c>
      <c r="J8" s="51" t="e">
        <f ca="1"/>
        <v>#NAME?</v>
      </c>
      <c r="K8" s="47" t="e">
        <f ca="1"/>
        <v>#NAME?</v>
      </c>
      <c r="L8" s="47" t="e">
        <f ca="1"/>
        <v>#NAME?</v>
      </c>
      <c r="M8" s="47" t="e">
        <f ca="1"/>
        <v>#NAME?</v>
      </c>
      <c r="N8" s="47"/>
    </row>
    <row r="9" spans="1:14" ht="14.25" customHeight="1">
      <c r="A9" s="26">
        <v>8</v>
      </c>
      <c r="B9" s="78"/>
      <c r="C9" s="70" t="s">
        <v>5511</v>
      </c>
      <c r="D9" s="63" t="e">
        <f ca="1"/>
        <v>#NAME?</v>
      </c>
      <c r="E9" s="63" t="e">
        <f ca="1"/>
        <v>#NAME?</v>
      </c>
      <c r="F9" s="63" t="e">
        <f ca="1"/>
        <v>#NAME?</v>
      </c>
      <c r="G9" s="63" t="e">
        <f ca="1"/>
        <v>#NAME?</v>
      </c>
      <c r="H9" s="84" t="e">
        <f ca="1"/>
        <v>#NAME?</v>
      </c>
      <c r="I9" s="63" t="e">
        <f ca="1"/>
        <v>#NAME?</v>
      </c>
      <c r="J9" s="51" t="e">
        <f ca="1"/>
        <v>#NAME?</v>
      </c>
      <c r="K9" s="47" t="e">
        <f ca="1"/>
        <v>#NAME?</v>
      </c>
      <c r="L9" s="47" t="e">
        <f ca="1"/>
        <v>#NAME?</v>
      </c>
      <c r="M9" s="47" t="e">
        <f ca="1"/>
        <v>#NAME?</v>
      </c>
      <c r="N9" s="47"/>
    </row>
    <row r="10" spans="1:14" ht="14.25" customHeight="1">
      <c r="A10" s="26">
        <v>9</v>
      </c>
      <c r="B10" s="47"/>
      <c r="C10" s="94" t="s">
        <v>5521</v>
      </c>
      <c r="D10" s="64" t="e">
        <f ca="1"/>
        <v>#NAME?</v>
      </c>
      <c r="E10" s="64" t="e">
        <f ca="1"/>
        <v>#NAME?</v>
      </c>
      <c r="F10" s="64" t="e">
        <f ca="1"/>
        <v>#NAME?</v>
      </c>
      <c r="G10" s="64" t="e">
        <f ca="1"/>
        <v>#NAME?</v>
      </c>
      <c r="H10" s="77" t="e">
        <f ca="1"/>
        <v>#NAME?</v>
      </c>
      <c r="I10" s="64" t="e">
        <f ca="1"/>
        <v>#NAME?</v>
      </c>
      <c r="J10" s="51" t="e">
        <f ca="1"/>
        <v>#NAME?</v>
      </c>
      <c r="K10" s="47" t="e">
        <f ca="1"/>
        <v>#NAME?</v>
      </c>
      <c r="L10" s="47" t="e">
        <f ca="1"/>
        <v>#NAME?</v>
      </c>
      <c r="M10" s="47" t="e">
        <f ca="1"/>
        <v>#NAME?</v>
      </c>
      <c r="N10" s="47"/>
    </row>
    <row r="11" spans="1:14" ht="14.25" customHeight="1">
      <c r="A11" s="26">
        <v>10</v>
      </c>
      <c r="B11" s="78"/>
      <c r="C11" s="94" t="s">
        <v>5531</v>
      </c>
      <c r="D11" s="64" t="e">
        <f ca="1"/>
        <v>#NAME?</v>
      </c>
      <c r="E11" s="64" t="e">
        <f ca="1"/>
        <v>#NAME?</v>
      </c>
      <c r="F11" s="64" t="e">
        <f ca="1"/>
        <v>#NAME?</v>
      </c>
      <c r="G11" s="64" t="e">
        <f ca="1"/>
        <v>#NAME?</v>
      </c>
      <c r="H11" s="77" t="e">
        <f ca="1"/>
        <v>#NAME?</v>
      </c>
      <c r="I11" s="64" t="e">
        <f ca="1"/>
        <v>#NAME?</v>
      </c>
      <c r="J11" s="51" t="e">
        <f ca="1"/>
        <v>#NAME?</v>
      </c>
      <c r="K11" s="47" t="e">
        <f ca="1"/>
        <v>#NAME?</v>
      </c>
      <c r="L11" s="47" t="e">
        <f ca="1"/>
        <v>#NAME?</v>
      </c>
      <c r="M11" s="47" t="e">
        <f ca="1"/>
        <v>#NAME?</v>
      </c>
      <c r="N11" s="47"/>
    </row>
    <row r="12" spans="1:14" ht="14.25" customHeight="1">
      <c r="A12" s="26">
        <v>11</v>
      </c>
      <c r="B12" s="47"/>
      <c r="C12" s="94" t="s">
        <v>5541</v>
      </c>
      <c r="D12" s="95" t="e">
        <f ca="1"/>
        <v>#NAME?</v>
      </c>
      <c r="E12" s="64" t="e">
        <f ca="1"/>
        <v>#NAME?</v>
      </c>
      <c r="F12" s="64" t="e">
        <f ca="1"/>
        <v>#NAME?</v>
      </c>
      <c r="G12" s="64" t="e">
        <f ca="1"/>
        <v>#NAME?</v>
      </c>
      <c r="H12" s="83" t="e">
        <f ca="1"/>
        <v>#NAME?</v>
      </c>
      <c r="I12" s="64" t="e">
        <f ca="1"/>
        <v>#NAME?</v>
      </c>
      <c r="J12" s="95" t="e">
        <f ca="1"/>
        <v>#NAME?</v>
      </c>
      <c r="K12" s="47" t="e">
        <f ca="1"/>
        <v>#NAME?</v>
      </c>
      <c r="L12" s="47" t="e">
        <f ca="1"/>
        <v>#NAME?</v>
      </c>
      <c r="M12" s="47" t="e">
        <f ca="1"/>
        <v>#NAME?</v>
      </c>
      <c r="N12" s="47"/>
    </row>
    <row r="13" spans="1:14" ht="14.25" customHeight="1">
      <c r="A13" s="26">
        <v>12</v>
      </c>
      <c r="B13" s="47"/>
      <c r="C13" s="94" t="s">
        <v>5172</v>
      </c>
      <c r="D13" s="64" t="e">
        <f ca="1"/>
        <v>#NAME?</v>
      </c>
      <c r="E13" s="64" t="e">
        <f ca="1"/>
        <v>#NAME?</v>
      </c>
      <c r="F13" s="64" t="e">
        <f ca="1"/>
        <v>#NAME?</v>
      </c>
      <c r="G13" s="64" t="e">
        <f ca="1"/>
        <v>#NAME?</v>
      </c>
      <c r="H13" s="77" t="e">
        <f ca="1"/>
        <v>#NAME?</v>
      </c>
      <c r="I13" s="64" t="e">
        <f ca="1"/>
        <v>#NAME?</v>
      </c>
      <c r="J13" s="51" t="e">
        <f ca="1"/>
        <v>#NAME?</v>
      </c>
      <c r="K13" s="47" t="e">
        <f ca="1"/>
        <v>#NAME?</v>
      </c>
      <c r="L13" s="47" t="e">
        <f ca="1"/>
        <v>#NAME?</v>
      </c>
      <c r="M13" s="47" t="e">
        <f ca="1"/>
        <v>#NAME?</v>
      </c>
      <c r="N13" s="47"/>
    </row>
    <row r="14" spans="1:14" ht="14.25" customHeight="1">
      <c r="A14" s="26">
        <v>13</v>
      </c>
      <c r="B14" s="47"/>
      <c r="C14" s="94" t="s">
        <v>5556</v>
      </c>
      <c r="D14" s="64" t="e">
        <f ca="1"/>
        <v>#NAME?</v>
      </c>
      <c r="E14" s="64" t="e">
        <f ca="1"/>
        <v>#NAME?</v>
      </c>
      <c r="F14" s="64" t="e">
        <f ca="1"/>
        <v>#NAME?</v>
      </c>
      <c r="G14" s="64" t="e">
        <f ca="1"/>
        <v>#NAME?</v>
      </c>
      <c r="H14" s="77" t="e">
        <f ca="1"/>
        <v>#NAME?</v>
      </c>
      <c r="I14" s="64" t="e">
        <f ca="1"/>
        <v>#NAME?</v>
      </c>
      <c r="J14" s="51" t="e">
        <f ca="1"/>
        <v>#NAME?</v>
      </c>
      <c r="K14" s="47" t="e">
        <f ca="1"/>
        <v>#NAME?</v>
      </c>
      <c r="L14" s="47" t="e">
        <f ca="1"/>
        <v>#NAME?</v>
      </c>
      <c r="M14" s="47" t="e">
        <f ca="1"/>
        <v>#NAME?</v>
      </c>
      <c r="N14" s="47"/>
    </row>
    <row r="15" spans="1:14" ht="14.25" customHeight="1">
      <c r="A15" s="26">
        <v>14</v>
      </c>
      <c r="B15" s="47"/>
      <c r="C15" s="94" t="s">
        <v>5567</v>
      </c>
      <c r="D15" s="64" t="e">
        <f ca="1"/>
        <v>#NAME?</v>
      </c>
      <c r="E15" s="64" t="e">
        <f ca="1"/>
        <v>#NAME?</v>
      </c>
      <c r="F15" s="64" t="e">
        <f ca="1"/>
        <v>#NAME?</v>
      </c>
      <c r="G15" s="64" t="e">
        <f ca="1"/>
        <v>#NAME?</v>
      </c>
      <c r="H15" s="77" t="e">
        <f ca="1"/>
        <v>#NAME?</v>
      </c>
      <c r="I15" s="64" t="e">
        <f ca="1"/>
        <v>#NAME?</v>
      </c>
      <c r="J15" s="95" t="e">
        <f ca="1"/>
        <v>#NAME?</v>
      </c>
      <c r="K15" s="47" t="e">
        <f ca="1"/>
        <v>#NAME?</v>
      </c>
      <c r="L15" s="47" t="e">
        <f ca="1"/>
        <v>#NAME?</v>
      </c>
      <c r="M15" s="47" t="e">
        <f ca="1"/>
        <v>#NAME?</v>
      </c>
      <c r="N15" s="47"/>
    </row>
    <row r="16" spans="1:14" ht="14.25" customHeight="1">
      <c r="A16" s="26">
        <v>15</v>
      </c>
      <c r="B16" s="47"/>
      <c r="C16" s="30" t="s">
        <v>5576</v>
      </c>
      <c r="D16" s="63" t="e">
        <f ca="1"/>
        <v>#NAME?</v>
      </c>
      <c r="E16" s="63" t="e">
        <f ca="1"/>
        <v>#NAME?</v>
      </c>
      <c r="F16" s="63" t="e">
        <f ca="1"/>
        <v>#NAME?</v>
      </c>
      <c r="G16" s="80" t="e">
        <f ca="1"/>
        <v>#NAME?</v>
      </c>
      <c r="H16" s="84" t="e">
        <f ca="1"/>
        <v>#NAME?</v>
      </c>
      <c r="I16" s="63" t="e">
        <f ca="1"/>
        <v>#NAME?</v>
      </c>
      <c r="J16" s="63" t="e">
        <f ca="1"/>
        <v>#NAME?</v>
      </c>
      <c r="K16" s="47" t="e">
        <f ca="1"/>
        <v>#NAME?</v>
      </c>
      <c r="L16" s="47" t="e">
        <f ca="1"/>
        <v>#NAME?</v>
      </c>
      <c r="M16" s="47" t="e">
        <f ca="1"/>
        <v>#NAME?</v>
      </c>
      <c r="N16" s="47"/>
    </row>
    <row r="17" spans="1:14" ht="14.25" customHeight="1">
      <c r="A17" s="26">
        <v>16</v>
      </c>
      <c r="B17" s="78"/>
      <c r="C17" s="30" t="s">
        <v>5586</v>
      </c>
      <c r="D17" s="64" t="e">
        <f ca="1"/>
        <v>#NAME?</v>
      </c>
      <c r="E17" s="64" t="e">
        <f ca="1"/>
        <v>#NAME?</v>
      </c>
      <c r="F17" s="64" t="e">
        <f ca="1"/>
        <v>#NAME?</v>
      </c>
      <c r="G17" s="80" t="e">
        <f ca="1"/>
        <v>#NAME?</v>
      </c>
      <c r="H17" s="84" t="e">
        <f ca="1"/>
        <v>#NAME?</v>
      </c>
      <c r="I17" s="64" t="e">
        <f ca="1"/>
        <v>#NAME?</v>
      </c>
      <c r="J17" s="51" t="e">
        <f ca="1"/>
        <v>#NAME?</v>
      </c>
      <c r="K17" s="47" t="e">
        <f ca="1"/>
        <v>#NAME?</v>
      </c>
      <c r="L17" s="47" t="e">
        <f ca="1"/>
        <v>#NAME?</v>
      </c>
      <c r="M17" s="47" t="e">
        <f ca="1"/>
        <v>#NAME?</v>
      </c>
      <c r="N17" s="47"/>
    </row>
    <row r="18" spans="1:14" ht="14.25" customHeight="1">
      <c r="A18" s="26">
        <v>17</v>
      </c>
      <c r="B18" s="47"/>
      <c r="C18" s="30" t="s">
        <v>5596</v>
      </c>
      <c r="D18" s="64" t="e">
        <f ca="1"/>
        <v>#NAME?</v>
      </c>
      <c r="E18" s="64" t="e">
        <f ca="1"/>
        <v>#NAME?</v>
      </c>
      <c r="F18" s="64" t="e">
        <f ca="1"/>
        <v>#NAME?</v>
      </c>
      <c r="G18" s="80" t="e">
        <f ca="1"/>
        <v>#NAME?</v>
      </c>
      <c r="H18" s="84" t="e">
        <f ca="1"/>
        <v>#NAME?</v>
      </c>
      <c r="I18" s="64" t="e">
        <f ca="1"/>
        <v>#NAME?</v>
      </c>
      <c r="J18" s="51" t="e">
        <f ca="1"/>
        <v>#NAME?</v>
      </c>
      <c r="K18" s="47" t="e">
        <f ca="1"/>
        <v>#NAME?</v>
      </c>
      <c r="L18" s="47" t="e">
        <f ca="1"/>
        <v>#NAME?</v>
      </c>
      <c r="M18" s="47" t="e">
        <f ca="1"/>
        <v>#NAME?</v>
      </c>
      <c r="N18" s="47"/>
    </row>
    <row r="19" spans="1:14" ht="14.25" customHeight="1">
      <c r="A19" s="26">
        <v>18</v>
      </c>
      <c r="B19" s="47"/>
      <c r="C19" s="30" t="s">
        <v>4820</v>
      </c>
      <c r="D19" s="64" t="e">
        <f ca="1"/>
        <v>#NAME?</v>
      </c>
      <c r="E19" s="64" t="e">
        <f ca="1"/>
        <v>#NAME?</v>
      </c>
      <c r="F19" s="64" t="e">
        <f ca="1"/>
        <v>#NAME?</v>
      </c>
      <c r="G19" s="80" t="e">
        <f ca="1"/>
        <v>#NAME?</v>
      </c>
      <c r="H19" s="84" t="e">
        <f ca="1"/>
        <v>#NAME?</v>
      </c>
      <c r="I19" s="64" t="e">
        <f ca="1"/>
        <v>#NAME?</v>
      </c>
      <c r="J19" s="51" t="e">
        <f ca="1"/>
        <v>#NAME?</v>
      </c>
      <c r="K19" s="47" t="e">
        <f ca="1"/>
        <v>#NAME?</v>
      </c>
      <c r="L19" s="47" t="e">
        <f ca="1"/>
        <v>#NAME?</v>
      </c>
      <c r="M19" s="47" t="e">
        <f ca="1"/>
        <v>#NAME?</v>
      </c>
      <c r="N19" s="47"/>
    </row>
    <row r="20" spans="1:14" ht="14.25" customHeight="1">
      <c r="A20" s="26">
        <v>19</v>
      </c>
      <c r="B20" s="47"/>
      <c r="C20" s="30" t="s">
        <v>5610</v>
      </c>
      <c r="D20" s="64" t="e">
        <f ca="1"/>
        <v>#NAME?</v>
      </c>
      <c r="E20" s="64" t="e">
        <f ca="1"/>
        <v>#NAME?</v>
      </c>
      <c r="F20" s="64" t="e">
        <f ca="1"/>
        <v>#NAME?</v>
      </c>
      <c r="G20" s="80" t="e">
        <f ca="1"/>
        <v>#NAME?</v>
      </c>
      <c r="H20" s="84" t="e">
        <f ca="1"/>
        <v>#NAME?</v>
      </c>
      <c r="I20" s="64" t="e">
        <f ca="1"/>
        <v>#NAME?</v>
      </c>
      <c r="J20" s="51" t="e">
        <f ca="1"/>
        <v>#NAME?</v>
      </c>
      <c r="K20" s="47" t="e">
        <f ca="1"/>
        <v>#NAME?</v>
      </c>
      <c r="L20" s="47" t="e">
        <f ca="1"/>
        <v>#NAME?</v>
      </c>
      <c r="M20" s="47" t="e">
        <f ca="1"/>
        <v>#NAME?</v>
      </c>
      <c r="N20" s="47"/>
    </row>
    <row r="21" spans="1:14" ht="14.25" customHeight="1">
      <c r="A21" s="26">
        <v>20</v>
      </c>
      <c r="B21" s="47"/>
      <c r="C21" s="30" t="s">
        <v>5620</v>
      </c>
      <c r="D21" s="64" t="e">
        <f ca="1"/>
        <v>#NAME?</v>
      </c>
      <c r="E21" s="64" t="e">
        <f ca="1"/>
        <v>#NAME?</v>
      </c>
      <c r="F21" s="64" t="e">
        <f ca="1"/>
        <v>#NAME?</v>
      </c>
      <c r="G21" s="80" t="e">
        <f ca="1"/>
        <v>#NAME?</v>
      </c>
      <c r="H21" s="84" t="e">
        <f ca="1"/>
        <v>#NAME?</v>
      </c>
      <c r="I21" s="64" t="e">
        <f ca="1"/>
        <v>#NAME?</v>
      </c>
      <c r="J21" s="64" t="e">
        <f ca="1"/>
        <v>#NAME?</v>
      </c>
      <c r="K21" s="47" t="e">
        <f ca="1"/>
        <v>#NAME?</v>
      </c>
      <c r="L21" s="47" t="e">
        <f ca="1"/>
        <v>#NAME?</v>
      </c>
      <c r="M21" s="47" t="e">
        <f ca="1"/>
        <v>#NAME?</v>
      </c>
      <c r="N21" s="47"/>
    </row>
    <row r="22" spans="1:14" ht="14.25" customHeight="1">
      <c r="A22" s="26">
        <v>21</v>
      </c>
      <c r="B22" s="47"/>
      <c r="C22" s="30" t="s">
        <v>5630</v>
      </c>
      <c r="D22" s="64" t="e">
        <f ca="1"/>
        <v>#NAME?</v>
      </c>
      <c r="E22" s="64" t="e">
        <f ca="1"/>
        <v>#NAME?</v>
      </c>
      <c r="F22" s="64" t="e">
        <f ca="1"/>
        <v>#NAME?</v>
      </c>
      <c r="G22" s="80" t="e">
        <f ca="1"/>
        <v>#NAME?</v>
      </c>
      <c r="H22" s="84" t="e">
        <f ca="1"/>
        <v>#NAME?</v>
      </c>
      <c r="I22" s="68" t="e">
        <f ca="1"/>
        <v>#NAME?</v>
      </c>
      <c r="J22" s="51" t="e">
        <f ca="1"/>
        <v>#NAME?</v>
      </c>
      <c r="K22" s="47" t="e">
        <f ca="1"/>
        <v>#NAME?</v>
      </c>
      <c r="L22" s="47" t="e">
        <f ca="1"/>
        <v>#NAME?</v>
      </c>
      <c r="M22" s="47" t="e">
        <f ca="1"/>
        <v>#NAME?</v>
      </c>
      <c r="N22" s="47"/>
    </row>
    <row r="23" spans="1:14" ht="14.25" customHeight="1">
      <c r="A23" s="26">
        <v>22</v>
      </c>
      <c r="B23" s="47"/>
      <c r="C23" s="30" t="s">
        <v>5640</v>
      </c>
      <c r="D23" s="64" t="e">
        <f ca="1"/>
        <v>#NAME?</v>
      </c>
      <c r="E23" s="64" t="e">
        <f ca="1"/>
        <v>#NAME?</v>
      </c>
      <c r="F23" s="64" t="e">
        <f ca="1"/>
        <v>#NAME?</v>
      </c>
      <c r="G23" s="80" t="e">
        <f ca="1"/>
        <v>#NAME?</v>
      </c>
      <c r="H23" s="84" t="e">
        <f ca="1"/>
        <v>#NAME?</v>
      </c>
      <c r="I23" s="64" t="e">
        <f ca="1"/>
        <v>#NAME?</v>
      </c>
      <c r="J23" s="64" t="e">
        <f ca="1"/>
        <v>#NAME?</v>
      </c>
      <c r="K23" s="47" t="e">
        <f ca="1"/>
        <v>#NAME?</v>
      </c>
      <c r="L23" s="47" t="e">
        <f ca="1"/>
        <v>#NAME?</v>
      </c>
      <c r="M23" s="47" t="e">
        <f ca="1"/>
        <v>#NAME?</v>
      </c>
      <c r="N23" s="47"/>
    </row>
    <row r="24" spans="1:14" ht="14.25" customHeight="1">
      <c r="A24" s="26">
        <v>23</v>
      </c>
      <c r="B24" s="47"/>
      <c r="C24" s="30" t="s">
        <v>5650</v>
      </c>
      <c r="D24" s="64" t="e">
        <f ca="1"/>
        <v>#NAME?</v>
      </c>
      <c r="E24" s="64" t="e">
        <f ca="1"/>
        <v>#NAME?</v>
      </c>
      <c r="F24" s="64" t="e">
        <f ca="1"/>
        <v>#NAME?</v>
      </c>
      <c r="G24" s="80" t="e">
        <f ca="1"/>
        <v>#NAME?</v>
      </c>
      <c r="H24" s="84" t="e">
        <f ca="1"/>
        <v>#NAME?</v>
      </c>
      <c r="I24" s="64" t="e">
        <f ca="1"/>
        <v>#NAME?</v>
      </c>
      <c r="J24" s="51" t="e">
        <f ca="1"/>
        <v>#NAME?</v>
      </c>
      <c r="K24" s="47" t="e">
        <f ca="1"/>
        <v>#NAME?</v>
      </c>
      <c r="L24" s="47" t="e">
        <f ca="1"/>
        <v>#NAME?</v>
      </c>
      <c r="M24" s="47" t="e">
        <f ca="1"/>
        <v>#NAME?</v>
      </c>
      <c r="N24" s="47"/>
    </row>
    <row r="25" spans="1:14" ht="14.25" customHeight="1">
      <c r="A25" s="26">
        <v>24</v>
      </c>
      <c r="B25" s="78"/>
      <c r="C25" s="30" t="s">
        <v>5660</v>
      </c>
      <c r="D25" s="64" t="e">
        <f ca="1"/>
        <v>#NAME?</v>
      </c>
      <c r="E25" s="64" t="e">
        <f ca="1"/>
        <v>#NAME?</v>
      </c>
      <c r="F25" s="64" t="e">
        <f ca="1"/>
        <v>#NAME?</v>
      </c>
      <c r="G25" s="80" t="e">
        <f ca="1"/>
        <v>#NAME?</v>
      </c>
      <c r="H25" s="84" t="e">
        <f ca="1"/>
        <v>#NAME?</v>
      </c>
      <c r="I25" s="64" t="e">
        <f ca="1"/>
        <v>#NAME?</v>
      </c>
      <c r="J25" s="64" t="e">
        <f ca="1"/>
        <v>#NAME?</v>
      </c>
      <c r="K25" s="47" t="e">
        <f ca="1"/>
        <v>#NAME?</v>
      </c>
      <c r="L25" s="47" t="e">
        <f ca="1"/>
        <v>#NAME?</v>
      </c>
      <c r="M25" s="47" t="e">
        <f ca="1"/>
        <v>#NAME?</v>
      </c>
      <c r="N25" s="47"/>
    </row>
    <row r="26" spans="1:14" ht="14.25" customHeight="1">
      <c r="A26" s="26">
        <v>25</v>
      </c>
      <c r="B26" s="47"/>
      <c r="C26" s="30" t="s">
        <v>5670</v>
      </c>
      <c r="D26" s="64" t="e">
        <f ca="1"/>
        <v>#NAME?</v>
      </c>
      <c r="E26" s="64" t="e">
        <f ca="1"/>
        <v>#NAME?</v>
      </c>
      <c r="F26" s="64" t="e">
        <f ca="1"/>
        <v>#NAME?</v>
      </c>
      <c r="G26" s="80" t="e">
        <f ca="1"/>
        <v>#NAME?</v>
      </c>
      <c r="H26" s="84" t="e">
        <f ca="1"/>
        <v>#NAME?</v>
      </c>
      <c r="I26" s="64" t="e">
        <f ca="1"/>
        <v>#NAME?</v>
      </c>
      <c r="J26" s="64" t="e">
        <f ca="1"/>
        <v>#NAME?</v>
      </c>
      <c r="K26" s="47" t="e">
        <f ca="1"/>
        <v>#NAME?</v>
      </c>
      <c r="L26" s="47" t="e">
        <f ca="1"/>
        <v>#NAME?</v>
      </c>
      <c r="M26" s="47" t="e">
        <f ca="1"/>
        <v>#NAME?</v>
      </c>
      <c r="N26" s="47"/>
    </row>
    <row r="27" spans="1:14" ht="14.25" customHeight="1">
      <c r="A27" s="26">
        <v>26</v>
      </c>
      <c r="B27" s="47"/>
      <c r="C27" s="30" t="s">
        <v>5680</v>
      </c>
      <c r="D27" s="64" t="e">
        <f ca="1"/>
        <v>#NAME?</v>
      </c>
      <c r="E27" s="64" t="e">
        <f ca="1"/>
        <v>#NAME?</v>
      </c>
      <c r="F27" s="64" t="e">
        <f ca="1"/>
        <v>#NAME?</v>
      </c>
      <c r="G27" s="80" t="e">
        <f ca="1"/>
        <v>#NAME?</v>
      </c>
      <c r="H27" s="84" t="e">
        <f ca="1"/>
        <v>#NAME?</v>
      </c>
      <c r="I27" s="64" t="e">
        <f ca="1"/>
        <v>#NAME?</v>
      </c>
      <c r="J27" s="64" t="e">
        <f ca="1"/>
        <v>#NAME?</v>
      </c>
      <c r="K27" s="47" t="e">
        <f ca="1"/>
        <v>#NAME?</v>
      </c>
      <c r="L27" s="47" t="e">
        <f ca="1"/>
        <v>#NAME?</v>
      </c>
      <c r="M27" s="47" t="e">
        <f ca="1"/>
        <v>#NAME?</v>
      </c>
      <c r="N27" s="47"/>
    </row>
    <row r="28" spans="1:14" ht="14.25" customHeight="1">
      <c r="A28" s="26">
        <v>27</v>
      </c>
      <c r="B28" s="78"/>
      <c r="C28" s="30" t="s">
        <v>5689</v>
      </c>
      <c r="D28" s="64" t="e">
        <f ca="1"/>
        <v>#NAME?</v>
      </c>
      <c r="E28" s="64" t="e">
        <f ca="1"/>
        <v>#NAME?</v>
      </c>
      <c r="F28" s="64" t="e">
        <f ca="1"/>
        <v>#NAME?</v>
      </c>
      <c r="G28" s="80" t="e">
        <f ca="1"/>
        <v>#NAME?</v>
      </c>
      <c r="H28" s="84" t="e">
        <f ca="1"/>
        <v>#NAME?</v>
      </c>
      <c r="I28" s="64" t="e">
        <f ca="1"/>
        <v>#NAME?</v>
      </c>
      <c r="J28" s="64" t="e">
        <f ca="1"/>
        <v>#NAME?</v>
      </c>
      <c r="K28" s="47" t="e">
        <f ca="1"/>
        <v>#NAME?</v>
      </c>
      <c r="L28" s="47" t="e">
        <f ca="1"/>
        <v>#NAME?</v>
      </c>
      <c r="M28" s="47" t="e">
        <f ca="1"/>
        <v>#NAME?</v>
      </c>
      <c r="N28" s="47"/>
    </row>
    <row r="29" spans="1:14" ht="14.25" customHeight="1">
      <c r="A29" s="19">
        <v>1</v>
      </c>
      <c r="B29" s="47"/>
      <c r="C29" s="21" t="s">
        <v>5699</v>
      </c>
      <c r="D29" s="90" t="e">
        <f ca="1"/>
        <v>#NAME?</v>
      </c>
      <c r="E29" s="90" t="e">
        <f ca="1"/>
        <v>#NAME?</v>
      </c>
      <c r="F29" s="90" t="e">
        <f ca="1"/>
        <v>#NAME?</v>
      </c>
      <c r="G29" s="96" t="e">
        <f ca="1"/>
        <v>#NAME?</v>
      </c>
      <c r="H29" s="140" t="e">
        <f ca="1"/>
        <v>#NAME?</v>
      </c>
      <c r="I29" s="90" t="e">
        <f ca="1"/>
        <v>#NAME?</v>
      </c>
      <c r="J29" s="90" t="e">
        <f ca="1"/>
        <v>#NAME?</v>
      </c>
      <c r="K29" s="88" t="e">
        <f ca="1"/>
        <v>#NAME?</v>
      </c>
      <c r="L29" s="88" t="e">
        <f ca="1"/>
        <v>#NAME?</v>
      </c>
      <c r="M29" s="88" t="e">
        <f ca="1"/>
        <v>#NAME?</v>
      </c>
      <c r="N29" s="88">
        <v>2</v>
      </c>
    </row>
    <row r="30" spans="1:14" ht="14.25" customHeight="1">
      <c r="A30" s="26">
        <v>2</v>
      </c>
      <c r="B30" s="47"/>
      <c r="C30" s="30" t="s">
        <v>5709</v>
      </c>
      <c r="D30" s="64" t="e">
        <f ca="1"/>
        <v>#NAME?</v>
      </c>
      <c r="E30" s="64" t="e">
        <f ca="1"/>
        <v>#NAME?</v>
      </c>
      <c r="F30" s="64" t="e">
        <f ca="1"/>
        <v>#NAME?</v>
      </c>
      <c r="G30" s="80" t="e">
        <f ca="1"/>
        <v>#NAME?</v>
      </c>
      <c r="H30" s="84" t="e">
        <f ca="1"/>
        <v>#NAME?</v>
      </c>
      <c r="I30" s="64" t="e">
        <f ca="1"/>
        <v>#NAME?</v>
      </c>
      <c r="J30" s="64" t="e">
        <f ca="1"/>
        <v>#NAME?</v>
      </c>
      <c r="K30" s="47" t="e">
        <f ca="1"/>
        <v>#NAME?</v>
      </c>
      <c r="L30" s="47" t="e">
        <f ca="1"/>
        <v>#NAME?</v>
      </c>
      <c r="M30" s="47" t="e">
        <f ca="1"/>
        <v>#NAME?</v>
      </c>
      <c r="N30" s="47"/>
    </row>
    <row r="31" spans="1:14" ht="14.25" customHeight="1">
      <c r="A31" s="26">
        <v>3</v>
      </c>
      <c r="B31" s="47"/>
      <c r="C31" s="30" t="s">
        <v>5718</v>
      </c>
      <c r="D31" s="63" t="e">
        <f ca="1"/>
        <v>#NAME?</v>
      </c>
      <c r="E31" s="63" t="e">
        <f ca="1"/>
        <v>#NAME?</v>
      </c>
      <c r="F31" s="63" t="e">
        <f ca="1"/>
        <v>#NAME?</v>
      </c>
      <c r="G31" s="80" t="e">
        <f ca="1"/>
        <v>#NAME?</v>
      </c>
      <c r="H31" s="84" t="e">
        <f ca="1"/>
        <v>#NAME?</v>
      </c>
      <c r="I31" s="64" t="e">
        <f ca="1"/>
        <v>#NAME?</v>
      </c>
      <c r="J31" s="51" t="e">
        <f ca="1"/>
        <v>#NAME?</v>
      </c>
      <c r="K31" s="47" t="e">
        <f ca="1"/>
        <v>#NAME?</v>
      </c>
      <c r="L31" s="47" t="e">
        <f ca="1"/>
        <v>#NAME?</v>
      </c>
      <c r="M31" s="47" t="e">
        <f ca="1"/>
        <v>#NAME?</v>
      </c>
      <c r="N31" s="47"/>
    </row>
    <row r="32" spans="1:14" ht="14.25" customHeight="1">
      <c r="A32" s="26">
        <v>4</v>
      </c>
      <c r="B32" s="47"/>
      <c r="C32" s="30" t="s">
        <v>5728</v>
      </c>
      <c r="D32" s="64" t="e">
        <f ca="1"/>
        <v>#NAME?</v>
      </c>
      <c r="E32" s="64" t="e">
        <f ca="1"/>
        <v>#NAME?</v>
      </c>
      <c r="F32" s="64" t="e">
        <f ca="1"/>
        <v>#NAME?</v>
      </c>
      <c r="G32" s="80" t="e">
        <f ca="1"/>
        <v>#NAME?</v>
      </c>
      <c r="H32" s="84" t="e">
        <f ca="1"/>
        <v>#NAME?</v>
      </c>
      <c r="I32" s="64" t="e">
        <f ca="1"/>
        <v>#NAME?</v>
      </c>
      <c r="J32" s="64" t="e">
        <f ca="1"/>
        <v>#NAME?</v>
      </c>
      <c r="K32" s="47" t="e">
        <f ca="1"/>
        <v>#NAME?</v>
      </c>
      <c r="L32" s="47" t="e">
        <f ca="1"/>
        <v>#NAME?</v>
      </c>
      <c r="M32" s="47" t="e">
        <f ca="1"/>
        <v>#NAME?</v>
      </c>
      <c r="N32" s="47"/>
    </row>
    <row r="33" spans="1:14" ht="14.25" customHeight="1">
      <c r="A33" s="26">
        <v>5</v>
      </c>
      <c r="B33" s="78"/>
      <c r="C33" s="30" t="s">
        <v>5738</v>
      </c>
      <c r="D33" s="64" t="e">
        <f ca="1"/>
        <v>#NAME?</v>
      </c>
      <c r="E33" s="64" t="e">
        <f ca="1"/>
        <v>#NAME?</v>
      </c>
      <c r="F33" s="64" t="e">
        <f ca="1"/>
        <v>#NAME?</v>
      </c>
      <c r="G33" s="80" t="e">
        <f ca="1"/>
        <v>#NAME?</v>
      </c>
      <c r="H33" s="84" t="e">
        <f ca="1"/>
        <v>#NAME?</v>
      </c>
      <c r="I33" s="64" t="e">
        <f ca="1"/>
        <v>#NAME?</v>
      </c>
      <c r="J33" s="51" t="e">
        <f ca="1"/>
        <v>#NAME?</v>
      </c>
      <c r="K33" s="47" t="e">
        <f ca="1"/>
        <v>#NAME?</v>
      </c>
      <c r="L33" s="47" t="e">
        <f ca="1"/>
        <v>#NAME?</v>
      </c>
      <c r="M33" s="47" t="e">
        <f ca="1"/>
        <v>#NAME?</v>
      </c>
      <c r="N33" s="47"/>
    </row>
    <row r="34" spans="1:14" ht="14.25" customHeight="1">
      <c r="A34" s="26">
        <v>6</v>
      </c>
      <c r="B34" s="47"/>
      <c r="C34" s="30" t="s">
        <v>5749</v>
      </c>
      <c r="D34" s="63" t="e">
        <f ca="1"/>
        <v>#NAME?</v>
      </c>
      <c r="E34" s="63" t="e">
        <f ca="1"/>
        <v>#NAME?</v>
      </c>
      <c r="F34" s="63" t="e">
        <f ca="1"/>
        <v>#NAME?</v>
      </c>
      <c r="G34" s="63" t="e">
        <f ca="1"/>
        <v>#NAME?</v>
      </c>
      <c r="H34" s="84" t="e">
        <f ca="1"/>
        <v>#NAME?</v>
      </c>
      <c r="I34" s="63" t="e">
        <f ca="1"/>
        <v>#NAME?</v>
      </c>
      <c r="J34" s="51" t="e">
        <f ca="1"/>
        <v>#NAME?</v>
      </c>
      <c r="K34" s="47" t="e">
        <f ca="1"/>
        <v>#NAME?</v>
      </c>
      <c r="L34" s="47" t="e">
        <f ca="1"/>
        <v>#NAME?</v>
      </c>
      <c r="M34" s="47" t="e">
        <f ca="1"/>
        <v>#NAME?</v>
      </c>
      <c r="N34" s="47"/>
    </row>
    <row r="35" spans="1:14" ht="14.25" customHeight="1">
      <c r="A35" s="26">
        <v>7</v>
      </c>
      <c r="B35" s="78"/>
      <c r="C35" s="30" t="s">
        <v>5759</v>
      </c>
      <c r="D35" s="64" t="e">
        <f ca="1"/>
        <v>#NAME?</v>
      </c>
      <c r="E35" s="64" t="e">
        <f ca="1"/>
        <v>#NAME?</v>
      </c>
      <c r="F35" s="64" t="e">
        <f ca="1"/>
        <v>#NAME?</v>
      </c>
      <c r="G35" s="63" t="e">
        <f ca="1"/>
        <v>#NAME?</v>
      </c>
      <c r="H35" s="84" t="e">
        <f ca="1"/>
        <v>#NAME?</v>
      </c>
      <c r="I35" s="68" t="e">
        <f ca="1"/>
        <v>#NAME?</v>
      </c>
      <c r="J35" s="51" t="e">
        <f ca="1"/>
        <v>#NAME?</v>
      </c>
      <c r="K35" s="47" t="e">
        <f ca="1"/>
        <v>#NAME?</v>
      </c>
      <c r="L35" s="47" t="e">
        <f ca="1"/>
        <v>#NAME?</v>
      </c>
      <c r="M35" s="47" t="e">
        <f ca="1"/>
        <v>#NAME?</v>
      </c>
      <c r="N35" s="47"/>
    </row>
    <row r="36" spans="1:14" ht="14.25" customHeight="1">
      <c r="A36" s="26">
        <v>8</v>
      </c>
      <c r="B36" s="78"/>
      <c r="C36" s="30" t="s">
        <v>10649</v>
      </c>
      <c r="D36" s="64" t="e">
        <f ca="1"/>
        <v>#NAME?</v>
      </c>
      <c r="E36" s="64" t="e">
        <f ca="1"/>
        <v>#NAME?</v>
      </c>
      <c r="F36" s="64" t="e">
        <f ca="1"/>
        <v>#NAME?</v>
      </c>
      <c r="G36" s="63" t="e">
        <f ca="1"/>
        <v>#NAME?</v>
      </c>
      <c r="H36" s="84" t="e">
        <f ca="1"/>
        <v>#NAME?</v>
      </c>
      <c r="I36" s="64" t="e">
        <f ca="1"/>
        <v>#NAME?</v>
      </c>
      <c r="J36" s="64" t="e">
        <f ca="1"/>
        <v>#NAME?</v>
      </c>
      <c r="K36" s="47" t="e">
        <f ca="1"/>
        <v>#NAME?</v>
      </c>
      <c r="L36" s="47" t="e">
        <f ca="1"/>
        <v>#NAME?</v>
      </c>
      <c r="M36" s="47" t="e">
        <f ca="1"/>
        <v>#NAME?</v>
      </c>
      <c r="N36" s="47"/>
    </row>
    <row r="37" spans="1:14" ht="14.25" customHeight="1">
      <c r="A37" s="26">
        <v>9</v>
      </c>
      <c r="B37" s="78"/>
      <c r="C37" s="30" t="s">
        <v>5779</v>
      </c>
      <c r="D37" s="64" t="e">
        <f ca="1"/>
        <v>#NAME?</v>
      </c>
      <c r="E37" s="64" t="e">
        <f ca="1"/>
        <v>#NAME?</v>
      </c>
      <c r="F37" s="64" t="e">
        <f ca="1"/>
        <v>#NAME?</v>
      </c>
      <c r="G37" s="63" t="e">
        <f ca="1"/>
        <v>#NAME?</v>
      </c>
      <c r="H37" s="84" t="e">
        <f ca="1"/>
        <v>#NAME?</v>
      </c>
      <c r="I37" s="64" t="e">
        <f ca="1"/>
        <v>#NAME?</v>
      </c>
      <c r="J37" s="64" t="e">
        <f ca="1"/>
        <v>#NAME?</v>
      </c>
      <c r="K37" s="47" t="e">
        <f ca="1"/>
        <v>#NAME?</v>
      </c>
      <c r="L37" s="47" t="e">
        <f ca="1"/>
        <v>#NAME?</v>
      </c>
      <c r="M37" s="47" t="e">
        <f ca="1"/>
        <v>#NAME?</v>
      </c>
      <c r="N37" s="47"/>
    </row>
    <row r="38" spans="1:14" ht="14.25" customHeight="1">
      <c r="A38" s="26">
        <v>10</v>
      </c>
      <c r="B38" s="47"/>
      <c r="C38" s="30" t="s">
        <v>5788</v>
      </c>
      <c r="D38" s="64" t="e">
        <f ca="1"/>
        <v>#NAME?</v>
      </c>
      <c r="E38" s="64" t="e">
        <f ca="1"/>
        <v>#NAME?</v>
      </c>
      <c r="F38" s="64" t="e">
        <f ca="1"/>
        <v>#NAME?</v>
      </c>
      <c r="G38" s="63" t="e">
        <f ca="1"/>
        <v>#NAME?</v>
      </c>
      <c r="H38" s="84" t="e">
        <f ca="1"/>
        <v>#NAME?</v>
      </c>
      <c r="I38" s="64" t="e">
        <f ca="1"/>
        <v>#NAME?</v>
      </c>
      <c r="J38" s="64" t="e">
        <f ca="1"/>
        <v>#NAME?</v>
      </c>
      <c r="K38" s="47" t="e">
        <f ca="1"/>
        <v>#NAME?</v>
      </c>
      <c r="L38" s="47" t="e">
        <f ca="1"/>
        <v>#NAME?</v>
      </c>
      <c r="M38" s="47" t="e">
        <f ca="1"/>
        <v>#NAME?</v>
      </c>
      <c r="N38" s="47"/>
    </row>
    <row r="39" spans="1:14" ht="14.25" customHeight="1">
      <c r="A39" s="26">
        <v>11</v>
      </c>
      <c r="B39" s="47"/>
      <c r="C39" s="30" t="s">
        <v>5799</v>
      </c>
      <c r="D39" s="64" t="e">
        <f ca="1"/>
        <v>#NAME?</v>
      </c>
      <c r="E39" s="64" t="e">
        <f ca="1"/>
        <v>#NAME?</v>
      </c>
      <c r="F39" s="64" t="e">
        <f ca="1"/>
        <v>#NAME?</v>
      </c>
      <c r="G39" s="63" t="e">
        <f ca="1"/>
        <v>#NAME?</v>
      </c>
      <c r="H39" s="84" t="e">
        <f ca="1"/>
        <v>#NAME?</v>
      </c>
      <c r="I39" s="64" t="e">
        <f ca="1"/>
        <v>#NAME?</v>
      </c>
      <c r="J39" s="64" t="e">
        <f ca="1"/>
        <v>#NAME?</v>
      </c>
      <c r="K39" s="47" t="e">
        <f ca="1"/>
        <v>#NAME?</v>
      </c>
      <c r="L39" s="47" t="e">
        <f ca="1"/>
        <v>#NAME?</v>
      </c>
      <c r="M39" s="47" t="e">
        <f ca="1"/>
        <v>#NAME?</v>
      </c>
      <c r="N39" s="47"/>
    </row>
    <row r="40" spans="1:14" ht="14.25" customHeight="1">
      <c r="A40" s="26">
        <v>12</v>
      </c>
      <c r="B40" s="78"/>
      <c r="C40" s="30" t="s">
        <v>5809</v>
      </c>
      <c r="D40" s="64" t="e">
        <f ca="1"/>
        <v>#NAME?</v>
      </c>
      <c r="E40" s="64" t="e">
        <f ca="1"/>
        <v>#NAME?</v>
      </c>
      <c r="F40" s="64" t="e">
        <f ca="1"/>
        <v>#NAME?</v>
      </c>
      <c r="G40" s="63" t="e">
        <f ca="1"/>
        <v>#NAME?</v>
      </c>
      <c r="H40" s="84" t="e">
        <f ca="1"/>
        <v>#NAME?</v>
      </c>
      <c r="I40" s="64" t="e">
        <f ca="1"/>
        <v>#NAME?</v>
      </c>
      <c r="J40" s="64" t="e">
        <f ca="1"/>
        <v>#NAME?</v>
      </c>
      <c r="K40" s="47" t="e">
        <f ca="1"/>
        <v>#NAME?</v>
      </c>
      <c r="L40" s="47" t="e">
        <f ca="1"/>
        <v>#NAME?</v>
      </c>
      <c r="M40" s="47" t="e">
        <f ca="1"/>
        <v>#NAME?</v>
      </c>
      <c r="N40" s="47"/>
    </row>
    <row r="41" spans="1:14" ht="14.25" customHeight="1">
      <c r="A41" s="26">
        <v>13</v>
      </c>
      <c r="B41" s="47"/>
      <c r="C41" s="30" t="s">
        <v>5819</v>
      </c>
      <c r="D41" s="64" t="e">
        <f ca="1"/>
        <v>#NAME?</v>
      </c>
      <c r="E41" s="64" t="e">
        <f ca="1"/>
        <v>#NAME?</v>
      </c>
      <c r="F41" s="64" t="e">
        <f ca="1"/>
        <v>#NAME?</v>
      </c>
      <c r="G41" s="63" t="e">
        <f ca="1"/>
        <v>#NAME?</v>
      </c>
      <c r="H41" s="84" t="e">
        <f ca="1"/>
        <v>#NAME?</v>
      </c>
      <c r="I41" s="64" t="e">
        <f ca="1"/>
        <v>#NAME?</v>
      </c>
      <c r="J41" s="64" t="e">
        <f ca="1"/>
        <v>#NAME?</v>
      </c>
      <c r="K41" s="47" t="e">
        <f ca="1"/>
        <v>#NAME?</v>
      </c>
      <c r="L41" s="47" t="e">
        <f ca="1"/>
        <v>#NAME?</v>
      </c>
      <c r="M41" s="47" t="e">
        <f ca="1"/>
        <v>#NAME?</v>
      </c>
      <c r="N41" s="47"/>
    </row>
    <row r="42" spans="1:14" ht="14.25" customHeight="1">
      <c r="A42" s="26">
        <v>14</v>
      </c>
      <c r="B42" s="47"/>
      <c r="C42" s="30" t="s">
        <v>5828</v>
      </c>
      <c r="D42" s="63" t="e">
        <f ca="1"/>
        <v>#NAME?</v>
      </c>
      <c r="E42" s="63" t="e">
        <f ca="1"/>
        <v>#NAME?</v>
      </c>
      <c r="F42" s="63" t="e">
        <f ca="1"/>
        <v>#NAME?</v>
      </c>
      <c r="G42" s="63" t="e">
        <f ca="1"/>
        <v>#NAME?</v>
      </c>
      <c r="H42" s="84" t="e">
        <f ca="1"/>
        <v>#NAME?</v>
      </c>
      <c r="I42" s="64" t="e">
        <f ca="1"/>
        <v>#NAME?</v>
      </c>
      <c r="J42" s="51" t="e">
        <f ca="1"/>
        <v>#NAME?</v>
      </c>
      <c r="K42" s="47" t="e">
        <f ca="1"/>
        <v>#NAME?</v>
      </c>
      <c r="L42" s="47" t="e">
        <f ca="1"/>
        <v>#NAME?</v>
      </c>
      <c r="M42" s="47" t="e">
        <f ca="1"/>
        <v>#NAME?</v>
      </c>
      <c r="N42" s="47"/>
    </row>
    <row r="43" spans="1:14" ht="14.25" customHeight="1">
      <c r="A43" s="26">
        <v>15</v>
      </c>
      <c r="B43" s="78"/>
      <c r="C43" s="30" t="s">
        <v>5836</v>
      </c>
      <c r="D43" s="64" t="e">
        <f ca="1"/>
        <v>#NAME?</v>
      </c>
      <c r="E43" s="64" t="e">
        <f ca="1"/>
        <v>#NAME?</v>
      </c>
      <c r="F43" s="64" t="e">
        <f ca="1"/>
        <v>#NAME?</v>
      </c>
      <c r="G43" s="63" t="e">
        <f ca="1"/>
        <v>#NAME?</v>
      </c>
      <c r="H43" s="84" t="e">
        <f ca="1"/>
        <v>#NAME?</v>
      </c>
      <c r="I43" s="64" t="e">
        <f ca="1"/>
        <v>#NAME?</v>
      </c>
      <c r="J43" s="64" t="e">
        <f ca="1"/>
        <v>#NAME?</v>
      </c>
      <c r="K43" s="47" t="e">
        <f ca="1"/>
        <v>#NAME?</v>
      </c>
      <c r="L43" s="47" t="e">
        <f ca="1"/>
        <v>#NAME?</v>
      </c>
      <c r="M43" s="47" t="e">
        <f ca="1"/>
        <v>#NAME?</v>
      </c>
      <c r="N43" s="47"/>
    </row>
    <row r="44" spans="1:14" ht="14.25" customHeight="1">
      <c r="A44" s="26">
        <v>16</v>
      </c>
      <c r="B44" s="47"/>
      <c r="C44" s="30" t="s">
        <v>5846</v>
      </c>
      <c r="D44" s="64" t="e">
        <f ca="1"/>
        <v>#NAME?</v>
      </c>
      <c r="E44" s="63" t="e">
        <f ca="1"/>
        <v>#NAME?</v>
      </c>
      <c r="F44" s="63" t="e">
        <f ca="1"/>
        <v>#NAME?</v>
      </c>
      <c r="G44" s="63" t="e">
        <f ca="1"/>
        <v>#NAME?</v>
      </c>
      <c r="H44" s="84" t="e">
        <f ca="1"/>
        <v>#NAME?</v>
      </c>
      <c r="I44" s="64" t="e">
        <f ca="1"/>
        <v>#NAME?</v>
      </c>
      <c r="J44" s="64" t="e">
        <f ca="1"/>
        <v>#NAME?</v>
      </c>
      <c r="K44" s="47" t="e">
        <f ca="1"/>
        <v>#NAME?</v>
      </c>
      <c r="L44" s="47" t="e">
        <f ca="1"/>
        <v>#NAME?</v>
      </c>
      <c r="M44" s="47" t="e">
        <f ca="1"/>
        <v>#NAME?</v>
      </c>
      <c r="N44" s="47"/>
    </row>
    <row r="45" spans="1:14" ht="14.25" customHeight="1">
      <c r="A45" s="26">
        <v>17</v>
      </c>
      <c r="B45" s="78"/>
      <c r="C45" s="30" t="s">
        <v>5855</v>
      </c>
      <c r="D45" s="64" t="e">
        <f ca="1"/>
        <v>#NAME?</v>
      </c>
      <c r="E45" s="64" t="e">
        <f ca="1"/>
        <v>#NAME?</v>
      </c>
      <c r="F45" s="64" t="e">
        <f ca="1"/>
        <v>#NAME?</v>
      </c>
      <c r="G45" s="63" t="e">
        <f ca="1"/>
        <v>#NAME?</v>
      </c>
      <c r="H45" s="84" t="e">
        <f ca="1"/>
        <v>#NAME?</v>
      </c>
      <c r="I45" s="64" t="e">
        <f ca="1"/>
        <v>#NAME?</v>
      </c>
      <c r="J45" s="51" t="e">
        <f ca="1"/>
        <v>#NAME?</v>
      </c>
      <c r="K45" s="47" t="e">
        <f ca="1"/>
        <v>#NAME?</v>
      </c>
      <c r="L45" s="47" t="e">
        <f ca="1"/>
        <v>#NAME?</v>
      </c>
      <c r="M45" s="47" t="e">
        <f ca="1"/>
        <v>#NAME?</v>
      </c>
      <c r="N45" s="47"/>
    </row>
    <row r="46" spans="1:14" ht="14.25" customHeight="1">
      <c r="A46" s="26">
        <v>18</v>
      </c>
      <c r="B46" s="47"/>
      <c r="C46" s="30" t="s">
        <v>5865</v>
      </c>
      <c r="D46" s="64" t="e">
        <f ca="1"/>
        <v>#NAME?</v>
      </c>
      <c r="E46" s="64" t="e">
        <f ca="1"/>
        <v>#NAME?</v>
      </c>
      <c r="F46" s="64" t="e">
        <f ca="1"/>
        <v>#NAME?</v>
      </c>
      <c r="G46" s="63" t="e">
        <f ca="1"/>
        <v>#NAME?</v>
      </c>
      <c r="H46" s="84" t="e">
        <f ca="1"/>
        <v>#NAME?</v>
      </c>
      <c r="I46" s="64" t="e">
        <f ca="1"/>
        <v>#NAME?</v>
      </c>
      <c r="J46" s="64" t="e">
        <f ca="1"/>
        <v>#NAME?</v>
      </c>
      <c r="K46" s="47" t="e">
        <f ca="1"/>
        <v>#NAME?</v>
      </c>
      <c r="L46" s="47" t="e">
        <f ca="1"/>
        <v>#NAME?</v>
      </c>
      <c r="M46" s="47" t="e">
        <f ca="1"/>
        <v>#NAME?</v>
      </c>
      <c r="N46" s="47"/>
    </row>
    <row r="47" spans="1:14" ht="14.25" customHeight="1">
      <c r="A47" s="26">
        <v>19</v>
      </c>
      <c r="B47" s="78"/>
      <c r="C47" s="30" t="s">
        <v>5875</v>
      </c>
      <c r="D47" s="64" t="e">
        <f ca="1"/>
        <v>#NAME?</v>
      </c>
      <c r="E47" s="64" t="e">
        <f ca="1"/>
        <v>#NAME?</v>
      </c>
      <c r="F47" s="64" t="e">
        <f ca="1"/>
        <v>#NAME?</v>
      </c>
      <c r="G47" s="63" t="e">
        <f ca="1"/>
        <v>#NAME?</v>
      </c>
      <c r="H47" s="84" t="e">
        <f ca="1"/>
        <v>#NAME?</v>
      </c>
      <c r="I47" s="64" t="e">
        <f ca="1"/>
        <v>#NAME?</v>
      </c>
      <c r="J47" s="64" t="e">
        <f ca="1"/>
        <v>#NAME?</v>
      </c>
      <c r="K47" s="47" t="e">
        <f ca="1"/>
        <v>#NAME?</v>
      </c>
      <c r="L47" s="47" t="e">
        <f ca="1"/>
        <v>#NAME?</v>
      </c>
      <c r="M47" s="47" t="e">
        <f ca="1"/>
        <v>#NAME?</v>
      </c>
      <c r="N47" s="47"/>
    </row>
    <row r="48" spans="1:14" ht="14.25" customHeight="1">
      <c r="A48" s="26">
        <v>20</v>
      </c>
      <c r="B48" s="47"/>
      <c r="C48" s="29" t="s">
        <v>5885</v>
      </c>
      <c r="D48" s="64" t="e">
        <f ca="1"/>
        <v>#NAME?</v>
      </c>
      <c r="E48" s="64" t="e">
        <f ca="1"/>
        <v>#NAME?</v>
      </c>
      <c r="F48" s="64" t="e">
        <f ca="1"/>
        <v>#NAME?</v>
      </c>
      <c r="G48" s="63" t="e">
        <f ca="1"/>
        <v>#NAME?</v>
      </c>
      <c r="H48" s="84" t="e">
        <f ca="1"/>
        <v>#NAME?</v>
      </c>
      <c r="I48" s="64" t="e">
        <f ca="1"/>
        <v>#NAME?</v>
      </c>
      <c r="J48" s="51" t="e">
        <f ca="1"/>
        <v>#NAME?</v>
      </c>
      <c r="K48" s="47" t="e">
        <f ca="1"/>
        <v>#NAME?</v>
      </c>
      <c r="L48" s="47" t="e">
        <f ca="1"/>
        <v>#NAME?</v>
      </c>
      <c r="M48" s="47" t="e">
        <f ca="1"/>
        <v>#NAME?</v>
      </c>
      <c r="N48" s="47"/>
    </row>
    <row r="49" spans="1:14" ht="14.25" customHeight="1">
      <c r="A49" s="26">
        <v>21</v>
      </c>
      <c r="B49" s="78"/>
      <c r="C49" s="30" t="s">
        <v>5895</v>
      </c>
      <c r="D49" s="64" t="e">
        <f ca="1"/>
        <v>#NAME?</v>
      </c>
      <c r="E49" s="64" t="e">
        <f ca="1"/>
        <v>#NAME?</v>
      </c>
      <c r="F49" s="64" t="e">
        <f ca="1"/>
        <v>#NAME?</v>
      </c>
      <c r="G49" s="63" t="e">
        <f ca="1"/>
        <v>#NAME?</v>
      </c>
      <c r="H49" s="84" t="e">
        <f ca="1"/>
        <v>#NAME?</v>
      </c>
      <c r="I49" s="64" t="e">
        <f ca="1"/>
        <v>#NAME?</v>
      </c>
      <c r="J49" s="64" t="e">
        <f ca="1"/>
        <v>#NAME?</v>
      </c>
      <c r="K49" s="47" t="e">
        <f ca="1"/>
        <v>#NAME?</v>
      </c>
      <c r="L49" s="47" t="e">
        <f ca="1"/>
        <v>#NAME?</v>
      </c>
      <c r="M49" s="47" t="e">
        <f ca="1"/>
        <v>#NAME?</v>
      </c>
      <c r="N49" s="47"/>
    </row>
    <row r="50" spans="1:14" ht="14.25" customHeight="1">
      <c r="A50" s="26">
        <v>22</v>
      </c>
      <c r="B50" s="78"/>
      <c r="C50" s="30" t="s">
        <v>5905</v>
      </c>
      <c r="D50" s="64" t="e">
        <f ca="1"/>
        <v>#NAME?</v>
      </c>
      <c r="E50" s="64" t="e">
        <f ca="1"/>
        <v>#NAME?</v>
      </c>
      <c r="F50" s="64" t="e">
        <f ca="1"/>
        <v>#NAME?</v>
      </c>
      <c r="G50" s="63" t="e">
        <f ca="1"/>
        <v>#NAME?</v>
      </c>
      <c r="H50" s="84" t="e">
        <f ca="1"/>
        <v>#NAME?</v>
      </c>
      <c r="I50" s="64" t="e">
        <f ca="1"/>
        <v>#NAME?</v>
      </c>
      <c r="J50" s="64" t="e">
        <f ca="1"/>
        <v>#NAME?</v>
      </c>
      <c r="K50" s="47" t="e">
        <f ca="1"/>
        <v>#NAME?</v>
      </c>
      <c r="L50" s="47" t="e">
        <f ca="1"/>
        <v>#NAME?</v>
      </c>
      <c r="M50" s="47" t="e">
        <f ca="1"/>
        <v>#NAME?</v>
      </c>
      <c r="N50" s="47"/>
    </row>
    <row r="51" spans="1:14" ht="14.25" customHeight="1">
      <c r="A51" s="26">
        <v>23</v>
      </c>
      <c r="B51" s="78"/>
      <c r="C51" s="63" t="s">
        <v>5915</v>
      </c>
      <c r="D51" s="80" t="e">
        <f ca="1"/>
        <v>#NAME?</v>
      </c>
      <c r="E51" s="63" t="e">
        <f ca="1"/>
        <v>#NAME?</v>
      </c>
      <c r="F51" s="63" t="e">
        <f ca="1"/>
        <v>#NAME?</v>
      </c>
      <c r="G51" s="80" t="e">
        <f ca="1"/>
        <v>#NAME?</v>
      </c>
      <c r="H51" s="79" t="e">
        <f ca="1"/>
        <v>#NAME?</v>
      </c>
      <c r="I51" s="80" t="e">
        <f ca="1"/>
        <v>#NAME?</v>
      </c>
      <c r="J51" s="51" t="e">
        <f ca="1"/>
        <v>#NAME?</v>
      </c>
      <c r="K51" s="47" t="e">
        <f ca="1"/>
        <v>#NAME?</v>
      </c>
      <c r="L51" s="47" t="e">
        <f ca="1"/>
        <v>#NAME?</v>
      </c>
      <c r="M51" s="47" t="e">
        <f ca="1"/>
        <v>#NAME?</v>
      </c>
      <c r="N51" s="47"/>
    </row>
    <row r="52" spans="1:14" ht="14.25" customHeight="1">
      <c r="A52" s="26">
        <v>24</v>
      </c>
      <c r="B52" s="78"/>
      <c r="C52" s="64" t="s">
        <v>5925</v>
      </c>
      <c r="D52" s="64" t="e">
        <f ca="1"/>
        <v>#NAME?</v>
      </c>
      <c r="E52" s="64" t="e">
        <f ca="1"/>
        <v>#NAME?</v>
      </c>
      <c r="F52" s="64" t="e">
        <f ca="1"/>
        <v>#NAME?</v>
      </c>
      <c r="G52" s="80" t="e">
        <f ca="1"/>
        <v>#NAME?</v>
      </c>
      <c r="H52" s="84" t="e">
        <f ca="1"/>
        <v>#NAME?</v>
      </c>
      <c r="I52" s="64" t="e">
        <f ca="1"/>
        <v>#NAME?</v>
      </c>
      <c r="J52" s="51" t="e">
        <f ca="1"/>
        <v>#NAME?</v>
      </c>
      <c r="K52" s="47" t="e">
        <f ca="1"/>
        <v>#NAME?</v>
      </c>
      <c r="L52" s="47" t="e">
        <f ca="1"/>
        <v>#NAME?</v>
      </c>
      <c r="M52" s="47" t="e">
        <f ca="1"/>
        <v>#NAME?</v>
      </c>
      <c r="N52" s="47"/>
    </row>
    <row r="53" spans="1:14" ht="14.25" customHeight="1">
      <c r="A53" s="26">
        <v>25</v>
      </c>
      <c r="B53" s="78"/>
      <c r="C53" s="64" t="s">
        <v>3952</v>
      </c>
      <c r="D53" s="64" t="e">
        <f ca="1"/>
        <v>#NAME?</v>
      </c>
      <c r="E53" s="64" t="e">
        <f ca="1"/>
        <v>#NAME?</v>
      </c>
      <c r="F53" s="64" t="e">
        <f ca="1"/>
        <v>#NAME?</v>
      </c>
      <c r="G53" s="80" t="e">
        <f ca="1"/>
        <v>#NAME?</v>
      </c>
      <c r="H53" s="84" t="e">
        <f ca="1"/>
        <v>#NAME?</v>
      </c>
      <c r="I53" s="62" t="e">
        <f ca="1"/>
        <v>#NAME?</v>
      </c>
      <c r="J53" s="64" t="e">
        <f ca="1"/>
        <v>#NAME?</v>
      </c>
      <c r="K53" s="47" t="e">
        <f ca="1"/>
        <v>#NAME?</v>
      </c>
      <c r="L53" s="47" t="e">
        <f ca="1"/>
        <v>#NAME?</v>
      </c>
      <c r="M53" s="47" t="e">
        <f ca="1"/>
        <v>#NAME?</v>
      </c>
      <c r="N53" s="47"/>
    </row>
    <row r="54" spans="1:14" ht="14.25" customHeight="1">
      <c r="A54" s="26">
        <v>26</v>
      </c>
      <c r="B54" s="47"/>
      <c r="C54" s="64" t="s">
        <v>1439</v>
      </c>
      <c r="D54" s="64" t="e">
        <f ca="1"/>
        <v>#NAME?</v>
      </c>
      <c r="E54" s="64" t="e">
        <f ca="1"/>
        <v>#NAME?</v>
      </c>
      <c r="F54" s="64" t="e">
        <f ca="1"/>
        <v>#NAME?</v>
      </c>
      <c r="G54" s="80" t="e">
        <f ca="1"/>
        <v>#NAME?</v>
      </c>
      <c r="H54" s="84" t="e">
        <f ca="1"/>
        <v>#NAME?</v>
      </c>
      <c r="I54" s="64" t="e">
        <f ca="1"/>
        <v>#NAME?</v>
      </c>
      <c r="J54" s="64" t="e">
        <f ca="1"/>
        <v>#NAME?</v>
      </c>
      <c r="K54" s="47" t="e">
        <f ca="1"/>
        <v>#NAME?</v>
      </c>
      <c r="L54" s="47" t="e">
        <f ca="1"/>
        <v>#NAME?</v>
      </c>
      <c r="M54" s="47" t="e">
        <f ca="1"/>
        <v>#NAME?</v>
      </c>
      <c r="N54" s="47"/>
    </row>
    <row r="55" spans="1:14" ht="14.25" customHeight="1">
      <c r="A55" s="26">
        <v>27</v>
      </c>
      <c r="B55" s="78"/>
      <c r="C55" s="64" t="s">
        <v>5945</v>
      </c>
      <c r="D55" s="62" t="e">
        <f ca="1"/>
        <v>#NAME?</v>
      </c>
      <c r="E55" s="64" t="e">
        <f ca="1"/>
        <v>#NAME?</v>
      </c>
      <c r="F55" s="64" t="e">
        <f ca="1"/>
        <v>#NAME?</v>
      </c>
      <c r="G55" s="80" t="e">
        <f ca="1"/>
        <v>#NAME?</v>
      </c>
      <c r="H55" s="79" t="e">
        <f ca="1"/>
        <v>#NAME?</v>
      </c>
      <c r="I55" s="64" t="e">
        <f ca="1"/>
        <v>#NAME?</v>
      </c>
      <c r="J55" s="64" t="e">
        <f ca="1"/>
        <v>#NAME?</v>
      </c>
      <c r="K55" s="47" t="e">
        <f ca="1"/>
        <v>#NAME?</v>
      </c>
      <c r="L55" s="47" t="e">
        <f ca="1"/>
        <v>#NAME?</v>
      </c>
      <c r="M55" s="47" t="e">
        <f ca="1"/>
        <v>#NAME?</v>
      </c>
      <c r="N55" s="47"/>
    </row>
    <row r="56" spans="1:14" ht="14.25" customHeight="1">
      <c r="A56" s="26">
        <v>28</v>
      </c>
      <c r="B56" s="47"/>
      <c r="C56" s="64" t="s">
        <v>5955</v>
      </c>
      <c r="D56" s="62" t="e">
        <f ca="1"/>
        <v>#NAME?</v>
      </c>
      <c r="E56" s="64" t="e">
        <f ca="1"/>
        <v>#NAME?</v>
      </c>
      <c r="F56" s="64" t="e">
        <f ca="1"/>
        <v>#NAME?</v>
      </c>
      <c r="G56" s="80" t="e">
        <f ca="1"/>
        <v>#NAME?</v>
      </c>
      <c r="H56" s="79" t="e">
        <f ca="1"/>
        <v>#NAME?</v>
      </c>
      <c r="I56" s="64" t="e">
        <f ca="1"/>
        <v>#NAME?</v>
      </c>
      <c r="J56" s="51" t="e">
        <f ca="1"/>
        <v>#NAME?</v>
      </c>
      <c r="K56" s="47" t="e">
        <f ca="1"/>
        <v>#NAME?</v>
      </c>
      <c r="L56" s="47" t="e">
        <f ca="1"/>
        <v>#NAME?</v>
      </c>
      <c r="M56" s="47" t="e">
        <f ca="1"/>
        <v>#NAME?</v>
      </c>
      <c r="N56" s="47"/>
    </row>
    <row r="57" spans="1:14" ht="14.25" customHeight="1">
      <c r="A57" s="19">
        <v>1</v>
      </c>
      <c r="B57" s="78"/>
      <c r="C57" s="90" t="s">
        <v>5965</v>
      </c>
      <c r="D57" s="90" t="e">
        <f ca="1"/>
        <v>#NAME?</v>
      </c>
      <c r="E57" s="90" t="e">
        <f ca="1"/>
        <v>#NAME?</v>
      </c>
      <c r="F57" s="90" t="e">
        <f ca="1"/>
        <v>#NAME?</v>
      </c>
      <c r="G57" s="96" t="e">
        <f ca="1"/>
        <v>#NAME?</v>
      </c>
      <c r="H57" s="140" t="e">
        <f ca="1"/>
        <v>#NAME?</v>
      </c>
      <c r="I57" s="90" t="e">
        <f ca="1"/>
        <v>#NAME?</v>
      </c>
      <c r="J57" s="90" t="e">
        <f ca="1"/>
        <v>#NAME?</v>
      </c>
      <c r="K57" s="88" t="e">
        <f ca="1"/>
        <v>#NAME?</v>
      </c>
      <c r="L57" s="88" t="e">
        <f ca="1"/>
        <v>#NAME?</v>
      </c>
      <c r="M57" s="88" t="e">
        <f ca="1"/>
        <v>#NAME?</v>
      </c>
      <c r="N57" s="88">
        <v>3</v>
      </c>
    </row>
    <row r="58" spans="1:14" ht="14.25" customHeight="1">
      <c r="A58" s="26">
        <v>2</v>
      </c>
      <c r="B58" s="47"/>
      <c r="C58" s="64" t="s">
        <v>5975</v>
      </c>
      <c r="D58" s="64" t="e">
        <f ca="1"/>
        <v>#NAME?</v>
      </c>
      <c r="E58" s="64" t="e">
        <f ca="1"/>
        <v>#NAME?</v>
      </c>
      <c r="F58" s="64" t="e">
        <f ca="1"/>
        <v>#NAME?</v>
      </c>
      <c r="G58" s="80" t="e">
        <f ca="1"/>
        <v>#NAME?</v>
      </c>
      <c r="H58" s="84" t="e">
        <f ca="1"/>
        <v>#NAME?</v>
      </c>
      <c r="I58" s="64" t="e">
        <f ca="1"/>
        <v>#NAME?</v>
      </c>
      <c r="J58" s="64" t="e">
        <f ca="1"/>
        <v>#NAME?</v>
      </c>
      <c r="K58" s="47" t="e">
        <f ca="1"/>
        <v>#NAME?</v>
      </c>
      <c r="L58" s="47" t="e">
        <f ca="1"/>
        <v>#NAME?</v>
      </c>
      <c r="M58" s="47" t="e">
        <f ca="1"/>
        <v>#NAME?</v>
      </c>
      <c r="N58" s="47"/>
    </row>
    <row r="59" spans="1:14" ht="14.25" customHeight="1">
      <c r="A59" s="26">
        <v>3</v>
      </c>
      <c r="B59" s="47"/>
      <c r="C59" s="64" t="s">
        <v>5986</v>
      </c>
      <c r="D59" s="62" t="e">
        <f ca="1"/>
        <v>#NAME?</v>
      </c>
      <c r="E59" s="64" t="e">
        <f ca="1"/>
        <v>#NAME?</v>
      </c>
      <c r="F59" s="64" t="e">
        <f ca="1"/>
        <v>#NAME?</v>
      </c>
      <c r="G59" s="80" t="e">
        <f ca="1"/>
        <v>#NAME?</v>
      </c>
      <c r="H59" s="79" t="e">
        <f ca="1"/>
        <v>#NAME?</v>
      </c>
      <c r="I59" s="64" t="e">
        <f ca="1"/>
        <v>#NAME?</v>
      </c>
      <c r="J59" s="64" t="e">
        <f ca="1"/>
        <v>#NAME?</v>
      </c>
      <c r="K59" s="47" t="e">
        <f ca="1"/>
        <v>#NAME?</v>
      </c>
      <c r="L59" s="47" t="e">
        <f ca="1"/>
        <v>#NAME?</v>
      </c>
      <c r="M59" s="47" t="e">
        <f ca="1"/>
        <v>#NAME?</v>
      </c>
      <c r="N59" s="47"/>
    </row>
    <row r="60" spans="1:14" ht="14.25" customHeight="1">
      <c r="A60" s="26">
        <v>4</v>
      </c>
      <c r="B60" s="78"/>
      <c r="C60" s="64" t="s">
        <v>5017</v>
      </c>
      <c r="D60" s="64" t="e">
        <f ca="1"/>
        <v>#NAME?</v>
      </c>
      <c r="E60" s="64" t="e">
        <f ca="1"/>
        <v>#NAME?</v>
      </c>
      <c r="F60" s="64" t="e">
        <f ca="1"/>
        <v>#NAME?</v>
      </c>
      <c r="G60" s="80" t="e">
        <f ca="1"/>
        <v>#NAME?</v>
      </c>
      <c r="H60" s="84" t="e">
        <f ca="1"/>
        <v>#NAME?</v>
      </c>
      <c r="I60" s="64" t="e">
        <f ca="1"/>
        <v>#NAME?</v>
      </c>
      <c r="J60" s="51" t="e">
        <f ca="1"/>
        <v>#NAME?</v>
      </c>
      <c r="K60" s="47" t="e">
        <f ca="1"/>
        <v>#NAME?</v>
      </c>
      <c r="L60" s="47" t="e">
        <f ca="1"/>
        <v>#NAME?</v>
      </c>
      <c r="M60" s="47" t="e">
        <f ca="1"/>
        <v>#NAME?</v>
      </c>
      <c r="N60" s="47"/>
    </row>
    <row r="61" spans="1:14" ht="14.25" customHeight="1">
      <c r="A61" s="26">
        <v>5</v>
      </c>
      <c r="B61" s="78"/>
      <c r="C61" s="64" t="s">
        <v>6000</v>
      </c>
      <c r="D61" s="62" t="e">
        <f ca="1"/>
        <v>#NAME?</v>
      </c>
      <c r="E61" s="64" t="e">
        <f ca="1"/>
        <v>#NAME?</v>
      </c>
      <c r="F61" s="64" t="e">
        <f ca="1"/>
        <v>#NAME?</v>
      </c>
      <c r="G61" s="80" t="e">
        <f ca="1"/>
        <v>#NAME?</v>
      </c>
      <c r="H61" s="79" t="e">
        <f ca="1"/>
        <v>#NAME?</v>
      </c>
      <c r="I61" s="64" t="e">
        <f ca="1"/>
        <v>#NAME?</v>
      </c>
      <c r="J61" s="51" t="e">
        <f ca="1"/>
        <v>#NAME?</v>
      </c>
      <c r="K61" s="47" t="e">
        <f ca="1"/>
        <v>#NAME?</v>
      </c>
      <c r="L61" s="47" t="e">
        <f ca="1"/>
        <v>#NAME?</v>
      </c>
      <c r="M61" s="47" t="e">
        <f ca="1"/>
        <v>#NAME?</v>
      </c>
      <c r="N61" s="47"/>
    </row>
    <row r="62" spans="1:14" ht="14.25" customHeight="1">
      <c r="A62" s="26">
        <v>6</v>
      </c>
      <c r="B62" s="78"/>
      <c r="C62" s="64" t="s">
        <v>6010</v>
      </c>
      <c r="D62" s="64" t="e">
        <f ca="1"/>
        <v>#NAME?</v>
      </c>
      <c r="E62" s="64" t="e">
        <f ca="1"/>
        <v>#NAME?</v>
      </c>
      <c r="F62" s="64" t="e">
        <f ca="1"/>
        <v>#NAME?</v>
      </c>
      <c r="G62" s="80" t="e">
        <f ca="1"/>
        <v>#NAME?</v>
      </c>
      <c r="H62" s="84" t="e">
        <f ca="1"/>
        <v>#NAME?</v>
      </c>
      <c r="I62" s="64" t="e">
        <f ca="1"/>
        <v>#NAME?</v>
      </c>
      <c r="J62" s="51" t="e">
        <f ca="1"/>
        <v>#NAME?</v>
      </c>
      <c r="K62" s="47" t="e">
        <f ca="1"/>
        <v>#NAME?</v>
      </c>
      <c r="L62" s="47" t="e">
        <f ca="1"/>
        <v>#NAME?</v>
      </c>
      <c r="M62" s="47" t="e">
        <f ca="1"/>
        <v>#NAME?</v>
      </c>
      <c r="N62" s="47"/>
    </row>
    <row r="63" spans="1:14" ht="14.25" customHeight="1">
      <c r="A63" s="26">
        <v>7</v>
      </c>
      <c r="B63" s="47"/>
      <c r="C63" s="64" t="s">
        <v>6019</v>
      </c>
      <c r="D63" s="62" t="e">
        <f ca="1"/>
        <v>#NAME?</v>
      </c>
      <c r="E63" s="64" t="e">
        <f ca="1"/>
        <v>#NAME?</v>
      </c>
      <c r="F63" s="64" t="e">
        <f ca="1"/>
        <v>#NAME?</v>
      </c>
      <c r="G63" s="80" t="e">
        <f ca="1"/>
        <v>#NAME?</v>
      </c>
      <c r="H63" s="79" t="e">
        <f ca="1"/>
        <v>#NAME?</v>
      </c>
      <c r="I63" s="64" t="e">
        <f ca="1"/>
        <v>#NAME?</v>
      </c>
      <c r="J63" s="64" t="e">
        <f ca="1"/>
        <v>#NAME?</v>
      </c>
      <c r="K63" s="47" t="e">
        <f ca="1"/>
        <v>#NAME?</v>
      </c>
      <c r="L63" s="47" t="e">
        <f ca="1"/>
        <v>#NAME?</v>
      </c>
      <c r="M63" s="47" t="e">
        <f ca="1"/>
        <v>#NAME?</v>
      </c>
      <c r="N63" s="47"/>
    </row>
    <row r="64" spans="1:14" ht="14.25" customHeight="1">
      <c r="A64" s="26">
        <v>8</v>
      </c>
      <c r="B64" s="47"/>
      <c r="C64" s="64" t="s">
        <v>6027</v>
      </c>
      <c r="D64" s="64" t="e">
        <f ca="1"/>
        <v>#NAME?</v>
      </c>
      <c r="E64" s="64" t="e">
        <f ca="1"/>
        <v>#NAME?</v>
      </c>
      <c r="F64" s="64" t="e">
        <f ca="1"/>
        <v>#NAME?</v>
      </c>
      <c r="G64" s="80" t="e">
        <f ca="1"/>
        <v>#NAME?</v>
      </c>
      <c r="H64" s="84" t="e">
        <f ca="1"/>
        <v>#NAME?</v>
      </c>
      <c r="I64" s="64" t="e">
        <f ca="1"/>
        <v>#NAME?</v>
      </c>
      <c r="J64" s="64" t="e">
        <f ca="1"/>
        <v>#NAME?</v>
      </c>
      <c r="K64" s="47" t="e">
        <f ca="1"/>
        <v>#NAME?</v>
      </c>
      <c r="L64" s="47" t="e">
        <f ca="1"/>
        <v>#NAME?</v>
      </c>
      <c r="M64" s="47" t="e">
        <f ca="1"/>
        <v>#NAME?</v>
      </c>
      <c r="N64" s="47"/>
    </row>
    <row r="65" spans="1:14" ht="14.25" customHeight="1">
      <c r="A65" s="26">
        <v>9</v>
      </c>
      <c r="B65" s="78"/>
      <c r="C65" s="64" t="s">
        <v>6037</v>
      </c>
      <c r="D65" s="64" t="e">
        <f ca="1"/>
        <v>#NAME?</v>
      </c>
      <c r="E65" s="64" t="e">
        <f ca="1"/>
        <v>#NAME?</v>
      </c>
      <c r="F65" s="64" t="e">
        <f ca="1"/>
        <v>#NAME?</v>
      </c>
      <c r="G65" s="80" t="e">
        <f ca="1"/>
        <v>#NAME?</v>
      </c>
      <c r="H65" s="84" t="e">
        <f ca="1"/>
        <v>#NAME?</v>
      </c>
      <c r="I65" s="64" t="e">
        <f ca="1"/>
        <v>#NAME?</v>
      </c>
      <c r="J65" s="64" t="e">
        <f ca="1"/>
        <v>#NAME?</v>
      </c>
      <c r="K65" s="47" t="e">
        <f ca="1"/>
        <v>#NAME?</v>
      </c>
      <c r="L65" s="47" t="e">
        <f ca="1"/>
        <v>#NAME?</v>
      </c>
      <c r="M65" s="47" t="e">
        <f ca="1"/>
        <v>#NAME?</v>
      </c>
      <c r="N65" s="47"/>
    </row>
    <row r="66" spans="1:14" ht="14.25" customHeight="1">
      <c r="A66" s="26">
        <v>10</v>
      </c>
      <c r="B66" s="78"/>
      <c r="C66" s="64" t="s">
        <v>6045</v>
      </c>
      <c r="D66" s="64" t="e">
        <f ca="1"/>
        <v>#NAME?</v>
      </c>
      <c r="E66" s="64" t="e">
        <f ca="1"/>
        <v>#NAME?</v>
      </c>
      <c r="F66" s="64" t="e">
        <f ca="1"/>
        <v>#NAME?</v>
      </c>
      <c r="G66" s="80" t="e">
        <f ca="1"/>
        <v>#NAME?</v>
      </c>
      <c r="H66" s="84" t="e">
        <f ca="1"/>
        <v>#NAME?</v>
      </c>
      <c r="I66" s="64" t="e">
        <f ca="1"/>
        <v>#NAME?</v>
      </c>
      <c r="J66" s="64" t="e">
        <f ca="1"/>
        <v>#NAME?</v>
      </c>
      <c r="K66" s="47" t="e">
        <f ca="1"/>
        <v>#NAME?</v>
      </c>
      <c r="L66" s="47" t="e">
        <f ca="1"/>
        <v>#NAME?</v>
      </c>
      <c r="M66" s="47" t="e">
        <f ca="1"/>
        <v>#NAME?</v>
      </c>
      <c r="N66" s="47"/>
    </row>
    <row r="67" spans="1:14" ht="14.25" customHeight="1">
      <c r="A67" s="26">
        <v>11</v>
      </c>
      <c r="B67" s="78"/>
      <c r="C67" s="30" t="s">
        <v>6053</v>
      </c>
      <c r="D67" s="63" t="e">
        <f ca="1"/>
        <v>#NAME?</v>
      </c>
      <c r="E67" s="63" t="e">
        <f ca="1"/>
        <v>#NAME?</v>
      </c>
      <c r="F67" s="63" t="e">
        <f ca="1"/>
        <v>#NAME?</v>
      </c>
      <c r="G67" s="63" t="e">
        <f ca="1"/>
        <v>#NAME?</v>
      </c>
      <c r="H67" s="84" t="e">
        <f ca="1"/>
        <v>#NAME?</v>
      </c>
      <c r="I67" s="63" t="e">
        <f ca="1"/>
        <v>#NAME?</v>
      </c>
      <c r="J67" s="51" t="e">
        <f ca="1"/>
        <v>#NAME?</v>
      </c>
      <c r="K67" s="47" t="e">
        <f ca="1"/>
        <v>#NAME?</v>
      </c>
      <c r="L67" s="47" t="e">
        <f ca="1"/>
        <v>#NAME?</v>
      </c>
      <c r="M67" s="47" t="e">
        <f ca="1"/>
        <v>#NAME?</v>
      </c>
      <c r="N67" s="47"/>
    </row>
    <row r="68" spans="1:14" ht="14.25" customHeight="1">
      <c r="A68" s="26">
        <v>12</v>
      </c>
      <c r="B68" s="47"/>
      <c r="C68" s="29" t="s">
        <v>6061</v>
      </c>
      <c r="D68" s="64" t="e">
        <f ca="1"/>
        <v>#NAME?</v>
      </c>
      <c r="E68" s="64" t="e">
        <f ca="1"/>
        <v>#NAME?</v>
      </c>
      <c r="F68" s="64" t="e">
        <f ca="1"/>
        <v>#NAME?</v>
      </c>
      <c r="G68" s="64" t="e">
        <f ca="1"/>
        <v>#NAME?</v>
      </c>
      <c r="H68" s="77" t="e">
        <f ca="1"/>
        <v>#NAME?</v>
      </c>
      <c r="I68" s="64" t="e">
        <f ca="1"/>
        <v>#NAME?</v>
      </c>
      <c r="J68" s="51" t="e">
        <f ca="1"/>
        <v>#NAME?</v>
      </c>
      <c r="K68" s="47" t="e">
        <f ca="1"/>
        <v>#NAME?</v>
      </c>
      <c r="L68" s="47" t="e">
        <f ca="1"/>
        <v>#NAME?</v>
      </c>
      <c r="M68" s="47" t="e">
        <f ca="1"/>
        <v>#NAME?</v>
      </c>
      <c r="N68" s="47"/>
    </row>
    <row r="69" spans="1:14" ht="14.25" customHeight="1">
      <c r="A69" s="26">
        <v>13</v>
      </c>
      <c r="B69" s="78"/>
      <c r="C69" s="30" t="s">
        <v>6069</v>
      </c>
      <c r="D69" s="64" t="e">
        <f ca="1"/>
        <v>#NAME?</v>
      </c>
      <c r="E69" s="64" t="e">
        <f ca="1"/>
        <v>#NAME?</v>
      </c>
      <c r="F69" s="64" t="e">
        <f ca="1"/>
        <v>#NAME?</v>
      </c>
      <c r="G69" s="64" t="e">
        <f ca="1"/>
        <v>#NAME?</v>
      </c>
      <c r="H69" s="77" t="e">
        <f ca="1"/>
        <v>#NAME?</v>
      </c>
      <c r="I69" s="64" t="e">
        <f ca="1"/>
        <v>#NAME?</v>
      </c>
      <c r="J69" s="51" t="e">
        <f ca="1"/>
        <v>#NAME?</v>
      </c>
      <c r="K69" s="47" t="e">
        <f ca="1"/>
        <v>#NAME?</v>
      </c>
      <c r="L69" s="47" t="e">
        <f ca="1"/>
        <v>#NAME?</v>
      </c>
      <c r="M69" s="47" t="e">
        <f ca="1"/>
        <v>#NAME?</v>
      </c>
      <c r="N69" s="47"/>
    </row>
    <row r="70" spans="1:14" ht="14.25" customHeight="1">
      <c r="A70" s="26">
        <v>14</v>
      </c>
      <c r="B70" s="47"/>
      <c r="C70" s="30" t="s">
        <v>6079</v>
      </c>
      <c r="D70" s="64" t="e">
        <f ca="1"/>
        <v>#NAME?</v>
      </c>
      <c r="E70" s="64" t="e">
        <f ca="1"/>
        <v>#NAME?</v>
      </c>
      <c r="F70" s="64" t="e">
        <f ca="1"/>
        <v>#NAME?</v>
      </c>
      <c r="G70" s="64" t="e">
        <f ca="1"/>
        <v>#NAME?</v>
      </c>
      <c r="H70" s="77" t="e">
        <f ca="1"/>
        <v>#NAME?</v>
      </c>
      <c r="I70" s="51" t="e">
        <f ca="1"/>
        <v>#NAME?</v>
      </c>
      <c r="J70" s="51" t="e">
        <f ca="1"/>
        <v>#NAME?</v>
      </c>
      <c r="K70" s="47" t="e">
        <f ca="1"/>
        <v>#NAME?</v>
      </c>
      <c r="L70" s="47" t="e">
        <f ca="1"/>
        <v>#NAME?</v>
      </c>
      <c r="M70" s="47" t="e">
        <f ca="1"/>
        <v>#NAME?</v>
      </c>
      <c r="N70" s="47"/>
    </row>
    <row r="71" spans="1:14" ht="14.25" customHeight="1">
      <c r="A71" s="26">
        <v>15</v>
      </c>
      <c r="B71" s="47"/>
      <c r="C71" s="30" t="s">
        <v>6089</v>
      </c>
      <c r="D71" s="64" t="e">
        <f ca="1"/>
        <v>#NAME?</v>
      </c>
      <c r="E71" s="64" t="e">
        <f ca="1"/>
        <v>#NAME?</v>
      </c>
      <c r="F71" s="64" t="e">
        <f ca="1"/>
        <v>#NAME?</v>
      </c>
      <c r="G71" s="64" t="e">
        <f ca="1"/>
        <v>#NAME?</v>
      </c>
      <c r="H71" s="77" t="e">
        <f ca="1"/>
        <v>#NAME?</v>
      </c>
      <c r="I71" s="64" t="e">
        <f ca="1"/>
        <v>#NAME?</v>
      </c>
      <c r="J71" s="51" t="e">
        <f ca="1"/>
        <v>#NAME?</v>
      </c>
      <c r="K71" s="47" t="e">
        <f ca="1"/>
        <v>#NAME?</v>
      </c>
      <c r="L71" s="47" t="e">
        <f ca="1"/>
        <v>#NAME?</v>
      </c>
      <c r="M71" s="47" t="e">
        <f ca="1"/>
        <v>#NAME?</v>
      </c>
      <c r="N71" s="47"/>
    </row>
    <row r="72" spans="1:14" ht="14.25" customHeight="1">
      <c r="A72" s="26">
        <v>16</v>
      </c>
      <c r="B72" s="47"/>
      <c r="C72" s="30" t="s">
        <v>6098</v>
      </c>
      <c r="D72" s="64" t="e">
        <f ca="1"/>
        <v>#NAME?</v>
      </c>
      <c r="E72" s="64" t="e">
        <f ca="1"/>
        <v>#NAME?</v>
      </c>
      <c r="F72" s="64" t="e">
        <f ca="1"/>
        <v>#NAME?</v>
      </c>
      <c r="G72" s="64" t="e">
        <f ca="1"/>
        <v>#NAME?</v>
      </c>
      <c r="H72" s="77" t="e">
        <f ca="1"/>
        <v>#NAME?</v>
      </c>
      <c r="I72" s="64" t="e">
        <f ca="1"/>
        <v>#NAME?</v>
      </c>
      <c r="J72" s="64" t="e">
        <f ca="1"/>
        <v>#NAME?</v>
      </c>
      <c r="K72" s="47" t="e">
        <f ca="1"/>
        <v>#NAME?</v>
      </c>
      <c r="L72" s="47" t="e">
        <f ca="1"/>
        <v>#NAME?</v>
      </c>
      <c r="M72" s="47" t="e">
        <f ca="1"/>
        <v>#NAME?</v>
      </c>
      <c r="N72" s="47"/>
    </row>
    <row r="73" spans="1:14" ht="14.25" customHeight="1">
      <c r="A73" s="26">
        <v>17</v>
      </c>
      <c r="B73" s="78"/>
      <c r="C73" s="30" t="s">
        <v>6108</v>
      </c>
      <c r="D73" s="64" t="e">
        <f ca="1"/>
        <v>#NAME?</v>
      </c>
      <c r="E73" s="64" t="e">
        <f ca="1"/>
        <v>#NAME?</v>
      </c>
      <c r="F73" s="64" t="e">
        <f ca="1"/>
        <v>#NAME?</v>
      </c>
      <c r="G73" s="64" t="e">
        <f ca="1"/>
        <v>#NAME?</v>
      </c>
      <c r="H73" s="77" t="e">
        <f ca="1"/>
        <v>#NAME?</v>
      </c>
      <c r="I73" s="64" t="e">
        <f ca="1"/>
        <v>#NAME?</v>
      </c>
      <c r="J73" s="64" t="e">
        <f ca="1"/>
        <v>#NAME?</v>
      </c>
      <c r="K73" s="47" t="e">
        <f ca="1"/>
        <v>#NAME?</v>
      </c>
      <c r="L73" s="47" t="e">
        <f ca="1"/>
        <v>#NAME?</v>
      </c>
      <c r="M73" s="47" t="e">
        <f ca="1"/>
        <v>#NAME?</v>
      </c>
      <c r="N73" s="47"/>
    </row>
    <row r="74" spans="1:14" ht="14.25" customHeight="1">
      <c r="A74" s="26">
        <v>18</v>
      </c>
      <c r="B74" s="78"/>
      <c r="C74" s="30" t="s">
        <v>6118</v>
      </c>
      <c r="D74" s="64" t="e">
        <f ca="1"/>
        <v>#NAME?</v>
      </c>
      <c r="E74" s="64" t="e">
        <f ca="1"/>
        <v>#NAME?</v>
      </c>
      <c r="F74" s="64" t="e">
        <f ca="1"/>
        <v>#NAME?</v>
      </c>
      <c r="G74" s="64" t="e">
        <f ca="1"/>
        <v>#NAME?</v>
      </c>
      <c r="H74" s="77" t="e">
        <f ca="1"/>
        <v>#NAME?</v>
      </c>
      <c r="I74" s="64" t="e">
        <f ca="1"/>
        <v>#NAME?</v>
      </c>
      <c r="J74" s="64" t="e">
        <f ca="1"/>
        <v>#NAME?</v>
      </c>
      <c r="K74" s="47" t="e">
        <f ca="1"/>
        <v>#NAME?</v>
      </c>
      <c r="L74" s="47" t="e">
        <f ca="1"/>
        <v>#NAME?</v>
      </c>
      <c r="M74" s="47" t="e">
        <f ca="1"/>
        <v>#NAME?</v>
      </c>
      <c r="N74" s="47"/>
    </row>
    <row r="75" spans="1:14" ht="14.25" customHeight="1">
      <c r="A75" s="26">
        <v>19</v>
      </c>
      <c r="B75" s="47"/>
      <c r="C75" s="30" t="s">
        <v>6127</v>
      </c>
      <c r="D75" s="64" t="e">
        <f ca="1"/>
        <v>#NAME?</v>
      </c>
      <c r="E75" s="64" t="e">
        <f ca="1"/>
        <v>#NAME?</v>
      </c>
      <c r="F75" s="64" t="e">
        <f ca="1"/>
        <v>#NAME?</v>
      </c>
      <c r="G75" s="64" t="e">
        <f ca="1"/>
        <v>#NAME?</v>
      </c>
      <c r="H75" s="77" t="e">
        <f ca="1"/>
        <v>#NAME?</v>
      </c>
      <c r="I75" s="64" t="e">
        <f ca="1"/>
        <v>#NAME?</v>
      </c>
      <c r="J75" s="64" t="e">
        <f ca="1"/>
        <v>#NAME?</v>
      </c>
      <c r="K75" s="47" t="e">
        <f ca="1"/>
        <v>#NAME?</v>
      </c>
      <c r="L75" s="47" t="e">
        <f ca="1"/>
        <v>#NAME?</v>
      </c>
      <c r="M75" s="47" t="e">
        <f ca="1"/>
        <v>#NAME?</v>
      </c>
      <c r="N75" s="47"/>
    </row>
    <row r="76" spans="1:14" ht="14.25" customHeight="1">
      <c r="A76" s="26">
        <v>20</v>
      </c>
      <c r="B76" s="78"/>
      <c r="C76" s="30" t="s">
        <v>6137</v>
      </c>
      <c r="D76" s="64" t="e">
        <f ca="1"/>
        <v>#NAME?</v>
      </c>
      <c r="E76" s="64" t="e">
        <f ca="1"/>
        <v>#NAME?</v>
      </c>
      <c r="F76" s="64" t="e">
        <f ca="1"/>
        <v>#NAME?</v>
      </c>
      <c r="G76" s="64" t="e">
        <f ca="1"/>
        <v>#NAME?</v>
      </c>
      <c r="H76" s="77" t="e">
        <f ca="1"/>
        <v>#NAME?</v>
      </c>
      <c r="I76" s="64" t="e">
        <f ca="1"/>
        <v>#NAME?</v>
      </c>
      <c r="J76" s="64" t="e">
        <f ca="1"/>
        <v>#NAME?</v>
      </c>
      <c r="K76" s="47" t="e">
        <f ca="1"/>
        <v>#NAME?</v>
      </c>
      <c r="L76" s="47" t="e">
        <f ca="1"/>
        <v>#NAME?</v>
      </c>
      <c r="M76" s="47" t="e">
        <f ca="1"/>
        <v>#NAME?</v>
      </c>
      <c r="N76" s="47"/>
    </row>
    <row r="77" spans="1:14" ht="14.25" customHeight="1">
      <c r="A77" s="26">
        <v>21</v>
      </c>
      <c r="B77" s="78"/>
      <c r="C77" s="30" t="s">
        <v>6147</v>
      </c>
      <c r="D77" s="64" t="e">
        <f ca="1"/>
        <v>#NAME?</v>
      </c>
      <c r="E77" s="64" t="e">
        <f ca="1"/>
        <v>#NAME?</v>
      </c>
      <c r="F77" s="64" t="e">
        <f ca="1"/>
        <v>#NAME?</v>
      </c>
      <c r="G77" s="64" t="e">
        <f ca="1"/>
        <v>#NAME?</v>
      </c>
      <c r="H77" s="77" t="e">
        <f ca="1"/>
        <v>#NAME?</v>
      </c>
      <c r="I77" s="64" t="e">
        <f ca="1"/>
        <v>#NAME?</v>
      </c>
      <c r="J77" s="51" t="e">
        <f ca="1"/>
        <v>#NAME?</v>
      </c>
      <c r="K77" s="47" t="e">
        <f ca="1"/>
        <v>#NAME?</v>
      </c>
      <c r="L77" s="47" t="e">
        <f ca="1"/>
        <v>#NAME?</v>
      </c>
      <c r="M77" s="47" t="e">
        <f ca="1"/>
        <v>#NAME?</v>
      </c>
      <c r="N77" s="47"/>
    </row>
    <row r="78" spans="1:14" ht="14.25" customHeight="1">
      <c r="A78" s="26">
        <v>22</v>
      </c>
      <c r="B78" s="47"/>
      <c r="C78" s="30" t="s">
        <v>6157</v>
      </c>
      <c r="D78" s="64" t="e">
        <f ca="1"/>
        <v>#NAME?</v>
      </c>
      <c r="E78" s="64" t="e">
        <f ca="1"/>
        <v>#NAME?</v>
      </c>
      <c r="F78" s="64" t="e">
        <f ca="1"/>
        <v>#NAME?</v>
      </c>
      <c r="G78" s="64" t="e">
        <f ca="1"/>
        <v>#NAME?</v>
      </c>
      <c r="H78" s="77" t="e">
        <f ca="1"/>
        <v>#NAME?</v>
      </c>
      <c r="I78" s="64" t="e">
        <f ca="1"/>
        <v>#NAME?</v>
      </c>
      <c r="J78" s="51" t="e">
        <f ca="1"/>
        <v>#NAME?</v>
      </c>
      <c r="K78" s="47" t="e">
        <f ca="1"/>
        <v>#NAME?</v>
      </c>
      <c r="L78" s="47" t="e">
        <f ca="1"/>
        <v>#NAME?</v>
      </c>
      <c r="M78" s="47" t="e">
        <f ca="1"/>
        <v>#NAME?</v>
      </c>
      <c r="N78" s="47"/>
    </row>
    <row r="79" spans="1:14" ht="14.25" customHeight="1">
      <c r="A79" s="26">
        <v>23</v>
      </c>
      <c r="B79" s="78"/>
      <c r="C79" s="30" t="s">
        <v>6167</v>
      </c>
      <c r="D79" s="63" t="e">
        <f ca="1"/>
        <v>#NAME?</v>
      </c>
      <c r="E79" s="63" t="e">
        <f ca="1"/>
        <v>#NAME?</v>
      </c>
      <c r="F79" s="63" t="e">
        <f ca="1"/>
        <v>#NAME?</v>
      </c>
      <c r="G79" s="63" t="e">
        <f ca="1"/>
        <v>#NAME?</v>
      </c>
      <c r="H79" s="84" t="e">
        <f ca="1"/>
        <v>#NAME?</v>
      </c>
      <c r="I79" s="63" t="e">
        <f ca="1"/>
        <v>#NAME?</v>
      </c>
      <c r="J79" s="64" t="e">
        <f ca="1"/>
        <v>#NAME?</v>
      </c>
      <c r="K79" s="47" t="e">
        <f ca="1"/>
        <v>#NAME?</v>
      </c>
      <c r="L79" s="47" t="e">
        <f ca="1"/>
        <v>#NAME?</v>
      </c>
      <c r="M79" s="47" t="e">
        <f ca="1"/>
        <v>#NAME?</v>
      </c>
      <c r="N79" s="47"/>
    </row>
    <row r="80" spans="1:14" ht="14.25" customHeight="1">
      <c r="A80" s="26">
        <v>24</v>
      </c>
      <c r="B80" s="47"/>
      <c r="C80" s="30" t="s">
        <v>6177</v>
      </c>
      <c r="D80" s="63" t="e">
        <f ca="1"/>
        <v>#NAME?</v>
      </c>
      <c r="E80" s="68" t="e">
        <f ca="1"/>
        <v>#NAME?</v>
      </c>
      <c r="F80" s="63" t="e">
        <f ca="1"/>
        <v>#NAME?</v>
      </c>
      <c r="G80" s="63" t="e">
        <f ca="1"/>
        <v>#NAME?</v>
      </c>
      <c r="H80" s="84" t="e">
        <f ca="1"/>
        <v>#NAME?</v>
      </c>
      <c r="I80" s="51" t="e">
        <f ca="1"/>
        <v>#NAME?</v>
      </c>
      <c r="J80" s="51" t="e">
        <f ca="1"/>
        <v>#NAME?</v>
      </c>
      <c r="K80" s="47" t="e">
        <f ca="1"/>
        <v>#NAME?</v>
      </c>
      <c r="L80" s="47" t="e">
        <f ca="1"/>
        <v>#NAME?</v>
      </c>
      <c r="M80" s="47" t="e">
        <f ca="1"/>
        <v>#NAME?</v>
      </c>
      <c r="N80" s="47"/>
    </row>
    <row r="81" spans="1:14" ht="14.25" customHeight="1">
      <c r="A81" s="26">
        <v>25</v>
      </c>
      <c r="B81" s="78"/>
      <c r="C81" s="30" t="s">
        <v>6186</v>
      </c>
      <c r="D81" s="64" t="e">
        <f ca="1"/>
        <v>#NAME?</v>
      </c>
      <c r="E81" s="64" t="e">
        <f ca="1"/>
        <v>#NAME?</v>
      </c>
      <c r="F81" s="64" t="e">
        <f ca="1"/>
        <v>#NAME?</v>
      </c>
      <c r="G81" s="64" t="e">
        <f ca="1"/>
        <v>#NAME?</v>
      </c>
      <c r="H81" s="77" t="e">
        <f ca="1"/>
        <v>#NAME?</v>
      </c>
      <c r="I81" s="51" t="e">
        <f ca="1"/>
        <v>#NAME?</v>
      </c>
      <c r="J81" s="51" t="e">
        <f ca="1"/>
        <v>#NAME?</v>
      </c>
      <c r="K81" s="47" t="e">
        <f ca="1"/>
        <v>#NAME?</v>
      </c>
      <c r="L81" s="47" t="e">
        <f ca="1"/>
        <v>#NAME?</v>
      </c>
      <c r="M81" s="47" t="e">
        <f ca="1"/>
        <v>#NAME?</v>
      </c>
      <c r="N81" s="47"/>
    </row>
    <row r="82" spans="1:14" ht="14.25" customHeight="1">
      <c r="A82" s="26">
        <v>26</v>
      </c>
      <c r="B82" s="47"/>
      <c r="C82" s="30" t="s">
        <v>6194</v>
      </c>
      <c r="D82" s="64" t="e">
        <f ca="1"/>
        <v>#NAME?</v>
      </c>
      <c r="E82" s="64" t="e">
        <f ca="1"/>
        <v>#NAME?</v>
      </c>
      <c r="F82" s="64" t="e">
        <f ca="1"/>
        <v>#NAME?</v>
      </c>
      <c r="G82" s="64" t="e">
        <f ca="1"/>
        <v>#NAME?</v>
      </c>
      <c r="H82" s="77" t="e">
        <f ca="1"/>
        <v>#NAME?</v>
      </c>
      <c r="I82" s="51" t="e">
        <f ca="1"/>
        <v>#NAME?</v>
      </c>
      <c r="J82" s="51" t="e">
        <f ca="1"/>
        <v>#NAME?</v>
      </c>
      <c r="K82" s="47" t="e">
        <f ca="1"/>
        <v>#NAME?</v>
      </c>
      <c r="L82" s="47" t="e">
        <f ca="1"/>
        <v>#NAME?</v>
      </c>
      <c r="M82" s="47" t="e">
        <f ca="1"/>
        <v>#NAME?</v>
      </c>
      <c r="N82" s="47"/>
    </row>
    <row r="83" spans="1:14" ht="14.25" customHeight="1">
      <c r="A83" s="19">
        <v>1</v>
      </c>
      <c r="B83" s="78"/>
      <c r="C83" s="21" t="s">
        <v>6204</v>
      </c>
      <c r="D83" s="90" t="e">
        <f ca="1"/>
        <v>#NAME?</v>
      </c>
      <c r="E83" s="90" t="e">
        <f ca="1"/>
        <v>#NAME?</v>
      </c>
      <c r="F83" s="90" t="e">
        <f ca="1"/>
        <v>#NAME?</v>
      </c>
      <c r="G83" s="90" t="e">
        <f ca="1"/>
        <v>#NAME?</v>
      </c>
      <c r="H83" s="140" t="e">
        <f ca="1"/>
        <v>#NAME?</v>
      </c>
      <c r="I83" s="92" t="e">
        <f ca="1"/>
        <v>#NAME?</v>
      </c>
      <c r="J83" s="92" t="e">
        <f ca="1"/>
        <v>#NAME?</v>
      </c>
      <c r="K83" s="88" t="e">
        <f ca="1"/>
        <v>#NAME?</v>
      </c>
      <c r="L83" s="88" t="e">
        <f ca="1"/>
        <v>#NAME?</v>
      </c>
      <c r="M83" s="88" t="e">
        <f ca="1"/>
        <v>#NAME?</v>
      </c>
      <c r="N83" s="88">
        <v>4</v>
      </c>
    </row>
    <row r="84" spans="1:14" ht="14.25" customHeight="1">
      <c r="A84" s="26">
        <v>2</v>
      </c>
      <c r="B84" s="78"/>
      <c r="C84" s="30" t="s">
        <v>6214</v>
      </c>
      <c r="D84" s="64" t="e">
        <f ca="1"/>
        <v>#NAME?</v>
      </c>
      <c r="E84" s="64" t="e">
        <f ca="1"/>
        <v>#NAME?</v>
      </c>
      <c r="F84" s="64" t="e">
        <f ca="1"/>
        <v>#NAME?</v>
      </c>
      <c r="G84" s="64" t="e">
        <f ca="1"/>
        <v>#NAME?</v>
      </c>
      <c r="H84" s="77" t="e">
        <f ca="1"/>
        <v>#NAME?</v>
      </c>
      <c r="I84" s="51" t="e">
        <f ca="1"/>
        <v>#NAME?</v>
      </c>
      <c r="J84" s="51" t="e">
        <f ca="1"/>
        <v>#NAME?</v>
      </c>
      <c r="K84" s="47" t="e">
        <f ca="1"/>
        <v>#NAME?</v>
      </c>
      <c r="L84" s="47" t="e">
        <f ca="1"/>
        <v>#NAME?</v>
      </c>
      <c r="M84" s="47" t="e">
        <f ca="1"/>
        <v>#NAME?</v>
      </c>
      <c r="N84" s="47"/>
    </row>
    <row r="85" spans="1:14" ht="14.25" customHeight="1">
      <c r="A85" s="26">
        <v>3</v>
      </c>
      <c r="B85" s="78"/>
      <c r="C85" s="30" t="s">
        <v>6225</v>
      </c>
      <c r="D85" s="64" t="e">
        <f ca="1"/>
        <v>#NAME?</v>
      </c>
      <c r="E85" s="64" t="e">
        <f ca="1"/>
        <v>#NAME?</v>
      </c>
      <c r="F85" s="64" t="e">
        <f ca="1"/>
        <v>#NAME?</v>
      </c>
      <c r="G85" s="64" t="e">
        <f ca="1"/>
        <v>#NAME?</v>
      </c>
      <c r="H85" s="77" t="e">
        <f ca="1"/>
        <v>#NAME?</v>
      </c>
      <c r="I85" s="51" t="e">
        <f ca="1"/>
        <v>#NAME?</v>
      </c>
      <c r="J85" s="51" t="e">
        <f ca="1"/>
        <v>#NAME?</v>
      </c>
      <c r="K85" s="47" t="e">
        <f ca="1"/>
        <v>#NAME?</v>
      </c>
      <c r="L85" s="47" t="e">
        <f ca="1"/>
        <v>#NAME?</v>
      </c>
      <c r="M85" s="47" t="e">
        <f ca="1"/>
        <v>#NAME?</v>
      </c>
      <c r="N85" s="47"/>
    </row>
    <row r="86" spans="1:14" ht="14.25" customHeight="1">
      <c r="A86" s="26">
        <v>4</v>
      </c>
      <c r="B86" s="47"/>
      <c r="C86" s="30" t="s">
        <v>6235</v>
      </c>
      <c r="D86" s="64" t="e">
        <f ca="1"/>
        <v>#NAME?</v>
      </c>
      <c r="E86" s="64" t="e">
        <f ca="1"/>
        <v>#NAME?</v>
      </c>
      <c r="F86" s="64" t="e">
        <f ca="1"/>
        <v>#NAME?</v>
      </c>
      <c r="G86" s="64" t="e">
        <f ca="1"/>
        <v>#NAME?</v>
      </c>
      <c r="H86" s="77" t="e">
        <f ca="1"/>
        <v>#NAME?</v>
      </c>
      <c r="I86" s="51" t="e">
        <f ca="1"/>
        <v>#NAME?</v>
      </c>
      <c r="J86" s="51" t="e">
        <f ca="1"/>
        <v>#NAME?</v>
      </c>
      <c r="K86" s="47" t="e">
        <f ca="1"/>
        <v>#NAME?</v>
      </c>
      <c r="L86" s="47" t="e">
        <f ca="1"/>
        <v>#NAME?</v>
      </c>
      <c r="M86" s="47" t="e">
        <f ca="1"/>
        <v>#NAME?</v>
      </c>
      <c r="N86" s="47"/>
    </row>
    <row r="87" spans="1:14" ht="14.25" customHeight="1">
      <c r="A87" s="26">
        <v>5</v>
      </c>
      <c r="B87" s="47"/>
      <c r="C87" s="30" t="s">
        <v>6245</v>
      </c>
      <c r="D87" s="64" t="e">
        <f ca="1"/>
        <v>#NAME?</v>
      </c>
      <c r="E87" s="64" t="e">
        <f ca="1"/>
        <v>#NAME?</v>
      </c>
      <c r="F87" s="64" t="e">
        <f ca="1"/>
        <v>#NAME?</v>
      </c>
      <c r="G87" s="64" t="e">
        <f ca="1"/>
        <v>#NAME?</v>
      </c>
      <c r="H87" s="77" t="e">
        <f ca="1"/>
        <v>#NAME?</v>
      </c>
      <c r="I87" s="51" t="e">
        <f ca="1"/>
        <v>#NAME?</v>
      </c>
      <c r="J87" s="51" t="e">
        <f ca="1"/>
        <v>#NAME?</v>
      </c>
      <c r="K87" s="47" t="e">
        <f ca="1"/>
        <v>#NAME?</v>
      </c>
      <c r="L87" s="47" t="e">
        <f ca="1"/>
        <v>#NAME?</v>
      </c>
      <c r="M87" s="47" t="e">
        <f ca="1"/>
        <v>#NAME?</v>
      </c>
      <c r="N87" s="47"/>
    </row>
    <row r="88" spans="1:14" ht="14.25" customHeight="1">
      <c r="A88" s="26">
        <v>6</v>
      </c>
      <c r="B88" s="78"/>
      <c r="C88" s="30" t="s">
        <v>6255</v>
      </c>
      <c r="D88" s="64" t="e">
        <f ca="1"/>
        <v>#NAME?</v>
      </c>
      <c r="E88" s="64" t="e">
        <f ca="1"/>
        <v>#NAME?</v>
      </c>
      <c r="F88" s="64" t="e">
        <f ca="1"/>
        <v>#NAME?</v>
      </c>
      <c r="G88" s="64" t="e">
        <f ca="1"/>
        <v>#NAME?</v>
      </c>
      <c r="H88" s="77" t="e">
        <f ca="1"/>
        <v>#NAME?</v>
      </c>
      <c r="I88" s="51" t="e">
        <f ca="1"/>
        <v>#NAME?</v>
      </c>
      <c r="J88" s="51" t="e">
        <f ca="1"/>
        <v>#NAME?</v>
      </c>
      <c r="K88" s="47" t="e">
        <f ca="1"/>
        <v>#NAME?</v>
      </c>
      <c r="L88" s="47" t="e">
        <f ca="1"/>
        <v>#NAME?</v>
      </c>
      <c r="M88" s="47" t="e">
        <f ca="1"/>
        <v>#NAME?</v>
      </c>
      <c r="N88" s="47"/>
    </row>
    <row r="89" spans="1:14" ht="14.25" customHeight="1">
      <c r="A89" s="26">
        <v>7</v>
      </c>
      <c r="B89" s="78"/>
      <c r="C89" s="30" t="s">
        <v>6265</v>
      </c>
      <c r="D89" s="64" t="e">
        <f ca="1"/>
        <v>#NAME?</v>
      </c>
      <c r="E89" s="64" t="e">
        <f ca="1"/>
        <v>#NAME?</v>
      </c>
      <c r="F89" s="64" t="e">
        <f ca="1"/>
        <v>#NAME?</v>
      </c>
      <c r="G89" s="64" t="e">
        <f ca="1"/>
        <v>#NAME?</v>
      </c>
      <c r="H89" s="77" t="e">
        <f ca="1"/>
        <v>#NAME?</v>
      </c>
      <c r="I89" s="51" t="e">
        <f ca="1"/>
        <v>#NAME?</v>
      </c>
      <c r="J89" s="51" t="e">
        <f ca="1"/>
        <v>#NAME?</v>
      </c>
      <c r="K89" s="47" t="e">
        <f ca="1"/>
        <v>#NAME?</v>
      </c>
      <c r="L89" s="47" t="e">
        <f ca="1"/>
        <v>#NAME?</v>
      </c>
      <c r="M89" s="47" t="e">
        <f ca="1"/>
        <v>#NAME?</v>
      </c>
      <c r="N89" s="47"/>
    </row>
    <row r="90" spans="1:14" ht="14.25" customHeight="1">
      <c r="A90" s="26">
        <v>8</v>
      </c>
      <c r="B90" s="47"/>
      <c r="C90" s="30" t="s">
        <v>6274</v>
      </c>
      <c r="D90" s="64" t="e">
        <f ca="1"/>
        <v>#NAME?</v>
      </c>
      <c r="E90" s="64" t="e">
        <f ca="1"/>
        <v>#NAME?</v>
      </c>
      <c r="F90" s="64" t="e">
        <f ca="1"/>
        <v>#NAME?</v>
      </c>
      <c r="G90" s="64" t="e">
        <f ca="1"/>
        <v>#NAME?</v>
      </c>
      <c r="H90" s="77" t="e">
        <f ca="1"/>
        <v>#NAME?</v>
      </c>
      <c r="I90" s="51" t="e">
        <f ca="1"/>
        <v>#NAME?</v>
      </c>
      <c r="J90" s="51" t="e">
        <f ca="1"/>
        <v>#NAME?</v>
      </c>
      <c r="K90" s="47" t="e">
        <f ca="1"/>
        <v>#NAME?</v>
      </c>
      <c r="L90" s="47" t="e">
        <f ca="1"/>
        <v>#NAME?</v>
      </c>
      <c r="M90" s="47" t="e">
        <f ca="1"/>
        <v>#NAME?</v>
      </c>
      <c r="N90" s="47"/>
    </row>
    <row r="91" spans="1:14" ht="14.25" customHeight="1">
      <c r="A91" s="26">
        <v>9</v>
      </c>
      <c r="B91" s="47"/>
      <c r="C91" s="30" t="s">
        <v>6284</v>
      </c>
      <c r="D91" s="64" t="e">
        <f ca="1"/>
        <v>#NAME?</v>
      </c>
      <c r="E91" s="64" t="e">
        <f ca="1"/>
        <v>#NAME?</v>
      </c>
      <c r="F91" s="64" t="e">
        <f ca="1"/>
        <v>#NAME?</v>
      </c>
      <c r="G91" s="64" t="e">
        <f ca="1"/>
        <v>#NAME?</v>
      </c>
      <c r="H91" s="77" t="e">
        <f ca="1"/>
        <v>#NAME?</v>
      </c>
      <c r="I91" s="51" t="e">
        <f ca="1"/>
        <v>#NAME?</v>
      </c>
      <c r="J91" s="51" t="e">
        <f ca="1"/>
        <v>#NAME?</v>
      </c>
      <c r="K91" s="47" t="e">
        <f ca="1"/>
        <v>#NAME?</v>
      </c>
      <c r="L91" s="47" t="e">
        <f ca="1"/>
        <v>#NAME?</v>
      </c>
      <c r="M91" s="47" t="e">
        <f ca="1"/>
        <v>#NAME?</v>
      </c>
      <c r="N91" s="47"/>
    </row>
    <row r="92" spans="1:14" ht="14.25" customHeight="1">
      <c r="A92" s="26">
        <v>10</v>
      </c>
      <c r="B92" s="47"/>
      <c r="C92" s="30" t="s">
        <v>6294</v>
      </c>
      <c r="D92" s="64" t="e">
        <f ca="1"/>
        <v>#NAME?</v>
      </c>
      <c r="E92" s="64" t="e">
        <f ca="1"/>
        <v>#NAME?</v>
      </c>
      <c r="F92" s="64" t="e">
        <f ca="1"/>
        <v>#NAME?</v>
      </c>
      <c r="G92" s="64" t="e">
        <f ca="1"/>
        <v>#NAME?</v>
      </c>
      <c r="H92" s="77" t="e">
        <f ca="1"/>
        <v>#NAME?</v>
      </c>
      <c r="I92" s="51" t="e">
        <f ca="1"/>
        <v>#NAME?</v>
      </c>
      <c r="J92" s="51" t="e">
        <f ca="1"/>
        <v>#NAME?</v>
      </c>
      <c r="K92" s="47" t="e">
        <f ca="1"/>
        <v>#NAME?</v>
      </c>
      <c r="L92" s="47" t="e">
        <f ca="1"/>
        <v>#NAME?</v>
      </c>
      <c r="M92" s="47" t="e">
        <f ca="1"/>
        <v>#NAME?</v>
      </c>
      <c r="N92" s="47"/>
    </row>
    <row r="93" spans="1:14" ht="14.25" customHeight="1">
      <c r="A93" s="26">
        <v>11</v>
      </c>
      <c r="B93" s="47"/>
      <c r="C93" s="30" t="s">
        <v>6303</v>
      </c>
      <c r="D93" s="64" t="e">
        <f ca="1"/>
        <v>#NAME?</v>
      </c>
      <c r="E93" s="64" t="e">
        <f ca="1"/>
        <v>#NAME?</v>
      </c>
      <c r="F93" s="64" t="e">
        <f ca="1"/>
        <v>#NAME?</v>
      </c>
      <c r="G93" s="64" t="e">
        <f ca="1"/>
        <v>#NAME?</v>
      </c>
      <c r="H93" s="77" t="e">
        <f ca="1"/>
        <v>#NAME?</v>
      </c>
      <c r="I93" s="51" t="e">
        <f ca="1"/>
        <v>#NAME?</v>
      </c>
      <c r="J93" s="51" t="e">
        <f ca="1"/>
        <v>#NAME?</v>
      </c>
      <c r="K93" s="47" t="e">
        <f ca="1"/>
        <v>#NAME?</v>
      </c>
      <c r="L93" s="47" t="e">
        <f ca="1"/>
        <v>#NAME?</v>
      </c>
      <c r="M93" s="47" t="e">
        <f ca="1"/>
        <v>#NAME?</v>
      </c>
      <c r="N93" s="47"/>
    </row>
    <row r="94" spans="1:14" ht="14.25" customHeight="1">
      <c r="A94" s="26">
        <v>12</v>
      </c>
      <c r="B94" s="78"/>
      <c r="C94" s="30" t="s">
        <v>6313</v>
      </c>
      <c r="D94" s="64" t="e">
        <f ca="1"/>
        <v>#NAME?</v>
      </c>
      <c r="E94" s="64" t="e">
        <f ca="1"/>
        <v>#NAME?</v>
      </c>
      <c r="F94" s="64" t="e">
        <f ca="1"/>
        <v>#NAME?</v>
      </c>
      <c r="G94" s="64" t="e">
        <f ca="1"/>
        <v>#NAME?</v>
      </c>
      <c r="H94" s="77" t="e">
        <f ca="1"/>
        <v>#NAME?</v>
      </c>
      <c r="I94" s="51" t="e">
        <f ca="1"/>
        <v>#NAME?</v>
      </c>
      <c r="J94" s="51" t="e">
        <f ca="1"/>
        <v>#NAME?</v>
      </c>
      <c r="K94" s="47" t="e">
        <f ca="1"/>
        <v>#NAME?</v>
      </c>
      <c r="L94" s="47" t="e">
        <f ca="1"/>
        <v>#NAME?</v>
      </c>
      <c r="M94" s="47" t="e">
        <f ca="1"/>
        <v>#NAME?</v>
      </c>
      <c r="N94" s="47"/>
    </row>
    <row r="95" spans="1:14" ht="14.25" customHeight="1">
      <c r="A95" s="26">
        <v>13</v>
      </c>
      <c r="B95" s="47"/>
      <c r="C95" s="30" t="s">
        <v>6322</v>
      </c>
      <c r="D95" s="63" t="e">
        <f ca="1"/>
        <v>#NAME?</v>
      </c>
      <c r="E95" s="63" t="e">
        <f ca="1"/>
        <v>#NAME?</v>
      </c>
      <c r="F95" s="63" t="e">
        <f ca="1"/>
        <v>#NAME?</v>
      </c>
      <c r="G95" s="63" t="e">
        <f ca="1"/>
        <v>#NAME?</v>
      </c>
      <c r="H95" s="84" t="e">
        <f ca="1"/>
        <v>#NAME?</v>
      </c>
      <c r="I95" s="51" t="e">
        <f ca="1"/>
        <v>#NAME?</v>
      </c>
      <c r="J95" s="51" t="e">
        <f ca="1"/>
        <v>#NAME?</v>
      </c>
      <c r="K95" s="47" t="e">
        <f ca="1"/>
        <v>#NAME?</v>
      </c>
      <c r="L95" s="47" t="e">
        <f ca="1"/>
        <v>#NAME?</v>
      </c>
      <c r="M95" s="47" t="e">
        <f ca="1"/>
        <v>#NAME?</v>
      </c>
      <c r="N95" s="47"/>
    </row>
    <row r="96" spans="1:14" ht="14.25" customHeight="1">
      <c r="A96" s="26">
        <v>14</v>
      </c>
      <c r="B96" s="78"/>
      <c r="C96" s="30" t="s">
        <v>6330</v>
      </c>
      <c r="D96" s="64" t="e">
        <f ca="1"/>
        <v>#NAME?</v>
      </c>
      <c r="E96" s="64" t="e">
        <f ca="1"/>
        <v>#NAME?</v>
      </c>
      <c r="F96" s="64" t="e">
        <f ca="1"/>
        <v>#NAME?</v>
      </c>
      <c r="G96" s="64" t="e">
        <f ca="1"/>
        <v>#NAME?</v>
      </c>
      <c r="H96" s="77" t="e">
        <f ca="1"/>
        <v>#NAME?</v>
      </c>
      <c r="I96" s="51" t="e">
        <f ca="1"/>
        <v>#NAME?</v>
      </c>
      <c r="J96" s="51" t="e">
        <f ca="1"/>
        <v>#NAME?</v>
      </c>
      <c r="K96" s="47" t="e">
        <f ca="1"/>
        <v>#NAME?</v>
      </c>
      <c r="L96" s="47" t="e">
        <f ca="1"/>
        <v>#NAME?</v>
      </c>
      <c r="M96" s="47" t="e">
        <f ca="1"/>
        <v>#NAME?</v>
      </c>
      <c r="N96" s="47"/>
    </row>
    <row r="97" spans="1:14" ht="14.25" customHeight="1">
      <c r="A97" s="26">
        <v>15</v>
      </c>
      <c r="B97" s="47"/>
      <c r="C97" s="30" t="s">
        <v>6340</v>
      </c>
      <c r="D97" s="64" t="e">
        <f ca="1"/>
        <v>#NAME?</v>
      </c>
      <c r="E97" s="64" t="e">
        <f ca="1"/>
        <v>#NAME?</v>
      </c>
      <c r="F97" s="64" t="e">
        <f ca="1"/>
        <v>#NAME?</v>
      </c>
      <c r="G97" s="64" t="e">
        <f ca="1"/>
        <v>#NAME?</v>
      </c>
      <c r="H97" s="77" t="e">
        <f ca="1"/>
        <v>#NAME?</v>
      </c>
      <c r="I97" s="51" t="e">
        <f ca="1"/>
        <v>#NAME?</v>
      </c>
      <c r="J97" s="51" t="e">
        <f ca="1"/>
        <v>#NAME?</v>
      </c>
      <c r="K97" s="47" t="e">
        <f ca="1"/>
        <v>#NAME?</v>
      </c>
      <c r="L97" s="47" t="e">
        <f ca="1"/>
        <v>#NAME?</v>
      </c>
      <c r="M97" s="47" t="e">
        <f ca="1"/>
        <v>#NAME?</v>
      </c>
      <c r="N97" s="47"/>
    </row>
    <row r="98" spans="1:14" ht="14.25" customHeight="1">
      <c r="A98" s="26">
        <v>16</v>
      </c>
      <c r="B98" s="78"/>
      <c r="C98" s="30" t="s">
        <v>6350</v>
      </c>
      <c r="D98" s="64" t="e">
        <f ca="1"/>
        <v>#NAME?</v>
      </c>
      <c r="E98" s="64" t="e">
        <f ca="1"/>
        <v>#NAME?</v>
      </c>
      <c r="F98" s="64" t="e">
        <f ca="1"/>
        <v>#NAME?</v>
      </c>
      <c r="G98" s="64" t="e">
        <f ca="1"/>
        <v>#NAME?</v>
      </c>
      <c r="H98" s="77" t="e">
        <f ca="1"/>
        <v>#NAME?</v>
      </c>
      <c r="I98" s="51" t="e">
        <f ca="1"/>
        <v>#NAME?</v>
      </c>
      <c r="J98" s="51" t="e">
        <f ca="1"/>
        <v>#NAME?</v>
      </c>
      <c r="K98" s="47" t="e">
        <f ca="1"/>
        <v>#NAME?</v>
      </c>
      <c r="L98" s="47" t="e">
        <f ca="1"/>
        <v>#NAME?</v>
      </c>
      <c r="M98" s="47" t="e">
        <f ca="1"/>
        <v>#NAME?</v>
      </c>
      <c r="N98" s="47"/>
    </row>
    <row r="99" spans="1:14" ht="14.25" customHeight="1">
      <c r="A99" s="26">
        <v>17</v>
      </c>
      <c r="B99" s="78"/>
      <c r="C99" s="30" t="s">
        <v>6360</v>
      </c>
      <c r="D99" s="64" t="e">
        <f ca="1"/>
        <v>#NAME?</v>
      </c>
      <c r="E99" s="64" t="e">
        <f ca="1"/>
        <v>#NAME?</v>
      </c>
      <c r="F99" s="64" t="e">
        <f ca="1"/>
        <v>#NAME?</v>
      </c>
      <c r="G99" s="64" t="e">
        <f ca="1"/>
        <v>#NAME?</v>
      </c>
      <c r="H99" s="77" t="e">
        <f ca="1"/>
        <v>#NAME?</v>
      </c>
      <c r="I99" s="51" t="e">
        <f ca="1"/>
        <v>#NAME?</v>
      </c>
      <c r="J99" s="51" t="e">
        <f ca="1"/>
        <v>#NAME?</v>
      </c>
      <c r="K99" s="47" t="e">
        <f ca="1"/>
        <v>#NAME?</v>
      </c>
      <c r="L99" s="47" t="e">
        <f ca="1"/>
        <v>#NAME?</v>
      </c>
      <c r="M99" s="47" t="e">
        <f ca="1"/>
        <v>#NAME?</v>
      </c>
      <c r="N99" s="47"/>
    </row>
    <row r="100" spans="1:14" ht="14.25" customHeight="1">
      <c r="A100" s="26">
        <v>18</v>
      </c>
      <c r="B100" s="47"/>
      <c r="C100" s="30" t="s">
        <v>6370</v>
      </c>
      <c r="D100" s="64" t="e">
        <f ca="1"/>
        <v>#NAME?</v>
      </c>
      <c r="E100" s="64" t="e">
        <f ca="1"/>
        <v>#NAME?</v>
      </c>
      <c r="F100" s="64" t="e">
        <f ca="1"/>
        <v>#NAME?</v>
      </c>
      <c r="G100" s="64" t="e">
        <f ca="1"/>
        <v>#NAME?</v>
      </c>
      <c r="H100" s="77" t="e">
        <f ca="1"/>
        <v>#NAME?</v>
      </c>
      <c r="I100" s="51" t="e">
        <f ca="1"/>
        <v>#NAME?</v>
      </c>
      <c r="J100" s="51" t="e">
        <f ca="1"/>
        <v>#NAME?</v>
      </c>
      <c r="K100" s="47" t="e">
        <f ca="1"/>
        <v>#NAME?</v>
      </c>
      <c r="L100" s="47" t="e">
        <f ca="1"/>
        <v>#NAME?</v>
      </c>
      <c r="M100" s="47" t="e">
        <f ca="1"/>
        <v>#NAME?</v>
      </c>
      <c r="N100" s="47"/>
    </row>
    <row r="101" spans="1:14" ht="14.25" customHeight="1">
      <c r="A101" s="26">
        <v>19</v>
      </c>
      <c r="B101" s="47"/>
      <c r="C101" s="30" t="s">
        <v>6380</v>
      </c>
      <c r="D101" s="64" t="e">
        <f ca="1"/>
        <v>#NAME?</v>
      </c>
      <c r="E101" s="64" t="e">
        <f ca="1"/>
        <v>#NAME?</v>
      </c>
      <c r="F101" s="64" t="e">
        <f ca="1"/>
        <v>#NAME?</v>
      </c>
      <c r="G101" s="64" t="e">
        <f ca="1"/>
        <v>#NAME?</v>
      </c>
      <c r="H101" s="77" t="e">
        <f ca="1"/>
        <v>#NAME?</v>
      </c>
      <c r="I101" s="51" t="e">
        <f ca="1"/>
        <v>#NAME?</v>
      </c>
      <c r="J101" s="51" t="e">
        <f ca="1"/>
        <v>#NAME?</v>
      </c>
      <c r="K101" s="47" t="e">
        <f ca="1"/>
        <v>#NAME?</v>
      </c>
      <c r="L101" s="47" t="e">
        <f ca="1"/>
        <v>#NAME?</v>
      </c>
      <c r="M101" s="47" t="e">
        <f ca="1"/>
        <v>#NAME?</v>
      </c>
      <c r="N101" s="47"/>
    </row>
    <row r="102" spans="1:14" ht="14.25" customHeight="1">
      <c r="A102" s="26">
        <v>20</v>
      </c>
      <c r="B102" s="78"/>
      <c r="C102" s="30" t="s">
        <v>6390</v>
      </c>
      <c r="D102" s="64" t="e">
        <f ca="1"/>
        <v>#NAME?</v>
      </c>
      <c r="E102" s="64" t="e">
        <f ca="1"/>
        <v>#NAME?</v>
      </c>
      <c r="F102" s="64" t="e">
        <f ca="1"/>
        <v>#NAME?</v>
      </c>
      <c r="G102" s="64" t="e">
        <f ca="1"/>
        <v>#NAME?</v>
      </c>
      <c r="H102" s="77" t="e">
        <f ca="1"/>
        <v>#NAME?</v>
      </c>
      <c r="I102" s="51" t="e">
        <f ca="1"/>
        <v>#NAME?</v>
      </c>
      <c r="J102" s="51" t="e">
        <f ca="1"/>
        <v>#NAME?</v>
      </c>
      <c r="K102" s="47" t="e">
        <f ca="1"/>
        <v>#NAME?</v>
      </c>
      <c r="L102" s="47" t="e">
        <f ca="1"/>
        <v>#NAME?</v>
      </c>
      <c r="M102" s="47" t="e">
        <f ca="1"/>
        <v>#NAME?</v>
      </c>
      <c r="N102" s="47"/>
    </row>
    <row r="103" spans="1:14" ht="14.25" customHeight="1">
      <c r="A103" s="26">
        <v>21</v>
      </c>
      <c r="B103" s="47"/>
      <c r="C103" s="30" t="s">
        <v>6399</v>
      </c>
      <c r="D103" s="64" t="e">
        <f ca="1"/>
        <v>#NAME?</v>
      </c>
      <c r="E103" s="63" t="e">
        <f ca="1"/>
        <v>#NAME?</v>
      </c>
      <c r="F103" s="63" t="e">
        <f ca="1"/>
        <v>#NAME?</v>
      </c>
      <c r="G103" s="63" t="e">
        <f ca="1"/>
        <v>#NAME?</v>
      </c>
      <c r="H103" s="77" t="e">
        <f ca="1"/>
        <v>#NAME?</v>
      </c>
      <c r="I103" s="51" t="e">
        <f ca="1"/>
        <v>#NAME?</v>
      </c>
      <c r="J103" s="64" t="e">
        <f ca="1"/>
        <v>#NAME?</v>
      </c>
      <c r="K103" s="47" t="e">
        <f ca="1"/>
        <v>#NAME?</v>
      </c>
      <c r="L103" s="47" t="e">
        <f ca="1"/>
        <v>#NAME?</v>
      </c>
      <c r="M103" s="47" t="e">
        <f ca="1"/>
        <v>#NAME?</v>
      </c>
      <c r="N103" s="47"/>
    </row>
    <row r="104" spans="1:14" ht="14.25" customHeight="1">
      <c r="A104" s="26">
        <v>22</v>
      </c>
      <c r="B104" s="47"/>
      <c r="C104" s="30" t="s">
        <v>6409</v>
      </c>
      <c r="D104" s="63" t="e">
        <f ca="1"/>
        <v>#NAME?</v>
      </c>
      <c r="E104" s="63" t="e">
        <f ca="1"/>
        <v>#NAME?</v>
      </c>
      <c r="F104" s="63" t="e">
        <f ca="1"/>
        <v>#NAME?</v>
      </c>
      <c r="G104" s="63" t="e">
        <f ca="1"/>
        <v>#NAME?</v>
      </c>
      <c r="H104" s="84" t="e">
        <f ca="1"/>
        <v>#NAME?</v>
      </c>
      <c r="I104" s="51" t="e">
        <f ca="1"/>
        <v>#NAME?</v>
      </c>
      <c r="J104" s="51" t="e">
        <f ca="1"/>
        <v>#NAME?</v>
      </c>
      <c r="K104" s="47" t="e">
        <f ca="1"/>
        <v>#NAME?</v>
      </c>
      <c r="L104" s="47" t="e">
        <f ca="1"/>
        <v>#NAME?</v>
      </c>
      <c r="M104" s="47" t="e">
        <f ca="1"/>
        <v>#NAME?</v>
      </c>
      <c r="N104" s="47"/>
    </row>
    <row r="105" spans="1:14" ht="14.25" customHeight="1">
      <c r="A105" s="26">
        <v>23</v>
      </c>
      <c r="B105" s="78"/>
      <c r="C105" s="30" t="s">
        <v>6419</v>
      </c>
      <c r="D105" s="64" t="e">
        <f ca="1"/>
        <v>#NAME?</v>
      </c>
      <c r="E105" s="63" t="e">
        <f ca="1"/>
        <v>#NAME?</v>
      </c>
      <c r="F105" s="63" t="e">
        <f ca="1"/>
        <v>#NAME?</v>
      </c>
      <c r="G105" s="63" t="e">
        <f ca="1"/>
        <v>#NAME?</v>
      </c>
      <c r="H105" s="77" t="e">
        <f ca="1"/>
        <v>#NAME?</v>
      </c>
      <c r="I105" s="51" t="e">
        <f ca="1"/>
        <v>#NAME?</v>
      </c>
      <c r="J105" s="64" t="e">
        <f ca="1"/>
        <v>#NAME?</v>
      </c>
      <c r="K105" s="47" t="e">
        <f ca="1"/>
        <v>#NAME?</v>
      </c>
      <c r="L105" s="47" t="e">
        <f ca="1"/>
        <v>#NAME?</v>
      </c>
      <c r="M105" s="47" t="e">
        <f ca="1"/>
        <v>#NAME?</v>
      </c>
      <c r="N105" s="47"/>
    </row>
    <row r="106" spans="1:14" ht="14.25" customHeight="1">
      <c r="A106" s="26">
        <v>24</v>
      </c>
      <c r="B106" s="47"/>
      <c r="C106" s="30" t="s">
        <v>6429</v>
      </c>
      <c r="D106" s="64" t="e">
        <f ca="1"/>
        <v>#NAME?</v>
      </c>
      <c r="E106" s="63" t="e">
        <f ca="1"/>
        <v>#NAME?</v>
      </c>
      <c r="F106" s="63" t="e">
        <f ca="1"/>
        <v>#NAME?</v>
      </c>
      <c r="G106" s="63" t="e">
        <f ca="1"/>
        <v>#NAME?</v>
      </c>
      <c r="H106" s="77" t="e">
        <f ca="1"/>
        <v>#NAME?</v>
      </c>
      <c r="I106" s="51" t="e">
        <f ca="1"/>
        <v>#NAME?</v>
      </c>
      <c r="J106" s="64" t="e">
        <f ca="1"/>
        <v>#NAME?</v>
      </c>
      <c r="K106" s="47" t="e">
        <f ca="1"/>
        <v>#NAME?</v>
      </c>
      <c r="L106" s="47" t="e">
        <f ca="1"/>
        <v>#NAME?</v>
      </c>
      <c r="M106" s="47" t="e">
        <f ca="1"/>
        <v>#NAME?</v>
      </c>
      <c r="N106" s="47"/>
    </row>
    <row r="107" spans="1:14" ht="14.25" customHeight="1">
      <c r="A107" s="26">
        <v>25</v>
      </c>
      <c r="B107" s="47"/>
      <c r="C107" s="63" t="s">
        <v>6439</v>
      </c>
      <c r="D107" s="63" t="e">
        <f ca="1"/>
        <v>#NAME?</v>
      </c>
      <c r="E107" s="63" t="e">
        <f ca="1"/>
        <v>#NAME?</v>
      </c>
      <c r="F107" s="63" t="e">
        <f ca="1"/>
        <v>#NAME?</v>
      </c>
      <c r="G107" s="63" t="e">
        <f ca="1"/>
        <v>#NAME?</v>
      </c>
      <c r="H107" s="84" t="e">
        <f ca="1"/>
        <v>#NAME?</v>
      </c>
      <c r="I107" s="51" t="e">
        <f ca="1"/>
        <v>#NAME?</v>
      </c>
      <c r="J107" s="51" t="e">
        <f ca="1"/>
        <v>#NAME?</v>
      </c>
      <c r="K107" s="47" t="e">
        <f ca="1"/>
        <v>#NAME?</v>
      </c>
      <c r="L107" s="47" t="e">
        <f ca="1"/>
        <v>#NAME?</v>
      </c>
      <c r="M107" s="47" t="e">
        <f ca="1"/>
        <v>#NAME?</v>
      </c>
      <c r="N107" s="47"/>
    </row>
    <row r="108" spans="1:14" ht="14.25" customHeight="1">
      <c r="A108" s="26">
        <v>26</v>
      </c>
      <c r="B108" s="47"/>
      <c r="C108" s="63" t="s">
        <v>6449</v>
      </c>
      <c r="D108" s="63" t="e">
        <f ca="1"/>
        <v>#NAME?</v>
      </c>
      <c r="E108" s="63" t="e">
        <f ca="1"/>
        <v>#NAME?</v>
      </c>
      <c r="F108" s="63" t="e">
        <f ca="1"/>
        <v>#NAME?</v>
      </c>
      <c r="G108" s="63" t="e">
        <f ca="1"/>
        <v>#NAME?</v>
      </c>
      <c r="H108" s="84" t="e">
        <f ca="1"/>
        <v>#NAME?</v>
      </c>
      <c r="I108" s="51" t="e">
        <f ca="1"/>
        <v>#NAME?</v>
      </c>
      <c r="J108" s="51" t="e">
        <f ca="1"/>
        <v>#NAME?</v>
      </c>
      <c r="K108" s="47" t="e">
        <f ca="1"/>
        <v>#NAME?</v>
      </c>
      <c r="L108" s="47" t="e">
        <f ca="1"/>
        <v>#NAME?</v>
      </c>
      <c r="M108" s="47" t="e">
        <f ca="1"/>
        <v>#NAME?</v>
      </c>
      <c r="N108" s="47"/>
    </row>
    <row r="109" spans="1:14" ht="14.25" customHeight="1">
      <c r="A109" s="26">
        <v>27</v>
      </c>
      <c r="B109" s="47"/>
      <c r="C109" s="63" t="s">
        <v>6459</v>
      </c>
      <c r="D109" s="63" t="e">
        <f ca="1"/>
        <v>#NAME?</v>
      </c>
      <c r="E109" s="63" t="e">
        <f ca="1"/>
        <v>#NAME?</v>
      </c>
      <c r="F109" s="63" t="e">
        <f ca="1"/>
        <v>#NAME?</v>
      </c>
      <c r="G109" s="63" t="e">
        <f ca="1"/>
        <v>#NAME?</v>
      </c>
      <c r="H109" s="84" t="e">
        <f ca="1"/>
        <v>#NAME?</v>
      </c>
      <c r="I109" s="51" t="e">
        <f ca="1"/>
        <v>#NAME?</v>
      </c>
      <c r="J109" s="51" t="e">
        <f ca="1"/>
        <v>#NAME?</v>
      </c>
      <c r="K109" s="47" t="e">
        <f ca="1"/>
        <v>#NAME?</v>
      </c>
      <c r="L109" s="47" t="e">
        <f ca="1"/>
        <v>#NAME?</v>
      </c>
      <c r="M109" s="47" t="e">
        <f ca="1"/>
        <v>#NAME?</v>
      </c>
      <c r="N109" s="47"/>
    </row>
    <row r="110" spans="1:14" ht="14.25" customHeight="1">
      <c r="A110" s="19">
        <v>1</v>
      </c>
      <c r="B110" s="47"/>
      <c r="C110" s="90" t="s">
        <v>6469</v>
      </c>
      <c r="D110" s="90" t="e">
        <f ca="1"/>
        <v>#NAME?</v>
      </c>
      <c r="E110" s="90" t="e">
        <f ca="1"/>
        <v>#NAME?</v>
      </c>
      <c r="F110" s="90" t="e">
        <f ca="1"/>
        <v>#NAME?</v>
      </c>
      <c r="G110" s="90" t="e">
        <f ca="1"/>
        <v>#NAME?</v>
      </c>
      <c r="H110" s="140" t="e">
        <f ca="1"/>
        <v>#NAME?</v>
      </c>
      <c r="I110" s="92" t="e">
        <f ca="1"/>
        <v>#NAME?</v>
      </c>
      <c r="J110" s="92" t="e">
        <f ca="1"/>
        <v>#NAME?</v>
      </c>
      <c r="K110" s="88" t="e">
        <f ca="1"/>
        <v>#NAME?</v>
      </c>
      <c r="L110" s="88" t="e">
        <f ca="1"/>
        <v>#NAME?</v>
      </c>
      <c r="M110" s="88" t="e">
        <f ca="1"/>
        <v>#NAME?</v>
      </c>
      <c r="N110" s="88">
        <v>5</v>
      </c>
    </row>
    <row r="111" spans="1:14" ht="14.25" customHeight="1">
      <c r="A111" s="26">
        <v>2</v>
      </c>
      <c r="B111" s="47"/>
      <c r="C111" s="63" t="s">
        <v>6479</v>
      </c>
      <c r="D111" s="63" t="e">
        <f ca="1"/>
        <v>#NAME?</v>
      </c>
      <c r="E111" s="63" t="e">
        <f ca="1"/>
        <v>#NAME?</v>
      </c>
      <c r="F111" s="63" t="e">
        <f ca="1"/>
        <v>#NAME?</v>
      </c>
      <c r="G111" s="63" t="e">
        <f ca="1"/>
        <v>#NAME?</v>
      </c>
      <c r="H111" s="84" t="e">
        <f ca="1"/>
        <v>#NAME?</v>
      </c>
      <c r="I111" s="51" t="e">
        <f ca="1"/>
        <v>#NAME?</v>
      </c>
      <c r="J111" s="51" t="e">
        <f ca="1"/>
        <v>#NAME?</v>
      </c>
      <c r="K111" s="47" t="e">
        <f ca="1"/>
        <v>#NAME?</v>
      </c>
      <c r="L111" s="47" t="e">
        <f ca="1"/>
        <v>#NAME?</v>
      </c>
      <c r="M111" s="47" t="e">
        <f ca="1"/>
        <v>#NAME?</v>
      </c>
      <c r="N111" s="47"/>
    </row>
    <row r="112" spans="1:14" ht="14.25" customHeight="1">
      <c r="A112" s="26">
        <v>3</v>
      </c>
      <c r="B112" s="78"/>
      <c r="C112" s="63" t="s">
        <v>6490</v>
      </c>
      <c r="D112" s="63" t="e">
        <f ca="1"/>
        <v>#NAME?</v>
      </c>
      <c r="E112" s="63" t="e">
        <f ca="1"/>
        <v>#NAME?</v>
      </c>
      <c r="F112" s="63" t="e">
        <f ca="1"/>
        <v>#NAME?</v>
      </c>
      <c r="G112" s="63" t="e">
        <f ca="1"/>
        <v>#NAME?</v>
      </c>
      <c r="H112" s="84" t="e">
        <f ca="1"/>
        <v>#NAME?</v>
      </c>
      <c r="I112" s="51" t="e">
        <f ca="1"/>
        <v>#NAME?</v>
      </c>
      <c r="J112" s="51" t="e">
        <f ca="1"/>
        <v>#NAME?</v>
      </c>
      <c r="K112" s="47" t="e">
        <f ca="1"/>
        <v>#NAME?</v>
      </c>
      <c r="L112" s="47" t="e">
        <f ca="1"/>
        <v>#NAME?</v>
      </c>
      <c r="M112" s="47" t="e">
        <f ca="1"/>
        <v>#NAME?</v>
      </c>
      <c r="N112" s="47"/>
    </row>
    <row r="113" spans="1:14" ht="14.25" customHeight="1">
      <c r="A113" s="26">
        <v>4</v>
      </c>
      <c r="B113" s="78"/>
      <c r="C113" s="63" t="s">
        <v>6500</v>
      </c>
      <c r="D113" s="63" t="e">
        <f ca="1"/>
        <v>#NAME?</v>
      </c>
      <c r="E113" s="63" t="e">
        <f ca="1"/>
        <v>#NAME?</v>
      </c>
      <c r="F113" s="63" t="e">
        <f ca="1"/>
        <v>#NAME?</v>
      </c>
      <c r="G113" s="63" t="e">
        <f ca="1"/>
        <v>#NAME?</v>
      </c>
      <c r="H113" s="84" t="e">
        <f ca="1"/>
        <v>#NAME?</v>
      </c>
      <c r="I113" s="51" t="e">
        <f ca="1"/>
        <v>#NAME?</v>
      </c>
      <c r="J113" s="51" t="e">
        <f ca="1"/>
        <v>#NAME?</v>
      </c>
      <c r="K113" s="47" t="e">
        <f ca="1"/>
        <v>#NAME?</v>
      </c>
      <c r="L113" s="47" t="e">
        <f ca="1"/>
        <v>#NAME?</v>
      </c>
      <c r="M113" s="47" t="e">
        <f ca="1"/>
        <v>#NAME?</v>
      </c>
      <c r="N113" s="47"/>
    </row>
    <row r="114" spans="1:14" ht="14.25" customHeight="1">
      <c r="A114" s="26">
        <v>5</v>
      </c>
      <c r="B114" s="47"/>
      <c r="C114" s="63" t="s">
        <v>6510</v>
      </c>
      <c r="D114" s="63" t="e">
        <f ca="1"/>
        <v>#NAME?</v>
      </c>
      <c r="E114" s="63" t="e">
        <f ca="1"/>
        <v>#NAME?</v>
      </c>
      <c r="F114" s="63" t="e">
        <f ca="1"/>
        <v>#NAME?</v>
      </c>
      <c r="G114" s="63" t="e">
        <f ca="1"/>
        <v>#NAME?</v>
      </c>
      <c r="H114" s="84" t="e">
        <f ca="1"/>
        <v>#NAME?</v>
      </c>
      <c r="I114" s="51" t="e">
        <f ca="1"/>
        <v>#NAME?</v>
      </c>
      <c r="J114" s="51" t="e">
        <f ca="1"/>
        <v>#NAME?</v>
      </c>
      <c r="K114" s="47" t="e">
        <f ca="1"/>
        <v>#NAME?</v>
      </c>
      <c r="L114" s="47" t="e">
        <f ca="1"/>
        <v>#NAME?</v>
      </c>
      <c r="M114" s="47" t="e">
        <f ca="1"/>
        <v>#NAME?</v>
      </c>
      <c r="N114" s="47"/>
    </row>
    <row r="115" spans="1:14" ht="14.25" customHeight="1">
      <c r="A115" s="26">
        <v>6</v>
      </c>
      <c r="B115" s="78"/>
      <c r="C115" s="63" t="s">
        <v>6520</v>
      </c>
      <c r="D115" s="63" t="e">
        <f ca="1"/>
        <v>#NAME?</v>
      </c>
      <c r="E115" s="63" t="e">
        <f ca="1"/>
        <v>#NAME?</v>
      </c>
      <c r="F115" s="63" t="e">
        <f ca="1"/>
        <v>#NAME?</v>
      </c>
      <c r="G115" s="63" t="e">
        <f ca="1"/>
        <v>#NAME?</v>
      </c>
      <c r="H115" s="84" t="e">
        <f ca="1"/>
        <v>#NAME?</v>
      </c>
      <c r="I115" s="51" t="e">
        <f ca="1"/>
        <v>#NAME?</v>
      </c>
      <c r="J115" s="51" t="e">
        <f ca="1"/>
        <v>#NAME?</v>
      </c>
      <c r="K115" s="47" t="e">
        <f ca="1"/>
        <v>#NAME?</v>
      </c>
      <c r="L115" s="47" t="e">
        <f ca="1"/>
        <v>#NAME?</v>
      </c>
      <c r="M115" s="47" t="e">
        <f ca="1"/>
        <v>#NAME?</v>
      </c>
      <c r="N115" s="47"/>
    </row>
    <row r="116" spans="1:14" ht="14.25" customHeight="1">
      <c r="A116" s="26">
        <v>7</v>
      </c>
      <c r="B116" s="78"/>
      <c r="C116" s="63" t="s">
        <v>6530</v>
      </c>
      <c r="D116" s="63" t="e">
        <f ca="1"/>
        <v>#NAME?</v>
      </c>
      <c r="E116" s="63" t="e">
        <f ca="1"/>
        <v>#NAME?</v>
      </c>
      <c r="F116" s="63" t="e">
        <f ca="1"/>
        <v>#NAME?</v>
      </c>
      <c r="G116" s="63" t="e">
        <f ca="1"/>
        <v>#NAME?</v>
      </c>
      <c r="H116" s="84" t="e">
        <f ca="1"/>
        <v>#NAME?</v>
      </c>
      <c r="I116" s="51" t="e">
        <f ca="1"/>
        <v>#NAME?</v>
      </c>
      <c r="J116" s="51" t="e">
        <f ca="1"/>
        <v>#NAME?</v>
      </c>
      <c r="K116" s="47" t="e">
        <f ca="1"/>
        <v>#NAME?</v>
      </c>
      <c r="L116" s="47" t="e">
        <f ca="1"/>
        <v>#NAME?</v>
      </c>
      <c r="M116" s="47" t="e">
        <f ca="1"/>
        <v>#NAME?</v>
      </c>
      <c r="N116" s="47"/>
    </row>
    <row r="117" spans="1:14" ht="14.25" customHeight="1">
      <c r="A117" s="26">
        <v>8</v>
      </c>
      <c r="B117" s="78"/>
      <c r="C117" s="63" t="s">
        <v>6540</v>
      </c>
      <c r="D117" s="63" t="e">
        <f ca="1"/>
        <v>#NAME?</v>
      </c>
      <c r="E117" s="63" t="e">
        <f ca="1"/>
        <v>#NAME?</v>
      </c>
      <c r="F117" s="63" t="e">
        <f ca="1"/>
        <v>#NAME?</v>
      </c>
      <c r="G117" s="63" t="e">
        <f ca="1"/>
        <v>#NAME?</v>
      </c>
      <c r="H117" s="84" t="e">
        <f ca="1"/>
        <v>#NAME?</v>
      </c>
      <c r="I117" s="51" t="e">
        <f ca="1"/>
        <v>#NAME?</v>
      </c>
      <c r="J117" s="51" t="e">
        <f ca="1"/>
        <v>#NAME?</v>
      </c>
      <c r="K117" s="47" t="e">
        <f ca="1"/>
        <v>#NAME?</v>
      </c>
      <c r="L117" s="47" t="e">
        <f ca="1"/>
        <v>#NAME?</v>
      </c>
      <c r="M117" s="47" t="e">
        <f ca="1"/>
        <v>#NAME?</v>
      </c>
      <c r="N117" s="47"/>
    </row>
    <row r="118" spans="1:14" ht="14.25" customHeight="1">
      <c r="A118" s="26">
        <v>9</v>
      </c>
      <c r="B118" s="78"/>
      <c r="C118" s="63" t="s">
        <v>6550</v>
      </c>
      <c r="D118" s="63" t="e">
        <f ca="1"/>
        <v>#NAME?</v>
      </c>
      <c r="E118" s="63" t="e">
        <f ca="1"/>
        <v>#NAME?</v>
      </c>
      <c r="F118" s="63" t="e">
        <f ca="1"/>
        <v>#NAME?</v>
      </c>
      <c r="G118" s="63" t="e">
        <f ca="1"/>
        <v>#NAME?</v>
      </c>
      <c r="H118" s="84" t="e">
        <f ca="1"/>
        <v>#NAME?</v>
      </c>
      <c r="I118" s="51" t="e">
        <f ca="1"/>
        <v>#NAME?</v>
      </c>
      <c r="J118" s="51" t="e">
        <f ca="1"/>
        <v>#NAME?</v>
      </c>
      <c r="K118" s="47" t="e">
        <f ca="1"/>
        <v>#NAME?</v>
      </c>
      <c r="L118" s="47" t="e">
        <f ca="1"/>
        <v>#NAME?</v>
      </c>
      <c r="M118" s="47" t="e">
        <f ca="1"/>
        <v>#NAME?</v>
      </c>
      <c r="N118" s="47"/>
    </row>
    <row r="119" spans="1:14" ht="14.25" customHeight="1">
      <c r="A119" s="26">
        <v>10</v>
      </c>
      <c r="B119" s="47"/>
      <c r="C119" s="63" t="s">
        <v>6560</v>
      </c>
      <c r="D119" s="63" t="e">
        <f ca="1"/>
        <v>#NAME?</v>
      </c>
      <c r="E119" s="63" t="e">
        <f ca="1"/>
        <v>#NAME?</v>
      </c>
      <c r="F119" s="63" t="e">
        <f ca="1"/>
        <v>#NAME?</v>
      </c>
      <c r="G119" s="63" t="e">
        <f ca="1"/>
        <v>#NAME?</v>
      </c>
      <c r="H119" s="84" t="e">
        <f ca="1"/>
        <v>#NAME?</v>
      </c>
      <c r="I119" s="51" t="e">
        <f ca="1"/>
        <v>#NAME?</v>
      </c>
      <c r="J119" s="51" t="e">
        <f ca="1"/>
        <v>#NAME?</v>
      </c>
      <c r="K119" s="47" t="e">
        <f ca="1"/>
        <v>#NAME?</v>
      </c>
      <c r="L119" s="47" t="e">
        <f ca="1"/>
        <v>#NAME?</v>
      </c>
      <c r="M119" s="47" t="e">
        <f ca="1"/>
        <v>#NAME?</v>
      </c>
      <c r="N119" s="47"/>
    </row>
    <row r="120" spans="1:14" ht="14.25" customHeight="1">
      <c r="A120" s="26">
        <v>11</v>
      </c>
      <c r="B120" s="78"/>
      <c r="C120" s="63" t="s">
        <v>6570</v>
      </c>
      <c r="D120" s="63" t="e">
        <f ca="1"/>
        <v>#NAME?</v>
      </c>
      <c r="E120" s="63" t="e">
        <f ca="1"/>
        <v>#NAME?</v>
      </c>
      <c r="F120" s="63" t="e">
        <f ca="1"/>
        <v>#NAME?</v>
      </c>
      <c r="G120" s="63" t="e">
        <f ca="1"/>
        <v>#NAME?</v>
      </c>
      <c r="H120" s="84" t="e">
        <f ca="1"/>
        <v>#NAME?</v>
      </c>
      <c r="I120" s="51" t="e">
        <f ca="1"/>
        <v>#NAME?</v>
      </c>
      <c r="J120" s="51" t="e">
        <f ca="1"/>
        <v>#NAME?</v>
      </c>
      <c r="K120" s="47" t="e">
        <f ca="1"/>
        <v>#NAME?</v>
      </c>
      <c r="L120" s="47" t="e">
        <f ca="1"/>
        <v>#NAME?</v>
      </c>
      <c r="M120" s="47" t="e">
        <f ca="1"/>
        <v>#NAME?</v>
      </c>
      <c r="N120" s="47"/>
    </row>
    <row r="121" spans="1:14" ht="14.25" customHeight="1">
      <c r="A121" s="26">
        <v>12</v>
      </c>
      <c r="B121" s="78"/>
      <c r="C121" s="63" t="s">
        <v>6579</v>
      </c>
      <c r="D121" s="63" t="e">
        <f ca="1"/>
        <v>#NAME?</v>
      </c>
      <c r="E121" s="63" t="e">
        <f ca="1"/>
        <v>#NAME?</v>
      </c>
      <c r="F121" s="63" t="e">
        <f ca="1"/>
        <v>#NAME?</v>
      </c>
      <c r="G121" s="63" t="e">
        <f ca="1"/>
        <v>#NAME?</v>
      </c>
      <c r="H121" s="84" t="e">
        <f ca="1"/>
        <v>#NAME?</v>
      </c>
      <c r="I121" s="51" t="e">
        <f ca="1"/>
        <v>#NAME?</v>
      </c>
      <c r="J121" s="51" t="e">
        <f ca="1"/>
        <v>#NAME?</v>
      </c>
      <c r="K121" s="47" t="e">
        <f ca="1"/>
        <v>#NAME?</v>
      </c>
      <c r="L121" s="47" t="e">
        <f ca="1"/>
        <v>#NAME?</v>
      </c>
      <c r="M121" s="47" t="e">
        <f ca="1"/>
        <v>#NAME?</v>
      </c>
      <c r="N121" s="47"/>
    </row>
    <row r="122" spans="1:14" ht="14.25" customHeight="1">
      <c r="A122" s="26">
        <v>13</v>
      </c>
      <c r="B122" s="47"/>
      <c r="C122" s="63" t="s">
        <v>6589</v>
      </c>
      <c r="D122" s="63" t="e">
        <f ca="1"/>
        <v>#NAME?</v>
      </c>
      <c r="E122" s="63" t="e">
        <f ca="1"/>
        <v>#NAME?</v>
      </c>
      <c r="F122" s="63" t="e">
        <f ca="1"/>
        <v>#NAME?</v>
      </c>
      <c r="G122" s="63" t="e">
        <f ca="1"/>
        <v>#NAME?</v>
      </c>
      <c r="H122" s="84" t="e">
        <f ca="1"/>
        <v>#NAME?</v>
      </c>
      <c r="I122" s="51" t="e">
        <f ca="1"/>
        <v>#NAME?</v>
      </c>
      <c r="J122" s="51" t="e">
        <f ca="1"/>
        <v>#NAME?</v>
      </c>
      <c r="K122" s="47" t="e">
        <f ca="1"/>
        <v>#NAME?</v>
      </c>
      <c r="L122" s="47" t="e">
        <f ca="1"/>
        <v>#NAME?</v>
      </c>
      <c r="M122" s="47" t="e">
        <f ca="1"/>
        <v>#NAME?</v>
      </c>
      <c r="N122" s="47"/>
    </row>
    <row r="123" spans="1:14" ht="14.25" customHeight="1">
      <c r="A123" s="26">
        <v>14</v>
      </c>
      <c r="B123" s="47"/>
      <c r="C123" s="63" t="s">
        <v>6599</v>
      </c>
      <c r="D123" s="63" t="e">
        <f ca="1"/>
        <v>#NAME?</v>
      </c>
      <c r="E123" s="63" t="e">
        <f ca="1"/>
        <v>#NAME?</v>
      </c>
      <c r="F123" s="63" t="e">
        <f ca="1"/>
        <v>#NAME?</v>
      </c>
      <c r="G123" s="63" t="e">
        <f ca="1"/>
        <v>#NAME?</v>
      </c>
      <c r="H123" s="84" t="e">
        <f ca="1"/>
        <v>#NAME?</v>
      </c>
      <c r="I123" s="51" t="e">
        <f ca="1"/>
        <v>#NAME?</v>
      </c>
      <c r="J123" s="51" t="e">
        <f ca="1"/>
        <v>#NAME?</v>
      </c>
      <c r="K123" s="47" t="e">
        <f ca="1"/>
        <v>#NAME?</v>
      </c>
      <c r="L123" s="47" t="e">
        <f ca="1"/>
        <v>#NAME?</v>
      </c>
      <c r="M123" s="47" t="e">
        <f ca="1"/>
        <v>#NAME?</v>
      </c>
      <c r="N123" s="47"/>
    </row>
    <row r="124" spans="1:14" ht="14.25" customHeight="1">
      <c r="A124" s="26">
        <v>15</v>
      </c>
      <c r="B124" s="47"/>
      <c r="C124" s="30" t="s">
        <v>6609</v>
      </c>
      <c r="D124" s="63" t="e">
        <f ca="1"/>
        <v>#NAME?</v>
      </c>
      <c r="E124" s="63" t="e">
        <f ca="1"/>
        <v>#NAME?</v>
      </c>
      <c r="F124" s="63" t="e">
        <f ca="1"/>
        <v>#NAME?</v>
      </c>
      <c r="G124" s="63" t="e">
        <f ca="1"/>
        <v>#NAME?</v>
      </c>
      <c r="H124" s="84" t="e">
        <f ca="1"/>
        <v>#NAME?</v>
      </c>
      <c r="I124" s="51" t="e">
        <f ca="1"/>
        <v>#NAME?</v>
      </c>
      <c r="J124" s="63" t="e">
        <f ca="1"/>
        <v>#NAME?</v>
      </c>
      <c r="K124" s="47" t="e">
        <f ca="1"/>
        <v>#NAME?</v>
      </c>
      <c r="L124" s="47" t="e">
        <f ca="1"/>
        <v>#NAME?</v>
      </c>
      <c r="M124" s="47" t="e">
        <f ca="1"/>
        <v>#NAME?</v>
      </c>
      <c r="N124" s="47"/>
    </row>
    <row r="125" spans="1:14" ht="14.25" customHeight="1">
      <c r="A125" s="26">
        <v>16</v>
      </c>
      <c r="B125" s="78"/>
      <c r="C125" s="30" t="s">
        <v>6619</v>
      </c>
      <c r="D125" s="63" t="e">
        <f ca="1"/>
        <v>#NAME?</v>
      </c>
      <c r="E125" s="63" t="e">
        <f ca="1"/>
        <v>#NAME?</v>
      </c>
      <c r="F125" s="63" t="e">
        <f ca="1"/>
        <v>#NAME?</v>
      </c>
      <c r="G125" s="63" t="e">
        <f ca="1"/>
        <v>#NAME?</v>
      </c>
      <c r="H125" s="84" t="e">
        <f ca="1"/>
        <v>#NAME?</v>
      </c>
      <c r="I125" s="51" t="e">
        <f ca="1"/>
        <v>#NAME?</v>
      </c>
      <c r="J125" s="51" t="e">
        <f ca="1"/>
        <v>#NAME?</v>
      </c>
      <c r="K125" s="47" t="e">
        <f ca="1"/>
        <v>#NAME?</v>
      </c>
      <c r="L125" s="47" t="e">
        <f ca="1"/>
        <v>#NAME?</v>
      </c>
      <c r="M125" s="47" t="e">
        <f ca="1"/>
        <v>#NAME?</v>
      </c>
      <c r="N125" s="47"/>
    </row>
    <row r="126" spans="1:14" ht="14.25" customHeight="1">
      <c r="A126" s="26">
        <v>17</v>
      </c>
      <c r="B126" s="78"/>
      <c r="C126" s="30" t="s">
        <v>6629</v>
      </c>
      <c r="D126" s="63" t="e">
        <f ca="1"/>
        <v>#NAME?</v>
      </c>
      <c r="E126" s="63" t="e">
        <f ca="1"/>
        <v>#NAME?</v>
      </c>
      <c r="F126" s="63" t="e">
        <f ca="1"/>
        <v>#NAME?</v>
      </c>
      <c r="G126" s="63" t="e">
        <f ca="1"/>
        <v>#NAME?</v>
      </c>
      <c r="H126" s="84" t="e">
        <f ca="1"/>
        <v>#NAME?</v>
      </c>
      <c r="I126" s="51" t="e">
        <f ca="1"/>
        <v>#NAME?</v>
      </c>
      <c r="J126" s="51" t="e">
        <f ca="1"/>
        <v>#NAME?</v>
      </c>
      <c r="K126" s="47" t="e">
        <f ca="1"/>
        <v>#NAME?</v>
      </c>
      <c r="L126" s="47" t="e">
        <f ca="1"/>
        <v>#NAME?</v>
      </c>
      <c r="M126" s="47" t="e">
        <f ca="1"/>
        <v>#NAME?</v>
      </c>
      <c r="N126" s="47"/>
    </row>
    <row r="127" spans="1:14" ht="14.25" customHeight="1">
      <c r="A127" s="26">
        <v>18</v>
      </c>
      <c r="B127" s="78"/>
      <c r="C127" s="30" t="s">
        <v>6639</v>
      </c>
      <c r="D127" s="63" t="e">
        <f ca="1"/>
        <v>#NAME?</v>
      </c>
      <c r="E127" s="63" t="e">
        <f ca="1"/>
        <v>#NAME?</v>
      </c>
      <c r="F127" s="63" t="e">
        <f ca="1"/>
        <v>#NAME?</v>
      </c>
      <c r="G127" s="63" t="e">
        <f ca="1"/>
        <v>#NAME?</v>
      </c>
      <c r="H127" s="84" t="e">
        <f ca="1"/>
        <v>#NAME?</v>
      </c>
      <c r="I127" s="51" t="e">
        <f ca="1"/>
        <v>#NAME?</v>
      </c>
      <c r="J127" s="51" t="e">
        <f ca="1"/>
        <v>#NAME?</v>
      </c>
      <c r="K127" s="47" t="e">
        <f ca="1"/>
        <v>#NAME?</v>
      </c>
      <c r="L127" s="47" t="e">
        <f ca="1"/>
        <v>#NAME?</v>
      </c>
      <c r="M127" s="47" t="e">
        <f ca="1"/>
        <v>#NAME?</v>
      </c>
      <c r="N127" s="47"/>
    </row>
    <row r="128" spans="1:14" ht="14.25" customHeight="1">
      <c r="A128" s="26">
        <v>19</v>
      </c>
      <c r="B128" s="78"/>
      <c r="C128" s="30" t="s">
        <v>6648</v>
      </c>
      <c r="D128" s="63" t="e">
        <f ca="1"/>
        <v>#NAME?</v>
      </c>
      <c r="E128" s="51" t="e">
        <f ca="1"/>
        <v>#NAME?</v>
      </c>
      <c r="F128" s="63" t="e">
        <f ca="1"/>
        <v>#NAME?</v>
      </c>
      <c r="G128" s="63" t="e">
        <f ca="1"/>
        <v>#NAME?</v>
      </c>
      <c r="H128" s="84" t="e">
        <f ca="1"/>
        <v>#NAME?</v>
      </c>
      <c r="I128" s="51" t="e">
        <f ca="1"/>
        <v>#NAME?</v>
      </c>
      <c r="J128" s="51" t="e">
        <f ca="1"/>
        <v>#NAME?</v>
      </c>
      <c r="K128" s="47" t="e">
        <f ca="1"/>
        <v>#NAME?</v>
      </c>
      <c r="L128" s="47" t="e">
        <f ca="1"/>
        <v>#NAME?</v>
      </c>
      <c r="M128" s="47" t="e">
        <f ca="1"/>
        <v>#NAME?</v>
      </c>
      <c r="N128" s="47"/>
    </row>
    <row r="129" spans="1:14" ht="14.25" customHeight="1">
      <c r="A129" s="26">
        <v>20</v>
      </c>
      <c r="B129" s="78"/>
      <c r="C129" s="30" t="s">
        <v>6658</v>
      </c>
      <c r="D129" s="63" t="e">
        <f ca="1"/>
        <v>#NAME?</v>
      </c>
      <c r="E129" s="63" t="e">
        <f ca="1"/>
        <v>#NAME?</v>
      </c>
      <c r="F129" s="63" t="e">
        <f ca="1"/>
        <v>#NAME?</v>
      </c>
      <c r="G129" s="63" t="e">
        <f ca="1"/>
        <v>#NAME?</v>
      </c>
      <c r="H129" s="84" t="e">
        <f ca="1"/>
        <v>#NAME?</v>
      </c>
      <c r="I129" s="51" t="e">
        <f ca="1"/>
        <v>#NAME?</v>
      </c>
      <c r="J129" s="51" t="e">
        <f ca="1"/>
        <v>#NAME?</v>
      </c>
      <c r="K129" s="47" t="e">
        <f ca="1"/>
        <v>#NAME?</v>
      </c>
      <c r="L129" s="47" t="e">
        <f ca="1"/>
        <v>#NAME?</v>
      </c>
      <c r="M129" s="47" t="e">
        <f ca="1"/>
        <v>#NAME?</v>
      </c>
      <c r="N129" s="47"/>
    </row>
    <row r="130" spans="1:14" ht="14.25" customHeight="1">
      <c r="A130" s="26">
        <v>21</v>
      </c>
      <c r="B130" s="78"/>
      <c r="C130" s="30" t="s">
        <v>6668</v>
      </c>
      <c r="D130" s="63" t="e">
        <f ca="1"/>
        <v>#NAME?</v>
      </c>
      <c r="E130" s="63" t="e">
        <f ca="1"/>
        <v>#NAME?</v>
      </c>
      <c r="F130" s="63" t="e">
        <f ca="1"/>
        <v>#NAME?</v>
      </c>
      <c r="G130" s="63" t="e">
        <f ca="1"/>
        <v>#NAME?</v>
      </c>
      <c r="H130" s="84" t="e">
        <f ca="1"/>
        <v>#NAME?</v>
      </c>
      <c r="I130" s="51" t="e">
        <f ca="1"/>
        <v>#NAME?</v>
      </c>
      <c r="J130" s="51" t="e">
        <f ca="1"/>
        <v>#NAME?</v>
      </c>
      <c r="K130" s="47" t="e">
        <f ca="1"/>
        <v>#NAME?</v>
      </c>
      <c r="L130" s="47" t="e">
        <f ca="1"/>
        <v>#NAME?</v>
      </c>
      <c r="M130" s="47" t="e">
        <f ca="1"/>
        <v>#NAME?</v>
      </c>
      <c r="N130" s="47"/>
    </row>
    <row r="131" spans="1:14" ht="14.25" customHeight="1">
      <c r="A131" s="26">
        <v>22</v>
      </c>
      <c r="B131" s="47"/>
      <c r="C131" s="30" t="s">
        <v>6678</v>
      </c>
      <c r="D131" s="63" t="e">
        <f ca="1"/>
        <v>#NAME?</v>
      </c>
      <c r="E131" s="63" t="e">
        <f ca="1"/>
        <v>#NAME?</v>
      </c>
      <c r="F131" s="63" t="e">
        <f ca="1"/>
        <v>#NAME?</v>
      </c>
      <c r="G131" s="63" t="e">
        <f ca="1"/>
        <v>#NAME?</v>
      </c>
      <c r="H131" s="84" t="e">
        <f ca="1"/>
        <v>#NAME?</v>
      </c>
      <c r="I131" s="51" t="e">
        <f ca="1"/>
        <v>#NAME?</v>
      </c>
      <c r="J131" s="51" t="e">
        <f ca="1"/>
        <v>#NAME?</v>
      </c>
      <c r="K131" s="47" t="e">
        <f ca="1"/>
        <v>#NAME?</v>
      </c>
      <c r="L131" s="47" t="e">
        <f ca="1"/>
        <v>#NAME?</v>
      </c>
      <c r="M131" s="47" t="e">
        <f ca="1"/>
        <v>#NAME?</v>
      </c>
      <c r="N131" s="47"/>
    </row>
    <row r="132" spans="1:14" ht="14.25" customHeight="1">
      <c r="A132" s="26">
        <v>23</v>
      </c>
      <c r="B132" s="78"/>
      <c r="C132" s="30" t="s">
        <v>6688</v>
      </c>
      <c r="D132" s="63" t="e">
        <f ca="1"/>
        <v>#NAME?</v>
      </c>
      <c r="E132" s="68" t="e">
        <f ca="1"/>
        <v>#NAME?</v>
      </c>
      <c r="F132" s="63" t="e">
        <f ca="1"/>
        <v>#NAME?</v>
      </c>
      <c r="G132" s="63" t="e">
        <f ca="1"/>
        <v>#NAME?</v>
      </c>
      <c r="H132" s="84" t="e">
        <f ca="1"/>
        <v>#NAME?</v>
      </c>
      <c r="I132" s="51" t="e">
        <f ca="1"/>
        <v>#NAME?</v>
      </c>
      <c r="J132" s="51" t="e">
        <f ca="1"/>
        <v>#NAME?</v>
      </c>
      <c r="K132" s="47" t="e">
        <f ca="1"/>
        <v>#NAME?</v>
      </c>
      <c r="L132" s="47" t="e">
        <f ca="1"/>
        <v>#NAME?</v>
      </c>
      <c r="M132" s="47" t="e">
        <f ca="1"/>
        <v>#NAME?</v>
      </c>
      <c r="N132" s="47"/>
    </row>
    <row r="133" spans="1:14" ht="14.25" customHeight="1">
      <c r="A133" s="26">
        <v>24</v>
      </c>
      <c r="B133" s="47"/>
      <c r="C133" s="30" t="s">
        <v>6698</v>
      </c>
      <c r="D133" s="63" t="e">
        <f ca="1"/>
        <v>#NAME?</v>
      </c>
      <c r="E133" s="63" t="e">
        <f ca="1"/>
        <v>#NAME?</v>
      </c>
      <c r="F133" s="63" t="e">
        <f ca="1"/>
        <v>#NAME?</v>
      </c>
      <c r="G133" s="63" t="e">
        <f ca="1"/>
        <v>#NAME?</v>
      </c>
      <c r="H133" s="84" t="e">
        <f ca="1"/>
        <v>#NAME?</v>
      </c>
      <c r="I133" s="51" t="e">
        <f ca="1"/>
        <v>#NAME?</v>
      </c>
      <c r="J133" s="51" t="e">
        <f ca="1"/>
        <v>#NAME?</v>
      </c>
      <c r="K133" s="47" t="e">
        <f ca="1"/>
        <v>#NAME?</v>
      </c>
      <c r="L133" s="47" t="e">
        <f ca="1"/>
        <v>#NAME?</v>
      </c>
      <c r="M133" s="47" t="e">
        <f ca="1"/>
        <v>#NAME?</v>
      </c>
      <c r="N133" s="47"/>
    </row>
    <row r="134" spans="1:14" ht="14.25" customHeight="1">
      <c r="A134" s="26">
        <v>25</v>
      </c>
      <c r="B134" s="78"/>
      <c r="C134" s="30" t="s">
        <v>6708</v>
      </c>
      <c r="D134" s="63" t="e">
        <f ca="1"/>
        <v>#NAME?</v>
      </c>
      <c r="E134" s="63" t="e">
        <f ca="1"/>
        <v>#NAME?</v>
      </c>
      <c r="F134" s="63" t="e">
        <f ca="1"/>
        <v>#NAME?</v>
      </c>
      <c r="G134" s="63" t="e">
        <f ca="1"/>
        <v>#NAME?</v>
      </c>
      <c r="H134" s="84" t="e">
        <f ca="1"/>
        <v>#NAME?</v>
      </c>
      <c r="I134" s="51" t="e">
        <f ca="1"/>
        <v>#NAME?</v>
      </c>
      <c r="J134" s="51" t="e">
        <f ca="1"/>
        <v>#NAME?</v>
      </c>
      <c r="K134" s="47" t="e">
        <f ca="1"/>
        <v>#NAME?</v>
      </c>
      <c r="L134" s="47" t="e">
        <f ca="1"/>
        <v>#NAME?</v>
      </c>
      <c r="M134" s="47" t="e">
        <f ca="1"/>
        <v>#NAME?</v>
      </c>
      <c r="N134" s="47"/>
    </row>
    <row r="135" spans="1:14" ht="14.25" customHeight="1">
      <c r="A135" s="26">
        <v>26</v>
      </c>
      <c r="B135" s="78"/>
      <c r="C135" s="30" t="s">
        <v>6718</v>
      </c>
      <c r="D135" s="63" t="e">
        <f ca="1"/>
        <v>#NAME?</v>
      </c>
      <c r="E135" s="63" t="e">
        <f ca="1"/>
        <v>#NAME?</v>
      </c>
      <c r="F135" s="63" t="e">
        <f ca="1"/>
        <v>#NAME?</v>
      </c>
      <c r="G135" s="63" t="e">
        <f ca="1"/>
        <v>#NAME?</v>
      </c>
      <c r="H135" s="84" t="e">
        <f ca="1"/>
        <v>#NAME?</v>
      </c>
      <c r="I135" s="51" t="e">
        <f ca="1"/>
        <v>#NAME?</v>
      </c>
      <c r="J135" s="51" t="e">
        <f ca="1"/>
        <v>#NAME?</v>
      </c>
      <c r="K135" s="47" t="e">
        <f ca="1"/>
        <v>#NAME?</v>
      </c>
      <c r="L135" s="47" t="e">
        <f ca="1"/>
        <v>#NAME?</v>
      </c>
      <c r="M135" s="47" t="e">
        <f ca="1"/>
        <v>#NAME?</v>
      </c>
      <c r="N135" s="47"/>
    </row>
    <row r="136" spans="1:14" ht="14.25" customHeight="1">
      <c r="A136" s="26">
        <v>27</v>
      </c>
      <c r="B136" s="47"/>
      <c r="C136" s="30" t="s">
        <v>6726</v>
      </c>
      <c r="D136" s="63" t="e">
        <f ca="1"/>
        <v>#NAME?</v>
      </c>
      <c r="E136" s="63" t="e">
        <f ca="1"/>
        <v>#NAME?</v>
      </c>
      <c r="F136" s="63" t="e">
        <f ca="1"/>
        <v>#NAME?</v>
      </c>
      <c r="G136" s="63" t="e">
        <f ca="1"/>
        <v>#NAME?</v>
      </c>
      <c r="H136" s="84" t="e">
        <f ca="1"/>
        <v>#NAME?</v>
      </c>
      <c r="I136" s="51" t="e">
        <f ca="1"/>
        <v>#NAME?</v>
      </c>
      <c r="J136" s="51" t="e">
        <f ca="1"/>
        <v>#NAME?</v>
      </c>
      <c r="K136" s="47" t="e">
        <f ca="1"/>
        <v>#NAME?</v>
      </c>
      <c r="L136" s="47" t="e">
        <f ca="1"/>
        <v>#NAME?</v>
      </c>
      <c r="M136" s="47" t="e">
        <f ca="1"/>
        <v>#NAME?</v>
      </c>
      <c r="N136" s="47"/>
    </row>
    <row r="137" spans="1:14" ht="14.25" customHeight="1">
      <c r="A137" s="19">
        <v>1</v>
      </c>
      <c r="B137" s="78"/>
      <c r="C137" s="96" t="s">
        <v>6736</v>
      </c>
      <c r="D137" s="96" t="e">
        <f ca="1"/>
        <v>#NAME?</v>
      </c>
      <c r="E137" s="96" t="e">
        <f ca="1"/>
        <v>#NAME?</v>
      </c>
      <c r="F137" s="96" t="e">
        <f ca="1"/>
        <v>#NAME?</v>
      </c>
      <c r="G137" s="96" t="e">
        <f ca="1"/>
        <v>#NAME?</v>
      </c>
      <c r="H137" s="141" t="e">
        <f ca="1"/>
        <v>#NAME?</v>
      </c>
      <c r="I137" s="92" t="e">
        <f ca="1"/>
        <v>#NAME?</v>
      </c>
      <c r="J137" s="96" t="e">
        <f ca="1"/>
        <v>#NAME?</v>
      </c>
      <c r="K137" s="88" t="e">
        <f ca="1"/>
        <v>#NAME?</v>
      </c>
      <c r="L137" s="88" t="e">
        <f ca="1"/>
        <v>#NAME?</v>
      </c>
      <c r="M137" s="88" t="e">
        <f ca="1"/>
        <v>#NAME?</v>
      </c>
      <c r="N137" s="88">
        <v>6</v>
      </c>
    </row>
    <row r="138" spans="1:14" ht="14.25" customHeight="1">
      <c r="A138" s="26">
        <v>2</v>
      </c>
      <c r="B138" s="47"/>
      <c r="C138" s="80" t="s">
        <v>6745</v>
      </c>
      <c r="D138" s="80" t="e">
        <f ca="1"/>
        <v>#NAME?</v>
      </c>
      <c r="E138" s="80" t="e">
        <f ca="1"/>
        <v>#NAME?</v>
      </c>
      <c r="F138" s="80" t="e">
        <f ca="1"/>
        <v>#NAME?</v>
      </c>
      <c r="G138" s="80" t="e">
        <f ca="1"/>
        <v>#NAME?</v>
      </c>
      <c r="H138" s="79" t="e">
        <f ca="1"/>
        <v>#NAME?</v>
      </c>
      <c r="I138" s="51" t="e">
        <f ca="1"/>
        <v>#NAME?</v>
      </c>
      <c r="J138" s="80" t="e">
        <f ca="1"/>
        <v>#NAME?</v>
      </c>
      <c r="K138" s="47" t="e">
        <f ca="1"/>
        <v>#NAME?</v>
      </c>
      <c r="L138" s="47" t="e">
        <f ca="1"/>
        <v>#NAME?</v>
      </c>
      <c r="M138" s="47" t="e">
        <f ca="1"/>
        <v>#NAME?</v>
      </c>
      <c r="N138" s="47"/>
    </row>
    <row r="139" spans="1:14" ht="14.25" customHeight="1">
      <c r="A139" s="26">
        <v>3</v>
      </c>
      <c r="B139" s="78"/>
      <c r="C139" s="80" t="s">
        <v>6757</v>
      </c>
      <c r="D139" s="80" t="e">
        <f ca="1"/>
        <v>#NAME?</v>
      </c>
      <c r="E139" s="80" t="e">
        <f ca="1"/>
        <v>#NAME?</v>
      </c>
      <c r="F139" s="80" t="e">
        <f ca="1"/>
        <v>#NAME?</v>
      </c>
      <c r="G139" s="80" t="e">
        <f ca="1"/>
        <v>#NAME?</v>
      </c>
      <c r="H139" s="79" t="e">
        <f ca="1"/>
        <v>#NAME?</v>
      </c>
      <c r="I139" s="51" t="e">
        <f ca="1"/>
        <v>#NAME?</v>
      </c>
      <c r="J139" s="80" t="e">
        <f ca="1"/>
        <v>#NAME?</v>
      </c>
      <c r="K139" s="47" t="e">
        <f ca="1"/>
        <v>#NAME?</v>
      </c>
      <c r="L139" s="47" t="e">
        <f ca="1"/>
        <v>#NAME?</v>
      </c>
      <c r="M139" s="47" t="e">
        <f ca="1"/>
        <v>#NAME?</v>
      </c>
      <c r="N139" s="47"/>
    </row>
    <row r="140" spans="1:14" ht="14.25" customHeight="1">
      <c r="A140" s="26">
        <v>4</v>
      </c>
      <c r="B140" s="78"/>
      <c r="C140" s="80" t="s">
        <v>6767</v>
      </c>
      <c r="D140" s="80" t="e">
        <f ca="1"/>
        <v>#NAME?</v>
      </c>
      <c r="E140" s="80" t="e">
        <f ca="1"/>
        <v>#NAME?</v>
      </c>
      <c r="F140" s="80" t="e">
        <f ca="1"/>
        <v>#NAME?</v>
      </c>
      <c r="G140" s="80" t="e">
        <f ca="1"/>
        <v>#NAME?</v>
      </c>
      <c r="H140" s="79" t="e">
        <f ca="1"/>
        <v>#NAME?</v>
      </c>
      <c r="I140" s="51" t="e">
        <f ca="1"/>
        <v>#NAME?</v>
      </c>
      <c r="J140" s="80" t="e">
        <f ca="1"/>
        <v>#NAME?</v>
      </c>
      <c r="K140" s="47" t="e">
        <f ca="1"/>
        <v>#NAME?</v>
      </c>
      <c r="L140" s="47" t="e">
        <f ca="1"/>
        <v>#NAME?</v>
      </c>
      <c r="M140" s="47" t="e">
        <f ca="1"/>
        <v>#NAME?</v>
      </c>
      <c r="N140" s="47"/>
    </row>
    <row r="141" spans="1:14" ht="14.25" customHeight="1">
      <c r="A141" s="26">
        <v>5</v>
      </c>
      <c r="B141" s="47"/>
      <c r="C141" s="80" t="s">
        <v>6777</v>
      </c>
      <c r="D141" s="80" t="e">
        <f ca="1"/>
        <v>#NAME?</v>
      </c>
      <c r="E141" s="80" t="e">
        <f ca="1"/>
        <v>#NAME?</v>
      </c>
      <c r="F141" s="80" t="e">
        <f ca="1"/>
        <v>#NAME?</v>
      </c>
      <c r="G141" s="80" t="e">
        <f ca="1"/>
        <v>#NAME?</v>
      </c>
      <c r="H141" s="79" t="e">
        <f ca="1"/>
        <v>#NAME?</v>
      </c>
      <c r="I141" s="51" t="e">
        <f ca="1"/>
        <v>#NAME?</v>
      </c>
      <c r="J141" s="99" t="e">
        <f ca="1"/>
        <v>#NAME?</v>
      </c>
      <c r="K141" s="47" t="e">
        <f ca="1"/>
        <v>#NAME?</v>
      </c>
      <c r="L141" s="47" t="e">
        <f ca="1"/>
        <v>#NAME?</v>
      </c>
      <c r="M141" s="47" t="e">
        <f ca="1"/>
        <v>#NAME?</v>
      </c>
      <c r="N141" s="47"/>
    </row>
    <row r="142" spans="1:14" ht="14.25" customHeight="1">
      <c r="A142" s="26">
        <v>6</v>
      </c>
      <c r="B142" s="47"/>
      <c r="C142" s="80" t="s">
        <v>6787</v>
      </c>
      <c r="D142" s="80" t="e">
        <f ca="1"/>
        <v>#NAME?</v>
      </c>
      <c r="E142" s="80" t="e">
        <f ca="1"/>
        <v>#NAME?</v>
      </c>
      <c r="F142" s="80" t="e">
        <f ca="1"/>
        <v>#NAME?</v>
      </c>
      <c r="G142" s="80" t="e">
        <f ca="1"/>
        <v>#NAME?</v>
      </c>
      <c r="H142" s="79" t="e">
        <f ca="1"/>
        <v>#NAME?</v>
      </c>
      <c r="I142" s="51" t="e">
        <f ca="1"/>
        <v>#NAME?</v>
      </c>
      <c r="J142" s="80" t="e">
        <f ca="1"/>
        <v>#NAME?</v>
      </c>
      <c r="K142" s="47" t="e">
        <f ca="1"/>
        <v>#NAME?</v>
      </c>
      <c r="L142" s="47" t="e">
        <f ca="1"/>
        <v>#NAME?</v>
      </c>
      <c r="M142" s="47" t="e">
        <f ca="1"/>
        <v>#NAME?</v>
      </c>
      <c r="N142" s="47"/>
    </row>
    <row r="143" spans="1:14" ht="14.25" customHeight="1">
      <c r="A143" s="26">
        <v>7</v>
      </c>
      <c r="B143" s="47"/>
      <c r="C143" s="80" t="s">
        <v>6795</v>
      </c>
      <c r="D143" s="80" t="e">
        <f ca="1"/>
        <v>#NAME?</v>
      </c>
      <c r="E143" s="80" t="e">
        <f ca="1"/>
        <v>#NAME?</v>
      </c>
      <c r="F143" s="80" t="e">
        <f ca="1"/>
        <v>#NAME?</v>
      </c>
      <c r="G143" s="80" t="e">
        <f ca="1"/>
        <v>#NAME?</v>
      </c>
      <c r="H143" s="79" t="e">
        <f ca="1"/>
        <v>#NAME?</v>
      </c>
      <c r="I143" s="51" t="e">
        <f ca="1"/>
        <v>#NAME?</v>
      </c>
      <c r="J143" s="80" t="e">
        <f ca="1"/>
        <v>#NAME?</v>
      </c>
      <c r="K143" s="47" t="e">
        <f ca="1"/>
        <v>#NAME?</v>
      </c>
      <c r="L143" s="47" t="e">
        <f ca="1"/>
        <v>#NAME?</v>
      </c>
      <c r="M143" s="47" t="e">
        <f ca="1"/>
        <v>#NAME?</v>
      </c>
      <c r="N143" s="47"/>
    </row>
    <row r="144" spans="1:14" ht="14.25" customHeight="1">
      <c r="A144" s="26">
        <v>8</v>
      </c>
      <c r="B144" s="78"/>
      <c r="C144" s="80" t="s">
        <v>6805</v>
      </c>
      <c r="D144" s="80" t="e">
        <f ca="1"/>
        <v>#NAME?</v>
      </c>
      <c r="E144" s="80" t="e">
        <f ca="1"/>
        <v>#NAME?</v>
      </c>
      <c r="F144" s="80" t="e">
        <f ca="1"/>
        <v>#NAME?</v>
      </c>
      <c r="G144" s="80" t="e">
        <f ca="1"/>
        <v>#NAME?</v>
      </c>
      <c r="H144" s="79" t="e">
        <f ca="1"/>
        <v>#NAME?</v>
      </c>
      <c r="I144" s="51" t="e">
        <f ca="1"/>
        <v>#NAME?</v>
      </c>
      <c r="J144" s="80" t="e">
        <f ca="1"/>
        <v>#NAME?</v>
      </c>
      <c r="K144" s="47" t="e">
        <f ca="1"/>
        <v>#NAME?</v>
      </c>
      <c r="L144" s="47" t="e">
        <f ca="1"/>
        <v>#NAME?</v>
      </c>
      <c r="M144" s="47" t="e">
        <f ca="1"/>
        <v>#NAME?</v>
      </c>
      <c r="N144" s="47"/>
    </row>
    <row r="145" spans="1:14" ht="14.25" customHeight="1">
      <c r="A145" s="26">
        <v>9</v>
      </c>
      <c r="B145" s="47"/>
      <c r="C145" s="80" t="s">
        <v>6815</v>
      </c>
      <c r="D145" s="80" t="e">
        <f ca="1"/>
        <v>#NAME?</v>
      </c>
      <c r="E145" s="80" t="e">
        <f ca="1"/>
        <v>#NAME?</v>
      </c>
      <c r="F145" s="80" t="e">
        <f ca="1"/>
        <v>#NAME?</v>
      </c>
      <c r="G145" s="80" t="e">
        <f ca="1"/>
        <v>#NAME?</v>
      </c>
      <c r="H145" s="79" t="e">
        <f ca="1"/>
        <v>#NAME?</v>
      </c>
      <c r="I145" s="51" t="e">
        <f ca="1"/>
        <v>#NAME?</v>
      </c>
      <c r="J145" s="99" t="e">
        <f ca="1"/>
        <v>#NAME?</v>
      </c>
      <c r="K145" s="47" t="e">
        <f ca="1"/>
        <v>#NAME?</v>
      </c>
      <c r="L145" s="47" t="e">
        <f ca="1"/>
        <v>#NAME?</v>
      </c>
      <c r="M145" s="47" t="e">
        <f ca="1"/>
        <v>#NAME?</v>
      </c>
      <c r="N145" s="47"/>
    </row>
    <row r="146" spans="1:14" ht="14.25" customHeight="1">
      <c r="A146" s="26">
        <v>10</v>
      </c>
      <c r="B146" s="78"/>
      <c r="C146" s="80" t="s">
        <v>6825</v>
      </c>
      <c r="D146" s="80" t="e">
        <f ca="1"/>
        <v>#NAME?</v>
      </c>
      <c r="E146" s="80" t="e">
        <f ca="1"/>
        <v>#NAME?</v>
      </c>
      <c r="F146" s="80" t="e">
        <f ca="1"/>
        <v>#NAME?</v>
      </c>
      <c r="G146" s="80" t="e">
        <f ca="1"/>
        <v>#NAME?</v>
      </c>
      <c r="H146" s="79" t="e">
        <f ca="1"/>
        <v>#NAME?</v>
      </c>
      <c r="I146" s="51" t="e">
        <f ca="1"/>
        <v>#NAME?</v>
      </c>
      <c r="J146" s="80" t="e">
        <f ca="1"/>
        <v>#NAME?</v>
      </c>
      <c r="K146" s="47" t="e">
        <f ca="1"/>
        <v>#NAME?</v>
      </c>
      <c r="L146" s="47" t="e">
        <f ca="1"/>
        <v>#NAME?</v>
      </c>
      <c r="M146" s="47" t="e">
        <f ca="1"/>
        <v>#NAME?</v>
      </c>
      <c r="N146" s="47"/>
    </row>
    <row r="147" spans="1:14" ht="14.25" customHeight="1">
      <c r="A147" s="26">
        <v>11</v>
      </c>
      <c r="B147" s="47"/>
      <c r="C147" s="80" t="s">
        <v>6836</v>
      </c>
      <c r="D147" s="80" t="e">
        <f ca="1"/>
        <v>#NAME?</v>
      </c>
      <c r="E147" s="80" t="e">
        <f ca="1"/>
        <v>#NAME?</v>
      </c>
      <c r="F147" s="80" t="e">
        <f ca="1"/>
        <v>#NAME?</v>
      </c>
      <c r="G147" s="80" t="e">
        <f ca="1"/>
        <v>#NAME?</v>
      </c>
      <c r="H147" s="79" t="e">
        <f ca="1"/>
        <v>#NAME?</v>
      </c>
      <c r="I147" s="51" t="e">
        <f ca="1"/>
        <v>#NAME?</v>
      </c>
      <c r="J147" s="80" t="e">
        <f ca="1"/>
        <v>#NAME?</v>
      </c>
      <c r="K147" s="47" t="e">
        <f ca="1"/>
        <v>#NAME?</v>
      </c>
      <c r="L147" s="47" t="e">
        <f ca="1"/>
        <v>#NAME?</v>
      </c>
      <c r="M147" s="47" t="e">
        <f ca="1"/>
        <v>#NAME?</v>
      </c>
      <c r="N147" s="47"/>
    </row>
    <row r="148" spans="1:14" ht="14.25" customHeight="1">
      <c r="A148" s="26">
        <v>12</v>
      </c>
      <c r="B148" s="47"/>
      <c r="C148" s="80" t="s">
        <v>6846</v>
      </c>
      <c r="D148" s="80" t="e">
        <f ca="1"/>
        <v>#NAME?</v>
      </c>
      <c r="E148" s="80" t="e">
        <f ca="1"/>
        <v>#NAME?</v>
      </c>
      <c r="F148" s="80" t="e">
        <f ca="1"/>
        <v>#NAME?</v>
      </c>
      <c r="G148" s="63" t="e">
        <f ca="1"/>
        <v>#NAME?</v>
      </c>
      <c r="H148" s="79" t="e">
        <f ca="1"/>
        <v>#NAME?</v>
      </c>
      <c r="I148" s="51" t="e">
        <f ca="1"/>
        <v>#NAME?</v>
      </c>
      <c r="J148" s="99" t="e">
        <f ca="1"/>
        <v>#NAME?</v>
      </c>
      <c r="K148" s="47" t="e">
        <f ca="1"/>
        <v>#NAME?</v>
      </c>
      <c r="L148" s="47" t="e">
        <f ca="1"/>
        <v>#NAME?</v>
      </c>
      <c r="M148" s="47" t="e">
        <f ca="1"/>
        <v>#NAME?</v>
      </c>
      <c r="N148" s="47"/>
    </row>
    <row r="149" spans="1:14" ht="14.25" customHeight="1">
      <c r="A149" s="26">
        <v>13</v>
      </c>
      <c r="B149" s="78"/>
      <c r="C149" s="80" t="s">
        <v>6856</v>
      </c>
      <c r="D149" s="80" t="e">
        <f ca="1"/>
        <v>#NAME?</v>
      </c>
      <c r="E149" s="80" t="e">
        <f ca="1"/>
        <v>#NAME?</v>
      </c>
      <c r="F149" s="80" t="e">
        <f ca="1"/>
        <v>#NAME?</v>
      </c>
      <c r="G149" s="63" t="e">
        <f ca="1"/>
        <v>#NAME?</v>
      </c>
      <c r="H149" s="79" t="e">
        <f ca="1"/>
        <v>#NAME?</v>
      </c>
      <c r="I149" s="51" t="e">
        <f ca="1"/>
        <v>#NAME?</v>
      </c>
      <c r="J149" s="80" t="e">
        <f ca="1"/>
        <v>#NAME?</v>
      </c>
      <c r="K149" s="47" t="e">
        <f ca="1"/>
        <v>#NAME?</v>
      </c>
      <c r="L149" s="47" t="e">
        <f ca="1"/>
        <v>#NAME?</v>
      </c>
      <c r="M149" s="47" t="e">
        <f ca="1"/>
        <v>#NAME?</v>
      </c>
      <c r="N149" s="47"/>
    </row>
    <row r="150" spans="1:14" ht="14.25" customHeight="1">
      <c r="A150" s="26">
        <v>14</v>
      </c>
      <c r="B150" s="78"/>
      <c r="C150" s="80" t="s">
        <v>6866</v>
      </c>
      <c r="D150" s="80" t="e">
        <f ca="1"/>
        <v>#NAME?</v>
      </c>
      <c r="E150" s="80" t="e">
        <f ca="1"/>
        <v>#NAME?</v>
      </c>
      <c r="F150" s="80" t="e">
        <f ca="1"/>
        <v>#NAME?</v>
      </c>
      <c r="G150" s="80" t="e">
        <f ca="1"/>
        <v>#NAME?</v>
      </c>
      <c r="H150" s="79" t="e">
        <f ca="1"/>
        <v>#NAME?</v>
      </c>
      <c r="I150" s="51" t="e">
        <f ca="1"/>
        <v>#NAME?</v>
      </c>
      <c r="J150" s="80" t="e">
        <f ca="1"/>
        <v>#NAME?</v>
      </c>
      <c r="K150" s="47" t="e">
        <f ca="1"/>
        <v>#NAME?</v>
      </c>
      <c r="L150" s="47" t="e">
        <f ca="1"/>
        <v>#NAME?</v>
      </c>
      <c r="M150" s="47" t="e">
        <f ca="1"/>
        <v>#NAME?</v>
      </c>
      <c r="N150" s="47"/>
    </row>
    <row r="151" spans="1:14" ht="14.25" customHeight="1">
      <c r="A151" s="26">
        <v>15</v>
      </c>
      <c r="B151" s="78"/>
      <c r="C151" s="80" t="s">
        <v>6876</v>
      </c>
      <c r="D151" s="80" t="e">
        <f ca="1"/>
        <v>#NAME?</v>
      </c>
      <c r="E151" s="80" t="e">
        <f ca="1"/>
        <v>#NAME?</v>
      </c>
      <c r="F151" s="80" t="e">
        <f ca="1"/>
        <v>#NAME?</v>
      </c>
      <c r="G151" s="80" t="e">
        <f ca="1"/>
        <v>#NAME?</v>
      </c>
      <c r="H151" s="79" t="e">
        <f ca="1"/>
        <v>#NAME?</v>
      </c>
      <c r="I151" s="51" t="e">
        <f ca="1"/>
        <v>#NAME?</v>
      </c>
      <c r="J151" s="80" t="e">
        <f ca="1"/>
        <v>#NAME?</v>
      </c>
      <c r="K151" s="47" t="e">
        <f ca="1"/>
        <v>#NAME?</v>
      </c>
      <c r="L151" s="47" t="e">
        <f ca="1"/>
        <v>#NAME?</v>
      </c>
      <c r="M151" s="47" t="e">
        <f ca="1"/>
        <v>#NAME?</v>
      </c>
      <c r="N151" s="47"/>
    </row>
    <row r="152" spans="1:14" ht="14.25" customHeight="1">
      <c r="A152" s="26">
        <v>16</v>
      </c>
      <c r="B152" s="78"/>
      <c r="C152" s="30" t="s">
        <v>6886</v>
      </c>
      <c r="D152" s="51" t="e">
        <f ca="1"/>
        <v>#NAME?</v>
      </c>
      <c r="E152" s="80" t="e">
        <f ca="1"/>
        <v>#NAME?</v>
      </c>
      <c r="F152" s="51" t="e">
        <f ca="1"/>
        <v>#NAME?</v>
      </c>
      <c r="G152" s="80" t="e">
        <f ca="1"/>
        <v>#NAME?</v>
      </c>
      <c r="H152" s="81" t="e">
        <f ca="1"/>
        <v>#NAME?</v>
      </c>
      <c r="I152" s="51" t="e">
        <f ca="1"/>
        <v>#NAME?</v>
      </c>
      <c r="J152" s="51" t="e">
        <f ca="1"/>
        <v>#NAME?</v>
      </c>
      <c r="K152" s="47" t="e">
        <f ca="1"/>
        <v>#NAME?</v>
      </c>
      <c r="L152" s="47" t="e">
        <f ca="1"/>
        <v>#NAME?</v>
      </c>
      <c r="M152" s="47" t="e">
        <f ca="1"/>
        <v>#NAME?</v>
      </c>
      <c r="N152" s="47"/>
    </row>
    <row r="153" spans="1:14" ht="14.25" customHeight="1">
      <c r="A153" s="26">
        <v>17</v>
      </c>
      <c r="B153" s="78"/>
      <c r="C153" s="30" t="s">
        <v>6895</v>
      </c>
      <c r="D153" s="51" t="e">
        <f ca="1"/>
        <v>#NAME?</v>
      </c>
      <c r="E153" s="80" t="e">
        <f ca="1"/>
        <v>#NAME?</v>
      </c>
      <c r="F153" s="51" t="e">
        <f ca="1"/>
        <v>#NAME?</v>
      </c>
      <c r="G153" s="80" t="e">
        <f ca="1"/>
        <v>#NAME?</v>
      </c>
      <c r="H153" s="81" t="e">
        <f ca="1"/>
        <v>#NAME?</v>
      </c>
      <c r="I153" s="51" t="e">
        <f ca="1"/>
        <v>#NAME?</v>
      </c>
      <c r="J153" s="51" t="e">
        <f ca="1"/>
        <v>#NAME?</v>
      </c>
      <c r="K153" s="47" t="e">
        <f ca="1"/>
        <v>#NAME?</v>
      </c>
      <c r="L153" s="47" t="e">
        <f ca="1"/>
        <v>#NAME?</v>
      </c>
      <c r="M153" s="47" t="e">
        <f ca="1"/>
        <v>#NAME?</v>
      </c>
      <c r="N153" s="47"/>
    </row>
    <row r="154" spans="1:14" ht="14.25" customHeight="1">
      <c r="A154" s="26">
        <v>18</v>
      </c>
      <c r="B154" s="47"/>
      <c r="C154" s="30" t="s">
        <v>6905</v>
      </c>
      <c r="D154" s="51" t="e">
        <f ca="1"/>
        <v>#NAME?</v>
      </c>
      <c r="E154" s="80" t="e">
        <f ca="1"/>
        <v>#NAME?</v>
      </c>
      <c r="F154" s="51" t="e">
        <f ca="1"/>
        <v>#NAME?</v>
      </c>
      <c r="G154" s="80" t="e">
        <f ca="1"/>
        <v>#NAME?</v>
      </c>
      <c r="H154" s="81" t="e">
        <f ca="1"/>
        <v>#NAME?</v>
      </c>
      <c r="I154" s="51" t="e">
        <f ca="1"/>
        <v>#NAME?</v>
      </c>
      <c r="J154" s="51" t="e">
        <f ca="1"/>
        <v>#NAME?</v>
      </c>
      <c r="K154" s="47" t="e">
        <f ca="1"/>
        <v>#NAME?</v>
      </c>
      <c r="L154" s="47" t="e">
        <f ca="1"/>
        <v>#NAME?</v>
      </c>
      <c r="M154" s="47" t="e">
        <f ca="1"/>
        <v>#NAME?</v>
      </c>
      <c r="N154" s="47"/>
    </row>
    <row r="155" spans="1:14" ht="14.25" customHeight="1">
      <c r="A155" s="26">
        <v>19</v>
      </c>
      <c r="B155" s="78"/>
      <c r="C155" s="30" t="s">
        <v>6915</v>
      </c>
      <c r="D155" s="51" t="e">
        <f ca="1"/>
        <v>#NAME?</v>
      </c>
      <c r="E155" s="80" t="e">
        <f ca="1"/>
        <v>#NAME?</v>
      </c>
      <c r="F155" s="51" t="e">
        <f ca="1"/>
        <v>#NAME?</v>
      </c>
      <c r="G155" s="80" t="e">
        <f ca="1"/>
        <v>#NAME?</v>
      </c>
      <c r="H155" s="81" t="e">
        <f ca="1"/>
        <v>#NAME?</v>
      </c>
      <c r="I155" s="51" t="e">
        <f ca="1"/>
        <v>#NAME?</v>
      </c>
      <c r="J155" s="51" t="e">
        <f ca="1"/>
        <v>#NAME?</v>
      </c>
      <c r="K155" s="47" t="e">
        <f ca="1"/>
        <v>#NAME?</v>
      </c>
      <c r="L155" s="47" t="e">
        <f ca="1"/>
        <v>#NAME?</v>
      </c>
      <c r="M155" s="47" t="e">
        <f ca="1"/>
        <v>#NAME?</v>
      </c>
      <c r="N155" s="47"/>
    </row>
    <row r="156" spans="1:14" ht="14.25" customHeight="1">
      <c r="A156" s="26">
        <v>20</v>
      </c>
      <c r="B156" s="78"/>
      <c r="C156" s="30" t="s">
        <v>6925</v>
      </c>
      <c r="D156" s="51" t="e">
        <f ca="1"/>
        <v>#NAME?</v>
      </c>
      <c r="E156" s="80" t="e">
        <f ca="1"/>
        <v>#NAME?</v>
      </c>
      <c r="F156" s="51" t="e">
        <f ca="1"/>
        <v>#NAME?</v>
      </c>
      <c r="G156" s="80" t="e">
        <f ca="1"/>
        <v>#NAME?</v>
      </c>
      <c r="H156" s="81" t="e">
        <f ca="1"/>
        <v>#NAME?</v>
      </c>
      <c r="I156" s="51" t="e">
        <f ca="1"/>
        <v>#NAME?</v>
      </c>
      <c r="J156" s="51" t="e">
        <f ca="1"/>
        <v>#NAME?</v>
      </c>
      <c r="K156" s="47" t="e">
        <f ca="1"/>
        <v>#NAME?</v>
      </c>
      <c r="L156" s="47" t="e">
        <f ca="1"/>
        <v>#NAME?</v>
      </c>
      <c r="M156" s="47" t="e">
        <f ca="1"/>
        <v>#NAME?</v>
      </c>
      <c r="N156" s="47"/>
    </row>
    <row r="157" spans="1:14" ht="14.25" customHeight="1">
      <c r="A157" s="26">
        <v>21</v>
      </c>
      <c r="B157" s="78"/>
      <c r="C157" s="30" t="s">
        <v>6935</v>
      </c>
      <c r="D157" s="51" t="e">
        <f ca="1"/>
        <v>#NAME?</v>
      </c>
      <c r="E157" s="80" t="e">
        <f ca="1"/>
        <v>#NAME?</v>
      </c>
      <c r="F157" s="51" t="e">
        <f ca="1"/>
        <v>#NAME?</v>
      </c>
      <c r="G157" s="80" t="e">
        <f ca="1"/>
        <v>#NAME?</v>
      </c>
      <c r="H157" s="81" t="e">
        <f ca="1"/>
        <v>#NAME?</v>
      </c>
      <c r="I157" s="51" t="e">
        <f ca="1"/>
        <v>#NAME?</v>
      </c>
      <c r="J157" s="51" t="e">
        <f ca="1"/>
        <v>#NAME?</v>
      </c>
      <c r="K157" s="47" t="e">
        <f ca="1"/>
        <v>#NAME?</v>
      </c>
      <c r="L157" s="47" t="e">
        <f ca="1"/>
        <v>#NAME?</v>
      </c>
      <c r="M157" s="47" t="e">
        <f ca="1"/>
        <v>#NAME?</v>
      </c>
      <c r="N157" s="47"/>
    </row>
    <row r="158" spans="1:14" ht="14.25" customHeight="1">
      <c r="A158" s="26">
        <v>22</v>
      </c>
      <c r="B158" s="78"/>
      <c r="C158" s="30" t="s">
        <v>6945</v>
      </c>
      <c r="D158" s="51" t="e">
        <f ca="1"/>
        <v>#NAME?</v>
      </c>
      <c r="E158" s="80" t="e">
        <f ca="1"/>
        <v>#NAME?</v>
      </c>
      <c r="F158" s="51" t="e">
        <f ca="1"/>
        <v>#NAME?</v>
      </c>
      <c r="G158" s="51" t="e">
        <f ca="1"/>
        <v>#NAME?</v>
      </c>
      <c r="H158" s="81" t="e">
        <f ca="1"/>
        <v>#NAME?</v>
      </c>
      <c r="I158" s="51" t="e">
        <f ca="1"/>
        <v>#NAME?</v>
      </c>
      <c r="J158" s="51" t="e">
        <f ca="1"/>
        <v>#NAME?</v>
      </c>
      <c r="K158" s="47" t="e">
        <f ca="1"/>
        <v>#NAME?</v>
      </c>
      <c r="L158" s="47" t="e">
        <f ca="1"/>
        <v>#NAME?</v>
      </c>
      <c r="M158" s="47" t="e">
        <f ca="1"/>
        <v>#NAME?</v>
      </c>
      <c r="N158" s="47"/>
    </row>
    <row r="159" spans="1:14" ht="14.25" customHeight="1">
      <c r="A159" s="26">
        <v>23</v>
      </c>
      <c r="B159" s="47"/>
      <c r="C159" s="30" t="s">
        <v>6955</v>
      </c>
      <c r="D159" s="80" t="e">
        <f ca="1"/>
        <v>#NAME?</v>
      </c>
      <c r="E159" s="80" t="e">
        <f ca="1"/>
        <v>#NAME?</v>
      </c>
      <c r="F159" s="51" t="e">
        <f ca="1"/>
        <v>#NAME?</v>
      </c>
      <c r="G159" s="51" t="e">
        <f ca="1"/>
        <v>#NAME?</v>
      </c>
      <c r="H159" s="81" t="e">
        <f ca="1"/>
        <v>#NAME?</v>
      </c>
      <c r="I159" s="51" t="e">
        <f ca="1"/>
        <v>#NAME?</v>
      </c>
      <c r="J159" s="51" t="e">
        <f ca="1"/>
        <v>#NAME?</v>
      </c>
      <c r="K159" s="47" t="e">
        <f ca="1"/>
        <v>#NAME?</v>
      </c>
      <c r="L159" s="47" t="e">
        <f ca="1"/>
        <v>#NAME?</v>
      </c>
      <c r="M159" s="47" t="e">
        <f ca="1"/>
        <v>#NAME?</v>
      </c>
      <c r="N159" s="47"/>
    </row>
    <row r="160" spans="1:14" ht="14.25" customHeight="1">
      <c r="A160" s="26">
        <v>24</v>
      </c>
      <c r="B160" s="47"/>
      <c r="C160" s="30" t="s">
        <v>6965</v>
      </c>
      <c r="D160" s="51" t="e">
        <f ca="1"/>
        <v>#NAME?</v>
      </c>
      <c r="E160" s="80" t="e">
        <f ca="1"/>
        <v>#NAME?</v>
      </c>
      <c r="F160" s="51" t="e">
        <f ca="1"/>
        <v>#NAME?</v>
      </c>
      <c r="G160" s="51" t="e">
        <f ca="1"/>
        <v>#NAME?</v>
      </c>
      <c r="H160" s="81" t="e">
        <f ca="1"/>
        <v>#NAME?</v>
      </c>
      <c r="I160" s="51" t="e">
        <f ca="1"/>
        <v>#NAME?</v>
      </c>
      <c r="J160" s="51" t="e">
        <f ca="1"/>
        <v>#NAME?</v>
      </c>
      <c r="K160" s="47" t="e">
        <f ca="1"/>
        <v>#NAME?</v>
      </c>
      <c r="L160" s="47" t="e">
        <f ca="1"/>
        <v>#NAME?</v>
      </c>
      <c r="M160" s="47" t="e">
        <f ca="1"/>
        <v>#NAME?</v>
      </c>
      <c r="N160" s="47"/>
    </row>
    <row r="161" spans="1:14" ht="14.25" customHeight="1">
      <c r="A161" s="26">
        <v>25</v>
      </c>
      <c r="B161" s="47"/>
      <c r="C161" s="30" t="s">
        <v>6975</v>
      </c>
      <c r="D161" s="51" t="e">
        <f ca="1"/>
        <v>#NAME?</v>
      </c>
      <c r="E161" s="80" t="e">
        <f ca="1"/>
        <v>#NAME?</v>
      </c>
      <c r="F161" s="51" t="e">
        <f ca="1"/>
        <v>#NAME?</v>
      </c>
      <c r="G161" s="51" t="e">
        <f ca="1"/>
        <v>#NAME?</v>
      </c>
      <c r="H161" s="81" t="e">
        <f ca="1"/>
        <v>#NAME?</v>
      </c>
      <c r="I161" s="51" t="e">
        <f ca="1"/>
        <v>#NAME?</v>
      </c>
      <c r="J161" s="51" t="e">
        <f ca="1"/>
        <v>#NAME?</v>
      </c>
      <c r="K161" s="47" t="e">
        <f ca="1"/>
        <v>#NAME?</v>
      </c>
      <c r="L161" s="47" t="e">
        <f ca="1"/>
        <v>#NAME?</v>
      </c>
      <c r="M161" s="47" t="e">
        <f ca="1"/>
        <v>#NAME?</v>
      </c>
      <c r="N161" s="47"/>
    </row>
    <row r="162" spans="1:14" ht="14.25" customHeight="1">
      <c r="A162" s="26">
        <v>26</v>
      </c>
      <c r="B162" s="47"/>
      <c r="C162" s="51" t="s">
        <v>6985</v>
      </c>
      <c r="D162" s="51" t="e">
        <f ca="1"/>
        <v>#NAME?</v>
      </c>
      <c r="E162" s="80" t="e">
        <f ca="1"/>
        <v>#NAME?</v>
      </c>
      <c r="F162" s="51" t="e">
        <f ca="1"/>
        <v>#NAME?</v>
      </c>
      <c r="G162" s="30" t="e">
        <f ca="1"/>
        <v>#NAME?</v>
      </c>
      <c r="H162" s="81" t="e">
        <f ca="1"/>
        <v>#NAME?</v>
      </c>
      <c r="I162" s="51" t="e">
        <f ca="1"/>
        <v>#NAME?</v>
      </c>
      <c r="J162" s="51" t="e">
        <f ca="1"/>
        <v>#NAME?</v>
      </c>
      <c r="K162" s="47" t="e">
        <f ca="1"/>
        <v>#NAME?</v>
      </c>
      <c r="L162" s="47" t="e">
        <f ca="1"/>
        <v>#NAME?</v>
      </c>
      <c r="M162" s="47" t="e">
        <f ca="1"/>
        <v>#NAME?</v>
      </c>
      <c r="N162" s="47"/>
    </row>
    <row r="163" spans="1:14" ht="14.25" customHeight="1">
      <c r="A163" s="26">
        <v>27</v>
      </c>
      <c r="B163" s="78"/>
      <c r="C163" s="30" t="s">
        <v>6995</v>
      </c>
      <c r="D163" s="51" t="e">
        <f ca="1"/>
        <v>#NAME?</v>
      </c>
      <c r="E163" s="80" t="e">
        <f ca="1"/>
        <v>#NAME?</v>
      </c>
      <c r="F163" s="51" t="e">
        <f ca="1"/>
        <v>#NAME?</v>
      </c>
      <c r="G163" s="80" t="e">
        <f ca="1"/>
        <v>#NAME?</v>
      </c>
      <c r="H163" s="81" t="e">
        <f ca="1"/>
        <v>#NAME?</v>
      </c>
      <c r="I163" s="51" t="e">
        <f ca="1"/>
        <v>#NAME?</v>
      </c>
      <c r="J163" s="51" t="e">
        <f ca="1"/>
        <v>#NAME?</v>
      </c>
      <c r="K163" s="47" t="e">
        <f ca="1"/>
        <v>#NAME?</v>
      </c>
      <c r="L163" s="47" t="e">
        <f ca="1"/>
        <v>#NAME?</v>
      </c>
      <c r="M163" s="47" t="e">
        <f ca="1"/>
        <v>#NAME?</v>
      </c>
      <c r="N163" s="47"/>
    </row>
    <row r="164" spans="1:14" ht="12.75" customHeight="1">
      <c r="A164" s="19">
        <v>1</v>
      </c>
      <c r="B164" s="47"/>
      <c r="C164" s="21" t="s">
        <v>7005</v>
      </c>
      <c r="D164" s="92" t="e">
        <f ca="1"/>
        <v>#NAME?</v>
      </c>
      <c r="E164" s="96" t="e">
        <f ca="1"/>
        <v>#NAME?</v>
      </c>
      <c r="F164" s="92" t="e">
        <f ca="1"/>
        <v>#NAME?</v>
      </c>
      <c r="G164" s="96" t="e">
        <f ca="1"/>
        <v>#NAME?</v>
      </c>
      <c r="H164" s="142" t="e">
        <f ca="1"/>
        <v>#NAME?</v>
      </c>
      <c r="I164" s="92" t="e">
        <f ca="1"/>
        <v>#NAME?</v>
      </c>
      <c r="J164" s="92" t="e">
        <f ca="1"/>
        <v>#NAME?</v>
      </c>
      <c r="K164" s="88" t="e">
        <f ca="1"/>
        <v>#NAME?</v>
      </c>
      <c r="L164" s="88" t="e">
        <f ca="1"/>
        <v>#NAME?</v>
      </c>
      <c r="M164" s="88" t="e">
        <f ca="1"/>
        <v>#NAME?</v>
      </c>
      <c r="N164" s="88">
        <v>7</v>
      </c>
    </row>
    <row r="165" spans="1:14" ht="14.25" customHeight="1">
      <c r="A165" s="26">
        <v>2</v>
      </c>
      <c r="B165" s="47"/>
      <c r="C165" s="30" t="s">
        <v>7015</v>
      </c>
      <c r="D165" s="51" t="e">
        <f ca="1"/>
        <v>#NAME?</v>
      </c>
      <c r="E165" s="80" t="e">
        <f ca="1"/>
        <v>#NAME?</v>
      </c>
      <c r="F165" s="51" t="e">
        <f ca="1"/>
        <v>#NAME?</v>
      </c>
      <c r="G165" s="80" t="e">
        <f ca="1"/>
        <v>#NAME?</v>
      </c>
      <c r="H165" s="81" t="e">
        <f ca="1"/>
        <v>#NAME?</v>
      </c>
      <c r="I165" s="51" t="e">
        <f ca="1"/>
        <v>#NAME?</v>
      </c>
      <c r="J165" s="51" t="e">
        <f ca="1"/>
        <v>#NAME?</v>
      </c>
      <c r="K165" s="47" t="e">
        <f ca="1"/>
        <v>#NAME?</v>
      </c>
      <c r="L165" s="47" t="e">
        <f ca="1"/>
        <v>#NAME?</v>
      </c>
      <c r="M165" s="47" t="e">
        <f ca="1"/>
        <v>#NAME?</v>
      </c>
      <c r="N165" s="47"/>
    </row>
    <row r="166" spans="1:14" ht="14.25" customHeight="1">
      <c r="A166" s="26">
        <v>3</v>
      </c>
      <c r="B166" s="47"/>
      <c r="C166" s="30" t="s">
        <v>7026</v>
      </c>
      <c r="D166" s="51" t="e">
        <f ca="1"/>
        <v>#NAME?</v>
      </c>
      <c r="E166" s="80" t="e">
        <f ca="1"/>
        <v>#NAME?</v>
      </c>
      <c r="F166" s="51" t="e">
        <f ca="1"/>
        <v>#NAME?</v>
      </c>
      <c r="G166" s="80" t="e">
        <f ca="1"/>
        <v>#NAME?</v>
      </c>
      <c r="H166" s="81" t="e">
        <f ca="1"/>
        <v>#NAME?</v>
      </c>
      <c r="I166" s="51" t="e">
        <f ca="1"/>
        <v>#NAME?</v>
      </c>
      <c r="J166" s="51" t="e">
        <f ca="1"/>
        <v>#NAME?</v>
      </c>
      <c r="K166" s="47" t="e">
        <f ca="1"/>
        <v>#NAME?</v>
      </c>
      <c r="L166" s="47" t="e">
        <f ca="1"/>
        <v>#NAME?</v>
      </c>
      <c r="M166" s="47" t="e">
        <f ca="1"/>
        <v>#NAME?</v>
      </c>
      <c r="N166" s="47"/>
    </row>
    <row r="167" spans="1:14" ht="14.25" customHeight="1">
      <c r="A167" s="26">
        <v>4</v>
      </c>
      <c r="B167" s="47"/>
      <c r="C167" s="30" t="s">
        <v>7035</v>
      </c>
      <c r="D167" s="51" t="e">
        <f ca="1"/>
        <v>#NAME?</v>
      </c>
      <c r="E167" s="80" t="e">
        <f ca="1"/>
        <v>#NAME?</v>
      </c>
      <c r="F167" s="51" t="e">
        <f ca="1"/>
        <v>#NAME?</v>
      </c>
      <c r="G167" s="80" t="e">
        <f ca="1"/>
        <v>#NAME?</v>
      </c>
      <c r="H167" s="81" t="e">
        <f ca="1"/>
        <v>#NAME?</v>
      </c>
      <c r="I167" s="51" t="e">
        <f ca="1"/>
        <v>#NAME?</v>
      </c>
      <c r="J167" s="51" t="e">
        <f ca="1"/>
        <v>#NAME?</v>
      </c>
      <c r="K167" s="47" t="e">
        <f ca="1"/>
        <v>#NAME?</v>
      </c>
      <c r="L167" s="47" t="e">
        <f ca="1"/>
        <v>#NAME?</v>
      </c>
      <c r="M167" s="47" t="e">
        <f ca="1"/>
        <v>#NAME?</v>
      </c>
      <c r="N167" s="47"/>
    </row>
    <row r="168" spans="1:14" ht="14.25" customHeight="1">
      <c r="A168" s="26">
        <v>5</v>
      </c>
      <c r="B168" s="47"/>
      <c r="C168" s="30" t="s">
        <v>3641</v>
      </c>
      <c r="D168" s="51" t="e">
        <f ca="1"/>
        <v>#NAME?</v>
      </c>
      <c r="E168" s="80" t="e">
        <f ca="1"/>
        <v>#NAME?</v>
      </c>
      <c r="F168" s="51" t="e">
        <f ca="1"/>
        <v>#NAME?</v>
      </c>
      <c r="G168" s="80" t="e">
        <f ca="1"/>
        <v>#NAME?</v>
      </c>
      <c r="H168" s="81" t="e">
        <f ca="1"/>
        <v>#NAME?</v>
      </c>
      <c r="I168" s="51" t="e">
        <f ca="1"/>
        <v>#NAME?</v>
      </c>
      <c r="J168" s="51" t="e">
        <f ca="1"/>
        <v>#NAME?</v>
      </c>
      <c r="K168" s="47" t="e">
        <f ca="1"/>
        <v>#NAME?</v>
      </c>
      <c r="L168" s="47" t="e">
        <f ca="1"/>
        <v>#NAME?</v>
      </c>
      <c r="M168" s="47" t="e">
        <f ca="1"/>
        <v>#NAME?</v>
      </c>
      <c r="N168" s="47"/>
    </row>
    <row r="169" spans="1:14" ht="14.25" customHeight="1">
      <c r="A169" s="26">
        <v>6</v>
      </c>
      <c r="B169" s="78"/>
      <c r="C169" s="30" t="s">
        <v>7049</v>
      </c>
      <c r="D169" s="51" t="e">
        <f ca="1"/>
        <v>#NAME?</v>
      </c>
      <c r="E169" s="80" t="e">
        <f ca="1"/>
        <v>#NAME?</v>
      </c>
      <c r="F169" s="51" t="e">
        <f ca="1"/>
        <v>#NAME?</v>
      </c>
      <c r="G169" s="80" t="e">
        <f ca="1"/>
        <v>#NAME?</v>
      </c>
      <c r="H169" s="86" t="e">
        <f ca="1"/>
        <v>#NAME?</v>
      </c>
      <c r="I169" s="51" t="e">
        <f ca="1"/>
        <v>#NAME?</v>
      </c>
      <c r="J169" s="86" t="e">
        <f ca="1"/>
        <v>#NAME?</v>
      </c>
      <c r="K169" s="47" t="e">
        <f ca="1"/>
        <v>#NAME?</v>
      </c>
      <c r="L169" s="47" t="e">
        <f ca="1"/>
        <v>#NAME?</v>
      </c>
      <c r="M169" s="47" t="e">
        <f ca="1"/>
        <v>#NAME?</v>
      </c>
      <c r="N169" s="47"/>
    </row>
    <row r="170" spans="1:14" ht="14.25" customHeight="1">
      <c r="A170" s="26">
        <v>7</v>
      </c>
      <c r="B170" s="78"/>
      <c r="C170" s="30" t="s">
        <v>7059</v>
      </c>
      <c r="D170" s="51" t="e">
        <f ca="1"/>
        <v>#NAME?</v>
      </c>
      <c r="E170" s="80" t="e">
        <f ca="1"/>
        <v>#NAME?</v>
      </c>
      <c r="F170" s="51" t="e">
        <f ca="1"/>
        <v>#NAME?</v>
      </c>
      <c r="G170" s="80" t="e">
        <f ca="1"/>
        <v>#NAME?</v>
      </c>
      <c r="H170" s="81" t="e">
        <f ca="1"/>
        <v>#NAME?</v>
      </c>
      <c r="I170" s="51" t="e">
        <f ca="1"/>
        <v>#NAME?</v>
      </c>
      <c r="J170" s="51" t="e">
        <f ca="1"/>
        <v>#NAME?</v>
      </c>
      <c r="K170" s="47" t="e">
        <f ca="1"/>
        <v>#NAME?</v>
      </c>
      <c r="L170" s="47" t="e">
        <f ca="1"/>
        <v>#NAME?</v>
      </c>
      <c r="M170" s="47" t="e">
        <f ca="1"/>
        <v>#NAME?</v>
      </c>
      <c r="N170" s="47"/>
    </row>
    <row r="171" spans="1:14" ht="14.25" customHeight="1">
      <c r="A171" s="26">
        <v>8</v>
      </c>
      <c r="B171" s="78"/>
      <c r="C171" s="30" t="s">
        <v>7069</v>
      </c>
      <c r="D171" s="51" t="e">
        <f ca="1"/>
        <v>#NAME?</v>
      </c>
      <c r="E171" s="80" t="e">
        <f ca="1"/>
        <v>#NAME?</v>
      </c>
      <c r="F171" s="51" t="e">
        <f ca="1"/>
        <v>#NAME?</v>
      </c>
      <c r="G171" s="51" t="e">
        <f ca="1"/>
        <v>#NAME?</v>
      </c>
      <c r="H171" s="81" t="e">
        <f ca="1"/>
        <v>#NAME?</v>
      </c>
      <c r="I171" s="51" t="e">
        <f ca="1"/>
        <v>#NAME?</v>
      </c>
      <c r="J171" s="51" t="e">
        <f ca="1"/>
        <v>#NAME?</v>
      </c>
      <c r="K171" s="47" t="e">
        <f ca="1"/>
        <v>#NAME?</v>
      </c>
      <c r="L171" s="47" t="e">
        <f ca="1"/>
        <v>#NAME?</v>
      </c>
      <c r="M171" s="47" t="e">
        <f ca="1"/>
        <v>#NAME?</v>
      </c>
      <c r="N171" s="47"/>
    </row>
    <row r="172" spans="1:14" ht="14.25" customHeight="1">
      <c r="A172" s="26">
        <v>9</v>
      </c>
      <c r="B172" s="47"/>
      <c r="C172" s="30" t="s">
        <v>7079</v>
      </c>
      <c r="D172" s="51" t="e">
        <f ca="1"/>
        <v>#NAME?</v>
      </c>
      <c r="E172" s="80" t="e">
        <f ca="1"/>
        <v>#NAME?</v>
      </c>
      <c r="F172" s="51" t="e">
        <f ca="1"/>
        <v>#NAME?</v>
      </c>
      <c r="G172" s="51" t="e">
        <f ca="1"/>
        <v>#NAME?</v>
      </c>
      <c r="H172" s="81" t="e">
        <f ca="1"/>
        <v>#NAME?</v>
      </c>
      <c r="I172" s="51" t="e">
        <f ca="1"/>
        <v>#NAME?</v>
      </c>
      <c r="J172" s="51" t="e">
        <f ca="1"/>
        <v>#NAME?</v>
      </c>
      <c r="K172" s="47" t="e">
        <f ca="1"/>
        <v>#NAME?</v>
      </c>
      <c r="L172" s="47" t="e">
        <f ca="1"/>
        <v>#NAME?</v>
      </c>
      <c r="M172" s="47" t="e">
        <f ca="1"/>
        <v>#NAME?</v>
      </c>
      <c r="N172" s="47"/>
    </row>
    <row r="173" spans="1:14" ht="14.25" customHeight="1">
      <c r="A173" s="26">
        <v>10</v>
      </c>
      <c r="B173" s="47"/>
      <c r="C173" s="30" t="s">
        <v>7089</v>
      </c>
      <c r="D173" s="51" t="e">
        <f ca="1"/>
        <v>#NAME?</v>
      </c>
      <c r="E173" s="80" t="e">
        <f ca="1"/>
        <v>#NAME?</v>
      </c>
      <c r="F173" s="51" t="e">
        <f ca="1"/>
        <v>#NAME?</v>
      </c>
      <c r="G173" s="51" t="e">
        <f ca="1"/>
        <v>#NAME?</v>
      </c>
      <c r="H173" s="81" t="e">
        <f ca="1"/>
        <v>#NAME?</v>
      </c>
      <c r="I173" s="51" t="e">
        <f ca="1"/>
        <v>#NAME?</v>
      </c>
      <c r="J173" s="51" t="e">
        <f ca="1"/>
        <v>#NAME?</v>
      </c>
      <c r="K173" s="47" t="e">
        <f ca="1"/>
        <v>#NAME?</v>
      </c>
      <c r="L173" s="47" t="e">
        <f ca="1"/>
        <v>#NAME?</v>
      </c>
      <c r="M173" s="47" t="e">
        <f ca="1"/>
        <v>#NAME?</v>
      </c>
      <c r="N173" s="47"/>
    </row>
    <row r="174" spans="1:14" ht="14.25" customHeight="1">
      <c r="A174" s="26">
        <v>11</v>
      </c>
      <c r="B174" s="47"/>
      <c r="C174" s="30" t="s">
        <v>3710</v>
      </c>
      <c r="D174" s="51" t="e">
        <f ca="1"/>
        <v>#NAME?</v>
      </c>
      <c r="E174" s="80" t="e">
        <f ca="1"/>
        <v>#NAME?</v>
      </c>
      <c r="F174" s="51" t="e">
        <f ca="1"/>
        <v>#NAME?</v>
      </c>
      <c r="G174" s="51" t="e">
        <f ca="1"/>
        <v>#NAME?</v>
      </c>
      <c r="H174" s="81" t="e">
        <f ca="1"/>
        <v>#NAME?</v>
      </c>
      <c r="I174" s="51" t="e">
        <f ca="1"/>
        <v>#NAME?</v>
      </c>
      <c r="J174" s="51" t="e">
        <f ca="1"/>
        <v>#NAME?</v>
      </c>
      <c r="K174" s="47" t="e">
        <f ca="1"/>
        <v>#NAME?</v>
      </c>
      <c r="L174" s="47" t="e">
        <f ca="1"/>
        <v>#NAME?</v>
      </c>
      <c r="M174" s="47" t="e">
        <f ca="1"/>
        <v>#NAME?</v>
      </c>
      <c r="N174" s="47"/>
    </row>
    <row r="175" spans="1:14" ht="14.25" customHeight="1">
      <c r="A175" s="26">
        <v>12</v>
      </c>
      <c r="B175" s="47"/>
      <c r="C175" s="30" t="s">
        <v>7103</v>
      </c>
      <c r="D175" s="51" t="e">
        <f ca="1"/>
        <v>#NAME?</v>
      </c>
      <c r="E175" s="80" t="e">
        <f ca="1"/>
        <v>#NAME?</v>
      </c>
      <c r="F175" s="51" t="e">
        <f ca="1"/>
        <v>#NAME?</v>
      </c>
      <c r="G175" s="51" t="e">
        <f ca="1"/>
        <v>#NAME?</v>
      </c>
      <c r="H175" s="81" t="e">
        <f ca="1"/>
        <v>#NAME?</v>
      </c>
      <c r="I175" s="51" t="e">
        <f ca="1"/>
        <v>#NAME?</v>
      </c>
      <c r="J175" s="51" t="e">
        <f ca="1"/>
        <v>#NAME?</v>
      </c>
      <c r="K175" s="47" t="e">
        <f ca="1"/>
        <v>#NAME?</v>
      </c>
      <c r="L175" s="47" t="e">
        <f ca="1"/>
        <v>#NAME?</v>
      </c>
      <c r="M175" s="47" t="e">
        <f ca="1"/>
        <v>#NAME?</v>
      </c>
      <c r="N175" s="47"/>
    </row>
    <row r="176" spans="1:14" ht="14.25" customHeight="1">
      <c r="A176" s="26">
        <v>13</v>
      </c>
      <c r="B176" s="47"/>
      <c r="C176" s="30" t="s">
        <v>7113</v>
      </c>
      <c r="D176" s="51" t="e">
        <f ca="1"/>
        <v>#NAME?</v>
      </c>
      <c r="E176" s="80" t="e">
        <f ca="1"/>
        <v>#NAME?</v>
      </c>
      <c r="F176" s="51" t="e">
        <f ca="1"/>
        <v>#NAME?</v>
      </c>
      <c r="G176" s="51" t="e">
        <f ca="1"/>
        <v>#NAME?</v>
      </c>
      <c r="H176" s="81" t="e">
        <f ca="1"/>
        <v>#NAME?</v>
      </c>
      <c r="I176" s="51" t="e">
        <f ca="1"/>
        <v>#NAME?</v>
      </c>
      <c r="J176" s="51" t="e">
        <f ca="1"/>
        <v>#NAME?</v>
      </c>
      <c r="K176" s="47" t="e">
        <f ca="1"/>
        <v>#NAME?</v>
      </c>
      <c r="L176" s="47" t="e">
        <f ca="1"/>
        <v>#NAME?</v>
      </c>
      <c r="M176" s="47" t="e">
        <f ca="1"/>
        <v>#NAME?</v>
      </c>
      <c r="N176" s="47"/>
    </row>
    <row r="177" spans="1:14" ht="14.25" customHeight="1">
      <c r="A177" s="26">
        <v>14</v>
      </c>
      <c r="B177" s="47"/>
      <c r="C177" s="30" t="s">
        <v>7123</v>
      </c>
      <c r="D177" s="51" t="e">
        <f ca="1"/>
        <v>#NAME?</v>
      </c>
      <c r="E177" s="80" t="e">
        <f ca="1"/>
        <v>#NAME?</v>
      </c>
      <c r="F177" s="51" t="e">
        <f ca="1"/>
        <v>#NAME?</v>
      </c>
      <c r="G177" s="51" t="e">
        <f ca="1"/>
        <v>#NAME?</v>
      </c>
      <c r="H177" s="81" t="e">
        <f ca="1"/>
        <v>#NAME?</v>
      </c>
      <c r="I177" s="51" t="e">
        <f ca="1"/>
        <v>#NAME?</v>
      </c>
      <c r="J177" s="51" t="e">
        <f ca="1"/>
        <v>#NAME?</v>
      </c>
      <c r="K177" s="47" t="e">
        <f ca="1"/>
        <v>#NAME?</v>
      </c>
      <c r="L177" s="47" t="e">
        <f ca="1"/>
        <v>#NAME?</v>
      </c>
      <c r="M177" s="47" t="e">
        <f ca="1"/>
        <v>#NAME?</v>
      </c>
      <c r="N177" s="47"/>
    </row>
    <row r="178" spans="1:14" ht="14.25" customHeight="1">
      <c r="A178" s="26">
        <v>15</v>
      </c>
      <c r="B178" s="47"/>
      <c r="C178" s="30" t="s">
        <v>7133</v>
      </c>
      <c r="D178" s="51" t="e">
        <f ca="1"/>
        <v>#NAME?</v>
      </c>
      <c r="E178" s="80" t="e">
        <f ca="1"/>
        <v>#NAME?</v>
      </c>
      <c r="F178" s="51" t="e">
        <f ca="1"/>
        <v>#NAME?</v>
      </c>
      <c r="G178" s="51" t="e">
        <f ca="1"/>
        <v>#NAME?</v>
      </c>
      <c r="H178" s="81" t="e">
        <f ca="1"/>
        <v>#NAME?</v>
      </c>
      <c r="I178" s="51" t="e">
        <f ca="1"/>
        <v>#NAME?</v>
      </c>
      <c r="J178" s="51" t="e">
        <f ca="1"/>
        <v>#NAME?</v>
      </c>
      <c r="K178" s="47" t="e">
        <f ca="1"/>
        <v>#NAME?</v>
      </c>
      <c r="L178" s="47" t="e">
        <f ca="1"/>
        <v>#NAME?</v>
      </c>
      <c r="M178" s="47" t="e">
        <f ca="1"/>
        <v>#NAME?</v>
      </c>
      <c r="N178" s="47"/>
    </row>
    <row r="179" spans="1:14" ht="14.25" customHeight="1">
      <c r="A179" s="26">
        <v>16</v>
      </c>
      <c r="B179" s="47"/>
      <c r="C179" s="30" t="s">
        <v>7143</v>
      </c>
      <c r="D179" s="51" t="e">
        <f ca="1"/>
        <v>#NAME?</v>
      </c>
      <c r="E179" s="80" t="e">
        <f ca="1"/>
        <v>#NAME?</v>
      </c>
      <c r="F179" s="51" t="e">
        <f ca="1"/>
        <v>#NAME?</v>
      </c>
      <c r="G179" s="51" t="e">
        <f ca="1"/>
        <v>#NAME?</v>
      </c>
      <c r="H179" s="81" t="e">
        <f ca="1"/>
        <v>#NAME?</v>
      </c>
      <c r="I179" s="51" t="e">
        <f ca="1"/>
        <v>#NAME?</v>
      </c>
      <c r="J179" s="51" t="e">
        <f ca="1"/>
        <v>#NAME?</v>
      </c>
      <c r="K179" s="47" t="e">
        <f ca="1"/>
        <v>#NAME?</v>
      </c>
      <c r="L179" s="47" t="e">
        <f ca="1"/>
        <v>#NAME?</v>
      </c>
      <c r="M179" s="47" t="e">
        <f ca="1"/>
        <v>#NAME?</v>
      </c>
      <c r="N179" s="47"/>
    </row>
    <row r="180" spans="1:14" ht="14.25" customHeight="1">
      <c r="A180" s="26">
        <v>17</v>
      </c>
      <c r="B180" s="78"/>
      <c r="C180" s="30" t="s">
        <v>7153</v>
      </c>
      <c r="D180" s="51" t="e">
        <f ca="1"/>
        <v>#NAME?</v>
      </c>
      <c r="E180" s="80" t="e">
        <f ca="1"/>
        <v>#NAME?</v>
      </c>
      <c r="F180" s="51" t="e">
        <f ca="1"/>
        <v>#NAME?</v>
      </c>
      <c r="G180" s="51" t="e">
        <f ca="1"/>
        <v>#NAME?</v>
      </c>
      <c r="H180" s="81" t="e">
        <f ca="1"/>
        <v>#NAME?</v>
      </c>
      <c r="I180" s="51" t="e">
        <f ca="1"/>
        <v>#NAME?</v>
      </c>
      <c r="J180" s="51" t="e">
        <f ca="1"/>
        <v>#NAME?</v>
      </c>
      <c r="K180" s="47" t="e">
        <f ca="1"/>
        <v>#NAME?</v>
      </c>
      <c r="L180" s="47" t="e">
        <f ca="1"/>
        <v>#NAME?</v>
      </c>
      <c r="M180" s="47" t="e">
        <f ca="1"/>
        <v>#NAME?</v>
      </c>
      <c r="N180" s="47"/>
    </row>
    <row r="181" spans="1:14" ht="14.25" customHeight="1">
      <c r="A181" s="26">
        <v>18</v>
      </c>
      <c r="B181" s="78"/>
      <c r="C181" s="30" t="s">
        <v>7164</v>
      </c>
      <c r="D181" s="51" t="e">
        <f ca="1"/>
        <v>#NAME?</v>
      </c>
      <c r="E181" s="80" t="e">
        <f ca="1"/>
        <v>#NAME?</v>
      </c>
      <c r="F181" s="51" t="e">
        <f ca="1"/>
        <v>#NAME?</v>
      </c>
      <c r="G181" s="51" t="e">
        <f ca="1"/>
        <v>#NAME?</v>
      </c>
      <c r="H181" s="81" t="e">
        <f ca="1"/>
        <v>#NAME?</v>
      </c>
      <c r="I181" s="51" t="e">
        <f ca="1"/>
        <v>#NAME?</v>
      </c>
      <c r="J181" s="51" t="e">
        <f ca="1"/>
        <v>#NAME?</v>
      </c>
      <c r="K181" s="47" t="e">
        <f ca="1"/>
        <v>#NAME?</v>
      </c>
      <c r="L181" s="47" t="e">
        <f ca="1"/>
        <v>#NAME?</v>
      </c>
      <c r="M181" s="47" t="e">
        <f ca="1"/>
        <v>#NAME?</v>
      </c>
      <c r="N181" s="47"/>
    </row>
    <row r="182" spans="1:14" ht="14.25" customHeight="1">
      <c r="A182" s="26">
        <v>19</v>
      </c>
      <c r="B182" s="78"/>
      <c r="C182" s="30" t="s">
        <v>1933</v>
      </c>
      <c r="D182" s="51" t="e">
        <f ca="1"/>
        <v>#NAME?</v>
      </c>
      <c r="E182" s="80" t="e">
        <f ca="1"/>
        <v>#NAME?</v>
      </c>
      <c r="F182" s="51" t="e">
        <f ca="1"/>
        <v>#NAME?</v>
      </c>
      <c r="G182" s="51" t="e">
        <f ca="1"/>
        <v>#NAME?</v>
      </c>
      <c r="H182" s="81" t="e">
        <f ca="1"/>
        <v>#NAME?</v>
      </c>
      <c r="I182" s="51" t="e">
        <f ca="1"/>
        <v>#NAME?</v>
      </c>
      <c r="J182" s="51" t="e">
        <f ca="1"/>
        <v>#NAME?</v>
      </c>
      <c r="K182" s="47" t="e">
        <f ca="1"/>
        <v>#NAME?</v>
      </c>
      <c r="L182" s="47" t="e">
        <f ca="1"/>
        <v>#NAME?</v>
      </c>
      <c r="M182" s="47" t="e">
        <f ca="1"/>
        <v>#NAME?</v>
      </c>
      <c r="N182" s="47"/>
    </row>
    <row r="183" spans="1:14" ht="14.25" customHeight="1">
      <c r="A183" s="26">
        <v>20</v>
      </c>
      <c r="B183" s="47"/>
      <c r="C183" s="30" t="s">
        <v>7180</v>
      </c>
      <c r="D183" s="51" t="e">
        <f ca="1"/>
        <v>#NAME?</v>
      </c>
      <c r="E183" s="80" t="e">
        <f ca="1"/>
        <v>#NAME?</v>
      </c>
      <c r="F183" s="51" t="e">
        <f ca="1"/>
        <v>#NAME?</v>
      </c>
      <c r="G183" s="51" t="e">
        <f ca="1"/>
        <v>#NAME?</v>
      </c>
      <c r="H183" s="81" t="e">
        <f ca="1"/>
        <v>#NAME?</v>
      </c>
      <c r="I183" s="51" t="e">
        <f ca="1"/>
        <v>#NAME?</v>
      </c>
      <c r="J183" s="51" t="e">
        <f ca="1"/>
        <v>#NAME?</v>
      </c>
      <c r="K183" s="47" t="e">
        <f ca="1"/>
        <v>#NAME?</v>
      </c>
      <c r="L183" s="47" t="e">
        <f ca="1"/>
        <v>#NAME?</v>
      </c>
      <c r="M183" s="47" t="e">
        <f ca="1"/>
        <v>#NAME?</v>
      </c>
      <c r="N183" s="47"/>
    </row>
    <row r="184" spans="1:14" ht="14.25" customHeight="1">
      <c r="A184" s="26">
        <v>21</v>
      </c>
      <c r="B184" s="47"/>
      <c r="C184" s="30" t="s">
        <v>7190</v>
      </c>
      <c r="D184" s="51" t="e">
        <f ca="1"/>
        <v>#NAME?</v>
      </c>
      <c r="E184" s="80" t="e">
        <f ca="1"/>
        <v>#NAME?</v>
      </c>
      <c r="F184" s="51" t="e">
        <f ca="1"/>
        <v>#NAME?</v>
      </c>
      <c r="G184" s="51" t="e">
        <f ca="1"/>
        <v>#NAME?</v>
      </c>
      <c r="H184" s="143" t="e">
        <f ca="1"/>
        <v>#NAME?</v>
      </c>
      <c r="I184" s="51" t="e">
        <f ca="1"/>
        <v>#NAME?</v>
      </c>
      <c r="J184" s="51" t="e">
        <f ca="1"/>
        <v>#NAME?</v>
      </c>
      <c r="K184" s="47" t="e">
        <f ca="1"/>
        <v>#NAME?</v>
      </c>
      <c r="L184" s="47" t="e">
        <f ca="1"/>
        <v>#NAME?</v>
      </c>
      <c r="M184" s="47" t="e">
        <f ca="1"/>
        <v>#NAME?</v>
      </c>
      <c r="N184" s="47"/>
    </row>
    <row r="185" spans="1:14" ht="14.25" customHeight="1">
      <c r="A185" s="26">
        <v>22</v>
      </c>
      <c r="B185" s="47"/>
      <c r="C185" s="30" t="s">
        <v>7200</v>
      </c>
      <c r="D185" s="51" t="e">
        <f ca="1"/>
        <v>#NAME?</v>
      </c>
      <c r="E185" s="80" t="e">
        <f ca="1"/>
        <v>#NAME?</v>
      </c>
      <c r="F185" s="51" t="e">
        <f ca="1"/>
        <v>#NAME?</v>
      </c>
      <c r="G185" s="51" t="e">
        <f ca="1"/>
        <v>#NAME?</v>
      </c>
      <c r="H185" s="81" t="e">
        <f ca="1"/>
        <v>#NAME?</v>
      </c>
      <c r="I185" s="51" t="e">
        <f ca="1"/>
        <v>#NAME?</v>
      </c>
      <c r="J185" s="51" t="e">
        <f ca="1"/>
        <v>#NAME?</v>
      </c>
      <c r="K185" s="47" t="e">
        <f ca="1"/>
        <v>#NAME?</v>
      </c>
      <c r="L185" s="47" t="e">
        <f ca="1"/>
        <v>#NAME?</v>
      </c>
      <c r="M185" s="47" t="e">
        <f ca="1"/>
        <v>#NAME?</v>
      </c>
      <c r="N185" s="47"/>
    </row>
    <row r="186" spans="1:14" ht="14.25" customHeight="1">
      <c r="A186" s="26">
        <v>23</v>
      </c>
      <c r="B186" s="47"/>
      <c r="C186" s="30" t="s">
        <v>7210</v>
      </c>
      <c r="D186" s="100" t="e">
        <f ca="1"/>
        <v>#NAME?</v>
      </c>
      <c r="E186" s="80" t="e">
        <f ca="1"/>
        <v>#NAME?</v>
      </c>
      <c r="F186" s="51" t="e">
        <f ca="1"/>
        <v>#NAME?</v>
      </c>
      <c r="G186" s="51" t="e">
        <f ca="1"/>
        <v>#NAME?</v>
      </c>
      <c r="H186" s="144" t="e">
        <f ca="1"/>
        <v>#NAME?</v>
      </c>
      <c r="I186" s="51" t="e">
        <f ca="1"/>
        <v>#NAME?</v>
      </c>
      <c r="J186" s="101" t="e">
        <f ca="1"/>
        <v>#NAME?</v>
      </c>
      <c r="K186" s="47" t="e">
        <f ca="1"/>
        <v>#NAME?</v>
      </c>
      <c r="L186" s="47" t="e">
        <f ca="1"/>
        <v>#NAME?</v>
      </c>
      <c r="M186" s="47" t="e">
        <f ca="1"/>
        <v>#NAME?</v>
      </c>
      <c r="N186" s="47"/>
    </row>
    <row r="187" spans="1:14" ht="14.25" customHeight="1">
      <c r="A187" s="26">
        <v>24</v>
      </c>
      <c r="B187" s="47"/>
      <c r="C187" s="30" t="s">
        <v>7220</v>
      </c>
      <c r="D187" s="51" t="e">
        <f ca="1"/>
        <v>#NAME?</v>
      </c>
      <c r="E187" s="80" t="e">
        <f ca="1"/>
        <v>#NAME?</v>
      </c>
      <c r="F187" s="51" t="e">
        <f ca="1"/>
        <v>#NAME?</v>
      </c>
      <c r="G187" s="51" t="e">
        <f ca="1"/>
        <v>#NAME?</v>
      </c>
      <c r="H187" s="81" t="e">
        <f ca="1"/>
        <v>#NAME?</v>
      </c>
      <c r="I187" s="51" t="e">
        <f ca="1"/>
        <v>#NAME?</v>
      </c>
      <c r="J187" s="51" t="e">
        <f ca="1"/>
        <v>#NAME?</v>
      </c>
      <c r="K187" s="47" t="e">
        <f ca="1"/>
        <v>#NAME?</v>
      </c>
      <c r="L187" s="47" t="e">
        <f ca="1"/>
        <v>#NAME?</v>
      </c>
      <c r="M187" s="47" t="e">
        <f ca="1"/>
        <v>#NAME?</v>
      </c>
      <c r="N187" s="47"/>
    </row>
    <row r="188" spans="1:14" ht="14.25" customHeight="1">
      <c r="A188" s="26">
        <v>25</v>
      </c>
      <c r="B188" s="47"/>
      <c r="C188" s="30" t="s">
        <v>7230</v>
      </c>
      <c r="D188" s="100" t="e">
        <f ca="1"/>
        <v>#NAME?</v>
      </c>
      <c r="E188" s="80" t="e">
        <f ca="1"/>
        <v>#NAME?</v>
      </c>
      <c r="F188" s="30" t="e">
        <f ca="1"/>
        <v>#NAME?</v>
      </c>
      <c r="G188" s="30" t="e">
        <f ca="1"/>
        <v>#NAME?</v>
      </c>
      <c r="H188" s="81" t="e">
        <f ca="1"/>
        <v>#NAME?</v>
      </c>
      <c r="I188" s="51" t="e">
        <f ca="1"/>
        <v>#NAME?</v>
      </c>
      <c r="J188" s="51" t="e">
        <f ca="1"/>
        <v>#NAME?</v>
      </c>
      <c r="K188" s="47" t="e">
        <f ca="1"/>
        <v>#NAME?</v>
      </c>
      <c r="L188" s="47" t="e">
        <f ca="1"/>
        <v>#NAME?</v>
      </c>
      <c r="M188" s="47" t="e">
        <f ca="1"/>
        <v>#NAME?</v>
      </c>
      <c r="N188" s="47"/>
    </row>
    <row r="189" spans="1:14" ht="14.25" customHeight="1">
      <c r="A189" s="26">
        <v>26</v>
      </c>
      <c r="B189" s="78"/>
      <c r="C189" s="30" t="s">
        <v>7240</v>
      </c>
      <c r="D189" s="100" t="e">
        <f ca="1"/>
        <v>#NAME?</v>
      </c>
      <c r="E189" s="80" t="e">
        <f ca="1"/>
        <v>#NAME?</v>
      </c>
      <c r="F189" s="30" t="e">
        <f ca="1"/>
        <v>#NAME?</v>
      </c>
      <c r="G189" s="30" t="e">
        <f ca="1"/>
        <v>#NAME?</v>
      </c>
      <c r="H189" s="81" t="e">
        <f ca="1"/>
        <v>#NAME?</v>
      </c>
      <c r="I189" s="51" t="e">
        <f ca="1"/>
        <v>#NAME?</v>
      </c>
      <c r="J189" s="51" t="e">
        <f ca="1"/>
        <v>#NAME?</v>
      </c>
      <c r="K189" s="47" t="e">
        <f ca="1"/>
        <v>#NAME?</v>
      </c>
      <c r="L189" s="47" t="e">
        <f ca="1"/>
        <v>#NAME?</v>
      </c>
      <c r="M189" s="47" t="e">
        <f ca="1"/>
        <v>#NAME?</v>
      </c>
      <c r="N189" s="47"/>
    </row>
    <row r="190" spans="1:14" ht="14.25" customHeight="1">
      <c r="A190" s="26">
        <v>27</v>
      </c>
      <c r="B190" s="78"/>
      <c r="C190" s="30" t="s">
        <v>7251</v>
      </c>
      <c r="D190" s="100" t="e">
        <f ca="1"/>
        <v>#NAME?</v>
      </c>
      <c r="E190" s="80" t="e">
        <f ca="1"/>
        <v>#NAME?</v>
      </c>
      <c r="F190" s="30" t="e">
        <f ca="1"/>
        <v>#NAME?</v>
      </c>
      <c r="G190" s="30" t="e">
        <f ca="1"/>
        <v>#NAME?</v>
      </c>
      <c r="H190" s="81" t="e">
        <f ca="1"/>
        <v>#NAME?</v>
      </c>
      <c r="I190" s="51" t="e">
        <f ca="1"/>
        <v>#NAME?</v>
      </c>
      <c r="J190" s="51" t="e">
        <f ca="1"/>
        <v>#NAME?</v>
      </c>
      <c r="K190" s="47" t="e">
        <f ca="1"/>
        <v>#NAME?</v>
      </c>
      <c r="L190" s="47" t="e">
        <f ca="1"/>
        <v>#NAME?</v>
      </c>
      <c r="M190" s="47" t="e">
        <f ca="1"/>
        <v>#NAME?</v>
      </c>
      <c r="N190" s="47"/>
    </row>
    <row r="191" spans="1:14" ht="14.25" customHeight="1">
      <c r="A191" s="19">
        <v>1</v>
      </c>
      <c r="B191" s="47"/>
      <c r="C191" s="21" t="s">
        <v>7261</v>
      </c>
      <c r="D191" s="102" t="e">
        <f ca="1"/>
        <v>#NAME?</v>
      </c>
      <c r="E191" s="96" t="e">
        <f ca="1"/>
        <v>#NAME?</v>
      </c>
      <c r="F191" s="21" t="e">
        <f ca="1"/>
        <v>#NAME?</v>
      </c>
      <c r="G191" s="21" t="e">
        <f ca="1"/>
        <v>#NAME?</v>
      </c>
      <c r="H191" s="142" t="e">
        <f ca="1"/>
        <v>#NAME?</v>
      </c>
      <c r="I191" s="92" t="e">
        <f ca="1"/>
        <v>#NAME?</v>
      </c>
      <c r="J191" s="90" t="e">
        <f ca="1"/>
        <v>#NAME?</v>
      </c>
      <c r="K191" s="88" t="e">
        <f ca="1"/>
        <v>#NAME?</v>
      </c>
      <c r="L191" s="88" t="e">
        <f ca="1"/>
        <v>#NAME?</v>
      </c>
      <c r="M191" s="88" t="e">
        <f ca="1"/>
        <v>#NAME?</v>
      </c>
      <c r="N191" s="88">
        <v>8</v>
      </c>
    </row>
    <row r="192" spans="1:14" ht="14.25" customHeight="1">
      <c r="A192" s="26">
        <v>2</v>
      </c>
      <c r="B192" s="78"/>
      <c r="C192" s="30" t="s">
        <v>7271</v>
      </c>
      <c r="D192" s="100" t="e">
        <f ca="1"/>
        <v>#NAME?</v>
      </c>
      <c r="E192" s="80" t="e">
        <f ca="1"/>
        <v>#NAME?</v>
      </c>
      <c r="F192" s="30" t="e">
        <f ca="1"/>
        <v>#NAME?</v>
      </c>
      <c r="G192" s="30" t="e">
        <f ca="1"/>
        <v>#NAME?</v>
      </c>
      <c r="H192" s="144" t="e">
        <f ca="1"/>
        <v>#NAME?</v>
      </c>
      <c r="I192" s="51" t="e">
        <f ca="1"/>
        <v>#NAME?</v>
      </c>
      <c r="J192" s="101" t="e">
        <f ca="1"/>
        <v>#NAME?</v>
      </c>
      <c r="K192" s="47" t="e">
        <f ca="1"/>
        <v>#NAME?</v>
      </c>
      <c r="L192" s="47" t="e">
        <f ca="1"/>
        <v>#NAME?</v>
      </c>
      <c r="M192" s="47" t="e">
        <f ca="1"/>
        <v>#NAME?</v>
      </c>
      <c r="N192" s="47"/>
    </row>
    <row r="193" spans="1:14" ht="14.25" customHeight="1">
      <c r="A193" s="26">
        <v>3</v>
      </c>
      <c r="B193" s="47"/>
      <c r="C193" s="30" t="s">
        <v>7280</v>
      </c>
      <c r="D193" s="51" t="e">
        <f ca="1"/>
        <v>#NAME?</v>
      </c>
      <c r="E193" s="80" t="e">
        <f ca="1"/>
        <v>#NAME?</v>
      </c>
      <c r="F193" s="30" t="e">
        <f ca="1"/>
        <v>#NAME?</v>
      </c>
      <c r="G193" s="30" t="e">
        <f ca="1"/>
        <v>#NAME?</v>
      </c>
      <c r="H193" s="144" t="e">
        <f ca="1"/>
        <v>#NAME?</v>
      </c>
      <c r="I193" s="101" t="e">
        <f ca="1"/>
        <v>#NAME?</v>
      </c>
      <c r="J193" s="101" t="e">
        <f ca="1"/>
        <v>#NAME?</v>
      </c>
      <c r="K193" s="47" t="e">
        <f ca="1"/>
        <v>#NAME?</v>
      </c>
      <c r="L193" s="47" t="e">
        <f ca="1"/>
        <v>#NAME?</v>
      </c>
      <c r="M193" s="47" t="e">
        <f ca="1"/>
        <v>#NAME?</v>
      </c>
      <c r="N193" s="47"/>
    </row>
    <row r="194" spans="1:14" ht="14.25" customHeight="1">
      <c r="A194" s="26">
        <v>4</v>
      </c>
      <c r="B194" s="47"/>
      <c r="C194" s="30" t="s">
        <v>7290</v>
      </c>
      <c r="D194" s="100" t="e">
        <f ca="1"/>
        <v>#NAME?</v>
      </c>
      <c r="E194" s="80" t="e">
        <f ca="1"/>
        <v>#NAME?</v>
      </c>
      <c r="F194" s="30" t="e">
        <f ca="1"/>
        <v>#NAME?</v>
      </c>
      <c r="G194" s="30" t="e">
        <f ca="1"/>
        <v>#NAME?</v>
      </c>
      <c r="H194" s="81" t="e">
        <f ca="1"/>
        <v>#NAME?</v>
      </c>
      <c r="I194" s="51" t="e">
        <f ca="1"/>
        <v>#NAME?</v>
      </c>
      <c r="J194" s="51" t="e">
        <f ca="1"/>
        <v>#NAME?</v>
      </c>
      <c r="K194" s="47" t="e">
        <f ca="1"/>
        <v>#NAME?</v>
      </c>
      <c r="L194" s="47" t="e">
        <f ca="1"/>
        <v>#NAME?</v>
      </c>
      <c r="M194" s="47" t="e">
        <f ca="1"/>
        <v>#NAME?</v>
      </c>
      <c r="N194" s="47"/>
    </row>
    <row r="195" spans="1:14" ht="14.25" customHeight="1">
      <c r="A195" s="26">
        <v>5</v>
      </c>
      <c r="B195" s="47"/>
      <c r="C195" s="30" t="s">
        <v>7300</v>
      </c>
      <c r="D195" s="51" t="e">
        <f ca="1"/>
        <v>#NAME?</v>
      </c>
      <c r="E195" s="80" t="e">
        <f ca="1"/>
        <v>#NAME?</v>
      </c>
      <c r="F195" s="30" t="e">
        <f ca="1"/>
        <v>#NAME?</v>
      </c>
      <c r="G195" s="30" t="e">
        <f ca="1"/>
        <v>#NAME?</v>
      </c>
      <c r="H195" s="81" t="e">
        <f ca="1"/>
        <v>#NAME?</v>
      </c>
      <c r="I195" s="51" t="e">
        <f ca="1"/>
        <v>#NAME?</v>
      </c>
      <c r="J195" s="30" t="e">
        <f ca="1"/>
        <v>#NAME?</v>
      </c>
      <c r="K195" s="47" t="e">
        <f ca="1"/>
        <v>#NAME?</v>
      </c>
      <c r="L195" s="47" t="e">
        <f ca="1"/>
        <v>#NAME?</v>
      </c>
      <c r="M195" s="47" t="e">
        <f ca="1"/>
        <v>#NAME?</v>
      </c>
      <c r="N195" s="47"/>
    </row>
    <row r="196" spans="1:14" ht="14.25" customHeight="1">
      <c r="A196" s="26">
        <v>6</v>
      </c>
      <c r="B196" s="78"/>
      <c r="C196" s="30" t="s">
        <v>7310</v>
      </c>
      <c r="D196" s="100" t="e">
        <f ca="1"/>
        <v>#NAME?</v>
      </c>
      <c r="E196" s="80" t="e">
        <f ca="1"/>
        <v>#NAME?</v>
      </c>
      <c r="F196" s="30" t="e">
        <f ca="1"/>
        <v>#NAME?</v>
      </c>
      <c r="G196" s="30" t="e">
        <f ca="1"/>
        <v>#NAME?</v>
      </c>
      <c r="H196" s="144" t="e">
        <f ca="1"/>
        <v>#NAME?</v>
      </c>
      <c r="I196" s="51" t="e">
        <f ca="1"/>
        <v>#NAME?</v>
      </c>
      <c r="J196" s="101" t="e">
        <f ca="1"/>
        <v>#NAME?</v>
      </c>
      <c r="K196" s="47" t="e">
        <f ca="1"/>
        <v>#NAME?</v>
      </c>
      <c r="L196" s="47" t="e">
        <f ca="1"/>
        <v>#NAME?</v>
      </c>
      <c r="M196" s="47" t="e">
        <f ca="1"/>
        <v>#NAME?</v>
      </c>
      <c r="N196" s="47"/>
    </row>
    <row r="197" spans="1:14" ht="14.25" customHeight="1">
      <c r="A197" s="26">
        <v>7</v>
      </c>
      <c r="B197" s="47"/>
      <c r="C197" s="30" t="s">
        <v>7320</v>
      </c>
      <c r="D197" s="51" t="e">
        <f ca="1"/>
        <v>#NAME?</v>
      </c>
      <c r="E197" s="80" t="e">
        <f ca="1"/>
        <v>#NAME?</v>
      </c>
      <c r="F197" s="30" t="e">
        <f ca="1"/>
        <v>#NAME?</v>
      </c>
      <c r="G197" s="30" t="e">
        <f ca="1"/>
        <v>#NAME?</v>
      </c>
      <c r="H197" s="144" t="e">
        <f ca="1"/>
        <v>#NAME?</v>
      </c>
      <c r="I197" s="51" t="e">
        <f ca="1"/>
        <v>#NAME?</v>
      </c>
      <c r="J197" s="101" t="e">
        <f ca="1"/>
        <v>#NAME?</v>
      </c>
      <c r="K197" s="47" t="e">
        <f ca="1"/>
        <v>#NAME?</v>
      </c>
      <c r="L197" s="47" t="e">
        <f ca="1"/>
        <v>#NAME?</v>
      </c>
      <c r="M197" s="47" t="e">
        <f ca="1"/>
        <v>#NAME?</v>
      </c>
      <c r="N197" s="47"/>
    </row>
    <row r="198" spans="1:14" ht="14.25" customHeight="1">
      <c r="A198" s="26">
        <v>8</v>
      </c>
      <c r="B198" s="47"/>
      <c r="C198" s="30" t="s">
        <v>7330</v>
      </c>
      <c r="D198" s="51" t="e">
        <f ca="1"/>
        <v>#NAME?</v>
      </c>
      <c r="E198" s="80" t="e">
        <f ca="1"/>
        <v>#NAME?</v>
      </c>
      <c r="F198" s="30" t="e">
        <f ca="1"/>
        <v>#NAME?</v>
      </c>
      <c r="G198" s="30" t="e">
        <f ca="1"/>
        <v>#NAME?</v>
      </c>
      <c r="H198" s="81" t="e">
        <f ca="1"/>
        <v>#NAME?</v>
      </c>
      <c r="I198" s="51" t="e">
        <f ca="1"/>
        <v>#NAME?</v>
      </c>
      <c r="J198" s="30" t="e">
        <f ca="1"/>
        <v>#NAME?</v>
      </c>
      <c r="K198" s="47" t="e">
        <f ca="1"/>
        <v>#NAME?</v>
      </c>
      <c r="L198" s="47" t="e">
        <f ca="1"/>
        <v>#NAME?</v>
      </c>
      <c r="M198" s="47" t="e">
        <f ca="1"/>
        <v>#NAME?</v>
      </c>
      <c r="N198" s="47"/>
    </row>
    <row r="199" spans="1:14" ht="14.25" customHeight="1">
      <c r="A199" s="26">
        <v>9</v>
      </c>
      <c r="B199" s="47"/>
      <c r="C199" s="30" t="s">
        <v>7340</v>
      </c>
      <c r="D199" s="51" t="e">
        <f ca="1"/>
        <v>#NAME?</v>
      </c>
      <c r="E199" s="80" t="e">
        <f ca="1"/>
        <v>#NAME?</v>
      </c>
      <c r="F199" s="30" t="e">
        <f ca="1"/>
        <v>#NAME?</v>
      </c>
      <c r="G199" s="30" t="e">
        <f ca="1"/>
        <v>#NAME?</v>
      </c>
      <c r="H199" s="81" t="e">
        <f ca="1"/>
        <v>#NAME?</v>
      </c>
      <c r="I199" s="51" t="e">
        <f ca="1"/>
        <v>#NAME?</v>
      </c>
      <c r="J199" s="30" t="e">
        <f ca="1"/>
        <v>#NAME?</v>
      </c>
      <c r="K199" s="47" t="e">
        <f ca="1"/>
        <v>#NAME?</v>
      </c>
      <c r="L199" s="47" t="e">
        <f ca="1"/>
        <v>#NAME?</v>
      </c>
      <c r="M199" s="47" t="e">
        <f ca="1"/>
        <v>#NAME?</v>
      </c>
      <c r="N199" s="47"/>
    </row>
    <row r="200" spans="1:14" ht="14.25" customHeight="1">
      <c r="A200" s="26">
        <v>10</v>
      </c>
      <c r="B200" s="47"/>
      <c r="C200" s="30" t="s">
        <v>7350</v>
      </c>
      <c r="D200" s="51" t="e">
        <f ca="1"/>
        <v>#NAME?</v>
      </c>
      <c r="E200" s="80" t="e">
        <f ca="1"/>
        <v>#NAME?</v>
      </c>
      <c r="F200" s="30" t="e">
        <f ca="1"/>
        <v>#NAME?</v>
      </c>
      <c r="G200" s="30" t="e">
        <f ca="1"/>
        <v>#NAME?</v>
      </c>
      <c r="H200" s="81" t="e">
        <f ca="1"/>
        <v>#NAME?</v>
      </c>
      <c r="I200" s="51" t="e">
        <f ca="1"/>
        <v>#NAME?</v>
      </c>
      <c r="J200" s="30" t="e">
        <f ca="1"/>
        <v>#NAME?</v>
      </c>
      <c r="K200" s="47" t="e">
        <f ca="1"/>
        <v>#NAME?</v>
      </c>
      <c r="L200" s="47" t="e">
        <f ca="1"/>
        <v>#NAME?</v>
      </c>
      <c r="M200" s="47" t="e">
        <f ca="1"/>
        <v>#NAME?</v>
      </c>
      <c r="N200" s="47"/>
    </row>
    <row r="201" spans="1:14" ht="14.25" customHeight="1">
      <c r="A201" s="26">
        <v>11</v>
      </c>
      <c r="B201" s="47"/>
      <c r="C201" s="30" t="s">
        <v>7360</v>
      </c>
      <c r="D201" s="51" t="e">
        <f ca="1"/>
        <v>#NAME?</v>
      </c>
      <c r="E201" s="80" t="e">
        <f ca="1"/>
        <v>#NAME?</v>
      </c>
      <c r="F201" s="51" t="e">
        <f ca="1"/>
        <v>#NAME?</v>
      </c>
      <c r="G201" s="51" t="e">
        <f ca="1"/>
        <v>#NAME?</v>
      </c>
      <c r="H201" s="81" t="e">
        <f ca="1"/>
        <v>#NAME?</v>
      </c>
      <c r="I201" s="51" t="e">
        <f ca="1"/>
        <v>#NAME?</v>
      </c>
      <c r="J201" s="51" t="e">
        <f ca="1"/>
        <v>#NAME?</v>
      </c>
      <c r="K201" s="47" t="e">
        <f ca="1"/>
        <v>#NAME?</v>
      </c>
      <c r="L201" s="47" t="e">
        <f ca="1"/>
        <v>#NAME?</v>
      </c>
      <c r="M201" s="47" t="e">
        <f ca="1"/>
        <v>#NAME?</v>
      </c>
      <c r="N201" s="47"/>
    </row>
    <row r="202" spans="1:14" ht="14.25" customHeight="1">
      <c r="A202" s="26">
        <v>12</v>
      </c>
      <c r="B202" s="47"/>
      <c r="C202" s="30" t="s">
        <v>7370</v>
      </c>
      <c r="D202" s="51" t="e">
        <f ca="1"/>
        <v>#NAME?</v>
      </c>
      <c r="E202" s="80" t="e">
        <f ca="1"/>
        <v>#NAME?</v>
      </c>
      <c r="F202" s="51" t="e">
        <f ca="1"/>
        <v>#NAME?</v>
      </c>
      <c r="G202" s="51" t="e">
        <f ca="1"/>
        <v>#NAME?</v>
      </c>
      <c r="H202" s="81" t="e">
        <f ca="1"/>
        <v>#NAME?</v>
      </c>
      <c r="I202" s="51" t="e">
        <f ca="1"/>
        <v>#NAME?</v>
      </c>
      <c r="J202" s="51" t="e">
        <f ca="1"/>
        <v>#NAME?</v>
      </c>
      <c r="K202" s="47" t="e">
        <f ca="1"/>
        <v>#NAME?</v>
      </c>
      <c r="L202" s="47" t="e">
        <f ca="1"/>
        <v>#NAME?</v>
      </c>
      <c r="M202" s="47" t="e">
        <f ca="1"/>
        <v>#NAME?</v>
      </c>
      <c r="N202" s="47"/>
    </row>
    <row r="203" spans="1:14" ht="14.25" customHeight="1">
      <c r="A203" s="26">
        <v>13</v>
      </c>
      <c r="B203" s="47"/>
      <c r="C203" s="30" t="s">
        <v>7379</v>
      </c>
      <c r="D203" s="51" t="e">
        <f ca="1"/>
        <v>#NAME?</v>
      </c>
      <c r="E203" s="80" t="e">
        <f ca="1"/>
        <v>#NAME?</v>
      </c>
      <c r="F203" s="51" t="e">
        <f ca="1"/>
        <v>#NAME?</v>
      </c>
      <c r="G203" s="51" t="e">
        <f ca="1"/>
        <v>#NAME?</v>
      </c>
      <c r="H203" s="81" t="e">
        <f ca="1"/>
        <v>#NAME?</v>
      </c>
      <c r="I203" s="51" t="e">
        <f ca="1"/>
        <v>#NAME?</v>
      </c>
      <c r="J203" s="51" t="e">
        <f ca="1"/>
        <v>#NAME?</v>
      </c>
      <c r="K203" s="47" t="e">
        <f ca="1"/>
        <v>#NAME?</v>
      </c>
      <c r="L203" s="47" t="e">
        <f ca="1"/>
        <v>#NAME?</v>
      </c>
      <c r="M203" s="47" t="e">
        <f ca="1"/>
        <v>#NAME?</v>
      </c>
      <c r="N203" s="47"/>
    </row>
    <row r="204" spans="1:14" ht="14.25" customHeight="1">
      <c r="A204" s="26">
        <v>14</v>
      </c>
      <c r="B204" s="47"/>
      <c r="C204" s="30" t="s">
        <v>7389</v>
      </c>
      <c r="D204" s="51" t="e">
        <f ca="1"/>
        <v>#NAME?</v>
      </c>
      <c r="E204" s="80" t="e">
        <f ca="1"/>
        <v>#NAME?</v>
      </c>
      <c r="F204" s="51" t="e">
        <f ca="1"/>
        <v>#NAME?</v>
      </c>
      <c r="G204" s="51" t="e">
        <f ca="1"/>
        <v>#NAME?</v>
      </c>
      <c r="H204" s="81" t="e">
        <f ca="1"/>
        <v>#NAME?</v>
      </c>
      <c r="I204" s="51" t="e">
        <f ca="1"/>
        <v>#NAME?</v>
      </c>
      <c r="J204" s="51" t="e">
        <f ca="1"/>
        <v>#NAME?</v>
      </c>
      <c r="K204" s="47" t="e">
        <f ca="1"/>
        <v>#NAME?</v>
      </c>
      <c r="L204" s="47" t="e">
        <f ca="1"/>
        <v>#NAME?</v>
      </c>
      <c r="M204" s="47" t="e">
        <f ca="1"/>
        <v>#NAME?</v>
      </c>
      <c r="N204" s="47"/>
    </row>
    <row r="205" spans="1:14" ht="14.25" customHeight="1">
      <c r="A205" s="26">
        <v>15</v>
      </c>
      <c r="B205" s="47"/>
      <c r="C205" s="30" t="s">
        <v>7399</v>
      </c>
      <c r="D205" s="51" t="e">
        <f ca="1"/>
        <v>#NAME?</v>
      </c>
      <c r="E205" s="80" t="e">
        <f ca="1"/>
        <v>#NAME?</v>
      </c>
      <c r="F205" s="51" t="e">
        <f ca="1"/>
        <v>#NAME?</v>
      </c>
      <c r="G205" s="51" t="e">
        <f ca="1"/>
        <v>#NAME?</v>
      </c>
      <c r="H205" s="81" t="e">
        <f ca="1"/>
        <v>#NAME?</v>
      </c>
      <c r="I205" s="51" t="e">
        <f ca="1"/>
        <v>#NAME?</v>
      </c>
      <c r="J205" s="51" t="e">
        <f ca="1"/>
        <v>#NAME?</v>
      </c>
      <c r="K205" s="47" t="e">
        <f ca="1"/>
        <v>#NAME?</v>
      </c>
      <c r="L205" s="47" t="e">
        <f ca="1"/>
        <v>#NAME?</v>
      </c>
      <c r="M205" s="47" t="e">
        <f ca="1"/>
        <v>#NAME?</v>
      </c>
      <c r="N205" s="47"/>
    </row>
    <row r="206" spans="1:14" ht="14.25" customHeight="1">
      <c r="A206" s="26">
        <v>16</v>
      </c>
      <c r="B206" s="78"/>
      <c r="C206" s="30" t="s">
        <v>7409</v>
      </c>
      <c r="D206" s="51" t="e">
        <f ca="1"/>
        <v>#NAME?</v>
      </c>
      <c r="E206" s="80" t="e">
        <f ca="1"/>
        <v>#NAME?</v>
      </c>
      <c r="F206" s="51" t="e">
        <f ca="1"/>
        <v>#NAME?</v>
      </c>
      <c r="G206" s="51" t="e">
        <f ca="1"/>
        <v>#NAME?</v>
      </c>
      <c r="H206" s="81" t="e">
        <f ca="1"/>
        <v>#NAME?</v>
      </c>
      <c r="I206" s="51" t="e">
        <f ca="1"/>
        <v>#NAME?</v>
      </c>
      <c r="J206" s="51" t="e">
        <f ca="1"/>
        <v>#NAME?</v>
      </c>
      <c r="K206" s="47" t="e">
        <f ca="1"/>
        <v>#NAME?</v>
      </c>
      <c r="L206" s="47" t="e">
        <f ca="1"/>
        <v>#NAME?</v>
      </c>
      <c r="M206" s="47" t="e">
        <f ca="1"/>
        <v>#NAME?</v>
      </c>
      <c r="N206" s="47"/>
    </row>
    <row r="207" spans="1:14" ht="14.25" customHeight="1">
      <c r="A207" s="26">
        <v>17</v>
      </c>
      <c r="B207" s="47"/>
      <c r="C207" s="30" t="s">
        <v>7417</v>
      </c>
      <c r="D207" s="51" t="e">
        <f ca="1"/>
        <v>#NAME?</v>
      </c>
      <c r="E207" s="80" t="e">
        <f ca="1"/>
        <v>#NAME?</v>
      </c>
      <c r="F207" s="51" t="e">
        <f ca="1"/>
        <v>#NAME?</v>
      </c>
      <c r="G207" s="51" t="e">
        <f ca="1"/>
        <v>#NAME?</v>
      </c>
      <c r="H207" s="81" t="e">
        <f ca="1"/>
        <v>#NAME?</v>
      </c>
      <c r="I207" s="51" t="e">
        <f ca="1"/>
        <v>#NAME?</v>
      </c>
      <c r="J207" s="51" t="e">
        <f ca="1"/>
        <v>#NAME?</v>
      </c>
      <c r="K207" s="47" t="e">
        <f ca="1"/>
        <v>#NAME?</v>
      </c>
      <c r="L207" s="47" t="e">
        <f ca="1"/>
        <v>#NAME?</v>
      </c>
      <c r="M207" s="47" t="e">
        <f ca="1"/>
        <v>#NAME?</v>
      </c>
      <c r="N207" s="47"/>
    </row>
    <row r="208" spans="1:14" ht="14.25" customHeight="1">
      <c r="A208" s="26">
        <v>18</v>
      </c>
      <c r="B208" s="47"/>
      <c r="C208" s="30" t="s">
        <v>7427</v>
      </c>
      <c r="D208" s="51" t="e">
        <f ca="1"/>
        <v>#NAME?</v>
      </c>
      <c r="E208" s="80" t="e">
        <f ca="1"/>
        <v>#NAME?</v>
      </c>
      <c r="F208" s="51" t="e">
        <f ca="1"/>
        <v>#NAME?</v>
      </c>
      <c r="G208" s="51" t="e">
        <f ca="1"/>
        <v>#NAME?</v>
      </c>
      <c r="H208" s="81" t="e">
        <f ca="1"/>
        <v>#NAME?</v>
      </c>
      <c r="I208" s="51" t="e">
        <f ca="1"/>
        <v>#NAME?</v>
      </c>
      <c r="J208" s="51" t="e">
        <f ca="1"/>
        <v>#NAME?</v>
      </c>
      <c r="K208" s="47" t="e">
        <f ca="1"/>
        <v>#NAME?</v>
      </c>
      <c r="L208" s="47" t="e">
        <f ca="1"/>
        <v>#NAME?</v>
      </c>
      <c r="M208" s="47" t="e">
        <f ca="1"/>
        <v>#NAME?</v>
      </c>
      <c r="N208" s="47"/>
    </row>
    <row r="209" spans="1:14" ht="14.25" customHeight="1">
      <c r="A209" s="26">
        <v>19</v>
      </c>
      <c r="B209" s="78"/>
      <c r="C209" s="30" t="s">
        <v>1595</v>
      </c>
      <c r="D209" s="51" t="e">
        <f ca="1"/>
        <v>#NAME?</v>
      </c>
      <c r="E209" s="80" t="e">
        <f ca="1"/>
        <v>#NAME?</v>
      </c>
      <c r="F209" s="51" t="e">
        <f ca="1"/>
        <v>#NAME?</v>
      </c>
      <c r="G209" s="51" t="e">
        <f ca="1"/>
        <v>#NAME?</v>
      </c>
      <c r="H209" s="81" t="e">
        <f ca="1"/>
        <v>#NAME?</v>
      </c>
      <c r="I209" s="51" t="e">
        <f ca="1"/>
        <v>#NAME?</v>
      </c>
      <c r="J209" s="51" t="e">
        <f ca="1"/>
        <v>#NAME?</v>
      </c>
      <c r="K209" s="47" t="e">
        <f ca="1"/>
        <v>#NAME?</v>
      </c>
      <c r="L209" s="47" t="e">
        <f ca="1"/>
        <v>#NAME?</v>
      </c>
      <c r="M209" s="47" t="e">
        <f ca="1"/>
        <v>#NAME?</v>
      </c>
      <c r="N209" s="47"/>
    </row>
    <row r="210" spans="1:14" ht="14.25" customHeight="1">
      <c r="A210" s="26">
        <v>20</v>
      </c>
      <c r="B210" s="47"/>
      <c r="C210" s="30" t="s">
        <v>7445</v>
      </c>
      <c r="D210" s="51" t="e">
        <f ca="1"/>
        <v>#NAME?</v>
      </c>
      <c r="E210" s="80" t="e">
        <f ca="1"/>
        <v>#NAME?</v>
      </c>
      <c r="F210" s="51" t="e">
        <f ca="1"/>
        <v>#NAME?</v>
      </c>
      <c r="G210" s="51" t="e">
        <f ca="1"/>
        <v>#NAME?</v>
      </c>
      <c r="H210" s="81" t="e">
        <f ca="1"/>
        <v>#NAME?</v>
      </c>
      <c r="I210" s="51" t="e">
        <f ca="1"/>
        <v>#NAME?</v>
      </c>
      <c r="J210" s="51" t="e">
        <f ca="1"/>
        <v>#NAME?</v>
      </c>
      <c r="K210" s="47" t="e">
        <f ca="1"/>
        <v>#NAME?</v>
      </c>
      <c r="L210" s="47" t="e">
        <f ca="1"/>
        <v>#NAME?</v>
      </c>
      <c r="M210" s="47" t="e">
        <f ca="1"/>
        <v>#NAME?</v>
      </c>
      <c r="N210" s="47"/>
    </row>
    <row r="211" spans="1:14" ht="14.25" customHeight="1">
      <c r="A211" s="26">
        <v>21</v>
      </c>
      <c r="B211" s="47"/>
      <c r="C211" s="30" t="s">
        <v>7455</v>
      </c>
      <c r="D211" s="51" t="e">
        <f ca="1"/>
        <v>#NAME?</v>
      </c>
      <c r="E211" s="80" t="e">
        <f ca="1"/>
        <v>#NAME?</v>
      </c>
      <c r="F211" s="51" t="e">
        <f ca="1"/>
        <v>#NAME?</v>
      </c>
      <c r="G211" s="51" t="e">
        <f ca="1"/>
        <v>#NAME?</v>
      </c>
      <c r="H211" s="81" t="e">
        <f ca="1"/>
        <v>#NAME?</v>
      </c>
      <c r="I211" s="51" t="e">
        <f ca="1"/>
        <v>#NAME?</v>
      </c>
      <c r="J211" s="51" t="e">
        <f ca="1"/>
        <v>#NAME?</v>
      </c>
      <c r="K211" s="47" t="e">
        <f ca="1"/>
        <v>#NAME?</v>
      </c>
      <c r="L211" s="47" t="e">
        <f ca="1"/>
        <v>#NAME?</v>
      </c>
      <c r="M211" s="47" t="e">
        <f ca="1"/>
        <v>#NAME?</v>
      </c>
      <c r="N211" s="47"/>
    </row>
    <row r="212" spans="1:14" ht="14.25" customHeight="1">
      <c r="A212" s="26">
        <v>22</v>
      </c>
      <c r="B212" s="47"/>
      <c r="C212" s="30" t="s">
        <v>7464</v>
      </c>
      <c r="D212" s="51" t="e">
        <f ca="1"/>
        <v>#NAME?</v>
      </c>
      <c r="E212" s="80" t="e">
        <f ca="1"/>
        <v>#NAME?</v>
      </c>
      <c r="F212" s="51" t="e">
        <f ca="1"/>
        <v>#NAME?</v>
      </c>
      <c r="G212" s="51" t="e">
        <f ca="1"/>
        <v>#NAME?</v>
      </c>
      <c r="H212" s="81" t="e">
        <f ca="1"/>
        <v>#NAME?</v>
      </c>
      <c r="I212" s="51" t="e">
        <f ca="1"/>
        <v>#NAME?</v>
      </c>
      <c r="J212" s="51" t="e">
        <f ca="1"/>
        <v>#NAME?</v>
      </c>
      <c r="K212" s="47" t="e">
        <f ca="1"/>
        <v>#NAME?</v>
      </c>
      <c r="L212" s="47" t="e">
        <f ca="1"/>
        <v>#NAME?</v>
      </c>
      <c r="M212" s="47" t="e">
        <f ca="1"/>
        <v>#NAME?</v>
      </c>
      <c r="N212" s="47"/>
    </row>
    <row r="213" spans="1:14" ht="14.25" customHeight="1">
      <c r="A213" s="26">
        <v>23</v>
      </c>
      <c r="B213" s="47"/>
      <c r="C213" s="30" t="s">
        <v>7473</v>
      </c>
      <c r="D213" s="51" t="e">
        <f ca="1"/>
        <v>#NAME?</v>
      </c>
      <c r="E213" s="80" t="e">
        <f ca="1"/>
        <v>#NAME?</v>
      </c>
      <c r="F213" s="51" t="e">
        <f ca="1"/>
        <v>#NAME?</v>
      </c>
      <c r="G213" s="51" t="e">
        <f ca="1"/>
        <v>#NAME?</v>
      </c>
      <c r="H213" s="81" t="e">
        <f ca="1"/>
        <v>#NAME?</v>
      </c>
      <c r="I213" s="51" t="e">
        <f ca="1"/>
        <v>#NAME?</v>
      </c>
      <c r="J213" s="51" t="e">
        <f ca="1"/>
        <v>#NAME?</v>
      </c>
      <c r="K213" s="47" t="e">
        <f ca="1"/>
        <v>#NAME?</v>
      </c>
      <c r="L213" s="47" t="e">
        <f ca="1"/>
        <v>#NAME?</v>
      </c>
      <c r="M213" s="47" t="e">
        <f ca="1"/>
        <v>#NAME?</v>
      </c>
      <c r="N213" s="47"/>
    </row>
    <row r="214" spans="1:14" ht="14.25" customHeight="1">
      <c r="A214" s="26">
        <v>24</v>
      </c>
      <c r="B214" s="47"/>
      <c r="C214" s="30" t="s">
        <v>2729</v>
      </c>
      <c r="D214" s="51" t="e">
        <f ca="1"/>
        <v>#NAME?</v>
      </c>
      <c r="E214" s="80" t="e">
        <f ca="1"/>
        <v>#NAME?</v>
      </c>
      <c r="F214" s="51" t="e">
        <f ca="1"/>
        <v>#NAME?</v>
      </c>
      <c r="G214" s="51" t="e">
        <f ca="1"/>
        <v>#NAME?</v>
      </c>
      <c r="H214" s="81" t="e">
        <f ca="1"/>
        <v>#NAME?</v>
      </c>
      <c r="I214" s="51" t="e">
        <f ca="1"/>
        <v>#NAME?</v>
      </c>
      <c r="J214" s="51" t="e">
        <f ca="1"/>
        <v>#NAME?</v>
      </c>
      <c r="K214" s="47" t="e">
        <f ca="1"/>
        <v>#NAME?</v>
      </c>
      <c r="L214" s="47" t="e">
        <f ca="1"/>
        <v>#NAME?</v>
      </c>
      <c r="M214" s="47" t="e">
        <f ca="1"/>
        <v>#NAME?</v>
      </c>
      <c r="N214" s="47"/>
    </row>
    <row r="215" spans="1:14" ht="14.25" customHeight="1">
      <c r="A215" s="26">
        <v>25</v>
      </c>
      <c r="B215" s="47"/>
      <c r="C215" s="30" t="s">
        <v>7488</v>
      </c>
      <c r="D215" s="51" t="e">
        <f ca="1"/>
        <v>#NAME?</v>
      </c>
      <c r="E215" s="80" t="e">
        <f ca="1"/>
        <v>#NAME?</v>
      </c>
      <c r="F215" s="51" t="e">
        <f ca="1"/>
        <v>#NAME?</v>
      </c>
      <c r="G215" s="51" t="e">
        <f ca="1"/>
        <v>#NAME?</v>
      </c>
      <c r="H215" s="81" t="e">
        <f ca="1"/>
        <v>#NAME?</v>
      </c>
      <c r="I215" s="51" t="e">
        <f ca="1"/>
        <v>#NAME?</v>
      </c>
      <c r="J215" s="51" t="e">
        <f ca="1"/>
        <v>#NAME?</v>
      </c>
      <c r="K215" s="47" t="e">
        <f ca="1"/>
        <v>#NAME?</v>
      </c>
      <c r="L215" s="47" t="e">
        <f ca="1"/>
        <v>#NAME?</v>
      </c>
      <c r="M215" s="47" t="e">
        <f ca="1"/>
        <v>#NAME?</v>
      </c>
      <c r="N215" s="47"/>
    </row>
    <row r="216" spans="1:14" ht="14.25" customHeight="1">
      <c r="A216" s="26">
        <v>26</v>
      </c>
      <c r="B216" s="47"/>
      <c r="C216" s="30" t="s">
        <v>7498</v>
      </c>
      <c r="D216" s="51" t="e">
        <f ca="1"/>
        <v>#NAME?</v>
      </c>
      <c r="E216" s="80" t="e">
        <f ca="1"/>
        <v>#NAME?</v>
      </c>
      <c r="F216" s="51" t="e">
        <f ca="1"/>
        <v>#NAME?</v>
      </c>
      <c r="G216" s="51" t="e">
        <f ca="1"/>
        <v>#NAME?</v>
      </c>
      <c r="H216" s="81" t="e">
        <f ca="1"/>
        <v>#NAME?</v>
      </c>
      <c r="I216" s="51" t="e">
        <f ca="1"/>
        <v>#NAME?</v>
      </c>
      <c r="J216" s="51" t="e">
        <f ca="1"/>
        <v>#NAME?</v>
      </c>
      <c r="K216" s="47" t="e">
        <f ca="1"/>
        <v>#NAME?</v>
      </c>
      <c r="L216" s="47" t="e">
        <f ca="1"/>
        <v>#NAME?</v>
      </c>
      <c r="M216" s="47" t="e">
        <f ca="1"/>
        <v>#NAME?</v>
      </c>
      <c r="N216" s="47"/>
    </row>
    <row r="217" spans="1:14" ht="14.25" customHeight="1">
      <c r="A217" s="26">
        <v>27</v>
      </c>
      <c r="B217" s="47"/>
      <c r="C217" s="30" t="s">
        <v>7508</v>
      </c>
      <c r="D217" s="51" t="e">
        <f ca="1"/>
        <v>#NAME?</v>
      </c>
      <c r="E217" s="80" t="e">
        <f ca="1"/>
        <v>#NAME?</v>
      </c>
      <c r="F217" s="51" t="e">
        <f ca="1"/>
        <v>#NAME?</v>
      </c>
      <c r="G217" s="51" t="e">
        <f ca="1"/>
        <v>#NAME?</v>
      </c>
      <c r="H217" s="81" t="e">
        <f ca="1"/>
        <v>#NAME?</v>
      </c>
      <c r="I217" s="51" t="e">
        <f ca="1"/>
        <v>#NAME?</v>
      </c>
      <c r="J217" s="51" t="e">
        <f ca="1"/>
        <v>#NAME?</v>
      </c>
      <c r="K217" s="47" t="e">
        <f ca="1"/>
        <v>#NAME?</v>
      </c>
      <c r="L217" s="47" t="e">
        <f ca="1"/>
        <v>#NAME?</v>
      </c>
      <c r="M217" s="47" t="e">
        <f ca="1"/>
        <v>#NAME?</v>
      </c>
      <c r="N217" s="47"/>
    </row>
    <row r="218" spans="1:14" ht="14.25" customHeight="1">
      <c r="A218" s="26">
        <v>28</v>
      </c>
      <c r="B218" s="78"/>
      <c r="C218" s="30" t="s">
        <v>7517</v>
      </c>
      <c r="D218" s="51" t="e">
        <f ca="1"/>
        <v>#NAME?</v>
      </c>
      <c r="E218" s="63" t="e">
        <f ca="1"/>
        <v>#NAME?</v>
      </c>
      <c r="F218" s="51" t="e">
        <f ca="1"/>
        <v>#NAME?</v>
      </c>
      <c r="G218" s="51" t="e">
        <f ca="1"/>
        <v>#NAME?</v>
      </c>
      <c r="H218" s="81" t="e">
        <f ca="1"/>
        <v>#NAME?</v>
      </c>
      <c r="I218" s="51" t="e">
        <f ca="1"/>
        <v>#NAME?</v>
      </c>
      <c r="J218" s="51" t="e">
        <f ca="1"/>
        <v>#NAME?</v>
      </c>
      <c r="K218" s="47" t="e">
        <f ca="1"/>
        <v>#NAME?</v>
      </c>
      <c r="L218" s="47" t="e">
        <f ca="1"/>
        <v>#NAME?</v>
      </c>
      <c r="M218" s="47" t="e">
        <f ca="1"/>
        <v>#NAME?</v>
      </c>
      <c r="N218" s="47"/>
    </row>
    <row r="219" spans="1:14" ht="14.25" customHeight="1">
      <c r="A219" s="19">
        <v>1</v>
      </c>
      <c r="B219" s="47"/>
      <c r="C219" s="21" t="s">
        <v>7527</v>
      </c>
      <c r="D219" s="92" t="e">
        <f ca="1"/>
        <v>#NAME?</v>
      </c>
      <c r="E219" s="90" t="e">
        <f ca="1"/>
        <v>#NAME?</v>
      </c>
      <c r="F219" s="92" t="e">
        <f ca="1"/>
        <v>#NAME?</v>
      </c>
      <c r="G219" s="92" t="e">
        <f ca="1"/>
        <v>#NAME?</v>
      </c>
      <c r="H219" s="142" t="e">
        <f ca="1"/>
        <v>#NAME?</v>
      </c>
      <c r="I219" s="92" t="e">
        <f ca="1"/>
        <v>#NAME?</v>
      </c>
      <c r="J219" s="92" t="e">
        <f ca="1"/>
        <v>#NAME?</v>
      </c>
      <c r="K219" s="88" t="e">
        <f ca="1"/>
        <v>#NAME?</v>
      </c>
      <c r="L219" s="88" t="e">
        <f ca="1"/>
        <v>#NAME?</v>
      </c>
      <c r="M219" s="88" t="e">
        <f ca="1"/>
        <v>#NAME?</v>
      </c>
      <c r="N219" s="88">
        <v>9</v>
      </c>
    </row>
    <row r="220" spans="1:14" ht="14.25" customHeight="1">
      <c r="A220" s="26">
        <v>2</v>
      </c>
      <c r="B220" s="78"/>
      <c r="C220" s="30" t="s">
        <v>7537</v>
      </c>
      <c r="D220" s="51" t="e">
        <f ca="1"/>
        <v>#NAME?</v>
      </c>
      <c r="E220" s="63" t="e">
        <f ca="1"/>
        <v>#NAME?</v>
      </c>
      <c r="F220" s="51" t="e">
        <f ca="1"/>
        <v>#NAME?</v>
      </c>
      <c r="G220" s="51" t="e">
        <f ca="1"/>
        <v>#NAME?</v>
      </c>
      <c r="H220" s="81" t="e">
        <f ca="1"/>
        <v>#NAME?</v>
      </c>
      <c r="I220" s="51" t="e">
        <f ca="1"/>
        <v>#NAME?</v>
      </c>
      <c r="J220" s="51" t="e">
        <f ca="1"/>
        <v>#NAME?</v>
      </c>
      <c r="K220" s="47" t="e">
        <f ca="1"/>
        <v>#NAME?</v>
      </c>
      <c r="L220" s="47" t="e">
        <f ca="1"/>
        <v>#NAME?</v>
      </c>
      <c r="M220" s="47" t="e">
        <f ca="1"/>
        <v>#NAME?</v>
      </c>
      <c r="N220" s="47"/>
    </row>
    <row r="221" spans="1:14" ht="14.25" customHeight="1">
      <c r="A221" s="26">
        <v>3</v>
      </c>
      <c r="B221" s="78"/>
      <c r="C221" s="30" t="s">
        <v>7547</v>
      </c>
      <c r="D221" s="51" t="e">
        <f ca="1"/>
        <v>#NAME?</v>
      </c>
      <c r="E221" s="63" t="e">
        <f ca="1"/>
        <v>#NAME?</v>
      </c>
      <c r="F221" s="51" t="e">
        <f ca="1"/>
        <v>#NAME?</v>
      </c>
      <c r="G221" s="51" t="e">
        <f ca="1"/>
        <v>#NAME?</v>
      </c>
      <c r="H221" s="81" t="e">
        <f ca="1"/>
        <v>#NAME?</v>
      </c>
      <c r="I221" s="51" t="e">
        <f ca="1"/>
        <v>#NAME?</v>
      </c>
      <c r="J221" s="51" t="e">
        <f ca="1"/>
        <v>#NAME?</v>
      </c>
      <c r="K221" s="47" t="e">
        <f ca="1"/>
        <v>#NAME?</v>
      </c>
      <c r="L221" s="47" t="e">
        <f ca="1"/>
        <v>#NAME?</v>
      </c>
      <c r="M221" s="47" t="e">
        <f ca="1"/>
        <v>#NAME?</v>
      </c>
      <c r="N221" s="47"/>
    </row>
    <row r="222" spans="1:14" ht="14.25" customHeight="1">
      <c r="A222" s="26">
        <v>4</v>
      </c>
      <c r="B222" s="47"/>
      <c r="C222" s="30" t="s">
        <v>7557</v>
      </c>
      <c r="D222" s="51" t="e">
        <f ca="1"/>
        <v>#NAME?</v>
      </c>
      <c r="E222" s="63" t="e">
        <f ca="1"/>
        <v>#NAME?</v>
      </c>
      <c r="F222" s="51" t="e">
        <f ca="1"/>
        <v>#NAME?</v>
      </c>
      <c r="G222" s="51" t="e">
        <f ca="1"/>
        <v>#NAME?</v>
      </c>
      <c r="H222" s="81" t="e">
        <f ca="1"/>
        <v>#NAME?</v>
      </c>
      <c r="I222" s="51" t="e">
        <f ca="1"/>
        <v>#NAME?</v>
      </c>
      <c r="J222" s="51" t="e">
        <f ca="1"/>
        <v>#NAME?</v>
      </c>
      <c r="K222" s="47" t="e">
        <f ca="1"/>
        <v>#NAME?</v>
      </c>
      <c r="L222" s="47" t="e">
        <f ca="1"/>
        <v>#NAME?</v>
      </c>
      <c r="M222" s="47" t="e">
        <f ca="1"/>
        <v>#NAME?</v>
      </c>
      <c r="N222" s="47"/>
    </row>
    <row r="223" spans="1:14" ht="14.25" customHeight="1">
      <c r="A223" s="26">
        <v>5</v>
      </c>
      <c r="B223" s="78"/>
      <c r="C223" s="30" t="s">
        <v>7567</v>
      </c>
      <c r="D223" s="51" t="e">
        <f ca="1"/>
        <v>#NAME?</v>
      </c>
      <c r="E223" s="63" t="e">
        <f ca="1"/>
        <v>#NAME?</v>
      </c>
      <c r="F223" s="51" t="e">
        <f ca="1"/>
        <v>#NAME?</v>
      </c>
      <c r="G223" s="51" t="e">
        <f ca="1"/>
        <v>#NAME?</v>
      </c>
      <c r="H223" s="81" t="e">
        <f ca="1"/>
        <v>#NAME?</v>
      </c>
      <c r="I223" s="51" t="e">
        <f ca="1"/>
        <v>#NAME?</v>
      </c>
      <c r="J223" s="51" t="e">
        <f ca="1"/>
        <v>#NAME?</v>
      </c>
      <c r="K223" s="47" t="e">
        <f ca="1"/>
        <v>#NAME?</v>
      </c>
      <c r="L223" s="47" t="e">
        <f ca="1"/>
        <v>#NAME?</v>
      </c>
      <c r="M223" s="47" t="e">
        <f ca="1"/>
        <v>#NAME?</v>
      </c>
      <c r="N223" s="47"/>
    </row>
    <row r="224" spans="1:14" ht="14.25" customHeight="1">
      <c r="A224" s="26">
        <v>6</v>
      </c>
      <c r="B224" s="78"/>
      <c r="C224" s="30" t="s">
        <v>7577</v>
      </c>
      <c r="D224" s="51" t="e">
        <f ca="1"/>
        <v>#NAME?</v>
      </c>
      <c r="E224" s="63" t="e">
        <f ca="1"/>
        <v>#NAME?</v>
      </c>
      <c r="F224" s="51" t="e">
        <f ca="1"/>
        <v>#NAME?</v>
      </c>
      <c r="G224" s="51" t="e">
        <f ca="1"/>
        <v>#NAME?</v>
      </c>
      <c r="H224" s="81" t="e">
        <f ca="1"/>
        <v>#NAME?</v>
      </c>
      <c r="I224" s="51" t="e">
        <f ca="1"/>
        <v>#NAME?</v>
      </c>
      <c r="J224" s="51" t="e">
        <f ca="1"/>
        <v>#NAME?</v>
      </c>
      <c r="K224" s="47" t="e">
        <f ca="1"/>
        <v>#NAME?</v>
      </c>
      <c r="L224" s="47" t="e">
        <f ca="1"/>
        <v>#NAME?</v>
      </c>
      <c r="M224" s="47" t="e">
        <f ca="1"/>
        <v>#NAME?</v>
      </c>
      <c r="N224" s="47"/>
    </row>
    <row r="225" spans="1:14" ht="14.25" customHeight="1">
      <c r="A225" s="26">
        <v>7</v>
      </c>
      <c r="B225" s="78"/>
      <c r="C225" s="30" t="s">
        <v>7587</v>
      </c>
      <c r="D225" s="51" t="e">
        <f ca="1"/>
        <v>#NAME?</v>
      </c>
      <c r="E225" s="63" t="e">
        <f ca="1"/>
        <v>#NAME?</v>
      </c>
      <c r="F225" s="51" t="e">
        <f ca="1"/>
        <v>#NAME?</v>
      </c>
      <c r="G225" s="51" t="e">
        <f ca="1"/>
        <v>#NAME?</v>
      </c>
      <c r="H225" s="81" t="e">
        <f ca="1"/>
        <v>#NAME?</v>
      </c>
      <c r="I225" s="51" t="e">
        <f ca="1"/>
        <v>#NAME?</v>
      </c>
      <c r="J225" s="51" t="e">
        <f ca="1"/>
        <v>#NAME?</v>
      </c>
      <c r="K225" s="47" t="e">
        <f ca="1"/>
        <v>#NAME?</v>
      </c>
      <c r="L225" s="47" t="e">
        <f ca="1"/>
        <v>#NAME?</v>
      </c>
      <c r="M225" s="47" t="e">
        <f ca="1"/>
        <v>#NAME?</v>
      </c>
      <c r="N225" s="47"/>
    </row>
    <row r="226" spans="1:14" ht="14.25" customHeight="1">
      <c r="A226" s="26">
        <v>8</v>
      </c>
      <c r="B226" s="47"/>
      <c r="C226" s="30" t="s">
        <v>7597</v>
      </c>
      <c r="D226" s="51" t="e">
        <f ca="1"/>
        <v>#NAME?</v>
      </c>
      <c r="E226" s="63" t="e">
        <f ca="1"/>
        <v>#NAME?</v>
      </c>
      <c r="F226" s="51" t="e">
        <f ca="1"/>
        <v>#NAME?</v>
      </c>
      <c r="G226" s="51" t="e">
        <f ca="1"/>
        <v>#NAME?</v>
      </c>
      <c r="H226" s="81" t="e">
        <f ca="1"/>
        <v>#NAME?</v>
      </c>
      <c r="I226" s="51" t="e">
        <f ca="1"/>
        <v>#NAME?</v>
      </c>
      <c r="J226" s="51" t="e">
        <f ca="1"/>
        <v>#NAME?</v>
      </c>
      <c r="K226" s="47" t="e">
        <f ca="1"/>
        <v>#NAME?</v>
      </c>
      <c r="L226" s="47" t="e">
        <f ca="1"/>
        <v>#NAME?</v>
      </c>
      <c r="M226" s="47" t="e">
        <f ca="1"/>
        <v>#NAME?</v>
      </c>
      <c r="N226" s="47"/>
    </row>
    <row r="227" spans="1:14" ht="14.25" customHeight="1">
      <c r="A227" s="26">
        <v>9</v>
      </c>
      <c r="B227" s="47"/>
      <c r="C227" s="30" t="s">
        <v>7607</v>
      </c>
      <c r="D227" s="51" t="e">
        <f ca="1"/>
        <v>#NAME?</v>
      </c>
      <c r="E227" s="63" t="e">
        <f ca="1"/>
        <v>#NAME?</v>
      </c>
      <c r="F227" s="51" t="e">
        <f ca="1"/>
        <v>#NAME?</v>
      </c>
      <c r="G227" s="51" t="e">
        <f ca="1"/>
        <v>#NAME?</v>
      </c>
      <c r="H227" s="81" t="e">
        <f ca="1"/>
        <v>#NAME?</v>
      </c>
      <c r="I227" s="51" t="e">
        <f ca="1"/>
        <v>#NAME?</v>
      </c>
      <c r="J227" s="51" t="e">
        <f ca="1"/>
        <v>#NAME?</v>
      </c>
      <c r="K227" s="47" t="e">
        <f ca="1"/>
        <v>#NAME?</v>
      </c>
      <c r="L227" s="47" t="e">
        <f ca="1"/>
        <v>#NAME?</v>
      </c>
      <c r="M227" s="47" t="e">
        <f ca="1"/>
        <v>#NAME?</v>
      </c>
      <c r="N227" s="47"/>
    </row>
    <row r="228" spans="1:14" ht="14.25" customHeight="1">
      <c r="A228" s="26">
        <v>10</v>
      </c>
      <c r="B228" s="78"/>
      <c r="C228" s="30" t="s">
        <v>7617</v>
      </c>
      <c r="D228" s="51" t="e">
        <f ca="1"/>
        <v>#NAME?</v>
      </c>
      <c r="E228" s="63" t="e">
        <f ca="1"/>
        <v>#NAME?</v>
      </c>
      <c r="F228" s="51" t="e">
        <f ca="1"/>
        <v>#NAME?</v>
      </c>
      <c r="G228" s="51" t="e">
        <f ca="1"/>
        <v>#NAME?</v>
      </c>
      <c r="H228" s="81" t="e">
        <f ca="1"/>
        <v>#NAME?</v>
      </c>
      <c r="I228" s="51" t="e">
        <f ca="1"/>
        <v>#NAME?</v>
      </c>
      <c r="J228" s="51" t="e">
        <f ca="1"/>
        <v>#NAME?</v>
      </c>
      <c r="K228" s="47" t="e">
        <f ca="1"/>
        <v>#NAME?</v>
      </c>
      <c r="L228" s="47" t="e">
        <f ca="1"/>
        <v>#NAME?</v>
      </c>
      <c r="M228" s="47" t="e">
        <f ca="1"/>
        <v>#NAME?</v>
      </c>
      <c r="N228" s="47"/>
    </row>
    <row r="229" spans="1:14" ht="14.25" customHeight="1">
      <c r="A229" s="26">
        <v>11</v>
      </c>
      <c r="B229" s="47"/>
      <c r="C229" s="30" t="s">
        <v>7627</v>
      </c>
      <c r="D229" s="51" t="e">
        <f ca="1"/>
        <v>#NAME?</v>
      </c>
      <c r="E229" s="63" t="e">
        <f ca="1"/>
        <v>#NAME?</v>
      </c>
      <c r="F229" s="51" t="e">
        <f ca="1"/>
        <v>#NAME?</v>
      </c>
      <c r="G229" s="51" t="e">
        <f ca="1"/>
        <v>#NAME?</v>
      </c>
      <c r="H229" s="81" t="e">
        <f ca="1"/>
        <v>#NAME?</v>
      </c>
      <c r="I229" s="51" t="e">
        <f ca="1"/>
        <v>#NAME?</v>
      </c>
      <c r="J229" s="51" t="e">
        <f ca="1"/>
        <v>#NAME?</v>
      </c>
      <c r="K229" s="47" t="e">
        <f ca="1"/>
        <v>#NAME?</v>
      </c>
      <c r="L229" s="47" t="e">
        <f ca="1"/>
        <v>#NAME?</v>
      </c>
      <c r="M229" s="47" t="e">
        <f ca="1"/>
        <v>#NAME?</v>
      </c>
      <c r="N229" s="47"/>
    </row>
    <row r="230" spans="1:14" ht="14.25" customHeight="1">
      <c r="A230" s="26">
        <v>12</v>
      </c>
      <c r="B230" s="78"/>
      <c r="C230" s="30" t="s">
        <v>7637</v>
      </c>
      <c r="D230" s="51" t="e">
        <f ca="1"/>
        <v>#NAME?</v>
      </c>
      <c r="E230" s="63" t="e">
        <f ca="1"/>
        <v>#NAME?</v>
      </c>
      <c r="F230" s="51" t="e">
        <f ca="1"/>
        <v>#NAME?</v>
      </c>
      <c r="G230" s="51" t="e">
        <f ca="1"/>
        <v>#NAME?</v>
      </c>
      <c r="H230" s="81" t="e">
        <f ca="1"/>
        <v>#NAME?</v>
      </c>
      <c r="I230" s="51" t="e">
        <f ca="1"/>
        <v>#NAME?</v>
      </c>
      <c r="J230" s="51" t="e">
        <f ca="1"/>
        <v>#NAME?</v>
      </c>
      <c r="K230" s="47" t="e">
        <f ca="1"/>
        <v>#NAME?</v>
      </c>
      <c r="L230" s="47" t="e">
        <f ca="1"/>
        <v>#NAME?</v>
      </c>
      <c r="M230" s="47" t="e">
        <f ca="1"/>
        <v>#NAME?</v>
      </c>
      <c r="N230" s="47"/>
    </row>
    <row r="231" spans="1:14" ht="14.25" customHeight="1">
      <c r="A231" s="26">
        <v>13</v>
      </c>
      <c r="B231" s="78"/>
      <c r="C231" s="30" t="s">
        <v>7647</v>
      </c>
      <c r="D231" s="51" t="e">
        <f ca="1"/>
        <v>#NAME?</v>
      </c>
      <c r="E231" s="63" t="e">
        <f ca="1"/>
        <v>#NAME?</v>
      </c>
      <c r="F231" s="51" t="e">
        <f ca="1"/>
        <v>#NAME?</v>
      </c>
      <c r="G231" s="51" t="e">
        <f ca="1"/>
        <v>#NAME?</v>
      </c>
      <c r="H231" s="81" t="e">
        <f ca="1"/>
        <v>#NAME?</v>
      </c>
      <c r="I231" s="51" t="e">
        <f ca="1"/>
        <v>#NAME?</v>
      </c>
      <c r="J231" s="51" t="e">
        <f ca="1"/>
        <v>#NAME?</v>
      </c>
      <c r="K231" s="47" t="e">
        <f ca="1"/>
        <v>#NAME?</v>
      </c>
      <c r="L231" s="47" t="e">
        <f ca="1"/>
        <v>#NAME?</v>
      </c>
      <c r="M231" s="47" t="e">
        <f ca="1"/>
        <v>#NAME?</v>
      </c>
      <c r="N231" s="47"/>
    </row>
    <row r="232" spans="1:14" ht="14.25" customHeight="1">
      <c r="A232" s="26">
        <v>14</v>
      </c>
      <c r="B232" s="78"/>
      <c r="C232" s="30" t="s">
        <v>7657</v>
      </c>
      <c r="D232" s="51" t="e">
        <f ca="1"/>
        <v>#NAME?</v>
      </c>
      <c r="E232" s="63" t="e">
        <f ca="1"/>
        <v>#NAME?</v>
      </c>
      <c r="F232" s="51" t="e">
        <f ca="1"/>
        <v>#NAME?</v>
      </c>
      <c r="G232" s="51" t="e">
        <f ca="1"/>
        <v>#NAME?</v>
      </c>
      <c r="H232" s="81" t="e">
        <f ca="1"/>
        <v>#NAME?</v>
      </c>
      <c r="I232" s="51" t="e">
        <f ca="1"/>
        <v>#NAME?</v>
      </c>
      <c r="J232" s="51" t="e">
        <f ca="1"/>
        <v>#NAME?</v>
      </c>
      <c r="K232" s="47" t="e">
        <f ca="1"/>
        <v>#NAME?</v>
      </c>
      <c r="L232" s="47" t="e">
        <f ca="1"/>
        <v>#NAME?</v>
      </c>
      <c r="M232" s="47" t="e">
        <f ca="1"/>
        <v>#NAME?</v>
      </c>
      <c r="N232" s="47"/>
    </row>
    <row r="233" spans="1:14" ht="14.25" customHeight="1">
      <c r="A233" s="26">
        <v>15</v>
      </c>
      <c r="B233" s="47"/>
      <c r="C233" s="30" t="s">
        <v>7667</v>
      </c>
      <c r="D233" s="51" t="e">
        <f ca="1"/>
        <v>#NAME?</v>
      </c>
      <c r="E233" s="63" t="e">
        <f ca="1"/>
        <v>#NAME?</v>
      </c>
      <c r="F233" s="51" t="e">
        <f ca="1"/>
        <v>#NAME?</v>
      </c>
      <c r="G233" s="51" t="e">
        <f ca="1"/>
        <v>#NAME?</v>
      </c>
      <c r="H233" s="81" t="e">
        <f ca="1"/>
        <v>#NAME?</v>
      </c>
      <c r="I233" s="51" t="e">
        <f ca="1"/>
        <v>#NAME?</v>
      </c>
      <c r="J233" s="51" t="e">
        <f ca="1"/>
        <v>#NAME?</v>
      </c>
      <c r="K233" s="47" t="e">
        <f ca="1"/>
        <v>#NAME?</v>
      </c>
      <c r="L233" s="47" t="e">
        <f ca="1"/>
        <v>#NAME?</v>
      </c>
      <c r="M233" s="47" t="e">
        <f ca="1"/>
        <v>#NAME?</v>
      </c>
      <c r="N233" s="47"/>
    </row>
    <row r="234" spans="1:14" ht="14.25" customHeight="1">
      <c r="A234" s="26">
        <v>16</v>
      </c>
      <c r="B234" s="47"/>
      <c r="C234" s="30" t="s">
        <v>2478</v>
      </c>
      <c r="D234" s="51" t="e">
        <f ca="1"/>
        <v>#NAME?</v>
      </c>
      <c r="E234" s="63" t="e">
        <f ca="1"/>
        <v>#NAME?</v>
      </c>
      <c r="F234" s="51" t="e">
        <f ca="1"/>
        <v>#NAME?</v>
      </c>
      <c r="G234" s="51" t="e">
        <f ca="1"/>
        <v>#NAME?</v>
      </c>
      <c r="H234" s="81" t="e">
        <f ca="1"/>
        <v>#NAME?</v>
      </c>
      <c r="I234" s="51" t="e">
        <f ca="1"/>
        <v>#NAME?</v>
      </c>
      <c r="J234" s="86" t="e">
        <f ca="1"/>
        <v>#NAME?</v>
      </c>
      <c r="K234" s="47" t="e">
        <f ca="1"/>
        <v>#NAME?</v>
      </c>
      <c r="L234" s="47" t="e">
        <f ca="1"/>
        <v>#NAME?</v>
      </c>
      <c r="M234" s="47" t="e">
        <f ca="1"/>
        <v>#NAME?</v>
      </c>
      <c r="N234" s="47"/>
    </row>
    <row r="235" spans="1:14" ht="14.25" customHeight="1">
      <c r="A235" s="26">
        <v>17</v>
      </c>
      <c r="B235" s="47"/>
      <c r="C235" s="30" t="s">
        <v>7681</v>
      </c>
      <c r="D235" s="51" t="e">
        <f ca="1"/>
        <v>#NAME?</v>
      </c>
      <c r="E235" s="63" t="e">
        <f ca="1"/>
        <v>#NAME?</v>
      </c>
      <c r="F235" s="51" t="e">
        <f ca="1"/>
        <v>#NAME?</v>
      </c>
      <c r="G235" s="51" t="e">
        <f ca="1"/>
        <v>#NAME?</v>
      </c>
      <c r="H235" s="81" t="e">
        <f ca="1"/>
        <v>#NAME?</v>
      </c>
      <c r="I235" s="51" t="e">
        <f ca="1"/>
        <v>#NAME?</v>
      </c>
      <c r="J235" s="51" t="e">
        <f ca="1"/>
        <v>#NAME?</v>
      </c>
      <c r="K235" s="47" t="e">
        <f ca="1"/>
        <v>#NAME?</v>
      </c>
      <c r="L235" s="47" t="e">
        <f ca="1"/>
        <v>#NAME?</v>
      </c>
      <c r="M235" s="47" t="e">
        <f ca="1"/>
        <v>#NAME?</v>
      </c>
      <c r="N235" s="47"/>
    </row>
    <row r="236" spans="1:14" ht="14.25" customHeight="1">
      <c r="A236" s="26">
        <v>18</v>
      </c>
      <c r="B236" s="78"/>
      <c r="C236" s="30" t="s">
        <v>7691</v>
      </c>
      <c r="D236" s="51" t="e">
        <f ca="1"/>
        <v>#NAME?</v>
      </c>
      <c r="E236" s="63" t="e">
        <f ca="1"/>
        <v>#NAME?</v>
      </c>
      <c r="F236" s="51" t="e">
        <f ca="1"/>
        <v>#NAME?</v>
      </c>
      <c r="G236" s="51" t="e">
        <f ca="1"/>
        <v>#NAME?</v>
      </c>
      <c r="H236" s="81" t="e">
        <f ca="1"/>
        <v>#NAME?</v>
      </c>
      <c r="I236" s="51" t="e">
        <f ca="1"/>
        <v>#NAME?</v>
      </c>
      <c r="J236" s="51" t="e">
        <f ca="1"/>
        <v>#NAME?</v>
      </c>
      <c r="K236" s="47" t="e">
        <f ca="1"/>
        <v>#NAME?</v>
      </c>
      <c r="L236" s="47" t="e">
        <f ca="1"/>
        <v>#NAME?</v>
      </c>
      <c r="M236" s="47" t="e">
        <f ca="1"/>
        <v>#NAME?</v>
      </c>
      <c r="N236" s="47"/>
    </row>
    <row r="237" spans="1:14" ht="14.25" customHeight="1">
      <c r="A237" s="26">
        <v>19</v>
      </c>
      <c r="B237" s="47"/>
      <c r="C237" s="30" t="s">
        <v>7701</v>
      </c>
      <c r="D237" s="51" t="e">
        <f ca="1"/>
        <v>#NAME?</v>
      </c>
      <c r="E237" s="63" t="e">
        <f ca="1"/>
        <v>#NAME?</v>
      </c>
      <c r="F237" s="51" t="e">
        <f ca="1"/>
        <v>#NAME?</v>
      </c>
      <c r="G237" s="51" t="e">
        <f ca="1"/>
        <v>#NAME?</v>
      </c>
      <c r="H237" s="59" t="e">
        <f ca="1"/>
        <v>#NAME?</v>
      </c>
      <c r="I237" s="51" t="e">
        <f ca="1"/>
        <v>#NAME?</v>
      </c>
      <c r="J237" s="59" t="e">
        <f ca="1"/>
        <v>#NAME?</v>
      </c>
      <c r="K237" s="47" t="e">
        <f ca="1"/>
        <v>#NAME?</v>
      </c>
      <c r="L237" s="47" t="e">
        <f ca="1"/>
        <v>#NAME?</v>
      </c>
      <c r="M237" s="47" t="e">
        <f ca="1"/>
        <v>#NAME?</v>
      </c>
      <c r="N237" s="47"/>
    </row>
    <row r="238" spans="1:14" ht="14.25" customHeight="1">
      <c r="A238" s="26">
        <v>20</v>
      </c>
      <c r="B238" s="47"/>
      <c r="C238" s="30" t="s">
        <v>7710</v>
      </c>
      <c r="D238" s="51" t="e">
        <f ca="1"/>
        <v>#NAME?</v>
      </c>
      <c r="E238" s="63" t="e">
        <f ca="1"/>
        <v>#NAME?</v>
      </c>
      <c r="F238" s="51" t="e">
        <f ca="1"/>
        <v>#NAME?</v>
      </c>
      <c r="G238" s="51" t="e">
        <f ca="1"/>
        <v>#NAME?</v>
      </c>
      <c r="H238" s="81" t="e">
        <f ca="1"/>
        <v>#NAME?</v>
      </c>
      <c r="I238" s="51" t="e">
        <f ca="1"/>
        <v>#NAME?</v>
      </c>
      <c r="J238" s="51" t="e">
        <f ca="1"/>
        <v>#NAME?</v>
      </c>
      <c r="K238" s="47" t="e">
        <f ca="1"/>
        <v>#NAME?</v>
      </c>
      <c r="L238" s="47" t="e">
        <f ca="1"/>
        <v>#NAME?</v>
      </c>
      <c r="M238" s="47" t="e">
        <f ca="1"/>
        <v>#NAME?</v>
      </c>
      <c r="N238" s="47"/>
    </row>
    <row r="239" spans="1:14" ht="14.25" customHeight="1">
      <c r="A239" s="26">
        <v>21</v>
      </c>
      <c r="B239" s="78"/>
      <c r="C239" s="63" t="s">
        <v>7720</v>
      </c>
      <c r="D239" s="63" t="e">
        <f ca="1"/>
        <v>#NAME?</v>
      </c>
      <c r="E239" s="63" t="e">
        <f ca="1"/>
        <v>#NAME?</v>
      </c>
      <c r="F239" s="63" t="e">
        <f ca="1"/>
        <v>#NAME?</v>
      </c>
      <c r="G239" s="63" t="e">
        <f ca="1"/>
        <v>#NAME?</v>
      </c>
      <c r="H239" s="51" t="e">
        <f ca="1"/>
        <v>#NAME?</v>
      </c>
      <c r="I239" s="101" t="e">
        <f ca="1"/>
        <v>#NAME?</v>
      </c>
      <c r="J239" s="51" t="e">
        <f ca="1"/>
        <v>#NAME?</v>
      </c>
      <c r="K239" s="47" t="e">
        <f ca="1"/>
        <v>#NAME?</v>
      </c>
      <c r="L239" s="47" t="e">
        <f ca="1"/>
        <v>#NAME?</v>
      </c>
      <c r="M239" s="47" t="e">
        <f ca="1"/>
        <v>#NAME?</v>
      </c>
      <c r="N239" s="47"/>
    </row>
    <row r="240" spans="1:14" ht="14.25" customHeight="1">
      <c r="A240" s="26">
        <v>22</v>
      </c>
      <c r="B240" s="78"/>
      <c r="C240" s="63" t="s">
        <v>7730</v>
      </c>
      <c r="D240" s="63" t="e">
        <f ca="1"/>
        <v>#NAME?</v>
      </c>
      <c r="E240" s="63" t="e">
        <f ca="1"/>
        <v>#NAME?</v>
      </c>
      <c r="F240" s="63" t="e">
        <f ca="1"/>
        <v>#NAME?</v>
      </c>
      <c r="G240" s="63" t="e">
        <f ca="1"/>
        <v>#NAME?</v>
      </c>
      <c r="H240" s="51" t="e">
        <f ca="1"/>
        <v>#NAME?</v>
      </c>
      <c r="I240" s="101" t="e">
        <f ca="1"/>
        <v>#NAME?</v>
      </c>
      <c r="J240" s="51" t="e">
        <f ca="1"/>
        <v>#NAME?</v>
      </c>
      <c r="K240" s="47" t="e">
        <f ca="1"/>
        <v>#NAME?</v>
      </c>
      <c r="L240" s="47" t="e">
        <f ca="1"/>
        <v>#NAME?</v>
      </c>
      <c r="M240" s="47" t="e">
        <f ca="1"/>
        <v>#NAME?</v>
      </c>
      <c r="N240" s="47"/>
    </row>
    <row r="241" spans="1:14" ht="14.25" customHeight="1">
      <c r="A241" s="26">
        <v>23</v>
      </c>
      <c r="B241" s="47"/>
      <c r="C241" s="63" t="s">
        <v>7740</v>
      </c>
      <c r="D241" s="63" t="e">
        <f ca="1"/>
        <v>#NAME?</v>
      </c>
      <c r="E241" s="63" t="e">
        <f ca="1"/>
        <v>#NAME?</v>
      </c>
      <c r="F241" s="63" t="e">
        <f ca="1"/>
        <v>#NAME?</v>
      </c>
      <c r="G241" s="63" t="e">
        <f ca="1"/>
        <v>#NAME?</v>
      </c>
      <c r="H241" s="51" t="e">
        <f ca="1"/>
        <v>#NAME?</v>
      </c>
      <c r="I241" s="101" t="e">
        <f ca="1"/>
        <v>#NAME?</v>
      </c>
      <c r="J241" s="51" t="e">
        <f ca="1"/>
        <v>#NAME?</v>
      </c>
      <c r="K241" s="47" t="e">
        <f ca="1"/>
        <v>#NAME?</v>
      </c>
      <c r="L241" s="47" t="e">
        <f ca="1"/>
        <v>#NAME?</v>
      </c>
      <c r="M241" s="47" t="e">
        <f ca="1"/>
        <v>#NAME?</v>
      </c>
      <c r="N241" s="47"/>
    </row>
    <row r="242" spans="1:14" ht="14.25" customHeight="1">
      <c r="A242" s="26">
        <v>24</v>
      </c>
      <c r="B242" s="78"/>
      <c r="C242" s="63" t="s">
        <v>7750</v>
      </c>
      <c r="D242" s="63" t="e">
        <f ca="1"/>
        <v>#NAME?</v>
      </c>
      <c r="E242" s="63" t="e">
        <f ca="1"/>
        <v>#NAME?</v>
      </c>
      <c r="F242" s="63" t="e">
        <f ca="1"/>
        <v>#NAME?</v>
      </c>
      <c r="G242" s="63" t="e">
        <f ca="1"/>
        <v>#NAME?</v>
      </c>
      <c r="H242" s="51" t="e">
        <f ca="1"/>
        <v>#NAME?</v>
      </c>
      <c r="I242" s="101" t="e">
        <f ca="1"/>
        <v>#NAME?</v>
      </c>
      <c r="J242" s="51" t="e">
        <f ca="1"/>
        <v>#NAME?</v>
      </c>
      <c r="K242" s="47" t="e">
        <f ca="1"/>
        <v>#NAME?</v>
      </c>
      <c r="L242" s="47" t="e">
        <f ca="1"/>
        <v>#NAME?</v>
      </c>
      <c r="M242" s="47" t="e">
        <f ca="1"/>
        <v>#NAME?</v>
      </c>
      <c r="N242" s="47"/>
    </row>
    <row r="243" spans="1:14" ht="14.25" customHeight="1">
      <c r="A243" s="26">
        <v>25</v>
      </c>
      <c r="B243" s="47"/>
      <c r="C243" s="63" t="s">
        <v>7760</v>
      </c>
      <c r="D243" s="63" t="e">
        <f ca="1"/>
        <v>#NAME?</v>
      </c>
      <c r="E243" s="63" t="e">
        <f ca="1"/>
        <v>#NAME?</v>
      </c>
      <c r="F243" s="63" t="e">
        <f ca="1"/>
        <v>#NAME?</v>
      </c>
      <c r="G243" s="63" t="e">
        <f ca="1"/>
        <v>#NAME?</v>
      </c>
      <c r="H243" s="51" t="e">
        <f ca="1"/>
        <v>#NAME?</v>
      </c>
      <c r="I243" s="101" t="e">
        <f ca="1"/>
        <v>#NAME?</v>
      </c>
      <c r="J243" s="51" t="e">
        <f ca="1"/>
        <v>#NAME?</v>
      </c>
      <c r="K243" s="47" t="e">
        <f ca="1"/>
        <v>#NAME?</v>
      </c>
      <c r="L243" s="47" t="e">
        <f ca="1"/>
        <v>#NAME?</v>
      </c>
      <c r="M243" s="47" t="e">
        <f ca="1"/>
        <v>#NAME?</v>
      </c>
      <c r="N243" s="47"/>
    </row>
    <row r="244" spans="1:14" ht="14.25" customHeight="1">
      <c r="A244" s="26">
        <v>26</v>
      </c>
      <c r="B244" s="47"/>
      <c r="C244" s="63" t="s">
        <v>7770</v>
      </c>
      <c r="D244" s="63" t="e">
        <f ca="1"/>
        <v>#NAME?</v>
      </c>
      <c r="E244" s="63" t="e">
        <f ca="1"/>
        <v>#NAME?</v>
      </c>
      <c r="F244" s="63" t="e">
        <f ca="1"/>
        <v>#NAME?</v>
      </c>
      <c r="G244" s="63" t="e">
        <f ca="1"/>
        <v>#NAME?</v>
      </c>
      <c r="H244" s="51" t="e">
        <f ca="1"/>
        <v>#NAME?</v>
      </c>
      <c r="I244" s="101" t="e">
        <f ca="1"/>
        <v>#NAME?</v>
      </c>
      <c r="J244" s="51" t="e">
        <f ca="1"/>
        <v>#NAME?</v>
      </c>
      <c r="K244" s="47" t="e">
        <f ca="1"/>
        <v>#NAME?</v>
      </c>
      <c r="L244" s="47" t="e">
        <f ca="1"/>
        <v>#NAME?</v>
      </c>
      <c r="M244" s="47" t="e">
        <f ca="1"/>
        <v>#NAME?</v>
      </c>
      <c r="N244" s="47"/>
    </row>
    <row r="245" spans="1:14" ht="14.25" customHeight="1">
      <c r="A245" s="26">
        <v>27</v>
      </c>
      <c r="B245" s="78"/>
      <c r="C245" s="63" t="s">
        <v>7780</v>
      </c>
      <c r="D245" s="63" t="e">
        <f ca="1"/>
        <v>#NAME?</v>
      </c>
      <c r="E245" s="63" t="e">
        <f ca="1"/>
        <v>#NAME?</v>
      </c>
      <c r="F245" s="63" t="e">
        <f ca="1"/>
        <v>#NAME?</v>
      </c>
      <c r="G245" s="63" t="e">
        <f ca="1"/>
        <v>#NAME?</v>
      </c>
      <c r="H245" s="51" t="e">
        <f ca="1"/>
        <v>#NAME?</v>
      </c>
      <c r="I245" s="101" t="e">
        <f ca="1"/>
        <v>#NAME?</v>
      </c>
      <c r="J245" s="51" t="e">
        <f ca="1"/>
        <v>#NAME?</v>
      </c>
      <c r="K245" s="47" t="e">
        <f ca="1"/>
        <v>#NAME?</v>
      </c>
      <c r="L245" s="47" t="e">
        <f ca="1"/>
        <v>#NAME?</v>
      </c>
      <c r="M245" s="47" t="e">
        <f ca="1"/>
        <v>#NAME?</v>
      </c>
      <c r="N245" s="47"/>
    </row>
    <row r="246" spans="1:14" ht="14.25" customHeight="1">
      <c r="A246" s="26">
        <v>28</v>
      </c>
      <c r="B246" s="78"/>
      <c r="C246" s="63" t="s">
        <v>7790</v>
      </c>
      <c r="D246" s="63" t="e">
        <f ca="1"/>
        <v>#NAME?</v>
      </c>
      <c r="E246" s="63" t="e">
        <f ca="1"/>
        <v>#NAME?</v>
      </c>
      <c r="F246" s="63" t="e">
        <f ca="1"/>
        <v>#NAME?</v>
      </c>
      <c r="G246" s="63" t="e">
        <f ca="1"/>
        <v>#NAME?</v>
      </c>
      <c r="H246" s="51" t="e">
        <f ca="1"/>
        <v>#NAME?</v>
      </c>
      <c r="I246" s="101" t="e">
        <f ca="1"/>
        <v>#NAME?</v>
      </c>
      <c r="J246" s="51" t="e">
        <f ca="1"/>
        <v>#NAME?</v>
      </c>
      <c r="K246" s="47" t="e">
        <f ca="1"/>
        <v>#NAME?</v>
      </c>
      <c r="L246" s="47" t="e">
        <f ca="1"/>
        <v>#NAME?</v>
      </c>
      <c r="M246" s="47" t="e">
        <f ca="1"/>
        <v>#NAME?</v>
      </c>
      <c r="N246" s="47"/>
    </row>
    <row r="247" spans="1:14" ht="14.25" customHeight="1">
      <c r="A247" s="19">
        <v>1</v>
      </c>
      <c r="B247" s="78"/>
      <c r="C247" s="90" t="s">
        <v>7800</v>
      </c>
      <c r="D247" s="90" t="e">
        <f ca="1"/>
        <v>#NAME?</v>
      </c>
      <c r="E247" s="90" t="e">
        <f ca="1"/>
        <v>#NAME?</v>
      </c>
      <c r="F247" s="90" t="e">
        <f ca="1"/>
        <v>#NAME?</v>
      </c>
      <c r="G247" s="90" t="e">
        <f ca="1"/>
        <v>#NAME?</v>
      </c>
      <c r="H247" s="92" t="e">
        <f ca="1"/>
        <v>#NAME?</v>
      </c>
      <c r="I247" s="103" t="e">
        <f ca="1"/>
        <v>#NAME?</v>
      </c>
      <c r="J247" s="92" t="e">
        <f ca="1"/>
        <v>#NAME?</v>
      </c>
      <c r="K247" s="88" t="e">
        <f ca="1"/>
        <v>#NAME?</v>
      </c>
      <c r="L247" s="88" t="e">
        <f ca="1"/>
        <v>#NAME?</v>
      </c>
      <c r="M247" s="88" t="e">
        <f ca="1"/>
        <v>#NAME?</v>
      </c>
      <c r="N247" s="88">
        <v>10</v>
      </c>
    </row>
    <row r="248" spans="1:14" ht="14.25" customHeight="1">
      <c r="A248" s="26">
        <v>2</v>
      </c>
      <c r="B248" s="78"/>
      <c r="C248" s="63" t="s">
        <v>7808</v>
      </c>
      <c r="D248" s="63" t="e">
        <f ca="1"/>
        <v>#NAME?</v>
      </c>
      <c r="E248" s="63" t="e">
        <f ca="1"/>
        <v>#NAME?</v>
      </c>
      <c r="F248" s="63" t="e">
        <f ca="1"/>
        <v>#NAME?</v>
      </c>
      <c r="G248" s="63" t="e">
        <f ca="1"/>
        <v>#NAME?</v>
      </c>
      <c r="H248" s="51" t="e">
        <f ca="1"/>
        <v>#NAME?</v>
      </c>
      <c r="I248" s="101" t="e">
        <f ca="1"/>
        <v>#NAME?</v>
      </c>
      <c r="J248" s="51" t="e">
        <f ca="1"/>
        <v>#NAME?</v>
      </c>
      <c r="K248" s="47" t="e">
        <f ca="1"/>
        <v>#NAME?</v>
      </c>
      <c r="L248" s="47" t="e">
        <f ca="1"/>
        <v>#NAME?</v>
      </c>
      <c r="M248" s="47" t="e">
        <f ca="1"/>
        <v>#NAME?</v>
      </c>
      <c r="N248" s="47"/>
    </row>
    <row r="249" spans="1:14" ht="14.25" customHeight="1">
      <c r="A249" s="26">
        <v>3</v>
      </c>
      <c r="B249" s="78"/>
      <c r="C249" s="63" t="s">
        <v>7819</v>
      </c>
      <c r="D249" s="63" t="e">
        <f ca="1"/>
        <v>#NAME?</v>
      </c>
      <c r="E249" s="63" t="e">
        <f ca="1"/>
        <v>#NAME?</v>
      </c>
      <c r="F249" s="63" t="e">
        <f ca="1"/>
        <v>#NAME?</v>
      </c>
      <c r="G249" s="63" t="e">
        <f ca="1"/>
        <v>#NAME?</v>
      </c>
      <c r="H249" s="51" t="e">
        <f ca="1"/>
        <v>#NAME?</v>
      </c>
      <c r="I249" s="101" t="e">
        <f ca="1"/>
        <v>#NAME?</v>
      </c>
      <c r="J249" s="51" t="e">
        <f ca="1"/>
        <v>#NAME?</v>
      </c>
      <c r="K249" s="47" t="e">
        <f ca="1"/>
        <v>#NAME?</v>
      </c>
      <c r="L249" s="47" t="e">
        <f ca="1"/>
        <v>#NAME?</v>
      </c>
      <c r="M249" s="47" t="e">
        <f ca="1"/>
        <v>#NAME?</v>
      </c>
      <c r="N249" s="47"/>
    </row>
    <row r="250" spans="1:14" ht="14.25" customHeight="1">
      <c r="A250" s="26">
        <v>4</v>
      </c>
      <c r="B250" s="47"/>
      <c r="C250" s="63" t="s">
        <v>7829</v>
      </c>
      <c r="D250" s="63" t="e">
        <f ca="1"/>
        <v>#NAME?</v>
      </c>
      <c r="E250" s="63" t="e">
        <f ca="1"/>
        <v>#NAME?</v>
      </c>
      <c r="F250" s="63" t="e">
        <f ca="1"/>
        <v>#NAME?</v>
      </c>
      <c r="G250" s="63" t="e">
        <f ca="1"/>
        <v>#NAME?</v>
      </c>
      <c r="H250" s="51" t="e">
        <f ca="1"/>
        <v>#NAME?</v>
      </c>
      <c r="I250" s="101" t="e">
        <f ca="1"/>
        <v>#NAME?</v>
      </c>
      <c r="J250" s="51" t="e">
        <f ca="1"/>
        <v>#NAME?</v>
      </c>
      <c r="K250" s="47" t="e">
        <f ca="1"/>
        <v>#NAME?</v>
      </c>
      <c r="L250" s="47" t="e">
        <f ca="1"/>
        <v>#NAME?</v>
      </c>
      <c r="M250" s="47" t="e">
        <f ca="1"/>
        <v>#NAME?</v>
      </c>
      <c r="N250" s="47"/>
    </row>
    <row r="251" spans="1:14" ht="14.25" customHeight="1">
      <c r="A251" s="26">
        <v>5</v>
      </c>
      <c r="B251" s="47"/>
      <c r="C251" s="63" t="s">
        <v>7839</v>
      </c>
      <c r="D251" s="63" t="e">
        <f ca="1"/>
        <v>#NAME?</v>
      </c>
      <c r="E251" s="63" t="e">
        <f ca="1"/>
        <v>#NAME?</v>
      </c>
      <c r="F251" s="63" t="e">
        <f ca="1"/>
        <v>#NAME?</v>
      </c>
      <c r="G251" s="63" t="e">
        <f ca="1"/>
        <v>#NAME?</v>
      </c>
      <c r="H251" s="51" t="e">
        <f ca="1"/>
        <v>#NAME?</v>
      </c>
      <c r="I251" s="101" t="e">
        <f ca="1"/>
        <v>#NAME?</v>
      </c>
      <c r="J251" s="51" t="e">
        <f ca="1"/>
        <v>#NAME?</v>
      </c>
      <c r="K251" s="47" t="e">
        <f ca="1"/>
        <v>#NAME?</v>
      </c>
      <c r="L251" s="47" t="e">
        <f ca="1"/>
        <v>#NAME?</v>
      </c>
      <c r="M251" s="47" t="e">
        <f ca="1"/>
        <v>#NAME?</v>
      </c>
      <c r="N251" s="47"/>
    </row>
    <row r="252" spans="1:14" ht="14.25" customHeight="1">
      <c r="A252" s="26">
        <v>6</v>
      </c>
      <c r="B252" s="47"/>
      <c r="C252" s="63" t="s">
        <v>7849</v>
      </c>
      <c r="D252" s="63" t="e">
        <f ca="1"/>
        <v>#NAME?</v>
      </c>
      <c r="E252" s="63" t="e">
        <f ca="1"/>
        <v>#NAME?</v>
      </c>
      <c r="F252" s="63" t="e">
        <f ca="1"/>
        <v>#NAME?</v>
      </c>
      <c r="G252" s="63" t="e">
        <f ca="1"/>
        <v>#NAME?</v>
      </c>
      <c r="H252" s="51" t="e">
        <f ca="1"/>
        <v>#NAME?</v>
      </c>
      <c r="I252" s="101" t="e">
        <f ca="1"/>
        <v>#NAME?</v>
      </c>
      <c r="J252" s="51" t="e">
        <f ca="1"/>
        <v>#NAME?</v>
      </c>
      <c r="K252" s="47" t="e">
        <f ca="1"/>
        <v>#NAME?</v>
      </c>
      <c r="L252" s="47" t="e">
        <f ca="1"/>
        <v>#NAME?</v>
      </c>
      <c r="M252" s="47" t="e">
        <f ca="1"/>
        <v>#NAME?</v>
      </c>
      <c r="N252" s="47"/>
    </row>
    <row r="253" spans="1:14" ht="14.25" customHeight="1">
      <c r="A253" s="26">
        <v>7</v>
      </c>
      <c r="B253" s="47"/>
      <c r="C253" s="63" t="s">
        <v>7859</v>
      </c>
      <c r="D253" s="63" t="e">
        <f ca="1"/>
        <v>#NAME?</v>
      </c>
      <c r="E253" s="63" t="e">
        <f ca="1"/>
        <v>#NAME?</v>
      </c>
      <c r="F253" s="63" t="e">
        <f ca="1"/>
        <v>#NAME?</v>
      </c>
      <c r="G253" s="63" t="e">
        <f ca="1"/>
        <v>#NAME?</v>
      </c>
      <c r="H253" s="51" t="e">
        <f ca="1"/>
        <v>#NAME?</v>
      </c>
      <c r="I253" s="101" t="e">
        <f ca="1"/>
        <v>#NAME?</v>
      </c>
      <c r="J253" s="51" t="e">
        <f ca="1"/>
        <v>#NAME?</v>
      </c>
      <c r="K253" s="47" t="e">
        <f ca="1"/>
        <v>#NAME?</v>
      </c>
      <c r="L253" s="47" t="e">
        <f ca="1"/>
        <v>#NAME?</v>
      </c>
      <c r="M253" s="47" t="e">
        <f ca="1"/>
        <v>#NAME?</v>
      </c>
      <c r="N253" s="47"/>
    </row>
    <row r="254" spans="1:14" ht="14.25" customHeight="1">
      <c r="A254" s="26">
        <v>8</v>
      </c>
      <c r="B254" s="47"/>
      <c r="C254" s="63" t="s">
        <v>7869</v>
      </c>
      <c r="D254" s="63" t="e">
        <f ca="1"/>
        <v>#NAME?</v>
      </c>
      <c r="E254" s="63" t="e">
        <f ca="1"/>
        <v>#NAME?</v>
      </c>
      <c r="F254" s="63" t="e">
        <f ca="1"/>
        <v>#NAME?</v>
      </c>
      <c r="G254" s="63" t="e">
        <f ca="1"/>
        <v>#NAME?</v>
      </c>
      <c r="H254" s="51" t="e">
        <f ca="1"/>
        <v>#NAME?</v>
      </c>
      <c r="I254" s="101" t="e">
        <f ca="1"/>
        <v>#NAME?</v>
      </c>
      <c r="J254" s="51" t="e">
        <f ca="1"/>
        <v>#NAME?</v>
      </c>
      <c r="K254" s="47" t="e">
        <f ca="1"/>
        <v>#NAME?</v>
      </c>
      <c r="L254" s="47" t="e">
        <f ca="1"/>
        <v>#NAME?</v>
      </c>
      <c r="M254" s="47" t="e">
        <f ca="1"/>
        <v>#NAME?</v>
      </c>
      <c r="N254" s="47"/>
    </row>
    <row r="255" spans="1:14" ht="14.25" customHeight="1">
      <c r="A255" s="26">
        <v>9</v>
      </c>
      <c r="B255" s="47"/>
      <c r="C255" s="63" t="s">
        <v>7879</v>
      </c>
      <c r="D255" s="63" t="e">
        <f ca="1"/>
        <v>#NAME?</v>
      </c>
      <c r="E255" s="63" t="e">
        <f ca="1"/>
        <v>#NAME?</v>
      </c>
      <c r="F255" s="63" t="e">
        <f ca="1"/>
        <v>#NAME?</v>
      </c>
      <c r="G255" s="63" t="e">
        <f ca="1"/>
        <v>#NAME?</v>
      </c>
      <c r="H255" s="81" t="e">
        <f ca="1"/>
        <v>#NAME?</v>
      </c>
      <c r="I255" s="51" t="e">
        <f ca="1"/>
        <v>#NAME?</v>
      </c>
      <c r="J255" s="51" t="e">
        <f ca="1"/>
        <v>#NAME?</v>
      </c>
      <c r="K255" s="47" t="e">
        <f ca="1"/>
        <v>#NAME?</v>
      </c>
      <c r="L255" s="47" t="e">
        <f ca="1"/>
        <v>#NAME?</v>
      </c>
      <c r="M255" s="47" t="e">
        <f ca="1"/>
        <v>#NAME?</v>
      </c>
      <c r="N255" s="47"/>
    </row>
    <row r="256" spans="1:14" ht="14.25" customHeight="1">
      <c r="A256" s="26">
        <v>10</v>
      </c>
      <c r="B256" s="78"/>
      <c r="C256" s="63" t="s">
        <v>7889</v>
      </c>
      <c r="D256" s="63" t="e">
        <f ca="1"/>
        <v>#NAME?</v>
      </c>
      <c r="E256" s="63" t="e">
        <f ca="1"/>
        <v>#NAME?</v>
      </c>
      <c r="F256" s="63" t="e">
        <f ca="1"/>
        <v>#NAME?</v>
      </c>
      <c r="G256" s="63" t="e">
        <f ca="1"/>
        <v>#NAME?</v>
      </c>
      <c r="H256" s="81" t="e">
        <f ca="1"/>
        <v>#NAME?</v>
      </c>
      <c r="I256" s="51" t="e">
        <f ca="1"/>
        <v>#NAME?</v>
      </c>
      <c r="J256" s="51" t="e">
        <f ca="1"/>
        <v>#NAME?</v>
      </c>
      <c r="K256" s="47" t="e">
        <f ca="1"/>
        <v>#NAME?</v>
      </c>
      <c r="L256" s="47" t="e">
        <f ca="1"/>
        <v>#NAME?</v>
      </c>
      <c r="M256" s="47" t="e">
        <f ca="1"/>
        <v>#NAME?</v>
      </c>
      <c r="N256" s="47"/>
    </row>
    <row r="257" spans="1:14" ht="14.25" customHeight="1">
      <c r="A257" s="26">
        <v>11</v>
      </c>
      <c r="B257" s="78"/>
      <c r="C257" s="63" t="s">
        <v>7899</v>
      </c>
      <c r="D257" s="63" t="e">
        <f ca="1"/>
        <v>#NAME?</v>
      </c>
      <c r="E257" s="63" t="e">
        <f ca="1"/>
        <v>#NAME?</v>
      </c>
      <c r="F257" s="63" t="e">
        <f ca="1"/>
        <v>#NAME?</v>
      </c>
      <c r="G257" s="63" t="e">
        <f ca="1"/>
        <v>#NAME?</v>
      </c>
      <c r="H257" s="81" t="e">
        <f ca="1"/>
        <v>#NAME?</v>
      </c>
      <c r="I257" s="51" t="e">
        <f ca="1"/>
        <v>#NAME?</v>
      </c>
      <c r="J257" s="51" t="e">
        <f ca="1"/>
        <v>#NAME?</v>
      </c>
      <c r="K257" s="47" t="e">
        <f ca="1"/>
        <v>#NAME?</v>
      </c>
      <c r="L257" s="47" t="e">
        <f ca="1"/>
        <v>#NAME?</v>
      </c>
      <c r="M257" s="47" t="e">
        <f ca="1"/>
        <v>#NAME?</v>
      </c>
      <c r="N257" s="47"/>
    </row>
    <row r="258" spans="1:14" ht="14.25" customHeight="1">
      <c r="A258" s="26">
        <v>12</v>
      </c>
      <c r="B258" s="47"/>
      <c r="C258" s="63" t="s">
        <v>7908</v>
      </c>
      <c r="D258" s="63" t="e">
        <f ca="1"/>
        <v>#NAME?</v>
      </c>
      <c r="E258" s="63" t="e">
        <f ca="1"/>
        <v>#NAME?</v>
      </c>
      <c r="F258" s="63" t="e">
        <f ca="1"/>
        <v>#NAME?</v>
      </c>
      <c r="G258" s="63" t="e">
        <f ca="1"/>
        <v>#NAME?</v>
      </c>
      <c r="H258" s="81" t="e">
        <f ca="1"/>
        <v>#NAME?</v>
      </c>
      <c r="I258" s="51" t="e">
        <f ca="1"/>
        <v>#NAME?</v>
      </c>
      <c r="J258" s="51" t="e">
        <f ca="1"/>
        <v>#NAME?</v>
      </c>
      <c r="K258" s="47" t="e">
        <f ca="1"/>
        <v>#NAME?</v>
      </c>
      <c r="L258" s="47" t="e">
        <f ca="1"/>
        <v>#NAME?</v>
      </c>
      <c r="M258" s="47" t="e">
        <f ca="1"/>
        <v>#NAME?</v>
      </c>
      <c r="N258" s="47"/>
    </row>
    <row r="259" spans="1:14" ht="14.25" customHeight="1">
      <c r="A259" s="26">
        <v>13</v>
      </c>
      <c r="B259" s="47"/>
      <c r="C259" s="63" t="s">
        <v>7918</v>
      </c>
      <c r="D259" s="63" t="e">
        <f ca="1"/>
        <v>#NAME?</v>
      </c>
      <c r="E259" s="63" t="e">
        <f ca="1"/>
        <v>#NAME?</v>
      </c>
      <c r="F259" s="63" t="e">
        <f ca="1"/>
        <v>#NAME?</v>
      </c>
      <c r="G259" s="63" t="e">
        <f ca="1"/>
        <v>#NAME?</v>
      </c>
      <c r="H259" s="81" t="e">
        <f ca="1"/>
        <v>#NAME?</v>
      </c>
      <c r="I259" s="51" t="e">
        <f ca="1"/>
        <v>#NAME?</v>
      </c>
      <c r="J259" s="51" t="e">
        <f ca="1"/>
        <v>#NAME?</v>
      </c>
      <c r="K259" s="47" t="e">
        <f ca="1"/>
        <v>#NAME?</v>
      </c>
      <c r="L259" s="47" t="e">
        <f ca="1"/>
        <v>#NAME?</v>
      </c>
      <c r="M259" s="47" t="e">
        <f ca="1"/>
        <v>#NAME?</v>
      </c>
      <c r="N259" s="47"/>
    </row>
    <row r="260" spans="1:14" ht="14.25" customHeight="1">
      <c r="A260" s="26">
        <v>14</v>
      </c>
      <c r="B260" s="47"/>
      <c r="C260" s="63" t="s">
        <v>7928</v>
      </c>
      <c r="D260" s="63" t="e">
        <f ca="1"/>
        <v>#NAME?</v>
      </c>
      <c r="E260" s="63" t="e">
        <f ca="1"/>
        <v>#NAME?</v>
      </c>
      <c r="F260" s="63" t="e">
        <f ca="1"/>
        <v>#NAME?</v>
      </c>
      <c r="G260" s="63" t="e">
        <f ca="1"/>
        <v>#NAME?</v>
      </c>
      <c r="H260" s="81" t="e">
        <f ca="1"/>
        <v>#NAME?</v>
      </c>
      <c r="I260" s="51" t="e">
        <f ca="1"/>
        <v>#NAME?</v>
      </c>
      <c r="J260" s="51" t="e">
        <f ca="1"/>
        <v>#NAME?</v>
      </c>
      <c r="K260" s="47" t="e">
        <f ca="1"/>
        <v>#NAME?</v>
      </c>
      <c r="L260" s="47" t="e">
        <f ca="1"/>
        <v>#NAME?</v>
      </c>
      <c r="M260" s="47" t="e">
        <f ca="1"/>
        <v>#NAME?</v>
      </c>
      <c r="N260" s="47"/>
    </row>
    <row r="261" spans="1:14" ht="14.25" customHeight="1">
      <c r="A261" s="26">
        <v>15</v>
      </c>
      <c r="B261" s="78"/>
      <c r="C261" s="63" t="s">
        <v>7938</v>
      </c>
      <c r="D261" s="63" t="e">
        <f ca="1"/>
        <v>#NAME?</v>
      </c>
      <c r="E261" s="63" t="e">
        <f ca="1"/>
        <v>#NAME?</v>
      </c>
      <c r="F261" s="63" t="e">
        <f ca="1"/>
        <v>#NAME?</v>
      </c>
      <c r="G261" s="63" t="e">
        <f ca="1"/>
        <v>#NAME?</v>
      </c>
      <c r="H261" s="81" t="e">
        <f ca="1"/>
        <v>#NAME?</v>
      </c>
      <c r="I261" s="51" t="e">
        <f ca="1"/>
        <v>#NAME?</v>
      </c>
      <c r="J261" s="51" t="e">
        <f ca="1"/>
        <v>#NAME?</v>
      </c>
      <c r="K261" s="47" t="e">
        <f ca="1"/>
        <v>#NAME?</v>
      </c>
      <c r="L261" s="47" t="e">
        <f ca="1"/>
        <v>#NAME?</v>
      </c>
      <c r="M261" s="47" t="e">
        <f ca="1"/>
        <v>#NAME?</v>
      </c>
      <c r="N261" s="47"/>
    </row>
    <row r="262" spans="1:14" ht="14.25" customHeight="1">
      <c r="A262" s="26">
        <v>16</v>
      </c>
      <c r="B262" s="47"/>
      <c r="C262" s="63" t="s">
        <v>7948</v>
      </c>
      <c r="D262" s="63" t="e">
        <f ca="1"/>
        <v>#NAME?</v>
      </c>
      <c r="E262" s="63" t="e">
        <f ca="1"/>
        <v>#NAME?</v>
      </c>
      <c r="F262" s="63" t="e">
        <f ca="1"/>
        <v>#NAME?</v>
      </c>
      <c r="G262" s="63" t="e">
        <f ca="1"/>
        <v>#NAME?</v>
      </c>
      <c r="H262" s="81" t="e">
        <f ca="1"/>
        <v>#NAME?</v>
      </c>
      <c r="I262" s="51" t="e">
        <f ca="1"/>
        <v>#NAME?</v>
      </c>
      <c r="J262" s="51" t="e">
        <f ca="1"/>
        <v>#NAME?</v>
      </c>
      <c r="K262" s="47" t="e">
        <f ca="1"/>
        <v>#NAME?</v>
      </c>
      <c r="L262" s="47" t="e">
        <f ca="1"/>
        <v>#NAME?</v>
      </c>
      <c r="M262" s="47" t="e">
        <f ca="1"/>
        <v>#NAME?</v>
      </c>
      <c r="N262" s="47"/>
    </row>
    <row r="263" spans="1:14" ht="14.25" customHeight="1">
      <c r="A263" s="26">
        <v>17</v>
      </c>
      <c r="B263" s="47"/>
      <c r="C263" s="63" t="s">
        <v>7958</v>
      </c>
      <c r="D263" s="63" t="e">
        <f ca="1"/>
        <v>#NAME?</v>
      </c>
      <c r="E263" s="63" t="e">
        <f ca="1"/>
        <v>#NAME?</v>
      </c>
      <c r="F263" s="63" t="e">
        <f ca="1"/>
        <v>#NAME?</v>
      </c>
      <c r="G263" s="63" t="e">
        <f ca="1"/>
        <v>#NAME?</v>
      </c>
      <c r="H263" s="86" t="e">
        <f ca="1"/>
        <v>#NAME?</v>
      </c>
      <c r="I263" s="51" t="e">
        <f ca="1"/>
        <v>#NAME?</v>
      </c>
      <c r="J263" s="51" t="e">
        <f ca="1"/>
        <v>#NAME?</v>
      </c>
      <c r="K263" s="47" t="e">
        <f ca="1"/>
        <v>#NAME?</v>
      </c>
      <c r="L263" s="47" t="e">
        <f ca="1"/>
        <v>#NAME?</v>
      </c>
      <c r="M263" s="47" t="e">
        <f ca="1"/>
        <v>#NAME?</v>
      </c>
      <c r="N263" s="47"/>
    </row>
    <row r="264" spans="1:14" ht="14.25" customHeight="1">
      <c r="A264" s="26">
        <v>18</v>
      </c>
      <c r="B264" s="47"/>
      <c r="C264" s="63" t="s">
        <v>7968</v>
      </c>
      <c r="D264" s="63" t="e">
        <f ca="1"/>
        <v>#NAME?</v>
      </c>
      <c r="E264" s="63" t="e">
        <f ca="1"/>
        <v>#NAME?</v>
      </c>
      <c r="F264" s="63" t="e">
        <f ca="1"/>
        <v>#NAME?</v>
      </c>
      <c r="G264" s="63" t="e">
        <f ca="1"/>
        <v>#NAME?</v>
      </c>
      <c r="H264" s="81" t="e">
        <f ca="1"/>
        <v>#NAME?</v>
      </c>
      <c r="I264" s="51" t="e">
        <f ca="1"/>
        <v>#NAME?</v>
      </c>
      <c r="J264" s="51" t="e">
        <f ca="1"/>
        <v>#NAME?</v>
      </c>
      <c r="K264" s="47" t="e">
        <f ca="1"/>
        <v>#NAME?</v>
      </c>
      <c r="L264" s="47" t="e">
        <f ca="1"/>
        <v>#NAME?</v>
      </c>
      <c r="M264" s="47" t="e">
        <f ca="1"/>
        <v>#NAME?</v>
      </c>
      <c r="N264" s="47"/>
    </row>
    <row r="265" spans="1:14" ht="14.25" customHeight="1">
      <c r="A265" s="26">
        <v>19</v>
      </c>
      <c r="B265" s="47"/>
      <c r="C265" s="63" t="s">
        <v>7978</v>
      </c>
      <c r="D265" s="63" t="e">
        <f ca="1"/>
        <v>#NAME?</v>
      </c>
      <c r="E265" s="63" t="e">
        <f ca="1"/>
        <v>#NAME?</v>
      </c>
      <c r="F265" s="63" t="e">
        <f ca="1"/>
        <v>#NAME?</v>
      </c>
      <c r="G265" s="63" t="e">
        <f ca="1"/>
        <v>#NAME?</v>
      </c>
      <c r="H265" s="81" t="e">
        <f ca="1"/>
        <v>#NAME?</v>
      </c>
      <c r="I265" s="51" t="e">
        <f ca="1"/>
        <v>#NAME?</v>
      </c>
      <c r="J265" s="51" t="e">
        <f ca="1"/>
        <v>#NAME?</v>
      </c>
      <c r="K265" s="47" t="e">
        <f ca="1"/>
        <v>#NAME?</v>
      </c>
      <c r="L265" s="47" t="e">
        <f ca="1"/>
        <v>#NAME?</v>
      </c>
      <c r="M265" s="47" t="e">
        <f ca="1"/>
        <v>#NAME?</v>
      </c>
      <c r="N265" s="47"/>
    </row>
    <row r="266" spans="1:14" ht="14.25" customHeight="1">
      <c r="A266" s="26">
        <v>20</v>
      </c>
      <c r="B266" s="47"/>
      <c r="C266" s="63" t="s">
        <v>7988</v>
      </c>
      <c r="D266" s="63" t="e">
        <f ca="1"/>
        <v>#NAME?</v>
      </c>
      <c r="E266" s="63" t="e">
        <f ca="1"/>
        <v>#NAME?</v>
      </c>
      <c r="F266" s="63" t="e">
        <f ca="1"/>
        <v>#NAME?</v>
      </c>
      <c r="G266" s="63" t="e">
        <f ca="1"/>
        <v>#NAME?</v>
      </c>
      <c r="H266" s="81" t="e">
        <f ca="1"/>
        <v>#NAME?</v>
      </c>
      <c r="I266" s="51" t="e">
        <f ca="1"/>
        <v>#NAME?</v>
      </c>
      <c r="J266" s="51" t="e">
        <f ca="1"/>
        <v>#NAME?</v>
      </c>
      <c r="K266" s="47" t="e">
        <f ca="1"/>
        <v>#NAME?</v>
      </c>
      <c r="L266" s="47" t="e">
        <f ca="1"/>
        <v>#NAME?</v>
      </c>
      <c r="M266" s="47" t="e">
        <f ca="1"/>
        <v>#NAME?</v>
      </c>
      <c r="N266" s="47"/>
    </row>
    <row r="267" spans="1:14" ht="14.25" customHeight="1">
      <c r="A267" s="26">
        <v>21</v>
      </c>
      <c r="B267" s="47"/>
      <c r="C267" s="63" t="s">
        <v>7998</v>
      </c>
      <c r="D267" s="63" t="e">
        <f ca="1"/>
        <v>#NAME?</v>
      </c>
      <c r="E267" s="63" t="e">
        <f ca="1"/>
        <v>#NAME?</v>
      </c>
      <c r="F267" s="63" t="e">
        <f ca="1"/>
        <v>#NAME?</v>
      </c>
      <c r="G267" s="63" t="e">
        <f ca="1"/>
        <v>#NAME?</v>
      </c>
      <c r="H267" s="81" t="e">
        <f ca="1"/>
        <v>#NAME?</v>
      </c>
      <c r="I267" s="51" t="e">
        <f ca="1"/>
        <v>#NAME?</v>
      </c>
      <c r="J267" s="51" t="e">
        <f ca="1"/>
        <v>#NAME?</v>
      </c>
      <c r="K267" s="47" t="e">
        <f ca="1"/>
        <v>#NAME?</v>
      </c>
      <c r="L267" s="47" t="e">
        <f ca="1"/>
        <v>#NAME?</v>
      </c>
      <c r="M267" s="47" t="e">
        <f ca="1"/>
        <v>#NAME?</v>
      </c>
      <c r="N267" s="47"/>
    </row>
    <row r="268" spans="1:14" ht="14.25" customHeight="1">
      <c r="A268" s="26">
        <v>22</v>
      </c>
      <c r="B268" s="47"/>
      <c r="C268" s="63" t="s">
        <v>8008</v>
      </c>
      <c r="D268" s="63" t="e">
        <f ca="1"/>
        <v>#NAME?</v>
      </c>
      <c r="E268" s="63" t="e">
        <f ca="1"/>
        <v>#NAME?</v>
      </c>
      <c r="F268" s="63" t="e">
        <f ca="1"/>
        <v>#NAME?</v>
      </c>
      <c r="G268" s="63" t="e">
        <f ca="1"/>
        <v>#NAME?</v>
      </c>
      <c r="H268" s="81" t="e">
        <f ca="1"/>
        <v>#NAME?</v>
      </c>
      <c r="I268" s="51" t="e">
        <f ca="1"/>
        <v>#NAME?</v>
      </c>
      <c r="J268" s="51" t="e">
        <f ca="1"/>
        <v>#NAME?</v>
      </c>
      <c r="K268" s="47" t="e">
        <f ca="1"/>
        <v>#NAME?</v>
      </c>
      <c r="L268" s="47" t="e">
        <f ca="1"/>
        <v>#NAME?</v>
      </c>
      <c r="M268" s="47" t="e">
        <f ca="1"/>
        <v>#NAME?</v>
      </c>
      <c r="N268" s="47"/>
    </row>
    <row r="269" spans="1:14" ht="14.25" customHeight="1">
      <c r="A269" s="26">
        <v>23</v>
      </c>
      <c r="B269" s="78"/>
      <c r="C269" s="63" t="s">
        <v>8018</v>
      </c>
      <c r="D269" s="63" t="e">
        <f ca="1"/>
        <v>#NAME?</v>
      </c>
      <c r="E269" s="63" t="e">
        <f ca="1"/>
        <v>#NAME?</v>
      </c>
      <c r="F269" s="63" t="e">
        <f ca="1"/>
        <v>#NAME?</v>
      </c>
      <c r="G269" s="63" t="e">
        <f ca="1"/>
        <v>#NAME?</v>
      </c>
      <c r="H269" s="81" t="e">
        <f ca="1"/>
        <v>#NAME?</v>
      </c>
      <c r="I269" s="51" t="e">
        <f ca="1"/>
        <v>#NAME?</v>
      </c>
      <c r="J269" s="51" t="e">
        <f ca="1"/>
        <v>#NAME?</v>
      </c>
      <c r="K269" s="47" t="e">
        <f ca="1"/>
        <v>#NAME?</v>
      </c>
      <c r="L269" s="47" t="e">
        <f ca="1"/>
        <v>#NAME?</v>
      </c>
      <c r="M269" s="47" t="e">
        <f ca="1"/>
        <v>#NAME?</v>
      </c>
      <c r="N269" s="47"/>
    </row>
    <row r="270" spans="1:14" ht="14.25" customHeight="1">
      <c r="A270" s="26">
        <v>24</v>
      </c>
      <c r="B270" s="47"/>
      <c r="C270" s="63" t="s">
        <v>8028</v>
      </c>
      <c r="D270" s="63" t="e">
        <f ca="1"/>
        <v>#NAME?</v>
      </c>
      <c r="E270" s="63" t="e">
        <f ca="1"/>
        <v>#NAME?</v>
      </c>
      <c r="F270" s="63" t="e">
        <f ca="1"/>
        <v>#NAME?</v>
      </c>
      <c r="G270" s="63" t="e">
        <f ca="1"/>
        <v>#NAME?</v>
      </c>
      <c r="H270" s="81" t="e">
        <f ca="1"/>
        <v>#NAME?</v>
      </c>
      <c r="I270" s="51" t="e">
        <f ca="1"/>
        <v>#NAME?</v>
      </c>
      <c r="J270" s="51" t="e">
        <f ca="1"/>
        <v>#NAME?</v>
      </c>
      <c r="K270" s="47" t="e">
        <f ca="1"/>
        <v>#NAME?</v>
      </c>
      <c r="L270" s="47" t="e">
        <f ca="1"/>
        <v>#NAME?</v>
      </c>
      <c r="M270" s="47" t="e">
        <f ca="1"/>
        <v>#NAME?</v>
      </c>
      <c r="N270" s="47"/>
    </row>
    <row r="271" spans="1:14" ht="14.25" customHeight="1">
      <c r="A271" s="26">
        <v>25</v>
      </c>
      <c r="B271" s="78"/>
      <c r="C271" s="63" t="s">
        <v>8038</v>
      </c>
      <c r="D271" s="63" t="e">
        <f ca="1"/>
        <v>#NAME?</v>
      </c>
      <c r="E271" s="63" t="e">
        <f ca="1"/>
        <v>#NAME?</v>
      </c>
      <c r="F271" s="63" t="e">
        <f ca="1"/>
        <v>#NAME?</v>
      </c>
      <c r="G271" s="63" t="e">
        <f ca="1"/>
        <v>#NAME?</v>
      </c>
      <c r="H271" s="81" t="e">
        <f ca="1"/>
        <v>#NAME?</v>
      </c>
      <c r="I271" s="51" t="e">
        <f ca="1"/>
        <v>#NAME?</v>
      </c>
      <c r="J271" s="51" t="e">
        <f ca="1"/>
        <v>#NAME?</v>
      </c>
      <c r="K271" s="47" t="e">
        <f ca="1"/>
        <v>#NAME?</v>
      </c>
      <c r="L271" s="47" t="e">
        <f ca="1"/>
        <v>#NAME?</v>
      </c>
      <c r="M271" s="47" t="e">
        <f ca="1"/>
        <v>#NAME?</v>
      </c>
      <c r="N271" s="47"/>
    </row>
    <row r="272" spans="1:14" ht="14.25" customHeight="1">
      <c r="A272" s="26">
        <v>26</v>
      </c>
      <c r="B272" s="78"/>
      <c r="C272" s="63" t="s">
        <v>8048</v>
      </c>
      <c r="D272" s="63" t="e">
        <f ca="1"/>
        <v>#NAME?</v>
      </c>
      <c r="E272" s="63" t="e">
        <f ca="1"/>
        <v>#NAME?</v>
      </c>
      <c r="F272" s="63" t="e">
        <f ca="1"/>
        <v>#NAME?</v>
      </c>
      <c r="G272" s="63" t="e">
        <f ca="1"/>
        <v>#NAME?</v>
      </c>
      <c r="H272" s="81" t="e">
        <f ca="1"/>
        <v>#NAME?</v>
      </c>
      <c r="I272" s="51" t="e">
        <f ca="1"/>
        <v>#NAME?</v>
      </c>
      <c r="J272" s="51" t="e">
        <f ca="1"/>
        <v>#NAME?</v>
      </c>
      <c r="K272" s="47" t="e">
        <f ca="1"/>
        <v>#NAME?</v>
      </c>
      <c r="L272" s="47" t="e">
        <f ca="1"/>
        <v>#NAME?</v>
      </c>
      <c r="M272" s="47" t="e">
        <f ca="1"/>
        <v>#NAME?</v>
      </c>
      <c r="N272" s="47"/>
    </row>
    <row r="273" spans="1:14" ht="14.25" customHeight="1">
      <c r="A273" s="26">
        <v>27</v>
      </c>
      <c r="B273" s="47"/>
      <c r="C273" s="63" t="s">
        <v>8057</v>
      </c>
      <c r="D273" s="63" t="e">
        <f ca="1"/>
        <v>#NAME?</v>
      </c>
      <c r="E273" s="63" t="e">
        <f ca="1"/>
        <v>#NAME?</v>
      </c>
      <c r="F273" s="63" t="e">
        <f ca="1"/>
        <v>#NAME?</v>
      </c>
      <c r="G273" s="63" t="e">
        <f ca="1"/>
        <v>#NAME?</v>
      </c>
      <c r="H273" s="81" t="e">
        <f ca="1"/>
        <v>#NAME?</v>
      </c>
      <c r="I273" s="51" t="e">
        <f ca="1"/>
        <v>#NAME?</v>
      </c>
      <c r="J273" s="51" t="e">
        <f ca="1"/>
        <v>#NAME?</v>
      </c>
      <c r="K273" s="47" t="e">
        <f ca="1"/>
        <v>#NAME?</v>
      </c>
      <c r="L273" s="47" t="e">
        <f ca="1"/>
        <v>#NAME?</v>
      </c>
      <c r="M273" s="47" t="e">
        <f ca="1"/>
        <v>#NAME?</v>
      </c>
      <c r="N273" s="47"/>
    </row>
    <row r="274" spans="1:14" ht="14.25" customHeight="1">
      <c r="A274" s="26">
        <v>28</v>
      </c>
      <c r="B274" s="78"/>
      <c r="C274" s="63" t="s">
        <v>8067</v>
      </c>
      <c r="D274" s="63" t="e">
        <f ca="1"/>
        <v>#NAME?</v>
      </c>
      <c r="E274" s="63" t="e">
        <f ca="1"/>
        <v>#NAME?</v>
      </c>
      <c r="F274" s="63" t="e">
        <f ca="1"/>
        <v>#NAME?</v>
      </c>
      <c r="G274" s="63" t="e">
        <f ca="1"/>
        <v>#NAME?</v>
      </c>
      <c r="H274" s="81" t="e">
        <f ca="1"/>
        <v>#NAME?</v>
      </c>
      <c r="I274" s="51" t="e">
        <f ca="1"/>
        <v>#NAME?</v>
      </c>
      <c r="J274" s="51" t="e">
        <f ca="1"/>
        <v>#NAME?</v>
      </c>
      <c r="K274" s="47" t="e">
        <f ca="1"/>
        <v>#NAME?</v>
      </c>
      <c r="L274" s="47" t="e">
        <f ca="1"/>
        <v>#NAME?</v>
      </c>
      <c r="M274" s="47" t="e">
        <f ca="1"/>
        <v>#NAME?</v>
      </c>
      <c r="N274" s="47"/>
    </row>
    <row r="275" spans="1:14" ht="14.25" customHeight="1">
      <c r="A275" s="19">
        <v>1</v>
      </c>
      <c r="B275" s="47"/>
      <c r="C275" s="90" t="s">
        <v>8077</v>
      </c>
      <c r="D275" s="90" t="e">
        <f ca="1"/>
        <v>#NAME?</v>
      </c>
      <c r="E275" s="90" t="e">
        <f ca="1"/>
        <v>#NAME?</v>
      </c>
      <c r="F275" s="90" t="e">
        <f ca="1"/>
        <v>#NAME?</v>
      </c>
      <c r="G275" s="90" t="e">
        <f ca="1"/>
        <v>#NAME?</v>
      </c>
      <c r="H275" s="142" t="e">
        <f ca="1"/>
        <v>#NAME?</v>
      </c>
      <c r="I275" s="92" t="e">
        <f ca="1"/>
        <v>#NAME?</v>
      </c>
      <c r="J275" s="92" t="e">
        <f ca="1"/>
        <v>#NAME?</v>
      </c>
      <c r="K275" s="88" t="e">
        <f ca="1"/>
        <v>#NAME?</v>
      </c>
      <c r="L275" s="88" t="e">
        <f ca="1"/>
        <v>#NAME?</v>
      </c>
      <c r="M275" s="88" t="e">
        <f ca="1"/>
        <v>#NAME?</v>
      </c>
      <c r="N275" s="88">
        <v>11</v>
      </c>
    </row>
    <row r="276" spans="1:14" ht="14.25" customHeight="1">
      <c r="A276" s="26">
        <v>2</v>
      </c>
      <c r="B276" s="47"/>
      <c r="C276" s="63" t="s">
        <v>8087</v>
      </c>
      <c r="D276" s="63" t="e">
        <f ca="1"/>
        <v>#NAME?</v>
      </c>
      <c r="E276" s="63" t="e">
        <f ca="1"/>
        <v>#NAME?</v>
      </c>
      <c r="F276" s="63" t="e">
        <f ca="1"/>
        <v>#NAME?</v>
      </c>
      <c r="G276" s="63" t="e">
        <f ca="1"/>
        <v>#NAME?</v>
      </c>
      <c r="H276" s="81" t="e">
        <f ca="1"/>
        <v>#NAME?</v>
      </c>
      <c r="I276" s="51" t="e">
        <f ca="1"/>
        <v>#NAME?</v>
      </c>
      <c r="J276" s="51" t="e">
        <f ca="1"/>
        <v>#NAME?</v>
      </c>
      <c r="K276" s="47" t="e">
        <f ca="1"/>
        <v>#NAME?</v>
      </c>
      <c r="L276" s="47" t="e">
        <f ca="1"/>
        <v>#NAME?</v>
      </c>
      <c r="M276" s="47" t="e">
        <f ca="1"/>
        <v>#NAME?</v>
      </c>
      <c r="N276" s="47"/>
    </row>
    <row r="277" spans="1:14" ht="14.25" customHeight="1">
      <c r="A277" s="26">
        <v>3</v>
      </c>
      <c r="B277" s="78"/>
      <c r="C277" s="63" t="s">
        <v>8098</v>
      </c>
      <c r="D277" s="63" t="e">
        <f ca="1"/>
        <v>#NAME?</v>
      </c>
      <c r="E277" s="63" t="e">
        <f ca="1"/>
        <v>#NAME?</v>
      </c>
      <c r="F277" s="63" t="e">
        <f ca="1"/>
        <v>#NAME?</v>
      </c>
      <c r="G277" s="63" t="e">
        <f ca="1"/>
        <v>#NAME?</v>
      </c>
      <c r="H277" s="81" t="e">
        <f ca="1"/>
        <v>#NAME?</v>
      </c>
      <c r="I277" s="51" t="e">
        <f ca="1"/>
        <v>#NAME?</v>
      </c>
      <c r="J277" s="51" t="e">
        <f ca="1"/>
        <v>#NAME?</v>
      </c>
      <c r="K277" s="47" t="e">
        <f ca="1"/>
        <v>#NAME?</v>
      </c>
      <c r="L277" s="47" t="e">
        <f ca="1"/>
        <v>#NAME?</v>
      </c>
      <c r="M277" s="47" t="e">
        <f ca="1"/>
        <v>#NAME?</v>
      </c>
      <c r="N277" s="47"/>
    </row>
    <row r="278" spans="1:14" ht="14.25" customHeight="1">
      <c r="A278" s="26">
        <v>4</v>
      </c>
      <c r="B278" s="78"/>
      <c r="C278" s="63" t="s">
        <v>8108</v>
      </c>
      <c r="D278" s="63" t="e">
        <f ca="1"/>
        <v>#NAME?</v>
      </c>
      <c r="E278" s="63" t="e">
        <f ca="1"/>
        <v>#NAME?</v>
      </c>
      <c r="F278" s="63" t="e">
        <f ca="1"/>
        <v>#NAME?</v>
      </c>
      <c r="G278" s="63" t="e">
        <f ca="1"/>
        <v>#NAME?</v>
      </c>
      <c r="H278" s="81" t="e">
        <f ca="1"/>
        <v>#NAME?</v>
      </c>
      <c r="I278" s="51" t="e">
        <f ca="1"/>
        <v>#NAME?</v>
      </c>
      <c r="J278" s="51" t="e">
        <f ca="1"/>
        <v>#NAME?</v>
      </c>
      <c r="K278" s="47" t="e">
        <f ca="1"/>
        <v>#NAME?</v>
      </c>
      <c r="L278" s="47" t="e">
        <f ca="1"/>
        <v>#NAME?</v>
      </c>
      <c r="M278" s="47" t="e">
        <f ca="1"/>
        <v>#NAME?</v>
      </c>
      <c r="N278" s="47"/>
    </row>
    <row r="279" spans="1:14" ht="14.25" customHeight="1">
      <c r="A279" s="26">
        <v>5</v>
      </c>
      <c r="B279" s="47"/>
      <c r="C279" s="63" t="s">
        <v>8118</v>
      </c>
      <c r="D279" s="63" t="e">
        <f ca="1"/>
        <v>#NAME?</v>
      </c>
      <c r="E279" s="63" t="e">
        <f ca="1"/>
        <v>#NAME?</v>
      </c>
      <c r="F279" s="63" t="e">
        <f ca="1"/>
        <v>#NAME?</v>
      </c>
      <c r="G279" s="63" t="e">
        <f ca="1"/>
        <v>#NAME?</v>
      </c>
      <c r="H279" s="81" t="e">
        <f ca="1"/>
        <v>#NAME?</v>
      </c>
      <c r="I279" s="51" t="e">
        <f ca="1"/>
        <v>#NAME?</v>
      </c>
      <c r="J279" s="51" t="e">
        <f ca="1"/>
        <v>#NAME?</v>
      </c>
      <c r="K279" s="47" t="e">
        <f ca="1"/>
        <v>#NAME?</v>
      </c>
      <c r="L279" s="47" t="e">
        <f ca="1"/>
        <v>#NAME?</v>
      </c>
      <c r="M279" s="47" t="e">
        <f ca="1"/>
        <v>#NAME?</v>
      </c>
      <c r="N279" s="47"/>
    </row>
    <row r="280" spans="1:14" ht="14.25" customHeight="1">
      <c r="A280" s="26">
        <v>6</v>
      </c>
      <c r="B280" s="78"/>
      <c r="C280" s="63" t="s">
        <v>8128</v>
      </c>
      <c r="D280" s="63" t="e">
        <f ca="1"/>
        <v>#NAME?</v>
      </c>
      <c r="E280" s="63" t="e">
        <f ca="1"/>
        <v>#NAME?</v>
      </c>
      <c r="F280" s="63" t="e">
        <f ca="1"/>
        <v>#NAME?</v>
      </c>
      <c r="G280" s="63" t="e">
        <f ca="1"/>
        <v>#NAME?</v>
      </c>
      <c r="H280" s="81" t="e">
        <f ca="1"/>
        <v>#NAME?</v>
      </c>
      <c r="I280" s="51" t="e">
        <f ca="1"/>
        <v>#NAME?</v>
      </c>
      <c r="J280" s="51" t="e">
        <f ca="1"/>
        <v>#NAME?</v>
      </c>
      <c r="K280" s="47" t="e">
        <f ca="1"/>
        <v>#NAME?</v>
      </c>
      <c r="L280" s="47" t="e">
        <f ca="1"/>
        <v>#NAME?</v>
      </c>
      <c r="M280" s="47" t="e">
        <f ca="1"/>
        <v>#NAME?</v>
      </c>
      <c r="N280" s="47"/>
    </row>
    <row r="281" spans="1:14" ht="14.25" customHeight="1">
      <c r="A281" s="26">
        <v>7</v>
      </c>
      <c r="B281" s="47"/>
      <c r="C281" s="63" t="s">
        <v>8137</v>
      </c>
      <c r="D281" s="63" t="e">
        <f ca="1"/>
        <v>#NAME?</v>
      </c>
      <c r="E281" s="63" t="e">
        <f ca="1"/>
        <v>#NAME?</v>
      </c>
      <c r="F281" s="63" t="e">
        <f ca="1"/>
        <v>#NAME?</v>
      </c>
      <c r="G281" s="63" t="e">
        <f ca="1"/>
        <v>#NAME?</v>
      </c>
      <c r="H281" s="81" t="e">
        <f ca="1"/>
        <v>#NAME?</v>
      </c>
      <c r="I281" s="51" t="e">
        <f ca="1"/>
        <v>#NAME?</v>
      </c>
      <c r="J281" s="51" t="e">
        <f ca="1"/>
        <v>#NAME?</v>
      </c>
      <c r="K281" s="47" t="e">
        <f ca="1"/>
        <v>#NAME?</v>
      </c>
      <c r="L281" s="47" t="e">
        <f ca="1"/>
        <v>#NAME?</v>
      </c>
      <c r="M281" s="47" t="e">
        <f ca="1"/>
        <v>#NAME?</v>
      </c>
      <c r="N281" s="47"/>
    </row>
    <row r="282" spans="1:14" ht="14.25" customHeight="1">
      <c r="A282" s="26">
        <v>8</v>
      </c>
      <c r="B282" s="47"/>
      <c r="C282" s="63" t="s">
        <v>8147</v>
      </c>
      <c r="D282" s="63" t="e">
        <f ca="1"/>
        <v>#NAME?</v>
      </c>
      <c r="E282" s="63" t="e">
        <f ca="1"/>
        <v>#NAME?</v>
      </c>
      <c r="F282" s="63" t="e">
        <f ca="1"/>
        <v>#NAME?</v>
      </c>
      <c r="G282" s="63" t="e">
        <f ca="1"/>
        <v>#NAME?</v>
      </c>
      <c r="H282" s="81" t="e">
        <f ca="1"/>
        <v>#NAME?</v>
      </c>
      <c r="I282" s="51" t="e">
        <f ca="1"/>
        <v>#NAME?</v>
      </c>
      <c r="J282" s="51" t="e">
        <f ca="1"/>
        <v>#NAME?</v>
      </c>
      <c r="K282" s="47" t="e">
        <f ca="1"/>
        <v>#NAME?</v>
      </c>
      <c r="L282" s="47" t="e">
        <f ca="1"/>
        <v>#NAME?</v>
      </c>
      <c r="M282" s="47" t="e">
        <f ca="1"/>
        <v>#NAME?</v>
      </c>
      <c r="N282" s="47"/>
    </row>
    <row r="283" spans="1:14" ht="14.25" customHeight="1">
      <c r="A283" s="26">
        <v>9</v>
      </c>
      <c r="B283" s="47"/>
      <c r="C283" s="63" t="s">
        <v>8157</v>
      </c>
      <c r="D283" s="63" t="e">
        <f ca="1"/>
        <v>#NAME?</v>
      </c>
      <c r="E283" s="63" t="e">
        <f ca="1"/>
        <v>#NAME?</v>
      </c>
      <c r="F283" s="63" t="e">
        <f ca="1"/>
        <v>#NAME?</v>
      </c>
      <c r="G283" s="63" t="e">
        <f ca="1"/>
        <v>#NAME?</v>
      </c>
      <c r="H283" s="81" t="e">
        <f ca="1"/>
        <v>#NAME?</v>
      </c>
      <c r="I283" s="51" t="e">
        <f ca="1"/>
        <v>#NAME?</v>
      </c>
      <c r="J283" s="51" t="e">
        <f ca="1"/>
        <v>#NAME?</v>
      </c>
      <c r="K283" s="47" t="e">
        <f ca="1"/>
        <v>#NAME?</v>
      </c>
      <c r="L283" s="47" t="e">
        <f ca="1"/>
        <v>#NAME?</v>
      </c>
      <c r="M283" s="47" t="e">
        <f ca="1"/>
        <v>#NAME?</v>
      </c>
      <c r="N283" s="47"/>
    </row>
    <row r="284" spans="1:14" ht="14.25" customHeight="1">
      <c r="A284" s="26">
        <v>10</v>
      </c>
      <c r="B284" s="47"/>
      <c r="C284" s="63" t="s">
        <v>8167</v>
      </c>
      <c r="D284" s="63" t="e">
        <f ca="1"/>
        <v>#NAME?</v>
      </c>
      <c r="E284" s="63" t="e">
        <f ca="1"/>
        <v>#NAME?</v>
      </c>
      <c r="F284" s="63" t="e">
        <f ca="1"/>
        <v>#NAME?</v>
      </c>
      <c r="G284" s="63" t="e">
        <f ca="1"/>
        <v>#NAME?</v>
      </c>
      <c r="H284" s="81" t="e">
        <f ca="1"/>
        <v>#NAME?</v>
      </c>
      <c r="I284" s="51" t="e">
        <f ca="1"/>
        <v>#NAME?</v>
      </c>
      <c r="J284" s="51" t="e">
        <f ca="1"/>
        <v>#NAME?</v>
      </c>
      <c r="K284" s="47" t="e">
        <f ca="1"/>
        <v>#NAME?</v>
      </c>
      <c r="L284" s="47" t="e">
        <f ca="1"/>
        <v>#NAME?</v>
      </c>
      <c r="M284" s="47" t="e">
        <f ca="1"/>
        <v>#NAME?</v>
      </c>
      <c r="N284" s="47"/>
    </row>
    <row r="285" spans="1:14" ht="14.25" customHeight="1">
      <c r="A285" s="26">
        <v>11</v>
      </c>
      <c r="B285" s="78"/>
      <c r="C285" s="63" t="s">
        <v>8177</v>
      </c>
      <c r="D285" s="63" t="e">
        <f ca="1"/>
        <v>#NAME?</v>
      </c>
      <c r="E285" s="63" t="e">
        <f ca="1"/>
        <v>#NAME?</v>
      </c>
      <c r="F285" s="63" t="e">
        <f ca="1"/>
        <v>#NAME?</v>
      </c>
      <c r="G285" s="63" t="e">
        <f ca="1"/>
        <v>#NAME?</v>
      </c>
      <c r="H285" s="81" t="e">
        <f ca="1"/>
        <v>#NAME?</v>
      </c>
      <c r="I285" s="51" t="e">
        <f ca="1"/>
        <v>#NAME?</v>
      </c>
      <c r="J285" s="51" t="e">
        <f ca="1"/>
        <v>#NAME?</v>
      </c>
      <c r="K285" s="47" t="e">
        <f ca="1"/>
        <v>#NAME?</v>
      </c>
      <c r="L285" s="47" t="e">
        <f ca="1"/>
        <v>#NAME?</v>
      </c>
      <c r="M285" s="47" t="e">
        <f ca="1"/>
        <v>#NAME?</v>
      </c>
      <c r="N285" s="47"/>
    </row>
    <row r="286" spans="1:14" ht="14.25" customHeight="1">
      <c r="A286" s="26">
        <v>12</v>
      </c>
      <c r="B286" s="47"/>
      <c r="C286" s="63" t="s">
        <v>8187</v>
      </c>
      <c r="D286" s="63" t="e">
        <f ca="1"/>
        <v>#NAME?</v>
      </c>
      <c r="E286" s="63" t="e">
        <f ca="1"/>
        <v>#NAME?</v>
      </c>
      <c r="F286" s="63" t="e">
        <f ca="1"/>
        <v>#NAME?</v>
      </c>
      <c r="G286" s="63" t="e">
        <f ca="1"/>
        <v>#NAME?</v>
      </c>
      <c r="H286" s="81" t="e">
        <f ca="1"/>
        <v>#NAME?</v>
      </c>
      <c r="I286" s="51" t="e">
        <f ca="1"/>
        <v>#NAME?</v>
      </c>
      <c r="J286" s="51" t="e">
        <f ca="1"/>
        <v>#NAME?</v>
      </c>
      <c r="K286" s="47" t="e">
        <f ca="1"/>
        <v>#NAME?</v>
      </c>
      <c r="L286" s="47" t="e">
        <f ca="1"/>
        <v>#NAME?</v>
      </c>
      <c r="M286" s="47" t="e">
        <f ca="1"/>
        <v>#NAME?</v>
      </c>
      <c r="N286" s="47"/>
    </row>
    <row r="287" spans="1:14" ht="14.25" customHeight="1">
      <c r="A287" s="26">
        <v>13</v>
      </c>
      <c r="B287" s="47"/>
      <c r="C287" s="63" t="s">
        <v>8197</v>
      </c>
      <c r="D287" s="63" t="e">
        <f ca="1"/>
        <v>#NAME?</v>
      </c>
      <c r="E287" s="63" t="e">
        <f ca="1"/>
        <v>#NAME?</v>
      </c>
      <c r="F287" s="63" t="e">
        <f ca="1"/>
        <v>#NAME?</v>
      </c>
      <c r="G287" s="63" t="e">
        <f ca="1"/>
        <v>#NAME?</v>
      </c>
      <c r="H287" s="81" t="e">
        <f ca="1"/>
        <v>#NAME?</v>
      </c>
      <c r="I287" s="51" t="e">
        <f ca="1"/>
        <v>#NAME?</v>
      </c>
      <c r="J287" s="51" t="e">
        <f ca="1"/>
        <v>#NAME?</v>
      </c>
      <c r="K287" s="47" t="e">
        <f ca="1"/>
        <v>#NAME?</v>
      </c>
      <c r="L287" s="47" t="e">
        <f ca="1"/>
        <v>#NAME?</v>
      </c>
      <c r="M287" s="47" t="e">
        <f ca="1"/>
        <v>#NAME?</v>
      </c>
      <c r="N287" s="47"/>
    </row>
    <row r="288" spans="1:14" ht="14.25" customHeight="1">
      <c r="A288" s="26">
        <v>14</v>
      </c>
      <c r="B288" s="78"/>
      <c r="C288" s="63" t="s">
        <v>8207</v>
      </c>
      <c r="D288" s="63" t="e">
        <f ca="1"/>
        <v>#NAME?</v>
      </c>
      <c r="E288" s="63" t="e">
        <f ca="1"/>
        <v>#NAME?</v>
      </c>
      <c r="F288" s="63" t="e">
        <f ca="1"/>
        <v>#NAME?</v>
      </c>
      <c r="G288" s="63" t="e">
        <f ca="1"/>
        <v>#NAME?</v>
      </c>
      <c r="H288" s="81" t="e">
        <f ca="1"/>
        <v>#NAME?</v>
      </c>
      <c r="I288" s="51" t="e">
        <f ca="1"/>
        <v>#NAME?</v>
      </c>
      <c r="J288" s="51" t="e">
        <f ca="1"/>
        <v>#NAME?</v>
      </c>
      <c r="K288" s="47" t="e">
        <f ca="1"/>
        <v>#NAME?</v>
      </c>
      <c r="L288" s="47" t="e">
        <f ca="1"/>
        <v>#NAME?</v>
      </c>
      <c r="M288" s="47" t="e">
        <f ca="1"/>
        <v>#NAME?</v>
      </c>
      <c r="N288" s="47"/>
    </row>
    <row r="289" spans="1:14" ht="14.25" customHeight="1">
      <c r="A289" s="26">
        <v>15</v>
      </c>
      <c r="B289" s="47"/>
      <c r="C289" s="63" t="s">
        <v>8217</v>
      </c>
      <c r="D289" s="86" t="e">
        <f ca="1"/>
        <v>#NAME?</v>
      </c>
      <c r="E289" s="63" t="e">
        <f ca="1"/>
        <v>#NAME?</v>
      </c>
      <c r="F289" s="63" t="e">
        <f ca="1"/>
        <v>#NAME?</v>
      </c>
      <c r="G289" s="63" t="e">
        <f ca="1"/>
        <v>#NAME?</v>
      </c>
      <c r="H289" s="81" t="e">
        <f ca="1"/>
        <v>#NAME?</v>
      </c>
      <c r="I289" s="51" t="e">
        <f ca="1"/>
        <v>#NAME?</v>
      </c>
      <c r="J289" s="51" t="e">
        <f ca="1"/>
        <v>#NAME?</v>
      </c>
      <c r="K289" s="47" t="e">
        <f ca="1"/>
        <v>#NAME?</v>
      </c>
      <c r="L289" s="47" t="e">
        <f ca="1"/>
        <v>#NAME?</v>
      </c>
      <c r="M289" s="47" t="e">
        <f ca="1"/>
        <v>#NAME?</v>
      </c>
      <c r="N289" s="47"/>
    </row>
    <row r="290" spans="1:14" ht="14.25" customHeight="1">
      <c r="A290" s="26">
        <v>16</v>
      </c>
      <c r="B290" s="47"/>
      <c r="C290" s="63" t="s">
        <v>8227</v>
      </c>
      <c r="D290" s="86" t="e">
        <f ca="1"/>
        <v>#NAME?</v>
      </c>
      <c r="E290" s="63" t="e">
        <f ca="1"/>
        <v>#NAME?</v>
      </c>
      <c r="F290" s="63" t="e">
        <f ca="1"/>
        <v>#NAME?</v>
      </c>
      <c r="G290" s="63" t="e">
        <f ca="1"/>
        <v>#NAME?</v>
      </c>
      <c r="H290" s="81" t="e">
        <f ca="1"/>
        <v>#NAME?</v>
      </c>
      <c r="I290" s="51" t="e">
        <f ca="1"/>
        <v>#NAME?</v>
      </c>
      <c r="J290" s="51" t="e">
        <f ca="1"/>
        <v>#NAME?</v>
      </c>
      <c r="K290" s="47" t="e">
        <f ca="1"/>
        <v>#NAME?</v>
      </c>
      <c r="L290" s="47" t="e">
        <f ca="1"/>
        <v>#NAME?</v>
      </c>
      <c r="M290" s="47" t="e">
        <f ca="1"/>
        <v>#NAME?</v>
      </c>
      <c r="N290" s="47"/>
    </row>
    <row r="291" spans="1:14" ht="15" customHeight="1">
      <c r="A291" s="26">
        <v>17</v>
      </c>
      <c r="B291" s="47"/>
      <c r="C291" s="63" t="s">
        <v>8237</v>
      </c>
      <c r="D291" s="86" t="e">
        <f ca="1"/>
        <v>#NAME?</v>
      </c>
      <c r="E291" s="63" t="e">
        <f ca="1"/>
        <v>#NAME?</v>
      </c>
      <c r="F291" s="63" t="e">
        <f ca="1"/>
        <v>#NAME?</v>
      </c>
      <c r="G291" s="63" t="e">
        <f ca="1"/>
        <v>#NAME?</v>
      </c>
      <c r="H291" s="81" t="e">
        <f ca="1"/>
        <v>#NAME?</v>
      </c>
      <c r="I291" s="51" t="e">
        <f ca="1"/>
        <v>#NAME?</v>
      </c>
      <c r="J291" s="86" t="e">
        <f ca="1"/>
        <v>#NAME?</v>
      </c>
      <c r="K291" s="47" t="e">
        <f ca="1"/>
        <v>#NAME?</v>
      </c>
      <c r="L291" s="47" t="e">
        <f ca="1"/>
        <v>#NAME?</v>
      </c>
      <c r="M291" s="47" t="e">
        <f ca="1"/>
        <v>#NAME?</v>
      </c>
      <c r="N291" s="47"/>
    </row>
    <row r="292" spans="1:14" ht="14.25" customHeight="1">
      <c r="A292" s="26">
        <v>18</v>
      </c>
      <c r="B292" s="78"/>
      <c r="C292" s="63" t="s">
        <v>8247</v>
      </c>
      <c r="D292" s="86" t="e">
        <f ca="1"/>
        <v>#NAME?</v>
      </c>
      <c r="E292" s="63" t="e">
        <f ca="1"/>
        <v>#NAME?</v>
      </c>
      <c r="F292" s="63" t="e">
        <f ca="1"/>
        <v>#NAME?</v>
      </c>
      <c r="G292" s="63" t="e">
        <f ca="1"/>
        <v>#NAME?</v>
      </c>
      <c r="H292" s="81" t="e">
        <f ca="1"/>
        <v>#NAME?</v>
      </c>
      <c r="I292" s="51" t="e">
        <f ca="1"/>
        <v>#NAME?</v>
      </c>
      <c r="J292" s="51" t="e">
        <f ca="1"/>
        <v>#NAME?</v>
      </c>
      <c r="K292" s="47" t="e">
        <f ca="1"/>
        <v>#NAME?</v>
      </c>
      <c r="L292" s="47" t="e">
        <f ca="1"/>
        <v>#NAME?</v>
      </c>
      <c r="M292" s="47" t="e">
        <f ca="1"/>
        <v>#NAME?</v>
      </c>
      <c r="N292" s="47"/>
    </row>
    <row r="293" spans="1:14" ht="14.25" customHeight="1">
      <c r="A293" s="26">
        <v>19</v>
      </c>
      <c r="B293" s="78"/>
      <c r="C293" s="63" t="s">
        <v>8254</v>
      </c>
      <c r="D293" s="86" t="e">
        <f ca="1"/>
        <v>#NAME?</v>
      </c>
      <c r="E293" s="63" t="e">
        <f ca="1"/>
        <v>#NAME?</v>
      </c>
      <c r="F293" s="63" t="e">
        <f ca="1"/>
        <v>#NAME?</v>
      </c>
      <c r="G293" s="63" t="e">
        <f ca="1"/>
        <v>#NAME?</v>
      </c>
      <c r="H293" s="81" t="e">
        <f ca="1"/>
        <v>#NAME?</v>
      </c>
      <c r="I293" s="51" t="e">
        <f ca="1"/>
        <v>#NAME?</v>
      </c>
      <c r="J293" s="51" t="e">
        <f ca="1"/>
        <v>#NAME?</v>
      </c>
      <c r="K293" s="47" t="e">
        <f ca="1"/>
        <v>#NAME?</v>
      </c>
      <c r="L293" s="47" t="e">
        <f ca="1"/>
        <v>#NAME?</v>
      </c>
      <c r="M293" s="47" t="e">
        <f ca="1"/>
        <v>#NAME?</v>
      </c>
      <c r="N293" s="47"/>
    </row>
    <row r="294" spans="1:14" ht="14.25" customHeight="1">
      <c r="A294" s="26">
        <v>20</v>
      </c>
      <c r="B294" s="78"/>
      <c r="C294" s="63" t="s">
        <v>8264</v>
      </c>
      <c r="D294" s="86" t="e">
        <f ca="1"/>
        <v>#NAME?</v>
      </c>
      <c r="E294" s="63" t="e">
        <f ca="1"/>
        <v>#NAME?</v>
      </c>
      <c r="F294" s="63" t="e">
        <f ca="1"/>
        <v>#NAME?</v>
      </c>
      <c r="G294" s="63" t="e">
        <f ca="1"/>
        <v>#NAME?</v>
      </c>
      <c r="H294" s="81" t="e">
        <f ca="1"/>
        <v>#NAME?</v>
      </c>
      <c r="I294" s="51" t="e">
        <f ca="1"/>
        <v>#NAME?</v>
      </c>
      <c r="J294" s="51" t="e">
        <f ca="1"/>
        <v>#NAME?</v>
      </c>
      <c r="K294" s="47" t="e">
        <f ca="1"/>
        <v>#NAME?</v>
      </c>
      <c r="L294" s="47" t="e">
        <f ca="1"/>
        <v>#NAME?</v>
      </c>
      <c r="M294" s="47" t="e">
        <f ca="1"/>
        <v>#NAME?</v>
      </c>
      <c r="N294" s="47"/>
    </row>
    <row r="295" spans="1:14" ht="14.25" customHeight="1">
      <c r="A295" s="26">
        <v>21</v>
      </c>
      <c r="B295" s="78"/>
      <c r="C295" s="63" t="s">
        <v>8273</v>
      </c>
      <c r="D295" s="86" t="e">
        <f ca="1"/>
        <v>#NAME?</v>
      </c>
      <c r="E295" s="63" t="e">
        <f ca="1"/>
        <v>#NAME?</v>
      </c>
      <c r="F295" s="63" t="e">
        <f ca="1"/>
        <v>#NAME?</v>
      </c>
      <c r="G295" s="63" t="e">
        <f ca="1"/>
        <v>#NAME?</v>
      </c>
      <c r="H295" s="81" t="e">
        <f ca="1"/>
        <v>#NAME?</v>
      </c>
      <c r="I295" s="51" t="e">
        <f ca="1"/>
        <v>#NAME?</v>
      </c>
      <c r="J295" s="51" t="e">
        <f ca="1"/>
        <v>#NAME?</v>
      </c>
      <c r="K295" s="47" t="e">
        <f ca="1"/>
        <v>#NAME?</v>
      </c>
      <c r="L295" s="47" t="e">
        <f ca="1"/>
        <v>#NAME?</v>
      </c>
      <c r="M295" s="47" t="e">
        <f ca="1"/>
        <v>#NAME?</v>
      </c>
      <c r="N295" s="47"/>
    </row>
    <row r="296" spans="1:14" ht="14.25" customHeight="1">
      <c r="A296" s="26">
        <v>22</v>
      </c>
      <c r="B296" s="47"/>
      <c r="C296" s="63" t="s">
        <v>8283</v>
      </c>
      <c r="D296" s="86" t="e">
        <f ca="1"/>
        <v>#NAME?</v>
      </c>
      <c r="E296" s="63" t="e">
        <f ca="1"/>
        <v>#NAME?</v>
      </c>
      <c r="F296" s="63" t="e">
        <f ca="1"/>
        <v>#NAME?</v>
      </c>
      <c r="G296" s="63" t="e">
        <f ca="1"/>
        <v>#NAME?</v>
      </c>
      <c r="H296" s="81" t="e">
        <f ca="1"/>
        <v>#NAME?</v>
      </c>
      <c r="I296" s="51" t="e">
        <f ca="1"/>
        <v>#NAME?</v>
      </c>
      <c r="J296" s="51" t="e">
        <f ca="1"/>
        <v>#NAME?</v>
      </c>
      <c r="K296" s="47" t="e">
        <f ca="1"/>
        <v>#NAME?</v>
      </c>
      <c r="L296" s="47" t="e">
        <f ca="1"/>
        <v>#NAME?</v>
      </c>
      <c r="M296" s="47" t="e">
        <f ca="1"/>
        <v>#NAME?</v>
      </c>
      <c r="N296" s="47"/>
    </row>
    <row r="297" spans="1:14" ht="14.25" customHeight="1">
      <c r="A297" s="26">
        <v>23</v>
      </c>
      <c r="B297" s="47"/>
      <c r="C297" s="63" t="s">
        <v>8293</v>
      </c>
      <c r="D297" s="86" t="e">
        <f ca="1"/>
        <v>#NAME?</v>
      </c>
      <c r="E297" s="63" t="e">
        <f ca="1"/>
        <v>#NAME?</v>
      </c>
      <c r="F297" s="63" t="e">
        <f ca="1"/>
        <v>#NAME?</v>
      </c>
      <c r="G297" s="63" t="e">
        <f ca="1"/>
        <v>#NAME?</v>
      </c>
      <c r="H297" s="81" t="e">
        <f ca="1"/>
        <v>#NAME?</v>
      </c>
      <c r="I297" s="51" t="e">
        <f ca="1"/>
        <v>#NAME?</v>
      </c>
      <c r="J297" s="63" t="e">
        <f ca="1"/>
        <v>#NAME?</v>
      </c>
      <c r="K297" s="47" t="e">
        <f ca="1"/>
        <v>#NAME?</v>
      </c>
      <c r="L297" s="47" t="e">
        <f ca="1"/>
        <v>#NAME?</v>
      </c>
      <c r="M297" s="47" t="e">
        <f ca="1"/>
        <v>#NAME?</v>
      </c>
      <c r="N297" s="47"/>
    </row>
    <row r="298" spans="1:14" ht="14.25" customHeight="1">
      <c r="A298" s="26">
        <v>24</v>
      </c>
      <c r="B298" s="47"/>
      <c r="C298" s="63" t="s">
        <v>8303</v>
      </c>
      <c r="D298" s="86" t="e">
        <f ca="1"/>
        <v>#NAME?</v>
      </c>
      <c r="E298" s="63" t="e">
        <f ca="1"/>
        <v>#NAME?</v>
      </c>
      <c r="F298" s="63" t="e">
        <f ca="1"/>
        <v>#NAME?</v>
      </c>
      <c r="G298" s="63" t="e">
        <f ca="1"/>
        <v>#NAME?</v>
      </c>
      <c r="H298" s="81" t="e">
        <f ca="1"/>
        <v>#NAME?</v>
      </c>
      <c r="I298" s="51" t="e">
        <f ca="1"/>
        <v>#NAME?</v>
      </c>
      <c r="J298" s="51" t="e">
        <f ca="1"/>
        <v>#NAME?</v>
      </c>
      <c r="K298" s="47" t="e">
        <f ca="1"/>
        <v>#NAME?</v>
      </c>
      <c r="L298" s="47" t="e">
        <f ca="1"/>
        <v>#NAME?</v>
      </c>
      <c r="M298" s="47" t="e">
        <f ca="1"/>
        <v>#NAME?</v>
      </c>
      <c r="N298" s="47"/>
    </row>
    <row r="299" spans="1:14" ht="14.25" customHeight="1">
      <c r="A299" s="26">
        <v>25</v>
      </c>
      <c r="B299" s="47"/>
      <c r="C299" s="63" t="s">
        <v>8313</v>
      </c>
      <c r="D299" s="86" t="e">
        <f ca="1"/>
        <v>#NAME?</v>
      </c>
      <c r="E299" s="63" t="e">
        <f ca="1"/>
        <v>#NAME?</v>
      </c>
      <c r="F299" s="63" t="e">
        <f ca="1"/>
        <v>#NAME?</v>
      </c>
      <c r="G299" s="63" t="e">
        <f ca="1"/>
        <v>#NAME?</v>
      </c>
      <c r="H299" s="81" t="e">
        <f ca="1"/>
        <v>#NAME?</v>
      </c>
      <c r="I299" s="51" t="e">
        <f ca="1"/>
        <v>#NAME?</v>
      </c>
      <c r="J299" s="51" t="e">
        <f ca="1"/>
        <v>#NAME?</v>
      </c>
      <c r="K299" s="47" t="e">
        <f ca="1"/>
        <v>#NAME?</v>
      </c>
      <c r="L299" s="47" t="e">
        <f ca="1"/>
        <v>#NAME?</v>
      </c>
      <c r="M299" s="47" t="e">
        <f ca="1"/>
        <v>#NAME?</v>
      </c>
      <c r="N299" s="47"/>
    </row>
    <row r="300" spans="1:14" ht="14.25" customHeight="1">
      <c r="A300" s="26">
        <v>26</v>
      </c>
      <c r="B300" s="47"/>
      <c r="C300" s="63" t="s">
        <v>8323</v>
      </c>
      <c r="D300" s="86" t="e">
        <f ca="1"/>
        <v>#NAME?</v>
      </c>
      <c r="E300" s="63" t="e">
        <f ca="1"/>
        <v>#NAME?</v>
      </c>
      <c r="F300" s="63" t="e">
        <f ca="1"/>
        <v>#NAME?</v>
      </c>
      <c r="G300" s="63" t="e">
        <f ca="1"/>
        <v>#NAME?</v>
      </c>
      <c r="H300" s="81" t="e">
        <f ca="1"/>
        <v>#NAME?</v>
      </c>
      <c r="I300" s="51" t="e">
        <f ca="1"/>
        <v>#NAME?</v>
      </c>
      <c r="J300" s="51" t="e">
        <f ca="1"/>
        <v>#NAME?</v>
      </c>
      <c r="K300" s="47" t="e">
        <f ca="1"/>
        <v>#NAME?</v>
      </c>
      <c r="L300" s="47" t="e">
        <f ca="1"/>
        <v>#NAME?</v>
      </c>
      <c r="M300" s="47" t="e">
        <f ca="1"/>
        <v>#NAME?</v>
      </c>
      <c r="N300" s="47"/>
    </row>
    <row r="301" spans="1:14" ht="14.25" customHeight="1">
      <c r="A301" s="26">
        <v>27</v>
      </c>
      <c r="B301" s="47"/>
      <c r="C301" s="63" t="s">
        <v>8333</v>
      </c>
      <c r="D301" s="86" t="e">
        <f ca="1"/>
        <v>#NAME?</v>
      </c>
      <c r="E301" s="63" t="e">
        <f ca="1"/>
        <v>#NAME?</v>
      </c>
      <c r="F301" s="63" t="e">
        <f ca="1"/>
        <v>#NAME?</v>
      </c>
      <c r="G301" s="63" t="e">
        <f ca="1"/>
        <v>#NAME?</v>
      </c>
      <c r="H301" s="81" t="e">
        <f ca="1"/>
        <v>#NAME?</v>
      </c>
      <c r="I301" s="51" t="e">
        <f ca="1"/>
        <v>#NAME?</v>
      </c>
      <c r="J301" s="51" t="e">
        <f ca="1"/>
        <v>#NAME?</v>
      </c>
      <c r="K301" s="47" t="e">
        <f ca="1"/>
        <v>#NAME?</v>
      </c>
      <c r="L301" s="47" t="e">
        <f ca="1"/>
        <v>#NAME?</v>
      </c>
      <c r="M301" s="47" t="e">
        <f ca="1"/>
        <v>#NAME?</v>
      </c>
      <c r="N301" s="47"/>
    </row>
    <row r="302" spans="1:14" ht="14.25" customHeight="1">
      <c r="A302" s="26">
        <v>28</v>
      </c>
      <c r="B302" s="78"/>
      <c r="C302" s="63" t="s">
        <v>8342</v>
      </c>
      <c r="D302" s="86" t="e">
        <f ca="1"/>
        <v>#NAME?</v>
      </c>
      <c r="E302" s="63" t="e">
        <f ca="1"/>
        <v>#NAME?</v>
      </c>
      <c r="F302" s="63" t="e">
        <f ca="1"/>
        <v>#NAME?</v>
      </c>
      <c r="G302" s="63" t="e">
        <f ca="1"/>
        <v>#NAME?</v>
      </c>
      <c r="H302" s="81" t="e">
        <f ca="1"/>
        <v>#NAME?</v>
      </c>
      <c r="I302" s="51" t="e">
        <f ca="1"/>
        <v>#NAME?</v>
      </c>
      <c r="J302" s="51" t="e">
        <f ca="1"/>
        <v>#NAME?</v>
      </c>
      <c r="K302" s="47" t="e">
        <f ca="1"/>
        <v>#NAME?</v>
      </c>
      <c r="L302" s="47" t="e">
        <f ca="1"/>
        <v>#NAME?</v>
      </c>
      <c r="M302" s="47" t="e">
        <f ca="1"/>
        <v>#NAME?</v>
      </c>
      <c r="N302" s="47"/>
    </row>
    <row r="303" spans="1:14" ht="14.25" customHeight="1">
      <c r="A303" s="19">
        <v>1</v>
      </c>
      <c r="B303" s="47"/>
      <c r="C303" s="90" t="s">
        <v>8352</v>
      </c>
      <c r="D303" s="90" t="e">
        <f ca="1"/>
        <v>#NAME?</v>
      </c>
      <c r="E303" s="90" t="e">
        <f ca="1"/>
        <v>#NAME?</v>
      </c>
      <c r="F303" s="90" t="e">
        <f ca="1"/>
        <v>#NAME?</v>
      </c>
      <c r="G303" s="90" t="e">
        <f ca="1"/>
        <v>#NAME?</v>
      </c>
      <c r="H303" s="142" t="e">
        <f ca="1"/>
        <v>#NAME?</v>
      </c>
      <c r="I303" s="92" t="e">
        <f ca="1"/>
        <v>#NAME?</v>
      </c>
      <c r="J303" s="92" t="e">
        <f ca="1"/>
        <v>#NAME?</v>
      </c>
      <c r="K303" s="88" t="e">
        <f ca="1"/>
        <v>#NAME?</v>
      </c>
      <c r="L303" s="88" t="e">
        <f ca="1"/>
        <v>#NAME?</v>
      </c>
      <c r="M303" s="88" t="e">
        <f ca="1"/>
        <v>#NAME?</v>
      </c>
      <c r="N303" s="88">
        <v>12</v>
      </c>
    </row>
    <row r="304" spans="1:14" ht="14.25" customHeight="1">
      <c r="A304" s="26">
        <v>2</v>
      </c>
      <c r="B304" s="78"/>
      <c r="C304" s="63" t="s">
        <v>8361</v>
      </c>
      <c r="D304" s="63" t="e">
        <f ca="1"/>
        <v>#NAME?</v>
      </c>
      <c r="E304" s="63" t="e">
        <f ca="1"/>
        <v>#NAME?</v>
      </c>
      <c r="F304" s="63" t="e">
        <f ca="1"/>
        <v>#NAME?</v>
      </c>
      <c r="G304" s="63" t="e">
        <f ca="1"/>
        <v>#NAME?</v>
      </c>
      <c r="H304" s="81" t="e">
        <f ca="1"/>
        <v>#NAME?</v>
      </c>
      <c r="I304" s="51" t="e">
        <f ca="1"/>
        <v>#NAME?</v>
      </c>
      <c r="J304" s="51" t="e">
        <f ca="1"/>
        <v>#NAME?</v>
      </c>
      <c r="K304" s="47" t="e">
        <f ca="1"/>
        <v>#NAME?</v>
      </c>
      <c r="L304" s="47" t="e">
        <f ca="1"/>
        <v>#NAME?</v>
      </c>
      <c r="M304" s="47" t="e">
        <f ca="1"/>
        <v>#NAME?</v>
      </c>
      <c r="N304" s="47"/>
    </row>
    <row r="305" spans="1:14" ht="14.25" customHeight="1">
      <c r="A305" s="26">
        <v>3</v>
      </c>
      <c r="B305" s="47"/>
      <c r="C305" s="63" t="s">
        <v>8372</v>
      </c>
      <c r="D305" s="63" t="e">
        <f ca="1"/>
        <v>#NAME?</v>
      </c>
      <c r="E305" s="63" t="e">
        <f ca="1"/>
        <v>#NAME?</v>
      </c>
      <c r="F305" s="63" t="e">
        <f ca="1"/>
        <v>#NAME?</v>
      </c>
      <c r="G305" s="63" t="e">
        <f ca="1"/>
        <v>#NAME?</v>
      </c>
      <c r="H305" s="81" t="e">
        <f ca="1"/>
        <v>#NAME?</v>
      </c>
      <c r="I305" s="51" t="e">
        <f ca="1"/>
        <v>#NAME?</v>
      </c>
      <c r="J305" s="51" t="e">
        <f ca="1"/>
        <v>#NAME?</v>
      </c>
      <c r="K305" s="47" t="e">
        <f ca="1"/>
        <v>#NAME?</v>
      </c>
      <c r="L305" s="47" t="e">
        <f ca="1"/>
        <v>#NAME?</v>
      </c>
      <c r="M305" s="47" t="e">
        <f ca="1"/>
        <v>#NAME?</v>
      </c>
      <c r="N305" s="47"/>
    </row>
    <row r="306" spans="1:14" ht="14.25" customHeight="1">
      <c r="A306" s="26">
        <v>4</v>
      </c>
      <c r="B306" s="47"/>
      <c r="C306" s="63" t="s">
        <v>8382</v>
      </c>
      <c r="D306" s="63" t="e">
        <f ca="1"/>
        <v>#NAME?</v>
      </c>
      <c r="E306" s="63" t="e">
        <f ca="1"/>
        <v>#NAME?</v>
      </c>
      <c r="F306" s="63" t="e">
        <f ca="1"/>
        <v>#NAME?</v>
      </c>
      <c r="G306" s="63" t="e">
        <f ca="1"/>
        <v>#NAME?</v>
      </c>
      <c r="H306" s="81" t="e">
        <f ca="1"/>
        <v>#NAME?</v>
      </c>
      <c r="I306" s="51" t="e">
        <f ca="1"/>
        <v>#NAME?</v>
      </c>
      <c r="J306" s="51" t="e">
        <f ca="1"/>
        <v>#NAME?</v>
      </c>
      <c r="K306" s="47" t="e">
        <f ca="1"/>
        <v>#NAME?</v>
      </c>
      <c r="L306" s="47" t="e">
        <f ca="1"/>
        <v>#NAME?</v>
      </c>
      <c r="M306" s="47" t="e">
        <f ca="1"/>
        <v>#NAME?</v>
      </c>
      <c r="N306" s="47"/>
    </row>
    <row r="307" spans="1:14" ht="14.25" customHeight="1">
      <c r="A307" s="26">
        <v>5</v>
      </c>
      <c r="B307" s="78"/>
      <c r="C307" s="63" t="s">
        <v>8392</v>
      </c>
      <c r="D307" s="63" t="e">
        <f ca="1"/>
        <v>#NAME?</v>
      </c>
      <c r="E307" s="63" t="e">
        <f ca="1"/>
        <v>#NAME?</v>
      </c>
      <c r="F307" s="63" t="e">
        <f ca="1"/>
        <v>#NAME?</v>
      </c>
      <c r="G307" s="63" t="e">
        <f ca="1"/>
        <v>#NAME?</v>
      </c>
      <c r="H307" s="81" t="e">
        <f ca="1"/>
        <v>#NAME?</v>
      </c>
      <c r="I307" s="51" t="e">
        <f ca="1"/>
        <v>#NAME?</v>
      </c>
      <c r="J307" s="51" t="e">
        <f ca="1"/>
        <v>#NAME?</v>
      </c>
      <c r="K307" s="47" t="e">
        <f ca="1"/>
        <v>#NAME?</v>
      </c>
      <c r="L307" s="47" t="e">
        <f ca="1"/>
        <v>#NAME?</v>
      </c>
      <c r="M307" s="47" t="e">
        <f ca="1"/>
        <v>#NAME?</v>
      </c>
      <c r="N307" s="47"/>
    </row>
    <row r="308" spans="1:14" ht="14.25" customHeight="1">
      <c r="A308" s="26">
        <v>6</v>
      </c>
      <c r="B308" s="78"/>
      <c r="C308" s="63" t="s">
        <v>8399</v>
      </c>
      <c r="D308" s="63" t="e">
        <f ca="1"/>
        <v>#NAME?</v>
      </c>
      <c r="E308" s="63" t="e">
        <f ca="1"/>
        <v>#NAME?</v>
      </c>
      <c r="F308" s="63" t="e">
        <f ca="1"/>
        <v>#NAME?</v>
      </c>
      <c r="G308" s="63" t="e">
        <f ca="1"/>
        <v>#NAME?</v>
      </c>
      <c r="H308" s="81" t="e">
        <f ca="1"/>
        <v>#NAME?</v>
      </c>
      <c r="I308" s="51" t="e">
        <f ca="1"/>
        <v>#NAME?</v>
      </c>
      <c r="J308" s="51" t="e">
        <f ca="1"/>
        <v>#NAME?</v>
      </c>
      <c r="K308" s="47" t="e">
        <f ca="1"/>
        <v>#NAME?</v>
      </c>
      <c r="L308" s="47" t="e">
        <f ca="1"/>
        <v>#NAME?</v>
      </c>
      <c r="M308" s="47" t="e">
        <f ca="1"/>
        <v>#NAME?</v>
      </c>
      <c r="N308" s="47"/>
    </row>
    <row r="309" spans="1:14" ht="14.25" customHeight="1">
      <c r="A309" s="26">
        <v>7</v>
      </c>
      <c r="B309" s="47"/>
      <c r="C309" s="63" t="s">
        <v>8406</v>
      </c>
      <c r="D309" s="63" t="e">
        <f ca="1"/>
        <v>#NAME?</v>
      </c>
      <c r="E309" s="63" t="e">
        <f ca="1"/>
        <v>#NAME?</v>
      </c>
      <c r="F309" s="63" t="e">
        <f ca="1"/>
        <v>#NAME?</v>
      </c>
      <c r="G309" s="63" t="e">
        <f ca="1"/>
        <v>#NAME?</v>
      </c>
      <c r="H309" s="81" t="e">
        <f ca="1"/>
        <v>#NAME?</v>
      </c>
      <c r="I309" s="51" t="e">
        <f ca="1"/>
        <v>#NAME?</v>
      </c>
      <c r="J309" s="51" t="e">
        <f ca="1"/>
        <v>#NAME?</v>
      </c>
      <c r="K309" s="47" t="e">
        <f ca="1"/>
        <v>#NAME?</v>
      </c>
      <c r="L309" s="47" t="e">
        <f ca="1"/>
        <v>#NAME?</v>
      </c>
      <c r="M309" s="47" t="e">
        <f ca="1"/>
        <v>#NAME?</v>
      </c>
      <c r="N309" s="47"/>
    </row>
    <row r="310" spans="1:14" ht="14.25" customHeight="1">
      <c r="A310" s="26">
        <v>8</v>
      </c>
      <c r="B310" s="78"/>
      <c r="C310" s="63" t="s">
        <v>8416</v>
      </c>
      <c r="D310" s="63" t="e">
        <f ca="1"/>
        <v>#NAME?</v>
      </c>
      <c r="E310" s="63" t="e">
        <f ca="1"/>
        <v>#NAME?</v>
      </c>
      <c r="F310" s="63" t="e">
        <f ca="1"/>
        <v>#NAME?</v>
      </c>
      <c r="G310" s="63" t="e">
        <f ca="1"/>
        <v>#NAME?</v>
      </c>
      <c r="H310" s="81" t="e">
        <f ca="1"/>
        <v>#NAME?</v>
      </c>
      <c r="I310" s="51" t="e">
        <f ca="1"/>
        <v>#NAME?</v>
      </c>
      <c r="J310" s="51" t="e">
        <f ca="1"/>
        <v>#NAME?</v>
      </c>
      <c r="K310" s="47" t="e">
        <f ca="1"/>
        <v>#NAME?</v>
      </c>
      <c r="L310" s="47" t="e">
        <f ca="1"/>
        <v>#NAME?</v>
      </c>
      <c r="M310" s="47" t="e">
        <f ca="1"/>
        <v>#NAME?</v>
      </c>
      <c r="N310" s="47"/>
    </row>
    <row r="311" spans="1:14" ht="14.25" customHeight="1">
      <c r="A311" s="26">
        <v>9</v>
      </c>
      <c r="B311" s="78"/>
      <c r="C311" s="63" t="s">
        <v>8426</v>
      </c>
      <c r="D311" s="63" t="e">
        <f ca="1"/>
        <v>#NAME?</v>
      </c>
      <c r="E311" s="63" t="e">
        <f ca="1"/>
        <v>#NAME?</v>
      </c>
      <c r="F311" s="63" t="e">
        <f ca="1"/>
        <v>#NAME?</v>
      </c>
      <c r="G311" s="63" t="e">
        <f ca="1"/>
        <v>#NAME?</v>
      </c>
      <c r="H311" s="81" t="e">
        <f ca="1"/>
        <v>#NAME?</v>
      </c>
      <c r="I311" s="51" t="e">
        <f ca="1"/>
        <v>#NAME?</v>
      </c>
      <c r="J311" s="51" t="e">
        <f ca="1"/>
        <v>#NAME?</v>
      </c>
      <c r="K311" s="47" t="e">
        <f ca="1"/>
        <v>#NAME?</v>
      </c>
      <c r="L311" s="47" t="e">
        <f ca="1"/>
        <v>#NAME?</v>
      </c>
      <c r="M311" s="47" t="e">
        <f ca="1"/>
        <v>#NAME?</v>
      </c>
      <c r="N311" s="47"/>
    </row>
    <row r="312" spans="1:14" ht="14.25" customHeight="1">
      <c r="A312" s="26">
        <v>10</v>
      </c>
      <c r="B312" s="47"/>
      <c r="C312" s="63" t="s">
        <v>8435</v>
      </c>
      <c r="D312" s="63" t="e">
        <f ca="1"/>
        <v>#NAME?</v>
      </c>
      <c r="E312" s="63" t="e">
        <f ca="1"/>
        <v>#NAME?</v>
      </c>
      <c r="F312" s="63" t="e">
        <f ca="1"/>
        <v>#NAME?</v>
      </c>
      <c r="G312" s="63" t="e">
        <f ca="1"/>
        <v>#NAME?</v>
      </c>
      <c r="H312" s="81" t="e">
        <f ca="1"/>
        <v>#NAME?</v>
      </c>
      <c r="I312" s="51" t="e">
        <f ca="1"/>
        <v>#NAME?</v>
      </c>
      <c r="J312" s="51" t="e">
        <f ca="1"/>
        <v>#NAME?</v>
      </c>
      <c r="K312" s="47" t="e">
        <f ca="1"/>
        <v>#NAME?</v>
      </c>
      <c r="L312" s="47" t="e">
        <f ca="1"/>
        <v>#NAME?</v>
      </c>
      <c r="M312" s="47" t="e">
        <f ca="1"/>
        <v>#NAME?</v>
      </c>
      <c r="N312" s="47"/>
    </row>
    <row r="313" spans="1:14" ht="15.75" customHeight="1">
      <c r="A313" s="26">
        <v>11</v>
      </c>
      <c r="B313" s="47"/>
      <c r="C313" s="63" t="s">
        <v>8445</v>
      </c>
      <c r="D313" s="63" t="e">
        <f ca="1"/>
        <v>#NAME?</v>
      </c>
      <c r="E313" s="63" t="e">
        <f ca="1"/>
        <v>#NAME?</v>
      </c>
      <c r="F313" s="63" t="e">
        <f ca="1"/>
        <v>#NAME?</v>
      </c>
      <c r="G313" s="63" t="e">
        <f ca="1"/>
        <v>#NAME?</v>
      </c>
      <c r="H313" s="81" t="e">
        <f ca="1"/>
        <v>#NAME?</v>
      </c>
      <c r="I313" s="51" t="e">
        <f ca="1"/>
        <v>#NAME?</v>
      </c>
      <c r="J313" s="51" t="e">
        <f ca="1"/>
        <v>#NAME?</v>
      </c>
      <c r="K313" s="47" t="e">
        <f ca="1"/>
        <v>#NAME?</v>
      </c>
      <c r="L313" s="47" t="e">
        <f ca="1"/>
        <v>#NAME?</v>
      </c>
      <c r="M313" s="47" t="e">
        <f ca="1"/>
        <v>#NAME?</v>
      </c>
      <c r="N313" s="47"/>
    </row>
    <row r="314" spans="1:14" ht="14.25" customHeight="1">
      <c r="A314" s="26">
        <v>12</v>
      </c>
      <c r="B314" s="47"/>
      <c r="C314" s="63" t="s">
        <v>8455</v>
      </c>
      <c r="D314" s="63" t="e">
        <f ca="1"/>
        <v>#NAME?</v>
      </c>
      <c r="E314" s="63" t="e">
        <f ca="1"/>
        <v>#NAME?</v>
      </c>
      <c r="F314" s="63" t="e">
        <f ca="1"/>
        <v>#NAME?</v>
      </c>
      <c r="G314" s="63" t="e">
        <f ca="1"/>
        <v>#NAME?</v>
      </c>
      <c r="H314" s="81" t="e">
        <f ca="1"/>
        <v>#NAME?</v>
      </c>
      <c r="I314" s="51" t="e">
        <f ca="1"/>
        <v>#NAME?</v>
      </c>
      <c r="J314" s="51" t="e">
        <f ca="1"/>
        <v>#NAME?</v>
      </c>
      <c r="K314" s="47" t="e">
        <f ca="1"/>
        <v>#NAME?</v>
      </c>
      <c r="L314" s="47" t="e">
        <f ca="1"/>
        <v>#NAME?</v>
      </c>
      <c r="M314" s="47" t="e">
        <f ca="1"/>
        <v>#NAME?</v>
      </c>
      <c r="N314" s="47"/>
    </row>
    <row r="315" spans="1:14" ht="14.25" customHeight="1">
      <c r="A315" s="26">
        <v>13</v>
      </c>
      <c r="B315" s="47"/>
      <c r="C315" s="63" t="s">
        <v>7849</v>
      </c>
      <c r="D315" s="63" t="e">
        <f ca="1"/>
        <v>#NAME?</v>
      </c>
      <c r="E315" s="63" t="e">
        <f ca="1"/>
        <v>#NAME?</v>
      </c>
      <c r="F315" s="63" t="e">
        <f ca="1"/>
        <v>#NAME?</v>
      </c>
      <c r="G315" s="63" t="e">
        <f ca="1"/>
        <v>#NAME?</v>
      </c>
      <c r="H315" s="81" t="e">
        <f ca="1"/>
        <v>#NAME?</v>
      </c>
      <c r="I315" s="51" t="e">
        <f ca="1"/>
        <v>#NAME?</v>
      </c>
      <c r="J315" s="51" t="e">
        <f ca="1"/>
        <v>#NAME?</v>
      </c>
      <c r="K315" s="47" t="e">
        <f ca="1"/>
        <v>#NAME?</v>
      </c>
      <c r="L315" s="47" t="e">
        <f ca="1"/>
        <v>#NAME?</v>
      </c>
      <c r="M315" s="47" t="e">
        <f ca="1"/>
        <v>#NAME?</v>
      </c>
      <c r="N315" s="47"/>
    </row>
    <row r="316" spans="1:14" ht="14.25" customHeight="1">
      <c r="A316" s="26">
        <v>14</v>
      </c>
      <c r="B316" s="78"/>
      <c r="C316" s="63" t="s">
        <v>8470</v>
      </c>
      <c r="D316" s="63" t="e">
        <f ca="1"/>
        <v>#NAME?</v>
      </c>
      <c r="E316" s="63" t="e">
        <f ca="1"/>
        <v>#NAME?</v>
      </c>
      <c r="F316" s="63" t="e">
        <f ca="1"/>
        <v>#NAME?</v>
      </c>
      <c r="G316" s="63" t="e">
        <f ca="1"/>
        <v>#NAME?</v>
      </c>
      <c r="H316" s="81" t="e">
        <f ca="1"/>
        <v>#NAME?</v>
      </c>
      <c r="I316" s="51" t="e">
        <f ca="1"/>
        <v>#NAME?</v>
      </c>
      <c r="J316" s="51" t="e">
        <f ca="1"/>
        <v>#NAME?</v>
      </c>
      <c r="K316" s="47" t="e">
        <f ca="1"/>
        <v>#NAME?</v>
      </c>
      <c r="L316" s="47" t="e">
        <f ca="1"/>
        <v>#NAME?</v>
      </c>
      <c r="M316" s="47" t="e">
        <f ca="1"/>
        <v>#NAME?</v>
      </c>
      <c r="N316" s="47"/>
    </row>
    <row r="317" spans="1:14" ht="14.25" customHeight="1">
      <c r="A317" s="26">
        <v>15</v>
      </c>
      <c r="B317" s="47"/>
      <c r="C317" s="63" t="s">
        <v>8480</v>
      </c>
      <c r="D317" s="63" t="e">
        <f ca="1"/>
        <v>#NAME?</v>
      </c>
      <c r="E317" s="63" t="e">
        <f ca="1"/>
        <v>#NAME?</v>
      </c>
      <c r="F317" s="63" t="e">
        <f ca="1"/>
        <v>#NAME?</v>
      </c>
      <c r="G317" s="63" t="e">
        <f ca="1"/>
        <v>#NAME?</v>
      </c>
      <c r="H317" s="81" t="e">
        <f ca="1"/>
        <v>#NAME?</v>
      </c>
      <c r="I317" s="51" t="e">
        <f ca="1"/>
        <v>#NAME?</v>
      </c>
      <c r="J317" s="51" t="e">
        <f ca="1"/>
        <v>#NAME?</v>
      </c>
      <c r="K317" s="47" t="e">
        <f ca="1"/>
        <v>#NAME?</v>
      </c>
      <c r="L317" s="47" t="e">
        <f ca="1"/>
        <v>#NAME?</v>
      </c>
      <c r="M317" s="47" t="e">
        <f ca="1"/>
        <v>#NAME?</v>
      </c>
      <c r="N317" s="47"/>
    </row>
    <row r="318" spans="1:14" ht="14.25" customHeight="1">
      <c r="A318" s="26">
        <v>16</v>
      </c>
      <c r="B318" s="47"/>
      <c r="C318" s="63" t="s">
        <v>8489</v>
      </c>
      <c r="D318" s="63" t="e">
        <f ca="1"/>
        <v>#NAME?</v>
      </c>
      <c r="E318" s="63" t="e">
        <f ca="1"/>
        <v>#NAME?</v>
      </c>
      <c r="F318" s="63" t="e">
        <f ca="1"/>
        <v>#NAME?</v>
      </c>
      <c r="G318" s="63" t="e">
        <f ca="1"/>
        <v>#NAME?</v>
      </c>
      <c r="H318" s="81" t="e">
        <f ca="1"/>
        <v>#NAME?</v>
      </c>
      <c r="I318" s="51" t="e">
        <f ca="1"/>
        <v>#NAME?</v>
      </c>
      <c r="J318" s="51" t="e">
        <f ca="1"/>
        <v>#NAME?</v>
      </c>
      <c r="K318" s="47" t="e">
        <f ca="1"/>
        <v>#NAME?</v>
      </c>
      <c r="L318" s="47" t="e">
        <f ca="1"/>
        <v>#NAME?</v>
      </c>
      <c r="M318" s="47" t="e">
        <f ca="1"/>
        <v>#NAME?</v>
      </c>
      <c r="N318" s="47"/>
    </row>
    <row r="319" spans="1:14" ht="14.25" customHeight="1">
      <c r="A319" s="26">
        <v>17</v>
      </c>
      <c r="B319" s="47"/>
      <c r="C319" s="63" t="s">
        <v>8499</v>
      </c>
      <c r="D319" s="63" t="e">
        <f ca="1"/>
        <v>#NAME?</v>
      </c>
      <c r="E319" s="63" t="e">
        <f ca="1"/>
        <v>#NAME?</v>
      </c>
      <c r="F319" s="63" t="e">
        <f ca="1"/>
        <v>#NAME?</v>
      </c>
      <c r="G319" s="63" t="e">
        <f ca="1"/>
        <v>#NAME?</v>
      </c>
      <c r="H319" s="81" t="e">
        <f ca="1"/>
        <v>#NAME?</v>
      </c>
      <c r="I319" s="51" t="e">
        <f ca="1"/>
        <v>#NAME?</v>
      </c>
      <c r="J319" s="51" t="e">
        <f ca="1"/>
        <v>#NAME?</v>
      </c>
      <c r="K319" s="47" t="e">
        <f ca="1"/>
        <v>#NAME?</v>
      </c>
      <c r="L319" s="47" t="e">
        <f ca="1"/>
        <v>#NAME?</v>
      </c>
      <c r="M319" s="47" t="e">
        <f ca="1"/>
        <v>#NAME?</v>
      </c>
      <c r="N319" s="47"/>
    </row>
    <row r="320" spans="1:14" ht="14.25" customHeight="1">
      <c r="A320" s="26">
        <v>18</v>
      </c>
      <c r="B320" s="78"/>
      <c r="C320" s="63" t="s">
        <v>8509</v>
      </c>
      <c r="D320" s="63" t="e">
        <f ca="1"/>
        <v>#NAME?</v>
      </c>
      <c r="E320" s="63" t="e">
        <f ca="1"/>
        <v>#NAME?</v>
      </c>
      <c r="F320" s="63" t="e">
        <f ca="1"/>
        <v>#NAME?</v>
      </c>
      <c r="G320" s="63" t="e">
        <f ca="1"/>
        <v>#NAME?</v>
      </c>
      <c r="H320" s="81" t="e">
        <f ca="1"/>
        <v>#NAME?</v>
      </c>
      <c r="I320" s="51" t="e">
        <f ca="1"/>
        <v>#NAME?</v>
      </c>
      <c r="J320" s="51" t="e">
        <f ca="1"/>
        <v>#NAME?</v>
      </c>
      <c r="K320" s="47" t="e">
        <f ca="1"/>
        <v>#NAME?</v>
      </c>
      <c r="L320" s="47" t="e">
        <f ca="1"/>
        <v>#NAME?</v>
      </c>
      <c r="M320" s="47" t="e">
        <f ca="1"/>
        <v>#NAME?</v>
      </c>
      <c r="N320" s="47"/>
    </row>
    <row r="321" spans="1:14" ht="14.25" customHeight="1">
      <c r="A321" s="26">
        <v>19</v>
      </c>
      <c r="B321" s="78"/>
      <c r="C321" s="63" t="s">
        <v>8519</v>
      </c>
      <c r="D321" s="63" t="e">
        <f ca="1"/>
        <v>#NAME?</v>
      </c>
      <c r="E321" s="63" t="e">
        <f ca="1"/>
        <v>#NAME?</v>
      </c>
      <c r="F321" s="63" t="e">
        <f ca="1"/>
        <v>#NAME?</v>
      </c>
      <c r="G321" s="63" t="e">
        <f ca="1"/>
        <v>#NAME?</v>
      </c>
      <c r="H321" s="81" t="e">
        <f ca="1"/>
        <v>#NAME?</v>
      </c>
      <c r="I321" s="51" t="e">
        <f ca="1"/>
        <v>#NAME?</v>
      </c>
      <c r="J321" s="51" t="e">
        <f ca="1"/>
        <v>#NAME?</v>
      </c>
      <c r="K321" s="47" t="e">
        <f ca="1"/>
        <v>#NAME?</v>
      </c>
      <c r="L321" s="47" t="e">
        <f ca="1"/>
        <v>#NAME?</v>
      </c>
      <c r="M321" s="47" t="e">
        <f ca="1"/>
        <v>#NAME?</v>
      </c>
      <c r="N321" s="47"/>
    </row>
    <row r="322" spans="1:14" ht="14.25" customHeight="1">
      <c r="A322" s="26">
        <v>20</v>
      </c>
      <c r="B322" s="78"/>
      <c r="C322" s="63" t="s">
        <v>8528</v>
      </c>
      <c r="D322" s="63" t="e">
        <f ca="1"/>
        <v>#NAME?</v>
      </c>
      <c r="E322" s="63" t="e">
        <f ca="1"/>
        <v>#NAME?</v>
      </c>
      <c r="F322" s="63" t="e">
        <f ca="1"/>
        <v>#NAME?</v>
      </c>
      <c r="G322" s="63" t="e">
        <f ca="1"/>
        <v>#NAME?</v>
      </c>
      <c r="H322" s="81" t="e">
        <f ca="1"/>
        <v>#NAME?</v>
      </c>
      <c r="I322" s="51" t="e">
        <f ca="1"/>
        <v>#NAME?</v>
      </c>
      <c r="J322" s="51" t="e">
        <f ca="1"/>
        <v>#NAME?</v>
      </c>
      <c r="K322" s="47" t="e">
        <f ca="1"/>
        <v>#NAME?</v>
      </c>
      <c r="L322" s="47" t="e">
        <f ca="1"/>
        <v>#NAME?</v>
      </c>
      <c r="M322" s="47" t="e">
        <f ca="1"/>
        <v>#NAME?</v>
      </c>
      <c r="N322" s="47"/>
    </row>
    <row r="323" spans="1:14" ht="14.25" customHeight="1">
      <c r="A323" s="26">
        <v>21</v>
      </c>
      <c r="B323" s="78"/>
      <c r="C323" s="63" t="s">
        <v>8538</v>
      </c>
      <c r="D323" s="63" t="e">
        <f ca="1"/>
        <v>#NAME?</v>
      </c>
      <c r="E323" s="63" t="e">
        <f ca="1"/>
        <v>#NAME?</v>
      </c>
      <c r="F323" s="63" t="e">
        <f ca="1"/>
        <v>#NAME?</v>
      </c>
      <c r="G323" s="63" t="e">
        <f ca="1"/>
        <v>#NAME?</v>
      </c>
      <c r="H323" s="81" t="e">
        <f ca="1"/>
        <v>#NAME?</v>
      </c>
      <c r="I323" s="51" t="e">
        <f ca="1"/>
        <v>#NAME?</v>
      </c>
      <c r="J323" s="51" t="e">
        <f ca="1"/>
        <v>#NAME?</v>
      </c>
      <c r="K323" s="47" t="e">
        <f ca="1"/>
        <v>#NAME?</v>
      </c>
      <c r="L323" s="47" t="e">
        <f ca="1"/>
        <v>#NAME?</v>
      </c>
      <c r="M323" s="47" t="e">
        <f ca="1"/>
        <v>#NAME?</v>
      </c>
      <c r="N323" s="47"/>
    </row>
    <row r="324" spans="1:14" ht="14.25" customHeight="1">
      <c r="A324" s="26">
        <v>22</v>
      </c>
      <c r="B324" s="78"/>
      <c r="C324" s="63" t="s">
        <v>8548</v>
      </c>
      <c r="D324" s="63" t="e">
        <f ca="1"/>
        <v>#NAME?</v>
      </c>
      <c r="E324" s="63" t="e">
        <f ca="1"/>
        <v>#NAME?</v>
      </c>
      <c r="F324" s="63" t="e">
        <f ca="1"/>
        <v>#NAME?</v>
      </c>
      <c r="G324" s="63" t="e">
        <f ca="1"/>
        <v>#NAME?</v>
      </c>
      <c r="H324" s="81" t="e">
        <f ca="1"/>
        <v>#NAME?</v>
      </c>
      <c r="I324" s="51" t="e">
        <f ca="1"/>
        <v>#NAME?</v>
      </c>
      <c r="J324" s="51" t="e">
        <f ca="1"/>
        <v>#NAME?</v>
      </c>
      <c r="K324" s="47" t="e">
        <f ca="1"/>
        <v>#NAME?</v>
      </c>
      <c r="L324" s="47" t="e">
        <f ca="1"/>
        <v>#NAME?</v>
      </c>
      <c r="M324" s="47" t="e">
        <f ca="1"/>
        <v>#NAME?</v>
      </c>
      <c r="N324" s="47"/>
    </row>
    <row r="325" spans="1:14" ht="14.25" customHeight="1">
      <c r="A325" s="26">
        <v>23</v>
      </c>
      <c r="B325" s="78"/>
      <c r="C325" s="63" t="s">
        <v>8558</v>
      </c>
      <c r="D325" s="63" t="e">
        <f ca="1"/>
        <v>#NAME?</v>
      </c>
      <c r="E325" s="63" t="e">
        <f ca="1"/>
        <v>#NAME?</v>
      </c>
      <c r="F325" s="63" t="e">
        <f ca="1"/>
        <v>#NAME?</v>
      </c>
      <c r="G325" s="63" t="e">
        <f ca="1"/>
        <v>#NAME?</v>
      </c>
      <c r="H325" s="81" t="e">
        <f ca="1"/>
        <v>#NAME?</v>
      </c>
      <c r="I325" s="51" t="e">
        <f ca="1"/>
        <v>#NAME?</v>
      </c>
      <c r="J325" s="51" t="e">
        <f ca="1"/>
        <v>#NAME?</v>
      </c>
      <c r="K325" s="47" t="e">
        <f ca="1"/>
        <v>#NAME?</v>
      </c>
      <c r="L325" s="47" t="e">
        <f ca="1"/>
        <v>#NAME?</v>
      </c>
      <c r="M325" s="47" t="e">
        <f ca="1"/>
        <v>#NAME?</v>
      </c>
      <c r="N325" s="47"/>
    </row>
    <row r="326" spans="1:14" ht="14.25" customHeight="1">
      <c r="A326" s="26">
        <v>24</v>
      </c>
      <c r="B326" s="47"/>
      <c r="C326" s="63" t="s">
        <v>8568</v>
      </c>
      <c r="D326" s="63" t="e">
        <f ca="1"/>
        <v>#NAME?</v>
      </c>
      <c r="E326" s="63" t="e">
        <f ca="1"/>
        <v>#NAME?</v>
      </c>
      <c r="F326" s="63" t="e">
        <f ca="1"/>
        <v>#NAME?</v>
      </c>
      <c r="G326" s="63" t="e">
        <f ca="1"/>
        <v>#NAME?</v>
      </c>
      <c r="H326" s="81" t="e">
        <f ca="1"/>
        <v>#NAME?</v>
      </c>
      <c r="I326" s="51" t="e">
        <f ca="1"/>
        <v>#NAME?</v>
      </c>
      <c r="J326" s="51" t="e">
        <f ca="1"/>
        <v>#NAME?</v>
      </c>
      <c r="K326" s="47" t="e">
        <f ca="1"/>
        <v>#NAME?</v>
      </c>
      <c r="L326" s="47" t="e">
        <f ca="1"/>
        <v>#NAME?</v>
      </c>
      <c r="M326" s="47" t="e">
        <f ca="1"/>
        <v>#NAME?</v>
      </c>
      <c r="N326" s="47"/>
    </row>
    <row r="327" spans="1:14" ht="14.25" customHeight="1">
      <c r="A327" s="26">
        <v>25</v>
      </c>
      <c r="B327" s="78"/>
      <c r="C327" s="63" t="s">
        <v>8578</v>
      </c>
      <c r="D327" s="63" t="e">
        <f ca="1"/>
        <v>#NAME?</v>
      </c>
      <c r="E327" s="63" t="e">
        <f ca="1"/>
        <v>#NAME?</v>
      </c>
      <c r="F327" s="63" t="e">
        <f ca="1"/>
        <v>#NAME?</v>
      </c>
      <c r="G327" s="63" t="e">
        <f ca="1"/>
        <v>#NAME?</v>
      </c>
      <c r="H327" s="81" t="e">
        <f ca="1"/>
        <v>#NAME?</v>
      </c>
      <c r="I327" s="51" t="e">
        <f ca="1"/>
        <v>#NAME?</v>
      </c>
      <c r="J327" s="51" t="e">
        <f ca="1"/>
        <v>#NAME?</v>
      </c>
      <c r="K327" s="47" t="e">
        <f ca="1"/>
        <v>#NAME?</v>
      </c>
      <c r="L327" s="47" t="e">
        <f ca="1"/>
        <v>#NAME?</v>
      </c>
      <c r="M327" s="47" t="e">
        <f ca="1"/>
        <v>#NAME?</v>
      </c>
      <c r="N327" s="47"/>
    </row>
    <row r="328" spans="1:14" ht="14.25" customHeight="1">
      <c r="A328" s="26">
        <v>26</v>
      </c>
      <c r="B328" s="47"/>
      <c r="C328" s="63" t="s">
        <v>8588</v>
      </c>
      <c r="D328" s="63" t="e">
        <f ca="1"/>
        <v>#NAME?</v>
      </c>
      <c r="E328" s="63" t="e">
        <f ca="1"/>
        <v>#NAME?</v>
      </c>
      <c r="F328" s="63" t="e">
        <f ca="1"/>
        <v>#NAME?</v>
      </c>
      <c r="G328" s="63" t="e">
        <f ca="1"/>
        <v>#NAME?</v>
      </c>
      <c r="H328" s="81" t="e">
        <f ca="1"/>
        <v>#NAME?</v>
      </c>
      <c r="I328" s="51" t="e">
        <f ca="1"/>
        <v>#NAME?</v>
      </c>
      <c r="J328" s="51" t="e">
        <f ca="1"/>
        <v>#NAME?</v>
      </c>
      <c r="K328" s="47" t="e">
        <f ca="1"/>
        <v>#NAME?</v>
      </c>
      <c r="L328" s="47" t="e">
        <f ca="1"/>
        <v>#NAME?</v>
      </c>
      <c r="M328" s="47" t="e">
        <f ca="1"/>
        <v>#NAME?</v>
      </c>
      <c r="N328" s="47"/>
    </row>
    <row r="329" spans="1:14" ht="14.25" customHeight="1">
      <c r="A329" s="26">
        <v>27</v>
      </c>
      <c r="B329" s="78"/>
      <c r="C329" s="63" t="s">
        <v>8598</v>
      </c>
      <c r="D329" s="63" t="e">
        <f ca="1"/>
        <v>#NAME?</v>
      </c>
      <c r="E329" s="63" t="e">
        <f ca="1"/>
        <v>#NAME?</v>
      </c>
      <c r="F329" s="63" t="e">
        <f ca="1"/>
        <v>#NAME?</v>
      </c>
      <c r="G329" s="63" t="e">
        <f ca="1"/>
        <v>#NAME?</v>
      </c>
      <c r="H329" s="81" t="e">
        <f ca="1"/>
        <v>#NAME?</v>
      </c>
      <c r="I329" s="51" t="e">
        <f ca="1"/>
        <v>#NAME?</v>
      </c>
      <c r="J329" s="51" t="e">
        <f ca="1"/>
        <v>#NAME?</v>
      </c>
      <c r="K329" s="47" t="e">
        <f ca="1"/>
        <v>#NAME?</v>
      </c>
      <c r="L329" s="47" t="e">
        <f ca="1"/>
        <v>#NAME?</v>
      </c>
      <c r="M329" s="47" t="e">
        <f ca="1"/>
        <v>#NAME?</v>
      </c>
      <c r="N329" s="47"/>
    </row>
    <row r="330" spans="1:14" ht="14.25" customHeight="1">
      <c r="A330" s="19">
        <v>1</v>
      </c>
      <c r="B330" s="78"/>
      <c r="C330" s="90" t="s">
        <v>8607</v>
      </c>
      <c r="D330" s="90" t="e">
        <f ca="1"/>
        <v>#NAME?</v>
      </c>
      <c r="E330" s="90" t="e">
        <f ca="1"/>
        <v>#NAME?</v>
      </c>
      <c r="F330" s="90" t="e">
        <f ca="1"/>
        <v>#NAME?</v>
      </c>
      <c r="G330" s="90" t="e">
        <f ca="1"/>
        <v>#NAME?</v>
      </c>
      <c r="H330" s="142" t="e">
        <f ca="1"/>
        <v>#NAME?</v>
      </c>
      <c r="I330" s="92" t="e">
        <f ca="1"/>
        <v>#NAME?</v>
      </c>
      <c r="J330" s="92" t="e">
        <f ca="1"/>
        <v>#NAME?</v>
      </c>
      <c r="K330" s="88" t="e">
        <f ca="1"/>
        <v>#NAME?</v>
      </c>
      <c r="L330" s="88" t="e">
        <f ca="1"/>
        <v>#NAME?</v>
      </c>
      <c r="M330" s="88" t="e">
        <f ca="1"/>
        <v>#NAME?</v>
      </c>
      <c r="N330" s="88">
        <v>13</v>
      </c>
    </row>
    <row r="331" spans="1:14" ht="14.25" customHeight="1">
      <c r="A331" s="26">
        <v>2</v>
      </c>
      <c r="B331" s="78"/>
      <c r="C331" s="63" t="s">
        <v>8617</v>
      </c>
      <c r="D331" s="63" t="e">
        <f ca="1"/>
        <v>#NAME?</v>
      </c>
      <c r="E331" s="63" t="e">
        <f ca="1"/>
        <v>#NAME?</v>
      </c>
      <c r="F331" s="63" t="e">
        <f ca="1"/>
        <v>#NAME?</v>
      </c>
      <c r="G331" s="63" t="e">
        <f ca="1"/>
        <v>#NAME?</v>
      </c>
      <c r="H331" s="81" t="e">
        <f ca="1"/>
        <v>#NAME?</v>
      </c>
      <c r="I331" s="51" t="e">
        <f ca="1"/>
        <v>#NAME?</v>
      </c>
      <c r="J331" s="51" t="e">
        <f ca="1"/>
        <v>#NAME?</v>
      </c>
      <c r="K331" s="47" t="e">
        <f ca="1"/>
        <v>#NAME?</v>
      </c>
      <c r="L331" s="47" t="e">
        <f ca="1"/>
        <v>#NAME?</v>
      </c>
      <c r="M331" s="47" t="e">
        <f ca="1"/>
        <v>#NAME?</v>
      </c>
      <c r="N331" s="47"/>
    </row>
    <row r="332" spans="1:14" ht="14.25" customHeight="1">
      <c r="A332" s="26">
        <v>3</v>
      </c>
      <c r="B332" s="78"/>
      <c r="C332" s="63" t="s">
        <v>8626</v>
      </c>
      <c r="D332" s="63" t="e">
        <f ca="1"/>
        <v>#NAME?</v>
      </c>
      <c r="E332" s="63" t="e">
        <f ca="1"/>
        <v>#NAME?</v>
      </c>
      <c r="F332" s="63" t="e">
        <f ca="1"/>
        <v>#NAME?</v>
      </c>
      <c r="G332" s="63" t="e">
        <f ca="1"/>
        <v>#NAME?</v>
      </c>
      <c r="H332" s="81" t="e">
        <f ca="1"/>
        <v>#NAME?</v>
      </c>
      <c r="I332" s="51" t="e">
        <f ca="1"/>
        <v>#NAME?</v>
      </c>
      <c r="J332" s="51" t="e">
        <f ca="1"/>
        <v>#NAME?</v>
      </c>
      <c r="K332" s="47" t="e">
        <f ca="1"/>
        <v>#NAME?</v>
      </c>
      <c r="L332" s="47" t="e">
        <f ca="1"/>
        <v>#NAME?</v>
      </c>
      <c r="M332" s="47" t="e">
        <f ca="1"/>
        <v>#NAME?</v>
      </c>
      <c r="N332" s="47"/>
    </row>
    <row r="333" spans="1:14" ht="14.25" customHeight="1">
      <c r="A333" s="26">
        <v>4</v>
      </c>
      <c r="B333" s="78"/>
      <c r="C333" s="63" t="s">
        <v>8634</v>
      </c>
      <c r="D333" s="63" t="e">
        <f ca="1"/>
        <v>#NAME?</v>
      </c>
      <c r="E333" s="63" t="e">
        <f ca="1"/>
        <v>#NAME?</v>
      </c>
      <c r="F333" s="63" t="e">
        <f ca="1"/>
        <v>#NAME?</v>
      </c>
      <c r="G333" s="63" t="e">
        <f ca="1"/>
        <v>#NAME?</v>
      </c>
      <c r="H333" s="81" t="e">
        <f ca="1"/>
        <v>#NAME?</v>
      </c>
      <c r="I333" s="51" t="e">
        <f ca="1"/>
        <v>#NAME?</v>
      </c>
      <c r="J333" s="51" t="e">
        <f ca="1"/>
        <v>#NAME?</v>
      </c>
      <c r="K333" s="47" t="e">
        <f ca="1"/>
        <v>#NAME?</v>
      </c>
      <c r="L333" s="47" t="e">
        <f ca="1"/>
        <v>#NAME?</v>
      </c>
      <c r="M333" s="47" t="e">
        <f ca="1"/>
        <v>#NAME?</v>
      </c>
      <c r="N333" s="47"/>
    </row>
    <row r="334" spans="1:14" ht="14.25" customHeight="1">
      <c r="A334" s="26">
        <v>5</v>
      </c>
      <c r="B334" s="47"/>
      <c r="C334" s="63" t="s">
        <v>8641</v>
      </c>
      <c r="D334" s="63" t="e">
        <f ca="1"/>
        <v>#NAME?</v>
      </c>
      <c r="E334" s="63" t="e">
        <f ca="1"/>
        <v>#NAME?</v>
      </c>
      <c r="F334" s="63" t="e">
        <f ca="1"/>
        <v>#NAME?</v>
      </c>
      <c r="G334" s="63" t="e">
        <f ca="1"/>
        <v>#NAME?</v>
      </c>
      <c r="H334" s="81" t="e">
        <f ca="1"/>
        <v>#NAME?</v>
      </c>
      <c r="I334" s="51" t="e">
        <f ca="1"/>
        <v>#NAME?</v>
      </c>
      <c r="J334" s="51" t="e">
        <f ca="1"/>
        <v>#NAME?</v>
      </c>
      <c r="K334" s="47" t="e">
        <f ca="1"/>
        <v>#NAME?</v>
      </c>
      <c r="L334" s="47" t="e">
        <f ca="1"/>
        <v>#NAME?</v>
      </c>
      <c r="M334" s="47" t="e">
        <f ca="1"/>
        <v>#NAME?</v>
      </c>
      <c r="N334" s="47"/>
    </row>
    <row r="335" spans="1:14" ht="14.25" customHeight="1">
      <c r="A335" s="26">
        <v>6</v>
      </c>
      <c r="B335" s="47"/>
      <c r="C335" s="63" t="s">
        <v>8651</v>
      </c>
      <c r="D335" s="63" t="e">
        <f ca="1"/>
        <v>#NAME?</v>
      </c>
      <c r="E335" s="63" t="e">
        <f ca="1"/>
        <v>#NAME?</v>
      </c>
      <c r="F335" s="63" t="e">
        <f ca="1"/>
        <v>#NAME?</v>
      </c>
      <c r="G335" s="63" t="e">
        <f ca="1"/>
        <v>#NAME?</v>
      </c>
      <c r="H335" s="81" t="e">
        <f ca="1"/>
        <v>#NAME?</v>
      </c>
      <c r="I335" s="51" t="e">
        <f ca="1"/>
        <v>#NAME?</v>
      </c>
      <c r="J335" s="51" t="e">
        <f ca="1"/>
        <v>#NAME?</v>
      </c>
      <c r="K335" s="47" t="e">
        <f ca="1"/>
        <v>#NAME?</v>
      </c>
      <c r="L335" s="47" t="e">
        <f ca="1"/>
        <v>#NAME?</v>
      </c>
      <c r="M335" s="47" t="e">
        <f ca="1"/>
        <v>#NAME?</v>
      </c>
      <c r="N335" s="47"/>
    </row>
    <row r="336" spans="1:14" ht="14.25" customHeight="1">
      <c r="A336" s="26">
        <v>7</v>
      </c>
      <c r="B336" s="78"/>
      <c r="C336" s="63" t="s">
        <v>8661</v>
      </c>
      <c r="D336" s="63" t="e">
        <f ca="1"/>
        <v>#NAME?</v>
      </c>
      <c r="E336" s="63" t="e">
        <f ca="1"/>
        <v>#NAME?</v>
      </c>
      <c r="F336" s="63" t="e">
        <f ca="1"/>
        <v>#NAME?</v>
      </c>
      <c r="G336" s="63" t="e">
        <f ca="1"/>
        <v>#NAME?</v>
      </c>
      <c r="H336" s="81" t="e">
        <f ca="1"/>
        <v>#NAME?</v>
      </c>
      <c r="I336" s="51" t="e">
        <f ca="1"/>
        <v>#NAME?</v>
      </c>
      <c r="J336" s="51" t="e">
        <f ca="1"/>
        <v>#NAME?</v>
      </c>
      <c r="K336" s="47" t="e">
        <f ca="1"/>
        <v>#NAME?</v>
      </c>
      <c r="L336" s="47" t="e">
        <f ca="1"/>
        <v>#NAME?</v>
      </c>
      <c r="M336" s="47" t="e">
        <f ca="1"/>
        <v>#NAME?</v>
      </c>
      <c r="N336" s="47"/>
    </row>
    <row r="337" spans="1:14" ht="14.25" customHeight="1">
      <c r="A337" s="26">
        <v>8</v>
      </c>
      <c r="B337" s="47"/>
      <c r="C337" s="63" t="s">
        <v>8669</v>
      </c>
      <c r="D337" s="63" t="e">
        <f ca="1"/>
        <v>#NAME?</v>
      </c>
      <c r="E337" s="63" t="e">
        <f ca="1"/>
        <v>#NAME?</v>
      </c>
      <c r="F337" s="63" t="e">
        <f ca="1"/>
        <v>#NAME?</v>
      </c>
      <c r="G337" s="63" t="e">
        <f ca="1"/>
        <v>#NAME?</v>
      </c>
      <c r="H337" s="81" t="e">
        <f ca="1"/>
        <v>#NAME?</v>
      </c>
      <c r="I337" s="51" t="e">
        <f ca="1"/>
        <v>#NAME?</v>
      </c>
      <c r="J337" s="51" t="e">
        <f ca="1"/>
        <v>#NAME?</v>
      </c>
      <c r="K337" s="47" t="e">
        <f ca="1"/>
        <v>#NAME?</v>
      </c>
      <c r="L337" s="47" t="e">
        <f ca="1"/>
        <v>#NAME?</v>
      </c>
      <c r="M337" s="47" t="e">
        <f ca="1"/>
        <v>#NAME?</v>
      </c>
      <c r="N337" s="47"/>
    </row>
    <row r="338" spans="1:14" ht="14.25" customHeight="1">
      <c r="A338" s="26">
        <v>9</v>
      </c>
      <c r="B338" s="47"/>
      <c r="C338" s="63" t="s">
        <v>8679</v>
      </c>
      <c r="D338" s="63" t="e">
        <f ca="1"/>
        <v>#NAME?</v>
      </c>
      <c r="E338" s="63" t="e">
        <f ca="1"/>
        <v>#NAME?</v>
      </c>
      <c r="F338" s="63" t="e">
        <f ca="1"/>
        <v>#NAME?</v>
      </c>
      <c r="G338" s="63" t="e">
        <f ca="1"/>
        <v>#NAME?</v>
      </c>
      <c r="H338" s="81" t="e">
        <f ca="1"/>
        <v>#NAME?</v>
      </c>
      <c r="I338" s="51" t="e">
        <f ca="1"/>
        <v>#NAME?</v>
      </c>
      <c r="J338" s="51" t="e">
        <f ca="1"/>
        <v>#NAME?</v>
      </c>
      <c r="K338" s="47" t="e">
        <f ca="1"/>
        <v>#NAME?</v>
      </c>
      <c r="L338" s="47" t="e">
        <f ca="1"/>
        <v>#NAME?</v>
      </c>
      <c r="M338" s="47" t="e">
        <f ca="1"/>
        <v>#NAME?</v>
      </c>
      <c r="N338" s="47"/>
    </row>
    <row r="339" spans="1:14" ht="14.25" customHeight="1">
      <c r="A339" s="26">
        <v>10</v>
      </c>
      <c r="B339" s="47"/>
      <c r="C339" s="63" t="s">
        <v>8689</v>
      </c>
      <c r="D339" s="63" t="e">
        <f ca="1"/>
        <v>#NAME?</v>
      </c>
      <c r="E339" s="63" t="e">
        <f ca="1"/>
        <v>#NAME?</v>
      </c>
      <c r="F339" s="63" t="e">
        <f ca="1"/>
        <v>#NAME?</v>
      </c>
      <c r="G339" s="63" t="e">
        <f ca="1"/>
        <v>#NAME?</v>
      </c>
      <c r="H339" s="81" t="e">
        <f ca="1"/>
        <v>#NAME?</v>
      </c>
      <c r="I339" s="51" t="e">
        <f ca="1"/>
        <v>#NAME?</v>
      </c>
      <c r="J339" s="51" t="e">
        <f ca="1"/>
        <v>#NAME?</v>
      </c>
      <c r="K339" s="47" t="e">
        <f ca="1"/>
        <v>#NAME?</v>
      </c>
      <c r="L339" s="47" t="e">
        <f ca="1"/>
        <v>#NAME?</v>
      </c>
      <c r="M339" s="47" t="e">
        <f ca="1"/>
        <v>#NAME?</v>
      </c>
      <c r="N339" s="47"/>
    </row>
    <row r="340" spans="1:14" ht="14.25" customHeight="1">
      <c r="A340" s="26">
        <v>11</v>
      </c>
      <c r="B340" s="78"/>
      <c r="C340" s="63" t="s">
        <v>8699</v>
      </c>
      <c r="D340" s="63" t="e">
        <f ca="1"/>
        <v>#NAME?</v>
      </c>
      <c r="E340" s="63" t="e">
        <f ca="1"/>
        <v>#NAME?</v>
      </c>
      <c r="F340" s="63" t="e">
        <f ca="1"/>
        <v>#NAME?</v>
      </c>
      <c r="G340" s="63" t="e">
        <f ca="1"/>
        <v>#NAME?</v>
      </c>
      <c r="H340" s="81" t="e">
        <f ca="1"/>
        <v>#NAME?</v>
      </c>
      <c r="I340" s="51" t="e">
        <f ca="1"/>
        <v>#NAME?</v>
      </c>
      <c r="J340" s="51" t="e">
        <f ca="1"/>
        <v>#NAME?</v>
      </c>
      <c r="K340" s="47" t="e">
        <f ca="1"/>
        <v>#NAME?</v>
      </c>
      <c r="L340" s="47" t="e">
        <f ca="1"/>
        <v>#NAME?</v>
      </c>
      <c r="M340" s="47" t="e">
        <f ca="1"/>
        <v>#NAME?</v>
      </c>
      <c r="N340" s="47"/>
    </row>
    <row r="341" spans="1:14" ht="14.25" customHeight="1">
      <c r="A341" s="26">
        <v>12</v>
      </c>
      <c r="B341" s="47"/>
      <c r="C341" s="63" t="s">
        <v>8708</v>
      </c>
      <c r="D341" s="63" t="e">
        <f ca="1"/>
        <v>#NAME?</v>
      </c>
      <c r="E341" s="63" t="e">
        <f ca="1"/>
        <v>#NAME?</v>
      </c>
      <c r="F341" s="63" t="e">
        <f ca="1"/>
        <v>#NAME?</v>
      </c>
      <c r="G341" s="63" t="e">
        <f ca="1"/>
        <v>#NAME?</v>
      </c>
      <c r="H341" s="81" t="e">
        <f ca="1"/>
        <v>#NAME?</v>
      </c>
      <c r="I341" s="51" t="e">
        <f ca="1"/>
        <v>#NAME?</v>
      </c>
      <c r="J341" s="51" t="e">
        <f ca="1"/>
        <v>#NAME?</v>
      </c>
      <c r="K341" s="47" t="e">
        <f ca="1"/>
        <v>#NAME?</v>
      </c>
      <c r="L341" s="47" t="e">
        <f ca="1"/>
        <v>#NAME?</v>
      </c>
      <c r="M341" s="47" t="e">
        <f ca="1"/>
        <v>#NAME?</v>
      </c>
      <c r="N341" s="47"/>
    </row>
    <row r="342" spans="1:14" ht="14.25" customHeight="1">
      <c r="A342" s="26">
        <v>13</v>
      </c>
      <c r="B342" s="78"/>
      <c r="C342" s="63" t="s">
        <v>8718</v>
      </c>
      <c r="D342" s="63" t="e">
        <f ca="1"/>
        <v>#NAME?</v>
      </c>
      <c r="E342" s="63" t="e">
        <f ca="1"/>
        <v>#NAME?</v>
      </c>
      <c r="F342" s="63" t="e">
        <f ca="1"/>
        <v>#NAME?</v>
      </c>
      <c r="G342" s="63" t="e">
        <f ca="1"/>
        <v>#NAME?</v>
      </c>
      <c r="H342" s="81" t="e">
        <f ca="1"/>
        <v>#NAME?</v>
      </c>
      <c r="I342" s="51" t="e">
        <f ca="1"/>
        <v>#NAME?</v>
      </c>
      <c r="J342" s="51" t="e">
        <f ca="1"/>
        <v>#NAME?</v>
      </c>
      <c r="K342" s="47" t="e">
        <f ca="1"/>
        <v>#NAME?</v>
      </c>
      <c r="L342" s="47" t="e">
        <f ca="1"/>
        <v>#NAME?</v>
      </c>
      <c r="M342" s="47" t="e">
        <f ca="1"/>
        <v>#NAME?</v>
      </c>
      <c r="N342" s="47"/>
    </row>
    <row r="343" spans="1:14" ht="14.25" customHeight="1">
      <c r="A343" s="26">
        <v>14</v>
      </c>
      <c r="B343" s="78"/>
      <c r="C343" s="63" t="s">
        <v>8728</v>
      </c>
      <c r="D343" s="63" t="e">
        <f ca="1"/>
        <v>#NAME?</v>
      </c>
      <c r="E343" s="63" t="e">
        <f ca="1"/>
        <v>#NAME?</v>
      </c>
      <c r="F343" s="63" t="e">
        <f ca="1"/>
        <v>#NAME?</v>
      </c>
      <c r="G343" s="63" t="e">
        <f ca="1"/>
        <v>#NAME?</v>
      </c>
      <c r="H343" s="81" t="e">
        <f ca="1"/>
        <v>#NAME?</v>
      </c>
      <c r="I343" s="51" t="e">
        <f ca="1"/>
        <v>#NAME?</v>
      </c>
      <c r="J343" s="51" t="e">
        <f ca="1"/>
        <v>#NAME?</v>
      </c>
      <c r="K343" s="47" t="e">
        <f ca="1"/>
        <v>#NAME?</v>
      </c>
      <c r="L343" s="47" t="e">
        <f ca="1"/>
        <v>#NAME?</v>
      </c>
      <c r="M343" s="47" t="e">
        <f ca="1"/>
        <v>#NAME?</v>
      </c>
      <c r="N343" s="47"/>
    </row>
    <row r="344" spans="1:14" ht="14.25" customHeight="1">
      <c r="A344" s="26">
        <v>15</v>
      </c>
      <c r="B344" s="47"/>
      <c r="C344" s="63" t="s">
        <v>3851</v>
      </c>
      <c r="D344" s="63" t="e">
        <f ca="1"/>
        <v>#NAME?</v>
      </c>
      <c r="E344" s="63" t="e">
        <f ca="1"/>
        <v>#NAME?</v>
      </c>
      <c r="F344" s="63" t="e">
        <f ca="1"/>
        <v>#NAME?</v>
      </c>
      <c r="G344" s="63" t="e">
        <f ca="1"/>
        <v>#NAME?</v>
      </c>
      <c r="H344" s="81" t="e">
        <f ca="1"/>
        <v>#NAME?</v>
      </c>
      <c r="I344" s="51" t="e">
        <f ca="1"/>
        <v>#NAME?</v>
      </c>
      <c r="J344" s="51" t="e">
        <f ca="1"/>
        <v>#NAME?</v>
      </c>
      <c r="K344" s="47" t="e">
        <f ca="1"/>
        <v>#NAME?</v>
      </c>
      <c r="L344" s="47" t="e">
        <f ca="1"/>
        <v>#NAME?</v>
      </c>
      <c r="M344" s="47" t="e">
        <f ca="1"/>
        <v>#NAME?</v>
      </c>
      <c r="N344" s="47"/>
    </row>
    <row r="345" spans="1:14" ht="14.25" customHeight="1">
      <c r="A345" s="26">
        <v>16</v>
      </c>
      <c r="B345" s="78"/>
      <c r="C345" s="63" t="s">
        <v>8740</v>
      </c>
      <c r="D345" s="63" t="e">
        <f ca="1"/>
        <v>#NAME?</v>
      </c>
      <c r="E345" s="63" t="e">
        <f ca="1"/>
        <v>#NAME?</v>
      </c>
      <c r="F345" s="63" t="e">
        <f ca="1"/>
        <v>#NAME?</v>
      </c>
      <c r="G345" s="63" t="e">
        <f ca="1"/>
        <v>#NAME?</v>
      </c>
      <c r="H345" s="81" t="e">
        <f ca="1"/>
        <v>#NAME?</v>
      </c>
      <c r="I345" s="51" t="e">
        <f ca="1"/>
        <v>#NAME?</v>
      </c>
      <c r="J345" s="51" t="e">
        <f ca="1"/>
        <v>#NAME?</v>
      </c>
      <c r="K345" s="47" t="e">
        <f ca="1"/>
        <v>#NAME?</v>
      </c>
      <c r="L345" s="47" t="e">
        <f ca="1"/>
        <v>#NAME?</v>
      </c>
      <c r="M345" s="47" t="e">
        <f ca="1"/>
        <v>#NAME?</v>
      </c>
      <c r="N345" s="47"/>
    </row>
    <row r="346" spans="1:14" ht="14.25" customHeight="1">
      <c r="A346" s="26">
        <v>17</v>
      </c>
      <c r="B346" s="47"/>
      <c r="C346" s="63" t="s">
        <v>8750</v>
      </c>
      <c r="D346" s="63" t="e">
        <f ca="1"/>
        <v>#NAME?</v>
      </c>
      <c r="E346" s="63" t="e">
        <f ca="1"/>
        <v>#NAME?</v>
      </c>
      <c r="F346" s="63" t="e">
        <f ca="1"/>
        <v>#NAME?</v>
      </c>
      <c r="G346" s="63" t="e">
        <f ca="1"/>
        <v>#NAME?</v>
      </c>
      <c r="H346" s="81" t="e">
        <f ca="1"/>
        <v>#NAME?</v>
      </c>
      <c r="I346" s="51" t="e">
        <f ca="1"/>
        <v>#NAME?</v>
      </c>
      <c r="J346" s="51" t="e">
        <f ca="1"/>
        <v>#NAME?</v>
      </c>
      <c r="K346" s="47" t="e">
        <f ca="1"/>
        <v>#NAME?</v>
      </c>
      <c r="L346" s="47" t="e">
        <f ca="1"/>
        <v>#NAME?</v>
      </c>
      <c r="M346" s="47" t="e">
        <f ca="1"/>
        <v>#NAME?</v>
      </c>
      <c r="N346" s="47"/>
    </row>
    <row r="347" spans="1:14" ht="14.25" customHeight="1">
      <c r="A347" s="26">
        <v>18</v>
      </c>
      <c r="B347" s="47"/>
      <c r="C347" s="63" t="s">
        <v>8760</v>
      </c>
      <c r="D347" s="63" t="e">
        <f ca="1"/>
        <v>#NAME?</v>
      </c>
      <c r="E347" s="63" t="e">
        <f ca="1"/>
        <v>#NAME?</v>
      </c>
      <c r="F347" s="63" t="e">
        <f ca="1"/>
        <v>#NAME?</v>
      </c>
      <c r="G347" s="63" t="e">
        <f ca="1"/>
        <v>#NAME?</v>
      </c>
      <c r="H347" s="81" t="e">
        <f ca="1"/>
        <v>#NAME?</v>
      </c>
      <c r="I347" s="51" t="e">
        <f ca="1"/>
        <v>#NAME?</v>
      </c>
      <c r="J347" s="51" t="e">
        <f ca="1"/>
        <v>#NAME?</v>
      </c>
      <c r="K347" s="47" t="e">
        <f ca="1"/>
        <v>#NAME?</v>
      </c>
      <c r="L347" s="47" t="e">
        <f ca="1"/>
        <v>#NAME?</v>
      </c>
      <c r="M347" s="47" t="e">
        <f ca="1"/>
        <v>#NAME?</v>
      </c>
      <c r="N347" s="47"/>
    </row>
    <row r="348" spans="1:14" ht="14.25" customHeight="1">
      <c r="A348" s="26">
        <v>19</v>
      </c>
      <c r="B348" s="78"/>
      <c r="C348" s="63" t="s">
        <v>8770</v>
      </c>
      <c r="D348" s="63" t="e">
        <f ca="1"/>
        <v>#NAME?</v>
      </c>
      <c r="E348" s="63" t="e">
        <f ca="1"/>
        <v>#NAME?</v>
      </c>
      <c r="F348" s="63" t="e">
        <f ca="1"/>
        <v>#NAME?</v>
      </c>
      <c r="G348" s="63" t="e">
        <f ca="1"/>
        <v>#NAME?</v>
      </c>
      <c r="H348" s="81" t="e">
        <f ca="1"/>
        <v>#NAME?</v>
      </c>
      <c r="I348" s="51" t="e">
        <f ca="1"/>
        <v>#NAME?</v>
      </c>
      <c r="J348" s="51" t="e">
        <f ca="1"/>
        <v>#NAME?</v>
      </c>
      <c r="K348" s="47" t="e">
        <f ca="1"/>
        <v>#NAME?</v>
      </c>
      <c r="L348" s="47" t="e">
        <f ca="1"/>
        <v>#NAME?</v>
      </c>
      <c r="M348" s="47" t="e">
        <f ca="1"/>
        <v>#NAME?</v>
      </c>
      <c r="N348" s="47"/>
    </row>
    <row r="349" spans="1:14" ht="14.25" customHeight="1">
      <c r="A349" s="26">
        <v>20</v>
      </c>
      <c r="B349" s="47"/>
      <c r="C349" s="63" t="s">
        <v>8780</v>
      </c>
      <c r="D349" s="63" t="e">
        <f ca="1"/>
        <v>#NAME?</v>
      </c>
      <c r="E349" s="63" t="e">
        <f ca="1"/>
        <v>#NAME?</v>
      </c>
      <c r="F349" s="63" t="e">
        <f ca="1"/>
        <v>#NAME?</v>
      </c>
      <c r="G349" s="63" t="e">
        <f ca="1"/>
        <v>#NAME?</v>
      </c>
      <c r="H349" s="81" t="e">
        <f ca="1"/>
        <v>#NAME?</v>
      </c>
      <c r="I349" s="51" t="e">
        <f ca="1"/>
        <v>#NAME?</v>
      </c>
      <c r="J349" s="51" t="e">
        <f ca="1"/>
        <v>#NAME?</v>
      </c>
      <c r="K349" s="47" t="e">
        <f ca="1"/>
        <v>#NAME?</v>
      </c>
      <c r="L349" s="47" t="e">
        <f ca="1"/>
        <v>#NAME?</v>
      </c>
      <c r="M349" s="47" t="e">
        <f ca="1"/>
        <v>#NAME?</v>
      </c>
      <c r="N349" s="47"/>
    </row>
    <row r="350" spans="1:14" ht="14.25" customHeight="1">
      <c r="A350" s="26">
        <v>21</v>
      </c>
      <c r="B350" s="78"/>
      <c r="C350" s="63" t="s">
        <v>8790</v>
      </c>
      <c r="D350" s="63" t="e">
        <f ca="1"/>
        <v>#NAME?</v>
      </c>
      <c r="E350" s="63" t="e">
        <f ca="1"/>
        <v>#NAME?</v>
      </c>
      <c r="F350" s="63" t="e">
        <f ca="1"/>
        <v>#NAME?</v>
      </c>
      <c r="G350" s="63" t="e">
        <f ca="1"/>
        <v>#NAME?</v>
      </c>
      <c r="H350" s="81" t="e">
        <f ca="1"/>
        <v>#NAME?</v>
      </c>
      <c r="I350" s="51" t="e">
        <f ca="1"/>
        <v>#NAME?</v>
      </c>
      <c r="J350" s="51" t="e">
        <f ca="1"/>
        <v>#NAME?</v>
      </c>
      <c r="K350" s="47" t="e">
        <f ca="1"/>
        <v>#NAME?</v>
      </c>
      <c r="L350" s="47" t="e">
        <f ca="1"/>
        <v>#NAME?</v>
      </c>
      <c r="M350" s="47" t="e">
        <f ca="1"/>
        <v>#NAME?</v>
      </c>
      <c r="N350" s="47"/>
    </row>
    <row r="351" spans="1:14" ht="14.25" customHeight="1">
      <c r="A351" s="26">
        <v>22</v>
      </c>
      <c r="B351" s="78"/>
      <c r="C351" s="63" t="s">
        <v>8800</v>
      </c>
      <c r="D351" s="63" t="e">
        <f ca="1"/>
        <v>#NAME?</v>
      </c>
      <c r="E351" s="63" t="e">
        <f ca="1"/>
        <v>#NAME?</v>
      </c>
      <c r="F351" s="63" t="e">
        <f ca="1"/>
        <v>#NAME?</v>
      </c>
      <c r="G351" s="63" t="e">
        <f ca="1"/>
        <v>#NAME?</v>
      </c>
      <c r="H351" s="81" t="e">
        <f ca="1"/>
        <v>#NAME?</v>
      </c>
      <c r="I351" s="51" t="e">
        <f ca="1"/>
        <v>#NAME?</v>
      </c>
      <c r="J351" s="51" t="e">
        <f ca="1"/>
        <v>#NAME?</v>
      </c>
      <c r="K351" s="47" t="e">
        <f ca="1"/>
        <v>#NAME?</v>
      </c>
      <c r="L351" s="47" t="e">
        <f ca="1"/>
        <v>#NAME?</v>
      </c>
      <c r="M351" s="47" t="e">
        <f ca="1"/>
        <v>#NAME?</v>
      </c>
      <c r="N351" s="47"/>
    </row>
    <row r="352" spans="1:14" ht="14.25" customHeight="1">
      <c r="A352" s="26">
        <v>23</v>
      </c>
      <c r="B352" s="47"/>
      <c r="C352" s="63" t="s">
        <v>8810</v>
      </c>
      <c r="D352" s="63" t="e">
        <f ca="1"/>
        <v>#NAME?</v>
      </c>
      <c r="E352" s="63" t="e">
        <f ca="1"/>
        <v>#NAME?</v>
      </c>
      <c r="F352" s="63" t="e">
        <f ca="1"/>
        <v>#NAME?</v>
      </c>
      <c r="G352" s="63" t="e">
        <f ca="1"/>
        <v>#NAME?</v>
      </c>
      <c r="H352" s="81" t="e">
        <f ca="1"/>
        <v>#NAME?</v>
      </c>
      <c r="I352" s="51" t="e">
        <f ca="1"/>
        <v>#NAME?</v>
      </c>
      <c r="J352" s="51" t="e">
        <f ca="1"/>
        <v>#NAME?</v>
      </c>
      <c r="K352" s="47" t="e">
        <f ca="1"/>
        <v>#NAME?</v>
      </c>
      <c r="L352" s="47" t="e">
        <f ca="1"/>
        <v>#NAME?</v>
      </c>
      <c r="M352" s="47" t="e">
        <f ca="1"/>
        <v>#NAME?</v>
      </c>
      <c r="N352" s="47"/>
    </row>
    <row r="353" spans="1:14" ht="14.25" customHeight="1">
      <c r="A353" s="26">
        <v>24</v>
      </c>
      <c r="B353" s="47"/>
      <c r="C353" s="63" t="s">
        <v>1188</v>
      </c>
      <c r="D353" s="63" t="e">
        <f ca="1"/>
        <v>#NAME?</v>
      </c>
      <c r="E353" s="63" t="e">
        <f ca="1"/>
        <v>#NAME?</v>
      </c>
      <c r="F353" s="63" t="e">
        <f ca="1"/>
        <v>#NAME?</v>
      </c>
      <c r="G353" s="63" t="e">
        <f ca="1"/>
        <v>#NAME?</v>
      </c>
      <c r="H353" s="81" t="e">
        <f ca="1"/>
        <v>#NAME?</v>
      </c>
      <c r="I353" s="51" t="e">
        <f ca="1"/>
        <v>#NAME?</v>
      </c>
      <c r="J353" s="51" t="e">
        <f ca="1"/>
        <v>#NAME?</v>
      </c>
      <c r="K353" s="47" t="e">
        <f ca="1"/>
        <v>#NAME?</v>
      </c>
      <c r="L353" s="47" t="e">
        <f ca="1"/>
        <v>#NAME?</v>
      </c>
      <c r="M353" s="47" t="e">
        <f ca="1"/>
        <v>#NAME?</v>
      </c>
      <c r="N353" s="47"/>
    </row>
    <row r="354" spans="1:14" ht="14.25" customHeight="1">
      <c r="A354" s="26">
        <v>25</v>
      </c>
      <c r="B354" s="47"/>
      <c r="C354" s="63" t="s">
        <v>8824</v>
      </c>
      <c r="D354" s="63" t="e">
        <f ca="1"/>
        <v>#NAME?</v>
      </c>
      <c r="E354" s="63" t="e">
        <f ca="1"/>
        <v>#NAME?</v>
      </c>
      <c r="F354" s="63" t="e">
        <f ca="1"/>
        <v>#NAME?</v>
      </c>
      <c r="G354" s="63" t="e">
        <f ca="1"/>
        <v>#NAME?</v>
      </c>
      <c r="H354" s="81" t="e">
        <f ca="1"/>
        <v>#NAME?</v>
      </c>
      <c r="I354" s="51" t="e">
        <f ca="1"/>
        <v>#NAME?</v>
      </c>
      <c r="J354" s="51" t="e">
        <f ca="1"/>
        <v>#NAME?</v>
      </c>
      <c r="K354" s="47" t="e">
        <f ca="1"/>
        <v>#NAME?</v>
      </c>
      <c r="L354" s="47" t="e">
        <f ca="1"/>
        <v>#NAME?</v>
      </c>
      <c r="M354" s="47" t="e">
        <f ca="1"/>
        <v>#NAME?</v>
      </c>
      <c r="N354" s="47"/>
    </row>
    <row r="355" spans="1:14" ht="14.25" customHeight="1">
      <c r="A355" s="26">
        <v>26</v>
      </c>
      <c r="B355" s="78"/>
      <c r="C355" s="63" t="s">
        <v>8834</v>
      </c>
      <c r="D355" s="63" t="e">
        <f ca="1"/>
        <v>#NAME?</v>
      </c>
      <c r="E355" s="63" t="e">
        <f ca="1"/>
        <v>#NAME?</v>
      </c>
      <c r="F355" s="63" t="e">
        <f ca="1"/>
        <v>#NAME?</v>
      </c>
      <c r="G355" s="63" t="e">
        <f ca="1"/>
        <v>#NAME?</v>
      </c>
      <c r="H355" s="81" t="e">
        <f ca="1"/>
        <v>#NAME?</v>
      </c>
      <c r="I355" s="51" t="e">
        <f ca="1"/>
        <v>#NAME?</v>
      </c>
      <c r="J355" s="51" t="e">
        <f ca="1"/>
        <v>#NAME?</v>
      </c>
      <c r="K355" s="47" t="e">
        <f ca="1"/>
        <v>#NAME?</v>
      </c>
      <c r="L355" s="47" t="e">
        <f ca="1"/>
        <v>#NAME?</v>
      </c>
      <c r="M355" s="47" t="e">
        <f ca="1"/>
        <v>#NAME?</v>
      </c>
      <c r="N355" s="47"/>
    </row>
    <row r="356" spans="1:14" ht="14.25" customHeight="1">
      <c r="A356" s="26">
        <v>27</v>
      </c>
      <c r="B356" s="47"/>
      <c r="C356" s="63" t="s">
        <v>8844</v>
      </c>
      <c r="D356" s="63" t="e">
        <f ca="1"/>
        <v>#NAME?</v>
      </c>
      <c r="E356" s="63" t="e">
        <f ca="1"/>
        <v>#NAME?</v>
      </c>
      <c r="F356" s="63" t="e">
        <f ca="1"/>
        <v>#NAME?</v>
      </c>
      <c r="G356" s="63" t="e">
        <f ca="1"/>
        <v>#NAME?</v>
      </c>
      <c r="H356" s="81" t="e">
        <f ca="1"/>
        <v>#NAME?</v>
      </c>
      <c r="I356" s="51" t="e">
        <f ca="1"/>
        <v>#NAME?</v>
      </c>
      <c r="J356" s="51" t="e">
        <f ca="1"/>
        <v>#NAME?</v>
      </c>
      <c r="K356" s="47" t="e">
        <f ca="1"/>
        <v>#NAME?</v>
      </c>
      <c r="L356" s="47" t="e">
        <f ca="1"/>
        <v>#NAME?</v>
      </c>
      <c r="M356" s="47" t="e">
        <f ca="1"/>
        <v>#NAME?</v>
      </c>
      <c r="N356" s="47"/>
    </row>
    <row r="357" spans="1:14" ht="14.25" customHeight="1">
      <c r="A357" s="26">
        <v>28</v>
      </c>
      <c r="B357" s="78"/>
      <c r="C357" s="63" t="s">
        <v>8854</v>
      </c>
      <c r="D357" s="63" t="e">
        <f ca="1"/>
        <v>#NAME?</v>
      </c>
      <c r="E357" s="63" t="e">
        <f ca="1"/>
        <v>#NAME?</v>
      </c>
      <c r="F357" s="63" t="e">
        <f ca="1"/>
        <v>#NAME?</v>
      </c>
      <c r="G357" s="63" t="e">
        <f ca="1"/>
        <v>#NAME?</v>
      </c>
      <c r="H357" s="81" t="e">
        <f ca="1"/>
        <v>#NAME?</v>
      </c>
      <c r="I357" s="51" t="e">
        <f ca="1"/>
        <v>#NAME?</v>
      </c>
      <c r="J357" s="51" t="e">
        <f ca="1"/>
        <v>#NAME?</v>
      </c>
      <c r="K357" s="47" t="e">
        <f ca="1"/>
        <v>#NAME?</v>
      </c>
      <c r="L357" s="47" t="e">
        <f ca="1"/>
        <v>#NAME?</v>
      </c>
      <c r="M357" s="47" t="e">
        <f ca="1"/>
        <v>#NAME?</v>
      </c>
      <c r="N357" s="47"/>
    </row>
    <row r="358" spans="1:14" ht="14.25" customHeight="1">
      <c r="A358" s="19">
        <v>1</v>
      </c>
      <c r="B358" s="47"/>
      <c r="C358" s="90" t="s">
        <v>8864</v>
      </c>
      <c r="D358" s="90" t="e">
        <f ca="1"/>
        <v>#NAME?</v>
      </c>
      <c r="E358" s="90" t="e">
        <f ca="1"/>
        <v>#NAME?</v>
      </c>
      <c r="F358" s="90" t="e">
        <f ca="1"/>
        <v>#NAME?</v>
      </c>
      <c r="G358" s="90" t="e">
        <f ca="1"/>
        <v>#NAME?</v>
      </c>
      <c r="H358" s="142" t="e">
        <f ca="1"/>
        <v>#NAME?</v>
      </c>
      <c r="I358" s="92" t="e">
        <f ca="1"/>
        <v>#NAME?</v>
      </c>
      <c r="J358" s="92" t="e">
        <f ca="1"/>
        <v>#NAME?</v>
      </c>
      <c r="K358" s="88" t="e">
        <f ca="1"/>
        <v>#NAME?</v>
      </c>
      <c r="L358" s="88" t="e">
        <f ca="1"/>
        <v>#NAME?</v>
      </c>
      <c r="M358" s="88" t="e">
        <f ca="1"/>
        <v>#NAME?</v>
      </c>
      <c r="N358" s="88">
        <v>14</v>
      </c>
    </row>
    <row r="359" spans="1:14" ht="14.25" customHeight="1">
      <c r="A359" s="26">
        <v>2</v>
      </c>
      <c r="B359" s="47"/>
      <c r="C359" s="63" t="s">
        <v>8874</v>
      </c>
      <c r="D359" s="63" t="e">
        <f ca="1"/>
        <v>#NAME?</v>
      </c>
      <c r="E359" s="63" t="e">
        <f ca="1"/>
        <v>#NAME?</v>
      </c>
      <c r="F359" s="63" t="e">
        <f ca="1"/>
        <v>#NAME?</v>
      </c>
      <c r="G359" s="63" t="e">
        <f ca="1"/>
        <v>#NAME?</v>
      </c>
      <c r="H359" s="81" t="e">
        <f ca="1"/>
        <v>#NAME?</v>
      </c>
      <c r="I359" s="51" t="e">
        <f ca="1"/>
        <v>#NAME?</v>
      </c>
      <c r="J359" s="51" t="e">
        <f ca="1"/>
        <v>#NAME?</v>
      </c>
      <c r="K359" s="47" t="e">
        <f ca="1"/>
        <v>#NAME?</v>
      </c>
      <c r="L359" s="47" t="e">
        <f ca="1"/>
        <v>#NAME?</v>
      </c>
      <c r="M359" s="47" t="e">
        <f ca="1"/>
        <v>#NAME?</v>
      </c>
      <c r="N359" s="47"/>
    </row>
    <row r="360" spans="1:14" ht="14.25" customHeight="1">
      <c r="A360" s="26">
        <v>3</v>
      </c>
      <c r="B360" s="47"/>
      <c r="C360" s="63" t="s">
        <v>8885</v>
      </c>
      <c r="D360" s="63" t="e">
        <f ca="1"/>
        <v>#NAME?</v>
      </c>
      <c r="E360" s="63" t="e">
        <f ca="1"/>
        <v>#NAME?</v>
      </c>
      <c r="F360" s="63" t="e">
        <f ca="1"/>
        <v>#NAME?</v>
      </c>
      <c r="G360" s="63" t="e">
        <f ca="1"/>
        <v>#NAME?</v>
      </c>
      <c r="H360" s="81" t="e">
        <f ca="1"/>
        <v>#NAME?</v>
      </c>
      <c r="I360" s="51" t="e">
        <f ca="1"/>
        <v>#NAME?</v>
      </c>
      <c r="J360" s="51" t="e">
        <f ca="1"/>
        <v>#NAME?</v>
      </c>
      <c r="K360" s="47" t="e">
        <f ca="1"/>
        <v>#NAME?</v>
      </c>
      <c r="L360" s="47" t="e">
        <f ca="1"/>
        <v>#NAME?</v>
      </c>
      <c r="M360" s="47" t="e">
        <f ca="1"/>
        <v>#NAME?</v>
      </c>
      <c r="N360" s="47"/>
    </row>
    <row r="361" spans="1:14" ht="14.25" customHeight="1">
      <c r="A361" s="26">
        <v>4</v>
      </c>
      <c r="B361" s="47"/>
      <c r="C361" s="63" t="s">
        <v>8895</v>
      </c>
      <c r="D361" s="63" t="e">
        <f ca="1"/>
        <v>#NAME?</v>
      </c>
      <c r="E361" s="63" t="e">
        <f ca="1"/>
        <v>#NAME?</v>
      </c>
      <c r="F361" s="63" t="e">
        <f ca="1"/>
        <v>#NAME?</v>
      </c>
      <c r="G361" s="63" t="e">
        <f ca="1"/>
        <v>#NAME?</v>
      </c>
      <c r="H361" s="81" t="e">
        <f ca="1"/>
        <v>#NAME?</v>
      </c>
      <c r="I361" s="51" t="e">
        <f ca="1"/>
        <v>#NAME?</v>
      </c>
      <c r="J361" s="51" t="e">
        <f ca="1"/>
        <v>#NAME?</v>
      </c>
      <c r="K361" s="47" t="e">
        <f ca="1"/>
        <v>#NAME?</v>
      </c>
      <c r="L361" s="47" t="e">
        <f ca="1"/>
        <v>#NAME?</v>
      </c>
      <c r="M361" s="47" t="e">
        <f ca="1"/>
        <v>#NAME?</v>
      </c>
      <c r="N361" s="47"/>
    </row>
    <row r="362" spans="1:14" ht="14.25" customHeight="1">
      <c r="A362" s="26">
        <v>5</v>
      </c>
      <c r="B362" s="47"/>
      <c r="C362" s="63" t="s">
        <v>8905</v>
      </c>
      <c r="D362" s="63" t="e">
        <f ca="1"/>
        <v>#NAME?</v>
      </c>
      <c r="E362" s="63" t="e">
        <f ca="1"/>
        <v>#NAME?</v>
      </c>
      <c r="F362" s="63" t="e">
        <f ca="1"/>
        <v>#NAME?</v>
      </c>
      <c r="G362" s="63" t="e">
        <f ca="1"/>
        <v>#NAME?</v>
      </c>
      <c r="H362" s="81" t="e">
        <f ca="1"/>
        <v>#NAME?</v>
      </c>
      <c r="I362" s="51" t="e">
        <f ca="1"/>
        <v>#NAME?</v>
      </c>
      <c r="J362" s="51" t="e">
        <f ca="1"/>
        <v>#NAME?</v>
      </c>
      <c r="K362" s="47" t="e">
        <f ca="1"/>
        <v>#NAME?</v>
      </c>
      <c r="L362" s="47" t="e">
        <f ca="1"/>
        <v>#NAME?</v>
      </c>
      <c r="M362" s="47" t="e">
        <f ca="1"/>
        <v>#NAME?</v>
      </c>
      <c r="N362" s="47"/>
    </row>
    <row r="363" spans="1:14" ht="14.25" customHeight="1">
      <c r="A363" s="26">
        <v>6</v>
      </c>
      <c r="B363" s="78"/>
      <c r="C363" s="63" t="s">
        <v>8915</v>
      </c>
      <c r="D363" s="63" t="e">
        <f ca="1"/>
        <v>#NAME?</v>
      </c>
      <c r="E363" s="63" t="e">
        <f ca="1"/>
        <v>#NAME?</v>
      </c>
      <c r="F363" s="63" t="e">
        <f ca="1"/>
        <v>#NAME?</v>
      </c>
      <c r="G363" s="63" t="e">
        <f ca="1"/>
        <v>#NAME?</v>
      </c>
      <c r="H363" s="81" t="e">
        <f ca="1"/>
        <v>#NAME?</v>
      </c>
      <c r="I363" s="51" t="e">
        <f ca="1"/>
        <v>#NAME?</v>
      </c>
      <c r="J363" s="51" t="e">
        <f ca="1"/>
        <v>#NAME?</v>
      </c>
      <c r="K363" s="47" t="e">
        <f ca="1"/>
        <v>#NAME?</v>
      </c>
      <c r="L363" s="47" t="e">
        <f ca="1"/>
        <v>#NAME?</v>
      </c>
      <c r="M363" s="47" t="e">
        <f ca="1"/>
        <v>#NAME?</v>
      </c>
      <c r="N363" s="47"/>
    </row>
    <row r="364" spans="1:14" ht="14.25" customHeight="1">
      <c r="A364" s="26">
        <v>7</v>
      </c>
      <c r="B364" s="47"/>
      <c r="C364" s="63" t="s">
        <v>8925</v>
      </c>
      <c r="D364" s="63" t="e">
        <f ca="1"/>
        <v>#NAME?</v>
      </c>
      <c r="E364" s="63" t="e">
        <f ca="1"/>
        <v>#NAME?</v>
      </c>
      <c r="F364" s="63" t="e">
        <f ca="1"/>
        <v>#NAME?</v>
      </c>
      <c r="G364" s="63" t="e">
        <f ca="1"/>
        <v>#NAME?</v>
      </c>
      <c r="H364" s="81" t="e">
        <f ca="1"/>
        <v>#NAME?</v>
      </c>
      <c r="I364" s="51" t="e">
        <f ca="1"/>
        <v>#NAME?</v>
      </c>
      <c r="J364" s="51" t="e">
        <f ca="1"/>
        <v>#NAME?</v>
      </c>
      <c r="K364" s="47" t="e">
        <f ca="1"/>
        <v>#NAME?</v>
      </c>
      <c r="L364" s="47" t="e">
        <f ca="1"/>
        <v>#NAME?</v>
      </c>
      <c r="M364" s="47" t="e">
        <f ca="1"/>
        <v>#NAME?</v>
      </c>
      <c r="N364" s="47"/>
    </row>
    <row r="365" spans="1:14" ht="14.25" customHeight="1">
      <c r="A365" s="26">
        <v>8</v>
      </c>
      <c r="B365" s="47"/>
      <c r="C365" s="63" t="s">
        <v>8935</v>
      </c>
      <c r="D365" s="63" t="e">
        <f ca="1"/>
        <v>#NAME?</v>
      </c>
      <c r="E365" s="63" t="e">
        <f ca="1"/>
        <v>#NAME?</v>
      </c>
      <c r="F365" s="63" t="e">
        <f ca="1"/>
        <v>#NAME?</v>
      </c>
      <c r="G365" s="63" t="e">
        <f ca="1"/>
        <v>#NAME?</v>
      </c>
      <c r="H365" s="81" t="e">
        <f ca="1"/>
        <v>#NAME?</v>
      </c>
      <c r="I365" s="51" t="e">
        <f ca="1"/>
        <v>#NAME?</v>
      </c>
      <c r="J365" s="51" t="e">
        <f ca="1"/>
        <v>#NAME?</v>
      </c>
      <c r="K365" s="47" t="e">
        <f ca="1"/>
        <v>#NAME?</v>
      </c>
      <c r="L365" s="47" t="e">
        <f ca="1"/>
        <v>#NAME?</v>
      </c>
      <c r="M365" s="47" t="e">
        <f ca="1"/>
        <v>#NAME?</v>
      </c>
      <c r="N365" s="47"/>
    </row>
    <row r="366" spans="1:14" ht="14.25" customHeight="1">
      <c r="A366" s="26">
        <v>9</v>
      </c>
      <c r="B366" s="47"/>
      <c r="C366" s="63" t="s">
        <v>8945</v>
      </c>
      <c r="D366" s="63" t="e">
        <f ca="1"/>
        <v>#NAME?</v>
      </c>
      <c r="E366" s="63" t="e">
        <f ca="1"/>
        <v>#NAME?</v>
      </c>
      <c r="F366" s="63" t="e">
        <f ca="1"/>
        <v>#NAME?</v>
      </c>
      <c r="G366" s="63" t="e">
        <f ca="1"/>
        <v>#NAME?</v>
      </c>
      <c r="H366" s="81" t="e">
        <f ca="1"/>
        <v>#NAME?</v>
      </c>
      <c r="I366" s="51" t="e">
        <f ca="1"/>
        <v>#NAME?</v>
      </c>
      <c r="J366" s="51" t="e">
        <f ca="1"/>
        <v>#NAME?</v>
      </c>
      <c r="K366" s="47" t="e">
        <f ca="1"/>
        <v>#NAME?</v>
      </c>
      <c r="L366" s="47" t="e">
        <f ca="1"/>
        <v>#NAME?</v>
      </c>
      <c r="M366" s="47" t="e">
        <f ca="1"/>
        <v>#NAME?</v>
      </c>
      <c r="N366" s="47"/>
    </row>
    <row r="367" spans="1:14" ht="14.25" customHeight="1">
      <c r="A367" s="26">
        <v>10</v>
      </c>
      <c r="B367" s="47"/>
      <c r="C367" s="63" t="s">
        <v>8955</v>
      </c>
      <c r="D367" s="63" t="e">
        <f ca="1"/>
        <v>#NAME?</v>
      </c>
      <c r="E367" s="63" t="e">
        <f ca="1"/>
        <v>#NAME?</v>
      </c>
      <c r="F367" s="63" t="e">
        <f ca="1"/>
        <v>#NAME?</v>
      </c>
      <c r="G367" s="63" t="e">
        <f ca="1"/>
        <v>#NAME?</v>
      </c>
      <c r="H367" s="81" t="e">
        <f ca="1"/>
        <v>#NAME?</v>
      </c>
      <c r="I367" s="51" t="e">
        <f ca="1"/>
        <v>#NAME?</v>
      </c>
      <c r="J367" s="51" t="e">
        <f ca="1"/>
        <v>#NAME?</v>
      </c>
      <c r="K367" s="47" t="e">
        <f ca="1"/>
        <v>#NAME?</v>
      </c>
      <c r="L367" s="47" t="e">
        <f ca="1"/>
        <v>#NAME?</v>
      </c>
      <c r="M367" s="47" t="e">
        <f ca="1"/>
        <v>#NAME?</v>
      </c>
      <c r="N367" s="47"/>
    </row>
    <row r="368" spans="1:14" ht="14.25" customHeight="1">
      <c r="A368" s="26">
        <v>11</v>
      </c>
      <c r="B368" s="78"/>
      <c r="C368" s="63" t="s">
        <v>8964</v>
      </c>
      <c r="D368" s="63" t="e">
        <f ca="1"/>
        <v>#NAME?</v>
      </c>
      <c r="E368" s="63" t="e">
        <f ca="1"/>
        <v>#NAME?</v>
      </c>
      <c r="F368" s="63" t="e">
        <f ca="1"/>
        <v>#NAME?</v>
      </c>
      <c r="G368" s="63" t="e">
        <f ca="1"/>
        <v>#NAME?</v>
      </c>
      <c r="H368" s="81" t="e">
        <f ca="1"/>
        <v>#NAME?</v>
      </c>
      <c r="I368" s="51" t="e">
        <f ca="1"/>
        <v>#NAME?</v>
      </c>
      <c r="J368" s="51" t="e">
        <f ca="1"/>
        <v>#NAME?</v>
      </c>
      <c r="K368" s="47" t="e">
        <f ca="1"/>
        <v>#NAME?</v>
      </c>
      <c r="L368" s="47" t="e">
        <f ca="1"/>
        <v>#NAME?</v>
      </c>
      <c r="M368" s="47" t="e">
        <f ca="1"/>
        <v>#NAME?</v>
      </c>
      <c r="N368" s="47"/>
    </row>
    <row r="369" spans="1:14" ht="14.25" customHeight="1">
      <c r="A369" s="26">
        <v>12</v>
      </c>
      <c r="B369" s="78"/>
      <c r="C369" s="63" t="s">
        <v>8974</v>
      </c>
      <c r="D369" s="63" t="e">
        <f ca="1"/>
        <v>#NAME?</v>
      </c>
      <c r="E369" s="63" t="e">
        <f ca="1"/>
        <v>#NAME?</v>
      </c>
      <c r="F369" s="63" t="e">
        <f ca="1"/>
        <v>#NAME?</v>
      </c>
      <c r="G369" s="63" t="e">
        <f ca="1"/>
        <v>#NAME?</v>
      </c>
      <c r="H369" s="81" t="e">
        <f ca="1"/>
        <v>#NAME?</v>
      </c>
      <c r="I369" s="51" t="e">
        <f ca="1"/>
        <v>#NAME?</v>
      </c>
      <c r="J369" s="51" t="e">
        <f ca="1"/>
        <v>#NAME?</v>
      </c>
      <c r="K369" s="47" t="e">
        <f ca="1"/>
        <v>#NAME?</v>
      </c>
      <c r="L369" s="47" t="e">
        <f ca="1"/>
        <v>#NAME?</v>
      </c>
      <c r="M369" s="47" t="e">
        <f ca="1"/>
        <v>#NAME?</v>
      </c>
      <c r="N369" s="47"/>
    </row>
    <row r="370" spans="1:14" ht="14.25" customHeight="1">
      <c r="A370" s="26">
        <v>13</v>
      </c>
      <c r="B370" s="47"/>
      <c r="C370" s="63" t="s">
        <v>8984</v>
      </c>
      <c r="D370" s="63" t="e">
        <f ca="1"/>
        <v>#NAME?</v>
      </c>
      <c r="E370" s="63" t="e">
        <f ca="1"/>
        <v>#NAME?</v>
      </c>
      <c r="F370" s="63" t="e">
        <f ca="1"/>
        <v>#NAME?</v>
      </c>
      <c r="G370" s="63" t="e">
        <f ca="1"/>
        <v>#NAME?</v>
      </c>
      <c r="H370" s="81" t="e">
        <f ca="1"/>
        <v>#NAME?</v>
      </c>
      <c r="I370" s="51" t="e">
        <f ca="1"/>
        <v>#NAME?</v>
      </c>
      <c r="J370" s="51" t="e">
        <f ca="1"/>
        <v>#NAME?</v>
      </c>
      <c r="K370" s="47" t="e">
        <f ca="1"/>
        <v>#NAME?</v>
      </c>
      <c r="L370" s="47" t="e">
        <f ca="1"/>
        <v>#NAME?</v>
      </c>
      <c r="M370" s="47" t="e">
        <f ca="1"/>
        <v>#NAME?</v>
      </c>
      <c r="N370" s="47"/>
    </row>
    <row r="371" spans="1:14" ht="14.25" customHeight="1">
      <c r="A371" s="26">
        <v>14</v>
      </c>
      <c r="B371" s="47"/>
      <c r="C371" s="63" t="s">
        <v>8994</v>
      </c>
      <c r="D371" s="63" t="e">
        <f ca="1"/>
        <v>#NAME?</v>
      </c>
      <c r="E371" s="63" t="e">
        <f ca="1"/>
        <v>#NAME?</v>
      </c>
      <c r="F371" s="63" t="e">
        <f ca="1"/>
        <v>#NAME?</v>
      </c>
      <c r="G371" s="63" t="e">
        <f ca="1"/>
        <v>#NAME?</v>
      </c>
      <c r="H371" s="81" t="e">
        <f ca="1"/>
        <v>#NAME?</v>
      </c>
      <c r="I371" s="51" t="e">
        <f ca="1"/>
        <v>#NAME?</v>
      </c>
      <c r="J371" s="51" t="e">
        <f ca="1"/>
        <v>#NAME?</v>
      </c>
      <c r="K371" s="47" t="e">
        <f ca="1"/>
        <v>#NAME?</v>
      </c>
      <c r="L371" s="47" t="e">
        <f ca="1"/>
        <v>#NAME?</v>
      </c>
      <c r="M371" s="47" t="e">
        <f ca="1"/>
        <v>#NAME?</v>
      </c>
      <c r="N371" s="47"/>
    </row>
    <row r="372" spans="1:14" ht="14.25" customHeight="1">
      <c r="A372" s="26">
        <v>15</v>
      </c>
      <c r="B372" s="78"/>
      <c r="C372" s="63" t="s">
        <v>9004</v>
      </c>
      <c r="D372" s="63" t="e">
        <f ca="1"/>
        <v>#NAME?</v>
      </c>
      <c r="E372" s="63" t="e">
        <f ca="1"/>
        <v>#NAME?</v>
      </c>
      <c r="F372" s="63" t="e">
        <f ca="1"/>
        <v>#NAME?</v>
      </c>
      <c r="G372" s="63" t="e">
        <f ca="1"/>
        <v>#NAME?</v>
      </c>
      <c r="H372" s="81" t="e">
        <f ca="1"/>
        <v>#NAME?</v>
      </c>
      <c r="I372" s="51" t="e">
        <f ca="1"/>
        <v>#NAME?</v>
      </c>
      <c r="J372" s="51" t="e">
        <f ca="1"/>
        <v>#NAME?</v>
      </c>
      <c r="K372" s="47" t="e">
        <f ca="1"/>
        <v>#NAME?</v>
      </c>
      <c r="L372" s="47" t="e">
        <f ca="1"/>
        <v>#NAME?</v>
      </c>
      <c r="M372" s="47" t="e">
        <f ca="1"/>
        <v>#NAME?</v>
      </c>
      <c r="N372" s="47"/>
    </row>
    <row r="373" spans="1:14" ht="14.25" customHeight="1">
      <c r="A373" s="26">
        <v>16</v>
      </c>
      <c r="B373" s="47"/>
      <c r="C373" s="63" t="s">
        <v>9014</v>
      </c>
      <c r="D373" s="63" t="e">
        <f ca="1"/>
        <v>#NAME?</v>
      </c>
      <c r="E373" s="63" t="e">
        <f ca="1"/>
        <v>#NAME?</v>
      </c>
      <c r="F373" s="63" t="e">
        <f ca="1"/>
        <v>#NAME?</v>
      </c>
      <c r="G373" s="63" t="e">
        <f ca="1"/>
        <v>#NAME?</v>
      </c>
      <c r="H373" s="81" t="e">
        <f ca="1"/>
        <v>#NAME?</v>
      </c>
      <c r="I373" s="51" t="e">
        <f ca="1"/>
        <v>#NAME?</v>
      </c>
      <c r="J373" s="51" t="e">
        <f ca="1"/>
        <v>#NAME?</v>
      </c>
      <c r="K373" s="47" t="e">
        <f ca="1"/>
        <v>#NAME?</v>
      </c>
      <c r="L373" s="47" t="e">
        <f ca="1"/>
        <v>#NAME?</v>
      </c>
      <c r="M373" s="47" t="e">
        <f ca="1"/>
        <v>#NAME?</v>
      </c>
      <c r="N373" s="47"/>
    </row>
    <row r="374" spans="1:14" ht="14.25" customHeight="1">
      <c r="A374" s="26">
        <v>17</v>
      </c>
      <c r="B374" s="78"/>
      <c r="C374" s="63" t="s">
        <v>9024</v>
      </c>
      <c r="D374" s="63" t="e">
        <f ca="1"/>
        <v>#NAME?</v>
      </c>
      <c r="E374" s="63" t="e">
        <f ca="1"/>
        <v>#NAME?</v>
      </c>
      <c r="F374" s="63" t="e">
        <f ca="1"/>
        <v>#NAME?</v>
      </c>
      <c r="G374" s="63" t="e">
        <f ca="1"/>
        <v>#NAME?</v>
      </c>
      <c r="H374" s="81" t="e">
        <f ca="1"/>
        <v>#NAME?</v>
      </c>
      <c r="I374" s="51" t="e">
        <f ca="1"/>
        <v>#NAME?</v>
      </c>
      <c r="J374" s="51" t="e">
        <f ca="1"/>
        <v>#NAME?</v>
      </c>
      <c r="K374" s="47" t="e">
        <f ca="1"/>
        <v>#NAME?</v>
      </c>
      <c r="L374" s="47" t="e">
        <f ca="1"/>
        <v>#NAME?</v>
      </c>
      <c r="M374" s="47" t="e">
        <f ca="1"/>
        <v>#NAME?</v>
      </c>
      <c r="N374" s="47"/>
    </row>
    <row r="375" spans="1:14" ht="14.25" customHeight="1">
      <c r="A375" s="26">
        <v>18</v>
      </c>
      <c r="B375" s="78"/>
      <c r="C375" s="63" t="s">
        <v>2739</v>
      </c>
      <c r="D375" s="63" t="e">
        <f ca="1"/>
        <v>#NAME?</v>
      </c>
      <c r="E375" s="63" t="e">
        <f ca="1"/>
        <v>#NAME?</v>
      </c>
      <c r="F375" s="63" t="e">
        <f ca="1"/>
        <v>#NAME?</v>
      </c>
      <c r="G375" s="63" t="e">
        <f ca="1"/>
        <v>#NAME?</v>
      </c>
      <c r="H375" s="81" t="e">
        <f ca="1"/>
        <v>#NAME?</v>
      </c>
      <c r="I375" s="51" t="e">
        <f ca="1"/>
        <v>#NAME?</v>
      </c>
      <c r="J375" s="51" t="e">
        <f ca="1"/>
        <v>#NAME?</v>
      </c>
      <c r="K375" s="47" t="e">
        <f ca="1"/>
        <v>#NAME?</v>
      </c>
      <c r="L375" s="47" t="e">
        <f ca="1"/>
        <v>#NAME?</v>
      </c>
      <c r="M375" s="47" t="e">
        <f ca="1"/>
        <v>#NAME?</v>
      </c>
      <c r="N375" s="47"/>
    </row>
    <row r="376" spans="1:14" ht="14.25" customHeight="1">
      <c r="A376" s="26">
        <v>19</v>
      </c>
      <c r="B376" s="47"/>
      <c r="C376" s="63" t="s">
        <v>9041</v>
      </c>
      <c r="D376" s="63" t="e">
        <f ca="1"/>
        <v>#NAME?</v>
      </c>
      <c r="E376" s="63" t="e">
        <f ca="1"/>
        <v>#NAME?</v>
      </c>
      <c r="F376" s="63" t="e">
        <f ca="1"/>
        <v>#NAME?</v>
      </c>
      <c r="G376" s="63" t="e">
        <f ca="1"/>
        <v>#NAME?</v>
      </c>
      <c r="H376" s="81" t="e">
        <f ca="1"/>
        <v>#NAME?</v>
      </c>
      <c r="I376" s="51" t="e">
        <f ca="1"/>
        <v>#NAME?</v>
      </c>
      <c r="J376" s="51" t="e">
        <f ca="1"/>
        <v>#NAME?</v>
      </c>
      <c r="K376" s="47" t="e">
        <f ca="1"/>
        <v>#NAME?</v>
      </c>
      <c r="L376" s="47" t="e">
        <f ca="1"/>
        <v>#NAME?</v>
      </c>
      <c r="M376" s="47" t="e">
        <f ca="1"/>
        <v>#NAME?</v>
      </c>
      <c r="N376" s="47"/>
    </row>
    <row r="377" spans="1:14" ht="14.25" customHeight="1">
      <c r="A377" s="26">
        <v>20</v>
      </c>
      <c r="B377" s="47"/>
      <c r="C377" s="63" t="s">
        <v>4845</v>
      </c>
      <c r="D377" s="63" t="e">
        <f ca="1"/>
        <v>#NAME?</v>
      </c>
      <c r="E377" s="63" t="e">
        <f ca="1"/>
        <v>#NAME?</v>
      </c>
      <c r="F377" s="63" t="e">
        <f ca="1"/>
        <v>#NAME?</v>
      </c>
      <c r="G377" s="63" t="e">
        <f ca="1"/>
        <v>#NAME?</v>
      </c>
      <c r="H377" s="81" t="e">
        <f ca="1"/>
        <v>#NAME?</v>
      </c>
      <c r="I377" s="51" t="e">
        <f ca="1"/>
        <v>#NAME?</v>
      </c>
      <c r="J377" s="51" t="e">
        <f ca="1"/>
        <v>#NAME?</v>
      </c>
      <c r="K377" s="47" t="e">
        <f ca="1"/>
        <v>#NAME?</v>
      </c>
      <c r="L377" s="47" t="e">
        <f ca="1"/>
        <v>#NAME?</v>
      </c>
      <c r="M377" s="47" t="e">
        <f ca="1"/>
        <v>#NAME?</v>
      </c>
      <c r="N377" s="47"/>
    </row>
    <row r="378" spans="1:14" ht="14.25" customHeight="1">
      <c r="A378" s="26">
        <v>21</v>
      </c>
      <c r="B378" s="78"/>
      <c r="C378" s="63" t="s">
        <v>9055</v>
      </c>
      <c r="D378" s="63" t="e">
        <f ca="1"/>
        <v>#NAME?</v>
      </c>
      <c r="E378" s="63" t="e">
        <f ca="1"/>
        <v>#NAME?</v>
      </c>
      <c r="F378" s="63" t="e">
        <f ca="1"/>
        <v>#NAME?</v>
      </c>
      <c r="G378" s="63" t="e">
        <f ca="1"/>
        <v>#NAME?</v>
      </c>
      <c r="H378" s="81" t="e">
        <f ca="1"/>
        <v>#NAME?</v>
      </c>
      <c r="I378" s="51" t="e">
        <f ca="1"/>
        <v>#NAME?</v>
      </c>
      <c r="J378" s="51" t="e">
        <f ca="1"/>
        <v>#NAME?</v>
      </c>
      <c r="K378" s="47" t="e">
        <f ca="1"/>
        <v>#NAME?</v>
      </c>
      <c r="L378" s="47" t="e">
        <f ca="1"/>
        <v>#NAME?</v>
      </c>
      <c r="M378" s="47" t="e">
        <f ca="1"/>
        <v>#NAME?</v>
      </c>
      <c r="N378" s="47"/>
    </row>
    <row r="379" spans="1:14" ht="14.25" customHeight="1">
      <c r="A379" s="26">
        <v>22</v>
      </c>
      <c r="B379" s="78"/>
      <c r="C379" s="63" t="s">
        <v>9065</v>
      </c>
      <c r="D379" s="63" t="e">
        <f ca="1"/>
        <v>#NAME?</v>
      </c>
      <c r="E379" s="63" t="e">
        <f ca="1"/>
        <v>#NAME?</v>
      </c>
      <c r="F379" s="63" t="e">
        <f ca="1"/>
        <v>#NAME?</v>
      </c>
      <c r="G379" s="63" t="e">
        <f ca="1"/>
        <v>#NAME?</v>
      </c>
      <c r="H379" s="81" t="e">
        <f ca="1"/>
        <v>#NAME?</v>
      </c>
      <c r="I379" s="51" t="e">
        <f ca="1"/>
        <v>#NAME?</v>
      </c>
      <c r="J379" s="51" t="e">
        <f ca="1"/>
        <v>#NAME?</v>
      </c>
      <c r="K379" s="47" t="e">
        <f ca="1"/>
        <v>#NAME?</v>
      </c>
      <c r="L379" s="47" t="e">
        <f ca="1"/>
        <v>#NAME?</v>
      </c>
      <c r="M379" s="47" t="e">
        <f ca="1"/>
        <v>#NAME?</v>
      </c>
      <c r="N379" s="47"/>
    </row>
    <row r="380" spans="1:14" ht="14.25" customHeight="1">
      <c r="A380" s="26">
        <v>23</v>
      </c>
      <c r="B380" s="78"/>
      <c r="C380" s="63" t="s">
        <v>9075</v>
      </c>
      <c r="D380" s="63" t="e">
        <f ca="1"/>
        <v>#NAME?</v>
      </c>
      <c r="E380" s="63" t="e">
        <f ca="1"/>
        <v>#NAME?</v>
      </c>
      <c r="F380" s="63" t="e">
        <f ca="1"/>
        <v>#NAME?</v>
      </c>
      <c r="G380" s="63" t="e">
        <f ca="1"/>
        <v>#NAME?</v>
      </c>
      <c r="H380" s="81" t="e">
        <f ca="1"/>
        <v>#NAME?</v>
      </c>
      <c r="I380" s="51" t="e">
        <f ca="1"/>
        <v>#NAME?</v>
      </c>
      <c r="J380" s="51" t="e">
        <f ca="1"/>
        <v>#NAME?</v>
      </c>
      <c r="K380" s="47" t="e">
        <f ca="1"/>
        <v>#NAME?</v>
      </c>
      <c r="L380" s="47" t="e">
        <f ca="1"/>
        <v>#NAME?</v>
      </c>
      <c r="M380" s="47" t="e">
        <f ca="1"/>
        <v>#NAME?</v>
      </c>
      <c r="N380" s="47"/>
    </row>
    <row r="381" spans="1:14" ht="14.25" customHeight="1">
      <c r="A381" s="26">
        <v>24</v>
      </c>
      <c r="B381" s="47"/>
      <c r="C381" s="63" t="s">
        <v>9085</v>
      </c>
      <c r="D381" s="63" t="e">
        <f ca="1"/>
        <v>#NAME?</v>
      </c>
      <c r="E381" s="63" t="e">
        <f ca="1"/>
        <v>#NAME?</v>
      </c>
      <c r="F381" s="63" t="e">
        <f ca="1"/>
        <v>#NAME?</v>
      </c>
      <c r="G381" s="63" t="e">
        <f ca="1"/>
        <v>#NAME?</v>
      </c>
      <c r="H381" s="81" t="e">
        <f ca="1"/>
        <v>#NAME?</v>
      </c>
      <c r="I381" s="51" t="e">
        <f ca="1"/>
        <v>#NAME?</v>
      </c>
      <c r="J381" s="51" t="e">
        <f ca="1"/>
        <v>#NAME?</v>
      </c>
      <c r="K381" s="47" t="e">
        <f ca="1"/>
        <v>#NAME?</v>
      </c>
      <c r="L381" s="47" t="e">
        <f ca="1"/>
        <v>#NAME?</v>
      </c>
      <c r="M381" s="47" t="e">
        <f ca="1"/>
        <v>#NAME?</v>
      </c>
      <c r="N381" s="47"/>
    </row>
    <row r="382" spans="1:14" ht="14.25" customHeight="1">
      <c r="A382" s="26">
        <v>25</v>
      </c>
      <c r="B382" s="78"/>
      <c r="C382" s="63" t="s">
        <v>9094</v>
      </c>
      <c r="D382" s="63" t="e">
        <f ca="1"/>
        <v>#NAME?</v>
      </c>
      <c r="E382" s="63" t="e">
        <f ca="1"/>
        <v>#NAME?</v>
      </c>
      <c r="F382" s="63" t="e">
        <f ca="1"/>
        <v>#NAME?</v>
      </c>
      <c r="G382" s="63" t="e">
        <f ca="1"/>
        <v>#NAME?</v>
      </c>
      <c r="H382" s="81" t="e">
        <f ca="1"/>
        <v>#NAME?</v>
      </c>
      <c r="I382" s="51" t="e">
        <f ca="1"/>
        <v>#NAME?</v>
      </c>
      <c r="J382" s="51" t="e">
        <f ca="1"/>
        <v>#NAME?</v>
      </c>
      <c r="K382" s="47" t="e">
        <f ca="1"/>
        <v>#NAME?</v>
      </c>
      <c r="L382" s="47" t="e">
        <f ca="1"/>
        <v>#NAME?</v>
      </c>
      <c r="M382" s="47" t="e">
        <f ca="1"/>
        <v>#NAME?</v>
      </c>
      <c r="N382" s="47"/>
    </row>
    <row r="383" spans="1:14" ht="14.25" customHeight="1">
      <c r="A383" s="26">
        <v>26</v>
      </c>
      <c r="B383" s="47"/>
      <c r="C383" s="63" t="s">
        <v>9105</v>
      </c>
      <c r="D383" s="63" t="e">
        <f ca="1"/>
        <v>#NAME?</v>
      </c>
      <c r="E383" s="63" t="e">
        <f ca="1"/>
        <v>#NAME?</v>
      </c>
      <c r="F383" s="63" t="e">
        <f ca="1"/>
        <v>#NAME?</v>
      </c>
      <c r="G383" s="63" t="e">
        <f ca="1"/>
        <v>#NAME?</v>
      </c>
      <c r="H383" s="81" t="e">
        <f ca="1"/>
        <v>#NAME?</v>
      </c>
      <c r="I383" s="51" t="e">
        <f ca="1"/>
        <v>#NAME?</v>
      </c>
      <c r="J383" s="51" t="e">
        <f ca="1"/>
        <v>#NAME?</v>
      </c>
      <c r="K383" s="47" t="e">
        <f ca="1"/>
        <v>#NAME?</v>
      </c>
      <c r="L383" s="47" t="e">
        <f ca="1"/>
        <v>#NAME?</v>
      </c>
      <c r="M383" s="47" t="e">
        <f ca="1"/>
        <v>#NAME?</v>
      </c>
      <c r="N383" s="47"/>
    </row>
    <row r="384" spans="1:14" ht="14.25" customHeight="1">
      <c r="A384" s="26">
        <v>27</v>
      </c>
      <c r="B384" s="78"/>
      <c r="C384" s="63" t="s">
        <v>9115</v>
      </c>
      <c r="D384" s="63" t="e">
        <f ca="1"/>
        <v>#NAME?</v>
      </c>
      <c r="E384" s="63" t="e">
        <f ca="1"/>
        <v>#NAME?</v>
      </c>
      <c r="F384" s="63" t="e">
        <f ca="1"/>
        <v>#NAME?</v>
      </c>
      <c r="G384" s="63" t="e">
        <f ca="1"/>
        <v>#NAME?</v>
      </c>
      <c r="H384" s="81" t="e">
        <f ca="1"/>
        <v>#NAME?</v>
      </c>
      <c r="I384" s="51" t="e">
        <f ca="1"/>
        <v>#NAME?</v>
      </c>
      <c r="J384" s="51" t="e">
        <f ca="1"/>
        <v>#NAME?</v>
      </c>
      <c r="K384" s="47" t="e">
        <f ca="1"/>
        <v>#NAME?</v>
      </c>
      <c r="L384" s="47" t="e">
        <f ca="1"/>
        <v>#NAME?</v>
      </c>
      <c r="M384" s="47" t="e">
        <f ca="1"/>
        <v>#NAME?</v>
      </c>
      <c r="N384" s="47"/>
    </row>
    <row r="385" spans="1:14" ht="14.25" customHeight="1">
      <c r="A385" s="19">
        <v>1</v>
      </c>
      <c r="B385" s="47"/>
      <c r="C385" s="90" t="s">
        <v>9125</v>
      </c>
      <c r="D385" s="90" t="e">
        <f ca="1"/>
        <v>#NAME?</v>
      </c>
      <c r="E385" s="90" t="e">
        <f ca="1"/>
        <v>#NAME?</v>
      </c>
      <c r="F385" s="90" t="e">
        <f ca="1"/>
        <v>#NAME?</v>
      </c>
      <c r="G385" s="90" t="e">
        <f ca="1"/>
        <v>#NAME?</v>
      </c>
      <c r="H385" s="142" t="e">
        <f ca="1"/>
        <v>#NAME?</v>
      </c>
      <c r="I385" s="92" t="e">
        <f ca="1"/>
        <v>#NAME?</v>
      </c>
      <c r="J385" s="92" t="e">
        <f ca="1"/>
        <v>#NAME?</v>
      </c>
      <c r="K385" s="88" t="e">
        <f ca="1"/>
        <v>#NAME?</v>
      </c>
      <c r="L385" s="88" t="e">
        <f ca="1"/>
        <v>#NAME?</v>
      </c>
      <c r="M385" s="88" t="e">
        <f ca="1"/>
        <v>#NAME?</v>
      </c>
      <c r="N385" s="88">
        <v>15</v>
      </c>
    </row>
    <row r="386" spans="1:14" ht="14.25" customHeight="1">
      <c r="A386" s="26">
        <v>2</v>
      </c>
      <c r="B386" s="47"/>
      <c r="C386" s="63" t="s">
        <v>9135</v>
      </c>
      <c r="D386" s="63" t="e">
        <f ca="1"/>
        <v>#NAME?</v>
      </c>
      <c r="E386" s="63" t="e">
        <f ca="1"/>
        <v>#NAME?</v>
      </c>
      <c r="F386" s="63" t="e">
        <f ca="1"/>
        <v>#NAME?</v>
      </c>
      <c r="G386" s="63" t="e">
        <f ca="1"/>
        <v>#NAME?</v>
      </c>
      <c r="H386" s="81" t="e">
        <f ca="1"/>
        <v>#NAME?</v>
      </c>
      <c r="I386" s="51" t="e">
        <f ca="1"/>
        <v>#NAME?</v>
      </c>
      <c r="J386" s="51" t="e">
        <f ca="1"/>
        <v>#NAME?</v>
      </c>
      <c r="K386" s="47" t="e">
        <f ca="1"/>
        <v>#NAME?</v>
      </c>
      <c r="L386" s="47" t="e">
        <f ca="1"/>
        <v>#NAME?</v>
      </c>
      <c r="M386" s="47" t="e">
        <f ca="1"/>
        <v>#NAME?</v>
      </c>
      <c r="N386" s="47"/>
    </row>
    <row r="387" spans="1:14" ht="14.25" customHeight="1">
      <c r="A387" s="26">
        <v>3</v>
      </c>
      <c r="B387" s="78"/>
      <c r="C387" s="63" t="s">
        <v>9146</v>
      </c>
      <c r="D387" s="63" t="e">
        <f ca="1"/>
        <v>#NAME?</v>
      </c>
      <c r="E387" s="63" t="e">
        <f ca="1"/>
        <v>#NAME?</v>
      </c>
      <c r="F387" s="63" t="e">
        <f ca="1"/>
        <v>#NAME?</v>
      </c>
      <c r="G387" s="63" t="e">
        <f ca="1"/>
        <v>#NAME?</v>
      </c>
      <c r="H387" s="81" t="e">
        <f ca="1"/>
        <v>#NAME?</v>
      </c>
      <c r="I387" s="51" t="e">
        <f ca="1"/>
        <v>#NAME?</v>
      </c>
      <c r="J387" s="51" t="e">
        <f ca="1"/>
        <v>#NAME?</v>
      </c>
      <c r="K387" s="47" t="e">
        <f ca="1"/>
        <v>#NAME?</v>
      </c>
      <c r="L387" s="47" t="e">
        <f ca="1"/>
        <v>#NAME?</v>
      </c>
      <c r="M387" s="47" t="e">
        <f ca="1"/>
        <v>#NAME?</v>
      </c>
      <c r="N387" s="47"/>
    </row>
    <row r="388" spans="1:14" ht="14.25" customHeight="1">
      <c r="A388" s="26">
        <v>4</v>
      </c>
      <c r="B388" s="78"/>
      <c r="C388" s="63" t="s">
        <v>9156</v>
      </c>
      <c r="D388" s="63" t="e">
        <f ca="1"/>
        <v>#NAME?</v>
      </c>
      <c r="E388" s="63" t="e">
        <f ca="1"/>
        <v>#NAME?</v>
      </c>
      <c r="F388" s="63" t="e">
        <f ca="1"/>
        <v>#NAME?</v>
      </c>
      <c r="G388" s="63" t="e">
        <f ca="1"/>
        <v>#NAME?</v>
      </c>
      <c r="H388" s="81" t="e">
        <f ca="1"/>
        <v>#NAME?</v>
      </c>
      <c r="I388" s="51" t="e">
        <f ca="1"/>
        <v>#NAME?</v>
      </c>
      <c r="J388" s="51" t="e">
        <f ca="1"/>
        <v>#NAME?</v>
      </c>
      <c r="K388" s="47" t="e">
        <f ca="1"/>
        <v>#NAME?</v>
      </c>
      <c r="L388" s="47" t="e">
        <f ca="1"/>
        <v>#NAME?</v>
      </c>
      <c r="M388" s="47" t="e">
        <f ca="1"/>
        <v>#NAME?</v>
      </c>
      <c r="N388" s="47"/>
    </row>
    <row r="389" spans="1:14" ht="14.25" customHeight="1">
      <c r="A389" s="26">
        <v>5</v>
      </c>
      <c r="B389" s="47"/>
      <c r="C389" s="63" t="s">
        <v>9165</v>
      </c>
      <c r="D389" s="63" t="e">
        <f ca="1"/>
        <v>#NAME?</v>
      </c>
      <c r="E389" s="63" t="e">
        <f ca="1"/>
        <v>#NAME?</v>
      </c>
      <c r="F389" s="63" t="e">
        <f ca="1"/>
        <v>#NAME?</v>
      </c>
      <c r="G389" s="63" t="e">
        <f ca="1"/>
        <v>#NAME?</v>
      </c>
      <c r="H389" s="81" t="e">
        <f ca="1"/>
        <v>#NAME?</v>
      </c>
      <c r="I389" s="51" t="e">
        <f ca="1"/>
        <v>#NAME?</v>
      </c>
      <c r="J389" s="51" t="e">
        <f ca="1"/>
        <v>#NAME?</v>
      </c>
      <c r="K389" s="47" t="e">
        <f ca="1"/>
        <v>#NAME?</v>
      </c>
      <c r="L389" s="47" t="e">
        <f ca="1"/>
        <v>#NAME?</v>
      </c>
      <c r="M389" s="47" t="e">
        <f ca="1"/>
        <v>#NAME?</v>
      </c>
      <c r="N389" s="47"/>
    </row>
    <row r="390" spans="1:14" ht="14.25" customHeight="1">
      <c r="A390" s="26">
        <v>6</v>
      </c>
      <c r="B390" s="47"/>
      <c r="C390" s="63" t="s">
        <v>9175</v>
      </c>
      <c r="D390" s="63" t="e">
        <f ca="1"/>
        <v>#NAME?</v>
      </c>
      <c r="E390" s="63" t="e">
        <f ca="1"/>
        <v>#NAME?</v>
      </c>
      <c r="F390" s="63" t="e">
        <f ca="1"/>
        <v>#NAME?</v>
      </c>
      <c r="G390" s="63" t="e">
        <f ca="1"/>
        <v>#NAME?</v>
      </c>
      <c r="H390" s="81" t="e">
        <f ca="1"/>
        <v>#NAME?</v>
      </c>
      <c r="I390" s="51" t="e">
        <f ca="1"/>
        <v>#NAME?</v>
      </c>
      <c r="J390" s="51" t="e">
        <f ca="1"/>
        <v>#NAME?</v>
      </c>
      <c r="K390" s="47" t="e">
        <f ca="1"/>
        <v>#NAME?</v>
      </c>
      <c r="L390" s="47" t="e">
        <f ca="1"/>
        <v>#NAME?</v>
      </c>
      <c r="M390" s="47" t="e">
        <f ca="1"/>
        <v>#NAME?</v>
      </c>
      <c r="N390" s="47"/>
    </row>
    <row r="391" spans="1:14" ht="14.25" customHeight="1">
      <c r="A391" s="26">
        <v>7</v>
      </c>
      <c r="B391" s="78"/>
      <c r="C391" s="63" t="s">
        <v>9185</v>
      </c>
      <c r="D391" s="63" t="e">
        <f ca="1"/>
        <v>#NAME?</v>
      </c>
      <c r="E391" s="63" t="e">
        <f ca="1"/>
        <v>#NAME?</v>
      </c>
      <c r="F391" s="63" t="e">
        <f ca="1"/>
        <v>#NAME?</v>
      </c>
      <c r="G391" s="63" t="e">
        <f ca="1"/>
        <v>#NAME?</v>
      </c>
      <c r="H391" s="81" t="e">
        <f ca="1"/>
        <v>#NAME?</v>
      </c>
      <c r="I391" s="51" t="e">
        <f ca="1"/>
        <v>#NAME?</v>
      </c>
      <c r="J391" s="51" t="e">
        <f ca="1"/>
        <v>#NAME?</v>
      </c>
      <c r="K391" s="47" t="e">
        <f ca="1"/>
        <v>#NAME?</v>
      </c>
      <c r="L391" s="47" t="e">
        <f ca="1"/>
        <v>#NAME?</v>
      </c>
      <c r="M391" s="47" t="e">
        <f ca="1"/>
        <v>#NAME?</v>
      </c>
      <c r="N391" s="47"/>
    </row>
    <row r="392" spans="1:14" ht="14.25" customHeight="1">
      <c r="A392" s="26">
        <v>8</v>
      </c>
      <c r="B392" s="47"/>
      <c r="C392" s="63" t="s">
        <v>9195</v>
      </c>
      <c r="D392" s="63" t="e">
        <f ca="1"/>
        <v>#NAME?</v>
      </c>
      <c r="E392" s="63" t="e">
        <f ca="1"/>
        <v>#NAME?</v>
      </c>
      <c r="F392" s="63" t="e">
        <f ca="1"/>
        <v>#NAME?</v>
      </c>
      <c r="G392" s="63" t="e">
        <f ca="1"/>
        <v>#NAME?</v>
      </c>
      <c r="H392" s="81" t="e">
        <f ca="1"/>
        <v>#NAME?</v>
      </c>
      <c r="I392" s="51" t="e">
        <f ca="1"/>
        <v>#NAME?</v>
      </c>
      <c r="J392" s="51" t="e">
        <f ca="1"/>
        <v>#NAME?</v>
      </c>
      <c r="K392" s="47" t="e">
        <f ca="1"/>
        <v>#NAME?</v>
      </c>
      <c r="L392" s="47" t="e">
        <f ca="1"/>
        <v>#NAME?</v>
      </c>
      <c r="M392" s="47" t="e">
        <f ca="1"/>
        <v>#NAME?</v>
      </c>
      <c r="N392" s="47"/>
    </row>
    <row r="393" spans="1:14" ht="14.25" customHeight="1">
      <c r="A393" s="26">
        <v>9</v>
      </c>
      <c r="B393" s="47"/>
      <c r="C393" s="63" t="s">
        <v>9205</v>
      </c>
      <c r="D393" s="63" t="e">
        <f ca="1"/>
        <v>#NAME?</v>
      </c>
      <c r="E393" s="63" t="e">
        <f ca="1"/>
        <v>#NAME?</v>
      </c>
      <c r="F393" s="63" t="e">
        <f ca="1"/>
        <v>#NAME?</v>
      </c>
      <c r="G393" s="63" t="e">
        <f ca="1"/>
        <v>#NAME?</v>
      </c>
      <c r="H393" s="81" t="e">
        <f ca="1"/>
        <v>#NAME?</v>
      </c>
      <c r="I393" s="51" t="e">
        <f ca="1"/>
        <v>#NAME?</v>
      </c>
      <c r="J393" s="51" t="e">
        <f ca="1"/>
        <v>#NAME?</v>
      </c>
      <c r="K393" s="47" t="e">
        <f ca="1"/>
        <v>#NAME?</v>
      </c>
      <c r="L393" s="47" t="e">
        <f ca="1"/>
        <v>#NAME?</v>
      </c>
      <c r="M393" s="47" t="e">
        <f ca="1"/>
        <v>#NAME?</v>
      </c>
      <c r="N393" s="47"/>
    </row>
    <row r="394" spans="1:14" ht="14.25" customHeight="1">
      <c r="A394" s="26">
        <v>10</v>
      </c>
      <c r="B394" s="47"/>
      <c r="C394" s="63" t="s">
        <v>9215</v>
      </c>
      <c r="D394" s="63" t="e">
        <f ca="1"/>
        <v>#NAME?</v>
      </c>
      <c r="E394" s="63" t="e">
        <f ca="1"/>
        <v>#NAME?</v>
      </c>
      <c r="F394" s="63" t="e">
        <f ca="1"/>
        <v>#NAME?</v>
      </c>
      <c r="G394" s="63" t="e">
        <f ca="1"/>
        <v>#NAME?</v>
      </c>
      <c r="H394" s="81" t="e">
        <f ca="1"/>
        <v>#NAME?</v>
      </c>
      <c r="I394" s="51" t="e">
        <f ca="1"/>
        <v>#NAME?</v>
      </c>
      <c r="J394" s="51" t="e">
        <f ca="1"/>
        <v>#NAME?</v>
      </c>
      <c r="K394" s="47" t="e">
        <f ca="1"/>
        <v>#NAME?</v>
      </c>
      <c r="L394" s="47" t="e">
        <f ca="1"/>
        <v>#NAME?</v>
      </c>
      <c r="M394" s="47" t="e">
        <f ca="1"/>
        <v>#NAME?</v>
      </c>
      <c r="N394" s="47"/>
    </row>
    <row r="395" spans="1:14" ht="14.25" customHeight="1">
      <c r="A395" s="26">
        <v>11</v>
      </c>
      <c r="B395" s="78"/>
      <c r="C395" s="63" t="s">
        <v>9224</v>
      </c>
      <c r="D395" s="63" t="e">
        <f ca="1"/>
        <v>#NAME?</v>
      </c>
      <c r="E395" s="63" t="e">
        <f ca="1"/>
        <v>#NAME?</v>
      </c>
      <c r="F395" s="63" t="e">
        <f ca="1"/>
        <v>#NAME?</v>
      </c>
      <c r="G395" s="63" t="e">
        <f ca="1"/>
        <v>#NAME?</v>
      </c>
      <c r="H395" s="81" t="e">
        <f ca="1"/>
        <v>#NAME?</v>
      </c>
      <c r="I395" s="51" t="e">
        <f ca="1"/>
        <v>#NAME?</v>
      </c>
      <c r="J395" s="51" t="e">
        <f ca="1"/>
        <v>#NAME?</v>
      </c>
      <c r="K395" s="47" t="e">
        <f ca="1"/>
        <v>#NAME?</v>
      </c>
      <c r="L395" s="47" t="e">
        <f ca="1"/>
        <v>#NAME?</v>
      </c>
      <c r="M395" s="47" t="e">
        <f ca="1"/>
        <v>#NAME?</v>
      </c>
      <c r="N395" s="47"/>
    </row>
    <row r="396" spans="1:14" ht="14.25" customHeight="1">
      <c r="A396" s="26">
        <v>12</v>
      </c>
      <c r="B396" s="47"/>
      <c r="C396" s="63" t="s">
        <v>9232</v>
      </c>
      <c r="D396" s="63" t="e">
        <f ca="1"/>
        <v>#NAME?</v>
      </c>
      <c r="E396" s="63" t="e">
        <f ca="1"/>
        <v>#NAME?</v>
      </c>
      <c r="F396" s="63" t="e">
        <f ca="1"/>
        <v>#NAME?</v>
      </c>
      <c r="G396" s="63" t="e">
        <f ca="1"/>
        <v>#NAME?</v>
      </c>
      <c r="H396" s="81" t="e">
        <f ca="1"/>
        <v>#NAME?</v>
      </c>
      <c r="I396" s="51" t="e">
        <f ca="1"/>
        <v>#NAME?</v>
      </c>
      <c r="J396" s="51" t="e">
        <f ca="1"/>
        <v>#NAME?</v>
      </c>
      <c r="K396" s="47" t="e">
        <f ca="1"/>
        <v>#NAME?</v>
      </c>
      <c r="L396" s="47" t="e">
        <f ca="1"/>
        <v>#NAME?</v>
      </c>
      <c r="M396" s="47" t="e">
        <f ca="1"/>
        <v>#NAME?</v>
      </c>
      <c r="N396" s="47"/>
    </row>
    <row r="397" spans="1:14" ht="14.25" customHeight="1">
      <c r="A397" s="26">
        <v>13</v>
      </c>
      <c r="B397" s="78"/>
      <c r="C397" s="63" t="s">
        <v>9242</v>
      </c>
      <c r="D397" s="63" t="e">
        <f ca="1"/>
        <v>#NAME?</v>
      </c>
      <c r="E397" s="63" t="e">
        <f ca="1"/>
        <v>#NAME?</v>
      </c>
      <c r="F397" s="63" t="e">
        <f ca="1"/>
        <v>#NAME?</v>
      </c>
      <c r="G397" s="63" t="e">
        <f ca="1"/>
        <v>#NAME?</v>
      </c>
      <c r="H397" s="81" t="e">
        <f ca="1"/>
        <v>#NAME?</v>
      </c>
      <c r="I397" s="51" t="e">
        <f ca="1"/>
        <v>#NAME?</v>
      </c>
      <c r="J397" s="51" t="e">
        <f ca="1"/>
        <v>#NAME?</v>
      </c>
      <c r="K397" s="47" t="e">
        <f ca="1"/>
        <v>#NAME?</v>
      </c>
      <c r="L397" s="47" t="e">
        <f ca="1"/>
        <v>#NAME?</v>
      </c>
      <c r="M397" s="47" t="e">
        <f ca="1"/>
        <v>#NAME?</v>
      </c>
      <c r="N397" s="47"/>
    </row>
    <row r="398" spans="1:14" ht="14.25" customHeight="1">
      <c r="A398" s="26">
        <v>14</v>
      </c>
      <c r="B398" s="78"/>
      <c r="C398" s="63" t="s">
        <v>9252</v>
      </c>
      <c r="D398" s="63" t="e">
        <f ca="1"/>
        <v>#NAME?</v>
      </c>
      <c r="E398" s="63" t="e">
        <f ca="1"/>
        <v>#NAME?</v>
      </c>
      <c r="F398" s="63" t="e">
        <f ca="1"/>
        <v>#NAME?</v>
      </c>
      <c r="G398" s="63" t="e">
        <f ca="1"/>
        <v>#NAME?</v>
      </c>
      <c r="H398" s="81" t="e">
        <f ca="1"/>
        <v>#NAME?</v>
      </c>
      <c r="I398" s="51" t="e">
        <f ca="1"/>
        <v>#NAME?</v>
      </c>
      <c r="J398" s="51" t="e">
        <f ca="1"/>
        <v>#NAME?</v>
      </c>
      <c r="K398" s="47" t="e">
        <f ca="1"/>
        <v>#NAME?</v>
      </c>
      <c r="L398" s="47" t="e">
        <f ca="1"/>
        <v>#NAME?</v>
      </c>
      <c r="M398" s="47" t="e">
        <f ca="1"/>
        <v>#NAME?</v>
      </c>
      <c r="N398" s="47"/>
    </row>
    <row r="399" spans="1:14" ht="14.25" customHeight="1">
      <c r="A399" s="26">
        <v>15</v>
      </c>
      <c r="B399" s="78"/>
      <c r="C399" s="63" t="s">
        <v>9262</v>
      </c>
      <c r="D399" s="63" t="e">
        <f ca="1"/>
        <v>#NAME?</v>
      </c>
      <c r="E399" s="63" t="e">
        <f ca="1"/>
        <v>#NAME?</v>
      </c>
      <c r="F399" s="63" t="e">
        <f ca="1"/>
        <v>#NAME?</v>
      </c>
      <c r="G399" s="63" t="e">
        <f ca="1"/>
        <v>#NAME?</v>
      </c>
      <c r="H399" s="81" t="e">
        <f ca="1"/>
        <v>#NAME?</v>
      </c>
      <c r="I399" s="51" t="e">
        <f ca="1"/>
        <v>#NAME?</v>
      </c>
      <c r="J399" s="51" t="e">
        <f ca="1"/>
        <v>#NAME?</v>
      </c>
      <c r="K399" s="47" t="e">
        <f ca="1"/>
        <v>#NAME?</v>
      </c>
      <c r="L399" s="47" t="e">
        <f ca="1"/>
        <v>#NAME?</v>
      </c>
      <c r="M399" s="47" t="e">
        <f ca="1"/>
        <v>#NAME?</v>
      </c>
      <c r="N399" s="47"/>
    </row>
    <row r="400" spans="1:14" ht="14.25" customHeight="1">
      <c r="A400" s="26">
        <v>16</v>
      </c>
      <c r="B400" s="78"/>
      <c r="C400" s="63" t="s">
        <v>9272</v>
      </c>
      <c r="D400" s="63" t="e">
        <f ca="1"/>
        <v>#NAME?</v>
      </c>
      <c r="E400" s="63" t="e">
        <f ca="1"/>
        <v>#NAME?</v>
      </c>
      <c r="F400" s="63" t="e">
        <f ca="1"/>
        <v>#NAME?</v>
      </c>
      <c r="G400" s="63" t="e">
        <f ca="1"/>
        <v>#NAME?</v>
      </c>
      <c r="H400" s="81" t="e">
        <f ca="1"/>
        <v>#NAME?</v>
      </c>
      <c r="I400" s="51" t="e">
        <f ca="1"/>
        <v>#NAME?</v>
      </c>
      <c r="J400" s="51" t="e">
        <f ca="1"/>
        <v>#NAME?</v>
      </c>
      <c r="K400" s="47" t="e">
        <f ca="1"/>
        <v>#NAME?</v>
      </c>
      <c r="L400" s="47" t="e">
        <f ca="1"/>
        <v>#NAME?</v>
      </c>
      <c r="M400" s="47" t="e">
        <f ca="1"/>
        <v>#NAME?</v>
      </c>
      <c r="N400" s="47"/>
    </row>
    <row r="401" spans="1:14" ht="14.25" customHeight="1">
      <c r="A401" s="26">
        <v>17</v>
      </c>
      <c r="B401" s="78"/>
      <c r="C401" s="63" t="s">
        <v>9281</v>
      </c>
      <c r="D401" s="63" t="e">
        <f ca="1"/>
        <v>#NAME?</v>
      </c>
      <c r="E401" s="63" t="e">
        <f ca="1"/>
        <v>#NAME?</v>
      </c>
      <c r="F401" s="63" t="e">
        <f ca="1"/>
        <v>#NAME?</v>
      </c>
      <c r="G401" s="63" t="e">
        <f ca="1"/>
        <v>#NAME?</v>
      </c>
      <c r="H401" s="81" t="e">
        <f ca="1"/>
        <v>#NAME?</v>
      </c>
      <c r="I401" s="51" t="e">
        <f ca="1"/>
        <v>#NAME?</v>
      </c>
      <c r="J401" s="51" t="e">
        <f ca="1"/>
        <v>#NAME?</v>
      </c>
      <c r="K401" s="47" t="e">
        <f ca="1"/>
        <v>#NAME?</v>
      </c>
      <c r="L401" s="47" t="e">
        <f ca="1"/>
        <v>#NAME?</v>
      </c>
      <c r="M401" s="47" t="e">
        <f ca="1"/>
        <v>#NAME?</v>
      </c>
      <c r="N401" s="47"/>
    </row>
    <row r="402" spans="1:14" ht="14.25" customHeight="1">
      <c r="A402" s="26">
        <v>18</v>
      </c>
      <c r="B402" s="78"/>
      <c r="C402" s="63" t="s">
        <v>9291</v>
      </c>
      <c r="D402" s="63" t="e">
        <f ca="1"/>
        <v>#NAME?</v>
      </c>
      <c r="E402" s="63" t="e">
        <f ca="1"/>
        <v>#NAME?</v>
      </c>
      <c r="F402" s="63" t="e">
        <f ca="1"/>
        <v>#NAME?</v>
      </c>
      <c r="G402" s="63" t="e">
        <f ca="1"/>
        <v>#NAME?</v>
      </c>
      <c r="H402" s="81" t="e">
        <f ca="1"/>
        <v>#NAME?</v>
      </c>
      <c r="I402" s="51" t="e">
        <f ca="1"/>
        <v>#NAME?</v>
      </c>
      <c r="J402" s="51" t="e">
        <f ca="1"/>
        <v>#NAME?</v>
      </c>
      <c r="K402" s="47" t="e">
        <f ca="1"/>
        <v>#NAME?</v>
      </c>
      <c r="L402" s="47" t="e">
        <f ca="1"/>
        <v>#NAME?</v>
      </c>
      <c r="M402" s="47" t="e">
        <f ca="1"/>
        <v>#NAME?</v>
      </c>
      <c r="N402" s="47"/>
    </row>
    <row r="403" spans="1:14" ht="14.25" customHeight="1">
      <c r="A403" s="26">
        <v>19</v>
      </c>
      <c r="B403" s="47"/>
      <c r="C403" s="63" t="s">
        <v>9300</v>
      </c>
      <c r="D403" s="63" t="e">
        <f ca="1"/>
        <v>#NAME?</v>
      </c>
      <c r="E403" s="63" t="e">
        <f ca="1"/>
        <v>#NAME?</v>
      </c>
      <c r="F403" s="63" t="e">
        <f ca="1"/>
        <v>#NAME?</v>
      </c>
      <c r="G403" s="63" t="e">
        <f ca="1"/>
        <v>#NAME?</v>
      </c>
      <c r="H403" s="81" t="e">
        <f ca="1"/>
        <v>#NAME?</v>
      </c>
      <c r="I403" s="51" t="e">
        <f ca="1"/>
        <v>#NAME?</v>
      </c>
      <c r="J403" s="51" t="e">
        <f ca="1"/>
        <v>#NAME?</v>
      </c>
      <c r="K403" s="47" t="e">
        <f ca="1"/>
        <v>#NAME?</v>
      </c>
      <c r="L403" s="47" t="e">
        <f ca="1"/>
        <v>#NAME?</v>
      </c>
      <c r="M403" s="47" t="e">
        <f ca="1"/>
        <v>#NAME?</v>
      </c>
      <c r="N403" s="47"/>
    </row>
    <row r="404" spans="1:14" ht="14.25" customHeight="1">
      <c r="A404" s="26">
        <v>20</v>
      </c>
      <c r="B404" s="47"/>
      <c r="C404" s="63" t="s">
        <v>9310</v>
      </c>
      <c r="D404" s="63" t="e">
        <f ca="1"/>
        <v>#NAME?</v>
      </c>
      <c r="E404" s="63" t="e">
        <f ca="1"/>
        <v>#NAME?</v>
      </c>
      <c r="F404" s="63" t="e">
        <f ca="1"/>
        <v>#NAME?</v>
      </c>
      <c r="G404" s="63" t="e">
        <f ca="1"/>
        <v>#NAME?</v>
      </c>
      <c r="H404" s="81" t="e">
        <f ca="1"/>
        <v>#NAME?</v>
      </c>
      <c r="I404" s="51" t="e">
        <f ca="1"/>
        <v>#NAME?</v>
      </c>
      <c r="J404" s="51" t="e">
        <f ca="1"/>
        <v>#NAME?</v>
      </c>
      <c r="K404" s="47" t="e">
        <f ca="1"/>
        <v>#NAME?</v>
      </c>
      <c r="L404" s="47" t="e">
        <f ca="1"/>
        <v>#NAME?</v>
      </c>
      <c r="M404" s="47" t="e">
        <f ca="1"/>
        <v>#NAME?</v>
      </c>
      <c r="N404" s="47"/>
    </row>
    <row r="405" spans="1:14" ht="14.25" customHeight="1">
      <c r="A405" s="26">
        <v>21</v>
      </c>
      <c r="B405" s="47"/>
      <c r="C405" s="63" t="s">
        <v>9320</v>
      </c>
      <c r="D405" s="63" t="e">
        <f ca="1"/>
        <v>#NAME?</v>
      </c>
      <c r="E405" s="63" t="e">
        <f ca="1"/>
        <v>#NAME?</v>
      </c>
      <c r="F405" s="63" t="e">
        <f ca="1"/>
        <v>#NAME?</v>
      </c>
      <c r="G405" s="63" t="e">
        <f ca="1"/>
        <v>#NAME?</v>
      </c>
      <c r="H405" s="81" t="e">
        <f ca="1"/>
        <v>#NAME?</v>
      </c>
      <c r="I405" s="51" t="e">
        <f ca="1"/>
        <v>#NAME?</v>
      </c>
      <c r="J405" s="51" t="e">
        <f ca="1"/>
        <v>#NAME?</v>
      </c>
      <c r="K405" s="47" t="e">
        <f ca="1"/>
        <v>#NAME?</v>
      </c>
      <c r="L405" s="47" t="e">
        <f ca="1"/>
        <v>#NAME?</v>
      </c>
      <c r="M405" s="47" t="e">
        <f ca="1"/>
        <v>#NAME?</v>
      </c>
      <c r="N405" s="47"/>
    </row>
    <row r="406" spans="1:14" ht="14.25" customHeight="1">
      <c r="A406" s="26">
        <v>22</v>
      </c>
      <c r="B406" s="78"/>
      <c r="C406" s="63" t="s">
        <v>9330</v>
      </c>
      <c r="D406" s="63" t="e">
        <f ca="1"/>
        <v>#NAME?</v>
      </c>
      <c r="E406" s="63" t="e">
        <f ca="1"/>
        <v>#NAME?</v>
      </c>
      <c r="F406" s="63" t="e">
        <f ca="1"/>
        <v>#NAME?</v>
      </c>
      <c r="G406" s="63" t="e">
        <f ca="1"/>
        <v>#NAME?</v>
      </c>
      <c r="H406" s="81" t="e">
        <f ca="1"/>
        <v>#NAME?</v>
      </c>
      <c r="I406" s="51" t="e">
        <f ca="1"/>
        <v>#NAME?</v>
      </c>
      <c r="J406" s="51" t="e">
        <f ca="1"/>
        <v>#NAME?</v>
      </c>
      <c r="K406" s="47" t="e">
        <f ca="1"/>
        <v>#NAME?</v>
      </c>
      <c r="L406" s="47" t="e">
        <f ca="1"/>
        <v>#NAME?</v>
      </c>
      <c r="M406" s="47" t="e">
        <f ca="1"/>
        <v>#NAME?</v>
      </c>
      <c r="N406" s="47"/>
    </row>
    <row r="407" spans="1:14" ht="14.25" customHeight="1">
      <c r="A407" s="26">
        <v>23</v>
      </c>
      <c r="B407" s="47"/>
      <c r="C407" s="63" t="s">
        <v>9340</v>
      </c>
      <c r="D407" s="63" t="e">
        <f ca="1"/>
        <v>#NAME?</v>
      </c>
      <c r="E407" s="63" t="e">
        <f ca="1"/>
        <v>#NAME?</v>
      </c>
      <c r="F407" s="63" t="e">
        <f ca="1"/>
        <v>#NAME?</v>
      </c>
      <c r="G407" s="63" t="e">
        <f ca="1"/>
        <v>#NAME?</v>
      </c>
      <c r="H407" s="81" t="e">
        <f ca="1"/>
        <v>#NAME?</v>
      </c>
      <c r="I407" s="51" t="e">
        <f ca="1"/>
        <v>#NAME?</v>
      </c>
      <c r="J407" s="51" t="e">
        <f ca="1"/>
        <v>#NAME?</v>
      </c>
      <c r="K407" s="47" t="e">
        <f ca="1"/>
        <v>#NAME?</v>
      </c>
      <c r="L407" s="47" t="e">
        <f ca="1"/>
        <v>#NAME?</v>
      </c>
      <c r="M407" s="47" t="e">
        <f ca="1"/>
        <v>#NAME?</v>
      </c>
      <c r="N407" s="47"/>
    </row>
    <row r="408" spans="1:14" ht="14.25" customHeight="1">
      <c r="A408" s="26">
        <v>24</v>
      </c>
      <c r="B408" s="78"/>
      <c r="C408" s="63" t="s">
        <v>9350</v>
      </c>
      <c r="D408" s="63" t="e">
        <f ca="1"/>
        <v>#NAME?</v>
      </c>
      <c r="E408" s="63" t="e">
        <f ca="1"/>
        <v>#NAME?</v>
      </c>
      <c r="F408" s="63" t="e">
        <f ca="1"/>
        <v>#NAME?</v>
      </c>
      <c r="G408" s="63" t="e">
        <f ca="1"/>
        <v>#NAME?</v>
      </c>
      <c r="H408" s="81" t="e">
        <f ca="1"/>
        <v>#NAME?</v>
      </c>
      <c r="I408" s="51" t="e">
        <f ca="1"/>
        <v>#NAME?</v>
      </c>
      <c r="J408" s="51" t="e">
        <f ca="1"/>
        <v>#NAME?</v>
      </c>
      <c r="K408" s="47" t="e">
        <f ca="1"/>
        <v>#NAME?</v>
      </c>
      <c r="L408" s="47" t="e">
        <f ca="1"/>
        <v>#NAME?</v>
      </c>
      <c r="M408" s="47" t="e">
        <f ca="1"/>
        <v>#NAME?</v>
      </c>
      <c r="N408" s="47"/>
    </row>
    <row r="409" spans="1:14" ht="14.25" customHeight="1">
      <c r="A409" s="26">
        <v>25</v>
      </c>
      <c r="B409" s="78"/>
      <c r="C409" s="63" t="s">
        <v>9360</v>
      </c>
      <c r="D409" s="63" t="e">
        <f ca="1"/>
        <v>#NAME?</v>
      </c>
      <c r="E409" s="63" t="e">
        <f ca="1"/>
        <v>#NAME?</v>
      </c>
      <c r="F409" s="63" t="e">
        <f ca="1"/>
        <v>#NAME?</v>
      </c>
      <c r="G409" s="63" t="e">
        <f ca="1"/>
        <v>#NAME?</v>
      </c>
      <c r="H409" s="81" t="e">
        <f ca="1"/>
        <v>#NAME?</v>
      </c>
      <c r="I409" s="51" t="e">
        <f ca="1"/>
        <v>#NAME?</v>
      </c>
      <c r="J409" s="51" t="e">
        <f ca="1"/>
        <v>#NAME?</v>
      </c>
      <c r="K409" s="47" t="e">
        <f ca="1"/>
        <v>#NAME?</v>
      </c>
      <c r="L409" s="47" t="e">
        <f ca="1"/>
        <v>#NAME?</v>
      </c>
      <c r="M409" s="47" t="e">
        <f ca="1"/>
        <v>#NAME?</v>
      </c>
      <c r="N409" s="47"/>
    </row>
    <row r="410" spans="1:14" ht="14.25" customHeight="1">
      <c r="A410" s="19">
        <v>1</v>
      </c>
      <c r="B410" s="47"/>
      <c r="C410" s="90" t="s">
        <v>9370</v>
      </c>
      <c r="D410" s="90" t="e">
        <f ca="1"/>
        <v>#NAME?</v>
      </c>
      <c r="E410" s="90" t="e">
        <f ca="1"/>
        <v>#NAME?</v>
      </c>
      <c r="F410" s="90" t="e">
        <f ca="1"/>
        <v>#NAME?</v>
      </c>
      <c r="G410" s="90" t="e">
        <f ca="1"/>
        <v>#NAME?</v>
      </c>
      <c r="H410" s="142" t="e">
        <f ca="1"/>
        <v>#NAME?</v>
      </c>
      <c r="I410" s="92" t="e">
        <f ca="1"/>
        <v>#NAME?</v>
      </c>
      <c r="J410" s="92" t="e">
        <f ca="1"/>
        <v>#NAME?</v>
      </c>
      <c r="K410" s="88" t="e">
        <f ca="1"/>
        <v>#NAME?</v>
      </c>
      <c r="L410" s="88" t="e">
        <f ca="1"/>
        <v>#NAME?</v>
      </c>
      <c r="M410" s="88" t="e">
        <f ca="1"/>
        <v>#NAME?</v>
      </c>
      <c r="N410" s="88">
        <v>16</v>
      </c>
    </row>
    <row r="411" spans="1:14" ht="14.25" customHeight="1">
      <c r="A411" s="26">
        <v>2</v>
      </c>
      <c r="B411" s="47"/>
      <c r="C411" s="63" t="s">
        <v>9380</v>
      </c>
      <c r="D411" s="63" t="e">
        <f ca="1"/>
        <v>#NAME?</v>
      </c>
      <c r="E411" s="63" t="e">
        <f ca="1"/>
        <v>#NAME?</v>
      </c>
      <c r="F411" s="63" t="e">
        <f ca="1"/>
        <v>#NAME?</v>
      </c>
      <c r="G411" s="63" t="e">
        <f ca="1"/>
        <v>#NAME?</v>
      </c>
      <c r="H411" s="81" t="e">
        <f ca="1"/>
        <v>#NAME?</v>
      </c>
      <c r="I411" s="51" t="e">
        <f ca="1"/>
        <v>#NAME?</v>
      </c>
      <c r="J411" s="51" t="e">
        <f ca="1"/>
        <v>#NAME?</v>
      </c>
      <c r="K411" s="47" t="e">
        <f ca="1"/>
        <v>#NAME?</v>
      </c>
      <c r="L411" s="47" t="e">
        <f ca="1"/>
        <v>#NAME?</v>
      </c>
      <c r="M411" s="47" t="e">
        <f ca="1"/>
        <v>#NAME?</v>
      </c>
      <c r="N411" s="47"/>
    </row>
    <row r="412" spans="1:14" ht="14.25" customHeight="1">
      <c r="A412" s="26">
        <v>3</v>
      </c>
      <c r="B412" s="78"/>
      <c r="C412" s="63" t="s">
        <v>3800</v>
      </c>
      <c r="D412" s="63" t="e">
        <f ca="1"/>
        <v>#NAME?</v>
      </c>
      <c r="E412" s="63" t="e">
        <f ca="1"/>
        <v>#NAME?</v>
      </c>
      <c r="F412" s="63" t="e">
        <f ca="1"/>
        <v>#NAME?</v>
      </c>
      <c r="G412" s="63" t="e">
        <f ca="1"/>
        <v>#NAME?</v>
      </c>
      <c r="H412" s="81" t="e">
        <f ca="1"/>
        <v>#NAME?</v>
      </c>
      <c r="I412" s="51" t="e">
        <f ca="1"/>
        <v>#NAME?</v>
      </c>
      <c r="J412" s="51" t="e">
        <f ca="1"/>
        <v>#NAME?</v>
      </c>
      <c r="K412" s="47" t="e">
        <f ca="1"/>
        <v>#NAME?</v>
      </c>
      <c r="L412" s="47" t="e">
        <f ca="1"/>
        <v>#NAME?</v>
      </c>
      <c r="M412" s="47" t="e">
        <f ca="1"/>
        <v>#NAME?</v>
      </c>
      <c r="N412" s="47"/>
    </row>
    <row r="413" spans="1:14" ht="14.25" customHeight="1">
      <c r="A413" s="26">
        <v>4</v>
      </c>
      <c r="B413" s="47"/>
      <c r="C413" s="63" t="s">
        <v>9397</v>
      </c>
      <c r="D413" s="63" t="e">
        <f ca="1"/>
        <v>#NAME?</v>
      </c>
      <c r="E413" s="63" t="e">
        <f ca="1"/>
        <v>#NAME?</v>
      </c>
      <c r="F413" s="63" t="e">
        <f ca="1"/>
        <v>#NAME?</v>
      </c>
      <c r="G413" s="63" t="e">
        <f ca="1"/>
        <v>#NAME?</v>
      </c>
      <c r="H413" s="81" t="e">
        <f ca="1"/>
        <v>#NAME?</v>
      </c>
      <c r="I413" s="51" t="e">
        <f ca="1"/>
        <v>#NAME?</v>
      </c>
      <c r="J413" s="51" t="e">
        <f ca="1"/>
        <v>#NAME?</v>
      </c>
      <c r="K413" s="47" t="e">
        <f ca="1"/>
        <v>#NAME?</v>
      </c>
      <c r="L413" s="47" t="e">
        <f ca="1"/>
        <v>#NAME?</v>
      </c>
      <c r="M413" s="47" t="e">
        <f ca="1"/>
        <v>#NAME?</v>
      </c>
      <c r="N413" s="47"/>
    </row>
    <row r="414" spans="1:14" ht="14.25" customHeight="1">
      <c r="A414" s="26">
        <v>5</v>
      </c>
      <c r="B414" s="78"/>
      <c r="C414" s="63" t="s">
        <v>11003</v>
      </c>
      <c r="D414" s="63" t="e">
        <f ca="1"/>
        <v>#NAME?</v>
      </c>
      <c r="E414" s="63" t="e">
        <f ca="1"/>
        <v>#NAME?</v>
      </c>
      <c r="F414" s="63" t="e">
        <f ca="1"/>
        <v>#NAME?</v>
      </c>
      <c r="G414" s="63" t="e">
        <f ca="1"/>
        <v>#NAME?</v>
      </c>
      <c r="H414" s="81" t="e">
        <f ca="1"/>
        <v>#NAME?</v>
      </c>
      <c r="I414" s="51" t="e">
        <f ca="1"/>
        <v>#NAME?</v>
      </c>
      <c r="J414" s="51" t="e">
        <f ca="1"/>
        <v>#NAME?</v>
      </c>
      <c r="K414" s="47" t="e">
        <f ca="1"/>
        <v>#NAME?</v>
      </c>
      <c r="L414" s="47" t="e">
        <f ca="1"/>
        <v>#NAME?</v>
      </c>
      <c r="M414" s="47" t="e">
        <f ca="1"/>
        <v>#NAME?</v>
      </c>
      <c r="N414" s="47"/>
    </row>
    <row r="415" spans="1:14" ht="14.25" customHeight="1">
      <c r="A415" s="26">
        <v>6</v>
      </c>
      <c r="B415" s="47"/>
      <c r="C415" s="63" t="s">
        <v>5172</v>
      </c>
      <c r="D415" s="63" t="e">
        <f ca="1"/>
        <v>#NAME?</v>
      </c>
      <c r="E415" s="63" t="e">
        <f ca="1"/>
        <v>#NAME?</v>
      </c>
      <c r="F415" s="63" t="e">
        <f ca="1"/>
        <v>#NAME?</v>
      </c>
      <c r="G415" s="63" t="e">
        <f ca="1"/>
        <v>#NAME?</v>
      </c>
      <c r="H415" s="81" t="e">
        <f ca="1"/>
        <v>#NAME?</v>
      </c>
      <c r="I415" s="51" t="e">
        <f ca="1"/>
        <v>#NAME?</v>
      </c>
      <c r="J415" s="51" t="e">
        <f ca="1"/>
        <v>#NAME?</v>
      </c>
      <c r="K415" s="47" t="e">
        <f ca="1"/>
        <v>#NAME?</v>
      </c>
      <c r="L415" s="47" t="e">
        <f ca="1"/>
        <v>#NAME?</v>
      </c>
      <c r="M415" s="47" t="e">
        <f ca="1"/>
        <v>#NAME?</v>
      </c>
      <c r="N415" s="47"/>
    </row>
    <row r="416" spans="1:14" ht="14.25" customHeight="1">
      <c r="A416" s="26">
        <v>7</v>
      </c>
      <c r="B416" s="78"/>
      <c r="C416" s="63" t="s">
        <v>9421</v>
      </c>
      <c r="D416" s="63" t="e">
        <f ca="1"/>
        <v>#NAME?</v>
      </c>
      <c r="E416" s="63" t="e">
        <f ca="1"/>
        <v>#NAME?</v>
      </c>
      <c r="F416" s="63" t="e">
        <f ca="1"/>
        <v>#NAME?</v>
      </c>
      <c r="G416" s="63" t="e">
        <f ca="1"/>
        <v>#NAME?</v>
      </c>
      <c r="H416" s="81" t="e">
        <f ca="1"/>
        <v>#NAME?</v>
      </c>
      <c r="I416" s="51" t="e">
        <f ca="1"/>
        <v>#NAME?</v>
      </c>
      <c r="J416" s="51" t="e">
        <f ca="1"/>
        <v>#NAME?</v>
      </c>
      <c r="K416" s="47" t="e">
        <f ca="1"/>
        <v>#NAME?</v>
      </c>
      <c r="L416" s="47" t="e">
        <f ca="1"/>
        <v>#NAME?</v>
      </c>
      <c r="M416" s="47" t="e">
        <f ca="1"/>
        <v>#NAME?</v>
      </c>
      <c r="N416" s="47"/>
    </row>
    <row r="417" spans="1:14" ht="14.25" customHeight="1">
      <c r="A417" s="26">
        <v>8</v>
      </c>
      <c r="B417" s="47"/>
      <c r="C417" s="63" t="s">
        <v>9431</v>
      </c>
      <c r="D417" s="63" t="e">
        <f ca="1"/>
        <v>#NAME?</v>
      </c>
      <c r="E417" s="63" t="e">
        <f ca="1"/>
        <v>#NAME?</v>
      </c>
      <c r="F417" s="63" t="e">
        <f ca="1"/>
        <v>#NAME?</v>
      </c>
      <c r="G417" s="63" t="e">
        <f ca="1"/>
        <v>#NAME?</v>
      </c>
      <c r="H417" s="81" t="e">
        <f ca="1"/>
        <v>#NAME?</v>
      </c>
      <c r="I417" s="51" t="e">
        <f ca="1"/>
        <v>#NAME?</v>
      </c>
      <c r="J417" s="51" t="e">
        <f ca="1"/>
        <v>#NAME?</v>
      </c>
      <c r="K417" s="47" t="e">
        <f ca="1"/>
        <v>#NAME?</v>
      </c>
      <c r="L417" s="47" t="e">
        <f ca="1"/>
        <v>#NAME?</v>
      </c>
      <c r="M417" s="47" t="e">
        <f ca="1"/>
        <v>#NAME?</v>
      </c>
      <c r="N417" s="47"/>
    </row>
    <row r="418" spans="1:14" ht="14.25" customHeight="1">
      <c r="A418" s="26">
        <v>9</v>
      </c>
      <c r="B418" s="78"/>
      <c r="C418" s="63" t="s">
        <v>9441</v>
      </c>
      <c r="D418" s="63" t="e">
        <f ca="1"/>
        <v>#NAME?</v>
      </c>
      <c r="E418" s="63" t="e">
        <f ca="1"/>
        <v>#NAME?</v>
      </c>
      <c r="F418" s="63" t="e">
        <f ca="1"/>
        <v>#NAME?</v>
      </c>
      <c r="G418" s="63" t="e">
        <f ca="1"/>
        <v>#NAME?</v>
      </c>
      <c r="H418" s="81" t="e">
        <f ca="1"/>
        <v>#NAME?</v>
      </c>
      <c r="I418" s="51" t="e">
        <f ca="1"/>
        <v>#NAME?</v>
      </c>
      <c r="J418" s="51" t="e">
        <f ca="1"/>
        <v>#NAME?</v>
      </c>
      <c r="K418" s="47" t="e">
        <f ca="1"/>
        <v>#NAME?</v>
      </c>
      <c r="L418" s="47" t="e">
        <f ca="1"/>
        <v>#NAME?</v>
      </c>
      <c r="M418" s="47" t="e">
        <f ca="1"/>
        <v>#NAME?</v>
      </c>
      <c r="N418" s="47"/>
    </row>
    <row r="419" spans="1:14" ht="14.25" customHeight="1">
      <c r="A419" s="26">
        <v>10</v>
      </c>
      <c r="B419" s="47"/>
      <c r="C419" s="63" t="s">
        <v>9451</v>
      </c>
      <c r="D419" s="63" t="e">
        <f ca="1"/>
        <v>#NAME?</v>
      </c>
      <c r="E419" s="63" t="e">
        <f ca="1"/>
        <v>#NAME?</v>
      </c>
      <c r="F419" s="63" t="e">
        <f ca="1"/>
        <v>#NAME?</v>
      </c>
      <c r="G419" s="63" t="e">
        <f ca="1"/>
        <v>#NAME?</v>
      </c>
      <c r="H419" s="81" t="e">
        <f ca="1"/>
        <v>#NAME?</v>
      </c>
      <c r="I419" s="51" t="e">
        <f ca="1"/>
        <v>#NAME?</v>
      </c>
      <c r="J419" s="51" t="e">
        <f ca="1"/>
        <v>#NAME?</v>
      </c>
      <c r="K419" s="47" t="e">
        <f ca="1"/>
        <v>#NAME?</v>
      </c>
      <c r="L419" s="47" t="e">
        <f ca="1"/>
        <v>#NAME?</v>
      </c>
      <c r="M419" s="47" t="e">
        <f ca="1"/>
        <v>#NAME?</v>
      </c>
      <c r="N419" s="47"/>
    </row>
    <row r="420" spans="1:14" ht="14.25" customHeight="1">
      <c r="A420" s="26">
        <v>11</v>
      </c>
      <c r="B420" s="78"/>
      <c r="C420" s="63" t="s">
        <v>9461</v>
      </c>
      <c r="D420" s="63" t="e">
        <f ca="1"/>
        <v>#NAME?</v>
      </c>
      <c r="E420" s="63" t="e">
        <f ca="1"/>
        <v>#NAME?</v>
      </c>
      <c r="F420" s="63" t="e">
        <f ca="1"/>
        <v>#NAME?</v>
      </c>
      <c r="G420" s="63" t="e">
        <f ca="1"/>
        <v>#NAME?</v>
      </c>
      <c r="H420" s="81" t="e">
        <f ca="1"/>
        <v>#NAME?</v>
      </c>
      <c r="I420" s="51" t="e">
        <f ca="1"/>
        <v>#NAME?</v>
      </c>
      <c r="J420" s="51" t="e">
        <f ca="1"/>
        <v>#NAME?</v>
      </c>
      <c r="K420" s="47" t="e">
        <f ca="1"/>
        <v>#NAME?</v>
      </c>
      <c r="L420" s="47" t="e">
        <f ca="1"/>
        <v>#NAME?</v>
      </c>
      <c r="M420" s="47" t="e">
        <f ca="1"/>
        <v>#NAME?</v>
      </c>
      <c r="N420" s="47"/>
    </row>
    <row r="421" spans="1:14" ht="14.25" customHeight="1">
      <c r="A421" s="26">
        <v>12</v>
      </c>
      <c r="B421" s="47"/>
      <c r="C421" s="63" t="s">
        <v>9471</v>
      </c>
      <c r="D421" s="63" t="e">
        <f ca="1"/>
        <v>#NAME?</v>
      </c>
      <c r="E421" s="63" t="e">
        <f ca="1"/>
        <v>#NAME?</v>
      </c>
      <c r="F421" s="63" t="e">
        <f ca="1"/>
        <v>#NAME?</v>
      </c>
      <c r="G421" s="63" t="e">
        <f ca="1"/>
        <v>#NAME?</v>
      </c>
      <c r="H421" s="81" t="e">
        <f ca="1"/>
        <v>#NAME?</v>
      </c>
      <c r="I421" s="51" t="e">
        <f ca="1"/>
        <v>#NAME?</v>
      </c>
      <c r="J421" s="51" t="e">
        <f ca="1"/>
        <v>#NAME?</v>
      </c>
      <c r="K421" s="47" t="e">
        <f ca="1"/>
        <v>#NAME?</v>
      </c>
      <c r="L421" s="47" t="e">
        <f ca="1"/>
        <v>#NAME?</v>
      </c>
      <c r="M421" s="47" t="e">
        <f ca="1"/>
        <v>#NAME?</v>
      </c>
      <c r="N421" s="47"/>
    </row>
    <row r="422" spans="1:14" ht="14.25" customHeight="1">
      <c r="A422" s="26">
        <v>13</v>
      </c>
      <c r="B422" s="47"/>
      <c r="C422" s="63" t="s">
        <v>9481</v>
      </c>
      <c r="D422" s="63" t="e">
        <f ca="1"/>
        <v>#NAME?</v>
      </c>
      <c r="E422" s="63" t="e">
        <f ca="1"/>
        <v>#NAME?</v>
      </c>
      <c r="F422" s="63" t="e">
        <f ca="1"/>
        <v>#NAME?</v>
      </c>
      <c r="G422" s="63" t="e">
        <f ca="1"/>
        <v>#NAME?</v>
      </c>
      <c r="H422" s="81" t="e">
        <f ca="1"/>
        <v>#NAME?</v>
      </c>
      <c r="I422" s="51" t="e">
        <f ca="1"/>
        <v>#NAME?</v>
      </c>
      <c r="J422" s="51" t="e">
        <f ca="1"/>
        <v>#NAME?</v>
      </c>
      <c r="K422" s="47" t="e">
        <f ca="1"/>
        <v>#NAME?</v>
      </c>
      <c r="L422" s="47" t="e">
        <f ca="1"/>
        <v>#NAME?</v>
      </c>
      <c r="M422" s="47" t="e">
        <f ca="1"/>
        <v>#NAME?</v>
      </c>
      <c r="N422" s="47"/>
    </row>
    <row r="423" spans="1:14" ht="14.25" customHeight="1">
      <c r="A423" s="26">
        <v>14</v>
      </c>
      <c r="B423" s="47"/>
      <c r="C423" s="63" t="s">
        <v>9491</v>
      </c>
      <c r="D423" s="63" t="e">
        <f ca="1"/>
        <v>#NAME?</v>
      </c>
      <c r="E423" s="63" t="e">
        <f ca="1"/>
        <v>#NAME?</v>
      </c>
      <c r="F423" s="63" t="e">
        <f ca="1"/>
        <v>#NAME?</v>
      </c>
      <c r="G423" s="63" t="e">
        <f ca="1"/>
        <v>#NAME?</v>
      </c>
      <c r="H423" s="81" t="e">
        <f ca="1"/>
        <v>#NAME?</v>
      </c>
      <c r="I423" s="51" t="e">
        <f ca="1"/>
        <v>#NAME?</v>
      </c>
      <c r="J423" s="51" t="e">
        <f ca="1"/>
        <v>#NAME?</v>
      </c>
      <c r="K423" s="47" t="e">
        <f ca="1"/>
        <v>#NAME?</v>
      </c>
      <c r="L423" s="47" t="e">
        <f ca="1"/>
        <v>#NAME?</v>
      </c>
      <c r="M423" s="47" t="e">
        <f ca="1"/>
        <v>#NAME?</v>
      </c>
      <c r="N423" s="47"/>
    </row>
    <row r="424" spans="1:14" ht="14.25" customHeight="1">
      <c r="A424" s="26">
        <v>15</v>
      </c>
      <c r="B424" s="78"/>
      <c r="C424" s="63" t="s">
        <v>9501</v>
      </c>
      <c r="D424" s="63" t="e">
        <f ca="1"/>
        <v>#NAME?</v>
      </c>
      <c r="E424" s="63" t="e">
        <f ca="1"/>
        <v>#NAME?</v>
      </c>
      <c r="F424" s="63" t="e">
        <f ca="1"/>
        <v>#NAME?</v>
      </c>
      <c r="G424" s="63" t="e">
        <f ca="1"/>
        <v>#NAME?</v>
      </c>
      <c r="H424" s="81" t="e">
        <f ca="1"/>
        <v>#NAME?</v>
      </c>
      <c r="I424" s="51" t="e">
        <f ca="1"/>
        <v>#NAME?</v>
      </c>
      <c r="J424" s="51" t="e">
        <f ca="1"/>
        <v>#NAME?</v>
      </c>
      <c r="K424" s="47" t="e">
        <f ca="1"/>
        <v>#NAME?</v>
      </c>
      <c r="L424" s="47" t="e">
        <f ca="1"/>
        <v>#NAME?</v>
      </c>
      <c r="M424" s="47" t="e">
        <f ca="1"/>
        <v>#NAME?</v>
      </c>
      <c r="N424" s="47"/>
    </row>
    <row r="425" spans="1:14" ht="14.25" customHeight="1">
      <c r="A425" s="26">
        <v>16</v>
      </c>
      <c r="B425" s="78"/>
      <c r="C425" s="63" t="s">
        <v>9510</v>
      </c>
      <c r="D425" s="63" t="e">
        <f ca="1"/>
        <v>#NAME?</v>
      </c>
      <c r="E425" s="63" t="e">
        <f ca="1"/>
        <v>#NAME?</v>
      </c>
      <c r="F425" s="63" t="e">
        <f ca="1"/>
        <v>#NAME?</v>
      </c>
      <c r="G425" s="63" t="e">
        <f ca="1"/>
        <v>#NAME?</v>
      </c>
      <c r="H425" s="81" t="e">
        <f ca="1"/>
        <v>#NAME?</v>
      </c>
      <c r="I425" s="51" t="e">
        <f ca="1"/>
        <v>#NAME?</v>
      </c>
      <c r="J425" s="51" t="e">
        <f ca="1"/>
        <v>#NAME?</v>
      </c>
      <c r="K425" s="47" t="e">
        <f ca="1"/>
        <v>#NAME?</v>
      </c>
      <c r="L425" s="47" t="e">
        <f ca="1"/>
        <v>#NAME?</v>
      </c>
      <c r="M425" s="47" t="e">
        <f ca="1"/>
        <v>#NAME?</v>
      </c>
      <c r="N425" s="47"/>
    </row>
    <row r="426" spans="1:14" ht="14.25" customHeight="1">
      <c r="A426" s="26">
        <v>17</v>
      </c>
      <c r="B426" s="78"/>
      <c r="C426" s="63" t="s">
        <v>9520</v>
      </c>
      <c r="D426" s="63" t="e">
        <f ca="1"/>
        <v>#NAME?</v>
      </c>
      <c r="E426" s="63" t="e">
        <f ca="1"/>
        <v>#NAME?</v>
      </c>
      <c r="F426" s="63" t="e">
        <f ca="1"/>
        <v>#NAME?</v>
      </c>
      <c r="G426" s="63" t="e">
        <f ca="1"/>
        <v>#NAME?</v>
      </c>
      <c r="H426" s="81" t="e">
        <f ca="1"/>
        <v>#NAME?</v>
      </c>
      <c r="I426" s="51" t="e">
        <f ca="1"/>
        <v>#NAME?</v>
      </c>
      <c r="J426" s="51" t="e">
        <f ca="1"/>
        <v>#NAME?</v>
      </c>
      <c r="K426" s="47" t="e">
        <f ca="1"/>
        <v>#NAME?</v>
      </c>
      <c r="L426" s="47" t="e">
        <f ca="1"/>
        <v>#NAME?</v>
      </c>
      <c r="M426" s="47" t="e">
        <f ca="1"/>
        <v>#NAME?</v>
      </c>
      <c r="N426" s="47"/>
    </row>
    <row r="427" spans="1:14" ht="14.25" customHeight="1">
      <c r="A427" s="26">
        <v>18</v>
      </c>
      <c r="B427" s="47"/>
      <c r="C427" s="63" t="s">
        <v>9530</v>
      </c>
      <c r="D427" s="63" t="e">
        <f ca="1"/>
        <v>#NAME?</v>
      </c>
      <c r="E427" s="63" t="e">
        <f ca="1"/>
        <v>#NAME?</v>
      </c>
      <c r="F427" s="63" t="e">
        <f ca="1"/>
        <v>#NAME?</v>
      </c>
      <c r="G427" s="63" t="e">
        <f ca="1"/>
        <v>#NAME?</v>
      </c>
      <c r="H427" s="81" t="e">
        <f ca="1"/>
        <v>#NAME?</v>
      </c>
      <c r="I427" s="51" t="e">
        <f ca="1"/>
        <v>#NAME?</v>
      </c>
      <c r="J427" s="51" t="e">
        <f ca="1"/>
        <v>#NAME?</v>
      </c>
      <c r="K427" s="47" t="e">
        <f ca="1"/>
        <v>#NAME?</v>
      </c>
      <c r="L427" s="47" t="e">
        <f ca="1"/>
        <v>#NAME?</v>
      </c>
      <c r="M427" s="47" t="e">
        <f ca="1"/>
        <v>#NAME?</v>
      </c>
      <c r="N427" s="47"/>
    </row>
    <row r="428" spans="1:14" ht="14.25" customHeight="1">
      <c r="A428" s="26">
        <v>19</v>
      </c>
      <c r="B428" s="47"/>
      <c r="C428" s="63" t="s">
        <v>9540</v>
      </c>
      <c r="D428" s="63" t="e">
        <f ca="1"/>
        <v>#NAME?</v>
      </c>
      <c r="E428" s="63" t="e">
        <f ca="1"/>
        <v>#NAME?</v>
      </c>
      <c r="F428" s="63" t="e">
        <f ca="1"/>
        <v>#NAME?</v>
      </c>
      <c r="G428" s="63" t="e">
        <f ca="1"/>
        <v>#NAME?</v>
      </c>
      <c r="H428" s="81" t="e">
        <f ca="1"/>
        <v>#NAME?</v>
      </c>
      <c r="I428" s="51" t="e">
        <f ca="1"/>
        <v>#NAME?</v>
      </c>
      <c r="J428" s="51" t="e">
        <f ca="1"/>
        <v>#NAME?</v>
      </c>
      <c r="K428" s="47" t="e">
        <f ca="1"/>
        <v>#NAME?</v>
      </c>
      <c r="L428" s="47" t="e">
        <f ca="1"/>
        <v>#NAME?</v>
      </c>
      <c r="M428" s="47" t="e">
        <f ca="1"/>
        <v>#NAME?</v>
      </c>
      <c r="N428" s="47"/>
    </row>
    <row r="429" spans="1:14" ht="14.25" customHeight="1">
      <c r="A429" s="26">
        <v>20</v>
      </c>
      <c r="B429" s="47"/>
      <c r="C429" s="63" t="s">
        <v>5885</v>
      </c>
      <c r="D429" s="63" t="e">
        <f ca="1"/>
        <v>#NAME?</v>
      </c>
      <c r="E429" s="63" t="e">
        <f ca="1"/>
        <v>#NAME?</v>
      </c>
      <c r="F429" s="63" t="e">
        <f ca="1"/>
        <v>#NAME?</v>
      </c>
      <c r="G429" s="63" t="e">
        <f ca="1"/>
        <v>#NAME?</v>
      </c>
      <c r="H429" s="81" t="e">
        <f ca="1"/>
        <v>#NAME?</v>
      </c>
      <c r="I429" s="51" t="e">
        <f ca="1"/>
        <v>#NAME?</v>
      </c>
      <c r="J429" s="51" t="e">
        <f ca="1"/>
        <v>#NAME?</v>
      </c>
      <c r="K429" s="47" t="e">
        <f ca="1"/>
        <v>#NAME?</v>
      </c>
      <c r="L429" s="47" t="e">
        <f ca="1"/>
        <v>#NAME?</v>
      </c>
      <c r="M429" s="47" t="e">
        <f ca="1"/>
        <v>#NAME?</v>
      </c>
      <c r="N429" s="47"/>
    </row>
    <row r="430" spans="1:14" ht="14.25" customHeight="1">
      <c r="A430" s="26">
        <v>21</v>
      </c>
      <c r="B430" s="47"/>
      <c r="C430" s="63" t="s">
        <v>9557</v>
      </c>
      <c r="D430" s="63" t="e">
        <f ca="1"/>
        <v>#NAME?</v>
      </c>
      <c r="E430" s="63" t="e">
        <f ca="1"/>
        <v>#NAME?</v>
      </c>
      <c r="F430" s="63" t="e">
        <f ca="1"/>
        <v>#NAME?</v>
      </c>
      <c r="G430" s="63" t="e">
        <f ca="1"/>
        <v>#NAME?</v>
      </c>
      <c r="H430" s="81" t="e">
        <f ca="1"/>
        <v>#NAME?</v>
      </c>
      <c r="I430" s="51" t="e">
        <f ca="1"/>
        <v>#NAME?</v>
      </c>
      <c r="J430" s="51" t="e">
        <f ca="1"/>
        <v>#NAME?</v>
      </c>
      <c r="K430" s="47" t="e">
        <f ca="1"/>
        <v>#NAME?</v>
      </c>
      <c r="L430" s="47" t="e">
        <f ca="1"/>
        <v>#NAME?</v>
      </c>
      <c r="M430" s="47" t="e">
        <f ca="1"/>
        <v>#NAME?</v>
      </c>
      <c r="N430" s="47"/>
    </row>
    <row r="431" spans="1:14" ht="14.25" customHeight="1">
      <c r="A431" s="26">
        <v>22</v>
      </c>
      <c r="B431" s="47"/>
      <c r="C431" s="63" t="s">
        <v>9567</v>
      </c>
      <c r="D431" s="63" t="e">
        <f ca="1"/>
        <v>#NAME?</v>
      </c>
      <c r="E431" s="63" t="e">
        <f ca="1"/>
        <v>#NAME?</v>
      </c>
      <c r="F431" s="63" t="e">
        <f ca="1"/>
        <v>#NAME?</v>
      </c>
      <c r="G431" s="63" t="e">
        <f ca="1"/>
        <v>#NAME?</v>
      </c>
      <c r="H431" s="81" t="e">
        <f ca="1"/>
        <v>#NAME?</v>
      </c>
      <c r="I431" s="51" t="e">
        <f ca="1"/>
        <v>#NAME?</v>
      </c>
      <c r="J431" s="51" t="e">
        <f ca="1"/>
        <v>#NAME?</v>
      </c>
      <c r="K431" s="47" t="e">
        <f ca="1"/>
        <v>#NAME?</v>
      </c>
      <c r="L431" s="47" t="e">
        <f ca="1"/>
        <v>#NAME?</v>
      </c>
      <c r="M431" s="47" t="e">
        <f ca="1"/>
        <v>#NAME?</v>
      </c>
      <c r="N431" s="47"/>
    </row>
    <row r="432" spans="1:14" ht="14.25" customHeight="1">
      <c r="A432" s="26">
        <v>23</v>
      </c>
      <c r="B432" s="78"/>
      <c r="C432" s="63" t="s">
        <v>9576</v>
      </c>
      <c r="D432" s="63" t="e">
        <f ca="1"/>
        <v>#NAME?</v>
      </c>
      <c r="E432" s="63" t="e">
        <f ca="1"/>
        <v>#NAME?</v>
      </c>
      <c r="F432" s="63" t="e">
        <f ca="1"/>
        <v>#NAME?</v>
      </c>
      <c r="G432" s="63" t="e">
        <f ca="1"/>
        <v>#NAME?</v>
      </c>
      <c r="H432" s="81" t="e">
        <f ca="1"/>
        <v>#NAME?</v>
      </c>
      <c r="I432" s="51" t="e">
        <f ca="1"/>
        <v>#NAME?</v>
      </c>
      <c r="J432" s="51" t="e">
        <f ca="1"/>
        <v>#NAME?</v>
      </c>
      <c r="K432" s="47" t="e">
        <f ca="1"/>
        <v>#NAME?</v>
      </c>
      <c r="L432" s="47" t="e">
        <f ca="1"/>
        <v>#NAME?</v>
      </c>
      <c r="M432" s="47" t="e">
        <f ca="1"/>
        <v>#NAME?</v>
      </c>
      <c r="N432" s="47"/>
    </row>
    <row r="433" spans="1:14" ht="14.25" customHeight="1">
      <c r="A433" s="26">
        <v>24</v>
      </c>
      <c r="B433" s="47"/>
      <c r="C433" s="63" t="s">
        <v>9586</v>
      </c>
      <c r="D433" s="63" t="e">
        <f ca="1"/>
        <v>#NAME?</v>
      </c>
      <c r="E433" s="63" t="e">
        <f ca="1"/>
        <v>#NAME?</v>
      </c>
      <c r="F433" s="63" t="e">
        <f ca="1"/>
        <v>#NAME?</v>
      </c>
      <c r="G433" s="63" t="e">
        <f ca="1"/>
        <v>#NAME?</v>
      </c>
      <c r="H433" s="81" t="e">
        <f ca="1"/>
        <v>#NAME?</v>
      </c>
      <c r="I433" s="51" t="e">
        <f ca="1"/>
        <v>#NAME?</v>
      </c>
      <c r="J433" s="51" t="e">
        <f ca="1"/>
        <v>#NAME?</v>
      </c>
      <c r="K433" s="47" t="e">
        <f ca="1"/>
        <v>#NAME?</v>
      </c>
      <c r="L433" s="47" t="e">
        <f ca="1"/>
        <v>#NAME?</v>
      </c>
      <c r="M433" s="47" t="e">
        <f ca="1"/>
        <v>#NAME?</v>
      </c>
      <c r="N433" s="47"/>
    </row>
    <row r="434" spans="1:14" ht="14.25" customHeight="1">
      <c r="A434" s="26">
        <v>25</v>
      </c>
      <c r="B434" s="78"/>
      <c r="C434" s="63" t="s">
        <v>9596</v>
      </c>
      <c r="D434" s="63" t="e">
        <f ca="1"/>
        <v>#NAME?</v>
      </c>
      <c r="E434" s="63" t="e">
        <f ca="1"/>
        <v>#NAME?</v>
      </c>
      <c r="F434" s="63" t="e">
        <f ca="1"/>
        <v>#NAME?</v>
      </c>
      <c r="G434" s="63" t="e">
        <f ca="1"/>
        <v>#NAME?</v>
      </c>
      <c r="H434" s="81" t="e">
        <f ca="1"/>
        <v>#NAME?</v>
      </c>
      <c r="I434" s="51" t="e">
        <f ca="1"/>
        <v>#NAME?</v>
      </c>
      <c r="J434" s="51" t="e">
        <f ca="1"/>
        <v>#NAME?</v>
      </c>
      <c r="K434" s="47" t="e">
        <f ca="1"/>
        <v>#NAME?</v>
      </c>
      <c r="L434" s="47" t="e">
        <f ca="1"/>
        <v>#NAME?</v>
      </c>
      <c r="M434" s="47" t="e">
        <f ca="1"/>
        <v>#NAME?</v>
      </c>
      <c r="N434" s="47"/>
    </row>
    <row r="435" spans="1:14" ht="14.25" customHeight="1">
      <c r="A435" s="26">
        <v>26</v>
      </c>
      <c r="B435" s="78"/>
      <c r="C435" s="63" t="s">
        <v>9606</v>
      </c>
      <c r="D435" s="63" t="e">
        <f ca="1"/>
        <v>#NAME?</v>
      </c>
      <c r="E435" s="63" t="e">
        <f ca="1"/>
        <v>#NAME?</v>
      </c>
      <c r="F435" s="63" t="e">
        <f ca="1"/>
        <v>#NAME?</v>
      </c>
      <c r="G435" s="63" t="e">
        <f ca="1"/>
        <v>#NAME?</v>
      </c>
      <c r="H435" s="81" t="e">
        <f ca="1"/>
        <v>#NAME?</v>
      </c>
      <c r="I435" s="51" t="e">
        <f ca="1"/>
        <v>#NAME?</v>
      </c>
      <c r="J435" s="51" t="e">
        <f ca="1"/>
        <v>#NAME?</v>
      </c>
      <c r="K435" s="47" t="e">
        <f ca="1"/>
        <v>#NAME?</v>
      </c>
      <c r="L435" s="47" t="e">
        <f ca="1"/>
        <v>#NAME?</v>
      </c>
      <c r="M435" s="47" t="e">
        <f ca="1"/>
        <v>#NAME?</v>
      </c>
      <c r="N435" s="47"/>
    </row>
    <row r="436" spans="1:14" ht="14.25" customHeight="1">
      <c r="A436" s="19">
        <v>1</v>
      </c>
      <c r="B436" s="47"/>
      <c r="C436" s="90" t="s">
        <v>9615</v>
      </c>
      <c r="D436" s="90" t="e">
        <f ca="1"/>
        <v>#NAME?</v>
      </c>
      <c r="E436" s="90" t="e">
        <f ca="1"/>
        <v>#NAME?</v>
      </c>
      <c r="F436" s="90" t="e">
        <f ca="1"/>
        <v>#NAME?</v>
      </c>
      <c r="G436" s="90" t="e">
        <f ca="1"/>
        <v>#NAME?</v>
      </c>
      <c r="H436" s="142" t="e">
        <f ca="1"/>
        <v>#NAME?</v>
      </c>
      <c r="I436" s="92" t="e">
        <f ca="1"/>
        <v>#NAME?</v>
      </c>
      <c r="J436" s="92" t="e">
        <f ca="1"/>
        <v>#NAME?</v>
      </c>
      <c r="K436" s="88" t="e">
        <f ca="1"/>
        <v>#NAME?</v>
      </c>
      <c r="L436" s="88" t="e">
        <f ca="1"/>
        <v>#NAME?</v>
      </c>
      <c r="M436" s="88" t="e">
        <f ca="1"/>
        <v>#NAME?</v>
      </c>
      <c r="N436" s="88">
        <v>17</v>
      </c>
    </row>
    <row r="437" spans="1:14" ht="14.25" customHeight="1">
      <c r="A437" s="26">
        <v>2</v>
      </c>
      <c r="B437" s="78"/>
      <c r="C437" s="63" t="s">
        <v>9624</v>
      </c>
      <c r="D437" s="63" t="e">
        <f ca="1"/>
        <v>#NAME?</v>
      </c>
      <c r="E437" s="63" t="e">
        <f ca="1"/>
        <v>#NAME?</v>
      </c>
      <c r="F437" s="63" t="e">
        <f ca="1"/>
        <v>#NAME?</v>
      </c>
      <c r="G437" s="63" t="e">
        <f ca="1"/>
        <v>#NAME?</v>
      </c>
      <c r="H437" s="81" t="e">
        <f ca="1"/>
        <v>#NAME?</v>
      </c>
      <c r="I437" s="51" t="e">
        <f ca="1"/>
        <v>#NAME?</v>
      </c>
      <c r="J437" s="51" t="e">
        <f ca="1"/>
        <v>#NAME?</v>
      </c>
      <c r="K437" s="47" t="e">
        <f ca="1"/>
        <v>#NAME?</v>
      </c>
      <c r="L437" s="47" t="e">
        <f ca="1"/>
        <v>#NAME?</v>
      </c>
      <c r="M437" s="47" t="e">
        <f ca="1"/>
        <v>#NAME?</v>
      </c>
      <c r="N437" s="47"/>
    </row>
    <row r="438" spans="1:14" ht="14.25" customHeight="1">
      <c r="A438" s="26">
        <v>3</v>
      </c>
      <c r="B438" s="78"/>
      <c r="C438" s="63" t="s">
        <v>9635</v>
      </c>
      <c r="D438" s="63" t="e">
        <f ca="1"/>
        <v>#NAME?</v>
      </c>
      <c r="E438" s="63" t="e">
        <f ca="1"/>
        <v>#NAME?</v>
      </c>
      <c r="F438" s="63" t="e">
        <f ca="1"/>
        <v>#NAME?</v>
      </c>
      <c r="G438" s="63" t="e">
        <f ca="1"/>
        <v>#NAME?</v>
      </c>
      <c r="H438" s="81" t="e">
        <f ca="1"/>
        <v>#NAME?</v>
      </c>
      <c r="I438" s="51" t="e">
        <f ca="1"/>
        <v>#NAME?</v>
      </c>
      <c r="J438" s="51" t="e">
        <f ca="1"/>
        <v>#NAME?</v>
      </c>
      <c r="K438" s="47" t="e">
        <f ca="1"/>
        <v>#NAME?</v>
      </c>
      <c r="L438" s="47" t="e">
        <f ca="1"/>
        <v>#NAME?</v>
      </c>
      <c r="M438" s="47" t="e">
        <f ca="1"/>
        <v>#NAME?</v>
      </c>
      <c r="N438" s="47"/>
    </row>
    <row r="439" spans="1:14" ht="14.25" customHeight="1">
      <c r="A439" s="26">
        <v>4</v>
      </c>
      <c r="B439" s="47"/>
      <c r="C439" s="63" t="s">
        <v>9644</v>
      </c>
      <c r="D439" s="63" t="e">
        <f ca="1"/>
        <v>#NAME?</v>
      </c>
      <c r="E439" s="63" t="e">
        <f ca="1"/>
        <v>#NAME?</v>
      </c>
      <c r="F439" s="63" t="e">
        <f ca="1"/>
        <v>#NAME?</v>
      </c>
      <c r="G439" s="63" t="e">
        <f ca="1"/>
        <v>#NAME?</v>
      </c>
      <c r="H439" s="81" t="e">
        <f ca="1"/>
        <v>#NAME?</v>
      </c>
      <c r="I439" s="51" t="e">
        <f ca="1"/>
        <v>#NAME?</v>
      </c>
      <c r="J439" s="51" t="e">
        <f ca="1"/>
        <v>#NAME?</v>
      </c>
      <c r="K439" s="47" t="e">
        <f ca="1"/>
        <v>#NAME?</v>
      </c>
      <c r="L439" s="47" t="e">
        <f ca="1"/>
        <v>#NAME?</v>
      </c>
      <c r="M439" s="47" t="e">
        <f ca="1"/>
        <v>#NAME?</v>
      </c>
      <c r="N439" s="47"/>
    </row>
    <row r="440" spans="1:14" ht="14.25" customHeight="1">
      <c r="A440" s="26">
        <v>5</v>
      </c>
      <c r="B440" s="78"/>
      <c r="C440" s="63" t="s">
        <v>9654</v>
      </c>
      <c r="D440" s="63" t="e">
        <f ca="1"/>
        <v>#NAME?</v>
      </c>
      <c r="E440" s="63" t="e">
        <f ca="1"/>
        <v>#NAME?</v>
      </c>
      <c r="F440" s="63" t="e">
        <f ca="1"/>
        <v>#NAME?</v>
      </c>
      <c r="G440" s="63" t="e">
        <f ca="1"/>
        <v>#NAME?</v>
      </c>
      <c r="H440" s="81" t="e">
        <f ca="1"/>
        <v>#NAME?</v>
      </c>
      <c r="I440" s="51" t="e">
        <f ca="1"/>
        <v>#NAME?</v>
      </c>
      <c r="J440" s="51" t="e">
        <f ca="1"/>
        <v>#NAME?</v>
      </c>
      <c r="K440" s="47" t="e">
        <f ca="1"/>
        <v>#NAME?</v>
      </c>
      <c r="L440" s="47" t="e">
        <f ca="1"/>
        <v>#NAME?</v>
      </c>
      <c r="M440" s="47" t="e">
        <f ca="1"/>
        <v>#NAME?</v>
      </c>
      <c r="N440" s="47"/>
    </row>
    <row r="441" spans="1:14" ht="14.25" customHeight="1">
      <c r="A441" s="26">
        <v>6</v>
      </c>
      <c r="B441" s="78"/>
      <c r="C441" s="63" t="s">
        <v>9664</v>
      </c>
      <c r="D441" s="63" t="e">
        <f ca="1"/>
        <v>#NAME?</v>
      </c>
      <c r="E441" s="63" t="e">
        <f ca="1"/>
        <v>#NAME?</v>
      </c>
      <c r="F441" s="63" t="e">
        <f ca="1"/>
        <v>#NAME?</v>
      </c>
      <c r="G441" s="63" t="e">
        <f ca="1"/>
        <v>#NAME?</v>
      </c>
      <c r="H441" s="81" t="e">
        <f ca="1"/>
        <v>#NAME?</v>
      </c>
      <c r="I441" s="51" t="e">
        <f ca="1"/>
        <v>#NAME?</v>
      </c>
      <c r="J441" s="51" t="e">
        <f ca="1"/>
        <v>#NAME?</v>
      </c>
      <c r="K441" s="47" t="e">
        <f ca="1"/>
        <v>#NAME?</v>
      </c>
      <c r="L441" s="47" t="e">
        <f ca="1"/>
        <v>#NAME?</v>
      </c>
      <c r="M441" s="47" t="e">
        <f ca="1"/>
        <v>#NAME?</v>
      </c>
      <c r="N441" s="47"/>
    </row>
    <row r="442" spans="1:14" ht="14.25" customHeight="1">
      <c r="A442" s="26">
        <v>7</v>
      </c>
      <c r="B442" s="47"/>
      <c r="C442" s="63" t="s">
        <v>4558</v>
      </c>
      <c r="D442" s="63" t="e">
        <f ca="1"/>
        <v>#NAME?</v>
      </c>
      <c r="E442" s="63" t="e">
        <f ca="1"/>
        <v>#NAME?</v>
      </c>
      <c r="F442" s="63" t="e">
        <f ca="1"/>
        <v>#NAME?</v>
      </c>
      <c r="G442" s="63" t="e">
        <f ca="1"/>
        <v>#NAME?</v>
      </c>
      <c r="H442" s="81" t="e">
        <f ca="1"/>
        <v>#NAME?</v>
      </c>
      <c r="I442" s="51" t="e">
        <f ca="1"/>
        <v>#NAME?</v>
      </c>
      <c r="J442" s="51" t="e">
        <f ca="1"/>
        <v>#NAME?</v>
      </c>
      <c r="K442" s="47" t="e">
        <f ca="1"/>
        <v>#NAME?</v>
      </c>
      <c r="L442" s="47" t="e">
        <f ca="1"/>
        <v>#NAME?</v>
      </c>
      <c r="M442" s="47" t="e">
        <f ca="1"/>
        <v>#NAME?</v>
      </c>
      <c r="N442" s="47"/>
    </row>
    <row r="443" spans="1:14" ht="14.25" customHeight="1">
      <c r="A443" s="26">
        <v>8</v>
      </c>
      <c r="B443" s="47"/>
      <c r="C443" s="63" t="s">
        <v>9678</v>
      </c>
      <c r="D443" s="63" t="e">
        <f ca="1"/>
        <v>#NAME?</v>
      </c>
      <c r="E443" s="63" t="e">
        <f ca="1"/>
        <v>#NAME?</v>
      </c>
      <c r="F443" s="63" t="e">
        <f ca="1"/>
        <v>#NAME?</v>
      </c>
      <c r="G443" s="63" t="e">
        <f ca="1"/>
        <v>#NAME?</v>
      </c>
      <c r="H443" s="81" t="e">
        <f ca="1"/>
        <v>#NAME?</v>
      </c>
      <c r="I443" s="51" t="e">
        <f ca="1"/>
        <v>#NAME?</v>
      </c>
      <c r="J443" s="51" t="e">
        <f ca="1"/>
        <v>#NAME?</v>
      </c>
      <c r="K443" s="47" t="e">
        <f ca="1"/>
        <v>#NAME?</v>
      </c>
      <c r="L443" s="47" t="e">
        <f ca="1"/>
        <v>#NAME?</v>
      </c>
      <c r="M443" s="47" t="e">
        <f ca="1"/>
        <v>#NAME?</v>
      </c>
      <c r="N443" s="47"/>
    </row>
    <row r="444" spans="1:14" ht="14.25" customHeight="1">
      <c r="A444" s="26">
        <v>9</v>
      </c>
      <c r="B444" s="47"/>
      <c r="C444" s="63" t="s">
        <v>9688</v>
      </c>
      <c r="D444" s="63" t="e">
        <f ca="1"/>
        <v>#NAME?</v>
      </c>
      <c r="E444" s="63" t="e">
        <f ca="1"/>
        <v>#NAME?</v>
      </c>
      <c r="F444" s="63" t="e">
        <f ca="1"/>
        <v>#NAME?</v>
      </c>
      <c r="G444" s="63" t="e">
        <f ca="1"/>
        <v>#NAME?</v>
      </c>
      <c r="H444" s="81" t="e">
        <f ca="1"/>
        <v>#NAME?</v>
      </c>
      <c r="I444" s="51" t="e">
        <f ca="1"/>
        <v>#NAME?</v>
      </c>
      <c r="J444" s="51" t="e">
        <f ca="1"/>
        <v>#NAME?</v>
      </c>
      <c r="K444" s="47" t="e">
        <f ca="1"/>
        <v>#NAME?</v>
      </c>
      <c r="L444" s="47" t="e">
        <f ca="1"/>
        <v>#NAME?</v>
      </c>
      <c r="M444" s="47" t="e">
        <f ca="1"/>
        <v>#NAME?</v>
      </c>
      <c r="N444" s="47"/>
    </row>
    <row r="445" spans="1:14" ht="14.25" customHeight="1">
      <c r="A445" s="26">
        <v>10</v>
      </c>
      <c r="B445" s="47"/>
      <c r="C445" s="63" t="s">
        <v>9698</v>
      </c>
      <c r="D445" s="63" t="e">
        <f ca="1"/>
        <v>#NAME?</v>
      </c>
      <c r="E445" s="63" t="e">
        <f ca="1"/>
        <v>#NAME?</v>
      </c>
      <c r="F445" s="63" t="e">
        <f ca="1"/>
        <v>#NAME?</v>
      </c>
      <c r="G445" s="63" t="e">
        <f ca="1"/>
        <v>#NAME?</v>
      </c>
      <c r="H445" s="81" t="e">
        <f ca="1"/>
        <v>#NAME?</v>
      </c>
      <c r="I445" s="51" t="e">
        <f ca="1"/>
        <v>#NAME?</v>
      </c>
      <c r="J445" s="51" t="e">
        <f ca="1"/>
        <v>#NAME?</v>
      </c>
      <c r="K445" s="47" t="e">
        <f ca="1"/>
        <v>#NAME?</v>
      </c>
      <c r="L445" s="47" t="e">
        <f ca="1"/>
        <v>#NAME?</v>
      </c>
      <c r="M445" s="47" t="e">
        <f ca="1"/>
        <v>#NAME?</v>
      </c>
      <c r="N445" s="47"/>
    </row>
    <row r="446" spans="1:14" ht="14.25" customHeight="1">
      <c r="A446" s="26">
        <v>11</v>
      </c>
      <c r="B446" s="47"/>
      <c r="C446" s="63" t="s">
        <v>9706</v>
      </c>
      <c r="D446" s="63" t="e">
        <f ca="1"/>
        <v>#NAME?</v>
      </c>
      <c r="E446" s="63" t="e">
        <f ca="1"/>
        <v>#NAME?</v>
      </c>
      <c r="F446" s="63" t="e">
        <f ca="1"/>
        <v>#NAME?</v>
      </c>
      <c r="G446" s="63" t="e">
        <f ca="1"/>
        <v>#NAME?</v>
      </c>
      <c r="H446" s="81" t="e">
        <f ca="1"/>
        <v>#NAME?</v>
      </c>
      <c r="I446" s="51" t="e">
        <f ca="1"/>
        <v>#NAME?</v>
      </c>
      <c r="J446" s="51" t="e">
        <f ca="1"/>
        <v>#NAME?</v>
      </c>
      <c r="K446" s="47" t="e">
        <f ca="1"/>
        <v>#NAME?</v>
      </c>
      <c r="L446" s="47" t="e">
        <f ca="1"/>
        <v>#NAME?</v>
      </c>
      <c r="M446" s="47" t="e">
        <f ca="1"/>
        <v>#NAME?</v>
      </c>
      <c r="N446" s="47"/>
    </row>
    <row r="447" spans="1:14" ht="14.25" customHeight="1">
      <c r="A447" s="26">
        <v>12</v>
      </c>
      <c r="B447" s="78"/>
      <c r="C447" s="63" t="s">
        <v>9716</v>
      </c>
      <c r="D447" s="63" t="e">
        <f ca="1"/>
        <v>#NAME?</v>
      </c>
      <c r="E447" s="63" t="e">
        <f ca="1"/>
        <v>#NAME?</v>
      </c>
      <c r="F447" s="63" t="e">
        <f ca="1"/>
        <v>#NAME?</v>
      </c>
      <c r="G447" s="63" t="e">
        <f ca="1"/>
        <v>#NAME?</v>
      </c>
      <c r="H447" s="81" t="e">
        <f ca="1"/>
        <v>#NAME?</v>
      </c>
      <c r="I447" s="51" t="e">
        <f ca="1"/>
        <v>#NAME?</v>
      </c>
      <c r="J447" s="51" t="e">
        <f ca="1"/>
        <v>#NAME?</v>
      </c>
      <c r="K447" s="47" t="e">
        <f ca="1"/>
        <v>#NAME?</v>
      </c>
      <c r="L447" s="47" t="e">
        <f ca="1"/>
        <v>#NAME?</v>
      </c>
      <c r="M447" s="47" t="e">
        <f ca="1"/>
        <v>#NAME?</v>
      </c>
      <c r="N447" s="47"/>
    </row>
    <row r="448" spans="1:14" ht="14.25" customHeight="1">
      <c r="A448" s="26">
        <v>13</v>
      </c>
      <c r="B448" s="78"/>
      <c r="C448" s="63" t="s">
        <v>9724</v>
      </c>
      <c r="D448" s="63" t="e">
        <f ca="1"/>
        <v>#NAME?</v>
      </c>
      <c r="E448" s="63" t="e">
        <f ca="1"/>
        <v>#NAME?</v>
      </c>
      <c r="F448" s="63" t="e">
        <f ca="1"/>
        <v>#NAME?</v>
      </c>
      <c r="G448" s="63" t="e">
        <f ca="1"/>
        <v>#NAME?</v>
      </c>
      <c r="H448" s="81" t="e">
        <f ca="1"/>
        <v>#NAME?</v>
      </c>
      <c r="I448" s="51" t="e">
        <f ca="1"/>
        <v>#NAME?</v>
      </c>
      <c r="J448" s="51" t="e">
        <f ca="1"/>
        <v>#NAME?</v>
      </c>
      <c r="K448" s="47" t="e">
        <f ca="1"/>
        <v>#NAME?</v>
      </c>
      <c r="L448" s="47" t="e">
        <f ca="1"/>
        <v>#NAME?</v>
      </c>
      <c r="M448" s="47" t="e">
        <f ca="1"/>
        <v>#NAME?</v>
      </c>
      <c r="N448" s="47"/>
    </row>
    <row r="449" spans="1:14" ht="14.25" customHeight="1">
      <c r="A449" s="26">
        <v>14</v>
      </c>
      <c r="B449" s="47"/>
      <c r="C449" s="63" t="s">
        <v>9734</v>
      </c>
      <c r="D449" s="63" t="e">
        <f ca="1"/>
        <v>#NAME?</v>
      </c>
      <c r="E449" s="63" t="e">
        <f ca="1"/>
        <v>#NAME?</v>
      </c>
      <c r="F449" s="63" t="e">
        <f ca="1"/>
        <v>#NAME?</v>
      </c>
      <c r="G449" s="63" t="e">
        <f ca="1"/>
        <v>#NAME?</v>
      </c>
      <c r="H449" s="81" t="e">
        <f ca="1"/>
        <v>#NAME?</v>
      </c>
      <c r="I449" s="51" t="e">
        <f ca="1"/>
        <v>#NAME?</v>
      </c>
      <c r="J449" s="51" t="e">
        <f ca="1"/>
        <v>#NAME?</v>
      </c>
      <c r="K449" s="47" t="e">
        <f ca="1"/>
        <v>#NAME?</v>
      </c>
      <c r="L449" s="47" t="e">
        <f ca="1"/>
        <v>#NAME?</v>
      </c>
      <c r="M449" s="47" t="e">
        <f ca="1"/>
        <v>#NAME?</v>
      </c>
      <c r="N449" s="47"/>
    </row>
    <row r="450" spans="1:14" ht="14.25" customHeight="1">
      <c r="A450" s="26">
        <v>15</v>
      </c>
      <c r="B450" s="78"/>
      <c r="C450" s="63" t="s">
        <v>9744</v>
      </c>
      <c r="D450" s="63" t="e">
        <f ca="1"/>
        <v>#NAME?</v>
      </c>
      <c r="E450" s="63" t="e">
        <f ca="1"/>
        <v>#NAME?</v>
      </c>
      <c r="F450" s="63" t="e">
        <f ca="1"/>
        <v>#NAME?</v>
      </c>
      <c r="G450" s="63" t="e">
        <f ca="1"/>
        <v>#NAME?</v>
      </c>
      <c r="H450" s="81" t="e">
        <f ca="1"/>
        <v>#NAME?</v>
      </c>
      <c r="I450" s="51" t="e">
        <f ca="1"/>
        <v>#NAME?</v>
      </c>
      <c r="J450" s="51" t="e">
        <f ca="1"/>
        <v>#NAME?</v>
      </c>
      <c r="K450" s="47" t="e">
        <f ca="1"/>
        <v>#NAME?</v>
      </c>
      <c r="L450" s="47" t="e">
        <f ca="1"/>
        <v>#NAME?</v>
      </c>
      <c r="M450" s="47" t="e">
        <f ca="1"/>
        <v>#NAME?</v>
      </c>
      <c r="N450" s="47"/>
    </row>
    <row r="451" spans="1:14" ht="14.25" customHeight="1">
      <c r="A451" s="26">
        <v>16</v>
      </c>
      <c r="B451" s="78"/>
      <c r="C451" s="63" t="s">
        <v>9754</v>
      </c>
      <c r="D451" s="63" t="e">
        <f ca="1"/>
        <v>#NAME?</v>
      </c>
      <c r="E451" s="63" t="e">
        <f ca="1"/>
        <v>#NAME?</v>
      </c>
      <c r="F451" s="63" t="e">
        <f ca="1"/>
        <v>#NAME?</v>
      </c>
      <c r="G451" s="63" t="e">
        <f ca="1"/>
        <v>#NAME?</v>
      </c>
      <c r="H451" s="81" t="e">
        <f ca="1"/>
        <v>#NAME?</v>
      </c>
      <c r="I451" s="51" t="e">
        <f ca="1"/>
        <v>#NAME?</v>
      </c>
      <c r="J451" s="51" t="e">
        <f ca="1"/>
        <v>#NAME?</v>
      </c>
      <c r="K451" s="47" t="e">
        <f ca="1"/>
        <v>#NAME?</v>
      </c>
      <c r="L451" s="47" t="e">
        <f ca="1"/>
        <v>#NAME?</v>
      </c>
      <c r="M451" s="47" t="e">
        <f ca="1"/>
        <v>#NAME?</v>
      </c>
      <c r="N451" s="47"/>
    </row>
    <row r="452" spans="1:14" ht="14.25" customHeight="1">
      <c r="A452" s="26">
        <v>17</v>
      </c>
      <c r="B452" s="47"/>
      <c r="C452" s="63" t="s">
        <v>9764</v>
      </c>
      <c r="D452" s="63" t="e">
        <f ca="1"/>
        <v>#NAME?</v>
      </c>
      <c r="E452" s="63" t="e">
        <f ca="1"/>
        <v>#NAME?</v>
      </c>
      <c r="F452" s="63" t="e">
        <f ca="1"/>
        <v>#NAME?</v>
      </c>
      <c r="G452" s="63" t="e">
        <f ca="1"/>
        <v>#NAME?</v>
      </c>
      <c r="H452" s="81" t="e">
        <f ca="1"/>
        <v>#NAME?</v>
      </c>
      <c r="I452" s="51" t="e">
        <f ca="1"/>
        <v>#NAME?</v>
      </c>
      <c r="J452" s="51" t="e">
        <f ca="1"/>
        <v>#NAME?</v>
      </c>
      <c r="K452" s="47" t="e">
        <f ca="1"/>
        <v>#NAME?</v>
      </c>
      <c r="L452" s="47" t="e">
        <f ca="1"/>
        <v>#NAME?</v>
      </c>
      <c r="M452" s="47" t="e">
        <f ca="1"/>
        <v>#NAME?</v>
      </c>
      <c r="N452" s="47"/>
    </row>
    <row r="453" spans="1:14" ht="14.25" customHeight="1">
      <c r="A453" s="26">
        <v>18</v>
      </c>
      <c r="B453" s="47"/>
      <c r="C453" s="63" t="s">
        <v>9774</v>
      </c>
      <c r="D453" s="63" t="e">
        <f ca="1"/>
        <v>#NAME?</v>
      </c>
      <c r="E453" s="63" t="e">
        <f ca="1"/>
        <v>#NAME?</v>
      </c>
      <c r="F453" s="63" t="e">
        <f ca="1"/>
        <v>#NAME?</v>
      </c>
      <c r="G453" s="63" t="e">
        <f ca="1"/>
        <v>#NAME?</v>
      </c>
      <c r="H453" s="81" t="e">
        <f ca="1"/>
        <v>#NAME?</v>
      </c>
      <c r="I453" s="51" t="e">
        <f ca="1"/>
        <v>#NAME?</v>
      </c>
      <c r="J453" s="51" t="e">
        <f ca="1"/>
        <v>#NAME?</v>
      </c>
      <c r="K453" s="47" t="e">
        <f ca="1"/>
        <v>#NAME?</v>
      </c>
      <c r="L453" s="47" t="e">
        <f ca="1"/>
        <v>#NAME?</v>
      </c>
      <c r="M453" s="47" t="e">
        <f ca="1"/>
        <v>#NAME?</v>
      </c>
      <c r="N453" s="47"/>
    </row>
    <row r="454" spans="1:14" ht="14.25" customHeight="1">
      <c r="A454" s="26">
        <v>19</v>
      </c>
      <c r="B454" s="47"/>
      <c r="C454" s="63" t="s">
        <v>9784</v>
      </c>
      <c r="D454" s="63" t="e">
        <f ca="1"/>
        <v>#NAME?</v>
      </c>
      <c r="E454" s="63" t="e">
        <f ca="1"/>
        <v>#NAME?</v>
      </c>
      <c r="F454" s="63" t="e">
        <f ca="1"/>
        <v>#NAME?</v>
      </c>
      <c r="G454" s="63" t="e">
        <f ca="1"/>
        <v>#NAME?</v>
      </c>
      <c r="H454" s="81" t="e">
        <f ca="1"/>
        <v>#NAME?</v>
      </c>
      <c r="I454" s="51" t="e">
        <f ca="1"/>
        <v>#NAME?</v>
      </c>
      <c r="J454" s="51" t="e">
        <f ca="1"/>
        <v>#NAME?</v>
      </c>
      <c r="K454" s="47" t="e">
        <f ca="1"/>
        <v>#NAME?</v>
      </c>
      <c r="L454" s="47" t="e">
        <f ca="1"/>
        <v>#NAME?</v>
      </c>
      <c r="M454" s="47" t="e">
        <f ca="1"/>
        <v>#NAME?</v>
      </c>
      <c r="N454" s="47"/>
    </row>
    <row r="455" spans="1:14" ht="14.25" customHeight="1">
      <c r="A455" s="26">
        <v>20</v>
      </c>
      <c r="B455" s="78"/>
      <c r="C455" s="63" t="s">
        <v>9794</v>
      </c>
      <c r="D455" s="63" t="e">
        <f ca="1"/>
        <v>#NAME?</v>
      </c>
      <c r="E455" s="63" t="e">
        <f ca="1"/>
        <v>#NAME?</v>
      </c>
      <c r="F455" s="63" t="e">
        <f ca="1"/>
        <v>#NAME?</v>
      </c>
      <c r="G455" s="63" t="e">
        <f ca="1"/>
        <v>#NAME?</v>
      </c>
      <c r="H455" s="81" t="e">
        <f ca="1"/>
        <v>#NAME?</v>
      </c>
      <c r="I455" s="51" t="e">
        <f ca="1"/>
        <v>#NAME?</v>
      </c>
      <c r="J455" s="51" t="e">
        <f ca="1"/>
        <v>#NAME?</v>
      </c>
      <c r="K455" s="47" t="e">
        <f ca="1"/>
        <v>#NAME?</v>
      </c>
      <c r="L455" s="47" t="e">
        <f ca="1"/>
        <v>#NAME?</v>
      </c>
      <c r="M455" s="47" t="e">
        <f ca="1"/>
        <v>#NAME?</v>
      </c>
      <c r="N455" s="47"/>
    </row>
    <row r="456" spans="1:14" ht="14.25" customHeight="1">
      <c r="A456" s="26">
        <v>21</v>
      </c>
      <c r="B456" s="78"/>
      <c r="C456" s="63" t="s">
        <v>9803</v>
      </c>
      <c r="D456" s="63" t="e">
        <f ca="1"/>
        <v>#NAME?</v>
      </c>
      <c r="E456" s="63" t="e">
        <f ca="1"/>
        <v>#NAME?</v>
      </c>
      <c r="F456" s="63" t="e">
        <f ca="1"/>
        <v>#NAME?</v>
      </c>
      <c r="G456" s="63" t="e">
        <f ca="1"/>
        <v>#NAME?</v>
      </c>
      <c r="H456" s="81" t="e">
        <f ca="1"/>
        <v>#NAME?</v>
      </c>
      <c r="I456" s="51" t="e">
        <f ca="1"/>
        <v>#NAME?</v>
      </c>
      <c r="J456" s="51" t="e">
        <f ca="1"/>
        <v>#NAME?</v>
      </c>
      <c r="K456" s="47" t="e">
        <f ca="1"/>
        <v>#NAME?</v>
      </c>
      <c r="L456" s="47" t="e">
        <f ca="1"/>
        <v>#NAME?</v>
      </c>
      <c r="M456" s="47" t="e">
        <f ca="1"/>
        <v>#NAME?</v>
      </c>
      <c r="N456" s="47"/>
    </row>
    <row r="457" spans="1:14" ht="14.25" customHeight="1">
      <c r="A457" s="26">
        <v>22</v>
      </c>
      <c r="B457" s="47"/>
      <c r="C457" s="63" t="s">
        <v>9813</v>
      </c>
      <c r="D457" s="63" t="e">
        <f ca="1"/>
        <v>#NAME?</v>
      </c>
      <c r="E457" s="63" t="e">
        <f ca="1"/>
        <v>#NAME?</v>
      </c>
      <c r="F457" s="63" t="e">
        <f ca="1"/>
        <v>#NAME?</v>
      </c>
      <c r="G457" s="63" t="e">
        <f ca="1"/>
        <v>#NAME?</v>
      </c>
      <c r="H457" s="81" t="e">
        <f ca="1"/>
        <v>#NAME?</v>
      </c>
      <c r="I457" s="51" t="e">
        <f ca="1"/>
        <v>#NAME?</v>
      </c>
      <c r="J457" s="51" t="e">
        <f ca="1"/>
        <v>#NAME?</v>
      </c>
      <c r="K457" s="47" t="e">
        <f ca="1"/>
        <v>#NAME?</v>
      </c>
      <c r="L457" s="47" t="e">
        <f ca="1"/>
        <v>#NAME?</v>
      </c>
      <c r="M457" s="47" t="e">
        <f ca="1"/>
        <v>#NAME?</v>
      </c>
      <c r="N457" s="47"/>
    </row>
    <row r="458" spans="1:14" ht="14.25" customHeight="1">
      <c r="A458" s="26">
        <v>23</v>
      </c>
      <c r="B458" s="47"/>
      <c r="C458" s="63" t="s">
        <v>9823</v>
      </c>
      <c r="D458" s="63" t="e">
        <f ca="1"/>
        <v>#NAME?</v>
      </c>
      <c r="E458" s="63" t="e">
        <f ca="1"/>
        <v>#NAME?</v>
      </c>
      <c r="F458" s="63" t="e">
        <f ca="1"/>
        <v>#NAME?</v>
      </c>
      <c r="G458" s="63" t="e">
        <f ca="1"/>
        <v>#NAME?</v>
      </c>
      <c r="H458" s="81" t="e">
        <f ca="1"/>
        <v>#NAME?</v>
      </c>
      <c r="I458" s="51" t="e">
        <f ca="1"/>
        <v>#NAME?</v>
      </c>
      <c r="J458" s="51" t="e">
        <f ca="1"/>
        <v>#NAME?</v>
      </c>
      <c r="K458" s="47" t="e">
        <f ca="1"/>
        <v>#NAME?</v>
      </c>
      <c r="L458" s="47" t="e">
        <f ca="1"/>
        <v>#NAME?</v>
      </c>
      <c r="M458" s="47" t="e">
        <f ca="1"/>
        <v>#NAME?</v>
      </c>
      <c r="N458" s="47"/>
    </row>
    <row r="459" spans="1:14" ht="14.25" customHeight="1">
      <c r="A459" s="26">
        <v>24</v>
      </c>
      <c r="B459" s="47"/>
      <c r="C459" s="63" t="s">
        <v>9833</v>
      </c>
      <c r="D459" s="63" t="e">
        <f ca="1"/>
        <v>#NAME?</v>
      </c>
      <c r="E459" s="63" t="e">
        <f ca="1"/>
        <v>#NAME?</v>
      </c>
      <c r="F459" s="63" t="e">
        <f ca="1"/>
        <v>#NAME?</v>
      </c>
      <c r="G459" s="63" t="e">
        <f ca="1"/>
        <v>#NAME?</v>
      </c>
      <c r="H459" s="81" t="e">
        <f ca="1"/>
        <v>#NAME?</v>
      </c>
      <c r="I459" s="51" t="e">
        <f ca="1"/>
        <v>#NAME?</v>
      </c>
      <c r="J459" s="51" t="e">
        <f ca="1"/>
        <v>#NAME?</v>
      </c>
      <c r="K459" s="47" t="e">
        <f ca="1"/>
        <v>#NAME?</v>
      </c>
      <c r="L459" s="47" t="e">
        <f ca="1"/>
        <v>#NAME?</v>
      </c>
      <c r="M459" s="47" t="e">
        <f ca="1"/>
        <v>#NAME?</v>
      </c>
      <c r="N459" s="47"/>
    </row>
    <row r="460" spans="1:14" ht="14.25" customHeight="1">
      <c r="A460" s="26">
        <v>25</v>
      </c>
      <c r="B460" s="78"/>
      <c r="C460" s="63" t="s">
        <v>9843</v>
      </c>
      <c r="D460" s="63" t="e">
        <f ca="1"/>
        <v>#NAME?</v>
      </c>
      <c r="E460" s="63" t="e">
        <f ca="1"/>
        <v>#NAME?</v>
      </c>
      <c r="F460" s="63" t="e">
        <f ca="1"/>
        <v>#NAME?</v>
      </c>
      <c r="G460" s="63" t="e">
        <f ca="1"/>
        <v>#NAME?</v>
      </c>
      <c r="H460" s="81" t="e">
        <f ca="1"/>
        <v>#NAME?</v>
      </c>
      <c r="I460" s="51" t="e">
        <f ca="1"/>
        <v>#NAME?</v>
      </c>
      <c r="J460" s="51" t="e">
        <f ca="1"/>
        <v>#NAME?</v>
      </c>
      <c r="K460" s="47" t="e">
        <f ca="1"/>
        <v>#NAME?</v>
      </c>
      <c r="L460" s="47" t="e">
        <f ca="1"/>
        <v>#NAME?</v>
      </c>
      <c r="M460" s="47" t="e">
        <f ca="1"/>
        <v>#NAME?</v>
      </c>
      <c r="N460" s="47"/>
    </row>
    <row r="461" spans="1:14" ht="14.25" customHeight="1">
      <c r="A461" s="26">
        <v>26</v>
      </c>
      <c r="B461" s="47"/>
      <c r="C461" s="63" t="s">
        <v>9853</v>
      </c>
      <c r="D461" s="63" t="e">
        <f ca="1"/>
        <v>#NAME?</v>
      </c>
      <c r="E461" s="63" t="e">
        <f ca="1"/>
        <v>#NAME?</v>
      </c>
      <c r="F461" s="63" t="e">
        <f ca="1"/>
        <v>#NAME?</v>
      </c>
      <c r="G461" s="63" t="e">
        <f ca="1"/>
        <v>#NAME?</v>
      </c>
      <c r="H461" s="81" t="e">
        <f ca="1"/>
        <v>#NAME?</v>
      </c>
      <c r="I461" s="51" t="e">
        <f ca="1"/>
        <v>#NAME?</v>
      </c>
      <c r="J461" s="51" t="e">
        <f ca="1"/>
        <v>#NAME?</v>
      </c>
      <c r="K461" s="47" t="e">
        <f ca="1"/>
        <v>#NAME?</v>
      </c>
      <c r="L461" s="47" t="e">
        <f ca="1"/>
        <v>#NAME?</v>
      </c>
      <c r="M461" s="47" t="e">
        <f ca="1"/>
        <v>#NAME?</v>
      </c>
      <c r="N461" s="47"/>
    </row>
    <row r="462" spans="1:14" ht="14.25" customHeight="1">
      <c r="A462" s="26">
        <v>27</v>
      </c>
      <c r="B462" s="78"/>
      <c r="C462" s="63" t="s">
        <v>9863</v>
      </c>
      <c r="D462" s="63" t="e">
        <f ca="1"/>
        <v>#NAME?</v>
      </c>
      <c r="E462" s="63" t="e">
        <f ca="1"/>
        <v>#NAME?</v>
      </c>
      <c r="F462" s="63" t="e">
        <f ca="1"/>
        <v>#NAME?</v>
      </c>
      <c r="G462" s="63" t="e">
        <f ca="1"/>
        <v>#NAME?</v>
      </c>
      <c r="H462" s="81" t="e">
        <f ca="1"/>
        <v>#NAME?</v>
      </c>
      <c r="I462" s="51" t="e">
        <f ca="1"/>
        <v>#NAME?</v>
      </c>
      <c r="J462" s="51" t="e">
        <f ca="1"/>
        <v>#NAME?</v>
      </c>
      <c r="K462" s="47" t="e">
        <f ca="1"/>
        <v>#NAME?</v>
      </c>
      <c r="L462" s="47" t="e">
        <f ca="1"/>
        <v>#NAME?</v>
      </c>
      <c r="M462" s="47" t="e">
        <f ca="1"/>
        <v>#NAME?</v>
      </c>
      <c r="N462" s="47"/>
    </row>
    <row r="463" spans="1:14" ht="14.25" customHeight="1">
      <c r="A463" s="19">
        <v>1</v>
      </c>
      <c r="B463" s="78"/>
      <c r="C463" s="90" t="s">
        <v>9873</v>
      </c>
      <c r="D463" s="90" t="e">
        <f ca="1"/>
        <v>#NAME?</v>
      </c>
      <c r="E463" s="90" t="e">
        <f ca="1"/>
        <v>#NAME?</v>
      </c>
      <c r="F463" s="90" t="e">
        <f ca="1"/>
        <v>#NAME?</v>
      </c>
      <c r="G463" s="90" t="e">
        <f ca="1"/>
        <v>#NAME?</v>
      </c>
      <c r="H463" s="142" t="e">
        <f ca="1"/>
        <v>#NAME?</v>
      </c>
      <c r="I463" s="92" t="e">
        <f ca="1"/>
        <v>#NAME?</v>
      </c>
      <c r="J463" s="92" t="e">
        <f ca="1"/>
        <v>#NAME?</v>
      </c>
      <c r="K463" s="88" t="e">
        <f ca="1"/>
        <v>#NAME?</v>
      </c>
      <c r="L463" s="88" t="e">
        <f ca="1"/>
        <v>#NAME?</v>
      </c>
      <c r="M463" s="88" t="e">
        <f ca="1"/>
        <v>#NAME?</v>
      </c>
      <c r="N463" s="88">
        <v>18</v>
      </c>
    </row>
    <row r="464" spans="1:14" ht="14.25" customHeight="1">
      <c r="A464" s="26">
        <v>2</v>
      </c>
      <c r="B464" s="78"/>
      <c r="C464" s="63" t="s">
        <v>9883</v>
      </c>
      <c r="D464" s="63" t="e">
        <f ca="1"/>
        <v>#NAME?</v>
      </c>
      <c r="E464" s="63" t="e">
        <f ca="1"/>
        <v>#NAME?</v>
      </c>
      <c r="F464" s="63" t="e">
        <f ca="1"/>
        <v>#NAME?</v>
      </c>
      <c r="G464" s="63" t="e">
        <f ca="1"/>
        <v>#NAME?</v>
      </c>
      <c r="H464" s="81" t="e">
        <f ca="1"/>
        <v>#NAME?</v>
      </c>
      <c r="I464" s="51" t="e">
        <f ca="1"/>
        <v>#NAME?</v>
      </c>
      <c r="J464" s="51" t="e">
        <f ca="1"/>
        <v>#NAME?</v>
      </c>
      <c r="K464" s="47" t="e">
        <f ca="1"/>
        <v>#NAME?</v>
      </c>
      <c r="L464" s="47" t="e">
        <f ca="1"/>
        <v>#NAME?</v>
      </c>
      <c r="M464" s="47" t="e">
        <f ca="1"/>
        <v>#NAME?</v>
      </c>
      <c r="N464" s="47"/>
    </row>
    <row r="465" spans="1:14" ht="14.25" customHeight="1">
      <c r="A465" s="26">
        <v>3</v>
      </c>
      <c r="B465" s="47"/>
      <c r="C465" s="63" t="s">
        <v>8885</v>
      </c>
      <c r="D465" s="63" t="e">
        <f ca="1"/>
        <v>#NAME?</v>
      </c>
      <c r="E465" s="63" t="e">
        <f ca="1"/>
        <v>#NAME?</v>
      </c>
      <c r="F465" s="63" t="e">
        <f ca="1"/>
        <v>#NAME?</v>
      </c>
      <c r="G465" s="63" t="e">
        <f ca="1"/>
        <v>#NAME?</v>
      </c>
      <c r="H465" s="81" t="e">
        <f ca="1"/>
        <v>#NAME?</v>
      </c>
      <c r="I465" s="51" t="e">
        <f ca="1"/>
        <v>#NAME?</v>
      </c>
      <c r="J465" s="51" t="e">
        <f ca="1"/>
        <v>#NAME?</v>
      </c>
      <c r="K465" s="47" t="e">
        <f ca="1"/>
        <v>#NAME?</v>
      </c>
      <c r="L465" s="47" t="e">
        <f ca="1"/>
        <v>#NAME?</v>
      </c>
      <c r="M465" s="47" t="e">
        <f ca="1"/>
        <v>#NAME?</v>
      </c>
      <c r="N465" s="47"/>
    </row>
    <row r="466" spans="1:14" ht="14.25" customHeight="1">
      <c r="A466" s="26">
        <v>4</v>
      </c>
      <c r="B466" s="47"/>
      <c r="C466" s="63" t="s">
        <v>9900</v>
      </c>
      <c r="D466" s="63" t="e">
        <f ca="1"/>
        <v>#NAME?</v>
      </c>
      <c r="E466" s="63" t="e">
        <f ca="1"/>
        <v>#NAME?</v>
      </c>
      <c r="F466" s="63" t="e">
        <f ca="1"/>
        <v>#NAME?</v>
      </c>
      <c r="G466" s="63" t="e">
        <f ca="1"/>
        <v>#NAME?</v>
      </c>
      <c r="H466" s="81" t="e">
        <f ca="1"/>
        <v>#NAME?</v>
      </c>
      <c r="I466" s="51" t="e">
        <f ca="1"/>
        <v>#NAME?</v>
      </c>
      <c r="J466" s="51" t="e">
        <f ca="1"/>
        <v>#NAME?</v>
      </c>
      <c r="K466" s="47" t="e">
        <f ca="1"/>
        <v>#NAME?</v>
      </c>
      <c r="L466" s="47" t="e">
        <f ca="1"/>
        <v>#NAME?</v>
      </c>
      <c r="M466" s="47" t="e">
        <f ca="1"/>
        <v>#NAME?</v>
      </c>
      <c r="N466" s="47"/>
    </row>
    <row r="467" spans="1:14" ht="14.25" customHeight="1">
      <c r="A467" s="26">
        <v>5</v>
      </c>
      <c r="B467" s="78"/>
      <c r="C467" s="63" t="s">
        <v>9910</v>
      </c>
      <c r="D467" s="63" t="e">
        <f ca="1"/>
        <v>#NAME?</v>
      </c>
      <c r="E467" s="63" t="e">
        <f ca="1"/>
        <v>#NAME?</v>
      </c>
      <c r="F467" s="63" t="e">
        <f ca="1"/>
        <v>#NAME?</v>
      </c>
      <c r="G467" s="63" t="e">
        <f ca="1"/>
        <v>#NAME?</v>
      </c>
      <c r="H467" s="81" t="e">
        <f ca="1"/>
        <v>#NAME?</v>
      </c>
      <c r="I467" s="51" t="e">
        <f ca="1"/>
        <v>#NAME?</v>
      </c>
      <c r="J467" s="51" t="e">
        <f ca="1"/>
        <v>#NAME?</v>
      </c>
      <c r="K467" s="47" t="e">
        <f ca="1"/>
        <v>#NAME?</v>
      </c>
      <c r="L467" s="47" t="e">
        <f ca="1"/>
        <v>#NAME?</v>
      </c>
      <c r="M467" s="47" t="e">
        <f ca="1"/>
        <v>#NAME?</v>
      </c>
      <c r="N467" s="47"/>
    </row>
    <row r="468" spans="1:14" ht="14.25" customHeight="1">
      <c r="A468" s="26">
        <v>6</v>
      </c>
      <c r="B468" s="47"/>
      <c r="C468" s="63" t="s">
        <v>9920</v>
      </c>
      <c r="D468" s="63" t="e">
        <f ca="1"/>
        <v>#NAME?</v>
      </c>
      <c r="E468" s="63" t="e">
        <f ca="1"/>
        <v>#NAME?</v>
      </c>
      <c r="F468" s="63" t="e">
        <f ca="1"/>
        <v>#NAME?</v>
      </c>
      <c r="G468" s="63" t="e">
        <f ca="1"/>
        <v>#NAME?</v>
      </c>
      <c r="H468" s="81" t="e">
        <f ca="1"/>
        <v>#NAME?</v>
      </c>
      <c r="I468" s="51" t="e">
        <f ca="1"/>
        <v>#NAME?</v>
      </c>
      <c r="J468" s="51" t="e">
        <f ca="1"/>
        <v>#NAME?</v>
      </c>
      <c r="K468" s="47" t="e">
        <f ca="1"/>
        <v>#NAME?</v>
      </c>
      <c r="L468" s="47" t="e">
        <f ca="1"/>
        <v>#NAME?</v>
      </c>
      <c r="M468" s="47" t="e">
        <f ca="1"/>
        <v>#NAME?</v>
      </c>
      <c r="N468" s="47"/>
    </row>
    <row r="469" spans="1:14" ht="14.25" customHeight="1">
      <c r="A469" s="26">
        <v>7</v>
      </c>
      <c r="B469" s="78"/>
      <c r="C469" s="63" t="s">
        <v>9930</v>
      </c>
      <c r="D469" s="63" t="e">
        <f ca="1"/>
        <v>#NAME?</v>
      </c>
      <c r="E469" s="63" t="e">
        <f ca="1"/>
        <v>#NAME?</v>
      </c>
      <c r="F469" s="63" t="e">
        <f ca="1"/>
        <v>#NAME?</v>
      </c>
      <c r="G469" s="63" t="e">
        <f ca="1"/>
        <v>#NAME?</v>
      </c>
      <c r="H469" s="81" t="e">
        <f ca="1"/>
        <v>#NAME?</v>
      </c>
      <c r="I469" s="51" t="e">
        <f ca="1"/>
        <v>#NAME?</v>
      </c>
      <c r="J469" s="51" t="e">
        <f ca="1"/>
        <v>#NAME?</v>
      </c>
      <c r="K469" s="47" t="e">
        <f ca="1"/>
        <v>#NAME?</v>
      </c>
      <c r="L469" s="47" t="e">
        <f ca="1"/>
        <v>#NAME?</v>
      </c>
      <c r="M469" s="47" t="e">
        <f ca="1"/>
        <v>#NAME?</v>
      </c>
      <c r="N469" s="47"/>
    </row>
    <row r="470" spans="1:14" ht="14.25" customHeight="1">
      <c r="A470" s="26">
        <v>8</v>
      </c>
      <c r="B470" s="47"/>
      <c r="C470" s="63" t="s">
        <v>9940</v>
      </c>
      <c r="D470" s="63" t="e">
        <f ca="1"/>
        <v>#NAME?</v>
      </c>
      <c r="E470" s="63" t="e">
        <f ca="1"/>
        <v>#NAME?</v>
      </c>
      <c r="F470" s="63" t="e">
        <f ca="1"/>
        <v>#NAME?</v>
      </c>
      <c r="G470" s="63" t="e">
        <f ca="1"/>
        <v>#NAME?</v>
      </c>
      <c r="H470" s="81" t="e">
        <f ca="1"/>
        <v>#NAME?</v>
      </c>
      <c r="I470" s="51" t="e">
        <f ca="1"/>
        <v>#NAME?</v>
      </c>
      <c r="J470" s="51" t="e">
        <f ca="1"/>
        <v>#NAME?</v>
      </c>
      <c r="K470" s="47" t="e">
        <f ca="1"/>
        <v>#NAME?</v>
      </c>
      <c r="L470" s="47" t="e">
        <f ca="1"/>
        <v>#NAME?</v>
      </c>
      <c r="M470" s="47" t="e">
        <f ca="1"/>
        <v>#NAME?</v>
      </c>
      <c r="N470" s="47"/>
    </row>
    <row r="471" spans="1:14" ht="14.25" customHeight="1">
      <c r="A471" s="26">
        <v>9</v>
      </c>
      <c r="B471" s="47"/>
      <c r="C471" s="63" t="s">
        <v>9950</v>
      </c>
      <c r="D471" s="63" t="e">
        <f ca="1"/>
        <v>#NAME?</v>
      </c>
      <c r="E471" s="63" t="e">
        <f ca="1"/>
        <v>#NAME?</v>
      </c>
      <c r="F471" s="63" t="e">
        <f ca="1"/>
        <v>#NAME?</v>
      </c>
      <c r="G471" s="63" t="e">
        <f ca="1"/>
        <v>#NAME?</v>
      </c>
      <c r="H471" s="81" t="e">
        <f ca="1"/>
        <v>#NAME?</v>
      </c>
      <c r="I471" s="51" t="e">
        <f ca="1"/>
        <v>#NAME?</v>
      </c>
      <c r="J471" s="51" t="e">
        <f ca="1"/>
        <v>#NAME?</v>
      </c>
      <c r="K471" s="47" t="e">
        <f ca="1"/>
        <v>#NAME?</v>
      </c>
      <c r="L471" s="47" t="e">
        <f ca="1"/>
        <v>#NAME?</v>
      </c>
      <c r="M471" s="47" t="e">
        <f ca="1"/>
        <v>#NAME?</v>
      </c>
      <c r="N471" s="47"/>
    </row>
    <row r="472" spans="1:14" ht="14.25" customHeight="1">
      <c r="A472" s="26">
        <v>10</v>
      </c>
      <c r="B472" s="47"/>
      <c r="C472" s="63" t="s">
        <v>9960</v>
      </c>
      <c r="D472" s="63" t="e">
        <f ca="1"/>
        <v>#NAME?</v>
      </c>
      <c r="E472" s="63" t="e">
        <f ca="1"/>
        <v>#NAME?</v>
      </c>
      <c r="F472" s="63" t="e">
        <f ca="1"/>
        <v>#NAME?</v>
      </c>
      <c r="G472" s="63" t="e">
        <f ca="1"/>
        <v>#NAME?</v>
      </c>
      <c r="H472" s="81" t="e">
        <f ca="1"/>
        <v>#NAME?</v>
      </c>
      <c r="I472" s="51" t="e">
        <f ca="1"/>
        <v>#NAME?</v>
      </c>
      <c r="J472" s="51" t="e">
        <f ca="1"/>
        <v>#NAME?</v>
      </c>
      <c r="K472" s="47" t="e">
        <f ca="1"/>
        <v>#NAME?</v>
      </c>
      <c r="L472" s="47" t="e">
        <f ca="1"/>
        <v>#NAME?</v>
      </c>
      <c r="M472" s="47" t="e">
        <f ca="1"/>
        <v>#NAME?</v>
      </c>
      <c r="N472" s="47"/>
    </row>
    <row r="473" spans="1:14" ht="14.25" customHeight="1">
      <c r="A473" s="26">
        <v>11</v>
      </c>
      <c r="B473" s="78"/>
      <c r="C473" s="63" t="s">
        <v>9970</v>
      </c>
      <c r="D473" s="63" t="e">
        <f ca="1"/>
        <v>#NAME?</v>
      </c>
      <c r="E473" s="63" t="e">
        <f ca="1"/>
        <v>#NAME?</v>
      </c>
      <c r="F473" s="63" t="e">
        <f ca="1"/>
        <v>#NAME?</v>
      </c>
      <c r="G473" s="63" t="e">
        <f ca="1"/>
        <v>#NAME?</v>
      </c>
      <c r="H473" s="81" t="e">
        <f ca="1"/>
        <v>#NAME?</v>
      </c>
      <c r="I473" s="51" t="e">
        <f ca="1"/>
        <v>#NAME?</v>
      </c>
      <c r="J473" s="51" t="e">
        <f ca="1"/>
        <v>#NAME?</v>
      </c>
      <c r="K473" s="47" t="e">
        <f ca="1"/>
        <v>#NAME?</v>
      </c>
      <c r="L473" s="47" t="e">
        <f ca="1"/>
        <v>#NAME?</v>
      </c>
      <c r="M473" s="47" t="e">
        <f ca="1"/>
        <v>#NAME?</v>
      </c>
      <c r="N473" s="47"/>
    </row>
    <row r="474" spans="1:14" ht="14.25" customHeight="1">
      <c r="A474" s="26">
        <v>12</v>
      </c>
      <c r="B474" s="47"/>
      <c r="C474" s="63" t="s">
        <v>9980</v>
      </c>
      <c r="D474" s="63" t="e">
        <f ca="1"/>
        <v>#NAME?</v>
      </c>
      <c r="E474" s="63" t="e">
        <f ca="1"/>
        <v>#NAME?</v>
      </c>
      <c r="F474" s="63" t="e">
        <f ca="1"/>
        <v>#NAME?</v>
      </c>
      <c r="G474" s="63" t="e">
        <f ca="1"/>
        <v>#NAME?</v>
      </c>
      <c r="H474" s="81" t="e">
        <f ca="1"/>
        <v>#NAME?</v>
      </c>
      <c r="I474" s="51" t="e">
        <f ca="1"/>
        <v>#NAME?</v>
      </c>
      <c r="J474" s="51" t="e">
        <f ca="1"/>
        <v>#NAME?</v>
      </c>
      <c r="K474" s="47" t="e">
        <f ca="1"/>
        <v>#NAME?</v>
      </c>
      <c r="L474" s="47" t="e">
        <f ca="1"/>
        <v>#NAME?</v>
      </c>
      <c r="M474" s="47" t="e">
        <f ca="1"/>
        <v>#NAME?</v>
      </c>
      <c r="N474" s="47"/>
    </row>
    <row r="475" spans="1:14" ht="14.25" customHeight="1">
      <c r="A475" s="26">
        <v>13</v>
      </c>
      <c r="B475" s="47"/>
      <c r="C475" s="63" t="s">
        <v>9990</v>
      </c>
      <c r="D475" s="63" t="e">
        <f ca="1"/>
        <v>#NAME?</v>
      </c>
      <c r="E475" s="63" t="e">
        <f ca="1"/>
        <v>#NAME?</v>
      </c>
      <c r="F475" s="63" t="e">
        <f ca="1"/>
        <v>#NAME?</v>
      </c>
      <c r="G475" s="63" t="e">
        <f ca="1"/>
        <v>#NAME?</v>
      </c>
      <c r="H475" s="81" t="e">
        <f ca="1"/>
        <v>#NAME?</v>
      </c>
      <c r="I475" s="51" t="e">
        <f ca="1"/>
        <v>#NAME?</v>
      </c>
      <c r="J475" s="51" t="e">
        <f ca="1"/>
        <v>#NAME?</v>
      </c>
      <c r="K475" s="47" t="e">
        <f ca="1"/>
        <v>#NAME?</v>
      </c>
      <c r="L475" s="47" t="e">
        <f ca="1"/>
        <v>#NAME?</v>
      </c>
      <c r="M475" s="47" t="e">
        <f ca="1"/>
        <v>#NAME?</v>
      </c>
      <c r="N475" s="47"/>
    </row>
    <row r="476" spans="1:14" ht="14.25" customHeight="1">
      <c r="A476" s="26">
        <v>14</v>
      </c>
      <c r="B476" s="47"/>
      <c r="C476" s="63" t="s">
        <v>10000</v>
      </c>
      <c r="D476" s="63" t="e">
        <f ca="1"/>
        <v>#NAME?</v>
      </c>
      <c r="E476" s="63" t="e">
        <f ca="1"/>
        <v>#NAME?</v>
      </c>
      <c r="F476" s="63" t="e">
        <f ca="1"/>
        <v>#NAME?</v>
      </c>
      <c r="G476" s="63" t="e">
        <f ca="1"/>
        <v>#NAME?</v>
      </c>
      <c r="H476" s="81" t="e">
        <f ca="1"/>
        <v>#NAME?</v>
      </c>
      <c r="I476" s="51" t="e">
        <f ca="1"/>
        <v>#NAME?</v>
      </c>
      <c r="J476" s="51" t="e">
        <f ca="1"/>
        <v>#NAME?</v>
      </c>
      <c r="K476" s="47" t="e">
        <f ca="1"/>
        <v>#NAME?</v>
      </c>
      <c r="L476" s="47" t="e">
        <f ca="1"/>
        <v>#NAME?</v>
      </c>
      <c r="M476" s="47" t="e">
        <f ca="1"/>
        <v>#NAME?</v>
      </c>
      <c r="N476" s="47"/>
    </row>
    <row r="477" spans="1:14" ht="14.25" customHeight="1">
      <c r="A477" s="26">
        <v>15</v>
      </c>
      <c r="B477" s="78"/>
      <c r="C477" s="63" t="s">
        <v>10010</v>
      </c>
      <c r="D477" s="63" t="e">
        <f ca="1"/>
        <v>#NAME?</v>
      </c>
      <c r="E477" s="63" t="e">
        <f ca="1"/>
        <v>#NAME?</v>
      </c>
      <c r="F477" s="63" t="e">
        <f ca="1"/>
        <v>#NAME?</v>
      </c>
      <c r="G477" s="63" t="e">
        <f ca="1"/>
        <v>#NAME?</v>
      </c>
      <c r="H477" s="81" t="e">
        <f ca="1"/>
        <v>#NAME?</v>
      </c>
      <c r="I477" s="51" t="e">
        <f ca="1"/>
        <v>#NAME?</v>
      </c>
      <c r="J477" s="51" t="e">
        <f ca="1"/>
        <v>#NAME?</v>
      </c>
      <c r="K477" s="47" t="e">
        <f ca="1"/>
        <v>#NAME?</v>
      </c>
      <c r="L477" s="47" t="e">
        <f ca="1"/>
        <v>#NAME?</v>
      </c>
      <c r="M477" s="47" t="e">
        <f ca="1"/>
        <v>#NAME?</v>
      </c>
      <c r="N477" s="47"/>
    </row>
    <row r="478" spans="1:14" ht="14.25" customHeight="1">
      <c r="A478" s="26">
        <v>16</v>
      </c>
      <c r="B478" s="47"/>
      <c r="C478" s="63" t="s">
        <v>10020</v>
      </c>
      <c r="D478" s="63" t="e">
        <f ca="1"/>
        <v>#NAME?</v>
      </c>
      <c r="E478" s="63" t="e">
        <f ca="1"/>
        <v>#NAME?</v>
      </c>
      <c r="F478" s="63" t="e">
        <f ca="1"/>
        <v>#NAME?</v>
      </c>
      <c r="G478" s="63" t="e">
        <f ca="1"/>
        <v>#NAME?</v>
      </c>
      <c r="H478" s="81" t="e">
        <f ca="1"/>
        <v>#NAME?</v>
      </c>
      <c r="I478" s="51" t="e">
        <f ca="1"/>
        <v>#NAME?</v>
      </c>
      <c r="J478" s="51" t="e">
        <f ca="1"/>
        <v>#NAME?</v>
      </c>
      <c r="K478" s="47" t="e">
        <f ca="1"/>
        <v>#NAME?</v>
      </c>
      <c r="L478" s="47" t="e">
        <f ca="1"/>
        <v>#NAME?</v>
      </c>
      <c r="M478" s="47" t="e">
        <f ca="1"/>
        <v>#NAME?</v>
      </c>
      <c r="N478" s="47"/>
    </row>
    <row r="479" spans="1:14" ht="14.25" customHeight="1">
      <c r="A479" s="26">
        <v>17</v>
      </c>
      <c r="B479" s="78"/>
      <c r="C479" s="63" t="s">
        <v>10030</v>
      </c>
      <c r="D479" s="63" t="e">
        <f ca="1"/>
        <v>#NAME?</v>
      </c>
      <c r="E479" s="63" t="e">
        <f ca="1"/>
        <v>#NAME?</v>
      </c>
      <c r="F479" s="63" t="e">
        <f ca="1"/>
        <v>#NAME?</v>
      </c>
      <c r="G479" s="63" t="e">
        <f ca="1"/>
        <v>#NAME?</v>
      </c>
      <c r="H479" s="81" t="e">
        <f ca="1"/>
        <v>#NAME?</v>
      </c>
      <c r="I479" s="51" t="e">
        <f ca="1"/>
        <v>#NAME?</v>
      </c>
      <c r="J479" s="51" t="e">
        <f ca="1"/>
        <v>#NAME?</v>
      </c>
      <c r="K479" s="47" t="e">
        <f ca="1"/>
        <v>#NAME?</v>
      </c>
      <c r="L479" s="47" t="e">
        <f ca="1"/>
        <v>#NAME?</v>
      </c>
      <c r="M479" s="47" t="e">
        <f ca="1"/>
        <v>#NAME?</v>
      </c>
      <c r="N479" s="47"/>
    </row>
    <row r="480" spans="1:14" ht="14.25" customHeight="1">
      <c r="A480" s="26">
        <v>18</v>
      </c>
      <c r="B480" s="47"/>
      <c r="C480" s="63" t="s">
        <v>10040</v>
      </c>
      <c r="D480" s="63" t="e">
        <f ca="1"/>
        <v>#NAME?</v>
      </c>
      <c r="E480" s="63" t="e">
        <f ca="1"/>
        <v>#NAME?</v>
      </c>
      <c r="F480" s="63" t="e">
        <f ca="1"/>
        <v>#NAME?</v>
      </c>
      <c r="G480" s="63" t="e">
        <f ca="1"/>
        <v>#NAME?</v>
      </c>
      <c r="H480" s="81" t="e">
        <f ca="1"/>
        <v>#NAME?</v>
      </c>
      <c r="I480" s="51" t="e">
        <f ca="1"/>
        <v>#NAME?</v>
      </c>
      <c r="J480" s="51" t="e">
        <f ca="1"/>
        <v>#NAME?</v>
      </c>
      <c r="K480" s="47" t="e">
        <f ca="1"/>
        <v>#NAME?</v>
      </c>
      <c r="L480" s="47" t="e">
        <f ca="1"/>
        <v>#NAME?</v>
      </c>
      <c r="M480" s="47" t="e">
        <f ca="1"/>
        <v>#NAME?</v>
      </c>
      <c r="N480" s="47"/>
    </row>
    <row r="481" spans="1:14" ht="14.25" customHeight="1">
      <c r="A481" s="26">
        <v>19</v>
      </c>
      <c r="B481" s="47"/>
      <c r="C481" s="63" t="s">
        <v>10048</v>
      </c>
      <c r="D481" s="63" t="e">
        <f ca="1"/>
        <v>#NAME?</v>
      </c>
      <c r="E481" s="63" t="e">
        <f ca="1"/>
        <v>#NAME?</v>
      </c>
      <c r="F481" s="63" t="e">
        <f ca="1"/>
        <v>#NAME?</v>
      </c>
      <c r="G481" s="63" t="e">
        <f ca="1"/>
        <v>#NAME?</v>
      </c>
      <c r="H481" s="81" t="e">
        <f ca="1"/>
        <v>#NAME?</v>
      </c>
      <c r="I481" s="51" t="e">
        <f ca="1"/>
        <v>#NAME?</v>
      </c>
      <c r="J481" s="51" t="e">
        <f ca="1"/>
        <v>#NAME?</v>
      </c>
      <c r="K481" s="47" t="e">
        <f ca="1"/>
        <v>#NAME?</v>
      </c>
      <c r="L481" s="47" t="e">
        <f ca="1"/>
        <v>#NAME?</v>
      </c>
      <c r="M481" s="47" t="e">
        <f ca="1"/>
        <v>#NAME?</v>
      </c>
      <c r="N481" s="47"/>
    </row>
    <row r="482" spans="1:14" ht="14.25" customHeight="1">
      <c r="A482" s="26">
        <v>20</v>
      </c>
      <c r="B482" s="47"/>
      <c r="C482" s="63" t="s">
        <v>10058</v>
      </c>
      <c r="D482" s="63" t="e">
        <f ca="1"/>
        <v>#NAME?</v>
      </c>
      <c r="E482" s="63" t="e">
        <f ca="1"/>
        <v>#NAME?</v>
      </c>
      <c r="F482" s="63" t="e">
        <f ca="1"/>
        <v>#NAME?</v>
      </c>
      <c r="G482" s="63" t="e">
        <f ca="1"/>
        <v>#NAME?</v>
      </c>
      <c r="H482" s="81" t="e">
        <f ca="1"/>
        <v>#NAME?</v>
      </c>
      <c r="I482" s="51" t="e">
        <f ca="1"/>
        <v>#NAME?</v>
      </c>
      <c r="J482" s="51" t="e">
        <f ca="1"/>
        <v>#NAME?</v>
      </c>
      <c r="K482" s="47" t="e">
        <f ca="1"/>
        <v>#NAME?</v>
      </c>
      <c r="L482" s="47" t="e">
        <f ca="1"/>
        <v>#NAME?</v>
      </c>
      <c r="M482" s="47" t="e">
        <f ca="1"/>
        <v>#NAME?</v>
      </c>
      <c r="N482" s="47"/>
    </row>
    <row r="483" spans="1:14" ht="14.25" customHeight="1">
      <c r="A483" s="26">
        <v>21</v>
      </c>
      <c r="B483" s="47"/>
      <c r="C483" s="63" t="s">
        <v>10068</v>
      </c>
      <c r="D483" s="63" t="e">
        <f ca="1"/>
        <v>#NAME?</v>
      </c>
      <c r="E483" s="63" t="e">
        <f ca="1"/>
        <v>#NAME?</v>
      </c>
      <c r="F483" s="63" t="e">
        <f ca="1"/>
        <v>#NAME?</v>
      </c>
      <c r="G483" s="63" t="e">
        <f ca="1"/>
        <v>#NAME?</v>
      </c>
      <c r="H483" s="81" t="e">
        <f ca="1"/>
        <v>#NAME?</v>
      </c>
      <c r="I483" s="51" t="e">
        <f ca="1"/>
        <v>#NAME?</v>
      </c>
      <c r="J483" s="51" t="e">
        <f ca="1"/>
        <v>#NAME?</v>
      </c>
      <c r="K483" s="47" t="e">
        <f ca="1"/>
        <v>#NAME?</v>
      </c>
      <c r="L483" s="47" t="e">
        <f ca="1"/>
        <v>#NAME?</v>
      </c>
      <c r="M483" s="47" t="e">
        <f ca="1"/>
        <v>#NAME?</v>
      </c>
      <c r="N483" s="47"/>
    </row>
    <row r="484" spans="1:14" ht="14.25" customHeight="1">
      <c r="A484" s="26">
        <v>22</v>
      </c>
      <c r="B484" s="47"/>
      <c r="C484" s="63" t="s">
        <v>10078</v>
      </c>
      <c r="D484" s="63" t="e">
        <f ca="1"/>
        <v>#NAME?</v>
      </c>
      <c r="E484" s="63" t="e">
        <f ca="1"/>
        <v>#NAME?</v>
      </c>
      <c r="F484" s="63" t="e">
        <f ca="1"/>
        <v>#NAME?</v>
      </c>
      <c r="G484" s="63" t="e">
        <f ca="1"/>
        <v>#NAME?</v>
      </c>
      <c r="H484" s="81" t="e">
        <f ca="1"/>
        <v>#NAME?</v>
      </c>
      <c r="I484" s="51" t="e">
        <f ca="1"/>
        <v>#NAME?</v>
      </c>
      <c r="J484" s="51" t="e">
        <f ca="1"/>
        <v>#NAME?</v>
      </c>
      <c r="K484" s="47" t="e">
        <f ca="1"/>
        <v>#NAME?</v>
      </c>
      <c r="L484" s="47" t="e">
        <f ca="1"/>
        <v>#NAME?</v>
      </c>
      <c r="M484" s="47" t="e">
        <f ca="1"/>
        <v>#NAME?</v>
      </c>
      <c r="N484" s="47"/>
    </row>
    <row r="485" spans="1:14" ht="14.25" customHeight="1">
      <c r="A485" s="26">
        <v>23</v>
      </c>
      <c r="B485" s="47"/>
      <c r="C485" s="63" t="s">
        <v>10088</v>
      </c>
      <c r="D485" s="63" t="e">
        <f ca="1"/>
        <v>#NAME?</v>
      </c>
      <c r="E485" s="63" t="e">
        <f ca="1"/>
        <v>#NAME?</v>
      </c>
      <c r="F485" s="63" t="e">
        <f ca="1"/>
        <v>#NAME?</v>
      </c>
      <c r="G485" s="63" t="e">
        <f ca="1"/>
        <v>#NAME?</v>
      </c>
      <c r="H485" s="81" t="e">
        <f ca="1"/>
        <v>#NAME?</v>
      </c>
      <c r="I485" s="51" t="e">
        <f ca="1"/>
        <v>#NAME?</v>
      </c>
      <c r="J485" s="51" t="e">
        <f ca="1"/>
        <v>#NAME?</v>
      </c>
      <c r="K485" s="47" t="e">
        <f ca="1"/>
        <v>#NAME?</v>
      </c>
      <c r="L485" s="47" t="e">
        <f ca="1"/>
        <v>#NAME?</v>
      </c>
      <c r="M485" s="47" t="e">
        <f ca="1"/>
        <v>#NAME?</v>
      </c>
      <c r="N485" s="47"/>
    </row>
    <row r="486" spans="1:14" ht="14.25" customHeight="1">
      <c r="A486" s="26">
        <v>24</v>
      </c>
      <c r="B486" s="47"/>
      <c r="C486" s="63" t="s">
        <v>3680</v>
      </c>
      <c r="D486" s="63" t="e">
        <f ca="1"/>
        <v>#NAME?</v>
      </c>
      <c r="E486" s="63" t="e">
        <f ca="1"/>
        <v>#NAME?</v>
      </c>
      <c r="F486" s="63" t="e">
        <f ca="1"/>
        <v>#NAME?</v>
      </c>
      <c r="G486" s="63" t="e">
        <f ca="1"/>
        <v>#NAME?</v>
      </c>
      <c r="H486" s="81" t="e">
        <f ca="1"/>
        <v>#NAME?</v>
      </c>
      <c r="I486" s="51" t="e">
        <f ca="1"/>
        <v>#NAME?</v>
      </c>
      <c r="J486" s="51" t="e">
        <f ca="1"/>
        <v>#NAME?</v>
      </c>
      <c r="K486" s="47" t="e">
        <f ca="1"/>
        <v>#NAME?</v>
      </c>
      <c r="L486" s="47" t="e">
        <f ca="1"/>
        <v>#NAME?</v>
      </c>
      <c r="M486" s="47" t="e">
        <f ca="1"/>
        <v>#NAME?</v>
      </c>
      <c r="N486" s="47"/>
    </row>
    <row r="487" spans="1:14" ht="14.25" customHeight="1">
      <c r="A487" s="26">
        <v>25</v>
      </c>
      <c r="B487" s="78"/>
      <c r="C487" s="63" t="s">
        <v>10102</v>
      </c>
      <c r="D487" s="63" t="e">
        <f ca="1"/>
        <v>#NAME?</v>
      </c>
      <c r="E487" s="63" t="e">
        <f ca="1"/>
        <v>#NAME?</v>
      </c>
      <c r="F487" s="63" t="e">
        <f ca="1"/>
        <v>#NAME?</v>
      </c>
      <c r="G487" s="63" t="e">
        <f ca="1"/>
        <v>#NAME?</v>
      </c>
      <c r="H487" s="81" t="e">
        <f ca="1"/>
        <v>#NAME?</v>
      </c>
      <c r="I487" s="51" t="e">
        <f ca="1"/>
        <v>#NAME?</v>
      </c>
      <c r="J487" s="51" t="e">
        <f ca="1"/>
        <v>#NAME?</v>
      </c>
      <c r="K487" s="47" t="e">
        <f ca="1"/>
        <v>#NAME?</v>
      </c>
      <c r="L487" s="47" t="e">
        <f ca="1"/>
        <v>#NAME?</v>
      </c>
      <c r="M487" s="47" t="e">
        <f ca="1"/>
        <v>#NAME?</v>
      </c>
      <c r="N487" s="47"/>
    </row>
    <row r="488" spans="1:14" ht="14.25" customHeight="1">
      <c r="A488" s="26">
        <v>26</v>
      </c>
      <c r="B488" s="47">
        <v>487</v>
      </c>
      <c r="C488" s="63" t="s">
        <v>10112</v>
      </c>
      <c r="D488" s="63" t="e">
        <f ca="1"/>
        <v>#NAME?</v>
      </c>
      <c r="E488" s="63" t="e">
        <f ca="1"/>
        <v>#NAME?</v>
      </c>
      <c r="F488" s="63" t="e">
        <f ca="1"/>
        <v>#NAME?</v>
      </c>
      <c r="G488" s="63" t="e">
        <f ca="1"/>
        <v>#NAME?</v>
      </c>
      <c r="H488" s="81" t="e">
        <f ca="1"/>
        <v>#NAME?</v>
      </c>
      <c r="I488" s="51" t="e">
        <f ca="1"/>
        <v>#NAME?</v>
      </c>
      <c r="J488" s="51" t="e">
        <f ca="1"/>
        <v>#NAME?</v>
      </c>
      <c r="K488" s="47" t="e">
        <f ca="1"/>
        <v>#NAME?</v>
      </c>
      <c r="L488" s="47" t="e">
        <f ca="1"/>
        <v>#NAME?</v>
      </c>
      <c r="M488" s="47" t="e">
        <f ca="1"/>
        <v>#NAME?</v>
      </c>
      <c r="N488" s="47"/>
    </row>
    <row r="489" spans="1:14" ht="14.25" customHeight="1">
      <c r="A489" s="26">
        <v>27</v>
      </c>
      <c r="B489" s="47">
        <v>488</v>
      </c>
      <c r="C489" s="63" t="s">
        <v>10122</v>
      </c>
      <c r="D489" s="63" t="e">
        <f ca="1"/>
        <v>#NAME?</v>
      </c>
      <c r="E489" s="63" t="e">
        <f ca="1"/>
        <v>#NAME?</v>
      </c>
      <c r="F489" s="63" t="e">
        <f ca="1"/>
        <v>#NAME?</v>
      </c>
      <c r="G489" s="63" t="e">
        <f ca="1"/>
        <v>#NAME?</v>
      </c>
      <c r="H489" s="81" t="e">
        <f ca="1"/>
        <v>#NAME?</v>
      </c>
      <c r="I489" s="51" t="e">
        <f ca="1"/>
        <v>#NAME?</v>
      </c>
      <c r="J489" s="51" t="e">
        <f ca="1"/>
        <v>#NAME?</v>
      </c>
      <c r="K489" s="47" t="e">
        <f ca="1"/>
        <v>#NAME?</v>
      </c>
      <c r="L489" s="47" t="e">
        <f ca="1"/>
        <v>#NAME?</v>
      </c>
      <c r="M489" s="47" t="e">
        <f ca="1"/>
        <v>#NAME?</v>
      </c>
      <c r="N489" s="47"/>
    </row>
    <row r="490" spans="1:14" ht="14.25" customHeight="1">
      <c r="A490" s="26">
        <v>28</v>
      </c>
      <c r="B490" s="47">
        <v>489</v>
      </c>
      <c r="C490" s="63" t="s">
        <v>10132</v>
      </c>
      <c r="D490" s="63" t="e">
        <f ca="1"/>
        <v>#NAME?</v>
      </c>
      <c r="E490" s="63" t="e">
        <f ca="1"/>
        <v>#NAME?</v>
      </c>
      <c r="F490" s="63" t="e">
        <f ca="1"/>
        <v>#NAME?</v>
      </c>
      <c r="G490" s="63" t="e">
        <f ca="1"/>
        <v>#NAME?</v>
      </c>
      <c r="H490" s="81" t="e">
        <f ca="1"/>
        <v>#NAME?</v>
      </c>
      <c r="I490" s="51" t="e">
        <f ca="1"/>
        <v>#NAME?</v>
      </c>
      <c r="J490" s="51" t="e">
        <f ca="1"/>
        <v>#NAME?</v>
      </c>
      <c r="K490" s="47" t="e">
        <f ca="1"/>
        <v>#NAME?</v>
      </c>
      <c r="L490" s="47" t="e">
        <f ca="1"/>
        <v>#NAME?</v>
      </c>
      <c r="M490" s="47" t="e">
        <f ca="1"/>
        <v>#NAME?</v>
      </c>
      <c r="N490" s="47"/>
    </row>
    <row r="491" spans="1:14" ht="14.25" customHeight="1">
      <c r="A491" s="26">
        <v>29</v>
      </c>
      <c r="B491" s="47">
        <v>490</v>
      </c>
      <c r="C491" s="63" t="s">
        <v>10142</v>
      </c>
      <c r="D491" s="63" t="e">
        <f ca="1"/>
        <v>#NAME?</v>
      </c>
      <c r="E491" s="63" t="e">
        <f ca="1"/>
        <v>#NAME?</v>
      </c>
      <c r="F491" s="63" t="e">
        <f ca="1"/>
        <v>#NAME?</v>
      </c>
      <c r="G491" s="63" t="e">
        <f ca="1"/>
        <v>#NAME?</v>
      </c>
      <c r="H491" s="81" t="e">
        <f ca="1"/>
        <v>#NAME?</v>
      </c>
      <c r="I491" s="51" t="e">
        <f ca="1"/>
        <v>#NAME?</v>
      </c>
      <c r="J491" s="51" t="e">
        <f ca="1"/>
        <v>#NAME?</v>
      </c>
      <c r="K491" s="47" t="e">
        <f ca="1"/>
        <v>#NAME?</v>
      </c>
      <c r="L491" s="47" t="e">
        <f ca="1"/>
        <v>#NAME?</v>
      </c>
      <c r="M491" s="47" t="e">
        <f ca="1"/>
        <v>#NAME?</v>
      </c>
      <c r="N491" s="47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1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640625" defaultRowHeight="15" customHeight="1"/>
  <cols>
    <col min="1" max="1" width="11.88671875" customWidth="1"/>
    <col min="2" max="2" width="20.44140625" customWidth="1"/>
    <col min="3" max="3" width="10.88671875" customWidth="1"/>
    <col min="4" max="4" width="28.109375" customWidth="1"/>
    <col min="5" max="5" width="11.44140625" customWidth="1"/>
    <col min="6" max="6" width="11.88671875" customWidth="1"/>
    <col min="7" max="7" width="47.33203125" customWidth="1"/>
    <col min="8" max="8" width="46.33203125" customWidth="1"/>
    <col min="9" max="9" width="48.88671875" customWidth="1"/>
    <col min="10" max="10" width="36" customWidth="1"/>
    <col min="11" max="11" width="21" customWidth="1"/>
    <col min="12" max="12" width="21.109375" customWidth="1"/>
    <col min="13" max="13" width="21.33203125" customWidth="1"/>
  </cols>
  <sheetData>
    <row r="1" spans="1:13" ht="29.25" customHeight="1">
      <c r="A1" s="145" t="s">
        <v>12</v>
      </c>
      <c r="B1" s="14" t="s">
        <v>13</v>
      </c>
      <c r="C1" s="106" t="s">
        <v>14</v>
      </c>
      <c r="D1" s="14" t="s">
        <v>3114</v>
      </c>
      <c r="E1" s="14" t="s">
        <v>16</v>
      </c>
      <c r="F1" s="14" t="s">
        <v>17</v>
      </c>
      <c r="G1" s="14" t="s">
        <v>18</v>
      </c>
      <c r="H1" s="107" t="s">
        <v>19</v>
      </c>
      <c r="I1" s="14" t="s">
        <v>20</v>
      </c>
      <c r="J1" s="16" t="s">
        <v>21</v>
      </c>
      <c r="K1" s="17" t="s">
        <v>22</v>
      </c>
      <c r="L1" s="17" t="s">
        <v>23</v>
      </c>
      <c r="M1" s="17" t="s">
        <v>24</v>
      </c>
    </row>
    <row r="2" spans="1:13" ht="14.25" customHeight="1">
      <c r="A2" s="146">
        <v>1</v>
      </c>
      <c r="B2" s="88"/>
      <c r="C2" s="147" t="s">
        <v>9431</v>
      </c>
      <c r="D2" s="148" t="s">
        <v>9432</v>
      </c>
      <c r="E2" s="148" t="s">
        <v>9433</v>
      </c>
      <c r="F2" s="148" t="s">
        <v>65</v>
      </c>
      <c r="G2" s="148" t="s">
        <v>9434</v>
      </c>
      <c r="H2" s="149" t="s">
        <v>11116</v>
      </c>
      <c r="I2" s="148" t="s">
        <v>9436</v>
      </c>
      <c r="J2" s="150" t="s">
        <v>9437</v>
      </c>
      <c r="K2" s="88" t="s">
        <v>11004</v>
      </c>
      <c r="L2" s="88" t="s">
        <v>11005</v>
      </c>
      <c r="M2" s="88" t="s">
        <v>5461</v>
      </c>
    </row>
    <row r="3" spans="1:13" ht="14.25" customHeight="1">
      <c r="A3" s="113">
        <v>2</v>
      </c>
      <c r="B3" s="47"/>
      <c r="C3" s="151" t="s">
        <v>6745</v>
      </c>
      <c r="D3" s="130" t="s">
        <v>6746</v>
      </c>
      <c r="E3" s="130" t="s">
        <v>6747</v>
      </c>
      <c r="F3" s="130" t="s">
        <v>6748</v>
      </c>
      <c r="G3" s="130" t="s">
        <v>6749</v>
      </c>
      <c r="H3" s="117" t="s">
        <v>11117</v>
      </c>
      <c r="I3" s="130" t="s">
        <v>6751</v>
      </c>
      <c r="J3" s="116" t="s">
        <v>6752</v>
      </c>
      <c r="K3" s="47" t="s">
        <v>10724</v>
      </c>
      <c r="L3" s="47" t="s">
        <v>10725</v>
      </c>
      <c r="M3" s="47" t="s">
        <v>5471</v>
      </c>
    </row>
    <row r="4" spans="1:13" ht="14.25" customHeight="1">
      <c r="A4" s="113">
        <v>3</v>
      </c>
      <c r="B4" s="47"/>
      <c r="C4" s="151" t="s">
        <v>6439</v>
      </c>
      <c r="D4" s="152" t="s">
        <v>11118</v>
      </c>
      <c r="E4" s="130" t="s">
        <v>11119</v>
      </c>
      <c r="F4" s="130" t="s">
        <v>219</v>
      </c>
      <c r="G4" s="130" t="s">
        <v>11120</v>
      </c>
      <c r="H4" s="117" t="s">
        <v>11121</v>
      </c>
      <c r="I4" s="130" t="s">
        <v>11122</v>
      </c>
      <c r="J4" s="130" t="s">
        <v>11123</v>
      </c>
      <c r="K4" s="47" t="s">
        <v>11124</v>
      </c>
      <c r="L4" s="47" t="s">
        <v>11125</v>
      </c>
      <c r="M4" s="47" t="s">
        <v>5476</v>
      </c>
    </row>
    <row r="5" spans="1:13" ht="14.25" customHeight="1">
      <c r="A5" s="113">
        <v>4</v>
      </c>
      <c r="B5" s="47"/>
      <c r="C5" s="151" t="s">
        <v>5567</v>
      </c>
      <c r="D5" s="130" t="s">
        <v>5568</v>
      </c>
      <c r="E5" s="130" t="s">
        <v>5569</v>
      </c>
      <c r="F5" s="130" t="s">
        <v>117</v>
      </c>
      <c r="G5" s="130" t="s">
        <v>5570</v>
      </c>
      <c r="H5" s="117" t="s">
        <v>11126</v>
      </c>
      <c r="I5" s="130" t="s">
        <v>5572</v>
      </c>
      <c r="J5" s="116" t="s">
        <v>5573</v>
      </c>
      <c r="K5" s="47" t="s">
        <v>10631</v>
      </c>
      <c r="L5" s="47" t="s">
        <v>10632</v>
      </c>
      <c r="M5" s="47" t="s">
        <v>5486</v>
      </c>
    </row>
    <row r="6" spans="1:13" ht="14.25" customHeight="1">
      <c r="A6" s="113">
        <v>5</v>
      </c>
      <c r="B6" s="47"/>
      <c r="C6" s="151" t="s">
        <v>7859</v>
      </c>
      <c r="D6" s="130" t="s">
        <v>7860</v>
      </c>
      <c r="E6" s="130" t="s">
        <v>7861</v>
      </c>
      <c r="F6" s="130" t="s">
        <v>65</v>
      </c>
      <c r="G6" s="130" t="s">
        <v>7862</v>
      </c>
      <c r="H6" s="117" t="s">
        <v>11127</v>
      </c>
      <c r="I6" s="130" t="s">
        <v>7864</v>
      </c>
      <c r="J6" s="116" t="s">
        <v>7865</v>
      </c>
      <c r="K6" s="47" t="s">
        <v>10839</v>
      </c>
      <c r="L6" s="47" t="s">
        <v>10840</v>
      </c>
      <c r="M6" s="47" t="s">
        <v>5496</v>
      </c>
    </row>
    <row r="7" spans="1:13" ht="14.25" customHeight="1">
      <c r="A7" s="113">
        <v>6</v>
      </c>
      <c r="B7" s="47"/>
      <c r="C7" s="151" t="s">
        <v>7928</v>
      </c>
      <c r="D7" s="130" t="s">
        <v>7929</v>
      </c>
      <c r="E7" s="130" t="s">
        <v>7930</v>
      </c>
      <c r="F7" s="130" t="s">
        <v>117</v>
      </c>
      <c r="G7" s="130" t="s">
        <v>7931</v>
      </c>
      <c r="H7" s="117" t="s">
        <v>11128</v>
      </c>
      <c r="I7" s="130" t="s">
        <v>7933</v>
      </c>
      <c r="J7" s="116" t="s">
        <v>7934</v>
      </c>
      <c r="K7" s="47" t="s">
        <v>10848</v>
      </c>
      <c r="L7" s="47" t="s">
        <v>10849</v>
      </c>
      <c r="M7" s="47" t="s">
        <v>5506</v>
      </c>
    </row>
    <row r="8" spans="1:13" ht="14.25" customHeight="1">
      <c r="A8" s="113">
        <v>7</v>
      </c>
      <c r="B8" s="47"/>
      <c r="C8" s="151" t="s">
        <v>9175</v>
      </c>
      <c r="D8" s="130" t="s">
        <v>9176</v>
      </c>
      <c r="E8" s="130" t="s">
        <v>9177</v>
      </c>
      <c r="F8" s="130" t="s">
        <v>65</v>
      </c>
      <c r="G8" s="130" t="s">
        <v>9178</v>
      </c>
      <c r="H8" s="117" t="s">
        <v>11129</v>
      </c>
      <c r="I8" s="130" t="s">
        <v>9180</v>
      </c>
      <c r="J8" s="116" t="s">
        <v>9181</v>
      </c>
      <c r="K8" s="47" t="s">
        <v>10978</v>
      </c>
      <c r="L8" s="47" t="s">
        <v>10979</v>
      </c>
      <c r="M8" s="47" t="s">
        <v>5510</v>
      </c>
    </row>
    <row r="9" spans="1:13" ht="14.25" customHeight="1">
      <c r="A9" s="113">
        <v>8</v>
      </c>
      <c r="B9" s="47"/>
      <c r="C9" s="151" t="s">
        <v>11130</v>
      </c>
      <c r="D9" s="130" t="s">
        <v>11131</v>
      </c>
      <c r="E9" s="130" t="s">
        <v>11132</v>
      </c>
      <c r="F9" s="130" t="s">
        <v>65</v>
      </c>
      <c r="G9" s="130" t="s">
        <v>11133</v>
      </c>
      <c r="H9" s="117" t="s">
        <v>11134</v>
      </c>
      <c r="I9" s="130" t="s">
        <v>11135</v>
      </c>
      <c r="J9" s="116" t="s">
        <v>11136</v>
      </c>
      <c r="K9" s="47" t="s">
        <v>11137</v>
      </c>
      <c r="L9" s="47" t="s">
        <v>11138</v>
      </c>
      <c r="M9" s="47" t="s">
        <v>5520</v>
      </c>
    </row>
    <row r="10" spans="1:13" ht="14.25" customHeight="1">
      <c r="A10" s="113">
        <v>9</v>
      </c>
      <c r="B10" s="47"/>
      <c r="C10" s="151" t="s">
        <v>11139</v>
      </c>
      <c r="D10" s="130" t="s">
        <v>11140</v>
      </c>
      <c r="E10" s="130" t="s">
        <v>11141</v>
      </c>
      <c r="F10" s="130" t="s">
        <v>65</v>
      </c>
      <c r="G10" s="130" t="s">
        <v>11142</v>
      </c>
      <c r="H10" s="117" t="s">
        <v>11143</v>
      </c>
      <c r="I10" s="130" t="s">
        <v>2383</v>
      </c>
      <c r="J10" s="116" t="s">
        <v>2384</v>
      </c>
      <c r="K10" s="47" t="s">
        <v>11144</v>
      </c>
      <c r="L10" s="47" t="s">
        <v>11145</v>
      </c>
      <c r="M10" s="47" t="s">
        <v>5530</v>
      </c>
    </row>
    <row r="11" spans="1:13" ht="14.25" customHeight="1">
      <c r="A11" s="113">
        <v>10</v>
      </c>
      <c r="B11" s="47"/>
      <c r="C11" s="151" t="s">
        <v>8810</v>
      </c>
      <c r="D11" s="130" t="s">
        <v>8811</v>
      </c>
      <c r="E11" s="130" t="s">
        <v>8812</v>
      </c>
      <c r="F11" s="130" t="s">
        <v>65</v>
      </c>
      <c r="G11" s="130" t="s">
        <v>8813</v>
      </c>
      <c r="H11" s="117" t="s">
        <v>11146</v>
      </c>
      <c r="I11" s="130" t="s">
        <v>8815</v>
      </c>
      <c r="J11" s="116" t="s">
        <v>8816</v>
      </c>
      <c r="K11" s="47" t="s">
        <v>10936</v>
      </c>
      <c r="L11" s="47" t="s">
        <v>10937</v>
      </c>
      <c r="M11" s="47" t="s">
        <v>5540</v>
      </c>
    </row>
    <row r="12" spans="1:13" ht="14.25" customHeight="1">
      <c r="A12" s="113">
        <v>11</v>
      </c>
      <c r="B12" s="47"/>
      <c r="C12" s="151" t="s">
        <v>5670</v>
      </c>
      <c r="D12" s="153" t="s">
        <v>5671</v>
      </c>
      <c r="E12" s="130" t="s">
        <v>5672</v>
      </c>
      <c r="F12" s="130" t="s">
        <v>117</v>
      </c>
      <c r="G12" s="130" t="s">
        <v>5673</v>
      </c>
      <c r="H12" s="125" t="s">
        <v>11147</v>
      </c>
      <c r="I12" s="130" t="s">
        <v>5675</v>
      </c>
      <c r="J12" s="154" t="s">
        <v>5676</v>
      </c>
      <c r="K12" s="47" t="s">
        <v>10642</v>
      </c>
      <c r="L12" s="47" t="s">
        <v>10643</v>
      </c>
      <c r="M12" s="47" t="s">
        <v>5550</v>
      </c>
    </row>
    <row r="13" spans="1:13" ht="14.25" customHeight="1">
      <c r="A13" s="113">
        <v>12</v>
      </c>
      <c r="B13" s="47"/>
      <c r="C13" s="151" t="s">
        <v>11148</v>
      </c>
      <c r="D13" s="130" t="s">
        <v>6187</v>
      </c>
      <c r="E13" s="130" t="s">
        <v>4957</v>
      </c>
      <c r="F13" s="130" t="s">
        <v>117</v>
      </c>
      <c r="G13" s="130" t="s">
        <v>11149</v>
      </c>
      <c r="H13" s="117" t="s">
        <v>11150</v>
      </c>
      <c r="I13" s="130" t="s">
        <v>11151</v>
      </c>
      <c r="J13" s="116" t="s">
        <v>11152</v>
      </c>
      <c r="K13" s="47" t="s">
        <v>11153</v>
      </c>
      <c r="L13" s="47" t="s">
        <v>11154</v>
      </c>
      <c r="M13" s="47" t="s">
        <v>5555</v>
      </c>
    </row>
    <row r="14" spans="1:13" ht="14.25" customHeight="1">
      <c r="A14" s="113">
        <v>13</v>
      </c>
      <c r="B14" s="47"/>
      <c r="C14" s="151" t="s">
        <v>2655</v>
      </c>
      <c r="D14" s="130" t="s">
        <v>2656</v>
      </c>
      <c r="E14" s="130" t="s">
        <v>2657</v>
      </c>
      <c r="F14" s="130" t="s">
        <v>65</v>
      </c>
      <c r="G14" s="130" t="s">
        <v>2658</v>
      </c>
      <c r="H14" s="117" t="s">
        <v>11155</v>
      </c>
      <c r="I14" s="130" t="s">
        <v>2660</v>
      </c>
      <c r="J14" s="116" t="s">
        <v>2661</v>
      </c>
      <c r="K14" s="47" t="s">
        <v>11156</v>
      </c>
      <c r="L14" s="47" t="s">
        <v>11157</v>
      </c>
      <c r="M14" s="47" t="s">
        <v>5566</v>
      </c>
    </row>
    <row r="15" spans="1:13" ht="14.25" customHeight="1">
      <c r="A15" s="113">
        <v>14</v>
      </c>
      <c r="B15" s="47"/>
      <c r="C15" s="151" t="s">
        <v>3881</v>
      </c>
      <c r="D15" s="130" t="s">
        <v>3882</v>
      </c>
      <c r="E15" s="130" t="s">
        <v>3883</v>
      </c>
      <c r="F15" s="130" t="s">
        <v>501</v>
      </c>
      <c r="G15" s="130" t="s">
        <v>3884</v>
      </c>
      <c r="H15" s="117" t="s">
        <v>11158</v>
      </c>
      <c r="I15" s="130" t="s">
        <v>3886</v>
      </c>
      <c r="J15" s="154" t="s">
        <v>3887</v>
      </c>
      <c r="K15" s="47" t="s">
        <v>5295</v>
      </c>
      <c r="L15" s="47" t="s">
        <v>5296</v>
      </c>
      <c r="M15" s="47" t="s">
        <v>5297</v>
      </c>
    </row>
    <row r="16" spans="1:13" ht="14.25" customHeight="1">
      <c r="A16" s="146">
        <v>1</v>
      </c>
      <c r="B16" s="88"/>
      <c r="C16" s="155" t="s">
        <v>7427</v>
      </c>
      <c r="D16" s="156" t="s">
        <v>7428</v>
      </c>
      <c r="E16" s="148" t="s">
        <v>7429</v>
      </c>
      <c r="F16" s="148" t="s">
        <v>65</v>
      </c>
      <c r="G16" s="157" t="s">
        <v>7430</v>
      </c>
      <c r="H16" s="158" t="s">
        <v>11159</v>
      </c>
      <c r="I16" s="148" t="s">
        <v>7432</v>
      </c>
      <c r="J16" s="148" t="s">
        <v>7433</v>
      </c>
      <c r="K16" s="88" t="s">
        <v>10788</v>
      </c>
      <c r="L16" s="88" t="s">
        <v>5707</v>
      </c>
      <c r="M16" s="88" t="s">
        <v>5708</v>
      </c>
    </row>
    <row r="17" spans="1:13" ht="14.25" customHeight="1">
      <c r="A17" s="113">
        <v>2</v>
      </c>
      <c r="B17" s="47"/>
      <c r="C17" s="120" t="s">
        <v>4622</v>
      </c>
      <c r="D17" s="130" t="s">
        <v>4623</v>
      </c>
      <c r="E17" s="130" t="s">
        <v>4624</v>
      </c>
      <c r="F17" s="130" t="s">
        <v>54</v>
      </c>
      <c r="G17" s="134" t="s">
        <v>4625</v>
      </c>
      <c r="H17" s="131" t="s">
        <v>11160</v>
      </c>
      <c r="I17" s="130" t="s">
        <v>4627</v>
      </c>
      <c r="J17" s="116" t="s">
        <v>5382</v>
      </c>
      <c r="K17" s="47" t="s">
        <v>5383</v>
      </c>
      <c r="L17" s="47" t="s">
        <v>5384</v>
      </c>
      <c r="M17" s="47" t="s">
        <v>5385</v>
      </c>
    </row>
    <row r="18" spans="1:13" ht="14.25" customHeight="1">
      <c r="A18" s="113">
        <v>3</v>
      </c>
      <c r="B18" s="47"/>
      <c r="C18" s="120" t="s">
        <v>9397</v>
      </c>
      <c r="D18" s="130" t="s">
        <v>9398</v>
      </c>
      <c r="E18" s="130" t="s">
        <v>9399</v>
      </c>
      <c r="F18" s="130" t="s">
        <v>65</v>
      </c>
      <c r="G18" s="134" t="s">
        <v>9400</v>
      </c>
      <c r="H18" s="131" t="s">
        <v>11161</v>
      </c>
      <c r="I18" s="130" t="s">
        <v>9402</v>
      </c>
      <c r="J18" s="116" t="s">
        <v>9403</v>
      </c>
      <c r="K18" s="47" t="s">
        <v>11002</v>
      </c>
      <c r="L18" s="47" t="s">
        <v>5726</v>
      </c>
      <c r="M18" s="47" t="s">
        <v>5727</v>
      </c>
    </row>
    <row r="19" spans="1:13" ht="14.25" customHeight="1">
      <c r="A19" s="113">
        <v>4</v>
      </c>
      <c r="B19" s="47"/>
      <c r="C19" s="120" t="s">
        <v>11162</v>
      </c>
      <c r="D19" s="130" t="s">
        <v>6620</v>
      </c>
      <c r="E19" s="130" t="s">
        <v>6621</v>
      </c>
      <c r="F19" s="130" t="s">
        <v>65</v>
      </c>
      <c r="G19" s="134" t="s">
        <v>11163</v>
      </c>
      <c r="H19" s="131" t="s">
        <v>11164</v>
      </c>
      <c r="I19" s="130" t="s">
        <v>11165</v>
      </c>
      <c r="J19" s="116" t="s">
        <v>11166</v>
      </c>
      <c r="K19" s="47" t="s">
        <v>11167</v>
      </c>
      <c r="L19" s="47" t="s">
        <v>5736</v>
      </c>
      <c r="M19" s="47" t="s">
        <v>5737</v>
      </c>
    </row>
    <row r="20" spans="1:13" ht="14.25" customHeight="1">
      <c r="A20" s="113">
        <v>5</v>
      </c>
      <c r="B20" s="47"/>
      <c r="C20" s="120" t="s">
        <v>9813</v>
      </c>
      <c r="D20" s="130" t="s">
        <v>9814</v>
      </c>
      <c r="E20" s="130" t="s">
        <v>9815</v>
      </c>
      <c r="F20" s="130" t="s">
        <v>54</v>
      </c>
      <c r="G20" s="134" t="s">
        <v>11045</v>
      </c>
      <c r="H20" s="131" t="s">
        <v>11168</v>
      </c>
      <c r="I20" s="130" t="s">
        <v>9818</v>
      </c>
      <c r="J20" s="116" t="s">
        <v>9819</v>
      </c>
      <c r="K20" s="47" t="s">
        <v>11046</v>
      </c>
      <c r="L20" s="47" t="s">
        <v>5747</v>
      </c>
      <c r="M20" s="47" t="s">
        <v>5748</v>
      </c>
    </row>
    <row r="21" spans="1:13" ht="14.25" customHeight="1">
      <c r="A21" s="113">
        <v>6</v>
      </c>
      <c r="B21" s="47"/>
      <c r="C21" s="120" t="s">
        <v>11169</v>
      </c>
      <c r="D21" s="130" t="s">
        <v>7900</v>
      </c>
      <c r="E21" s="130" t="s">
        <v>2043</v>
      </c>
      <c r="F21" s="130" t="s">
        <v>54</v>
      </c>
      <c r="G21" s="134" t="s">
        <v>11170</v>
      </c>
      <c r="H21" s="131" t="s">
        <v>11171</v>
      </c>
      <c r="I21" s="130" t="s">
        <v>11172</v>
      </c>
      <c r="J21" s="152" t="s">
        <v>11173</v>
      </c>
      <c r="K21" s="47" t="s">
        <v>11174</v>
      </c>
      <c r="L21" s="47" t="s">
        <v>5757</v>
      </c>
      <c r="M21" s="47" t="s">
        <v>5758</v>
      </c>
    </row>
    <row r="22" spans="1:13" ht="14.25" customHeight="1">
      <c r="A22" s="113">
        <v>7</v>
      </c>
      <c r="B22" s="47"/>
      <c r="C22" s="120" t="s">
        <v>7300</v>
      </c>
      <c r="D22" s="130" t="s">
        <v>7301</v>
      </c>
      <c r="E22" s="130" t="s">
        <v>7302</v>
      </c>
      <c r="F22" s="130" t="s">
        <v>54</v>
      </c>
      <c r="G22" s="134" t="s">
        <v>7303</v>
      </c>
      <c r="H22" s="131" t="s">
        <v>11175</v>
      </c>
      <c r="I22" s="159" t="s">
        <v>7305</v>
      </c>
      <c r="J22" s="116" t="s">
        <v>10766</v>
      </c>
      <c r="K22" s="47" t="s">
        <v>10767</v>
      </c>
      <c r="L22" s="47" t="s">
        <v>5767</v>
      </c>
      <c r="M22" s="47" t="s">
        <v>5768</v>
      </c>
    </row>
    <row r="23" spans="1:13" ht="14.25" customHeight="1">
      <c r="A23" s="113">
        <v>8</v>
      </c>
      <c r="B23" s="47"/>
      <c r="C23" s="120" t="s">
        <v>5497</v>
      </c>
      <c r="D23" s="130" t="s">
        <v>5498</v>
      </c>
      <c r="E23" s="130" t="s">
        <v>5499</v>
      </c>
      <c r="F23" s="130" t="s">
        <v>54</v>
      </c>
      <c r="G23" s="134" t="s">
        <v>5500</v>
      </c>
      <c r="H23" s="131" t="s">
        <v>11176</v>
      </c>
      <c r="I23" s="130" t="s">
        <v>5502</v>
      </c>
      <c r="J23" s="130" t="s">
        <v>5503</v>
      </c>
      <c r="K23" s="47" t="s">
        <v>10620</v>
      </c>
      <c r="L23" s="47" t="s">
        <v>5777</v>
      </c>
      <c r="M23" s="47" t="s">
        <v>5778</v>
      </c>
    </row>
    <row r="24" spans="1:13" ht="14.25" customHeight="1">
      <c r="A24" s="113">
        <v>9</v>
      </c>
      <c r="B24" s="47"/>
      <c r="C24" s="120" t="s">
        <v>11177</v>
      </c>
      <c r="D24" s="130" t="s">
        <v>11178</v>
      </c>
      <c r="E24" s="130" t="s">
        <v>11179</v>
      </c>
      <c r="F24" s="130" t="s">
        <v>65</v>
      </c>
      <c r="G24" s="134" t="s">
        <v>11180</v>
      </c>
      <c r="H24" s="131" t="s">
        <v>11181</v>
      </c>
      <c r="I24" s="130" t="s">
        <v>11182</v>
      </c>
      <c r="J24" s="116" t="s">
        <v>11183</v>
      </c>
      <c r="K24" s="47" t="s">
        <v>11184</v>
      </c>
      <c r="L24" s="47" t="s">
        <v>5786</v>
      </c>
      <c r="M24" s="47" t="s">
        <v>5787</v>
      </c>
    </row>
    <row r="25" spans="1:13" ht="14.25" customHeight="1">
      <c r="A25" s="113">
        <v>10</v>
      </c>
      <c r="B25" s="47"/>
      <c r="C25" s="120" t="s">
        <v>11185</v>
      </c>
      <c r="D25" s="130" t="s">
        <v>11186</v>
      </c>
      <c r="E25" s="130" t="s">
        <v>11187</v>
      </c>
      <c r="F25" s="130" t="s">
        <v>65</v>
      </c>
      <c r="G25" s="134" t="s">
        <v>11188</v>
      </c>
      <c r="H25" s="131" t="s">
        <v>11189</v>
      </c>
      <c r="I25" s="130" t="s">
        <v>11190</v>
      </c>
      <c r="J25" s="130" t="s">
        <v>11191</v>
      </c>
      <c r="K25" s="47" t="s">
        <v>11192</v>
      </c>
      <c r="L25" s="47" t="s">
        <v>5797</v>
      </c>
      <c r="M25" s="47" t="s">
        <v>5798</v>
      </c>
    </row>
    <row r="26" spans="1:13" ht="14.25" customHeight="1">
      <c r="A26" s="113">
        <v>11</v>
      </c>
      <c r="B26" s="47"/>
      <c r="C26" s="120" t="s">
        <v>8087</v>
      </c>
      <c r="D26" s="130" t="s">
        <v>8088</v>
      </c>
      <c r="E26" s="130" t="s">
        <v>8089</v>
      </c>
      <c r="F26" s="130" t="s">
        <v>65</v>
      </c>
      <c r="G26" s="134" t="s">
        <v>8090</v>
      </c>
      <c r="H26" s="131" t="s">
        <v>11193</v>
      </c>
      <c r="I26" s="130" t="s">
        <v>8092</v>
      </c>
      <c r="J26" s="130" t="s">
        <v>8093</v>
      </c>
      <c r="K26" s="47" t="s">
        <v>10867</v>
      </c>
      <c r="L26" s="47" t="s">
        <v>5807</v>
      </c>
      <c r="M26" s="47" t="s">
        <v>5808</v>
      </c>
    </row>
    <row r="27" spans="1:13" ht="14.25" customHeight="1">
      <c r="A27" s="113">
        <v>12</v>
      </c>
      <c r="B27" s="47"/>
      <c r="C27" s="120" t="s">
        <v>7968</v>
      </c>
      <c r="D27" s="130" t="s">
        <v>7969</v>
      </c>
      <c r="E27" s="130" t="s">
        <v>7970</v>
      </c>
      <c r="F27" s="130" t="s">
        <v>65</v>
      </c>
      <c r="G27" s="134" t="s">
        <v>7971</v>
      </c>
      <c r="H27" s="131" t="s">
        <v>11194</v>
      </c>
      <c r="I27" s="130" t="s">
        <v>7973</v>
      </c>
      <c r="J27" s="130" t="s">
        <v>7974</v>
      </c>
      <c r="K27" s="47" t="s">
        <v>10852</v>
      </c>
      <c r="L27" s="47" t="s">
        <v>5817</v>
      </c>
      <c r="M27" s="47" t="s">
        <v>5818</v>
      </c>
    </row>
    <row r="28" spans="1:13" ht="14.25" customHeight="1">
      <c r="A28" s="113">
        <v>13</v>
      </c>
      <c r="B28" s="47"/>
      <c r="C28" s="120" t="s">
        <v>7005</v>
      </c>
      <c r="D28" s="130" t="s">
        <v>7006</v>
      </c>
      <c r="E28" s="130" t="s">
        <v>7007</v>
      </c>
      <c r="F28" s="130" t="s">
        <v>563</v>
      </c>
      <c r="G28" s="134" t="s">
        <v>7008</v>
      </c>
      <c r="H28" s="131" t="s">
        <v>11195</v>
      </c>
      <c r="I28" s="130" t="s">
        <v>7010</v>
      </c>
      <c r="J28" s="130" t="s">
        <v>7011</v>
      </c>
      <c r="K28" s="47" t="s">
        <v>10738</v>
      </c>
      <c r="L28" s="47" t="s">
        <v>5826</v>
      </c>
      <c r="M28" s="47" t="s">
        <v>5827</v>
      </c>
    </row>
    <row r="29" spans="1:13" ht="14.25" customHeight="1">
      <c r="A29" s="113">
        <v>14</v>
      </c>
      <c r="B29" s="47"/>
      <c r="C29" s="120" t="s">
        <v>4810</v>
      </c>
      <c r="D29" s="130" t="s">
        <v>4811</v>
      </c>
      <c r="E29" s="130" t="s">
        <v>4812</v>
      </c>
      <c r="F29" s="130" t="s">
        <v>65</v>
      </c>
      <c r="G29" s="134" t="s">
        <v>4813</v>
      </c>
      <c r="H29" s="131" t="s">
        <v>11196</v>
      </c>
      <c r="I29" s="130" t="s">
        <v>4815</v>
      </c>
      <c r="J29" s="130" t="s">
        <v>4816</v>
      </c>
      <c r="K29" s="47" t="s">
        <v>5407</v>
      </c>
      <c r="L29" s="47" t="s">
        <v>5408</v>
      </c>
      <c r="M29" s="47" t="s">
        <v>5409</v>
      </c>
    </row>
    <row r="30" spans="1:13" ht="14.25" customHeight="1">
      <c r="A30" s="113">
        <v>15</v>
      </c>
      <c r="B30" s="47"/>
      <c r="C30" s="120" t="s">
        <v>3489</v>
      </c>
      <c r="D30" s="130" t="s">
        <v>3490</v>
      </c>
      <c r="E30" s="130" t="s">
        <v>3491</v>
      </c>
      <c r="F30" s="130" t="s">
        <v>117</v>
      </c>
      <c r="G30" s="134" t="s">
        <v>11197</v>
      </c>
      <c r="H30" s="131" t="s">
        <v>11198</v>
      </c>
      <c r="I30" s="130" t="s">
        <v>11199</v>
      </c>
      <c r="J30" s="130" t="s">
        <v>11200</v>
      </c>
      <c r="K30" s="47" t="s">
        <v>11201</v>
      </c>
      <c r="L30" s="47" t="s">
        <v>5844</v>
      </c>
      <c r="M30" s="47" t="s">
        <v>5845</v>
      </c>
    </row>
    <row r="31" spans="1:13" ht="14.25" customHeight="1">
      <c r="A31" s="113">
        <v>16</v>
      </c>
      <c r="B31" s="47"/>
      <c r="C31" s="120" t="s">
        <v>7849</v>
      </c>
      <c r="D31" s="104" t="s">
        <v>7850</v>
      </c>
      <c r="E31" s="104" t="s">
        <v>7851</v>
      </c>
      <c r="F31" s="104" t="s">
        <v>563</v>
      </c>
      <c r="G31" s="134" t="s">
        <v>8463</v>
      </c>
      <c r="H31" s="131" t="s">
        <v>11202</v>
      </c>
      <c r="I31" s="130" t="s">
        <v>8465</v>
      </c>
      <c r="J31" s="116" t="s">
        <v>8466</v>
      </c>
      <c r="K31" s="47" t="s">
        <v>10838</v>
      </c>
      <c r="L31" s="47" t="s">
        <v>5853</v>
      </c>
      <c r="M31" s="47" t="s">
        <v>5854</v>
      </c>
    </row>
    <row r="32" spans="1:13" ht="14.25" customHeight="1">
      <c r="A32" s="113">
        <v>17</v>
      </c>
      <c r="B32" s="47"/>
      <c r="C32" s="120" t="s">
        <v>8445</v>
      </c>
      <c r="D32" s="130" t="s">
        <v>8446</v>
      </c>
      <c r="E32" s="130" t="s">
        <v>8447</v>
      </c>
      <c r="F32" s="130" t="s">
        <v>65</v>
      </c>
      <c r="G32" s="134" t="s">
        <v>8448</v>
      </c>
      <c r="H32" s="131" t="s">
        <v>11203</v>
      </c>
      <c r="I32" s="130" t="s">
        <v>8450</v>
      </c>
      <c r="J32" s="130" t="s">
        <v>8451</v>
      </c>
      <c r="K32" s="47" t="s">
        <v>10899</v>
      </c>
      <c r="L32" s="47" t="s">
        <v>5863</v>
      </c>
      <c r="M32" s="47" t="s">
        <v>5864</v>
      </c>
    </row>
    <row r="33" spans="1:13" ht="14.25" customHeight="1">
      <c r="A33" s="113">
        <v>18</v>
      </c>
      <c r="B33" s="47"/>
      <c r="C33" s="120" t="s">
        <v>9481</v>
      </c>
      <c r="D33" s="130" t="s">
        <v>9482</v>
      </c>
      <c r="E33" s="130" t="s">
        <v>9483</v>
      </c>
      <c r="F33" s="130" t="s">
        <v>1410</v>
      </c>
      <c r="G33" s="134" t="s">
        <v>9484</v>
      </c>
      <c r="H33" s="131" t="s">
        <v>11204</v>
      </c>
      <c r="I33" s="130" t="s">
        <v>9486</v>
      </c>
      <c r="J33" s="116" t="s">
        <v>9487</v>
      </c>
      <c r="K33" s="47" t="s">
        <v>11008</v>
      </c>
      <c r="L33" s="47" t="s">
        <v>5873</v>
      </c>
      <c r="M33" s="47" t="s">
        <v>5874</v>
      </c>
    </row>
    <row r="34" spans="1:13" ht="14.25" customHeight="1">
      <c r="A34" s="146">
        <v>1</v>
      </c>
      <c r="B34" s="88"/>
      <c r="C34" s="155" t="s">
        <v>11205</v>
      </c>
      <c r="D34" s="148" t="s">
        <v>11206</v>
      </c>
      <c r="E34" s="148" t="s">
        <v>11207</v>
      </c>
      <c r="F34" s="148" t="s">
        <v>117</v>
      </c>
      <c r="G34" s="148" t="s">
        <v>11208</v>
      </c>
      <c r="H34" s="149" t="s">
        <v>11209</v>
      </c>
      <c r="I34" s="148" t="s">
        <v>11210</v>
      </c>
      <c r="J34" s="150" t="s">
        <v>11211</v>
      </c>
      <c r="K34" s="88" t="s">
        <v>11212</v>
      </c>
      <c r="L34" s="88" t="s">
        <v>5973</v>
      </c>
      <c r="M34" s="88" t="s">
        <v>5974</v>
      </c>
    </row>
    <row r="35" spans="1:13" ht="14.25" customHeight="1">
      <c r="A35" s="113">
        <v>2</v>
      </c>
      <c r="B35" s="47"/>
      <c r="C35" s="120" t="s">
        <v>6787</v>
      </c>
      <c r="D35" s="130" t="s">
        <v>6788</v>
      </c>
      <c r="E35" s="130" t="s">
        <v>6789</v>
      </c>
      <c r="F35" s="130" t="s">
        <v>117</v>
      </c>
      <c r="G35" s="104" t="s">
        <v>6790</v>
      </c>
      <c r="H35" s="131" t="s">
        <v>11213</v>
      </c>
      <c r="I35" s="159" t="s">
        <v>6792</v>
      </c>
      <c r="J35" s="116" t="s">
        <v>6793</v>
      </c>
      <c r="K35" s="47" t="s">
        <v>10726</v>
      </c>
      <c r="L35" s="47" t="s">
        <v>5983</v>
      </c>
      <c r="M35" s="47" t="s">
        <v>5984</v>
      </c>
    </row>
    <row r="36" spans="1:13" ht="14.25" customHeight="1">
      <c r="A36" s="113">
        <v>3</v>
      </c>
      <c r="B36" s="47"/>
      <c r="C36" s="120" t="s">
        <v>4256</v>
      </c>
      <c r="D36" s="130" t="s">
        <v>4257</v>
      </c>
      <c r="E36" s="130" t="s">
        <v>4258</v>
      </c>
      <c r="F36" s="130" t="s">
        <v>117</v>
      </c>
      <c r="G36" s="104" t="s">
        <v>4259</v>
      </c>
      <c r="H36" s="131" t="s">
        <v>11214</v>
      </c>
      <c r="I36" s="130" t="s">
        <v>4261</v>
      </c>
      <c r="J36" s="130" t="s">
        <v>4262</v>
      </c>
      <c r="K36" s="47" t="s">
        <v>5345</v>
      </c>
      <c r="L36" s="47" t="s">
        <v>5346</v>
      </c>
      <c r="M36" s="47" t="s">
        <v>5347</v>
      </c>
    </row>
    <row r="37" spans="1:13" ht="14.25" customHeight="1">
      <c r="A37" s="113">
        <v>4</v>
      </c>
      <c r="B37" s="47"/>
      <c r="C37" s="120" t="s">
        <v>7123</v>
      </c>
      <c r="D37" s="130" t="s">
        <v>7124</v>
      </c>
      <c r="E37" s="130" t="s">
        <v>7125</v>
      </c>
      <c r="F37" s="130" t="s">
        <v>54</v>
      </c>
      <c r="G37" s="104" t="s">
        <v>7126</v>
      </c>
      <c r="H37" s="131" t="s">
        <v>11215</v>
      </c>
      <c r="I37" s="130" t="s">
        <v>7128</v>
      </c>
      <c r="J37" s="130" t="s">
        <v>7129</v>
      </c>
      <c r="K37" s="47" t="s">
        <v>10747</v>
      </c>
      <c r="L37" s="47" t="s">
        <v>5998</v>
      </c>
      <c r="M37" s="47" t="s">
        <v>5999</v>
      </c>
    </row>
    <row r="38" spans="1:13" ht="14.25" customHeight="1">
      <c r="A38" s="113">
        <v>5</v>
      </c>
      <c r="B38" s="47"/>
      <c r="C38" s="120" t="s">
        <v>7133</v>
      </c>
      <c r="D38" s="130" t="s">
        <v>7134</v>
      </c>
      <c r="E38" s="130" t="s">
        <v>7135</v>
      </c>
      <c r="F38" s="130" t="s">
        <v>54</v>
      </c>
      <c r="G38" s="104" t="s">
        <v>7136</v>
      </c>
      <c r="H38" s="131" t="s">
        <v>11216</v>
      </c>
      <c r="I38" s="130" t="s">
        <v>7138</v>
      </c>
      <c r="J38" s="130" t="s">
        <v>7139</v>
      </c>
      <c r="K38" s="47" t="s">
        <v>10748</v>
      </c>
      <c r="L38" s="47" t="s">
        <v>6008</v>
      </c>
      <c r="M38" s="47" t="s">
        <v>6009</v>
      </c>
    </row>
    <row r="39" spans="1:13" ht="14.25" customHeight="1">
      <c r="A39" s="113">
        <v>6</v>
      </c>
      <c r="B39" s="47"/>
      <c r="C39" s="120" t="s">
        <v>5749</v>
      </c>
      <c r="D39" s="130" t="s">
        <v>5750</v>
      </c>
      <c r="E39" s="130" t="s">
        <v>5751</v>
      </c>
      <c r="F39" s="130" t="s">
        <v>65</v>
      </c>
      <c r="G39" s="104" t="s">
        <v>5752</v>
      </c>
      <c r="H39" s="131" t="s">
        <v>11217</v>
      </c>
      <c r="I39" s="130" t="s">
        <v>5754</v>
      </c>
      <c r="J39" s="130" t="s">
        <v>5755</v>
      </c>
      <c r="K39" s="47" t="s">
        <v>10648</v>
      </c>
      <c r="L39" s="47" t="s">
        <v>6017</v>
      </c>
      <c r="M39" s="47" t="s">
        <v>6018</v>
      </c>
    </row>
    <row r="40" spans="1:13" ht="14.25" customHeight="1">
      <c r="A40" s="113">
        <v>7</v>
      </c>
      <c r="B40" s="47"/>
      <c r="C40" s="120" t="s">
        <v>4309</v>
      </c>
      <c r="D40" s="130" t="s">
        <v>4310</v>
      </c>
      <c r="E40" s="130" t="s">
        <v>4311</v>
      </c>
      <c r="F40" s="130" t="s">
        <v>65</v>
      </c>
      <c r="G40" s="104" t="s">
        <v>4312</v>
      </c>
      <c r="H40" s="131" t="s">
        <v>11218</v>
      </c>
      <c r="I40" s="130" t="s">
        <v>4314</v>
      </c>
      <c r="J40" s="130" t="s">
        <v>4315</v>
      </c>
      <c r="K40" s="47" t="s">
        <v>5355</v>
      </c>
      <c r="L40" s="47" t="s">
        <v>5356</v>
      </c>
      <c r="M40" s="47" t="s">
        <v>5357</v>
      </c>
    </row>
    <row r="41" spans="1:13" ht="14.25" customHeight="1">
      <c r="A41" s="113">
        <v>8</v>
      </c>
      <c r="B41" s="47"/>
      <c r="C41" s="120" t="s">
        <v>11219</v>
      </c>
      <c r="D41" s="130" t="s">
        <v>11220</v>
      </c>
      <c r="E41" s="130" t="s">
        <v>11221</v>
      </c>
      <c r="F41" s="130" t="s">
        <v>54</v>
      </c>
      <c r="G41" s="104" t="s">
        <v>11222</v>
      </c>
      <c r="H41" s="131" t="s">
        <v>11223</v>
      </c>
      <c r="I41" s="130" t="s">
        <v>11224</v>
      </c>
      <c r="J41" s="130" t="s">
        <v>11225</v>
      </c>
      <c r="K41" s="47" t="s">
        <v>11226</v>
      </c>
      <c r="L41" s="47" t="s">
        <v>6035</v>
      </c>
      <c r="M41" s="47" t="s">
        <v>6036</v>
      </c>
    </row>
    <row r="42" spans="1:13" ht="14.25" customHeight="1">
      <c r="A42" s="113">
        <v>9</v>
      </c>
      <c r="B42" s="47"/>
      <c r="C42" s="120" t="s">
        <v>3300</v>
      </c>
      <c r="D42" s="104" t="s">
        <v>3301</v>
      </c>
      <c r="E42" s="104" t="s">
        <v>3302</v>
      </c>
      <c r="F42" s="104" t="s">
        <v>664</v>
      </c>
      <c r="G42" s="104" t="s">
        <v>3303</v>
      </c>
      <c r="H42" s="131" t="s">
        <v>11227</v>
      </c>
      <c r="I42" s="152" t="s">
        <v>3305</v>
      </c>
      <c r="J42" s="116" t="s">
        <v>3306</v>
      </c>
      <c r="K42" s="47" t="s">
        <v>5218</v>
      </c>
      <c r="L42" s="47" t="s">
        <v>5219</v>
      </c>
      <c r="M42" s="47" t="s">
        <v>5220</v>
      </c>
    </row>
    <row r="43" spans="1:13" ht="14.25" customHeight="1">
      <c r="A43" s="113">
        <v>10</v>
      </c>
      <c r="B43" s="47"/>
      <c r="C43" s="120" t="s">
        <v>4039</v>
      </c>
      <c r="D43" s="130" t="s">
        <v>4040</v>
      </c>
      <c r="E43" s="130" t="s">
        <v>4041</v>
      </c>
      <c r="F43" s="130" t="s">
        <v>54</v>
      </c>
      <c r="G43" s="104" t="s">
        <v>4042</v>
      </c>
      <c r="H43" s="131" t="s">
        <v>11228</v>
      </c>
      <c r="I43" s="130" t="s">
        <v>4044</v>
      </c>
      <c r="J43" s="130" t="s">
        <v>4045</v>
      </c>
      <c r="K43" s="47" t="s">
        <v>5316</v>
      </c>
      <c r="L43" s="47" t="s">
        <v>5317</v>
      </c>
      <c r="M43" s="47" t="s">
        <v>5318</v>
      </c>
    </row>
    <row r="44" spans="1:13" ht="14.25" customHeight="1">
      <c r="A44" s="113">
        <v>11</v>
      </c>
      <c r="B44" s="47"/>
      <c r="C44" s="120" t="s">
        <v>3601</v>
      </c>
      <c r="D44" s="130" t="s">
        <v>3602</v>
      </c>
      <c r="E44" s="104" t="s">
        <v>3603</v>
      </c>
      <c r="F44" s="104" t="s">
        <v>563</v>
      </c>
      <c r="G44" s="104" t="s">
        <v>3604</v>
      </c>
      <c r="H44" s="131" t="s">
        <v>11229</v>
      </c>
      <c r="I44" s="130" t="s">
        <v>3606</v>
      </c>
      <c r="J44" s="130" t="s">
        <v>3607</v>
      </c>
      <c r="K44" s="47" t="s">
        <v>5255</v>
      </c>
      <c r="L44" s="47" t="s">
        <v>5256</v>
      </c>
      <c r="M44" s="47" t="s">
        <v>5257</v>
      </c>
    </row>
    <row r="45" spans="1:13" ht="14.25" customHeight="1">
      <c r="A45" s="113">
        <v>12</v>
      </c>
      <c r="B45" s="47"/>
      <c r="C45" s="120" t="s">
        <v>3611</v>
      </c>
      <c r="D45" s="130" t="s">
        <v>3612</v>
      </c>
      <c r="E45" s="130" t="s">
        <v>3613</v>
      </c>
      <c r="F45" s="130" t="s">
        <v>65</v>
      </c>
      <c r="G45" s="104" t="s">
        <v>3614</v>
      </c>
      <c r="H45" s="131" t="s">
        <v>11230</v>
      </c>
      <c r="I45" s="130" t="s">
        <v>3616</v>
      </c>
      <c r="J45" s="116" t="s">
        <v>5258</v>
      </c>
      <c r="K45" s="47" t="s">
        <v>5259</v>
      </c>
      <c r="L45" s="47" t="s">
        <v>5260</v>
      </c>
      <c r="M45" s="47" t="s">
        <v>5261</v>
      </c>
    </row>
    <row r="46" spans="1:13" ht="14.25" customHeight="1">
      <c r="A46" s="113">
        <v>13</v>
      </c>
      <c r="B46" s="47"/>
      <c r="C46" s="120" t="s">
        <v>11231</v>
      </c>
      <c r="D46" s="130" t="s">
        <v>11232</v>
      </c>
      <c r="E46" s="130" t="s">
        <v>11233</v>
      </c>
      <c r="F46" s="130" t="s">
        <v>65</v>
      </c>
      <c r="G46" s="104" t="s">
        <v>11234</v>
      </c>
      <c r="H46" s="131" t="s">
        <v>11235</v>
      </c>
      <c r="I46" s="130" t="s">
        <v>11236</v>
      </c>
      <c r="J46" s="130" t="s">
        <v>11237</v>
      </c>
      <c r="K46" s="47" t="s">
        <v>11238</v>
      </c>
      <c r="L46" s="47" t="s">
        <v>6077</v>
      </c>
      <c r="M46" s="47" t="s">
        <v>6078</v>
      </c>
    </row>
    <row r="47" spans="1:13" ht="14.25" customHeight="1">
      <c r="A47" s="113">
        <v>14</v>
      </c>
      <c r="B47" s="47"/>
      <c r="C47" s="120" t="s">
        <v>1992</v>
      </c>
      <c r="D47" s="130" t="s">
        <v>1993</v>
      </c>
      <c r="E47" s="130" t="s">
        <v>1994</v>
      </c>
      <c r="F47" s="130" t="s">
        <v>65</v>
      </c>
      <c r="G47" s="104" t="s">
        <v>1995</v>
      </c>
      <c r="H47" s="131" t="s">
        <v>11239</v>
      </c>
      <c r="I47" s="130" t="s">
        <v>1997</v>
      </c>
      <c r="J47" s="130" t="s">
        <v>1998</v>
      </c>
      <c r="K47" s="47" t="s">
        <v>11240</v>
      </c>
      <c r="L47" s="47" t="s">
        <v>6087</v>
      </c>
      <c r="M47" s="47" t="s">
        <v>6088</v>
      </c>
    </row>
    <row r="48" spans="1:13" ht="14.25" customHeight="1">
      <c r="A48" s="113">
        <v>15</v>
      </c>
      <c r="B48" s="47"/>
      <c r="C48" s="135" t="s">
        <v>1439</v>
      </c>
      <c r="D48" s="130" t="s">
        <v>1440</v>
      </c>
      <c r="E48" s="130" t="s">
        <v>1441</v>
      </c>
      <c r="F48" s="130" t="s">
        <v>219</v>
      </c>
      <c r="G48" s="104" t="s">
        <v>1442</v>
      </c>
      <c r="H48" s="131" t="s">
        <v>11241</v>
      </c>
      <c r="I48" s="130" t="s">
        <v>1444</v>
      </c>
      <c r="J48" s="116" t="s">
        <v>1445</v>
      </c>
      <c r="K48" s="47" t="s">
        <v>10663</v>
      </c>
      <c r="L48" s="47" t="s">
        <v>6096</v>
      </c>
      <c r="M48" s="47" t="s">
        <v>6097</v>
      </c>
    </row>
    <row r="49" spans="1:13" ht="14.25" customHeight="1">
      <c r="A49" s="113">
        <v>16</v>
      </c>
      <c r="B49" s="47"/>
      <c r="C49" s="120" t="s">
        <v>8708</v>
      </c>
      <c r="D49" s="130" t="s">
        <v>8709</v>
      </c>
      <c r="E49" s="130" t="s">
        <v>8710</v>
      </c>
      <c r="F49" s="130" t="s">
        <v>117</v>
      </c>
      <c r="G49" s="104" t="s">
        <v>8711</v>
      </c>
      <c r="H49" s="131" t="s">
        <v>11242</v>
      </c>
      <c r="I49" s="130" t="s">
        <v>8713</v>
      </c>
      <c r="J49" s="130" t="s">
        <v>8714</v>
      </c>
      <c r="K49" s="47" t="s">
        <v>10929</v>
      </c>
      <c r="L49" s="47" t="s">
        <v>6106</v>
      </c>
      <c r="M49" s="47" t="s">
        <v>6107</v>
      </c>
    </row>
    <row r="50" spans="1:13" ht="14.25" customHeight="1">
      <c r="A50" s="113">
        <v>17</v>
      </c>
      <c r="B50" s="47"/>
      <c r="C50" s="120" t="s">
        <v>8157</v>
      </c>
      <c r="D50" s="130" t="s">
        <v>8158</v>
      </c>
      <c r="E50" s="130" t="s">
        <v>8159</v>
      </c>
      <c r="F50" s="130" t="s">
        <v>664</v>
      </c>
      <c r="G50" s="104" t="s">
        <v>8160</v>
      </c>
      <c r="H50" s="131" t="s">
        <v>11243</v>
      </c>
      <c r="I50" s="130" t="s">
        <v>8162</v>
      </c>
      <c r="J50" s="130" t="s">
        <v>8163</v>
      </c>
      <c r="K50" s="47" t="s">
        <v>10874</v>
      </c>
      <c r="L50" s="47" t="s">
        <v>6116</v>
      </c>
      <c r="M50" s="47" t="s">
        <v>6117</v>
      </c>
    </row>
    <row r="51" spans="1:13" ht="14.25" customHeight="1">
      <c r="A51" s="146">
        <v>1</v>
      </c>
      <c r="B51" s="88"/>
      <c r="C51" s="148" t="s">
        <v>11244</v>
      </c>
      <c r="D51" s="157" t="s">
        <v>11245</v>
      </c>
      <c r="E51" s="148" t="s">
        <v>11246</v>
      </c>
      <c r="F51" s="148" t="s">
        <v>4392</v>
      </c>
      <c r="G51" s="157" t="s">
        <v>11247</v>
      </c>
      <c r="H51" s="91" t="s">
        <v>11248</v>
      </c>
      <c r="I51" s="157" t="s">
        <v>11249</v>
      </c>
      <c r="J51" s="150" t="s">
        <v>11250</v>
      </c>
      <c r="K51" s="88" t="s">
        <v>11251</v>
      </c>
      <c r="L51" s="88" t="s">
        <v>6212</v>
      </c>
      <c r="M51" s="88" t="s">
        <v>6213</v>
      </c>
    </row>
    <row r="52" spans="1:13" ht="14.25" customHeight="1">
      <c r="A52" s="113">
        <v>2</v>
      </c>
      <c r="B52" s="47"/>
      <c r="C52" s="130" t="s">
        <v>11252</v>
      </c>
      <c r="D52" s="130" t="s">
        <v>11253</v>
      </c>
      <c r="E52" s="130" t="s">
        <v>11254</v>
      </c>
      <c r="F52" s="130" t="s">
        <v>4392</v>
      </c>
      <c r="G52" s="134" t="s">
        <v>9667</v>
      </c>
      <c r="H52" s="131" t="s">
        <v>11255</v>
      </c>
      <c r="I52" s="130" t="s">
        <v>11256</v>
      </c>
      <c r="J52" s="116" t="s">
        <v>11257</v>
      </c>
      <c r="K52" s="47" t="s">
        <v>11258</v>
      </c>
      <c r="L52" s="47" t="s">
        <v>6222</v>
      </c>
      <c r="M52" s="47" t="s">
        <v>6223</v>
      </c>
    </row>
    <row r="53" spans="1:13" ht="14.25" customHeight="1">
      <c r="A53" s="113">
        <v>3</v>
      </c>
      <c r="B53" s="47"/>
      <c r="C53" s="130" t="s">
        <v>11259</v>
      </c>
      <c r="D53" s="130" t="s">
        <v>11260</v>
      </c>
      <c r="E53" s="130" t="s">
        <v>11261</v>
      </c>
      <c r="F53" s="130" t="s">
        <v>5559</v>
      </c>
      <c r="G53" s="134" t="s">
        <v>5839</v>
      </c>
      <c r="H53" s="131" t="s">
        <v>11262</v>
      </c>
      <c r="I53" s="115" t="s">
        <v>11263</v>
      </c>
      <c r="J53" s="130" t="s">
        <v>11264</v>
      </c>
      <c r="K53" s="47" t="s">
        <v>11265</v>
      </c>
      <c r="L53" s="47" t="s">
        <v>6233</v>
      </c>
      <c r="M53" s="47" t="s">
        <v>6234</v>
      </c>
    </row>
    <row r="54" spans="1:13" ht="14.25" customHeight="1">
      <c r="A54" s="113">
        <v>4</v>
      </c>
      <c r="B54" s="47"/>
      <c r="C54" s="130" t="s">
        <v>11266</v>
      </c>
      <c r="D54" s="130" t="s">
        <v>11267</v>
      </c>
      <c r="E54" s="130" t="s">
        <v>11268</v>
      </c>
      <c r="F54" s="130" t="s">
        <v>5559</v>
      </c>
      <c r="G54" s="134" t="s">
        <v>11269</v>
      </c>
      <c r="H54" s="131" t="s">
        <v>11270</v>
      </c>
      <c r="I54" s="130" t="s">
        <v>11271</v>
      </c>
      <c r="J54" s="130" t="s">
        <v>11272</v>
      </c>
      <c r="K54" s="47" t="s">
        <v>11273</v>
      </c>
      <c r="L54" s="47" t="s">
        <v>6243</v>
      </c>
      <c r="M54" s="47" t="s">
        <v>6244</v>
      </c>
    </row>
    <row r="55" spans="1:13" ht="14.25" customHeight="1">
      <c r="A55" s="113">
        <v>5</v>
      </c>
      <c r="B55" s="47"/>
      <c r="C55" s="130" t="s">
        <v>11274</v>
      </c>
      <c r="D55" s="115" t="s">
        <v>11275</v>
      </c>
      <c r="E55" s="130" t="s">
        <v>11276</v>
      </c>
      <c r="F55" s="130" t="s">
        <v>5711</v>
      </c>
      <c r="G55" s="134" t="s">
        <v>9973</v>
      </c>
      <c r="H55" s="93" t="s">
        <v>11277</v>
      </c>
      <c r="I55" s="130" t="s">
        <v>11278</v>
      </c>
      <c r="J55" s="130" t="s">
        <v>11279</v>
      </c>
      <c r="K55" s="47" t="s">
        <v>11280</v>
      </c>
      <c r="L55" s="47" t="s">
        <v>6253</v>
      </c>
      <c r="M55" s="47" t="s">
        <v>6254</v>
      </c>
    </row>
    <row r="56" spans="1:13" ht="14.25" customHeight="1">
      <c r="A56" s="113">
        <v>6</v>
      </c>
      <c r="B56" s="47"/>
      <c r="C56" s="130" t="s">
        <v>5640</v>
      </c>
      <c r="D56" s="115" t="s">
        <v>5641</v>
      </c>
      <c r="E56" s="130" t="s">
        <v>5642</v>
      </c>
      <c r="F56" s="130" t="s">
        <v>5559</v>
      </c>
      <c r="G56" s="134" t="s">
        <v>5643</v>
      </c>
      <c r="H56" s="93" t="s">
        <v>11281</v>
      </c>
      <c r="I56" s="130" t="s">
        <v>5645</v>
      </c>
      <c r="J56" s="116" t="s">
        <v>5646</v>
      </c>
      <c r="K56" s="47" t="s">
        <v>10640</v>
      </c>
      <c r="L56" s="47" t="s">
        <v>6263</v>
      </c>
      <c r="M56" s="47" t="s">
        <v>6264</v>
      </c>
    </row>
    <row r="57" spans="1:13" ht="14.25" customHeight="1">
      <c r="A57" s="113">
        <v>7</v>
      </c>
      <c r="B57" s="47"/>
      <c r="C57" s="130" t="s">
        <v>11282</v>
      </c>
      <c r="D57" s="130" t="s">
        <v>11283</v>
      </c>
      <c r="E57" s="130" t="s">
        <v>11284</v>
      </c>
      <c r="F57" s="130" t="s">
        <v>5559</v>
      </c>
      <c r="G57" s="134" t="s">
        <v>11285</v>
      </c>
      <c r="H57" s="131" t="s">
        <v>11286</v>
      </c>
      <c r="I57" s="130" t="s">
        <v>11287</v>
      </c>
      <c r="J57" s="130" t="s">
        <v>11288</v>
      </c>
      <c r="K57" s="47" t="s">
        <v>11289</v>
      </c>
      <c r="L57" s="47" t="s">
        <v>6272</v>
      </c>
      <c r="M57" s="47" t="s">
        <v>6273</v>
      </c>
    </row>
    <row r="58" spans="1:13" ht="14.25" customHeight="1">
      <c r="A58" s="113">
        <v>8</v>
      </c>
      <c r="B58" s="47"/>
      <c r="C58" s="130" t="s">
        <v>11290</v>
      </c>
      <c r="D58" s="130" t="s">
        <v>11291</v>
      </c>
      <c r="E58" s="130" t="s">
        <v>11292</v>
      </c>
      <c r="F58" s="130" t="s">
        <v>4392</v>
      </c>
      <c r="G58" s="134" t="s">
        <v>8721</v>
      </c>
      <c r="H58" s="131" t="s">
        <v>11293</v>
      </c>
      <c r="I58" s="130" t="s">
        <v>11294</v>
      </c>
      <c r="J58" s="130" t="s">
        <v>11295</v>
      </c>
      <c r="K58" s="47" t="s">
        <v>11296</v>
      </c>
      <c r="L58" s="47" t="s">
        <v>6282</v>
      </c>
      <c r="M58" s="47" t="s">
        <v>6283</v>
      </c>
    </row>
    <row r="59" spans="1:13" ht="14.25" customHeight="1">
      <c r="A59" s="113">
        <v>9</v>
      </c>
      <c r="B59" s="47"/>
      <c r="C59" s="130" t="s">
        <v>11297</v>
      </c>
      <c r="D59" s="115" t="s">
        <v>11298</v>
      </c>
      <c r="E59" s="130" t="s">
        <v>11299</v>
      </c>
      <c r="F59" s="130" t="s">
        <v>4392</v>
      </c>
      <c r="G59" s="134" t="s">
        <v>11300</v>
      </c>
      <c r="H59" s="93" t="s">
        <v>11301</v>
      </c>
      <c r="I59" s="130" t="s">
        <v>11302</v>
      </c>
      <c r="J59" s="130" t="s">
        <v>11303</v>
      </c>
      <c r="K59" s="47" t="s">
        <v>11304</v>
      </c>
      <c r="L59" s="47" t="s">
        <v>6292</v>
      </c>
      <c r="M59" s="47" t="s">
        <v>6293</v>
      </c>
    </row>
    <row r="60" spans="1:13" ht="14.25" customHeight="1">
      <c r="A60" s="113">
        <v>10</v>
      </c>
      <c r="B60" s="47"/>
      <c r="C60" s="130" t="s">
        <v>11305</v>
      </c>
      <c r="D60" s="130" t="s">
        <v>11306</v>
      </c>
      <c r="E60" s="130" t="s">
        <v>11307</v>
      </c>
      <c r="F60" s="130" t="s">
        <v>4392</v>
      </c>
      <c r="G60" s="134" t="s">
        <v>5692</v>
      </c>
      <c r="H60" s="131" t="s">
        <v>11308</v>
      </c>
      <c r="I60" s="130" t="s">
        <v>11309</v>
      </c>
      <c r="J60" s="116" t="s">
        <v>11310</v>
      </c>
      <c r="K60" s="47" t="s">
        <v>11311</v>
      </c>
      <c r="L60" s="47" t="s">
        <v>6301</v>
      </c>
      <c r="M60" s="47" t="s">
        <v>6302</v>
      </c>
    </row>
    <row r="61" spans="1:13" ht="14.25" customHeight="1">
      <c r="A61" s="113">
        <v>11</v>
      </c>
      <c r="B61" s="47"/>
      <c r="C61" s="130" t="s">
        <v>5709</v>
      </c>
      <c r="D61" s="115" t="s">
        <v>5710</v>
      </c>
      <c r="E61" s="130" t="s">
        <v>4249</v>
      </c>
      <c r="F61" s="130" t="s">
        <v>5711</v>
      </c>
      <c r="G61" s="134" t="s">
        <v>5712</v>
      </c>
      <c r="H61" s="93" t="s">
        <v>11312</v>
      </c>
      <c r="I61" s="130" t="s">
        <v>5714</v>
      </c>
      <c r="J61" s="116" t="s">
        <v>5715</v>
      </c>
      <c r="K61" s="47" t="s">
        <v>10645</v>
      </c>
      <c r="L61" s="47" t="s">
        <v>6311</v>
      </c>
      <c r="M61" s="47" t="s">
        <v>6312</v>
      </c>
    </row>
    <row r="62" spans="1:13" ht="14.25" customHeight="1">
      <c r="A62" s="113">
        <v>12</v>
      </c>
      <c r="B62" s="47"/>
      <c r="C62" s="130" t="s">
        <v>9823</v>
      </c>
      <c r="D62" s="130" t="s">
        <v>9824</v>
      </c>
      <c r="E62" s="130" t="s">
        <v>9825</v>
      </c>
      <c r="F62" s="130" t="s">
        <v>4823</v>
      </c>
      <c r="G62" s="134" t="s">
        <v>9826</v>
      </c>
      <c r="H62" s="131" t="s">
        <v>11313</v>
      </c>
      <c r="I62" s="130" t="s">
        <v>9828</v>
      </c>
      <c r="J62" s="116" t="s">
        <v>9829</v>
      </c>
      <c r="K62" s="47" t="s">
        <v>11047</v>
      </c>
      <c r="L62" s="47" t="s">
        <v>6320</v>
      </c>
      <c r="M62" s="47" t="s">
        <v>6321</v>
      </c>
    </row>
    <row r="63" spans="1:13" ht="14.25" customHeight="1">
      <c r="A63" s="113">
        <v>13</v>
      </c>
      <c r="B63" s="47"/>
      <c r="C63" s="130" t="s">
        <v>4820</v>
      </c>
      <c r="D63" s="115" t="s">
        <v>4821</v>
      </c>
      <c r="E63" s="130" t="s">
        <v>4822</v>
      </c>
      <c r="F63" s="130" t="s">
        <v>4823</v>
      </c>
      <c r="G63" s="134" t="s">
        <v>4824</v>
      </c>
      <c r="H63" s="93" t="s">
        <v>11314</v>
      </c>
      <c r="I63" s="130" t="s">
        <v>4826</v>
      </c>
      <c r="J63" s="130" t="s">
        <v>4827</v>
      </c>
      <c r="K63" s="47" t="s">
        <v>5410</v>
      </c>
      <c r="L63" s="47" t="s">
        <v>5411</v>
      </c>
      <c r="M63" s="47" t="s">
        <v>5412</v>
      </c>
    </row>
    <row r="64" spans="1:13" ht="14.25" customHeight="1">
      <c r="A64" s="113">
        <v>14</v>
      </c>
      <c r="B64" s="47"/>
      <c r="C64" s="130" t="s">
        <v>5718</v>
      </c>
      <c r="D64" s="130" t="s">
        <v>5719</v>
      </c>
      <c r="E64" s="130" t="s">
        <v>5720</v>
      </c>
      <c r="F64" s="130" t="s">
        <v>5559</v>
      </c>
      <c r="G64" s="134" t="s">
        <v>5721</v>
      </c>
      <c r="H64" s="131" t="s">
        <v>11315</v>
      </c>
      <c r="I64" s="130" t="s">
        <v>5723</v>
      </c>
      <c r="J64" s="130" t="s">
        <v>5724</v>
      </c>
      <c r="K64" s="47" t="s">
        <v>10646</v>
      </c>
      <c r="L64" s="47" t="s">
        <v>6338</v>
      </c>
      <c r="M64" s="47" t="s">
        <v>6339</v>
      </c>
    </row>
    <row r="65" spans="1:13" ht="14.25" customHeight="1">
      <c r="A65" s="113">
        <v>15</v>
      </c>
      <c r="B65" s="47"/>
      <c r="C65" s="130" t="s">
        <v>11316</v>
      </c>
      <c r="D65" s="130" t="s">
        <v>11317</v>
      </c>
      <c r="E65" s="130" t="s">
        <v>1031</v>
      </c>
      <c r="F65" s="130" t="s">
        <v>4392</v>
      </c>
      <c r="G65" s="134" t="s">
        <v>1032</v>
      </c>
      <c r="H65" s="131" t="s">
        <v>11318</v>
      </c>
      <c r="I65" s="130" t="s">
        <v>11319</v>
      </c>
      <c r="J65" s="130" t="s">
        <v>11320</v>
      </c>
      <c r="K65" s="47" t="s">
        <v>11321</v>
      </c>
      <c r="L65" s="47" t="s">
        <v>6348</v>
      </c>
      <c r="M65" s="47" t="s">
        <v>6349</v>
      </c>
    </row>
    <row r="66" spans="1:13" ht="14.25" customHeight="1">
      <c r="A66" s="113">
        <v>16</v>
      </c>
      <c r="B66" s="47"/>
      <c r="C66" s="130" t="s">
        <v>11322</v>
      </c>
      <c r="D66" s="130" t="s">
        <v>11323</v>
      </c>
      <c r="E66" s="130" t="s">
        <v>2667</v>
      </c>
      <c r="F66" s="130" t="s">
        <v>4392</v>
      </c>
      <c r="G66" s="134" t="s">
        <v>11324</v>
      </c>
      <c r="H66" s="131" t="s">
        <v>11325</v>
      </c>
      <c r="I66" s="130" t="s">
        <v>11326</v>
      </c>
      <c r="J66" s="130" t="s">
        <v>11327</v>
      </c>
      <c r="K66" s="47" t="s">
        <v>11328</v>
      </c>
      <c r="L66" s="47" t="s">
        <v>6358</v>
      </c>
      <c r="M66" s="47" t="s">
        <v>6359</v>
      </c>
    </row>
    <row r="67" spans="1:13" ht="14.25" customHeight="1">
      <c r="A67" s="146">
        <v>1</v>
      </c>
      <c r="B67" s="88"/>
      <c r="C67" s="155" t="s">
        <v>7360</v>
      </c>
      <c r="D67" s="148" t="s">
        <v>7361</v>
      </c>
      <c r="E67" s="148" t="s">
        <v>7362</v>
      </c>
      <c r="F67" s="148" t="s">
        <v>117</v>
      </c>
      <c r="G67" s="148" t="s">
        <v>7363</v>
      </c>
      <c r="H67" s="149" t="s">
        <v>11329</v>
      </c>
      <c r="I67" s="148" t="s">
        <v>7365</v>
      </c>
      <c r="J67" s="150" t="s">
        <v>7366</v>
      </c>
      <c r="K67" s="88" t="s">
        <v>10777</v>
      </c>
      <c r="L67" s="88" t="s">
        <v>6477</v>
      </c>
      <c r="M67" s="88" t="s">
        <v>6478</v>
      </c>
    </row>
    <row r="68" spans="1:13" ht="14.25" customHeight="1">
      <c r="A68" s="113">
        <v>2</v>
      </c>
      <c r="B68" s="47"/>
      <c r="C68" s="135" t="s">
        <v>8333</v>
      </c>
      <c r="D68" s="130" t="s">
        <v>8334</v>
      </c>
      <c r="E68" s="130" t="s">
        <v>438</v>
      </c>
      <c r="F68" s="130" t="s">
        <v>501</v>
      </c>
      <c r="G68" s="130" t="s">
        <v>8335</v>
      </c>
      <c r="H68" s="117" t="s">
        <v>11330</v>
      </c>
      <c r="I68" s="130" t="s">
        <v>8337</v>
      </c>
      <c r="J68" s="116" t="s">
        <v>8338</v>
      </c>
      <c r="K68" s="47" t="s">
        <v>10888</v>
      </c>
      <c r="L68" s="47" t="s">
        <v>6487</v>
      </c>
      <c r="M68" s="47" t="s">
        <v>6488</v>
      </c>
    </row>
    <row r="69" spans="1:13" ht="14.25" customHeight="1">
      <c r="A69" s="113">
        <v>3</v>
      </c>
      <c r="B69" s="47"/>
      <c r="C69" s="120" t="s">
        <v>9407</v>
      </c>
      <c r="D69" s="130" t="s">
        <v>11331</v>
      </c>
      <c r="E69" s="130" t="s">
        <v>11332</v>
      </c>
      <c r="F69" s="130" t="s">
        <v>117</v>
      </c>
      <c r="G69" s="130" t="s">
        <v>9410</v>
      </c>
      <c r="H69" s="117" t="s">
        <v>11333</v>
      </c>
      <c r="I69" s="130" t="s">
        <v>11334</v>
      </c>
      <c r="J69" s="116" t="s">
        <v>11335</v>
      </c>
      <c r="K69" s="47" t="s">
        <v>11336</v>
      </c>
      <c r="L69" s="47" t="s">
        <v>6498</v>
      </c>
      <c r="M69" s="47" t="s">
        <v>6499</v>
      </c>
    </row>
    <row r="70" spans="1:13" ht="14.25" customHeight="1">
      <c r="A70" s="113">
        <v>4</v>
      </c>
      <c r="B70" s="47"/>
      <c r="C70" s="120" t="s">
        <v>7350</v>
      </c>
      <c r="D70" s="130" t="s">
        <v>7351</v>
      </c>
      <c r="E70" s="130" t="s">
        <v>7352</v>
      </c>
      <c r="F70" s="130" t="s">
        <v>65</v>
      </c>
      <c r="G70" s="130" t="s">
        <v>7353</v>
      </c>
      <c r="H70" s="117" t="s">
        <v>11337</v>
      </c>
      <c r="I70" s="116" t="s">
        <v>7355</v>
      </c>
      <c r="J70" s="116" t="s">
        <v>10775</v>
      </c>
      <c r="K70" s="47" t="s">
        <v>10776</v>
      </c>
      <c r="L70" s="47" t="s">
        <v>6508</v>
      </c>
      <c r="M70" s="47" t="s">
        <v>6509</v>
      </c>
    </row>
    <row r="71" spans="1:13" ht="14.25" customHeight="1">
      <c r="A71" s="113">
        <v>5</v>
      </c>
      <c r="B71" s="47"/>
      <c r="C71" s="120" t="s">
        <v>5865</v>
      </c>
      <c r="D71" s="130" t="s">
        <v>5866</v>
      </c>
      <c r="E71" s="130" t="s">
        <v>5867</v>
      </c>
      <c r="F71" s="130" t="s">
        <v>117</v>
      </c>
      <c r="G71" s="130" t="s">
        <v>5868</v>
      </c>
      <c r="H71" s="117" t="s">
        <v>11338</v>
      </c>
      <c r="I71" s="130" t="s">
        <v>5870</v>
      </c>
      <c r="J71" s="116" t="s">
        <v>5871</v>
      </c>
      <c r="K71" s="47" t="s">
        <v>10659</v>
      </c>
      <c r="L71" s="47" t="s">
        <v>6518</v>
      </c>
      <c r="M71" s="47" t="s">
        <v>6519</v>
      </c>
    </row>
    <row r="72" spans="1:13" ht="14.25" customHeight="1">
      <c r="A72" s="113">
        <v>6</v>
      </c>
      <c r="B72" s="47"/>
      <c r="C72" s="120" t="s">
        <v>8489</v>
      </c>
      <c r="D72" s="130" t="s">
        <v>8490</v>
      </c>
      <c r="E72" s="130" t="s">
        <v>8491</v>
      </c>
      <c r="F72" s="130" t="s">
        <v>65</v>
      </c>
      <c r="G72" s="130" t="s">
        <v>8492</v>
      </c>
      <c r="H72" s="117" t="s">
        <v>11339</v>
      </c>
      <c r="I72" s="130" t="s">
        <v>8494</v>
      </c>
      <c r="J72" s="130" t="s">
        <v>8495</v>
      </c>
      <c r="K72" s="47" t="s">
        <v>10905</v>
      </c>
      <c r="L72" s="47" t="s">
        <v>6528</v>
      </c>
      <c r="M72" s="47" t="s">
        <v>6529</v>
      </c>
    </row>
    <row r="73" spans="1:13" ht="14.25" customHeight="1">
      <c r="A73" s="113">
        <v>7</v>
      </c>
      <c r="B73" s="47"/>
      <c r="C73" s="120" t="s">
        <v>7948</v>
      </c>
      <c r="D73" s="130" t="s">
        <v>7949</v>
      </c>
      <c r="E73" s="130" t="s">
        <v>7950</v>
      </c>
      <c r="F73" s="130" t="s">
        <v>219</v>
      </c>
      <c r="G73" s="130" t="s">
        <v>7951</v>
      </c>
      <c r="H73" s="117" t="s">
        <v>11340</v>
      </c>
      <c r="I73" s="130" t="s">
        <v>7953</v>
      </c>
      <c r="J73" s="130" t="s">
        <v>7954</v>
      </c>
      <c r="K73" s="47" t="s">
        <v>10850</v>
      </c>
      <c r="L73" s="47" t="s">
        <v>6538</v>
      </c>
      <c r="M73" s="47" t="s">
        <v>6539</v>
      </c>
    </row>
    <row r="74" spans="1:13" ht="14.25" customHeight="1">
      <c r="A74" s="113">
        <v>8</v>
      </c>
      <c r="B74" s="47"/>
      <c r="C74" s="120" t="s">
        <v>11341</v>
      </c>
      <c r="D74" s="130" t="s">
        <v>11342</v>
      </c>
      <c r="E74" s="130" t="s">
        <v>11343</v>
      </c>
      <c r="F74" s="130" t="s">
        <v>65</v>
      </c>
      <c r="G74" s="130" t="s">
        <v>8551</v>
      </c>
      <c r="H74" s="117" t="s">
        <v>11344</v>
      </c>
      <c r="I74" s="130" t="s">
        <v>11345</v>
      </c>
      <c r="J74" s="130" t="s">
        <v>11346</v>
      </c>
      <c r="K74" s="47" t="s">
        <v>11347</v>
      </c>
      <c r="L74" s="47" t="s">
        <v>6548</v>
      </c>
      <c r="M74" s="47" t="s">
        <v>6549</v>
      </c>
    </row>
    <row r="75" spans="1:13" ht="14.25" customHeight="1">
      <c r="A75" s="113">
        <v>9</v>
      </c>
      <c r="B75" s="47"/>
      <c r="C75" s="120" t="s">
        <v>11348</v>
      </c>
      <c r="D75" s="130" t="s">
        <v>11349</v>
      </c>
      <c r="E75" s="130" t="s">
        <v>11350</v>
      </c>
      <c r="F75" s="130" t="s">
        <v>65</v>
      </c>
      <c r="G75" s="130" t="s">
        <v>11351</v>
      </c>
      <c r="H75" s="117" t="s">
        <v>11352</v>
      </c>
      <c r="I75" s="130" t="s">
        <v>11353</v>
      </c>
      <c r="J75" s="130" t="s">
        <v>11354</v>
      </c>
      <c r="K75" s="47" t="s">
        <v>11355</v>
      </c>
      <c r="L75" s="47" t="s">
        <v>6558</v>
      </c>
      <c r="M75" s="47" t="s">
        <v>6559</v>
      </c>
    </row>
    <row r="76" spans="1:13" ht="14.25" customHeight="1">
      <c r="A76" s="113">
        <v>10</v>
      </c>
      <c r="B76" s="47"/>
      <c r="C76" s="120" t="s">
        <v>11356</v>
      </c>
      <c r="D76" s="130" t="s">
        <v>11357</v>
      </c>
      <c r="E76" s="130" t="s">
        <v>1501</v>
      </c>
      <c r="F76" s="130" t="s">
        <v>65</v>
      </c>
      <c r="G76" s="130" t="s">
        <v>8561</v>
      </c>
      <c r="H76" s="117" t="s">
        <v>11358</v>
      </c>
      <c r="I76" s="130" t="s">
        <v>11359</v>
      </c>
      <c r="J76" s="130" t="s">
        <v>11360</v>
      </c>
      <c r="K76" s="47" t="s">
        <v>11361</v>
      </c>
      <c r="L76" s="47" t="s">
        <v>6568</v>
      </c>
      <c r="M76" s="47" t="s">
        <v>6569</v>
      </c>
    </row>
    <row r="77" spans="1:13" ht="14.25" customHeight="1">
      <c r="A77" s="113">
        <v>11</v>
      </c>
      <c r="B77" s="47"/>
      <c r="C77" s="120" t="s">
        <v>7089</v>
      </c>
      <c r="D77" s="130" t="s">
        <v>7090</v>
      </c>
      <c r="E77" s="130" t="s">
        <v>7091</v>
      </c>
      <c r="F77" s="130" t="s">
        <v>65</v>
      </c>
      <c r="G77" s="130" t="s">
        <v>7092</v>
      </c>
      <c r="H77" s="117" t="s">
        <v>11362</v>
      </c>
      <c r="I77" s="130" t="s">
        <v>7094</v>
      </c>
      <c r="J77" s="116" t="s">
        <v>7095</v>
      </c>
      <c r="K77" s="47" t="s">
        <v>10745</v>
      </c>
      <c r="L77" s="47" t="s">
        <v>6577</v>
      </c>
      <c r="M77" s="47" t="s">
        <v>6578</v>
      </c>
    </row>
    <row r="78" spans="1:13" ht="14.25" customHeight="1">
      <c r="A78" s="113">
        <v>12</v>
      </c>
      <c r="B78" s="47"/>
      <c r="C78" s="120" t="s">
        <v>7261</v>
      </c>
      <c r="D78" s="130" t="s">
        <v>7262</v>
      </c>
      <c r="E78" s="130" t="s">
        <v>7263</v>
      </c>
      <c r="F78" s="130" t="s">
        <v>219</v>
      </c>
      <c r="G78" s="130" t="s">
        <v>7264</v>
      </c>
      <c r="H78" s="117" t="s">
        <v>10758</v>
      </c>
      <c r="I78" s="130" t="s">
        <v>7266</v>
      </c>
      <c r="J78" s="116" t="s">
        <v>10759</v>
      </c>
      <c r="K78" s="47" t="s">
        <v>10760</v>
      </c>
      <c r="L78" s="47" t="s">
        <v>6587</v>
      </c>
      <c r="M78" s="47" t="s">
        <v>6588</v>
      </c>
    </row>
    <row r="79" spans="1:13" ht="14.25" customHeight="1">
      <c r="A79" s="113">
        <v>13</v>
      </c>
      <c r="B79" s="47"/>
      <c r="C79" s="120" t="s">
        <v>11363</v>
      </c>
      <c r="D79" s="104" t="s">
        <v>6887</v>
      </c>
      <c r="E79" s="104" t="s">
        <v>775</v>
      </c>
      <c r="F79" s="104" t="s">
        <v>219</v>
      </c>
      <c r="G79" s="104" t="s">
        <v>6888</v>
      </c>
      <c r="H79" s="131" t="s">
        <v>11364</v>
      </c>
      <c r="I79" s="104" t="s">
        <v>11365</v>
      </c>
      <c r="J79" s="130" t="s">
        <v>11366</v>
      </c>
      <c r="K79" s="47" t="s">
        <v>11367</v>
      </c>
      <c r="L79" s="47" t="s">
        <v>6597</v>
      </c>
      <c r="M79" s="47" t="s">
        <v>6598</v>
      </c>
    </row>
    <row r="80" spans="1:13" ht="14.25" customHeight="1">
      <c r="A80" s="146">
        <v>1</v>
      </c>
      <c r="B80" s="88"/>
      <c r="C80" s="155" t="s">
        <v>11368</v>
      </c>
      <c r="D80" s="148" t="s">
        <v>11369</v>
      </c>
      <c r="E80" s="160" t="s">
        <v>11370</v>
      </c>
      <c r="F80" s="148" t="s">
        <v>65</v>
      </c>
      <c r="G80" s="148" t="s">
        <v>11371</v>
      </c>
      <c r="H80" s="149" t="s">
        <v>11372</v>
      </c>
      <c r="I80" s="150" t="s">
        <v>11373</v>
      </c>
      <c r="J80" s="150" t="s">
        <v>11374</v>
      </c>
      <c r="K80" s="88" t="s">
        <v>11375</v>
      </c>
      <c r="L80" s="88" t="s">
        <v>6743</v>
      </c>
      <c r="M80" s="88" t="s">
        <v>6744</v>
      </c>
    </row>
    <row r="81" spans="1:13" ht="14.25" customHeight="1">
      <c r="A81" s="113">
        <v>2</v>
      </c>
      <c r="B81" s="47"/>
      <c r="C81" s="120" t="s">
        <v>7399</v>
      </c>
      <c r="D81" s="130" t="s">
        <v>7400</v>
      </c>
      <c r="E81" s="130" t="s">
        <v>7401</v>
      </c>
      <c r="F81" s="130" t="s">
        <v>5711</v>
      </c>
      <c r="G81" s="130" t="s">
        <v>7402</v>
      </c>
      <c r="H81" s="117" t="s">
        <v>11376</v>
      </c>
      <c r="I81" s="116" t="s">
        <v>7404</v>
      </c>
      <c r="J81" s="116" t="s">
        <v>7405</v>
      </c>
      <c r="K81" s="47" t="s">
        <v>10786</v>
      </c>
      <c r="L81" s="47" t="s">
        <v>6754</v>
      </c>
      <c r="M81" s="47" t="s">
        <v>6755</v>
      </c>
    </row>
    <row r="82" spans="1:13" ht="14.25" customHeight="1">
      <c r="A82" s="113">
        <v>3</v>
      </c>
      <c r="B82" s="47"/>
      <c r="C82" s="120" t="s">
        <v>8303</v>
      </c>
      <c r="D82" s="130" t="s">
        <v>8304</v>
      </c>
      <c r="E82" s="130" t="s">
        <v>8305</v>
      </c>
      <c r="F82" s="130" t="s">
        <v>117</v>
      </c>
      <c r="G82" s="130" t="s">
        <v>8306</v>
      </c>
      <c r="H82" s="117" t="s">
        <v>11377</v>
      </c>
      <c r="I82" s="116" t="s">
        <v>8308</v>
      </c>
      <c r="J82" s="116" t="s">
        <v>8309</v>
      </c>
      <c r="K82" s="47" t="s">
        <v>10885</v>
      </c>
      <c r="L82" s="47" t="s">
        <v>6765</v>
      </c>
      <c r="M82" s="47" t="s">
        <v>6766</v>
      </c>
    </row>
    <row r="83" spans="1:13" ht="14.25" customHeight="1">
      <c r="A83" s="113">
        <v>4</v>
      </c>
      <c r="B83" s="47"/>
      <c r="C83" s="120" t="s">
        <v>7829</v>
      </c>
      <c r="D83" s="130" t="s">
        <v>7830</v>
      </c>
      <c r="E83" s="130" t="s">
        <v>7831</v>
      </c>
      <c r="F83" s="130" t="s">
        <v>54</v>
      </c>
      <c r="G83" s="130" t="s">
        <v>7832</v>
      </c>
      <c r="H83" s="117" t="s">
        <v>11378</v>
      </c>
      <c r="I83" s="116" t="s">
        <v>7834</v>
      </c>
      <c r="J83" s="116" t="s">
        <v>7835</v>
      </c>
      <c r="K83" s="47" t="s">
        <v>10836</v>
      </c>
      <c r="L83" s="47" t="s">
        <v>6775</v>
      </c>
      <c r="M83" s="47" t="s">
        <v>6776</v>
      </c>
    </row>
    <row r="84" spans="1:13" ht="14.25" customHeight="1">
      <c r="A84" s="113">
        <v>5</v>
      </c>
      <c r="B84" s="47"/>
      <c r="C84" s="120" t="s">
        <v>8406</v>
      </c>
      <c r="D84" s="130" t="s">
        <v>8407</v>
      </c>
      <c r="E84" s="130" t="s">
        <v>8408</v>
      </c>
      <c r="F84" s="130" t="s">
        <v>4392</v>
      </c>
      <c r="G84" s="130" t="s">
        <v>8409</v>
      </c>
      <c r="H84" s="117" t="s">
        <v>11379</v>
      </c>
      <c r="I84" s="116" t="s">
        <v>8411</v>
      </c>
      <c r="J84" s="116" t="s">
        <v>8412</v>
      </c>
      <c r="K84" s="47" t="s">
        <v>10897</v>
      </c>
      <c r="L84" s="47" t="s">
        <v>6785</v>
      </c>
      <c r="M84" s="47" t="s">
        <v>6786</v>
      </c>
    </row>
    <row r="85" spans="1:13" ht="14.25" customHeight="1">
      <c r="A85" s="113">
        <v>6</v>
      </c>
      <c r="B85" s="47"/>
      <c r="C85" s="120" t="s">
        <v>3165</v>
      </c>
      <c r="D85" s="130" t="s">
        <v>3166</v>
      </c>
      <c r="E85" s="130" t="s">
        <v>3167</v>
      </c>
      <c r="F85" s="130" t="s">
        <v>117</v>
      </c>
      <c r="G85" s="130" t="s">
        <v>3168</v>
      </c>
      <c r="H85" s="117" t="s">
        <v>11380</v>
      </c>
      <c r="I85" s="116" t="s">
        <v>3170</v>
      </c>
      <c r="J85" s="116" t="s">
        <v>3171</v>
      </c>
      <c r="K85" s="47" t="s">
        <v>5203</v>
      </c>
      <c r="L85" s="47" t="s">
        <v>5204</v>
      </c>
      <c r="M85" s="47" t="s">
        <v>5205</v>
      </c>
    </row>
    <row r="86" spans="1:13" ht="14.25" customHeight="1">
      <c r="A86" s="113">
        <v>7</v>
      </c>
      <c r="B86" s="47"/>
      <c r="C86" s="120" t="s">
        <v>6322</v>
      </c>
      <c r="D86" s="130" t="s">
        <v>6323</v>
      </c>
      <c r="E86" s="130" t="s">
        <v>6324</v>
      </c>
      <c r="F86" s="130" t="s">
        <v>5711</v>
      </c>
      <c r="G86" s="130" t="s">
        <v>6325</v>
      </c>
      <c r="H86" s="117" t="s">
        <v>11381</v>
      </c>
      <c r="I86" s="116" t="s">
        <v>6327</v>
      </c>
      <c r="J86" s="116" t="s">
        <v>6328</v>
      </c>
      <c r="K86" s="47" t="s">
        <v>10701</v>
      </c>
      <c r="L86" s="47" t="s">
        <v>6803</v>
      </c>
      <c r="M86" s="47" t="s">
        <v>6804</v>
      </c>
    </row>
    <row r="87" spans="1:13" ht="14.25" customHeight="1">
      <c r="A87" s="113">
        <v>8</v>
      </c>
      <c r="B87" s="47"/>
      <c r="C87" s="120" t="s">
        <v>8008</v>
      </c>
      <c r="D87" s="130" t="s">
        <v>8009</v>
      </c>
      <c r="E87" s="130" t="s">
        <v>8010</v>
      </c>
      <c r="F87" s="130" t="s">
        <v>117</v>
      </c>
      <c r="G87" s="130" t="s">
        <v>8011</v>
      </c>
      <c r="H87" s="117" t="s">
        <v>11382</v>
      </c>
      <c r="I87" s="116" t="s">
        <v>8013</v>
      </c>
      <c r="J87" s="116" t="s">
        <v>8014</v>
      </c>
      <c r="K87" s="47" t="s">
        <v>10863</v>
      </c>
      <c r="L87" s="47" t="s">
        <v>6813</v>
      </c>
      <c r="M87" s="47" t="s">
        <v>6814</v>
      </c>
    </row>
    <row r="88" spans="1:13" ht="14.25" customHeight="1">
      <c r="A88" s="113">
        <v>9</v>
      </c>
      <c r="B88" s="47"/>
      <c r="C88" s="120" t="s">
        <v>7998</v>
      </c>
      <c r="D88" s="130" t="s">
        <v>7999</v>
      </c>
      <c r="E88" s="130" t="s">
        <v>8000</v>
      </c>
      <c r="F88" s="130" t="s">
        <v>5559</v>
      </c>
      <c r="G88" s="130" t="s">
        <v>8001</v>
      </c>
      <c r="H88" s="117" t="s">
        <v>11383</v>
      </c>
      <c r="I88" s="116" t="s">
        <v>8003</v>
      </c>
      <c r="J88" s="116" t="s">
        <v>8004</v>
      </c>
      <c r="K88" s="47" t="s">
        <v>10862</v>
      </c>
      <c r="L88" s="47" t="s">
        <v>6823</v>
      </c>
      <c r="M88" s="47" t="s">
        <v>6824</v>
      </c>
    </row>
    <row r="89" spans="1:13" ht="14.25" customHeight="1">
      <c r="A89" s="113">
        <v>10</v>
      </c>
      <c r="B89" s="47"/>
      <c r="C89" s="120" t="s">
        <v>6510</v>
      </c>
      <c r="D89" s="130" t="s">
        <v>6511</v>
      </c>
      <c r="E89" s="130" t="s">
        <v>6512</v>
      </c>
      <c r="F89" s="130" t="s">
        <v>117</v>
      </c>
      <c r="G89" s="130" t="s">
        <v>6513</v>
      </c>
      <c r="H89" s="117" t="s">
        <v>11384</v>
      </c>
      <c r="I89" s="116" t="s">
        <v>6515</v>
      </c>
      <c r="J89" s="116" t="s">
        <v>6516</v>
      </c>
      <c r="K89" s="47" t="s">
        <v>10714</v>
      </c>
      <c r="L89" s="47" t="s">
        <v>6834</v>
      </c>
      <c r="M89" s="47" t="s">
        <v>6835</v>
      </c>
    </row>
    <row r="90" spans="1:13" ht="14.25" customHeight="1">
      <c r="A90" s="113">
        <v>11</v>
      </c>
      <c r="B90" s="47"/>
      <c r="C90" s="120" t="s">
        <v>6698</v>
      </c>
      <c r="D90" s="130" t="s">
        <v>6699</v>
      </c>
      <c r="E90" s="130" t="s">
        <v>6700</v>
      </c>
      <c r="F90" s="130" t="s">
        <v>65</v>
      </c>
      <c r="G90" s="130" t="s">
        <v>6701</v>
      </c>
      <c r="H90" s="117" t="s">
        <v>11385</v>
      </c>
      <c r="I90" s="116" t="s">
        <v>6703</v>
      </c>
      <c r="J90" s="116" t="s">
        <v>6704</v>
      </c>
      <c r="K90" s="47" t="s">
        <v>10722</v>
      </c>
      <c r="L90" s="47" t="s">
        <v>6844</v>
      </c>
      <c r="M90" s="47" t="s">
        <v>6845</v>
      </c>
    </row>
    <row r="91" spans="1:13" ht="14.25" customHeight="1">
      <c r="A91" s="113">
        <v>12</v>
      </c>
      <c r="B91" s="47"/>
      <c r="C91" s="120" t="s">
        <v>8372</v>
      </c>
      <c r="D91" s="130" t="s">
        <v>8373</v>
      </c>
      <c r="E91" s="130" t="s">
        <v>8374</v>
      </c>
      <c r="F91" s="130" t="s">
        <v>65</v>
      </c>
      <c r="G91" s="130" t="s">
        <v>8375</v>
      </c>
      <c r="H91" s="117" t="s">
        <v>11386</v>
      </c>
      <c r="I91" s="116" t="s">
        <v>8377</v>
      </c>
      <c r="J91" s="116" t="s">
        <v>8378</v>
      </c>
      <c r="K91" s="47" t="s">
        <v>10893</v>
      </c>
      <c r="L91" s="47" t="s">
        <v>6854</v>
      </c>
      <c r="M91" s="47" t="s">
        <v>6855</v>
      </c>
    </row>
    <row r="92" spans="1:13" ht="14.25" customHeight="1">
      <c r="A92" s="113">
        <v>13</v>
      </c>
      <c r="B92" s="47"/>
      <c r="C92" s="120" t="s">
        <v>11387</v>
      </c>
      <c r="D92" s="130" t="s">
        <v>11388</v>
      </c>
      <c r="E92" s="130" t="s">
        <v>11389</v>
      </c>
      <c r="F92" s="130" t="s">
        <v>117</v>
      </c>
      <c r="G92" s="130" t="s">
        <v>11390</v>
      </c>
      <c r="H92" s="117" t="s">
        <v>11391</v>
      </c>
      <c r="I92" s="116" t="s">
        <v>11392</v>
      </c>
      <c r="J92" s="116" t="s">
        <v>11393</v>
      </c>
      <c r="K92" s="47" t="s">
        <v>11394</v>
      </c>
      <c r="L92" s="47" t="s">
        <v>6864</v>
      </c>
      <c r="M92" s="47" t="s">
        <v>6865</v>
      </c>
    </row>
    <row r="93" spans="1:13" ht="14.25" customHeight="1">
      <c r="A93" s="113">
        <v>14</v>
      </c>
      <c r="B93" s="47"/>
      <c r="C93" s="120" t="s">
        <v>11395</v>
      </c>
      <c r="D93" s="130" t="s">
        <v>11396</v>
      </c>
      <c r="E93" s="130" t="s">
        <v>11397</v>
      </c>
      <c r="F93" s="130" t="s">
        <v>117</v>
      </c>
      <c r="G93" s="130" t="s">
        <v>11398</v>
      </c>
      <c r="H93" s="117" t="s">
        <v>11399</v>
      </c>
      <c r="I93" s="116" t="s">
        <v>11400</v>
      </c>
      <c r="J93" s="116" t="s">
        <v>11401</v>
      </c>
      <c r="K93" s="47" t="s">
        <v>11402</v>
      </c>
      <c r="L93" s="47" t="s">
        <v>6874</v>
      </c>
      <c r="M93" s="47" t="s">
        <v>6875</v>
      </c>
    </row>
    <row r="94" spans="1:13" ht="14.25" customHeight="1">
      <c r="A94" s="113">
        <v>15</v>
      </c>
      <c r="B94" s="47"/>
      <c r="C94" s="120" t="s">
        <v>3710</v>
      </c>
      <c r="D94" s="130" t="s">
        <v>3711</v>
      </c>
      <c r="E94" s="130" t="s">
        <v>3712</v>
      </c>
      <c r="F94" s="130" t="s">
        <v>5711</v>
      </c>
      <c r="G94" s="130" t="s">
        <v>11403</v>
      </c>
      <c r="H94" s="117" t="s">
        <v>11404</v>
      </c>
      <c r="I94" s="116" t="s">
        <v>11405</v>
      </c>
      <c r="J94" s="116" t="s">
        <v>11406</v>
      </c>
      <c r="K94" s="47" t="s">
        <v>11407</v>
      </c>
      <c r="L94" s="47" t="s">
        <v>6884</v>
      </c>
      <c r="M94" s="47" t="s">
        <v>6885</v>
      </c>
    </row>
    <row r="95" spans="1:13" ht="14.25" customHeight="1">
      <c r="A95" s="146">
        <v>1</v>
      </c>
      <c r="B95" s="88"/>
      <c r="C95" s="155" t="s">
        <v>8237</v>
      </c>
      <c r="D95" s="148" t="s">
        <v>8238</v>
      </c>
      <c r="E95" s="148" t="s">
        <v>8239</v>
      </c>
      <c r="F95" s="148" t="s">
        <v>65</v>
      </c>
      <c r="G95" s="148" t="s">
        <v>8240</v>
      </c>
      <c r="H95" s="149" t="s">
        <v>11408</v>
      </c>
      <c r="I95" s="150" t="s">
        <v>8242</v>
      </c>
      <c r="J95" s="150" t="s">
        <v>8243</v>
      </c>
      <c r="K95" s="88" t="s">
        <v>10882</v>
      </c>
      <c r="L95" s="88" t="s">
        <v>7013</v>
      </c>
      <c r="M95" s="88" t="s">
        <v>7014</v>
      </c>
    </row>
    <row r="96" spans="1:13" ht="14.25" customHeight="1">
      <c r="A96" s="113">
        <v>2</v>
      </c>
      <c r="B96" s="47"/>
      <c r="C96" s="120" t="s">
        <v>6846</v>
      </c>
      <c r="D96" s="130" t="s">
        <v>6847</v>
      </c>
      <c r="E96" s="130" t="s">
        <v>6848</v>
      </c>
      <c r="F96" s="130" t="s">
        <v>4392</v>
      </c>
      <c r="G96" s="130" t="s">
        <v>6849</v>
      </c>
      <c r="H96" s="117" t="s">
        <v>11409</v>
      </c>
      <c r="I96" s="116" t="s">
        <v>6851</v>
      </c>
      <c r="J96" s="116" t="s">
        <v>6852</v>
      </c>
      <c r="K96" s="47" t="s">
        <v>10730</v>
      </c>
      <c r="L96" s="47" t="s">
        <v>7023</v>
      </c>
      <c r="M96" s="47" t="s">
        <v>7024</v>
      </c>
    </row>
    <row r="97" spans="1:13" ht="14.25" customHeight="1">
      <c r="A97" s="113">
        <v>3</v>
      </c>
      <c r="B97" s="47"/>
      <c r="C97" s="120" t="s">
        <v>6157</v>
      </c>
      <c r="D97" s="130" t="s">
        <v>6158</v>
      </c>
      <c r="E97" s="130" t="s">
        <v>6159</v>
      </c>
      <c r="F97" s="130" t="s">
        <v>65</v>
      </c>
      <c r="G97" s="130" t="s">
        <v>6160</v>
      </c>
      <c r="H97" s="117" t="s">
        <v>11410</v>
      </c>
      <c r="I97" s="116" t="s">
        <v>6162</v>
      </c>
      <c r="J97" s="116" t="s">
        <v>6163</v>
      </c>
      <c r="K97" s="47" t="s">
        <v>10685</v>
      </c>
      <c r="L97" s="47" t="s">
        <v>7033</v>
      </c>
      <c r="M97" s="47" t="s">
        <v>7034</v>
      </c>
    </row>
    <row r="98" spans="1:13" ht="14.25" customHeight="1">
      <c r="A98" s="113">
        <v>4</v>
      </c>
      <c r="B98" s="47"/>
      <c r="C98" s="120" t="s">
        <v>6399</v>
      </c>
      <c r="D98" s="130" t="s">
        <v>6400</v>
      </c>
      <c r="E98" s="130" t="s">
        <v>6401</v>
      </c>
      <c r="F98" s="130" t="s">
        <v>54</v>
      </c>
      <c r="G98" s="130" t="s">
        <v>6402</v>
      </c>
      <c r="H98" s="117" t="s">
        <v>11411</v>
      </c>
      <c r="I98" s="116" t="s">
        <v>6404</v>
      </c>
      <c r="J98" s="116" t="s">
        <v>6405</v>
      </c>
      <c r="K98" s="47" t="s">
        <v>10704</v>
      </c>
      <c r="L98" s="47" t="s">
        <v>7043</v>
      </c>
      <c r="M98" s="47" t="s">
        <v>7044</v>
      </c>
    </row>
    <row r="99" spans="1:13" ht="14.25" customHeight="1">
      <c r="A99" s="113">
        <v>5</v>
      </c>
      <c r="B99" s="47"/>
      <c r="C99" s="120" t="s">
        <v>6560</v>
      </c>
      <c r="D99" s="130" t="s">
        <v>6561</v>
      </c>
      <c r="E99" s="130" t="s">
        <v>6562</v>
      </c>
      <c r="F99" s="130"/>
      <c r="G99" s="130" t="s">
        <v>6563</v>
      </c>
      <c r="H99" s="117" t="s">
        <v>11412</v>
      </c>
      <c r="I99" s="116" t="s">
        <v>6565</v>
      </c>
      <c r="J99" s="116" t="s">
        <v>6566</v>
      </c>
      <c r="K99" s="47" t="s">
        <v>10715</v>
      </c>
      <c r="L99" s="47" t="s">
        <v>7047</v>
      </c>
      <c r="M99" s="47" t="s">
        <v>7048</v>
      </c>
    </row>
    <row r="100" spans="1:13" ht="14.25" customHeight="1">
      <c r="A100" s="113">
        <v>6</v>
      </c>
      <c r="B100" s="47"/>
      <c r="C100" s="120" t="s">
        <v>7210</v>
      </c>
      <c r="D100" s="130" t="s">
        <v>7211</v>
      </c>
      <c r="E100" s="130" t="s">
        <v>7212</v>
      </c>
      <c r="F100" s="130" t="s">
        <v>117</v>
      </c>
      <c r="G100" s="130" t="s">
        <v>7213</v>
      </c>
      <c r="H100" s="117" t="s">
        <v>11413</v>
      </c>
      <c r="I100" s="116" t="s">
        <v>7215</v>
      </c>
      <c r="J100" s="116" t="s">
        <v>7216</v>
      </c>
      <c r="K100" s="47" t="s">
        <v>10755</v>
      </c>
      <c r="L100" s="47" t="s">
        <v>7057</v>
      </c>
      <c r="M100" s="47" t="s">
        <v>7058</v>
      </c>
    </row>
    <row r="101" spans="1:13" ht="14.25" customHeight="1">
      <c r="A101" s="113">
        <v>7</v>
      </c>
      <c r="B101" s="47"/>
      <c r="C101" s="120" t="s">
        <v>6370</v>
      </c>
      <c r="D101" s="130" t="s">
        <v>6371</v>
      </c>
      <c r="E101" s="130" t="s">
        <v>6372</v>
      </c>
      <c r="F101" s="130" t="s">
        <v>117</v>
      </c>
      <c r="G101" s="130" t="s">
        <v>11414</v>
      </c>
      <c r="H101" s="117" t="s">
        <v>11415</v>
      </c>
      <c r="I101" s="116" t="s">
        <v>11416</v>
      </c>
      <c r="J101" s="116" t="s">
        <v>11417</v>
      </c>
      <c r="K101" s="47" t="s">
        <v>11418</v>
      </c>
      <c r="L101" s="47" t="s">
        <v>7067</v>
      </c>
      <c r="M101" s="47" t="s">
        <v>7068</v>
      </c>
    </row>
    <row r="102" spans="1:13" ht="14.25" customHeight="1">
      <c r="A102" s="113">
        <v>8</v>
      </c>
      <c r="B102" s="47"/>
      <c r="C102" s="120" t="s">
        <v>6795</v>
      </c>
      <c r="D102" s="130" t="s">
        <v>6796</v>
      </c>
      <c r="E102" s="130" t="s">
        <v>6797</v>
      </c>
      <c r="F102" s="130" t="s">
        <v>117</v>
      </c>
      <c r="G102" s="130" t="s">
        <v>6798</v>
      </c>
      <c r="H102" s="117" t="s">
        <v>11419</v>
      </c>
      <c r="I102" s="116" t="s">
        <v>6800</v>
      </c>
      <c r="J102" s="116" t="s">
        <v>6801</v>
      </c>
      <c r="K102" s="47" t="s">
        <v>10727</v>
      </c>
      <c r="L102" s="47" t="s">
        <v>7077</v>
      </c>
      <c r="M102" s="47" t="s">
        <v>7078</v>
      </c>
    </row>
    <row r="103" spans="1:13" ht="14.25" customHeight="1">
      <c r="A103" s="113">
        <v>9</v>
      </c>
      <c r="B103" s="47"/>
      <c r="C103" s="120" t="s">
        <v>1312</v>
      </c>
      <c r="D103" s="130" t="s">
        <v>1313</v>
      </c>
      <c r="E103" s="104" t="s">
        <v>1314</v>
      </c>
      <c r="F103" s="104" t="s">
        <v>885</v>
      </c>
      <c r="G103" s="104" t="s">
        <v>11420</v>
      </c>
      <c r="H103" s="117" t="s">
        <v>11421</v>
      </c>
      <c r="I103" s="116" t="s">
        <v>1317</v>
      </c>
      <c r="J103" s="130" t="s">
        <v>1318</v>
      </c>
      <c r="K103" s="47" t="s">
        <v>11422</v>
      </c>
      <c r="L103" s="47" t="s">
        <v>7087</v>
      </c>
      <c r="M103" s="47" t="s">
        <v>7088</v>
      </c>
    </row>
    <row r="104" spans="1:13" ht="14.25" customHeight="1">
      <c r="A104" s="113">
        <v>10</v>
      </c>
      <c r="B104" s="47"/>
      <c r="C104" s="120" t="s">
        <v>3082</v>
      </c>
      <c r="D104" s="104" t="s">
        <v>3083</v>
      </c>
      <c r="E104" s="104" t="s">
        <v>3084</v>
      </c>
      <c r="F104" s="104" t="s">
        <v>117</v>
      </c>
      <c r="G104" s="104" t="s">
        <v>11423</v>
      </c>
      <c r="H104" s="131" t="s">
        <v>11424</v>
      </c>
      <c r="I104" s="116" t="s">
        <v>11425</v>
      </c>
      <c r="J104" s="116" t="s">
        <v>11426</v>
      </c>
      <c r="K104" s="47" t="s">
        <v>11427</v>
      </c>
      <c r="L104" s="47" t="s">
        <v>7097</v>
      </c>
      <c r="M104" s="47" t="s">
        <v>7098</v>
      </c>
    </row>
    <row r="105" spans="1:13" ht="14.25" customHeight="1">
      <c r="A105" s="113">
        <v>11</v>
      </c>
      <c r="B105" s="47"/>
      <c r="C105" s="120" t="s">
        <v>6294</v>
      </c>
      <c r="D105" s="130" t="s">
        <v>6295</v>
      </c>
      <c r="E105" s="104" t="s">
        <v>1232</v>
      </c>
      <c r="F105" s="104" t="s">
        <v>5791</v>
      </c>
      <c r="G105" s="104" t="s">
        <v>6296</v>
      </c>
      <c r="H105" s="117" t="s">
        <v>11428</v>
      </c>
      <c r="I105" s="116" t="s">
        <v>6298</v>
      </c>
      <c r="J105" s="130" t="s">
        <v>6299</v>
      </c>
      <c r="K105" s="47" t="s">
        <v>10699</v>
      </c>
      <c r="L105" s="47" t="s">
        <v>7101</v>
      </c>
      <c r="M105" s="47" t="s">
        <v>7102</v>
      </c>
    </row>
    <row r="106" spans="1:13" ht="14.25" customHeight="1">
      <c r="A106" s="113">
        <v>12</v>
      </c>
      <c r="B106" s="47"/>
      <c r="C106" s="120" t="s">
        <v>7918</v>
      </c>
      <c r="D106" s="130" t="s">
        <v>7919</v>
      </c>
      <c r="E106" s="104" t="s">
        <v>7920</v>
      </c>
      <c r="F106" s="104" t="s">
        <v>117</v>
      </c>
      <c r="G106" s="104" t="s">
        <v>7921</v>
      </c>
      <c r="H106" s="117" t="s">
        <v>11429</v>
      </c>
      <c r="I106" s="116" t="s">
        <v>7923</v>
      </c>
      <c r="J106" s="130" t="s">
        <v>7924</v>
      </c>
      <c r="K106" s="47" t="s">
        <v>10847</v>
      </c>
      <c r="L106" s="47" t="s">
        <v>7111</v>
      </c>
      <c r="M106" s="47" t="s">
        <v>7112</v>
      </c>
    </row>
    <row r="107" spans="1:13" ht="14.25" customHeight="1">
      <c r="A107" s="146">
        <v>1</v>
      </c>
      <c r="B107" s="88"/>
      <c r="C107" s="148" t="s">
        <v>6459</v>
      </c>
      <c r="D107" s="148" t="s">
        <v>6460</v>
      </c>
      <c r="E107" s="148" t="s">
        <v>6461</v>
      </c>
      <c r="F107" s="148" t="s">
        <v>4823</v>
      </c>
      <c r="G107" s="148" t="s">
        <v>6462</v>
      </c>
      <c r="H107" s="149" t="s">
        <v>11430</v>
      </c>
      <c r="I107" s="150" t="s">
        <v>6464</v>
      </c>
      <c r="J107" s="150" t="s">
        <v>6465</v>
      </c>
      <c r="K107" s="88" t="s">
        <v>10708</v>
      </c>
      <c r="L107" s="88" t="s">
        <v>7269</v>
      </c>
      <c r="M107" s="88" t="s">
        <v>7270</v>
      </c>
    </row>
    <row r="108" spans="1:13" ht="14.25" customHeight="1">
      <c r="A108" s="113">
        <v>2</v>
      </c>
      <c r="B108" s="47"/>
      <c r="C108" s="130" t="s">
        <v>11431</v>
      </c>
      <c r="D108" s="130" t="s">
        <v>11432</v>
      </c>
      <c r="E108" s="130" t="s">
        <v>11433</v>
      </c>
      <c r="F108" s="130" t="s">
        <v>4823</v>
      </c>
      <c r="G108" s="130" t="s">
        <v>11434</v>
      </c>
      <c r="H108" s="117" t="s">
        <v>11435</v>
      </c>
      <c r="I108" s="116" t="s">
        <v>11436</v>
      </c>
      <c r="J108" s="132" t="s">
        <v>11437</v>
      </c>
      <c r="K108" s="47" t="s">
        <v>11438</v>
      </c>
      <c r="L108" s="47" t="s">
        <v>7277</v>
      </c>
      <c r="M108" s="47" t="s">
        <v>7278</v>
      </c>
    </row>
    <row r="109" spans="1:13" ht="14.25" customHeight="1">
      <c r="A109" s="113">
        <v>3</v>
      </c>
      <c r="B109" s="47"/>
      <c r="C109" s="130" t="s">
        <v>6965</v>
      </c>
      <c r="D109" s="130" t="s">
        <v>6966</v>
      </c>
      <c r="E109" s="130" t="s">
        <v>6967</v>
      </c>
      <c r="F109" s="130" t="s">
        <v>5559</v>
      </c>
      <c r="G109" s="130" t="s">
        <v>6968</v>
      </c>
      <c r="H109" s="117" t="s">
        <v>11439</v>
      </c>
      <c r="I109" s="116" t="s">
        <v>6970</v>
      </c>
      <c r="J109" s="116" t="s">
        <v>6971</v>
      </c>
      <c r="K109" s="47" t="s">
        <v>10735</v>
      </c>
      <c r="L109" s="47" t="s">
        <v>7288</v>
      </c>
      <c r="M109" s="47" t="s">
        <v>7289</v>
      </c>
    </row>
    <row r="110" spans="1:13" ht="14.25" customHeight="1">
      <c r="A110" s="113">
        <v>4</v>
      </c>
      <c r="B110" s="47"/>
      <c r="C110" s="130" t="s">
        <v>9990</v>
      </c>
      <c r="D110" s="130" t="s">
        <v>9991</v>
      </c>
      <c r="E110" s="130" t="s">
        <v>9992</v>
      </c>
      <c r="F110" s="130" t="s">
        <v>4823</v>
      </c>
      <c r="G110" s="130" t="s">
        <v>9993</v>
      </c>
      <c r="H110" s="117" t="s">
        <v>11440</v>
      </c>
      <c r="I110" s="116" t="s">
        <v>9995</v>
      </c>
      <c r="J110" s="116" t="s">
        <v>9996</v>
      </c>
      <c r="K110" s="47" t="s">
        <v>11070</v>
      </c>
      <c r="L110" s="47" t="s">
        <v>7298</v>
      </c>
      <c r="M110" s="47" t="s">
        <v>7299</v>
      </c>
    </row>
    <row r="111" spans="1:13" ht="14.25" customHeight="1">
      <c r="A111" s="113">
        <v>5</v>
      </c>
      <c r="B111" s="47"/>
      <c r="C111" s="130" t="s">
        <v>11441</v>
      </c>
      <c r="D111" s="130" t="s">
        <v>11442</v>
      </c>
      <c r="E111" s="130" t="s">
        <v>11443</v>
      </c>
      <c r="F111" s="130" t="s">
        <v>5559</v>
      </c>
      <c r="G111" s="130" t="s">
        <v>11444</v>
      </c>
      <c r="H111" s="117" t="s">
        <v>11445</v>
      </c>
      <c r="I111" s="116" t="s">
        <v>11446</v>
      </c>
      <c r="J111" s="116" t="s">
        <v>11447</v>
      </c>
      <c r="K111" s="47" t="s">
        <v>11448</v>
      </c>
      <c r="L111" s="47" t="s">
        <v>7308</v>
      </c>
      <c r="M111" s="47" t="s">
        <v>7309</v>
      </c>
    </row>
    <row r="112" spans="1:13" ht="14.25" customHeight="1">
      <c r="A112" s="113">
        <v>6</v>
      </c>
      <c r="B112" s="47"/>
      <c r="C112" s="130" t="s">
        <v>11449</v>
      </c>
      <c r="D112" s="130" t="s">
        <v>11450</v>
      </c>
      <c r="E112" s="130" t="s">
        <v>11451</v>
      </c>
      <c r="F112" s="130" t="s">
        <v>5711</v>
      </c>
      <c r="G112" s="130" t="s">
        <v>11452</v>
      </c>
      <c r="H112" s="117" t="s">
        <v>11453</v>
      </c>
      <c r="I112" s="116" t="s">
        <v>11454</v>
      </c>
      <c r="J112" s="116" t="s">
        <v>11455</v>
      </c>
      <c r="K112" s="47" t="s">
        <v>11456</v>
      </c>
      <c r="L112" s="47" t="s">
        <v>7318</v>
      </c>
      <c r="M112" s="47" t="s">
        <v>7319</v>
      </c>
    </row>
    <row r="113" spans="1:13" ht="14.25" customHeight="1">
      <c r="A113" s="113">
        <v>7</v>
      </c>
      <c r="B113" s="47"/>
      <c r="C113" s="130" t="s">
        <v>8499</v>
      </c>
      <c r="D113" s="130" t="s">
        <v>8500</v>
      </c>
      <c r="E113" s="130" t="s">
        <v>8501</v>
      </c>
      <c r="F113" s="130" t="s">
        <v>4823</v>
      </c>
      <c r="G113" s="130" t="s">
        <v>8502</v>
      </c>
      <c r="H113" s="117" t="s">
        <v>11457</v>
      </c>
      <c r="I113" s="116" t="s">
        <v>8504</v>
      </c>
      <c r="J113" s="116" t="s">
        <v>8505</v>
      </c>
      <c r="K113" s="47" t="s">
        <v>10906</v>
      </c>
      <c r="L113" s="47" t="s">
        <v>7328</v>
      </c>
      <c r="M113" s="47" t="s">
        <v>7329</v>
      </c>
    </row>
    <row r="114" spans="1:13" ht="14.25" customHeight="1">
      <c r="A114" s="113">
        <v>8</v>
      </c>
      <c r="B114" s="47"/>
      <c r="C114" s="130" t="s">
        <v>11458</v>
      </c>
      <c r="D114" s="130" t="s">
        <v>11459</v>
      </c>
      <c r="E114" s="130" t="s">
        <v>11460</v>
      </c>
      <c r="F114" s="130" t="s">
        <v>5559</v>
      </c>
      <c r="G114" s="130" t="s">
        <v>11461</v>
      </c>
      <c r="H114" s="117" t="s">
        <v>11462</v>
      </c>
      <c r="I114" s="116" t="s">
        <v>11463</v>
      </c>
      <c r="J114" s="116" t="s">
        <v>11464</v>
      </c>
      <c r="K114" s="47" t="s">
        <v>11465</v>
      </c>
      <c r="L114" s="47" t="s">
        <v>7338</v>
      </c>
      <c r="M114" s="47" t="s">
        <v>7339</v>
      </c>
    </row>
    <row r="115" spans="1:13" ht="14.25" customHeight="1">
      <c r="A115" s="113">
        <v>9</v>
      </c>
      <c r="B115" s="47"/>
      <c r="C115" s="130" t="s">
        <v>5556</v>
      </c>
      <c r="D115" s="130" t="s">
        <v>5557</v>
      </c>
      <c r="E115" s="130" t="s">
        <v>5558</v>
      </c>
      <c r="F115" s="130" t="s">
        <v>5559</v>
      </c>
      <c r="G115" s="130" t="s">
        <v>5560</v>
      </c>
      <c r="H115" s="117" t="s">
        <v>10629</v>
      </c>
      <c r="I115" s="116" t="s">
        <v>5562</v>
      </c>
      <c r="J115" s="116" t="s">
        <v>5563</v>
      </c>
      <c r="K115" s="47" t="s">
        <v>10630</v>
      </c>
      <c r="L115" s="47" t="s">
        <v>7348</v>
      </c>
      <c r="M115" s="47" t="s">
        <v>7349</v>
      </c>
    </row>
    <row r="116" spans="1:13" ht="14.25" customHeight="1">
      <c r="A116" s="113">
        <v>10</v>
      </c>
      <c r="B116" s="47"/>
      <c r="C116" s="130" t="s">
        <v>11466</v>
      </c>
      <c r="D116" s="130" t="s">
        <v>11467</v>
      </c>
      <c r="E116" s="130" t="s">
        <v>11468</v>
      </c>
      <c r="F116" s="130" t="s">
        <v>4392</v>
      </c>
      <c r="G116" s="130" t="s">
        <v>6938</v>
      </c>
      <c r="H116" s="117" t="s">
        <v>11469</v>
      </c>
      <c r="I116" s="116" t="s">
        <v>11470</v>
      </c>
      <c r="J116" s="116" t="s">
        <v>11471</v>
      </c>
      <c r="K116" s="47" t="s">
        <v>11472</v>
      </c>
      <c r="L116" s="47" t="s">
        <v>7358</v>
      </c>
      <c r="M116" s="47" t="s">
        <v>7359</v>
      </c>
    </row>
    <row r="117" spans="1:13" ht="14.25" customHeight="1">
      <c r="A117" s="113">
        <v>11</v>
      </c>
      <c r="B117" s="47"/>
      <c r="C117" s="130" t="s">
        <v>11473</v>
      </c>
      <c r="D117" s="130" t="s">
        <v>6046</v>
      </c>
      <c r="E117" s="130" t="s">
        <v>6047</v>
      </c>
      <c r="F117" s="130" t="s">
        <v>5791</v>
      </c>
      <c r="G117" s="130" t="s">
        <v>6048</v>
      </c>
      <c r="H117" s="117" t="s">
        <v>11474</v>
      </c>
      <c r="I117" s="116" t="s">
        <v>11475</v>
      </c>
      <c r="J117" s="116" t="s">
        <v>11476</v>
      </c>
      <c r="K117" s="47" t="s">
        <v>11477</v>
      </c>
      <c r="L117" s="47" t="s">
        <v>7368</v>
      </c>
      <c r="M117" s="47" t="s">
        <v>7369</v>
      </c>
    </row>
    <row r="118" spans="1:13" ht="14.25" customHeight="1">
      <c r="A118" s="113">
        <v>12</v>
      </c>
      <c r="B118" s="47"/>
      <c r="C118" s="130" t="s">
        <v>11478</v>
      </c>
      <c r="D118" s="130" t="s">
        <v>11479</v>
      </c>
      <c r="E118" s="130" t="s">
        <v>11480</v>
      </c>
      <c r="F118" s="130" t="s">
        <v>4392</v>
      </c>
      <c r="G118" s="130" t="s">
        <v>9464</v>
      </c>
      <c r="H118" s="117" t="s">
        <v>11481</v>
      </c>
      <c r="I118" s="116" t="s">
        <v>11482</v>
      </c>
      <c r="J118" s="116" t="s">
        <v>11483</v>
      </c>
      <c r="K118" s="47" t="s">
        <v>11484</v>
      </c>
      <c r="L118" s="47" t="s">
        <v>7377</v>
      </c>
      <c r="M118" s="47" t="s">
        <v>7378</v>
      </c>
    </row>
    <row r="119" spans="1:13" ht="14.25" customHeight="1">
      <c r="A119" s="113">
        <v>13</v>
      </c>
      <c r="B119" s="47"/>
      <c r="C119" s="130" t="s">
        <v>11485</v>
      </c>
      <c r="D119" s="130" t="s">
        <v>11486</v>
      </c>
      <c r="E119" s="130" t="s">
        <v>11487</v>
      </c>
      <c r="F119" s="130" t="s">
        <v>4392</v>
      </c>
      <c r="G119" s="130" t="s">
        <v>11488</v>
      </c>
      <c r="H119" s="117" t="s">
        <v>11489</v>
      </c>
      <c r="I119" s="116" t="s">
        <v>11490</v>
      </c>
      <c r="J119" s="116" t="s">
        <v>11491</v>
      </c>
      <c r="K119" s="47" t="s">
        <v>11492</v>
      </c>
      <c r="L119" s="47" t="s">
        <v>7387</v>
      </c>
      <c r="M119" s="47" t="s">
        <v>7388</v>
      </c>
    </row>
    <row r="120" spans="1:13" ht="14.25" customHeight="1">
      <c r="A120" s="113">
        <v>14</v>
      </c>
      <c r="B120" s="47"/>
      <c r="C120" s="130" t="s">
        <v>11493</v>
      </c>
      <c r="D120" s="130" t="s">
        <v>11494</v>
      </c>
      <c r="E120" s="130" t="s">
        <v>11495</v>
      </c>
      <c r="F120" s="130" t="s">
        <v>4392</v>
      </c>
      <c r="G120" s="130" t="s">
        <v>11496</v>
      </c>
      <c r="H120" s="117" t="s">
        <v>11497</v>
      </c>
      <c r="I120" s="116" t="s">
        <v>11498</v>
      </c>
      <c r="J120" s="116" t="s">
        <v>11499</v>
      </c>
      <c r="K120" s="47" t="s">
        <v>11500</v>
      </c>
      <c r="L120" s="47" t="s">
        <v>7397</v>
      </c>
      <c r="M120" s="47" t="s">
        <v>7398</v>
      </c>
    </row>
    <row r="121" spans="1:13" ht="14.25" customHeight="1">
      <c r="A121" s="113">
        <v>15</v>
      </c>
      <c r="B121" s="47"/>
      <c r="C121" s="130" t="s">
        <v>5828</v>
      </c>
      <c r="D121" s="130" t="s">
        <v>5829</v>
      </c>
      <c r="E121" s="130" t="s">
        <v>5830</v>
      </c>
      <c r="F121" s="130" t="s">
        <v>5711</v>
      </c>
      <c r="G121" s="130" t="s">
        <v>5831</v>
      </c>
      <c r="H121" s="117" t="s">
        <v>11501</v>
      </c>
      <c r="I121" s="116" t="s">
        <v>5833</v>
      </c>
      <c r="J121" s="116" t="s">
        <v>5834</v>
      </c>
      <c r="K121" s="47" t="s">
        <v>10655</v>
      </c>
      <c r="L121" s="47" t="s">
        <v>7407</v>
      </c>
      <c r="M121" s="47" t="s">
        <v>7408</v>
      </c>
    </row>
    <row r="122" spans="1:13" ht="14.25" customHeight="1">
      <c r="A122" s="113">
        <v>16</v>
      </c>
      <c r="B122" s="47"/>
      <c r="C122" s="130" t="s">
        <v>4888</v>
      </c>
      <c r="D122" s="130" t="s">
        <v>4889</v>
      </c>
      <c r="E122" s="130" t="s">
        <v>4890</v>
      </c>
      <c r="F122" s="130" t="s">
        <v>4392</v>
      </c>
      <c r="G122" s="130" t="s">
        <v>4891</v>
      </c>
      <c r="H122" s="117" t="s">
        <v>11502</v>
      </c>
      <c r="I122" s="116" t="s">
        <v>4893</v>
      </c>
      <c r="J122" s="116" t="s">
        <v>4894</v>
      </c>
      <c r="K122" s="47" t="s">
        <v>5420</v>
      </c>
      <c r="L122" s="47" t="s">
        <v>5421</v>
      </c>
      <c r="M122" s="47" t="s">
        <v>5422</v>
      </c>
    </row>
    <row r="123" spans="1:13" ht="14.25" customHeight="1">
      <c r="A123" s="113">
        <v>17</v>
      </c>
      <c r="B123" s="47"/>
      <c r="C123" s="130" t="s">
        <v>5709</v>
      </c>
      <c r="D123" s="130" t="s">
        <v>5710</v>
      </c>
      <c r="E123" s="130" t="s">
        <v>4249</v>
      </c>
      <c r="F123" s="130" t="s">
        <v>5711</v>
      </c>
      <c r="G123" s="130" t="s">
        <v>11503</v>
      </c>
      <c r="H123" s="117" t="s">
        <v>11504</v>
      </c>
      <c r="I123" s="116" t="s">
        <v>11505</v>
      </c>
      <c r="J123" s="116" t="s">
        <v>11506</v>
      </c>
      <c r="K123" s="47" t="s">
        <v>11507</v>
      </c>
      <c r="L123" s="47" t="s">
        <v>7425</v>
      </c>
      <c r="M123" s="47" t="s">
        <v>7426</v>
      </c>
    </row>
    <row r="124" spans="1:13" ht="14.25" customHeight="1">
      <c r="A124" s="146">
        <v>1</v>
      </c>
      <c r="B124" s="88"/>
      <c r="C124" s="155" t="s">
        <v>349</v>
      </c>
      <c r="D124" s="156" t="s">
        <v>350</v>
      </c>
      <c r="E124" s="148" t="s">
        <v>351</v>
      </c>
      <c r="F124" s="148" t="s">
        <v>65</v>
      </c>
      <c r="G124" s="148" t="s">
        <v>352</v>
      </c>
      <c r="H124" s="158" t="s">
        <v>11508</v>
      </c>
      <c r="I124" s="150" t="s">
        <v>354</v>
      </c>
      <c r="J124" s="156" t="s">
        <v>355</v>
      </c>
      <c r="K124" s="88" t="s">
        <v>11509</v>
      </c>
      <c r="L124" s="88" t="s">
        <v>7535</v>
      </c>
      <c r="M124" s="88" t="s">
        <v>7536</v>
      </c>
    </row>
    <row r="125" spans="1:13" ht="14.25" customHeight="1">
      <c r="A125" s="113">
        <v>2</v>
      </c>
      <c r="B125" s="47"/>
      <c r="C125" s="120" t="s">
        <v>4955</v>
      </c>
      <c r="D125" s="130" t="s">
        <v>4956</v>
      </c>
      <c r="E125" s="130" t="s">
        <v>4957</v>
      </c>
      <c r="F125" s="130" t="s">
        <v>65</v>
      </c>
      <c r="G125" s="130" t="s">
        <v>11510</v>
      </c>
      <c r="H125" s="117" t="s">
        <v>11511</v>
      </c>
      <c r="I125" s="116" t="s">
        <v>11512</v>
      </c>
      <c r="J125" s="116" t="s">
        <v>4960</v>
      </c>
      <c r="K125" s="47" t="s">
        <v>11513</v>
      </c>
      <c r="L125" s="47" t="s">
        <v>7544</v>
      </c>
      <c r="M125" s="47" t="s">
        <v>7545</v>
      </c>
    </row>
    <row r="126" spans="1:13" ht="14.25" customHeight="1">
      <c r="A126" s="113">
        <v>3</v>
      </c>
      <c r="B126" s="47"/>
      <c r="C126" s="120" t="s">
        <v>6340</v>
      </c>
      <c r="D126" s="130" t="s">
        <v>6341</v>
      </c>
      <c r="E126" s="130" t="s">
        <v>6342</v>
      </c>
      <c r="F126" s="130" t="s">
        <v>54</v>
      </c>
      <c r="G126" s="130" t="s">
        <v>6343</v>
      </c>
      <c r="H126" s="117" t="s">
        <v>11514</v>
      </c>
      <c r="I126" s="116" t="s">
        <v>6345</v>
      </c>
      <c r="J126" s="116" t="s">
        <v>6346</v>
      </c>
      <c r="K126" s="47" t="s">
        <v>10702</v>
      </c>
      <c r="L126" s="47" t="s">
        <v>7555</v>
      </c>
      <c r="M126" s="47" t="s">
        <v>7556</v>
      </c>
    </row>
    <row r="127" spans="1:13" ht="14.25" customHeight="1">
      <c r="A127" s="113">
        <v>4</v>
      </c>
      <c r="B127" s="47"/>
      <c r="C127" s="120" t="s">
        <v>9085</v>
      </c>
      <c r="D127" s="104" t="s">
        <v>9086</v>
      </c>
      <c r="E127" s="104" t="s">
        <v>9087</v>
      </c>
      <c r="F127" s="104" t="s">
        <v>4392</v>
      </c>
      <c r="G127" s="104" t="s">
        <v>6482</v>
      </c>
      <c r="H127" s="131" t="s">
        <v>11515</v>
      </c>
      <c r="I127" s="116" t="s">
        <v>9089</v>
      </c>
      <c r="J127" s="116" t="s">
        <v>9090</v>
      </c>
      <c r="K127" s="47" t="s">
        <v>10965</v>
      </c>
      <c r="L127" s="47" t="s">
        <v>7565</v>
      </c>
      <c r="M127" s="47" t="s">
        <v>7566</v>
      </c>
    </row>
    <row r="128" spans="1:13" ht="14.25" customHeight="1">
      <c r="A128" s="113">
        <v>5</v>
      </c>
      <c r="B128" s="47"/>
      <c r="C128" s="120" t="s">
        <v>8689</v>
      </c>
      <c r="D128" s="130" t="s">
        <v>8690</v>
      </c>
      <c r="E128" s="116" t="s">
        <v>8691</v>
      </c>
      <c r="F128" s="130" t="s">
        <v>4823</v>
      </c>
      <c r="G128" s="130" t="s">
        <v>8692</v>
      </c>
      <c r="H128" s="117" t="s">
        <v>11516</v>
      </c>
      <c r="I128" s="116" t="s">
        <v>8694</v>
      </c>
      <c r="J128" s="116" t="s">
        <v>8695</v>
      </c>
      <c r="K128" s="47" t="s">
        <v>10928</v>
      </c>
      <c r="L128" s="47" t="s">
        <v>7575</v>
      </c>
      <c r="M128" s="47" t="s">
        <v>7576</v>
      </c>
    </row>
    <row r="129" spans="1:13" ht="14.25" customHeight="1">
      <c r="A129" s="113">
        <v>6</v>
      </c>
      <c r="B129" s="47"/>
      <c r="C129" s="120" t="s">
        <v>6284</v>
      </c>
      <c r="D129" s="130" t="s">
        <v>6285</v>
      </c>
      <c r="E129" s="130" t="s">
        <v>6286</v>
      </c>
      <c r="F129" s="130" t="s">
        <v>219</v>
      </c>
      <c r="G129" s="130" t="s">
        <v>6287</v>
      </c>
      <c r="H129" s="117" t="s">
        <v>11517</v>
      </c>
      <c r="I129" s="116" t="s">
        <v>6289</v>
      </c>
      <c r="J129" s="116" t="s">
        <v>6290</v>
      </c>
      <c r="K129" s="47" t="s">
        <v>10698</v>
      </c>
      <c r="L129" s="47" t="s">
        <v>7585</v>
      </c>
      <c r="M129" s="47" t="s">
        <v>7586</v>
      </c>
    </row>
    <row r="130" spans="1:13" ht="14.25" customHeight="1">
      <c r="A130" s="113">
        <v>7</v>
      </c>
      <c r="B130" s="47"/>
      <c r="C130" s="120" t="s">
        <v>7417</v>
      </c>
      <c r="D130" s="130" t="s">
        <v>7418</v>
      </c>
      <c r="E130" s="130" t="s">
        <v>7419</v>
      </c>
      <c r="F130" s="130" t="s">
        <v>117</v>
      </c>
      <c r="G130" s="130" t="s">
        <v>7420</v>
      </c>
      <c r="H130" s="117" t="s">
        <v>11518</v>
      </c>
      <c r="I130" s="116" t="s">
        <v>7422</v>
      </c>
      <c r="J130" s="116" t="s">
        <v>7423</v>
      </c>
      <c r="K130" s="47" t="s">
        <v>10787</v>
      </c>
      <c r="L130" s="47" t="s">
        <v>7595</v>
      </c>
      <c r="M130" s="47" t="s">
        <v>7596</v>
      </c>
    </row>
    <row r="131" spans="1:13" ht="14.25" customHeight="1">
      <c r="A131" s="113">
        <v>8</v>
      </c>
      <c r="B131" s="47"/>
      <c r="C131" s="120" t="s">
        <v>6589</v>
      </c>
      <c r="D131" s="130" t="s">
        <v>6590</v>
      </c>
      <c r="E131" s="130" t="s">
        <v>6591</v>
      </c>
      <c r="F131" s="130" t="s">
        <v>219</v>
      </c>
      <c r="G131" s="130" t="s">
        <v>6592</v>
      </c>
      <c r="H131" s="117" t="s">
        <v>11519</v>
      </c>
      <c r="I131" s="116" t="s">
        <v>6594</v>
      </c>
      <c r="J131" s="116" t="s">
        <v>6595</v>
      </c>
      <c r="K131" s="47" t="s">
        <v>10716</v>
      </c>
      <c r="L131" s="47" t="s">
        <v>7605</v>
      </c>
      <c r="M131" s="47" t="s">
        <v>7606</v>
      </c>
    </row>
    <row r="132" spans="1:13" ht="14.25" customHeight="1">
      <c r="A132" s="113">
        <v>9</v>
      </c>
      <c r="B132" s="47"/>
      <c r="C132" s="120" t="s">
        <v>9205</v>
      </c>
      <c r="D132" s="130" t="s">
        <v>9206</v>
      </c>
      <c r="E132" s="159" t="s">
        <v>9207</v>
      </c>
      <c r="F132" s="130" t="s">
        <v>117</v>
      </c>
      <c r="G132" s="130" t="s">
        <v>9208</v>
      </c>
      <c r="H132" s="117" t="s">
        <v>11520</v>
      </c>
      <c r="I132" s="116" t="s">
        <v>9210</v>
      </c>
      <c r="J132" s="116" t="s">
        <v>9211</v>
      </c>
      <c r="K132" s="47" t="s">
        <v>10981</v>
      </c>
      <c r="L132" s="47" t="s">
        <v>7615</v>
      </c>
      <c r="M132" s="47" t="s">
        <v>7616</v>
      </c>
    </row>
    <row r="133" spans="1:13" ht="14.25" customHeight="1">
      <c r="A133" s="113">
        <v>10</v>
      </c>
      <c r="B133" s="47"/>
      <c r="C133" s="120" t="s">
        <v>6429</v>
      </c>
      <c r="D133" s="130" t="s">
        <v>6430</v>
      </c>
      <c r="E133" s="130" t="s">
        <v>6431</v>
      </c>
      <c r="F133" s="130" t="s">
        <v>219</v>
      </c>
      <c r="G133" s="130" t="s">
        <v>6432</v>
      </c>
      <c r="H133" s="117" t="s">
        <v>11521</v>
      </c>
      <c r="I133" s="116" t="s">
        <v>6434</v>
      </c>
      <c r="J133" s="116" t="s">
        <v>6435</v>
      </c>
      <c r="K133" s="47" t="s">
        <v>10706</v>
      </c>
      <c r="L133" s="47" t="s">
        <v>7625</v>
      </c>
      <c r="M133" s="47" t="s">
        <v>7626</v>
      </c>
    </row>
    <row r="134" spans="1:13" ht="14.25" customHeight="1">
      <c r="A134" s="113">
        <v>11</v>
      </c>
      <c r="B134" s="47"/>
      <c r="C134" s="120" t="s">
        <v>5610</v>
      </c>
      <c r="D134" s="130" t="s">
        <v>5611</v>
      </c>
      <c r="E134" s="130" t="s">
        <v>5612</v>
      </c>
      <c r="F134" s="130" t="s">
        <v>65</v>
      </c>
      <c r="G134" s="130" t="s">
        <v>5613</v>
      </c>
      <c r="H134" s="117" t="s">
        <v>11522</v>
      </c>
      <c r="I134" s="116" t="s">
        <v>5615</v>
      </c>
      <c r="J134" s="116" t="s">
        <v>5616</v>
      </c>
      <c r="K134" s="47" t="s">
        <v>10635</v>
      </c>
      <c r="L134" s="47" t="s">
        <v>7635</v>
      </c>
      <c r="M134" s="47" t="s">
        <v>7636</v>
      </c>
    </row>
    <row r="135" spans="1:13" ht="14.25" customHeight="1">
      <c r="A135" s="113">
        <v>12</v>
      </c>
      <c r="B135" s="47"/>
      <c r="C135" s="120" t="s">
        <v>7597</v>
      </c>
      <c r="D135" s="130" t="s">
        <v>7598</v>
      </c>
      <c r="E135" s="130" t="s">
        <v>7599</v>
      </c>
      <c r="F135" s="130" t="s">
        <v>117</v>
      </c>
      <c r="G135" s="130" t="s">
        <v>7600</v>
      </c>
      <c r="H135" s="117" t="s">
        <v>11523</v>
      </c>
      <c r="I135" s="116" t="s">
        <v>7602</v>
      </c>
      <c r="J135" s="116" t="s">
        <v>7603</v>
      </c>
      <c r="K135" s="47" t="s">
        <v>10808</v>
      </c>
      <c r="L135" s="47" t="s">
        <v>7645</v>
      </c>
      <c r="M135" s="47" t="s">
        <v>7646</v>
      </c>
    </row>
    <row r="136" spans="1:13" ht="14.25" customHeight="1">
      <c r="A136" s="113">
        <v>13</v>
      </c>
      <c r="B136" s="47"/>
      <c r="C136" s="120" t="s">
        <v>7710</v>
      </c>
      <c r="D136" s="130" t="s">
        <v>7711</v>
      </c>
      <c r="E136" s="130" t="s">
        <v>7712</v>
      </c>
      <c r="F136" s="130" t="s">
        <v>4392</v>
      </c>
      <c r="G136" s="130" t="s">
        <v>7713</v>
      </c>
      <c r="H136" s="117" t="s">
        <v>11524</v>
      </c>
      <c r="I136" s="116" t="s">
        <v>7715</v>
      </c>
      <c r="J136" s="116" t="s">
        <v>7716</v>
      </c>
      <c r="K136" s="47" t="s">
        <v>10827</v>
      </c>
      <c r="L136" s="47" t="s">
        <v>7655</v>
      </c>
      <c r="M136" s="47" t="s">
        <v>7656</v>
      </c>
    </row>
    <row r="137" spans="1:13" ht="14.25" customHeight="1">
      <c r="A137" s="146">
        <v>1</v>
      </c>
      <c r="B137" s="88"/>
      <c r="C137" s="157" t="s">
        <v>4389</v>
      </c>
      <c r="D137" s="157" t="s">
        <v>5367</v>
      </c>
      <c r="E137" s="157" t="s">
        <v>4391</v>
      </c>
      <c r="F137" s="157" t="s">
        <v>4392</v>
      </c>
      <c r="G137" s="157" t="s">
        <v>4393</v>
      </c>
      <c r="H137" s="91" t="s">
        <v>11525</v>
      </c>
      <c r="I137" s="150" t="s">
        <v>4395</v>
      </c>
      <c r="J137" s="157" t="s">
        <v>4396</v>
      </c>
      <c r="K137" s="88" t="s">
        <v>5368</v>
      </c>
      <c r="L137" s="88" t="s">
        <v>5369</v>
      </c>
      <c r="M137" s="88" t="s">
        <v>5370</v>
      </c>
    </row>
    <row r="138" spans="1:13" ht="14.25" customHeight="1">
      <c r="A138" s="113">
        <v>2</v>
      </c>
      <c r="B138" s="47"/>
      <c r="C138" s="115" t="s">
        <v>7035</v>
      </c>
      <c r="D138" s="115" t="s">
        <v>7036</v>
      </c>
      <c r="E138" s="115" t="s">
        <v>7037</v>
      </c>
      <c r="F138" s="115" t="s">
        <v>5559</v>
      </c>
      <c r="G138" s="115" t="s">
        <v>7038</v>
      </c>
      <c r="H138" s="50" t="s">
        <v>11526</v>
      </c>
      <c r="I138" s="116" t="s">
        <v>7040</v>
      </c>
      <c r="J138" s="115" t="s">
        <v>7041</v>
      </c>
      <c r="K138" s="47" t="s">
        <v>10740</v>
      </c>
      <c r="L138" s="47" t="s">
        <v>7816</v>
      </c>
      <c r="M138" s="47" t="s">
        <v>7817</v>
      </c>
    </row>
    <row r="139" spans="1:13" ht="14.25" customHeight="1">
      <c r="A139" s="113">
        <v>3</v>
      </c>
      <c r="B139" s="47"/>
      <c r="C139" s="115" t="s">
        <v>11527</v>
      </c>
      <c r="D139" s="115" t="s">
        <v>11528</v>
      </c>
      <c r="E139" s="115" t="s">
        <v>11529</v>
      </c>
      <c r="F139" s="115" t="s">
        <v>5559</v>
      </c>
      <c r="G139" s="115" t="s">
        <v>11530</v>
      </c>
      <c r="H139" s="50" t="s">
        <v>11531</v>
      </c>
      <c r="I139" s="116" t="s">
        <v>11532</v>
      </c>
      <c r="J139" s="115" t="s">
        <v>11533</v>
      </c>
      <c r="K139" s="47" t="s">
        <v>11534</v>
      </c>
      <c r="L139" s="47" t="s">
        <v>7827</v>
      </c>
      <c r="M139" s="47" t="s">
        <v>7828</v>
      </c>
    </row>
    <row r="140" spans="1:13" ht="14.25" customHeight="1">
      <c r="A140" s="113">
        <v>4</v>
      </c>
      <c r="B140" s="47"/>
      <c r="C140" s="115" t="s">
        <v>11535</v>
      </c>
      <c r="D140" s="115" t="s">
        <v>11536</v>
      </c>
      <c r="E140" s="115" t="s">
        <v>7017</v>
      </c>
      <c r="F140" s="115" t="s">
        <v>4392</v>
      </c>
      <c r="G140" s="115" t="s">
        <v>7018</v>
      </c>
      <c r="H140" s="50" t="s">
        <v>11537</v>
      </c>
      <c r="I140" s="116" t="s">
        <v>11538</v>
      </c>
      <c r="J140" s="115" t="s">
        <v>11539</v>
      </c>
      <c r="K140" s="47" t="s">
        <v>11540</v>
      </c>
      <c r="L140" s="47" t="s">
        <v>7837</v>
      </c>
      <c r="M140" s="47" t="s">
        <v>7838</v>
      </c>
    </row>
    <row r="141" spans="1:13" ht="14.25" customHeight="1">
      <c r="A141" s="113">
        <v>5</v>
      </c>
      <c r="B141" s="47"/>
      <c r="C141" s="115" t="s">
        <v>6245</v>
      </c>
      <c r="D141" s="115" t="s">
        <v>6246</v>
      </c>
      <c r="E141" s="115" t="s">
        <v>6247</v>
      </c>
      <c r="F141" s="115" t="s">
        <v>4823</v>
      </c>
      <c r="G141" s="115" t="s">
        <v>6248</v>
      </c>
      <c r="H141" s="50" t="s">
        <v>11541</v>
      </c>
      <c r="I141" s="116" t="s">
        <v>6250</v>
      </c>
      <c r="J141" s="153" t="s">
        <v>6251</v>
      </c>
      <c r="K141" s="47" t="s">
        <v>10696</v>
      </c>
      <c r="L141" s="47" t="s">
        <v>7847</v>
      </c>
      <c r="M141" s="47" t="s">
        <v>7848</v>
      </c>
    </row>
    <row r="142" spans="1:13" ht="14.25" customHeight="1">
      <c r="A142" s="113">
        <v>6</v>
      </c>
      <c r="B142" s="47"/>
      <c r="C142" s="115" t="s">
        <v>5986</v>
      </c>
      <c r="D142" s="115" t="s">
        <v>5987</v>
      </c>
      <c r="E142" s="115" t="s">
        <v>5988</v>
      </c>
      <c r="F142" s="115" t="s">
        <v>4823</v>
      </c>
      <c r="G142" s="115" t="s">
        <v>5989</v>
      </c>
      <c r="H142" s="50" t="s">
        <v>11542</v>
      </c>
      <c r="I142" s="116" t="s">
        <v>5991</v>
      </c>
      <c r="J142" s="115" t="s">
        <v>5992</v>
      </c>
      <c r="K142" s="47" t="s">
        <v>10669</v>
      </c>
      <c r="L142" s="47" t="s">
        <v>7857</v>
      </c>
      <c r="M142" s="47" t="s">
        <v>7858</v>
      </c>
    </row>
    <row r="143" spans="1:13" ht="14.25" customHeight="1">
      <c r="A143" s="113">
        <v>7</v>
      </c>
      <c r="B143" s="47"/>
      <c r="C143" s="115" t="s">
        <v>7026</v>
      </c>
      <c r="D143" s="115" t="s">
        <v>7027</v>
      </c>
      <c r="E143" s="115" t="s">
        <v>3117</v>
      </c>
      <c r="F143" s="115" t="s">
        <v>5559</v>
      </c>
      <c r="G143" s="115" t="s">
        <v>7028</v>
      </c>
      <c r="H143" s="50" t="s">
        <v>11543</v>
      </c>
      <c r="I143" s="116" t="s">
        <v>7030</v>
      </c>
      <c r="J143" s="115" t="s">
        <v>7031</v>
      </c>
      <c r="K143" s="47" t="s">
        <v>10739</v>
      </c>
      <c r="L143" s="47" t="s">
        <v>7867</v>
      </c>
      <c r="M143" s="47" t="s">
        <v>7868</v>
      </c>
    </row>
    <row r="144" spans="1:13" ht="14.25" customHeight="1">
      <c r="A144" s="113">
        <v>8</v>
      </c>
      <c r="B144" s="47"/>
      <c r="C144" s="115" t="s">
        <v>11544</v>
      </c>
      <c r="D144" s="115" t="s">
        <v>11545</v>
      </c>
      <c r="E144" s="115" t="s">
        <v>11546</v>
      </c>
      <c r="F144" s="115" t="s">
        <v>4392</v>
      </c>
      <c r="G144" s="115" t="s">
        <v>11547</v>
      </c>
      <c r="H144" s="50" t="s">
        <v>11548</v>
      </c>
      <c r="I144" s="116" t="s">
        <v>11549</v>
      </c>
      <c r="J144" s="115" t="s">
        <v>11550</v>
      </c>
      <c r="K144" s="47" t="s">
        <v>11551</v>
      </c>
      <c r="L144" s="47" t="s">
        <v>7877</v>
      </c>
      <c r="M144" s="47" t="s">
        <v>7878</v>
      </c>
    </row>
    <row r="145" spans="1:13" ht="14.25" customHeight="1">
      <c r="A145" s="113">
        <v>9</v>
      </c>
      <c r="B145" s="47"/>
      <c r="C145" s="115" t="s">
        <v>11552</v>
      </c>
      <c r="D145" s="115" t="s">
        <v>11553</v>
      </c>
      <c r="E145" s="115" t="s">
        <v>11554</v>
      </c>
      <c r="F145" s="115" t="s">
        <v>4392</v>
      </c>
      <c r="G145" s="115" t="s">
        <v>11555</v>
      </c>
      <c r="H145" s="50" t="s">
        <v>11556</v>
      </c>
      <c r="I145" s="116" t="s">
        <v>11557</v>
      </c>
      <c r="J145" s="153" t="s">
        <v>11558</v>
      </c>
      <c r="K145" s="47" t="s">
        <v>11559</v>
      </c>
      <c r="L145" s="47" t="s">
        <v>7887</v>
      </c>
      <c r="M145" s="47" t="s">
        <v>7888</v>
      </c>
    </row>
    <row r="146" spans="1:13" ht="14.25" customHeight="1">
      <c r="A146" s="113">
        <v>10</v>
      </c>
      <c r="B146" s="47"/>
      <c r="C146" s="115" t="s">
        <v>11560</v>
      </c>
      <c r="D146" s="115" t="s">
        <v>11561</v>
      </c>
      <c r="E146" s="115" t="s">
        <v>11562</v>
      </c>
      <c r="F146" s="115" t="s">
        <v>4392</v>
      </c>
      <c r="G146" s="115" t="s">
        <v>11563</v>
      </c>
      <c r="H146" s="50" t="s">
        <v>11564</v>
      </c>
      <c r="I146" s="116" t="s">
        <v>11565</v>
      </c>
      <c r="J146" s="115" t="s">
        <v>11566</v>
      </c>
      <c r="K146" s="47" t="s">
        <v>11567</v>
      </c>
      <c r="L146" s="47" t="s">
        <v>7897</v>
      </c>
      <c r="M146" s="47" t="s">
        <v>7898</v>
      </c>
    </row>
    <row r="147" spans="1:13" ht="14.25" customHeight="1">
      <c r="A147" s="113">
        <v>11</v>
      </c>
      <c r="B147" s="47"/>
      <c r="C147" s="115" t="s">
        <v>11568</v>
      </c>
      <c r="D147" s="115" t="s">
        <v>11569</v>
      </c>
      <c r="E147" s="115" t="s">
        <v>11570</v>
      </c>
      <c r="F147" s="115" t="s">
        <v>4392</v>
      </c>
      <c r="G147" s="115" t="s">
        <v>11571</v>
      </c>
      <c r="H147" s="50" t="s">
        <v>11572</v>
      </c>
      <c r="I147" s="116" t="s">
        <v>11573</v>
      </c>
      <c r="J147" s="115" t="s">
        <v>11574</v>
      </c>
      <c r="K147" s="47" t="s">
        <v>11575</v>
      </c>
      <c r="L147" s="47" t="s">
        <v>7906</v>
      </c>
      <c r="M147" s="47" t="s">
        <v>7907</v>
      </c>
    </row>
    <row r="148" spans="1:13" ht="14.25" customHeight="1">
      <c r="A148" s="113">
        <v>12</v>
      </c>
      <c r="B148" s="47"/>
      <c r="C148" s="115" t="s">
        <v>11576</v>
      </c>
      <c r="D148" s="115" t="s">
        <v>11577</v>
      </c>
      <c r="E148" s="115" t="s">
        <v>11578</v>
      </c>
      <c r="F148" s="115" t="s">
        <v>4392</v>
      </c>
      <c r="G148" s="130" t="s">
        <v>11579</v>
      </c>
      <c r="H148" s="50" t="s">
        <v>11580</v>
      </c>
      <c r="I148" s="116" t="s">
        <v>11581</v>
      </c>
      <c r="J148" s="153" t="s">
        <v>11582</v>
      </c>
      <c r="K148" s="47" t="s">
        <v>11583</v>
      </c>
      <c r="L148" s="47" t="s">
        <v>7916</v>
      </c>
      <c r="M148" s="47" t="s">
        <v>7917</v>
      </c>
    </row>
    <row r="149" spans="1:13" ht="14.25" customHeight="1">
      <c r="A149" s="113">
        <v>13</v>
      </c>
      <c r="B149" s="47"/>
      <c r="C149" s="115" t="s">
        <v>11584</v>
      </c>
      <c r="D149" s="115" t="s">
        <v>11585</v>
      </c>
      <c r="E149" s="115" t="s">
        <v>11586</v>
      </c>
      <c r="F149" s="115" t="s">
        <v>5559</v>
      </c>
      <c r="G149" s="130" t="s">
        <v>11587</v>
      </c>
      <c r="H149" s="50" t="s">
        <v>11588</v>
      </c>
      <c r="I149" s="116" t="s">
        <v>11589</v>
      </c>
      <c r="J149" s="115" t="s">
        <v>11590</v>
      </c>
      <c r="K149" s="47" t="s">
        <v>11591</v>
      </c>
      <c r="L149" s="47" t="s">
        <v>7926</v>
      </c>
      <c r="M149" s="47" t="s">
        <v>7927</v>
      </c>
    </row>
    <row r="150" spans="1:13" ht="14.25" customHeight="1">
      <c r="A150" s="113">
        <v>14</v>
      </c>
      <c r="B150" s="47"/>
      <c r="C150" s="115" t="s">
        <v>11592</v>
      </c>
      <c r="D150" s="115" t="s">
        <v>11593</v>
      </c>
      <c r="E150" s="115" t="s">
        <v>11594</v>
      </c>
      <c r="F150" s="115" t="s">
        <v>4392</v>
      </c>
      <c r="G150" s="115" t="s">
        <v>6012</v>
      </c>
      <c r="H150" s="50" t="s">
        <v>11595</v>
      </c>
      <c r="I150" s="116" t="s">
        <v>11596</v>
      </c>
      <c r="J150" s="115" t="s">
        <v>11597</v>
      </c>
      <c r="K150" s="47" t="s">
        <v>11598</v>
      </c>
      <c r="L150" s="47" t="s">
        <v>7936</v>
      </c>
      <c r="M150" s="47" t="s">
        <v>7937</v>
      </c>
    </row>
    <row r="151" spans="1:13" ht="14.25" customHeight="1">
      <c r="A151" s="113">
        <v>15</v>
      </c>
      <c r="B151" s="47"/>
      <c r="C151" s="134" t="s">
        <v>11599</v>
      </c>
      <c r="D151" s="115" t="s">
        <v>11600</v>
      </c>
      <c r="E151" s="134" t="s">
        <v>11601</v>
      </c>
      <c r="F151" s="134" t="s">
        <v>4392</v>
      </c>
      <c r="G151" s="134" t="s">
        <v>11602</v>
      </c>
      <c r="H151" s="50" t="s">
        <v>11603</v>
      </c>
      <c r="I151" s="116" t="s">
        <v>11604</v>
      </c>
      <c r="J151" s="115" t="s">
        <v>11605</v>
      </c>
      <c r="K151" s="47" t="s">
        <v>11606</v>
      </c>
      <c r="L151" s="47" t="s">
        <v>7946</v>
      </c>
      <c r="M151" s="47" t="s">
        <v>7947</v>
      </c>
    </row>
    <row r="152" spans="1:13" ht="14.25" customHeight="1">
      <c r="A152" s="146">
        <v>1</v>
      </c>
      <c r="B152" s="88"/>
      <c r="C152" s="155" t="s">
        <v>8864</v>
      </c>
      <c r="D152" s="150" t="s">
        <v>8865</v>
      </c>
      <c r="E152" s="157" t="s">
        <v>8866</v>
      </c>
      <c r="F152" s="150" t="s">
        <v>65</v>
      </c>
      <c r="G152" s="157" t="s">
        <v>8867</v>
      </c>
      <c r="H152" s="161" t="s">
        <v>11607</v>
      </c>
      <c r="I152" s="150" t="s">
        <v>8869</v>
      </c>
      <c r="J152" s="150" t="s">
        <v>8870</v>
      </c>
      <c r="K152" s="88" t="s">
        <v>10943</v>
      </c>
      <c r="L152" s="88" t="s">
        <v>8085</v>
      </c>
      <c r="M152" s="88" t="s">
        <v>8086</v>
      </c>
    </row>
    <row r="153" spans="1:13" ht="14.25" customHeight="1">
      <c r="A153" s="113">
        <v>2</v>
      </c>
      <c r="B153" s="47"/>
      <c r="C153" s="120" t="s">
        <v>6061</v>
      </c>
      <c r="D153" s="116" t="s">
        <v>6062</v>
      </c>
      <c r="E153" s="115" t="s">
        <v>6063</v>
      </c>
      <c r="F153" s="116" t="s">
        <v>65</v>
      </c>
      <c r="G153" s="115" t="s">
        <v>6064</v>
      </c>
      <c r="H153" s="122" t="s">
        <v>11608</v>
      </c>
      <c r="I153" s="116" t="s">
        <v>6066</v>
      </c>
      <c r="J153" s="116" t="s">
        <v>6067</v>
      </c>
      <c r="K153" s="47" t="s">
        <v>10675</v>
      </c>
      <c r="L153" s="47" t="s">
        <v>8095</v>
      </c>
      <c r="M153" s="47" t="s">
        <v>8096</v>
      </c>
    </row>
    <row r="154" spans="1:13" ht="14.25" customHeight="1">
      <c r="A154" s="113">
        <v>3</v>
      </c>
      <c r="B154" s="47"/>
      <c r="C154" s="120" t="s">
        <v>6027</v>
      </c>
      <c r="D154" s="116" t="s">
        <v>6028</v>
      </c>
      <c r="E154" s="115" t="s">
        <v>6029</v>
      </c>
      <c r="F154" s="116" t="s">
        <v>65</v>
      </c>
      <c r="G154" s="115" t="s">
        <v>6030</v>
      </c>
      <c r="H154" s="122" t="s">
        <v>11609</v>
      </c>
      <c r="I154" s="116" t="s">
        <v>6032</v>
      </c>
      <c r="J154" s="116" t="s">
        <v>6033</v>
      </c>
      <c r="K154" s="47" t="s">
        <v>10674</v>
      </c>
      <c r="L154" s="47" t="s">
        <v>8106</v>
      </c>
      <c r="M154" s="47" t="s">
        <v>8107</v>
      </c>
    </row>
    <row r="155" spans="1:13" ht="14.25" customHeight="1">
      <c r="A155" s="113">
        <v>4</v>
      </c>
      <c r="B155" s="47"/>
      <c r="C155" s="120" t="s">
        <v>5788</v>
      </c>
      <c r="D155" s="116" t="s">
        <v>5789</v>
      </c>
      <c r="E155" s="115" t="s">
        <v>5790</v>
      </c>
      <c r="F155" s="116" t="s">
        <v>5791</v>
      </c>
      <c r="G155" s="115" t="s">
        <v>5792</v>
      </c>
      <c r="H155" s="122" t="s">
        <v>11610</v>
      </c>
      <c r="I155" s="116" t="s">
        <v>5794</v>
      </c>
      <c r="J155" s="116" t="s">
        <v>5795</v>
      </c>
      <c r="K155" s="47" t="s">
        <v>10650</v>
      </c>
      <c r="L155" s="47" t="s">
        <v>8116</v>
      </c>
      <c r="M155" s="47" t="s">
        <v>8117</v>
      </c>
    </row>
    <row r="156" spans="1:13" ht="14.25" customHeight="1">
      <c r="A156" s="113">
        <v>5</v>
      </c>
      <c r="B156" s="47"/>
      <c r="C156" s="120" t="s">
        <v>5799</v>
      </c>
      <c r="D156" s="116" t="s">
        <v>5800</v>
      </c>
      <c r="E156" s="115" t="s">
        <v>5801</v>
      </c>
      <c r="F156" s="116" t="s">
        <v>65</v>
      </c>
      <c r="G156" s="115" t="s">
        <v>5802</v>
      </c>
      <c r="H156" s="122" t="s">
        <v>11611</v>
      </c>
      <c r="I156" s="116" t="s">
        <v>5804</v>
      </c>
      <c r="J156" s="116" t="s">
        <v>5805</v>
      </c>
      <c r="K156" s="47" t="s">
        <v>10651</v>
      </c>
      <c r="L156" s="47" t="s">
        <v>8126</v>
      </c>
      <c r="M156" s="47" t="s">
        <v>8127</v>
      </c>
    </row>
    <row r="157" spans="1:13" ht="14.25" customHeight="1">
      <c r="A157" s="113">
        <v>6</v>
      </c>
      <c r="B157" s="47"/>
      <c r="C157" s="120" t="s">
        <v>7667</v>
      </c>
      <c r="D157" s="116" t="s">
        <v>7668</v>
      </c>
      <c r="E157" s="115" t="s">
        <v>7669</v>
      </c>
      <c r="F157" s="116" t="s">
        <v>65</v>
      </c>
      <c r="G157" s="115" t="s">
        <v>7670</v>
      </c>
      <c r="H157" s="122" t="s">
        <v>11612</v>
      </c>
      <c r="I157" s="116" t="s">
        <v>7672</v>
      </c>
      <c r="J157" s="116" t="s">
        <v>7673</v>
      </c>
      <c r="K157" s="47" t="s">
        <v>10817</v>
      </c>
      <c r="L157" s="47" t="s">
        <v>8135</v>
      </c>
      <c r="M157" s="47" t="s">
        <v>8136</v>
      </c>
    </row>
    <row r="158" spans="1:13" ht="14.25" customHeight="1">
      <c r="A158" s="113">
        <v>7</v>
      </c>
      <c r="B158" s="47"/>
      <c r="C158" s="120" t="s">
        <v>11613</v>
      </c>
      <c r="D158" s="116" t="s">
        <v>11614</v>
      </c>
      <c r="E158" s="115" t="s">
        <v>11615</v>
      </c>
      <c r="F158" s="116" t="s">
        <v>65</v>
      </c>
      <c r="G158" s="116" t="s">
        <v>11616</v>
      </c>
      <c r="H158" s="122" t="s">
        <v>11617</v>
      </c>
      <c r="I158" s="116" t="s">
        <v>11618</v>
      </c>
      <c r="J158" s="116" t="s">
        <v>11619</v>
      </c>
      <c r="K158" s="47" t="s">
        <v>11620</v>
      </c>
      <c r="L158" s="47" t="s">
        <v>8145</v>
      </c>
      <c r="M158" s="47" t="s">
        <v>8146</v>
      </c>
    </row>
    <row r="159" spans="1:13" ht="14.25" customHeight="1">
      <c r="A159" s="113">
        <v>8</v>
      </c>
      <c r="B159" s="47"/>
      <c r="C159" s="120" t="s">
        <v>8147</v>
      </c>
      <c r="D159" s="115" t="s">
        <v>8148</v>
      </c>
      <c r="E159" s="115" t="s">
        <v>8149</v>
      </c>
      <c r="F159" s="116" t="s">
        <v>65</v>
      </c>
      <c r="G159" s="116" t="s">
        <v>8150</v>
      </c>
      <c r="H159" s="122" t="s">
        <v>11621</v>
      </c>
      <c r="I159" s="116" t="s">
        <v>8152</v>
      </c>
      <c r="J159" s="116" t="s">
        <v>8153</v>
      </c>
      <c r="K159" s="47" t="s">
        <v>10873</v>
      </c>
      <c r="L159" s="47" t="s">
        <v>8155</v>
      </c>
      <c r="M159" s="47" t="s">
        <v>8156</v>
      </c>
    </row>
    <row r="160" spans="1:13" ht="14.25" customHeight="1">
      <c r="A160" s="113">
        <v>9</v>
      </c>
      <c r="B160" s="47"/>
      <c r="C160" s="120" t="s">
        <v>923</v>
      </c>
      <c r="D160" s="116" t="s">
        <v>11622</v>
      </c>
      <c r="E160" s="115" t="s">
        <v>11623</v>
      </c>
      <c r="F160" s="116" t="s">
        <v>65</v>
      </c>
      <c r="G160" s="116" t="s">
        <v>11624</v>
      </c>
      <c r="H160" s="122" t="s">
        <v>11625</v>
      </c>
      <c r="I160" s="116" t="s">
        <v>11626</v>
      </c>
      <c r="J160" s="116" t="s">
        <v>11627</v>
      </c>
      <c r="K160" s="47" t="s">
        <v>11628</v>
      </c>
      <c r="L160" s="47" t="s">
        <v>8165</v>
      </c>
      <c r="M160" s="47" t="s">
        <v>8166</v>
      </c>
    </row>
    <row r="161" spans="1:13" ht="14.25" customHeight="1">
      <c r="A161" s="113">
        <v>10</v>
      </c>
      <c r="B161" s="47"/>
      <c r="C161" s="120" t="s">
        <v>11629</v>
      </c>
      <c r="D161" s="116" t="s">
        <v>11630</v>
      </c>
      <c r="E161" s="115" t="s">
        <v>11631</v>
      </c>
      <c r="F161" s="116"/>
      <c r="G161" s="116" t="s">
        <v>6671</v>
      </c>
      <c r="H161" s="122" t="s">
        <v>11632</v>
      </c>
      <c r="I161" s="116" t="s">
        <v>11633</v>
      </c>
      <c r="J161" s="116" t="s">
        <v>11634</v>
      </c>
      <c r="K161" s="47" t="s">
        <v>11635</v>
      </c>
      <c r="L161" s="47" t="s">
        <v>8175</v>
      </c>
      <c r="M161" s="47" t="s">
        <v>8176</v>
      </c>
    </row>
    <row r="162" spans="1:13" ht="14.25" customHeight="1">
      <c r="A162" s="113">
        <v>11</v>
      </c>
      <c r="B162" s="47"/>
      <c r="C162" s="116" t="s">
        <v>8895</v>
      </c>
      <c r="D162" s="116" t="s">
        <v>8896</v>
      </c>
      <c r="E162" s="134" t="s">
        <v>8897</v>
      </c>
      <c r="F162" s="116" t="s">
        <v>65</v>
      </c>
      <c r="G162" s="28" t="s">
        <v>8898</v>
      </c>
      <c r="H162" s="122" t="s">
        <v>11636</v>
      </c>
      <c r="I162" s="116" t="s">
        <v>8900</v>
      </c>
      <c r="J162" s="116" t="s">
        <v>8901</v>
      </c>
      <c r="K162" s="47" t="s">
        <v>10950</v>
      </c>
      <c r="L162" s="47" t="s">
        <v>8185</v>
      </c>
      <c r="M162" s="47" t="s">
        <v>8186</v>
      </c>
    </row>
    <row r="163" spans="1:13" ht="14.25" customHeight="1">
      <c r="A163" s="113">
        <v>12</v>
      </c>
      <c r="B163" s="47"/>
      <c r="C163" s="120" t="s">
        <v>8455</v>
      </c>
      <c r="D163" s="116" t="s">
        <v>8456</v>
      </c>
      <c r="E163" s="115" t="s">
        <v>8457</v>
      </c>
      <c r="F163" s="116" t="s">
        <v>117</v>
      </c>
      <c r="G163" s="115" t="s">
        <v>8458</v>
      </c>
      <c r="H163" s="122" t="s">
        <v>11637</v>
      </c>
      <c r="I163" s="116" t="s">
        <v>8460</v>
      </c>
      <c r="J163" s="116" t="s">
        <v>8461</v>
      </c>
      <c r="K163" s="47" t="s">
        <v>10900</v>
      </c>
      <c r="L163" s="47" t="s">
        <v>8195</v>
      </c>
      <c r="M163" s="47" t="s">
        <v>8196</v>
      </c>
    </row>
    <row r="164" spans="1:13" ht="12.75" customHeight="1">
      <c r="A164" s="113">
        <v>13</v>
      </c>
      <c r="B164" s="47"/>
      <c r="C164" s="120" t="s">
        <v>468</v>
      </c>
      <c r="D164" s="116" t="s">
        <v>6138</v>
      </c>
      <c r="E164" s="115" t="s">
        <v>6139</v>
      </c>
      <c r="F164" s="116" t="s">
        <v>117</v>
      </c>
      <c r="G164" s="115" t="s">
        <v>6140</v>
      </c>
      <c r="H164" s="122" t="s">
        <v>11638</v>
      </c>
      <c r="I164" s="116" t="s">
        <v>11639</v>
      </c>
      <c r="J164" s="116" t="s">
        <v>11640</v>
      </c>
      <c r="K164" s="47" t="s">
        <v>11641</v>
      </c>
      <c r="L164" s="47" t="s">
        <v>8205</v>
      </c>
      <c r="M164" s="47" t="s">
        <v>8206</v>
      </c>
    </row>
    <row r="165" spans="1:13" ht="14.25" customHeight="1">
      <c r="A165" s="113">
        <v>14</v>
      </c>
      <c r="B165" s="47"/>
      <c r="C165" s="120" t="s">
        <v>8077</v>
      </c>
      <c r="D165" s="116" t="s">
        <v>8078</v>
      </c>
      <c r="E165" s="115" t="s">
        <v>8079</v>
      </c>
      <c r="F165" s="116" t="s">
        <v>65</v>
      </c>
      <c r="G165" s="115" t="s">
        <v>8080</v>
      </c>
      <c r="H165" s="122" t="s">
        <v>11642</v>
      </c>
      <c r="I165" s="116" t="s">
        <v>8082</v>
      </c>
      <c r="J165" s="116" t="s">
        <v>8083</v>
      </c>
      <c r="K165" s="47" t="s">
        <v>10866</v>
      </c>
      <c r="L165" s="47" t="s">
        <v>8215</v>
      </c>
      <c r="M165" s="47" t="s">
        <v>8216</v>
      </c>
    </row>
    <row r="166" spans="1:13" ht="14.25" customHeight="1">
      <c r="A166" s="113">
        <v>15</v>
      </c>
      <c r="B166" s="47"/>
      <c r="C166" s="120" t="s">
        <v>6726</v>
      </c>
      <c r="D166" s="116" t="s">
        <v>6727</v>
      </c>
      <c r="E166" s="115" t="s">
        <v>6728</v>
      </c>
      <c r="F166" s="116" t="s">
        <v>117</v>
      </c>
      <c r="G166" s="115" t="s">
        <v>6729</v>
      </c>
      <c r="H166" s="122" t="s">
        <v>11643</v>
      </c>
      <c r="I166" s="116" t="s">
        <v>6731</v>
      </c>
      <c r="J166" s="116" t="s">
        <v>6732</v>
      </c>
      <c r="K166" s="47" t="s">
        <v>10723</v>
      </c>
      <c r="L166" s="47" t="s">
        <v>8225</v>
      </c>
      <c r="M166" s="47" t="s">
        <v>8226</v>
      </c>
    </row>
    <row r="167" spans="1:13" ht="14.25" customHeight="1">
      <c r="A167" s="113">
        <v>16</v>
      </c>
      <c r="B167" s="47"/>
      <c r="C167" s="120" t="s">
        <v>8955</v>
      </c>
      <c r="D167" s="116" t="s">
        <v>8956</v>
      </c>
      <c r="E167" s="115" t="s">
        <v>8957</v>
      </c>
      <c r="F167" s="116" t="s">
        <v>117</v>
      </c>
      <c r="G167" s="115" t="s">
        <v>3924</v>
      </c>
      <c r="H167" s="122" t="s">
        <v>10956</v>
      </c>
      <c r="I167" s="116" t="s">
        <v>8959</v>
      </c>
      <c r="J167" s="116" t="s">
        <v>8960</v>
      </c>
      <c r="K167" s="47" t="s">
        <v>10957</v>
      </c>
      <c r="L167" s="47" t="s">
        <v>8235</v>
      </c>
      <c r="M167" s="47" t="s">
        <v>8236</v>
      </c>
    </row>
    <row r="168" spans="1:13" ht="14.25" customHeight="1">
      <c r="A168" s="113">
        <v>17</v>
      </c>
      <c r="B168" s="47"/>
      <c r="C168" s="120" t="s">
        <v>11644</v>
      </c>
      <c r="D168" s="116" t="s">
        <v>6070</v>
      </c>
      <c r="E168" s="115" t="s">
        <v>6071</v>
      </c>
      <c r="F168" s="116" t="s">
        <v>117</v>
      </c>
      <c r="G168" s="115" t="s">
        <v>11645</v>
      </c>
      <c r="H168" s="122" t="s">
        <v>11646</v>
      </c>
      <c r="I168" s="116" t="s">
        <v>11647</v>
      </c>
      <c r="J168" s="116" t="s">
        <v>11648</v>
      </c>
      <c r="K168" s="47" t="s">
        <v>11649</v>
      </c>
      <c r="L168" s="47" t="s">
        <v>8245</v>
      </c>
      <c r="M168" s="47" t="s">
        <v>8246</v>
      </c>
    </row>
    <row r="169" spans="1:13" ht="14.25" customHeight="1">
      <c r="A169" s="113">
        <v>18</v>
      </c>
      <c r="B169" s="47"/>
      <c r="C169" s="120" t="s">
        <v>4800</v>
      </c>
      <c r="D169" s="116" t="s">
        <v>4801</v>
      </c>
      <c r="E169" s="134" t="s">
        <v>4802</v>
      </c>
      <c r="F169" s="116" t="s">
        <v>65</v>
      </c>
      <c r="G169" s="134" t="s">
        <v>4803</v>
      </c>
      <c r="H169" s="13" t="s">
        <v>11650</v>
      </c>
      <c r="I169" s="116" t="s">
        <v>4805</v>
      </c>
      <c r="J169" s="13" t="s">
        <v>4806</v>
      </c>
      <c r="K169" s="47" t="s">
        <v>5404</v>
      </c>
      <c r="L169" s="47" t="s">
        <v>5405</v>
      </c>
      <c r="M169" s="47" t="s">
        <v>5406</v>
      </c>
    </row>
    <row r="170" spans="1:13" ht="14.25" customHeight="1">
      <c r="A170" s="113">
        <v>19</v>
      </c>
      <c r="B170" s="47"/>
      <c r="C170" s="120" t="s">
        <v>621</v>
      </c>
      <c r="D170" s="116" t="s">
        <v>622</v>
      </c>
      <c r="E170" s="115" t="s">
        <v>623</v>
      </c>
      <c r="F170" s="116" t="s">
        <v>5791</v>
      </c>
      <c r="G170" s="115" t="s">
        <v>11651</v>
      </c>
      <c r="H170" s="122" t="s">
        <v>11652</v>
      </c>
      <c r="I170" s="116" t="s">
        <v>11653</v>
      </c>
      <c r="J170" s="116" t="s">
        <v>11654</v>
      </c>
      <c r="K170" s="47" t="s">
        <v>11655</v>
      </c>
      <c r="L170" s="47" t="s">
        <v>8262</v>
      </c>
      <c r="M170" s="47" t="s">
        <v>8263</v>
      </c>
    </row>
    <row r="171" spans="1:13" ht="14.25" customHeight="1">
      <c r="A171" s="113">
        <v>20</v>
      </c>
      <c r="B171" s="47"/>
      <c r="C171" s="120" t="s">
        <v>7290</v>
      </c>
      <c r="D171" s="116" t="s">
        <v>7291</v>
      </c>
      <c r="E171" s="115" t="s">
        <v>7292</v>
      </c>
      <c r="F171" s="116" t="s">
        <v>460</v>
      </c>
      <c r="G171" s="116" t="s">
        <v>7293</v>
      </c>
      <c r="H171" s="122" t="s">
        <v>11656</v>
      </c>
      <c r="I171" s="116" t="s">
        <v>7295</v>
      </c>
      <c r="J171" s="116" t="s">
        <v>7296</v>
      </c>
      <c r="K171" s="47" t="s">
        <v>10765</v>
      </c>
      <c r="L171" s="47" t="s">
        <v>8271</v>
      </c>
      <c r="M171" s="47" t="s">
        <v>8272</v>
      </c>
    </row>
    <row r="172" spans="1:13" ht="14.25" customHeight="1">
      <c r="A172" s="146">
        <v>1</v>
      </c>
      <c r="B172" s="88"/>
      <c r="C172" s="155" t="s">
        <v>6609</v>
      </c>
      <c r="D172" s="150" t="s">
        <v>6610</v>
      </c>
      <c r="E172" s="157" t="s">
        <v>6611</v>
      </c>
      <c r="F172" s="150" t="s">
        <v>65</v>
      </c>
      <c r="G172" s="150" t="s">
        <v>6612</v>
      </c>
      <c r="H172" s="161" t="s">
        <v>11657</v>
      </c>
      <c r="I172" s="150" t="s">
        <v>6614</v>
      </c>
      <c r="J172" s="150" t="s">
        <v>6615</v>
      </c>
      <c r="K172" s="88" t="s">
        <v>10718</v>
      </c>
      <c r="L172" s="88" t="s">
        <v>8359</v>
      </c>
      <c r="M172" s="88" t="s">
        <v>8360</v>
      </c>
    </row>
    <row r="173" spans="1:13" ht="14.25" customHeight="1">
      <c r="A173" s="113">
        <v>2</v>
      </c>
      <c r="B173" s="47"/>
      <c r="C173" s="120" t="s">
        <v>11658</v>
      </c>
      <c r="D173" s="116" t="s">
        <v>11659</v>
      </c>
      <c r="E173" s="115" t="s">
        <v>11660</v>
      </c>
      <c r="F173" s="116" t="s">
        <v>65</v>
      </c>
      <c r="G173" s="116" t="s">
        <v>11661</v>
      </c>
      <c r="H173" s="122" t="s">
        <v>11662</v>
      </c>
      <c r="I173" s="116" t="s">
        <v>11663</v>
      </c>
      <c r="J173" s="116" t="s">
        <v>11664</v>
      </c>
      <c r="K173" s="47" t="s">
        <v>11665</v>
      </c>
      <c r="L173" s="47" t="s">
        <v>8369</v>
      </c>
      <c r="M173" s="47" t="s">
        <v>8370</v>
      </c>
    </row>
    <row r="174" spans="1:13" ht="14.25" customHeight="1">
      <c r="A174" s="113">
        <v>3</v>
      </c>
      <c r="B174" s="47"/>
      <c r="C174" s="120" t="s">
        <v>9644</v>
      </c>
      <c r="D174" s="116" t="s">
        <v>9645</v>
      </c>
      <c r="E174" s="115" t="s">
        <v>9646</v>
      </c>
      <c r="F174" s="116" t="s">
        <v>117</v>
      </c>
      <c r="G174" s="116" t="s">
        <v>9647</v>
      </c>
      <c r="H174" s="122" t="s">
        <v>11666</v>
      </c>
      <c r="I174" s="116" t="s">
        <v>9649</v>
      </c>
      <c r="J174" s="116" t="s">
        <v>9650</v>
      </c>
      <c r="K174" s="47" t="s">
        <v>11024</v>
      </c>
      <c r="L174" s="47" t="s">
        <v>8380</v>
      </c>
      <c r="M174" s="47" t="s">
        <v>8381</v>
      </c>
    </row>
    <row r="175" spans="1:13" ht="14.25" customHeight="1">
      <c r="A175" s="113">
        <v>4</v>
      </c>
      <c r="B175" s="47"/>
      <c r="C175" s="120" t="s">
        <v>11667</v>
      </c>
      <c r="D175" s="116" t="s">
        <v>11668</v>
      </c>
      <c r="E175" s="115" t="s">
        <v>11669</v>
      </c>
      <c r="F175" s="116" t="s">
        <v>65</v>
      </c>
      <c r="G175" s="116" t="s">
        <v>11670</v>
      </c>
      <c r="H175" s="122" t="s">
        <v>11671</v>
      </c>
      <c r="I175" s="116" t="s">
        <v>11672</v>
      </c>
      <c r="J175" s="116" t="s">
        <v>11673</v>
      </c>
      <c r="K175" s="47" t="s">
        <v>11674</v>
      </c>
      <c r="L175" s="47" t="s">
        <v>8390</v>
      </c>
      <c r="M175" s="47" t="s">
        <v>8391</v>
      </c>
    </row>
    <row r="176" spans="1:13" ht="14.25" customHeight="1">
      <c r="A176" s="113">
        <v>5</v>
      </c>
      <c r="B176" s="47"/>
      <c r="C176" s="120" t="s">
        <v>3479</v>
      </c>
      <c r="D176" s="116" t="s">
        <v>3480</v>
      </c>
      <c r="E176" s="115" t="s">
        <v>3481</v>
      </c>
      <c r="F176" s="116" t="s">
        <v>117</v>
      </c>
      <c r="G176" s="116" t="s">
        <v>3482</v>
      </c>
      <c r="H176" s="122" t="s">
        <v>11675</v>
      </c>
      <c r="I176" s="116" t="s">
        <v>3484</v>
      </c>
      <c r="J176" s="116" t="s">
        <v>3485</v>
      </c>
      <c r="K176" s="47" t="s">
        <v>5235</v>
      </c>
      <c r="L176" s="47" t="s">
        <v>5236</v>
      </c>
      <c r="M176" s="47" t="s">
        <v>5237</v>
      </c>
    </row>
    <row r="177" spans="1:13" ht="14.25" customHeight="1">
      <c r="A177" s="113">
        <v>6</v>
      </c>
      <c r="B177" s="47"/>
      <c r="C177" s="120" t="s">
        <v>4968</v>
      </c>
      <c r="D177" s="116" t="s">
        <v>4969</v>
      </c>
      <c r="E177" s="115" t="s">
        <v>4970</v>
      </c>
      <c r="F177" s="116" t="s">
        <v>65</v>
      </c>
      <c r="G177" s="116" t="s">
        <v>4971</v>
      </c>
      <c r="H177" s="122" t="s">
        <v>11676</v>
      </c>
      <c r="I177" s="116" t="s">
        <v>4973</v>
      </c>
      <c r="J177" s="116" t="s">
        <v>4974</v>
      </c>
      <c r="K177" s="47" t="s">
        <v>5431</v>
      </c>
      <c r="L177" s="47" t="s">
        <v>5432</v>
      </c>
      <c r="M177" s="47" t="s">
        <v>5433</v>
      </c>
    </row>
    <row r="178" spans="1:13" ht="14.25" customHeight="1">
      <c r="A178" s="113">
        <v>7</v>
      </c>
      <c r="B178" s="47"/>
      <c r="C178" s="120" t="s">
        <v>5650</v>
      </c>
      <c r="D178" s="116" t="s">
        <v>5651</v>
      </c>
      <c r="E178" s="115" t="s">
        <v>5652</v>
      </c>
      <c r="F178" s="116" t="s">
        <v>117</v>
      </c>
      <c r="G178" s="116" t="s">
        <v>5653</v>
      </c>
      <c r="H178" s="122" t="s">
        <v>11677</v>
      </c>
      <c r="I178" s="116" t="s">
        <v>5655</v>
      </c>
      <c r="J178" s="116" t="s">
        <v>5656</v>
      </c>
      <c r="K178" s="47" t="s">
        <v>10641</v>
      </c>
      <c r="L178" s="47" t="s">
        <v>8414</v>
      </c>
      <c r="M178" s="47" t="s">
        <v>8415</v>
      </c>
    </row>
    <row r="179" spans="1:13" ht="14.25" customHeight="1">
      <c r="A179" s="113">
        <v>8</v>
      </c>
      <c r="B179" s="47"/>
      <c r="C179" s="120" t="s">
        <v>5576</v>
      </c>
      <c r="D179" s="116" t="s">
        <v>5577</v>
      </c>
      <c r="E179" s="115" t="s">
        <v>5578</v>
      </c>
      <c r="F179" s="116" t="s">
        <v>65</v>
      </c>
      <c r="G179" s="116" t="s">
        <v>5579</v>
      </c>
      <c r="H179" s="122" t="s">
        <v>11678</v>
      </c>
      <c r="I179" s="116" t="s">
        <v>5581</v>
      </c>
      <c r="J179" s="116" t="s">
        <v>5582</v>
      </c>
      <c r="K179" s="47" t="s">
        <v>10633</v>
      </c>
      <c r="L179" s="47" t="s">
        <v>8424</v>
      </c>
      <c r="M179" s="47" t="s">
        <v>8425</v>
      </c>
    </row>
    <row r="180" spans="1:13" ht="14.25" customHeight="1">
      <c r="A180" s="113">
        <v>9</v>
      </c>
      <c r="B180" s="47"/>
      <c r="C180" s="120" t="s">
        <v>6303</v>
      </c>
      <c r="D180" s="116" t="s">
        <v>6304</v>
      </c>
      <c r="E180" s="115" t="s">
        <v>6305</v>
      </c>
      <c r="F180" s="116" t="s">
        <v>4823</v>
      </c>
      <c r="G180" s="116" t="s">
        <v>6306</v>
      </c>
      <c r="H180" s="122" t="s">
        <v>11679</v>
      </c>
      <c r="I180" s="116" t="s">
        <v>6308</v>
      </c>
      <c r="J180" s="116" t="s">
        <v>6309</v>
      </c>
      <c r="K180" s="47" t="s">
        <v>10700</v>
      </c>
      <c r="L180" s="47" t="s">
        <v>8433</v>
      </c>
      <c r="M180" s="47" t="s">
        <v>8434</v>
      </c>
    </row>
    <row r="181" spans="1:13" ht="14.25" customHeight="1">
      <c r="A181" s="113">
        <v>10</v>
      </c>
      <c r="B181" s="47"/>
      <c r="C181" s="120" t="s">
        <v>6380</v>
      </c>
      <c r="D181" s="116" t="s">
        <v>6381</v>
      </c>
      <c r="E181" s="115" t="s">
        <v>6382</v>
      </c>
      <c r="F181" s="116" t="s">
        <v>65</v>
      </c>
      <c r="G181" s="116" t="s">
        <v>6383</v>
      </c>
      <c r="H181" s="122" t="s">
        <v>11680</v>
      </c>
      <c r="I181" s="116" t="s">
        <v>6385</v>
      </c>
      <c r="J181" s="116" t="s">
        <v>6386</v>
      </c>
      <c r="K181" s="47" t="s">
        <v>10703</v>
      </c>
      <c r="L181" s="47" t="s">
        <v>8443</v>
      </c>
      <c r="M181" s="47" t="s">
        <v>8444</v>
      </c>
    </row>
    <row r="182" spans="1:13" ht="14.25" customHeight="1">
      <c r="A182" s="113">
        <v>11</v>
      </c>
      <c r="B182" s="47"/>
      <c r="C182" s="120" t="s">
        <v>11681</v>
      </c>
      <c r="D182" s="116" t="s">
        <v>11682</v>
      </c>
      <c r="E182" s="115" t="s">
        <v>11683</v>
      </c>
      <c r="F182" s="116" t="s">
        <v>117</v>
      </c>
      <c r="G182" s="116" t="s">
        <v>4856</v>
      </c>
      <c r="H182" s="122" t="s">
        <v>11684</v>
      </c>
      <c r="I182" s="116" t="s">
        <v>11685</v>
      </c>
      <c r="J182" s="116" t="s">
        <v>11686</v>
      </c>
      <c r="K182" s="47" t="s">
        <v>11687</v>
      </c>
      <c r="L182" s="47" t="s">
        <v>8453</v>
      </c>
      <c r="M182" s="47" t="s">
        <v>8454</v>
      </c>
    </row>
    <row r="183" spans="1:13" ht="14.25" customHeight="1">
      <c r="A183" s="113">
        <v>12</v>
      </c>
      <c r="B183" s="47"/>
      <c r="C183" s="120" t="s">
        <v>3932</v>
      </c>
      <c r="D183" s="116" t="s">
        <v>3933</v>
      </c>
      <c r="E183" s="115" t="s">
        <v>3934</v>
      </c>
      <c r="F183" s="116" t="s">
        <v>460</v>
      </c>
      <c r="G183" s="116" t="s">
        <v>3935</v>
      </c>
      <c r="H183" s="122" t="s">
        <v>11688</v>
      </c>
      <c r="I183" s="116" t="s">
        <v>3937</v>
      </c>
      <c r="J183" s="116" t="s">
        <v>3938</v>
      </c>
      <c r="K183" s="47" t="s">
        <v>5302</v>
      </c>
      <c r="L183" s="47" t="s">
        <v>5303</v>
      </c>
      <c r="M183" s="47" t="s">
        <v>5304</v>
      </c>
    </row>
    <row r="184" spans="1:13" ht="14.25" customHeight="1">
      <c r="A184" s="113">
        <v>13</v>
      </c>
      <c r="B184" s="47"/>
      <c r="C184" s="120" t="s">
        <v>6194</v>
      </c>
      <c r="D184" s="116" t="s">
        <v>6195</v>
      </c>
      <c r="E184" s="115" t="s">
        <v>6196</v>
      </c>
      <c r="F184" s="116" t="s">
        <v>117</v>
      </c>
      <c r="G184" s="116" t="s">
        <v>6197</v>
      </c>
      <c r="H184" s="125" t="s">
        <v>11689</v>
      </c>
      <c r="I184" s="116" t="s">
        <v>6199</v>
      </c>
      <c r="J184" s="116" t="s">
        <v>6200</v>
      </c>
      <c r="K184" s="47" t="s">
        <v>10691</v>
      </c>
      <c r="L184" s="47" t="s">
        <v>8468</v>
      </c>
      <c r="M184" s="47" t="s">
        <v>8469</v>
      </c>
    </row>
    <row r="185" spans="1:13" ht="14.25" customHeight="1">
      <c r="A185" s="113">
        <v>14</v>
      </c>
      <c r="B185" s="47"/>
      <c r="C185" s="120" t="s">
        <v>7839</v>
      </c>
      <c r="D185" s="116" t="s">
        <v>7840</v>
      </c>
      <c r="E185" s="115" t="s">
        <v>7841</v>
      </c>
      <c r="F185" s="116" t="s">
        <v>65</v>
      </c>
      <c r="G185" s="116" t="s">
        <v>7842</v>
      </c>
      <c r="H185" s="122" t="s">
        <v>11690</v>
      </c>
      <c r="I185" s="116" t="s">
        <v>7844</v>
      </c>
      <c r="J185" s="116" t="s">
        <v>7845</v>
      </c>
      <c r="K185" s="47" t="s">
        <v>10837</v>
      </c>
      <c r="L185" s="47" t="s">
        <v>8478</v>
      </c>
      <c r="M185" s="47" t="s">
        <v>8479</v>
      </c>
    </row>
    <row r="186" spans="1:13" ht="14.25" customHeight="1">
      <c r="A186" s="146">
        <v>1</v>
      </c>
      <c r="B186" s="88"/>
      <c r="C186" s="20" t="s">
        <v>6479</v>
      </c>
      <c r="D186" s="162" t="s">
        <v>6480</v>
      </c>
      <c r="E186" s="157" t="s">
        <v>6481</v>
      </c>
      <c r="F186" s="150" t="s">
        <v>219</v>
      </c>
      <c r="G186" s="150" t="s">
        <v>6482</v>
      </c>
      <c r="H186" s="163" t="s">
        <v>11691</v>
      </c>
      <c r="I186" s="150" t="s">
        <v>6484</v>
      </c>
      <c r="J186" s="164" t="s">
        <v>6485</v>
      </c>
      <c r="K186" s="88" t="s">
        <v>10713</v>
      </c>
      <c r="L186" s="88" t="s">
        <v>8615</v>
      </c>
      <c r="M186" s="88" t="s">
        <v>8616</v>
      </c>
    </row>
    <row r="187" spans="1:13" ht="14.25" customHeight="1">
      <c r="A187" s="113">
        <v>2</v>
      </c>
      <c r="B187" s="47"/>
      <c r="C187" s="120" t="s">
        <v>3831</v>
      </c>
      <c r="D187" s="116" t="s">
        <v>3832</v>
      </c>
      <c r="E187" s="115" t="s">
        <v>3833</v>
      </c>
      <c r="F187" s="116" t="s">
        <v>65</v>
      </c>
      <c r="G187" s="116" t="s">
        <v>3834</v>
      </c>
      <c r="H187" s="122" t="s">
        <v>11692</v>
      </c>
      <c r="I187" s="116" t="s">
        <v>3836</v>
      </c>
      <c r="J187" s="116" t="s">
        <v>3837</v>
      </c>
      <c r="K187" s="47" t="s">
        <v>5284</v>
      </c>
      <c r="L187" s="47" t="s">
        <v>5285</v>
      </c>
      <c r="M187" s="47" t="s">
        <v>5286</v>
      </c>
    </row>
    <row r="188" spans="1:13" ht="14.25" customHeight="1">
      <c r="A188" s="113">
        <v>3</v>
      </c>
      <c r="B188" s="47"/>
      <c r="C188" s="28" t="s">
        <v>3851</v>
      </c>
      <c r="D188" s="165" t="s">
        <v>3852</v>
      </c>
      <c r="E188" s="115" t="s">
        <v>3853</v>
      </c>
      <c r="F188" s="28" t="s">
        <v>65</v>
      </c>
      <c r="G188" s="28" t="s">
        <v>3854</v>
      </c>
      <c r="H188" s="122" t="s">
        <v>11693</v>
      </c>
      <c r="I188" s="116" t="s">
        <v>3856</v>
      </c>
      <c r="J188" s="116" t="s">
        <v>3857</v>
      </c>
      <c r="K188" s="47" t="s">
        <v>5290</v>
      </c>
      <c r="L188" s="47" t="s">
        <v>5291</v>
      </c>
      <c r="M188" s="47" t="s">
        <v>5292</v>
      </c>
    </row>
    <row r="189" spans="1:13" ht="14.25" customHeight="1">
      <c r="A189" s="113">
        <v>4</v>
      </c>
      <c r="B189" s="47"/>
      <c r="C189" s="28" t="s">
        <v>3841</v>
      </c>
      <c r="D189" s="165" t="s">
        <v>3842</v>
      </c>
      <c r="E189" s="115" t="s">
        <v>3843</v>
      </c>
      <c r="F189" s="28" t="s">
        <v>65</v>
      </c>
      <c r="G189" s="28" t="s">
        <v>3844</v>
      </c>
      <c r="H189" s="122" t="s">
        <v>11694</v>
      </c>
      <c r="I189" s="116" t="s">
        <v>3846</v>
      </c>
      <c r="J189" s="116" t="s">
        <v>3847</v>
      </c>
      <c r="K189" s="47" t="s">
        <v>5287</v>
      </c>
      <c r="L189" s="47" t="s">
        <v>5288</v>
      </c>
      <c r="M189" s="47" t="s">
        <v>5289</v>
      </c>
    </row>
    <row r="190" spans="1:13" ht="14.25" customHeight="1">
      <c r="A190" s="113">
        <v>5</v>
      </c>
      <c r="B190" s="47"/>
      <c r="C190" s="28" t="s">
        <v>7958</v>
      </c>
      <c r="D190" s="165" t="s">
        <v>7959</v>
      </c>
      <c r="E190" s="115" t="s">
        <v>7960</v>
      </c>
      <c r="F190" s="28" t="s">
        <v>117</v>
      </c>
      <c r="G190" s="28" t="s">
        <v>7961</v>
      </c>
      <c r="H190" s="122" t="s">
        <v>11695</v>
      </c>
      <c r="I190" s="116" t="s">
        <v>7963</v>
      </c>
      <c r="J190" s="116" t="s">
        <v>7964</v>
      </c>
      <c r="K190" s="47" t="s">
        <v>10851</v>
      </c>
      <c r="L190" s="47" t="s">
        <v>8649</v>
      </c>
      <c r="M190" s="47" t="s">
        <v>8650</v>
      </c>
    </row>
    <row r="191" spans="1:13" ht="14.25" customHeight="1">
      <c r="A191" s="113">
        <v>6</v>
      </c>
      <c r="B191" s="47"/>
      <c r="C191" s="28" t="s">
        <v>8760</v>
      </c>
      <c r="D191" s="165" t="s">
        <v>8761</v>
      </c>
      <c r="E191" s="115" t="s">
        <v>8762</v>
      </c>
      <c r="F191" s="28" t="s">
        <v>219</v>
      </c>
      <c r="G191" s="28" t="s">
        <v>11696</v>
      </c>
      <c r="H191" s="122" t="s">
        <v>11697</v>
      </c>
      <c r="I191" s="116" t="s">
        <v>8765</v>
      </c>
      <c r="J191" s="130" t="s">
        <v>8766</v>
      </c>
      <c r="K191" s="47" t="s">
        <v>10931</v>
      </c>
      <c r="L191" s="47" t="s">
        <v>8659</v>
      </c>
      <c r="M191" s="47" t="s">
        <v>8660</v>
      </c>
    </row>
    <row r="192" spans="1:13" ht="14.25" customHeight="1">
      <c r="A192" s="113">
        <v>7</v>
      </c>
      <c r="B192" s="47"/>
      <c r="C192" s="28" t="s">
        <v>3680</v>
      </c>
      <c r="D192" s="165" t="s">
        <v>3681</v>
      </c>
      <c r="E192" s="115" t="s">
        <v>3682</v>
      </c>
      <c r="F192" s="28" t="s">
        <v>65</v>
      </c>
      <c r="G192" s="28" t="s">
        <v>3683</v>
      </c>
      <c r="H192" s="166" t="s">
        <v>11698</v>
      </c>
      <c r="I192" s="116" t="s">
        <v>3685</v>
      </c>
      <c r="J192" s="167" t="s">
        <v>3686</v>
      </c>
      <c r="K192" s="47" t="s">
        <v>5271</v>
      </c>
      <c r="L192" s="47" t="s">
        <v>5272</v>
      </c>
      <c r="M192" s="47" t="s">
        <v>5273</v>
      </c>
    </row>
    <row r="193" spans="1:13" ht="14.25" customHeight="1">
      <c r="A193" s="113">
        <v>8</v>
      </c>
      <c r="B193" s="47"/>
      <c r="C193" s="120" t="s">
        <v>8057</v>
      </c>
      <c r="D193" s="116" t="s">
        <v>8058</v>
      </c>
      <c r="E193" s="115" t="s">
        <v>8059</v>
      </c>
      <c r="F193" s="28" t="s">
        <v>54</v>
      </c>
      <c r="G193" s="28" t="s">
        <v>8060</v>
      </c>
      <c r="H193" s="168" t="s">
        <v>11699</v>
      </c>
      <c r="I193" s="167" t="s">
        <v>8062</v>
      </c>
      <c r="J193" s="167" t="s">
        <v>8063</v>
      </c>
      <c r="K193" s="47" t="s">
        <v>10865</v>
      </c>
      <c r="L193" s="47" t="s">
        <v>8677</v>
      </c>
      <c r="M193" s="47" t="s">
        <v>8678</v>
      </c>
    </row>
    <row r="194" spans="1:13" ht="14.25" customHeight="1">
      <c r="A194" s="113">
        <v>9</v>
      </c>
      <c r="B194" s="47"/>
      <c r="C194" s="28" t="s">
        <v>8283</v>
      </c>
      <c r="D194" s="165" t="s">
        <v>8284</v>
      </c>
      <c r="E194" s="134" t="s">
        <v>8285</v>
      </c>
      <c r="F194" s="28" t="s">
        <v>117</v>
      </c>
      <c r="G194" s="28" t="s">
        <v>8286</v>
      </c>
      <c r="H194" s="122" t="s">
        <v>11700</v>
      </c>
      <c r="I194" s="116" t="s">
        <v>8288</v>
      </c>
      <c r="J194" s="116" t="s">
        <v>8289</v>
      </c>
      <c r="K194" s="47" t="s">
        <v>10883</v>
      </c>
      <c r="L194" s="47" t="s">
        <v>8687</v>
      </c>
      <c r="M194" s="47" t="s">
        <v>8688</v>
      </c>
    </row>
    <row r="195" spans="1:13" ht="14.25" customHeight="1">
      <c r="A195" s="113">
        <v>10</v>
      </c>
      <c r="B195" s="47"/>
      <c r="C195" s="120" t="s">
        <v>11701</v>
      </c>
      <c r="D195" s="116" t="s">
        <v>11702</v>
      </c>
      <c r="E195" s="134" t="s">
        <v>11703</v>
      </c>
      <c r="F195" s="28" t="s">
        <v>117</v>
      </c>
      <c r="G195" s="28" t="s">
        <v>11704</v>
      </c>
      <c r="H195" s="122" t="s">
        <v>11705</v>
      </c>
      <c r="I195" s="116" t="s">
        <v>11706</v>
      </c>
      <c r="J195" s="28" t="s">
        <v>11707</v>
      </c>
      <c r="K195" s="47" t="s">
        <v>11708</v>
      </c>
      <c r="L195" s="47" t="s">
        <v>8697</v>
      </c>
      <c r="M195" s="47" t="s">
        <v>8698</v>
      </c>
    </row>
    <row r="196" spans="1:13" ht="14.25" customHeight="1">
      <c r="A196" s="113">
        <v>11</v>
      </c>
      <c r="B196" s="47"/>
      <c r="C196" s="28" t="s">
        <v>5596</v>
      </c>
      <c r="D196" s="165" t="s">
        <v>5597</v>
      </c>
      <c r="E196" s="134" t="s">
        <v>5598</v>
      </c>
      <c r="F196" s="28" t="s">
        <v>117</v>
      </c>
      <c r="G196" s="28" t="s">
        <v>5599</v>
      </c>
      <c r="H196" s="169" t="s">
        <v>11709</v>
      </c>
      <c r="I196" s="116" t="s">
        <v>5601</v>
      </c>
      <c r="J196" s="170" t="s">
        <v>5602</v>
      </c>
      <c r="K196" s="47" t="s">
        <v>10634</v>
      </c>
      <c r="L196" s="47" t="s">
        <v>8706</v>
      </c>
      <c r="M196" s="47" t="s">
        <v>8707</v>
      </c>
    </row>
    <row r="197" spans="1:13" ht="14.25" customHeight="1">
      <c r="A197" s="113">
        <v>12</v>
      </c>
      <c r="B197" s="47"/>
      <c r="C197" s="120" t="s">
        <v>8323</v>
      </c>
      <c r="D197" s="116" t="s">
        <v>8324</v>
      </c>
      <c r="E197" s="134" t="s">
        <v>8325</v>
      </c>
      <c r="F197" s="28" t="s">
        <v>65</v>
      </c>
      <c r="G197" s="28" t="s">
        <v>8326</v>
      </c>
      <c r="H197" s="171" t="s">
        <v>11710</v>
      </c>
      <c r="I197" s="116" t="s">
        <v>8328</v>
      </c>
      <c r="J197" s="172" t="s">
        <v>8329</v>
      </c>
      <c r="K197" s="47" t="s">
        <v>10887</v>
      </c>
      <c r="L197" s="47" t="s">
        <v>8716</v>
      </c>
      <c r="M197" s="47" t="s">
        <v>8717</v>
      </c>
    </row>
    <row r="198" spans="1:13" ht="14.25" customHeight="1">
      <c r="A198" s="113">
        <v>13</v>
      </c>
      <c r="B198" s="47"/>
      <c r="C198" s="120" t="s">
        <v>9014</v>
      </c>
      <c r="D198" s="116" t="s">
        <v>9015</v>
      </c>
      <c r="E198" s="134" t="s">
        <v>9016</v>
      </c>
      <c r="F198" s="28" t="s">
        <v>65</v>
      </c>
      <c r="G198" s="28" t="s">
        <v>9017</v>
      </c>
      <c r="H198" s="122" t="s">
        <v>11711</v>
      </c>
      <c r="I198" s="116" t="s">
        <v>9019</v>
      </c>
      <c r="J198" s="28" t="s">
        <v>9020</v>
      </c>
      <c r="K198" s="47" t="s">
        <v>10963</v>
      </c>
      <c r="L198" s="47" t="s">
        <v>8726</v>
      </c>
      <c r="M198" s="47" t="s">
        <v>8727</v>
      </c>
    </row>
    <row r="199" spans="1:13" ht="14.25" customHeight="1">
      <c r="A199" s="113">
        <v>14</v>
      </c>
      <c r="B199" s="47"/>
      <c r="C199" s="120" t="s">
        <v>4349</v>
      </c>
      <c r="D199" s="116" t="s">
        <v>4350</v>
      </c>
      <c r="E199" s="134" t="s">
        <v>4351</v>
      </c>
      <c r="F199" s="28" t="s">
        <v>54</v>
      </c>
      <c r="G199" s="28" t="s">
        <v>4352</v>
      </c>
      <c r="H199" s="122" t="s">
        <v>11712</v>
      </c>
      <c r="I199" s="116" t="s">
        <v>4354</v>
      </c>
      <c r="J199" s="28" t="s">
        <v>4355</v>
      </c>
      <c r="K199" s="47" t="s">
        <v>5362</v>
      </c>
      <c r="L199" s="47" t="s">
        <v>5363</v>
      </c>
      <c r="M199" s="47" t="s">
        <v>5364</v>
      </c>
    </row>
    <row r="200" spans="1:13" ht="14.25" customHeight="1">
      <c r="A200" s="113">
        <v>15</v>
      </c>
      <c r="B200" s="47"/>
      <c r="C200" s="120" t="s">
        <v>4633</v>
      </c>
      <c r="D200" s="116" t="s">
        <v>4634</v>
      </c>
      <c r="E200" s="115" t="s">
        <v>4635</v>
      </c>
      <c r="F200" s="28" t="s">
        <v>219</v>
      </c>
      <c r="G200" s="28" t="s">
        <v>4636</v>
      </c>
      <c r="H200" s="122" t="s">
        <v>11713</v>
      </c>
      <c r="I200" s="116" t="s">
        <v>11714</v>
      </c>
      <c r="J200" s="28" t="s">
        <v>11715</v>
      </c>
      <c r="K200" s="47" t="s">
        <v>11716</v>
      </c>
      <c r="L200" s="47" t="s">
        <v>8738</v>
      </c>
      <c r="M200" s="47" t="s">
        <v>8739</v>
      </c>
    </row>
    <row r="201" spans="1:13" ht="14.25" customHeight="1">
      <c r="A201" s="146">
        <v>1</v>
      </c>
      <c r="B201" s="88"/>
      <c r="C201" s="155" t="s">
        <v>6098</v>
      </c>
      <c r="D201" s="150" t="s">
        <v>6099</v>
      </c>
      <c r="E201" s="157" t="s">
        <v>6100</v>
      </c>
      <c r="F201" s="150" t="s">
        <v>117</v>
      </c>
      <c r="G201" s="150" t="s">
        <v>6101</v>
      </c>
      <c r="H201" s="161" t="s">
        <v>11717</v>
      </c>
      <c r="I201" s="150" t="s">
        <v>6103</v>
      </c>
      <c r="J201" s="150" t="s">
        <v>6104</v>
      </c>
      <c r="K201" s="88" t="s">
        <v>10681</v>
      </c>
      <c r="L201" s="88" t="s">
        <v>8872</v>
      </c>
      <c r="M201" s="88" t="s">
        <v>8873</v>
      </c>
    </row>
    <row r="202" spans="1:13" ht="14.25" customHeight="1">
      <c r="A202" s="113">
        <v>2</v>
      </c>
      <c r="B202" s="47"/>
      <c r="C202" s="120" t="s">
        <v>6449</v>
      </c>
      <c r="D202" s="116" t="s">
        <v>6450</v>
      </c>
      <c r="E202" s="115" t="s">
        <v>6451</v>
      </c>
      <c r="F202" s="116" t="s">
        <v>54</v>
      </c>
      <c r="G202" s="116" t="s">
        <v>6452</v>
      </c>
      <c r="H202" s="122" t="s">
        <v>11718</v>
      </c>
      <c r="I202" s="116" t="s">
        <v>6454</v>
      </c>
      <c r="J202" s="116" t="s">
        <v>6455</v>
      </c>
      <c r="K202" s="47" t="s">
        <v>10707</v>
      </c>
      <c r="L202" s="47" t="s">
        <v>8882</v>
      </c>
      <c r="M202" s="47" t="s">
        <v>8883</v>
      </c>
    </row>
    <row r="203" spans="1:13" ht="14.25" customHeight="1">
      <c r="A203" s="113">
        <v>3</v>
      </c>
      <c r="B203" s="47"/>
      <c r="C203" s="120" t="s">
        <v>8935</v>
      </c>
      <c r="D203" s="116" t="s">
        <v>8936</v>
      </c>
      <c r="E203" s="115" t="s">
        <v>8937</v>
      </c>
      <c r="F203" s="116" t="s">
        <v>664</v>
      </c>
      <c r="G203" s="116" t="s">
        <v>8938</v>
      </c>
      <c r="H203" s="122" t="s">
        <v>11719</v>
      </c>
      <c r="I203" s="116" t="s">
        <v>8940</v>
      </c>
      <c r="J203" s="116" t="s">
        <v>8941</v>
      </c>
      <c r="K203" s="47" t="s">
        <v>10955</v>
      </c>
      <c r="L203" s="47" t="s">
        <v>8893</v>
      </c>
      <c r="M203" s="47" t="s">
        <v>8894</v>
      </c>
    </row>
    <row r="204" spans="1:13" ht="14.25" customHeight="1">
      <c r="A204" s="113">
        <v>4</v>
      </c>
      <c r="B204" s="47"/>
      <c r="C204" s="120" t="s">
        <v>6079</v>
      </c>
      <c r="D204" s="116" t="s">
        <v>6080</v>
      </c>
      <c r="E204" s="115" t="s">
        <v>6081</v>
      </c>
      <c r="F204" s="116" t="s">
        <v>65</v>
      </c>
      <c r="G204" s="116" t="s">
        <v>6082</v>
      </c>
      <c r="H204" s="122" t="s">
        <v>11720</v>
      </c>
      <c r="I204" s="116" t="s">
        <v>6084</v>
      </c>
      <c r="J204" s="116" t="s">
        <v>6085</v>
      </c>
      <c r="K204" s="47" t="s">
        <v>10676</v>
      </c>
      <c r="L204" s="47" t="s">
        <v>8903</v>
      </c>
      <c r="M204" s="47" t="s">
        <v>8904</v>
      </c>
    </row>
    <row r="205" spans="1:13" ht="14.25" customHeight="1">
      <c r="A205" s="113">
        <v>5</v>
      </c>
      <c r="B205" s="47"/>
      <c r="C205" s="120" t="s">
        <v>11721</v>
      </c>
      <c r="D205" s="116" t="s">
        <v>11722</v>
      </c>
      <c r="E205" s="115" t="s">
        <v>11723</v>
      </c>
      <c r="F205" s="116" t="s">
        <v>117</v>
      </c>
      <c r="G205" s="116" t="s">
        <v>11724</v>
      </c>
      <c r="H205" s="122" t="s">
        <v>11725</v>
      </c>
      <c r="I205" s="116" t="s">
        <v>11726</v>
      </c>
      <c r="J205" s="116" t="s">
        <v>11727</v>
      </c>
      <c r="K205" s="47" t="s">
        <v>11728</v>
      </c>
      <c r="L205" s="47" t="s">
        <v>8913</v>
      </c>
      <c r="M205" s="47" t="s">
        <v>8914</v>
      </c>
    </row>
    <row r="206" spans="1:13" ht="14.25" customHeight="1">
      <c r="A206" s="113">
        <v>6</v>
      </c>
      <c r="B206" s="47"/>
      <c r="C206" s="120" t="s">
        <v>8994</v>
      </c>
      <c r="D206" s="116" t="s">
        <v>8995</v>
      </c>
      <c r="E206" s="115" t="s">
        <v>8996</v>
      </c>
      <c r="F206" s="116" t="s">
        <v>65</v>
      </c>
      <c r="G206" s="116" t="s">
        <v>8997</v>
      </c>
      <c r="H206" s="122" t="s">
        <v>11729</v>
      </c>
      <c r="I206" s="116" t="s">
        <v>8999</v>
      </c>
      <c r="J206" s="116" t="s">
        <v>9000</v>
      </c>
      <c r="K206" s="47" t="s">
        <v>10962</v>
      </c>
      <c r="L206" s="47" t="s">
        <v>8923</v>
      </c>
      <c r="M206" s="47" t="s">
        <v>8924</v>
      </c>
    </row>
    <row r="207" spans="1:13" ht="14.25" customHeight="1">
      <c r="A207" s="113">
        <v>7</v>
      </c>
      <c r="B207" s="47"/>
      <c r="C207" s="120" t="s">
        <v>6274</v>
      </c>
      <c r="D207" s="116" t="s">
        <v>6275</v>
      </c>
      <c r="E207" s="115" t="s">
        <v>6276</v>
      </c>
      <c r="F207" s="116" t="s">
        <v>65</v>
      </c>
      <c r="G207" s="116" t="s">
        <v>6277</v>
      </c>
      <c r="H207" s="122" t="s">
        <v>11730</v>
      </c>
      <c r="I207" s="116" t="s">
        <v>6279</v>
      </c>
      <c r="J207" s="116" t="s">
        <v>6280</v>
      </c>
      <c r="K207" s="47" t="s">
        <v>10697</v>
      </c>
      <c r="L207" s="47" t="s">
        <v>8933</v>
      </c>
      <c r="M207" s="47" t="s">
        <v>8934</v>
      </c>
    </row>
    <row r="208" spans="1:13" ht="14.25" customHeight="1">
      <c r="A208" s="113">
        <v>8</v>
      </c>
      <c r="B208" s="47"/>
      <c r="C208" s="120" t="s">
        <v>5462</v>
      </c>
      <c r="D208" s="116" t="s">
        <v>5463</v>
      </c>
      <c r="E208" s="115" t="s">
        <v>5464</v>
      </c>
      <c r="F208" s="116" t="s">
        <v>117</v>
      </c>
      <c r="G208" s="116" t="s">
        <v>5465</v>
      </c>
      <c r="H208" s="122" t="s">
        <v>11731</v>
      </c>
      <c r="I208" s="116" t="s">
        <v>5467</v>
      </c>
      <c r="J208" s="116" t="s">
        <v>5468</v>
      </c>
      <c r="K208" s="47" t="s">
        <v>10619</v>
      </c>
      <c r="L208" s="47" t="s">
        <v>8943</v>
      </c>
      <c r="M208" s="47" t="s">
        <v>8944</v>
      </c>
    </row>
    <row r="209" spans="1:13" ht="14.25" customHeight="1">
      <c r="A209" s="113">
        <v>9</v>
      </c>
      <c r="B209" s="47"/>
      <c r="C209" s="120" t="s">
        <v>8750</v>
      </c>
      <c r="D209" s="116" t="s">
        <v>8751</v>
      </c>
      <c r="E209" s="115" t="s">
        <v>8752</v>
      </c>
      <c r="F209" s="116" t="s">
        <v>65</v>
      </c>
      <c r="G209" s="116" t="s">
        <v>8753</v>
      </c>
      <c r="H209" s="122" t="s">
        <v>11732</v>
      </c>
      <c r="I209" s="116" t="s">
        <v>8755</v>
      </c>
      <c r="J209" s="116" t="s">
        <v>8756</v>
      </c>
      <c r="K209" s="47" t="s">
        <v>10930</v>
      </c>
      <c r="L209" s="47" t="s">
        <v>8953</v>
      </c>
      <c r="M209" s="47" t="s">
        <v>8954</v>
      </c>
    </row>
    <row r="210" spans="1:13" ht="14.25" customHeight="1">
      <c r="A210" s="113">
        <v>10</v>
      </c>
      <c r="B210" s="47"/>
      <c r="C210" s="120" t="s">
        <v>11733</v>
      </c>
      <c r="D210" s="116" t="s">
        <v>11734</v>
      </c>
      <c r="E210" s="115" t="s">
        <v>11735</v>
      </c>
      <c r="F210" s="116" t="s">
        <v>117</v>
      </c>
      <c r="G210" s="116" t="s">
        <v>11736</v>
      </c>
      <c r="H210" s="122" t="s">
        <v>11737</v>
      </c>
      <c r="I210" s="116" t="s">
        <v>11738</v>
      </c>
      <c r="J210" s="116" t="s">
        <v>11739</v>
      </c>
      <c r="K210" s="47" t="s">
        <v>11740</v>
      </c>
      <c r="L210" s="47" t="s">
        <v>8962</v>
      </c>
      <c r="M210" s="47" t="s">
        <v>8963</v>
      </c>
    </row>
    <row r="211" spans="1:13" ht="14.25" customHeight="1">
      <c r="A211" s="113">
        <v>11</v>
      </c>
      <c r="B211" s="47"/>
      <c r="C211" s="120" t="s">
        <v>9950</v>
      </c>
      <c r="D211" s="116" t="s">
        <v>9951</v>
      </c>
      <c r="E211" s="115" t="s">
        <v>9952</v>
      </c>
      <c r="F211" s="116" t="s">
        <v>65</v>
      </c>
      <c r="G211" s="116" t="s">
        <v>9953</v>
      </c>
      <c r="H211" s="122" t="s">
        <v>11741</v>
      </c>
      <c r="I211" s="116" t="s">
        <v>9955</v>
      </c>
      <c r="J211" s="116" t="s">
        <v>9956</v>
      </c>
      <c r="K211" s="47" t="s">
        <v>11061</v>
      </c>
      <c r="L211" s="47" t="s">
        <v>8972</v>
      </c>
      <c r="M211" s="47" t="s">
        <v>8973</v>
      </c>
    </row>
    <row r="212" spans="1:13" ht="14.25" customHeight="1">
      <c r="A212" s="113">
        <v>12</v>
      </c>
      <c r="B212" s="47"/>
      <c r="C212" s="120" t="s">
        <v>9940</v>
      </c>
      <c r="D212" s="116" t="s">
        <v>9941</v>
      </c>
      <c r="E212" s="115" t="s">
        <v>9942</v>
      </c>
      <c r="F212" s="116" t="s">
        <v>65</v>
      </c>
      <c r="G212" s="116" t="s">
        <v>9943</v>
      </c>
      <c r="H212" s="122" t="s">
        <v>11742</v>
      </c>
      <c r="I212" s="116" t="s">
        <v>9945</v>
      </c>
      <c r="J212" s="116" t="s">
        <v>9946</v>
      </c>
      <c r="K212" s="47" t="s">
        <v>11060</v>
      </c>
      <c r="L212" s="47" t="s">
        <v>8982</v>
      </c>
      <c r="M212" s="47" t="s">
        <v>8983</v>
      </c>
    </row>
    <row r="213" spans="1:13" ht="14.25" customHeight="1">
      <c r="A213" s="113">
        <v>13</v>
      </c>
      <c r="B213" s="47"/>
      <c r="C213" s="120" t="s">
        <v>8925</v>
      </c>
      <c r="D213" s="116" t="s">
        <v>8926</v>
      </c>
      <c r="E213" s="115" t="s">
        <v>8927</v>
      </c>
      <c r="F213" s="116" t="s">
        <v>65</v>
      </c>
      <c r="G213" s="116" t="s">
        <v>8928</v>
      </c>
      <c r="H213" s="122" t="s">
        <v>11743</v>
      </c>
      <c r="I213" s="116" t="s">
        <v>8930</v>
      </c>
      <c r="J213" s="116" t="s">
        <v>8931</v>
      </c>
      <c r="K213" s="47" t="s">
        <v>10954</v>
      </c>
      <c r="L213" s="47" t="s">
        <v>8992</v>
      </c>
      <c r="M213" s="47" t="s">
        <v>8993</v>
      </c>
    </row>
    <row r="214" spans="1:13" ht="14.25" customHeight="1">
      <c r="A214" s="113">
        <v>14</v>
      </c>
      <c r="B214" s="47"/>
      <c r="C214" s="120" t="s">
        <v>8167</v>
      </c>
      <c r="D214" s="116" t="s">
        <v>8168</v>
      </c>
      <c r="E214" s="115" t="s">
        <v>8169</v>
      </c>
      <c r="F214" s="116" t="s">
        <v>65</v>
      </c>
      <c r="G214" s="116" t="s">
        <v>8170</v>
      </c>
      <c r="H214" s="122" t="s">
        <v>11744</v>
      </c>
      <c r="I214" s="116" t="s">
        <v>8172</v>
      </c>
      <c r="J214" s="116" t="s">
        <v>8173</v>
      </c>
      <c r="K214" s="47" t="s">
        <v>10875</v>
      </c>
      <c r="L214" s="47" t="s">
        <v>9002</v>
      </c>
      <c r="M214" s="47" t="s">
        <v>9003</v>
      </c>
    </row>
    <row r="215" spans="1:13" ht="14.25" customHeight="1">
      <c r="A215" s="113">
        <v>15</v>
      </c>
      <c r="B215" s="47"/>
      <c r="C215" s="120" t="s">
        <v>5699</v>
      </c>
      <c r="D215" s="116" t="s">
        <v>5700</v>
      </c>
      <c r="E215" s="115" t="s">
        <v>5701</v>
      </c>
      <c r="F215" s="116" t="s">
        <v>65</v>
      </c>
      <c r="G215" s="116" t="s">
        <v>5702</v>
      </c>
      <c r="H215" s="122" t="s">
        <v>11745</v>
      </c>
      <c r="I215" s="116" t="s">
        <v>5704</v>
      </c>
      <c r="J215" s="116" t="s">
        <v>5705</v>
      </c>
      <c r="K215" s="47" t="s">
        <v>10644</v>
      </c>
      <c r="L215" s="47" t="s">
        <v>9012</v>
      </c>
      <c r="M215" s="47" t="s">
        <v>9013</v>
      </c>
    </row>
    <row r="216" spans="1:13" ht="14.25" customHeight="1">
      <c r="A216" s="113">
        <v>16</v>
      </c>
      <c r="B216" s="47"/>
      <c r="C216" s="120" t="s">
        <v>5955</v>
      </c>
      <c r="D216" s="116" t="s">
        <v>5956</v>
      </c>
      <c r="E216" s="115" t="s">
        <v>5957</v>
      </c>
      <c r="F216" s="116" t="s">
        <v>54</v>
      </c>
      <c r="G216" s="116" t="s">
        <v>5958</v>
      </c>
      <c r="H216" s="122" t="s">
        <v>11746</v>
      </c>
      <c r="I216" s="116" t="s">
        <v>5960</v>
      </c>
      <c r="J216" s="116" t="s">
        <v>5961</v>
      </c>
      <c r="K216" s="47" t="s">
        <v>10664</v>
      </c>
      <c r="L216" s="47" t="s">
        <v>9022</v>
      </c>
      <c r="M216" s="47" t="s">
        <v>9023</v>
      </c>
    </row>
    <row r="217" spans="1:13" ht="14.25" customHeight="1">
      <c r="A217" s="113">
        <v>17</v>
      </c>
      <c r="B217" s="47"/>
      <c r="C217" s="120" t="s">
        <v>7180</v>
      </c>
      <c r="D217" s="116" t="s">
        <v>7181</v>
      </c>
      <c r="E217" s="115" t="s">
        <v>7182</v>
      </c>
      <c r="F217" s="116" t="s">
        <v>65</v>
      </c>
      <c r="G217" s="116" t="s">
        <v>7183</v>
      </c>
      <c r="H217" s="122" t="s">
        <v>11747</v>
      </c>
      <c r="I217" s="116" t="s">
        <v>7185</v>
      </c>
      <c r="J217" s="116" t="s">
        <v>7186</v>
      </c>
      <c r="K217" s="47" t="s">
        <v>10749</v>
      </c>
      <c r="L217" s="47" t="s">
        <v>9031</v>
      </c>
      <c r="M217" s="47" t="s">
        <v>9032</v>
      </c>
    </row>
    <row r="218" spans="1:13" ht="14.25" customHeight="1">
      <c r="A218" s="146">
        <v>1</v>
      </c>
      <c r="B218" s="88"/>
      <c r="C218" s="155" t="s">
        <v>9764</v>
      </c>
      <c r="D218" s="150" t="s">
        <v>9765</v>
      </c>
      <c r="E218" s="148" t="s">
        <v>9766</v>
      </c>
      <c r="F218" s="150" t="s">
        <v>117</v>
      </c>
      <c r="G218" s="150" t="s">
        <v>9767</v>
      </c>
      <c r="H218" s="161" t="s">
        <v>11748</v>
      </c>
      <c r="I218" s="150" t="s">
        <v>9769</v>
      </c>
      <c r="J218" s="150" t="s">
        <v>9770</v>
      </c>
      <c r="K218" s="88" t="s">
        <v>11039</v>
      </c>
      <c r="L218" s="88" t="s">
        <v>9133</v>
      </c>
      <c r="M218" s="88" t="s">
        <v>9134</v>
      </c>
    </row>
    <row r="219" spans="1:13" ht="14.25" customHeight="1">
      <c r="A219" s="113">
        <v>2</v>
      </c>
      <c r="B219" s="47"/>
      <c r="C219" s="120" t="s">
        <v>6599</v>
      </c>
      <c r="D219" s="116" t="s">
        <v>6600</v>
      </c>
      <c r="E219" s="130" t="s">
        <v>6601</v>
      </c>
      <c r="F219" s="116" t="s">
        <v>65</v>
      </c>
      <c r="G219" s="116" t="s">
        <v>6602</v>
      </c>
      <c r="H219" s="122" t="s">
        <v>11749</v>
      </c>
      <c r="I219" s="116" t="s">
        <v>6604</v>
      </c>
      <c r="J219" s="116" t="s">
        <v>6605</v>
      </c>
      <c r="K219" s="47" t="s">
        <v>10717</v>
      </c>
      <c r="L219" s="47" t="s">
        <v>9143</v>
      </c>
      <c r="M219" s="47" t="s">
        <v>9144</v>
      </c>
    </row>
    <row r="220" spans="1:13" ht="14.25" customHeight="1">
      <c r="A220" s="113">
        <v>3</v>
      </c>
      <c r="B220" s="47"/>
      <c r="C220" s="120" t="s">
        <v>7879</v>
      </c>
      <c r="D220" s="116" t="s">
        <v>7880</v>
      </c>
      <c r="E220" s="130" t="s">
        <v>7881</v>
      </c>
      <c r="F220" s="116" t="s">
        <v>117</v>
      </c>
      <c r="G220" s="116" t="s">
        <v>7882</v>
      </c>
      <c r="H220" s="122" t="s">
        <v>11750</v>
      </c>
      <c r="I220" s="116" t="s">
        <v>7884</v>
      </c>
      <c r="J220" s="116" t="s">
        <v>7885</v>
      </c>
      <c r="K220" s="47" t="s">
        <v>10845</v>
      </c>
      <c r="L220" s="47" t="s">
        <v>9154</v>
      </c>
      <c r="M220" s="47" t="s">
        <v>9155</v>
      </c>
    </row>
    <row r="221" spans="1:13" ht="14.25" customHeight="1">
      <c r="A221" s="113">
        <v>4</v>
      </c>
      <c r="B221" s="47"/>
      <c r="C221" s="120" t="s">
        <v>11751</v>
      </c>
      <c r="D221" s="116" t="s">
        <v>11752</v>
      </c>
      <c r="E221" s="130" t="s">
        <v>11753</v>
      </c>
      <c r="F221" s="116" t="s">
        <v>65</v>
      </c>
      <c r="G221" s="116" t="s">
        <v>11754</v>
      </c>
      <c r="H221" s="122" t="s">
        <v>11755</v>
      </c>
      <c r="I221" s="116" t="s">
        <v>11756</v>
      </c>
      <c r="J221" s="116" t="s">
        <v>11757</v>
      </c>
      <c r="K221" s="47" t="s">
        <v>11758</v>
      </c>
      <c r="L221" s="47" t="s">
        <v>9163</v>
      </c>
      <c r="M221" s="47" t="s">
        <v>9164</v>
      </c>
    </row>
    <row r="222" spans="1:13" ht="14.25" customHeight="1">
      <c r="A222" s="113">
        <v>5</v>
      </c>
      <c r="B222" s="47"/>
      <c r="C222" s="120" t="s">
        <v>10122</v>
      </c>
      <c r="D222" s="116" t="s">
        <v>10123</v>
      </c>
      <c r="E222" s="130" t="s">
        <v>10124</v>
      </c>
      <c r="F222" s="116" t="s">
        <v>117</v>
      </c>
      <c r="G222" s="116" t="s">
        <v>10125</v>
      </c>
      <c r="H222" s="122" t="s">
        <v>11759</v>
      </c>
      <c r="I222" s="116" t="s">
        <v>10127</v>
      </c>
      <c r="J222" s="116" t="s">
        <v>10128</v>
      </c>
      <c r="K222" s="47" t="s">
        <v>11107</v>
      </c>
      <c r="L222" s="47" t="s">
        <v>9173</v>
      </c>
      <c r="M222" s="47" t="s">
        <v>9174</v>
      </c>
    </row>
    <row r="223" spans="1:13" ht="14.25" customHeight="1">
      <c r="A223" s="113">
        <v>6</v>
      </c>
      <c r="B223" s="47"/>
      <c r="C223" s="120" t="s">
        <v>8028</v>
      </c>
      <c r="D223" s="116" t="s">
        <v>8029</v>
      </c>
      <c r="E223" s="130" t="s">
        <v>8030</v>
      </c>
      <c r="F223" s="116" t="s">
        <v>65</v>
      </c>
      <c r="G223" s="116" t="s">
        <v>8031</v>
      </c>
      <c r="H223" s="122" t="s">
        <v>11760</v>
      </c>
      <c r="I223" s="116" t="s">
        <v>8033</v>
      </c>
      <c r="J223" s="116" t="s">
        <v>8034</v>
      </c>
      <c r="K223" s="47" t="s">
        <v>10864</v>
      </c>
      <c r="L223" s="47" t="s">
        <v>9183</v>
      </c>
      <c r="M223" s="47" t="s">
        <v>9184</v>
      </c>
    </row>
    <row r="224" spans="1:13" ht="14.25" customHeight="1">
      <c r="A224" s="113">
        <v>7</v>
      </c>
      <c r="B224" s="47"/>
      <c r="C224" s="120" t="s">
        <v>7508</v>
      </c>
      <c r="D224" s="116" t="s">
        <v>7509</v>
      </c>
      <c r="E224" s="130" t="s">
        <v>7510</v>
      </c>
      <c r="F224" s="116" t="s">
        <v>42</v>
      </c>
      <c r="G224" s="116" t="s">
        <v>6333</v>
      </c>
      <c r="H224" s="122" t="s">
        <v>11761</v>
      </c>
      <c r="I224" s="116" t="s">
        <v>7512</v>
      </c>
      <c r="J224" s="116" t="s">
        <v>7513</v>
      </c>
      <c r="K224" s="47" t="s">
        <v>10802</v>
      </c>
      <c r="L224" s="47" t="s">
        <v>9193</v>
      </c>
      <c r="M224" s="47" t="s">
        <v>9194</v>
      </c>
    </row>
    <row r="225" spans="1:13" ht="14.25" customHeight="1">
      <c r="A225" s="113">
        <v>8</v>
      </c>
      <c r="B225" s="47"/>
      <c r="C225" s="120" t="s">
        <v>8137</v>
      </c>
      <c r="D225" s="116" t="s">
        <v>8138</v>
      </c>
      <c r="E225" s="104" t="s">
        <v>8139</v>
      </c>
      <c r="F225" s="116" t="s">
        <v>117</v>
      </c>
      <c r="G225" s="116" t="s">
        <v>8140</v>
      </c>
      <c r="H225" s="122" t="s">
        <v>11762</v>
      </c>
      <c r="I225" s="116" t="s">
        <v>8142</v>
      </c>
      <c r="J225" s="116" t="s">
        <v>8143</v>
      </c>
      <c r="K225" s="47" t="s">
        <v>10872</v>
      </c>
      <c r="L225" s="47" t="s">
        <v>9203</v>
      </c>
      <c r="M225" s="47" t="s">
        <v>9204</v>
      </c>
    </row>
    <row r="226" spans="1:13" ht="14.25" customHeight="1">
      <c r="A226" s="113">
        <v>9</v>
      </c>
      <c r="B226" s="47"/>
      <c r="C226" s="120" t="s">
        <v>7908</v>
      </c>
      <c r="D226" s="116" t="s">
        <v>7909</v>
      </c>
      <c r="E226" s="130" t="s">
        <v>7910</v>
      </c>
      <c r="F226" s="116" t="s">
        <v>65</v>
      </c>
      <c r="G226" s="116" t="s">
        <v>7911</v>
      </c>
      <c r="H226" s="122" t="s">
        <v>11763</v>
      </c>
      <c r="I226" s="116" t="s">
        <v>7913</v>
      </c>
      <c r="J226" s="116" t="s">
        <v>7914</v>
      </c>
      <c r="K226" s="47" t="s">
        <v>10846</v>
      </c>
      <c r="L226" s="47" t="s">
        <v>9213</v>
      </c>
      <c r="M226" s="47" t="s">
        <v>9214</v>
      </c>
    </row>
    <row r="227" spans="1:13" ht="14.25" customHeight="1">
      <c r="A227" s="113">
        <v>10</v>
      </c>
      <c r="B227" s="47"/>
      <c r="C227" s="120" t="s">
        <v>7389</v>
      </c>
      <c r="D227" s="116" t="s">
        <v>7390</v>
      </c>
      <c r="E227" s="130" t="s">
        <v>7391</v>
      </c>
      <c r="F227" s="116" t="s">
        <v>117</v>
      </c>
      <c r="G227" s="116" t="s">
        <v>7392</v>
      </c>
      <c r="H227" s="122" t="s">
        <v>11764</v>
      </c>
      <c r="I227" s="116" t="s">
        <v>7394</v>
      </c>
      <c r="J227" s="116" t="s">
        <v>7395</v>
      </c>
      <c r="K227" s="47" t="s">
        <v>10785</v>
      </c>
      <c r="L227" s="47" t="s">
        <v>9222</v>
      </c>
      <c r="M227" s="47" t="s">
        <v>9223</v>
      </c>
    </row>
    <row r="228" spans="1:13" ht="14.25" customHeight="1">
      <c r="A228" s="113">
        <v>11</v>
      </c>
      <c r="B228" s="47"/>
      <c r="C228" s="120" t="s">
        <v>4925</v>
      </c>
      <c r="D228" s="116" t="s">
        <v>4926</v>
      </c>
      <c r="E228" s="130" t="s">
        <v>4927</v>
      </c>
      <c r="F228" s="116" t="s">
        <v>117</v>
      </c>
      <c r="G228" s="116" t="s">
        <v>4928</v>
      </c>
      <c r="H228" s="122" t="s">
        <v>11765</v>
      </c>
      <c r="I228" s="116" t="s">
        <v>4930</v>
      </c>
      <c r="J228" s="116" t="s">
        <v>4931</v>
      </c>
      <c r="K228" s="47" t="s">
        <v>5425</v>
      </c>
      <c r="L228" s="47" t="s">
        <v>5426</v>
      </c>
      <c r="M228" s="47" t="s">
        <v>5427</v>
      </c>
    </row>
    <row r="229" spans="1:13" ht="14.25" customHeight="1">
      <c r="A229" s="113">
        <v>12</v>
      </c>
      <c r="B229" s="47"/>
      <c r="C229" s="120" t="s">
        <v>6409</v>
      </c>
      <c r="D229" s="116" t="s">
        <v>6410</v>
      </c>
      <c r="E229" s="130" t="s">
        <v>6411</v>
      </c>
      <c r="F229" s="116" t="s">
        <v>501</v>
      </c>
      <c r="G229" s="116" t="s">
        <v>6412</v>
      </c>
      <c r="H229" s="122" t="s">
        <v>11766</v>
      </c>
      <c r="I229" s="116" t="s">
        <v>6414</v>
      </c>
      <c r="J229" s="116" t="s">
        <v>6415</v>
      </c>
      <c r="K229" s="47" t="s">
        <v>10705</v>
      </c>
      <c r="L229" s="47" t="s">
        <v>9240</v>
      </c>
      <c r="M229" s="47" t="s">
        <v>9241</v>
      </c>
    </row>
    <row r="230" spans="1:13" ht="14.25" customHeight="1">
      <c r="A230" s="113">
        <v>13</v>
      </c>
      <c r="B230" s="47"/>
      <c r="C230" s="120" t="s">
        <v>8435</v>
      </c>
      <c r="D230" s="116" t="s">
        <v>8436</v>
      </c>
      <c r="E230" s="130" t="s">
        <v>8437</v>
      </c>
      <c r="F230" s="116" t="s">
        <v>65</v>
      </c>
      <c r="G230" s="116" t="s">
        <v>8438</v>
      </c>
      <c r="H230" s="122" t="s">
        <v>11767</v>
      </c>
      <c r="I230" s="116" t="s">
        <v>8440</v>
      </c>
      <c r="J230" s="116" t="s">
        <v>8441</v>
      </c>
      <c r="K230" s="47" t="s">
        <v>10898</v>
      </c>
      <c r="L230" s="47" t="s">
        <v>9250</v>
      </c>
      <c r="M230" s="47" t="s">
        <v>9251</v>
      </c>
    </row>
    <row r="231" spans="1:13" ht="14.25" customHeight="1">
      <c r="A231" s="113">
        <v>14</v>
      </c>
      <c r="B231" s="47"/>
      <c r="C231" s="120" t="s">
        <v>4309</v>
      </c>
      <c r="D231" s="116" t="s">
        <v>4310</v>
      </c>
      <c r="E231" s="130" t="s">
        <v>4311</v>
      </c>
      <c r="F231" s="116" t="s">
        <v>117</v>
      </c>
      <c r="G231" s="116" t="s">
        <v>11768</v>
      </c>
      <c r="H231" s="122" t="s">
        <v>11769</v>
      </c>
      <c r="I231" s="116" t="s">
        <v>11770</v>
      </c>
      <c r="J231" s="116" t="s">
        <v>11771</v>
      </c>
      <c r="K231" s="47" t="s">
        <v>11772</v>
      </c>
      <c r="L231" s="47" t="s">
        <v>9260</v>
      </c>
      <c r="M231" s="47" t="s">
        <v>9261</v>
      </c>
    </row>
    <row r="232" spans="1:13" ht="14.25" customHeight="1">
      <c r="A232" s="113">
        <v>15</v>
      </c>
      <c r="B232" s="47"/>
      <c r="C232" s="120" t="s">
        <v>11773</v>
      </c>
      <c r="D232" s="116" t="s">
        <v>11774</v>
      </c>
      <c r="E232" s="130" t="s">
        <v>11775</v>
      </c>
      <c r="F232" s="116" t="s">
        <v>219</v>
      </c>
      <c r="G232" s="116" t="s">
        <v>11776</v>
      </c>
      <c r="H232" s="122" t="s">
        <v>11777</v>
      </c>
      <c r="I232" s="116" t="s">
        <v>11778</v>
      </c>
      <c r="J232" s="116" t="s">
        <v>11779</v>
      </c>
      <c r="K232" s="47" t="s">
        <v>11780</v>
      </c>
      <c r="L232" s="47" t="s">
        <v>9270</v>
      </c>
      <c r="M232" s="47" t="s">
        <v>9271</v>
      </c>
    </row>
    <row r="233" spans="1:13" ht="14.25" customHeight="1">
      <c r="A233" s="113">
        <v>16</v>
      </c>
      <c r="B233" s="47"/>
      <c r="C233" s="120" t="s">
        <v>9900</v>
      </c>
      <c r="D233" s="116" t="s">
        <v>9901</v>
      </c>
      <c r="E233" s="130" t="s">
        <v>9902</v>
      </c>
      <c r="F233" s="116" t="s">
        <v>65</v>
      </c>
      <c r="G233" s="116" t="s">
        <v>9903</v>
      </c>
      <c r="H233" s="122" t="s">
        <v>11781</v>
      </c>
      <c r="I233" s="116" t="s">
        <v>9905</v>
      </c>
      <c r="J233" s="116" t="s">
        <v>9906</v>
      </c>
      <c r="K233" s="47" t="s">
        <v>11055</v>
      </c>
      <c r="L233" s="47" t="s">
        <v>9279</v>
      </c>
      <c r="M233" s="47" t="s">
        <v>9280</v>
      </c>
    </row>
    <row r="234" spans="1:13" ht="14.25" customHeight="1">
      <c r="A234" s="113">
        <v>17</v>
      </c>
      <c r="B234" s="47"/>
      <c r="C234" s="120" t="s">
        <v>11782</v>
      </c>
      <c r="D234" s="116" t="s">
        <v>11783</v>
      </c>
      <c r="E234" s="130" t="s">
        <v>11784</v>
      </c>
      <c r="F234" s="116" t="s">
        <v>117</v>
      </c>
      <c r="G234" s="116" t="s">
        <v>11785</v>
      </c>
      <c r="H234" s="122" t="s">
        <v>11786</v>
      </c>
      <c r="I234" s="116" t="s">
        <v>11787</v>
      </c>
      <c r="J234" s="13" t="s">
        <v>11788</v>
      </c>
      <c r="K234" s="47" t="s">
        <v>11789</v>
      </c>
      <c r="L234" s="47" t="s">
        <v>9289</v>
      </c>
      <c r="M234" s="47" t="s">
        <v>9290</v>
      </c>
    </row>
    <row r="235" spans="1:13" ht="14.25" customHeight="1">
      <c r="A235" s="113">
        <v>18</v>
      </c>
      <c r="B235" s="47"/>
      <c r="C235" s="120" t="s">
        <v>7740</v>
      </c>
      <c r="D235" s="116" t="s">
        <v>7741</v>
      </c>
      <c r="E235" s="130" t="s">
        <v>7742</v>
      </c>
      <c r="F235" s="116" t="s">
        <v>65</v>
      </c>
      <c r="G235" s="116" t="s">
        <v>7743</v>
      </c>
      <c r="H235" s="122" t="s">
        <v>11790</v>
      </c>
      <c r="I235" s="116" t="s">
        <v>7745</v>
      </c>
      <c r="J235" s="116" t="s">
        <v>7746</v>
      </c>
      <c r="K235" s="47" t="s">
        <v>10828</v>
      </c>
      <c r="L235" s="47" t="s">
        <v>9298</v>
      </c>
      <c r="M235" s="47" t="s">
        <v>9299</v>
      </c>
    </row>
    <row r="236" spans="1:13" ht="14.25" customHeight="1">
      <c r="A236" s="113">
        <v>19</v>
      </c>
      <c r="B236" s="47"/>
      <c r="C236" s="120" t="s">
        <v>11791</v>
      </c>
      <c r="D236" s="116" t="s">
        <v>11792</v>
      </c>
      <c r="E236" s="130" t="s">
        <v>11793</v>
      </c>
      <c r="F236" s="116" t="s">
        <v>65</v>
      </c>
      <c r="G236" s="116" t="s">
        <v>11794</v>
      </c>
      <c r="H236" s="122" t="s">
        <v>11795</v>
      </c>
      <c r="I236" s="116" t="s">
        <v>11796</v>
      </c>
      <c r="J236" s="116" t="s">
        <v>11797</v>
      </c>
      <c r="K236" s="47" t="s">
        <v>11798</v>
      </c>
      <c r="L236" s="47" t="s">
        <v>9308</v>
      </c>
      <c r="M236" s="47" t="s">
        <v>9309</v>
      </c>
    </row>
    <row r="237" spans="1:13" ht="14.25" customHeight="1">
      <c r="A237" s="113">
        <v>20</v>
      </c>
      <c r="B237" s="47"/>
      <c r="C237" s="120" t="s">
        <v>11799</v>
      </c>
      <c r="D237" s="116" t="s">
        <v>11800</v>
      </c>
      <c r="E237" s="104" t="s">
        <v>562</v>
      </c>
      <c r="F237" s="116" t="s">
        <v>42</v>
      </c>
      <c r="G237" s="116" t="s">
        <v>3552</v>
      </c>
      <c r="H237" s="127" t="s">
        <v>11801</v>
      </c>
      <c r="I237" s="116" t="s">
        <v>11802</v>
      </c>
      <c r="J237" s="127" t="s">
        <v>11803</v>
      </c>
      <c r="K237" s="47" t="s">
        <v>11804</v>
      </c>
      <c r="L237" s="47" t="s">
        <v>9318</v>
      </c>
      <c r="M237" s="47" t="s">
        <v>9319</v>
      </c>
    </row>
    <row r="238" spans="1:13" ht="14.25" customHeight="1">
      <c r="A238" s="113">
        <v>21</v>
      </c>
      <c r="B238" s="47"/>
      <c r="C238" s="120" t="s">
        <v>8844</v>
      </c>
      <c r="D238" s="116" t="s">
        <v>8845</v>
      </c>
      <c r="E238" s="130" t="s">
        <v>8846</v>
      </c>
      <c r="F238" s="116" t="s">
        <v>65</v>
      </c>
      <c r="G238" s="116" t="s">
        <v>8847</v>
      </c>
      <c r="H238" s="122" t="s">
        <v>11805</v>
      </c>
      <c r="I238" s="116" t="s">
        <v>8849</v>
      </c>
      <c r="J238" s="116" t="s">
        <v>8850</v>
      </c>
      <c r="K238" s="47" t="s">
        <v>10942</v>
      </c>
      <c r="L238" s="47" t="s">
        <v>9328</v>
      </c>
      <c r="M238" s="47" t="s">
        <v>9329</v>
      </c>
    </row>
    <row r="239" spans="1:13" ht="14.25" customHeight="1">
      <c r="A239" s="146">
        <v>1</v>
      </c>
      <c r="B239" s="88"/>
      <c r="C239" s="148" t="s">
        <v>8293</v>
      </c>
      <c r="D239" s="148" t="s">
        <v>8294</v>
      </c>
      <c r="E239" s="148" t="s">
        <v>8295</v>
      </c>
      <c r="F239" s="148" t="s">
        <v>65</v>
      </c>
      <c r="G239" s="148" t="s">
        <v>8296</v>
      </c>
      <c r="H239" s="150" t="s">
        <v>11806</v>
      </c>
      <c r="I239" s="164" t="s">
        <v>8298</v>
      </c>
      <c r="J239" s="150" t="s">
        <v>8299</v>
      </c>
      <c r="K239" s="88" t="s">
        <v>10884</v>
      </c>
      <c r="L239" s="88" t="s">
        <v>9378</v>
      </c>
      <c r="M239" s="88" t="s">
        <v>9379</v>
      </c>
    </row>
    <row r="240" spans="1:13" ht="14.25" customHeight="1">
      <c r="A240" s="113">
        <v>2</v>
      </c>
      <c r="B240" s="47"/>
      <c r="C240" s="130" t="s">
        <v>6836</v>
      </c>
      <c r="D240" s="130" t="s">
        <v>6837</v>
      </c>
      <c r="E240" s="130" t="s">
        <v>6838</v>
      </c>
      <c r="F240" s="130" t="s">
        <v>664</v>
      </c>
      <c r="G240" s="104" t="s">
        <v>6839</v>
      </c>
      <c r="H240" s="116" t="s">
        <v>11807</v>
      </c>
      <c r="I240" s="167" t="s">
        <v>6841</v>
      </c>
      <c r="J240" s="116" t="s">
        <v>6842</v>
      </c>
      <c r="K240" s="47" t="s">
        <v>10729</v>
      </c>
      <c r="L240" s="47" t="s">
        <v>9388</v>
      </c>
      <c r="M240" s="47" t="s">
        <v>9389</v>
      </c>
    </row>
    <row r="241" spans="1:13" ht="14.25" customHeight="1">
      <c r="A241" s="113">
        <v>3</v>
      </c>
      <c r="B241" s="47"/>
      <c r="C241" s="130" t="s">
        <v>9678</v>
      </c>
      <c r="D241" s="130" t="s">
        <v>9679</v>
      </c>
      <c r="E241" s="130" t="s">
        <v>9680</v>
      </c>
      <c r="F241" s="130" t="s">
        <v>117</v>
      </c>
      <c r="G241" s="104" t="s">
        <v>9681</v>
      </c>
      <c r="H241" s="116" t="s">
        <v>11808</v>
      </c>
      <c r="I241" s="167" t="s">
        <v>9683</v>
      </c>
      <c r="J241" s="116" t="s">
        <v>9684</v>
      </c>
      <c r="K241" s="47" t="s">
        <v>11025</v>
      </c>
      <c r="L241" s="47" t="s">
        <v>9395</v>
      </c>
      <c r="M241" s="47" t="s">
        <v>9396</v>
      </c>
    </row>
    <row r="242" spans="1:13" ht="14.25" customHeight="1">
      <c r="A242" s="113">
        <v>4</v>
      </c>
      <c r="B242" s="47"/>
      <c r="C242" s="130" t="s">
        <v>9300</v>
      </c>
      <c r="D242" s="130" t="s">
        <v>9301</v>
      </c>
      <c r="E242" s="130" t="s">
        <v>9302</v>
      </c>
      <c r="F242" s="130" t="s">
        <v>65</v>
      </c>
      <c r="G242" s="104" t="s">
        <v>9303</v>
      </c>
      <c r="H242" s="116" t="s">
        <v>11809</v>
      </c>
      <c r="I242" s="167" t="s">
        <v>9305</v>
      </c>
      <c r="J242" s="116" t="s">
        <v>9306</v>
      </c>
      <c r="K242" s="47" t="s">
        <v>10986</v>
      </c>
      <c r="L242" s="47" t="s">
        <v>9405</v>
      </c>
      <c r="M242" s="47" t="s">
        <v>9406</v>
      </c>
    </row>
    <row r="243" spans="1:13" ht="14.25" customHeight="1">
      <c r="A243" s="113">
        <v>5</v>
      </c>
      <c r="B243" s="47"/>
      <c r="C243" s="130" t="s">
        <v>8217</v>
      </c>
      <c r="D243" s="130" t="s">
        <v>8218</v>
      </c>
      <c r="E243" s="130" t="s">
        <v>8219</v>
      </c>
      <c r="F243" s="130" t="s">
        <v>65</v>
      </c>
      <c r="G243" s="104" t="s">
        <v>8220</v>
      </c>
      <c r="H243" s="116" t="s">
        <v>11810</v>
      </c>
      <c r="I243" s="167" t="s">
        <v>8222</v>
      </c>
      <c r="J243" s="116" t="s">
        <v>8223</v>
      </c>
      <c r="K243" s="47" t="s">
        <v>10880</v>
      </c>
      <c r="L243" s="47" t="s">
        <v>9415</v>
      </c>
      <c r="M243" s="47" t="s">
        <v>9416</v>
      </c>
    </row>
    <row r="244" spans="1:13" ht="14.25" customHeight="1">
      <c r="A244" s="113">
        <v>6</v>
      </c>
      <c r="B244" s="47"/>
      <c r="C244" s="130" t="s">
        <v>11811</v>
      </c>
      <c r="D244" s="130" t="s">
        <v>11812</v>
      </c>
      <c r="E244" s="130" t="s">
        <v>11813</v>
      </c>
      <c r="F244" s="130" t="s">
        <v>65</v>
      </c>
      <c r="G244" s="104" t="s">
        <v>11814</v>
      </c>
      <c r="H244" s="116" t="s">
        <v>11815</v>
      </c>
      <c r="I244" s="167" t="s">
        <v>11816</v>
      </c>
      <c r="J244" s="116" t="s">
        <v>11817</v>
      </c>
      <c r="K244" s="47" t="s">
        <v>11818</v>
      </c>
      <c r="L244" s="47" t="s">
        <v>9419</v>
      </c>
      <c r="M244" s="47" t="s">
        <v>9420</v>
      </c>
    </row>
    <row r="245" spans="1:13" ht="14.25" customHeight="1">
      <c r="A245" s="113">
        <v>7</v>
      </c>
      <c r="B245" s="47"/>
      <c r="C245" s="130" t="s">
        <v>11819</v>
      </c>
      <c r="D245" s="130" t="s">
        <v>11820</v>
      </c>
      <c r="E245" s="130" t="s">
        <v>11821</v>
      </c>
      <c r="F245" s="130" t="s">
        <v>65</v>
      </c>
      <c r="G245" s="104" t="s">
        <v>11822</v>
      </c>
      <c r="H245" s="116" t="s">
        <v>11823</v>
      </c>
      <c r="I245" s="167" t="s">
        <v>11824</v>
      </c>
      <c r="J245" s="116" t="s">
        <v>11825</v>
      </c>
      <c r="K245" s="47" t="s">
        <v>11826</v>
      </c>
      <c r="L245" s="47" t="s">
        <v>9429</v>
      </c>
      <c r="M245" s="47" t="s">
        <v>9430</v>
      </c>
    </row>
    <row r="246" spans="1:13" ht="14.25" customHeight="1">
      <c r="A246" s="113">
        <v>8</v>
      </c>
      <c r="B246" s="47"/>
      <c r="C246" s="130" t="s">
        <v>11827</v>
      </c>
      <c r="D246" s="130" t="s">
        <v>11828</v>
      </c>
      <c r="E246" s="130" t="s">
        <v>11829</v>
      </c>
      <c r="F246" s="130" t="s">
        <v>65</v>
      </c>
      <c r="G246" s="104" t="s">
        <v>11830</v>
      </c>
      <c r="H246" s="116" t="s">
        <v>11831</v>
      </c>
      <c r="I246" s="167" t="s">
        <v>11832</v>
      </c>
      <c r="J246" s="116" t="s">
        <v>11833</v>
      </c>
      <c r="K246" s="47" t="s">
        <v>11834</v>
      </c>
      <c r="L246" s="47" t="s">
        <v>9439</v>
      </c>
      <c r="M246" s="47" t="s">
        <v>9440</v>
      </c>
    </row>
    <row r="247" spans="1:13" ht="14.25" customHeight="1">
      <c r="A247" s="113">
        <v>9</v>
      </c>
      <c r="B247" s="47"/>
      <c r="C247" s="104" t="s">
        <v>3982</v>
      </c>
      <c r="D247" s="104" t="s">
        <v>10553</v>
      </c>
      <c r="E247" s="104" t="s">
        <v>10554</v>
      </c>
      <c r="F247" s="104" t="s">
        <v>117</v>
      </c>
      <c r="G247" s="104" t="s">
        <v>11835</v>
      </c>
      <c r="H247" s="116" t="s">
        <v>11836</v>
      </c>
      <c r="I247" s="167" t="s">
        <v>11837</v>
      </c>
      <c r="J247" s="116" t="s">
        <v>11838</v>
      </c>
      <c r="K247" s="47" t="s">
        <v>11839</v>
      </c>
      <c r="L247" s="47" t="s">
        <v>9449</v>
      </c>
      <c r="M247" s="47" t="s">
        <v>9450</v>
      </c>
    </row>
    <row r="248" spans="1:13" ht="14.25" customHeight="1">
      <c r="A248" s="113">
        <v>10</v>
      </c>
      <c r="B248" s="47"/>
      <c r="C248" s="104" t="s">
        <v>9380</v>
      </c>
      <c r="D248" s="104" t="s">
        <v>9381</v>
      </c>
      <c r="E248" s="104" t="s">
        <v>9382</v>
      </c>
      <c r="F248" s="104" t="s">
        <v>54</v>
      </c>
      <c r="G248" s="104" t="s">
        <v>9383</v>
      </c>
      <c r="H248" s="116" t="s">
        <v>11840</v>
      </c>
      <c r="I248" s="172" t="s">
        <v>9385</v>
      </c>
      <c r="J248" s="116" t="s">
        <v>9386</v>
      </c>
      <c r="K248" s="47" t="s">
        <v>11001</v>
      </c>
      <c r="L248" s="47" t="s">
        <v>9459</v>
      </c>
      <c r="M248" s="47" t="s">
        <v>9460</v>
      </c>
    </row>
    <row r="249" spans="1:13" ht="14.25" customHeight="1">
      <c r="A249" s="113">
        <v>11</v>
      </c>
      <c r="B249" s="47"/>
      <c r="C249" s="104" t="s">
        <v>5487</v>
      </c>
      <c r="D249" s="104" t="s">
        <v>5488</v>
      </c>
      <c r="E249" s="104" t="s">
        <v>5489</v>
      </c>
      <c r="F249" s="104" t="s">
        <v>65</v>
      </c>
      <c r="G249" s="104" t="s">
        <v>5490</v>
      </c>
      <c r="H249" s="116" t="s">
        <v>11841</v>
      </c>
      <c r="I249" s="172" t="s">
        <v>11842</v>
      </c>
      <c r="J249" s="116" t="s">
        <v>11843</v>
      </c>
      <c r="K249" s="47" t="s">
        <v>11844</v>
      </c>
      <c r="L249" s="47" t="s">
        <v>9469</v>
      </c>
      <c r="M249" s="47" t="s">
        <v>9470</v>
      </c>
    </row>
    <row r="250" spans="1:13" ht="14.25" customHeight="1">
      <c r="A250" s="113">
        <v>12</v>
      </c>
      <c r="B250" s="47"/>
      <c r="C250" s="130" t="s">
        <v>7143</v>
      </c>
      <c r="D250" s="130" t="s">
        <v>7144</v>
      </c>
      <c r="E250" s="130" t="s">
        <v>7145</v>
      </c>
      <c r="F250" s="130" t="s">
        <v>65</v>
      </c>
      <c r="G250" s="104" t="s">
        <v>11845</v>
      </c>
      <c r="H250" s="116" t="s">
        <v>11846</v>
      </c>
      <c r="I250" s="167" t="s">
        <v>11847</v>
      </c>
      <c r="J250" s="116" t="s">
        <v>11848</v>
      </c>
      <c r="K250" s="47" t="s">
        <v>11849</v>
      </c>
      <c r="L250" s="47" t="s">
        <v>9479</v>
      </c>
      <c r="M250" s="47" t="s">
        <v>9480</v>
      </c>
    </row>
    <row r="251" spans="1:13" ht="14.25" customHeight="1">
      <c r="A251" s="113">
        <v>13</v>
      </c>
      <c r="B251" s="47"/>
      <c r="C251" s="130" t="s">
        <v>11850</v>
      </c>
      <c r="D251" s="130" t="s">
        <v>11851</v>
      </c>
      <c r="E251" s="130" t="s">
        <v>11852</v>
      </c>
      <c r="F251" s="130" t="s">
        <v>65</v>
      </c>
      <c r="G251" s="104" t="s">
        <v>11853</v>
      </c>
      <c r="H251" s="116" t="s">
        <v>11854</v>
      </c>
      <c r="I251" s="167" t="s">
        <v>11855</v>
      </c>
      <c r="J251" s="116" t="s">
        <v>11856</v>
      </c>
      <c r="K251" s="47" t="s">
        <v>11857</v>
      </c>
      <c r="L251" s="47" t="s">
        <v>9489</v>
      </c>
      <c r="M251" s="47" t="s">
        <v>9490</v>
      </c>
    </row>
    <row r="252" spans="1:13" ht="14.25" customHeight="1">
      <c r="A252" s="113">
        <v>14</v>
      </c>
      <c r="B252" s="47"/>
      <c r="C252" s="130" t="s">
        <v>5630</v>
      </c>
      <c r="D252" s="130" t="s">
        <v>5631</v>
      </c>
      <c r="E252" s="130" t="s">
        <v>5632</v>
      </c>
      <c r="F252" s="130" t="s">
        <v>65</v>
      </c>
      <c r="G252" s="130" t="s">
        <v>5633</v>
      </c>
      <c r="H252" s="116" t="s">
        <v>11858</v>
      </c>
      <c r="I252" s="167" t="s">
        <v>5635</v>
      </c>
      <c r="J252" s="116" t="s">
        <v>5636</v>
      </c>
      <c r="K252" s="47" t="s">
        <v>10639</v>
      </c>
      <c r="L252" s="47" t="s">
        <v>9499</v>
      </c>
      <c r="M252" s="47" t="s">
        <v>9500</v>
      </c>
    </row>
    <row r="253" spans="1:13" ht="14.25" customHeight="1">
      <c r="A253" s="113">
        <v>15</v>
      </c>
      <c r="B253" s="47"/>
      <c r="C253" s="104" t="s">
        <v>11859</v>
      </c>
      <c r="D253" s="104" t="s">
        <v>11860</v>
      </c>
      <c r="E253" s="104" t="s">
        <v>11861</v>
      </c>
      <c r="F253" s="104" t="s">
        <v>117</v>
      </c>
      <c r="G253" s="104" t="s">
        <v>11862</v>
      </c>
      <c r="H253" s="116" t="s">
        <v>11863</v>
      </c>
      <c r="I253" s="167" t="s">
        <v>11864</v>
      </c>
      <c r="J253" s="116" t="s">
        <v>11865</v>
      </c>
      <c r="K253" s="47" t="s">
        <v>11866</v>
      </c>
      <c r="L253" s="47" t="s">
        <v>9508</v>
      </c>
      <c r="M253" s="47" t="s">
        <v>9509</v>
      </c>
    </row>
    <row r="254" spans="1:13" ht="14.25" customHeight="1">
      <c r="A254" s="113">
        <v>16</v>
      </c>
      <c r="B254" s="47"/>
      <c r="C254" s="104" t="s">
        <v>6905</v>
      </c>
      <c r="D254" s="104" t="s">
        <v>6906</v>
      </c>
      <c r="E254" s="104" t="s">
        <v>6907</v>
      </c>
      <c r="F254" s="104" t="s">
        <v>117</v>
      </c>
      <c r="G254" s="104" t="s">
        <v>6908</v>
      </c>
      <c r="H254" s="116" t="s">
        <v>11867</v>
      </c>
      <c r="I254" s="167" t="s">
        <v>6910</v>
      </c>
      <c r="J254" s="116" t="s">
        <v>6911</v>
      </c>
      <c r="K254" s="47" t="s">
        <v>10731</v>
      </c>
      <c r="L254" s="47" t="s">
        <v>9518</v>
      </c>
      <c r="M254" s="47" t="s">
        <v>9519</v>
      </c>
    </row>
    <row r="255" spans="1:13" ht="14.25" customHeight="1">
      <c r="A255" s="146">
        <v>1</v>
      </c>
      <c r="B255" s="88"/>
      <c r="C255" s="148" t="s">
        <v>8227</v>
      </c>
      <c r="D255" s="148" t="s">
        <v>8228</v>
      </c>
      <c r="E255" s="148" t="s">
        <v>8229</v>
      </c>
      <c r="F255" s="148" t="s">
        <v>117</v>
      </c>
      <c r="G255" s="148" t="s">
        <v>8230</v>
      </c>
      <c r="H255" s="161" t="s">
        <v>11868</v>
      </c>
      <c r="I255" s="150" t="s">
        <v>8232</v>
      </c>
      <c r="J255" s="150" t="s">
        <v>8233</v>
      </c>
      <c r="K255" s="88" t="s">
        <v>10881</v>
      </c>
      <c r="L255" s="88" t="s">
        <v>9622</v>
      </c>
      <c r="M255" s="88" t="s">
        <v>9623</v>
      </c>
    </row>
    <row r="256" spans="1:13" ht="14.25" customHeight="1">
      <c r="A256" s="113">
        <v>2</v>
      </c>
      <c r="B256" s="47"/>
      <c r="C256" s="130" t="s">
        <v>7190</v>
      </c>
      <c r="D256" s="130" t="s">
        <v>7191</v>
      </c>
      <c r="E256" s="130" t="s">
        <v>7192</v>
      </c>
      <c r="F256" s="130" t="s">
        <v>219</v>
      </c>
      <c r="G256" s="104" t="s">
        <v>7193</v>
      </c>
      <c r="H256" s="122" t="s">
        <v>11869</v>
      </c>
      <c r="I256" s="116" t="s">
        <v>7195</v>
      </c>
      <c r="J256" s="116" t="s">
        <v>7196</v>
      </c>
      <c r="K256" s="47" t="s">
        <v>10750</v>
      </c>
      <c r="L256" s="47" t="s">
        <v>9632</v>
      </c>
      <c r="M256" s="47" t="s">
        <v>9633</v>
      </c>
    </row>
    <row r="257" spans="1:13" ht="14.25" customHeight="1">
      <c r="A257" s="113">
        <v>3</v>
      </c>
      <c r="B257" s="47"/>
      <c r="C257" s="130" t="s">
        <v>6815</v>
      </c>
      <c r="D257" s="130" t="s">
        <v>6816</v>
      </c>
      <c r="E257" s="130" t="s">
        <v>6817</v>
      </c>
      <c r="F257" s="130" t="s">
        <v>65</v>
      </c>
      <c r="G257" s="104" t="s">
        <v>6818</v>
      </c>
      <c r="H257" s="122" t="s">
        <v>11870</v>
      </c>
      <c r="I257" s="116" t="s">
        <v>6820</v>
      </c>
      <c r="J257" s="116" t="s">
        <v>6821</v>
      </c>
      <c r="K257" s="47" t="s">
        <v>10728</v>
      </c>
      <c r="L257" s="47" t="s">
        <v>9642</v>
      </c>
      <c r="M257" s="47" t="s">
        <v>9643</v>
      </c>
    </row>
    <row r="258" spans="1:13" ht="14.25" customHeight="1">
      <c r="A258" s="113">
        <v>4</v>
      </c>
      <c r="B258" s="47"/>
      <c r="C258" s="130" t="s">
        <v>8187</v>
      </c>
      <c r="D258" s="130" t="s">
        <v>8188</v>
      </c>
      <c r="E258" s="130" t="s">
        <v>8189</v>
      </c>
      <c r="F258" s="130" t="s">
        <v>65</v>
      </c>
      <c r="G258" s="104" t="s">
        <v>8190</v>
      </c>
      <c r="H258" s="122" t="s">
        <v>11871</v>
      </c>
      <c r="I258" s="116" t="s">
        <v>8192</v>
      </c>
      <c r="J258" s="116" t="s">
        <v>8193</v>
      </c>
      <c r="K258" s="47" t="s">
        <v>10876</v>
      </c>
      <c r="L258" s="47" t="s">
        <v>9652</v>
      </c>
      <c r="M258" s="47" t="s">
        <v>9653</v>
      </c>
    </row>
    <row r="259" spans="1:13" ht="14.25" customHeight="1">
      <c r="A259" s="113">
        <v>5</v>
      </c>
      <c r="B259" s="47"/>
      <c r="C259" s="130" t="s">
        <v>7103</v>
      </c>
      <c r="D259" s="130" t="s">
        <v>7104</v>
      </c>
      <c r="E259" s="130" t="s">
        <v>7105</v>
      </c>
      <c r="F259" s="130" t="s">
        <v>117</v>
      </c>
      <c r="G259" s="104" t="s">
        <v>7106</v>
      </c>
      <c r="H259" s="122" t="s">
        <v>11872</v>
      </c>
      <c r="I259" s="116" t="s">
        <v>7108</v>
      </c>
      <c r="J259" s="116" t="s">
        <v>7109</v>
      </c>
      <c r="K259" s="47" t="s">
        <v>10746</v>
      </c>
      <c r="L259" s="47" t="s">
        <v>9662</v>
      </c>
      <c r="M259" s="47" t="s">
        <v>9663</v>
      </c>
    </row>
    <row r="260" spans="1:13" ht="14.25" customHeight="1">
      <c r="A260" s="113">
        <v>6</v>
      </c>
      <c r="B260" s="47"/>
      <c r="C260" s="130" t="s">
        <v>6975</v>
      </c>
      <c r="D260" s="130" t="s">
        <v>6976</v>
      </c>
      <c r="E260" s="130" t="s">
        <v>6977</v>
      </c>
      <c r="F260" s="130" t="s">
        <v>117</v>
      </c>
      <c r="G260" s="104" t="s">
        <v>6978</v>
      </c>
      <c r="H260" s="122" t="s">
        <v>11873</v>
      </c>
      <c r="I260" s="116" t="s">
        <v>6980</v>
      </c>
      <c r="J260" s="116" t="s">
        <v>6981</v>
      </c>
      <c r="K260" s="47" t="s">
        <v>10736</v>
      </c>
      <c r="L260" s="47" t="s">
        <v>9672</v>
      </c>
      <c r="M260" s="47" t="s">
        <v>9673</v>
      </c>
    </row>
    <row r="261" spans="1:13" ht="14.25" customHeight="1">
      <c r="A261" s="113">
        <v>7</v>
      </c>
      <c r="B261" s="47"/>
      <c r="C261" s="130" t="s">
        <v>11874</v>
      </c>
      <c r="D261" s="130" t="s">
        <v>11875</v>
      </c>
      <c r="E261" s="130" t="s">
        <v>11876</v>
      </c>
      <c r="F261" s="130" t="s">
        <v>65</v>
      </c>
      <c r="G261" s="104" t="s">
        <v>11877</v>
      </c>
      <c r="H261" s="122" t="s">
        <v>11878</v>
      </c>
      <c r="I261" s="116" t="s">
        <v>11879</v>
      </c>
      <c r="J261" s="116" t="s">
        <v>11880</v>
      </c>
      <c r="K261" s="47" t="s">
        <v>11881</v>
      </c>
      <c r="L261" s="47" t="s">
        <v>9676</v>
      </c>
      <c r="M261" s="47" t="s">
        <v>9677</v>
      </c>
    </row>
    <row r="262" spans="1:13" ht="14.25" customHeight="1">
      <c r="A262" s="113">
        <v>8</v>
      </c>
      <c r="B262" s="47"/>
      <c r="C262" s="130" t="s">
        <v>6985</v>
      </c>
      <c r="D262" s="130" t="s">
        <v>6986</v>
      </c>
      <c r="E262" s="130" t="s">
        <v>6987</v>
      </c>
      <c r="F262" s="130" t="s">
        <v>219</v>
      </c>
      <c r="G262" s="104" t="s">
        <v>6988</v>
      </c>
      <c r="H262" s="122" t="s">
        <v>11882</v>
      </c>
      <c r="I262" s="116" t="s">
        <v>6990</v>
      </c>
      <c r="J262" s="116" t="s">
        <v>6991</v>
      </c>
      <c r="K262" s="47" t="s">
        <v>10737</v>
      </c>
      <c r="L262" s="47" t="s">
        <v>9686</v>
      </c>
      <c r="M262" s="47" t="s">
        <v>9687</v>
      </c>
    </row>
    <row r="263" spans="1:13" ht="14.25" customHeight="1">
      <c r="A263" s="113">
        <v>9</v>
      </c>
      <c r="B263" s="47"/>
      <c r="C263" s="130" t="s">
        <v>8679</v>
      </c>
      <c r="D263" s="130" t="s">
        <v>8680</v>
      </c>
      <c r="E263" s="130" t="s">
        <v>8681</v>
      </c>
      <c r="F263" s="130" t="s">
        <v>65</v>
      </c>
      <c r="G263" s="104" t="s">
        <v>8682</v>
      </c>
      <c r="H263" s="13" t="s">
        <v>11883</v>
      </c>
      <c r="I263" s="116" t="s">
        <v>8684</v>
      </c>
      <c r="J263" s="116" t="s">
        <v>8685</v>
      </c>
      <c r="K263" s="47" t="s">
        <v>10927</v>
      </c>
      <c r="L263" s="47" t="s">
        <v>9696</v>
      </c>
      <c r="M263" s="47" t="s">
        <v>9697</v>
      </c>
    </row>
    <row r="264" spans="1:13" ht="14.25" customHeight="1">
      <c r="A264" s="113">
        <v>10</v>
      </c>
      <c r="B264" s="47"/>
      <c r="C264" s="130" t="s">
        <v>4177</v>
      </c>
      <c r="D264" s="130" t="s">
        <v>4178</v>
      </c>
      <c r="E264" s="130" t="s">
        <v>4179</v>
      </c>
      <c r="F264" s="130" t="s">
        <v>65</v>
      </c>
      <c r="G264" s="104" t="s">
        <v>4180</v>
      </c>
      <c r="H264" s="122" t="s">
        <v>11884</v>
      </c>
      <c r="I264" s="116" t="s">
        <v>4182</v>
      </c>
      <c r="J264" s="116" t="s">
        <v>4183</v>
      </c>
      <c r="K264" s="47" t="s">
        <v>5330</v>
      </c>
      <c r="L264" s="47" t="s">
        <v>5331</v>
      </c>
      <c r="M264" s="47" t="s">
        <v>5332</v>
      </c>
    </row>
    <row r="265" spans="1:13" ht="14.25" customHeight="1">
      <c r="A265" s="113">
        <v>11</v>
      </c>
      <c r="B265" s="47"/>
      <c r="C265" s="130" t="s">
        <v>7557</v>
      </c>
      <c r="D265" s="130" t="s">
        <v>7558</v>
      </c>
      <c r="E265" s="130" t="s">
        <v>7559</v>
      </c>
      <c r="F265" s="130" t="s">
        <v>501</v>
      </c>
      <c r="G265" s="104" t="s">
        <v>7560</v>
      </c>
      <c r="H265" s="122" t="s">
        <v>11885</v>
      </c>
      <c r="I265" s="116" t="s">
        <v>7562</v>
      </c>
      <c r="J265" s="116" t="s">
        <v>7563</v>
      </c>
      <c r="K265" s="47" t="s">
        <v>10807</v>
      </c>
      <c r="L265" s="47" t="s">
        <v>9714</v>
      </c>
      <c r="M265" s="47" t="s">
        <v>9715</v>
      </c>
    </row>
    <row r="266" spans="1:13" ht="14.25" customHeight="1">
      <c r="A266" s="113">
        <v>12</v>
      </c>
      <c r="B266" s="47"/>
      <c r="C266" s="130" t="s">
        <v>9195</v>
      </c>
      <c r="D266" s="130" t="s">
        <v>9196</v>
      </c>
      <c r="E266" s="130" t="s">
        <v>9197</v>
      </c>
      <c r="F266" s="130" t="s">
        <v>501</v>
      </c>
      <c r="G266" s="104" t="s">
        <v>9198</v>
      </c>
      <c r="H266" s="122" t="s">
        <v>11886</v>
      </c>
      <c r="I266" s="116" t="s">
        <v>9200</v>
      </c>
      <c r="J266" s="116" t="s">
        <v>9201</v>
      </c>
      <c r="K266" s="47" t="s">
        <v>10980</v>
      </c>
      <c r="L266" s="47" t="s">
        <v>9722</v>
      </c>
      <c r="M266" s="47" t="s">
        <v>9723</v>
      </c>
    </row>
    <row r="267" spans="1:13" ht="14.25" customHeight="1">
      <c r="A267" s="113">
        <v>13</v>
      </c>
      <c r="B267" s="47"/>
      <c r="C267" s="130" t="s">
        <v>11887</v>
      </c>
      <c r="D267" s="130" t="s">
        <v>11888</v>
      </c>
      <c r="E267" s="130" t="s">
        <v>11889</v>
      </c>
      <c r="F267" s="130" t="s">
        <v>65</v>
      </c>
      <c r="G267" s="104" t="s">
        <v>11890</v>
      </c>
      <c r="H267" s="122" t="s">
        <v>11891</v>
      </c>
      <c r="I267" s="116" t="s">
        <v>11892</v>
      </c>
      <c r="J267" s="116" t="s">
        <v>11893</v>
      </c>
      <c r="K267" s="47" t="s">
        <v>11894</v>
      </c>
      <c r="L267" s="47" t="s">
        <v>9732</v>
      </c>
      <c r="M267" s="47" t="s">
        <v>9733</v>
      </c>
    </row>
    <row r="268" spans="1:13" ht="14.25" customHeight="1">
      <c r="A268" s="113">
        <v>14</v>
      </c>
      <c r="B268" s="47"/>
      <c r="C268" s="130" t="s">
        <v>9540</v>
      </c>
      <c r="D268" s="130" t="s">
        <v>9541</v>
      </c>
      <c r="E268" s="130" t="s">
        <v>9542</v>
      </c>
      <c r="F268" s="130" t="s">
        <v>54</v>
      </c>
      <c r="G268" s="104" t="s">
        <v>9543</v>
      </c>
      <c r="H268" s="122" t="s">
        <v>11895</v>
      </c>
      <c r="I268" s="116" t="s">
        <v>9545</v>
      </c>
      <c r="J268" s="116" t="s">
        <v>9546</v>
      </c>
      <c r="K268" s="47" t="s">
        <v>11014</v>
      </c>
      <c r="L268" s="47" t="s">
        <v>9742</v>
      </c>
      <c r="M268" s="47" t="s">
        <v>9743</v>
      </c>
    </row>
    <row r="269" spans="1:13" ht="14.25" customHeight="1">
      <c r="A269" s="113">
        <v>15</v>
      </c>
      <c r="B269" s="47"/>
      <c r="C269" s="130" t="s">
        <v>621</v>
      </c>
      <c r="D269" s="130" t="s">
        <v>622</v>
      </c>
      <c r="E269" s="130" t="s">
        <v>623</v>
      </c>
      <c r="F269" s="130" t="s">
        <v>65</v>
      </c>
      <c r="G269" s="104" t="s">
        <v>9560</v>
      </c>
      <c r="H269" s="122" t="s">
        <v>11896</v>
      </c>
      <c r="I269" s="116" t="s">
        <v>11897</v>
      </c>
      <c r="J269" s="116" t="s">
        <v>11898</v>
      </c>
      <c r="K269" s="47" t="s">
        <v>11899</v>
      </c>
      <c r="L269" s="47" t="s">
        <v>9752</v>
      </c>
      <c r="M269" s="47" t="s">
        <v>9753</v>
      </c>
    </row>
    <row r="270" spans="1:13" ht="14.25" customHeight="1">
      <c r="A270" s="113">
        <v>16</v>
      </c>
      <c r="B270" s="47"/>
      <c r="C270" s="130" t="s">
        <v>5728</v>
      </c>
      <c r="D270" s="130" t="s">
        <v>5729</v>
      </c>
      <c r="E270" s="130" t="s">
        <v>5730</v>
      </c>
      <c r="F270" s="130" t="s">
        <v>54</v>
      </c>
      <c r="G270" s="104" t="s">
        <v>5731</v>
      </c>
      <c r="H270" s="122" t="s">
        <v>11900</v>
      </c>
      <c r="I270" s="116" t="s">
        <v>5733</v>
      </c>
      <c r="J270" s="116" t="s">
        <v>5734</v>
      </c>
      <c r="K270" s="47" t="s">
        <v>10647</v>
      </c>
      <c r="L270" s="47" t="s">
        <v>9762</v>
      </c>
      <c r="M270" s="47" t="s">
        <v>9763</v>
      </c>
    </row>
    <row r="271" spans="1:13" ht="14.25" customHeight="1">
      <c r="A271" s="146">
        <v>1</v>
      </c>
      <c r="B271" s="88"/>
      <c r="C271" s="148" t="s">
        <v>1439</v>
      </c>
      <c r="D271" s="148" t="s">
        <v>11901</v>
      </c>
      <c r="E271" s="148" t="s">
        <v>11902</v>
      </c>
      <c r="F271" s="148" t="s">
        <v>563</v>
      </c>
      <c r="G271" s="148" t="s">
        <v>11903</v>
      </c>
      <c r="H271" s="161" t="s">
        <v>11904</v>
      </c>
      <c r="I271" s="150" t="s">
        <v>11905</v>
      </c>
      <c r="J271" s="150" t="s">
        <v>11906</v>
      </c>
      <c r="K271" s="88" t="s">
        <v>11907</v>
      </c>
      <c r="L271" s="88" t="s">
        <v>9881</v>
      </c>
      <c r="M271" s="88" t="s">
        <v>9882</v>
      </c>
    </row>
    <row r="272" spans="1:13" ht="14.25" customHeight="1">
      <c r="A272" s="113">
        <v>2</v>
      </c>
      <c r="B272" s="47"/>
      <c r="C272" s="130" t="s">
        <v>9557</v>
      </c>
      <c r="D272" s="130" t="s">
        <v>9558</v>
      </c>
      <c r="E272" s="130" t="s">
        <v>9559</v>
      </c>
      <c r="F272" s="130" t="s">
        <v>65</v>
      </c>
      <c r="G272" s="104" t="s">
        <v>9560</v>
      </c>
      <c r="H272" s="122" t="s">
        <v>11908</v>
      </c>
      <c r="I272" s="116" t="s">
        <v>9562</v>
      </c>
      <c r="J272" s="116" t="s">
        <v>9563</v>
      </c>
      <c r="K272" s="47" t="s">
        <v>11015</v>
      </c>
      <c r="L272" s="47" t="s">
        <v>9890</v>
      </c>
      <c r="M272" s="47" t="s">
        <v>9891</v>
      </c>
    </row>
    <row r="273" spans="1:13" ht="14.25" customHeight="1">
      <c r="A273" s="113">
        <v>3</v>
      </c>
      <c r="B273" s="47"/>
      <c r="C273" s="130" t="s">
        <v>9451</v>
      </c>
      <c r="D273" s="130" t="s">
        <v>9452</v>
      </c>
      <c r="E273" s="130" t="s">
        <v>9453</v>
      </c>
      <c r="F273" s="130" t="s">
        <v>65</v>
      </c>
      <c r="G273" s="104" t="s">
        <v>9454</v>
      </c>
      <c r="H273" s="122" t="s">
        <v>11909</v>
      </c>
      <c r="I273" s="116" t="s">
        <v>9456</v>
      </c>
      <c r="J273" s="116" t="s">
        <v>9457</v>
      </c>
      <c r="K273" s="47" t="s">
        <v>11006</v>
      </c>
      <c r="L273" s="47" t="s">
        <v>9898</v>
      </c>
      <c r="M273" s="47" t="s">
        <v>9899</v>
      </c>
    </row>
    <row r="274" spans="1:13" ht="14.25" customHeight="1">
      <c r="A274" s="113">
        <v>4</v>
      </c>
      <c r="B274" s="47"/>
      <c r="C274" s="130" t="s">
        <v>11910</v>
      </c>
      <c r="D274" s="130" t="s">
        <v>11911</v>
      </c>
      <c r="E274" s="130" t="s">
        <v>11912</v>
      </c>
      <c r="F274" s="130" t="s">
        <v>65</v>
      </c>
      <c r="G274" s="104" t="s">
        <v>11913</v>
      </c>
      <c r="H274" s="122" t="s">
        <v>11914</v>
      </c>
      <c r="I274" s="116" t="s">
        <v>11915</v>
      </c>
      <c r="J274" s="116" t="s">
        <v>11916</v>
      </c>
      <c r="K274" s="47" t="s">
        <v>11917</v>
      </c>
      <c r="L274" s="47" t="s">
        <v>9908</v>
      </c>
      <c r="M274" s="47" t="s">
        <v>9909</v>
      </c>
    </row>
    <row r="275" spans="1:13" ht="14.25" customHeight="1">
      <c r="A275" s="113">
        <v>5</v>
      </c>
      <c r="B275" s="47"/>
      <c r="C275" s="130" t="s">
        <v>9471</v>
      </c>
      <c r="D275" s="130" t="s">
        <v>9472</v>
      </c>
      <c r="E275" s="130" t="s">
        <v>9473</v>
      </c>
      <c r="F275" s="130" t="s">
        <v>54</v>
      </c>
      <c r="G275" s="104" t="s">
        <v>9474</v>
      </c>
      <c r="H275" s="122" t="s">
        <v>11918</v>
      </c>
      <c r="I275" s="116" t="s">
        <v>9476</v>
      </c>
      <c r="J275" s="116" t="s">
        <v>9477</v>
      </c>
      <c r="K275" s="47" t="s">
        <v>11007</v>
      </c>
      <c r="L275" s="47" t="s">
        <v>9918</v>
      </c>
      <c r="M275" s="47" t="s">
        <v>9919</v>
      </c>
    </row>
    <row r="276" spans="1:13" ht="14.25" customHeight="1">
      <c r="A276" s="113">
        <v>6</v>
      </c>
      <c r="B276" s="47"/>
      <c r="C276" s="130" t="s">
        <v>9135</v>
      </c>
      <c r="D276" s="130" t="s">
        <v>9136</v>
      </c>
      <c r="E276" s="130" t="s">
        <v>9137</v>
      </c>
      <c r="F276" s="130" t="s">
        <v>563</v>
      </c>
      <c r="G276" s="104" t="s">
        <v>9138</v>
      </c>
      <c r="H276" s="122" t="s">
        <v>11919</v>
      </c>
      <c r="I276" s="116" t="s">
        <v>9140</v>
      </c>
      <c r="J276" s="116" t="s">
        <v>9141</v>
      </c>
      <c r="K276" s="47" t="s">
        <v>10973</v>
      </c>
      <c r="L276" s="47" t="s">
        <v>9928</v>
      </c>
      <c r="M276" s="47" t="s">
        <v>9929</v>
      </c>
    </row>
    <row r="277" spans="1:13" ht="14.25" customHeight="1">
      <c r="A277" s="113">
        <v>7</v>
      </c>
      <c r="B277" s="47"/>
      <c r="C277" s="130" t="s">
        <v>7488</v>
      </c>
      <c r="D277" s="130" t="s">
        <v>7489</v>
      </c>
      <c r="E277" s="130" t="s">
        <v>7490</v>
      </c>
      <c r="F277" s="130" t="s">
        <v>563</v>
      </c>
      <c r="G277" s="104" t="s">
        <v>7491</v>
      </c>
      <c r="H277" s="122" t="s">
        <v>11920</v>
      </c>
      <c r="I277" s="116" t="s">
        <v>7493</v>
      </c>
      <c r="J277" s="116" t="s">
        <v>7494</v>
      </c>
      <c r="K277" s="47" t="s">
        <v>10797</v>
      </c>
      <c r="L277" s="47" t="s">
        <v>9938</v>
      </c>
      <c r="M277" s="47" t="s">
        <v>9939</v>
      </c>
    </row>
    <row r="278" spans="1:13" ht="14.25" customHeight="1">
      <c r="A278" s="113">
        <v>8</v>
      </c>
      <c r="B278" s="47"/>
      <c r="C278" s="130" t="s">
        <v>9615</v>
      </c>
      <c r="D278" s="130" t="s">
        <v>9616</v>
      </c>
      <c r="E278" s="130" t="s">
        <v>5464</v>
      </c>
      <c r="F278" s="130" t="s">
        <v>501</v>
      </c>
      <c r="G278" s="104" t="s">
        <v>11921</v>
      </c>
      <c r="H278" s="122" t="s">
        <v>11922</v>
      </c>
      <c r="I278" s="116" t="s">
        <v>9619</v>
      </c>
      <c r="J278" s="116" t="s">
        <v>9620</v>
      </c>
      <c r="K278" s="47" t="s">
        <v>11023</v>
      </c>
      <c r="L278" s="47" t="s">
        <v>9948</v>
      </c>
      <c r="M278" s="47" t="s">
        <v>9949</v>
      </c>
    </row>
    <row r="279" spans="1:13" ht="14.25" customHeight="1">
      <c r="A279" s="113">
        <v>9</v>
      </c>
      <c r="B279" s="47"/>
      <c r="C279" s="130" t="s">
        <v>11923</v>
      </c>
      <c r="D279" s="130" t="s">
        <v>3331</v>
      </c>
      <c r="E279" s="130" t="s">
        <v>3332</v>
      </c>
      <c r="F279" s="130" t="s">
        <v>885</v>
      </c>
      <c r="G279" s="104" t="s">
        <v>11924</v>
      </c>
      <c r="H279" s="122" t="s">
        <v>11925</v>
      </c>
      <c r="I279" s="116" t="s">
        <v>11926</v>
      </c>
      <c r="J279" s="116" t="s">
        <v>11927</v>
      </c>
      <c r="K279" s="47" t="s">
        <v>11928</v>
      </c>
      <c r="L279" s="47" t="s">
        <v>9958</v>
      </c>
      <c r="M279" s="47" t="s">
        <v>9959</v>
      </c>
    </row>
    <row r="280" spans="1:13" ht="14.25" customHeight="1">
      <c r="A280" s="113">
        <v>10</v>
      </c>
      <c r="B280" s="47"/>
      <c r="C280" s="130" t="s">
        <v>7220</v>
      </c>
      <c r="D280" s="130" t="s">
        <v>7221</v>
      </c>
      <c r="E280" s="130" t="s">
        <v>7222</v>
      </c>
      <c r="F280" s="130" t="s">
        <v>664</v>
      </c>
      <c r="G280" s="104" t="s">
        <v>7223</v>
      </c>
      <c r="H280" s="122" t="s">
        <v>11929</v>
      </c>
      <c r="I280" s="116" t="s">
        <v>7225</v>
      </c>
      <c r="J280" s="116" t="s">
        <v>7226</v>
      </c>
      <c r="K280" s="47" t="s">
        <v>10756</v>
      </c>
      <c r="L280" s="47" t="s">
        <v>9968</v>
      </c>
      <c r="M280" s="47" t="s">
        <v>9969</v>
      </c>
    </row>
    <row r="281" spans="1:13" ht="14.25" customHeight="1">
      <c r="A281" s="113">
        <v>11</v>
      </c>
      <c r="B281" s="47"/>
      <c r="C281" s="104" t="s">
        <v>7230</v>
      </c>
      <c r="D281" s="104" t="s">
        <v>7231</v>
      </c>
      <c r="E281" s="130" t="s">
        <v>7232</v>
      </c>
      <c r="F281" s="130" t="s">
        <v>664</v>
      </c>
      <c r="G281" s="104" t="s">
        <v>7233</v>
      </c>
      <c r="H281" s="122" t="s">
        <v>11930</v>
      </c>
      <c r="I281" s="116" t="s">
        <v>7235</v>
      </c>
      <c r="J281" s="116" t="s">
        <v>7236</v>
      </c>
      <c r="K281" s="47" t="s">
        <v>10757</v>
      </c>
      <c r="L281" s="47" t="s">
        <v>9978</v>
      </c>
      <c r="M281" s="47" t="s">
        <v>9979</v>
      </c>
    </row>
    <row r="282" spans="1:13" ht="14.25" customHeight="1">
      <c r="A282" s="113">
        <v>12</v>
      </c>
      <c r="B282" s="47"/>
      <c r="C282" s="130" t="s">
        <v>9232</v>
      </c>
      <c r="D282" s="130" t="s">
        <v>9233</v>
      </c>
      <c r="E282" s="130" t="s">
        <v>9234</v>
      </c>
      <c r="F282" s="130" t="s">
        <v>54</v>
      </c>
      <c r="G282" s="104" t="s">
        <v>9235</v>
      </c>
      <c r="H282" s="122" t="s">
        <v>11931</v>
      </c>
      <c r="I282" s="116" t="s">
        <v>9237</v>
      </c>
      <c r="J282" s="116" t="s">
        <v>9238</v>
      </c>
      <c r="K282" s="47" t="s">
        <v>10985</v>
      </c>
      <c r="L282" s="47" t="s">
        <v>9988</v>
      </c>
      <c r="M282" s="47" t="s">
        <v>9989</v>
      </c>
    </row>
    <row r="283" spans="1:13" ht="14.25" customHeight="1">
      <c r="A283" s="113">
        <v>13</v>
      </c>
      <c r="B283" s="47"/>
      <c r="C283" s="130" t="s">
        <v>9706</v>
      </c>
      <c r="D283" s="130" t="s">
        <v>9707</v>
      </c>
      <c r="E283" s="130" t="s">
        <v>9708</v>
      </c>
      <c r="F283" s="130" t="s">
        <v>117</v>
      </c>
      <c r="G283" s="104" t="s">
        <v>9709</v>
      </c>
      <c r="H283" s="122" t="s">
        <v>11932</v>
      </c>
      <c r="I283" s="116" t="s">
        <v>9711</v>
      </c>
      <c r="J283" s="116" t="s">
        <v>9712</v>
      </c>
      <c r="K283" s="47" t="s">
        <v>11034</v>
      </c>
      <c r="L283" s="47" t="s">
        <v>9998</v>
      </c>
      <c r="M283" s="47" t="s">
        <v>9999</v>
      </c>
    </row>
    <row r="284" spans="1:13" ht="14.25" customHeight="1">
      <c r="A284" s="113">
        <v>14</v>
      </c>
      <c r="B284" s="47"/>
      <c r="C284" s="130" t="s">
        <v>9041</v>
      </c>
      <c r="D284" s="130" t="s">
        <v>9042</v>
      </c>
      <c r="E284" s="130" t="s">
        <v>9043</v>
      </c>
      <c r="F284" s="130" t="s">
        <v>117</v>
      </c>
      <c r="G284" s="104" t="s">
        <v>9044</v>
      </c>
      <c r="H284" s="122" t="s">
        <v>11933</v>
      </c>
      <c r="I284" s="116" t="s">
        <v>9046</v>
      </c>
      <c r="J284" s="116" t="s">
        <v>9047</v>
      </c>
      <c r="K284" s="47" t="s">
        <v>10964</v>
      </c>
      <c r="L284" s="47" t="s">
        <v>10008</v>
      </c>
      <c r="M284" s="47" t="s">
        <v>10009</v>
      </c>
    </row>
    <row r="285" spans="1:13" ht="14.25" customHeight="1">
      <c r="A285" s="113">
        <v>15</v>
      </c>
      <c r="B285" s="47"/>
      <c r="C285" s="130" t="s">
        <v>9530</v>
      </c>
      <c r="D285" s="130" t="s">
        <v>9531</v>
      </c>
      <c r="E285" s="130" t="s">
        <v>9532</v>
      </c>
      <c r="F285" s="130" t="s">
        <v>501</v>
      </c>
      <c r="G285" s="104" t="s">
        <v>9533</v>
      </c>
      <c r="H285" s="122" t="s">
        <v>11934</v>
      </c>
      <c r="I285" s="116" t="s">
        <v>9535</v>
      </c>
      <c r="J285" s="116" t="s">
        <v>9536</v>
      </c>
      <c r="K285" s="47" t="s">
        <v>11013</v>
      </c>
      <c r="L285" s="47" t="s">
        <v>10018</v>
      </c>
      <c r="M285" s="47" t="s">
        <v>10019</v>
      </c>
    </row>
    <row r="286" spans="1:13" ht="14.25" customHeight="1">
      <c r="A286" s="113">
        <v>16</v>
      </c>
      <c r="B286" s="47"/>
      <c r="C286" s="130" t="s">
        <v>8313</v>
      </c>
      <c r="D286" s="130" t="s">
        <v>8314</v>
      </c>
      <c r="E286" s="130" t="s">
        <v>8315</v>
      </c>
      <c r="F286" s="130" t="s">
        <v>65</v>
      </c>
      <c r="G286" s="104" t="s">
        <v>8316</v>
      </c>
      <c r="H286" s="122" t="s">
        <v>11935</v>
      </c>
      <c r="I286" s="116" t="s">
        <v>8318</v>
      </c>
      <c r="J286" s="116" t="s">
        <v>8319</v>
      </c>
      <c r="K286" s="47" t="s">
        <v>10886</v>
      </c>
      <c r="L286" s="47" t="s">
        <v>10028</v>
      </c>
      <c r="M286" s="47" t="s">
        <v>10029</v>
      </c>
    </row>
    <row r="287" spans="1:13" ht="14.25" customHeight="1">
      <c r="A287" s="113">
        <v>17</v>
      </c>
      <c r="B287" s="47"/>
      <c r="C287" s="104" t="s">
        <v>9774</v>
      </c>
      <c r="D287" s="104" t="s">
        <v>9775</v>
      </c>
      <c r="E287" s="104" t="s">
        <v>9776</v>
      </c>
      <c r="F287" s="104" t="s">
        <v>65</v>
      </c>
      <c r="G287" s="104" t="s">
        <v>9777</v>
      </c>
      <c r="H287" s="122" t="s">
        <v>11936</v>
      </c>
      <c r="I287" s="116" t="s">
        <v>9779</v>
      </c>
      <c r="J287" s="116" t="s">
        <v>9780</v>
      </c>
      <c r="K287" s="47" t="s">
        <v>11040</v>
      </c>
      <c r="L287" s="47" t="s">
        <v>10038</v>
      </c>
      <c r="M287" s="47" t="s">
        <v>10039</v>
      </c>
    </row>
    <row r="288" spans="1:13" ht="14.25" customHeight="1">
      <c r="A288" s="113">
        <v>18</v>
      </c>
      <c r="B288" s="47"/>
      <c r="C288" s="130" t="s">
        <v>4020</v>
      </c>
      <c r="D288" s="130" t="s">
        <v>4021</v>
      </c>
      <c r="E288" s="130" t="s">
        <v>319</v>
      </c>
      <c r="F288" s="130" t="s">
        <v>320</v>
      </c>
      <c r="G288" s="104" t="s">
        <v>4022</v>
      </c>
      <c r="H288" s="122" t="s">
        <v>11937</v>
      </c>
      <c r="I288" s="116" t="s">
        <v>4024</v>
      </c>
      <c r="J288" s="116" t="s">
        <v>4025</v>
      </c>
      <c r="K288" s="47" t="s">
        <v>5313</v>
      </c>
      <c r="L288" s="47" t="s">
        <v>5314</v>
      </c>
      <c r="M288" s="47" t="s">
        <v>5315</v>
      </c>
    </row>
    <row r="289" spans="1:13" ht="14.25" customHeight="1">
      <c r="A289" s="146">
        <v>1</v>
      </c>
      <c r="B289" s="88"/>
      <c r="C289" s="148" t="s">
        <v>7340</v>
      </c>
      <c r="D289" s="173" t="s">
        <v>7341</v>
      </c>
      <c r="E289" s="148" t="s">
        <v>7342</v>
      </c>
      <c r="F289" s="148" t="s">
        <v>65</v>
      </c>
      <c r="G289" s="148" t="s">
        <v>7343</v>
      </c>
      <c r="H289" s="161" t="s">
        <v>11938</v>
      </c>
      <c r="I289" s="150" t="s">
        <v>7345</v>
      </c>
      <c r="J289" s="150" t="s">
        <v>7346</v>
      </c>
      <c r="K289" s="88" t="s">
        <v>10772</v>
      </c>
      <c r="L289" s="88" t="s">
        <v>10773</v>
      </c>
      <c r="M289" s="88" t="s">
        <v>10774</v>
      </c>
    </row>
    <row r="290" spans="1:13" ht="14.25" customHeight="1">
      <c r="A290" s="113">
        <v>2</v>
      </c>
      <c r="B290" s="47"/>
      <c r="C290" s="130" t="s">
        <v>9586</v>
      </c>
      <c r="D290" s="118" t="s">
        <v>9587</v>
      </c>
      <c r="E290" s="130" t="s">
        <v>9588</v>
      </c>
      <c r="F290" s="130" t="s">
        <v>65</v>
      </c>
      <c r="G290" s="130" t="s">
        <v>9589</v>
      </c>
      <c r="H290" s="122" t="s">
        <v>11939</v>
      </c>
      <c r="I290" s="116" t="s">
        <v>9591</v>
      </c>
      <c r="J290" s="116" t="s">
        <v>9592</v>
      </c>
      <c r="K290" s="47" t="s">
        <v>11020</v>
      </c>
      <c r="L290" s="47" t="s">
        <v>11021</v>
      </c>
      <c r="M290" s="47" t="s">
        <v>11022</v>
      </c>
    </row>
    <row r="291" spans="1:13" ht="15" customHeight="1">
      <c r="A291" s="113">
        <v>3</v>
      </c>
      <c r="B291" s="47"/>
      <c r="C291" s="130" t="s">
        <v>5620</v>
      </c>
      <c r="D291" s="118" t="s">
        <v>5621</v>
      </c>
      <c r="E291" s="130" t="s">
        <v>5622</v>
      </c>
      <c r="F291" s="130" t="s">
        <v>54</v>
      </c>
      <c r="G291" s="130" t="s">
        <v>5623</v>
      </c>
      <c r="H291" s="122" t="s">
        <v>11940</v>
      </c>
      <c r="I291" s="116" t="s">
        <v>5625</v>
      </c>
      <c r="J291" s="13" t="s">
        <v>5626</v>
      </c>
      <c r="K291" s="47" t="s">
        <v>10636</v>
      </c>
      <c r="L291" s="47" t="s">
        <v>10637</v>
      </c>
      <c r="M291" s="47" t="s">
        <v>10638</v>
      </c>
    </row>
    <row r="292" spans="1:13" ht="14.25" customHeight="1">
      <c r="A292" s="113">
        <v>4</v>
      </c>
      <c r="B292" s="47"/>
      <c r="C292" s="130" t="s">
        <v>11941</v>
      </c>
      <c r="D292" s="118" t="s">
        <v>6256</v>
      </c>
      <c r="E292" s="130" t="s">
        <v>6257</v>
      </c>
      <c r="F292" s="130" t="s">
        <v>65</v>
      </c>
      <c r="G292" s="130" t="s">
        <v>6258</v>
      </c>
      <c r="H292" s="122" t="s">
        <v>11942</v>
      </c>
      <c r="I292" s="116" t="s">
        <v>11943</v>
      </c>
      <c r="J292" s="116" t="s">
        <v>11944</v>
      </c>
      <c r="K292" s="47" t="s">
        <v>11945</v>
      </c>
      <c r="L292" s="47" t="s">
        <v>11946</v>
      </c>
      <c r="M292" s="47" t="s">
        <v>11947</v>
      </c>
    </row>
    <row r="293" spans="1:13" ht="14.25" customHeight="1">
      <c r="A293" s="113">
        <v>5</v>
      </c>
      <c r="B293" s="47"/>
      <c r="C293" s="104" t="s">
        <v>9125</v>
      </c>
      <c r="D293" s="137" t="s">
        <v>9126</v>
      </c>
      <c r="E293" s="104" t="s">
        <v>9127</v>
      </c>
      <c r="F293" s="104" t="s">
        <v>54</v>
      </c>
      <c r="G293" s="104" t="s">
        <v>9128</v>
      </c>
      <c r="H293" s="122" t="s">
        <v>11948</v>
      </c>
      <c r="I293" s="116" t="s">
        <v>9130</v>
      </c>
      <c r="J293" s="116" t="s">
        <v>9131</v>
      </c>
      <c r="K293" s="47" t="s">
        <v>10970</v>
      </c>
      <c r="L293" s="47" t="s">
        <v>10971</v>
      </c>
      <c r="M293" s="47" t="s">
        <v>10972</v>
      </c>
    </row>
    <row r="294" spans="1:13" ht="14.25" customHeight="1">
      <c r="A294" s="113">
        <v>6</v>
      </c>
      <c r="B294" s="47"/>
      <c r="C294" s="130" t="s">
        <v>11949</v>
      </c>
      <c r="D294" s="118" t="s">
        <v>11950</v>
      </c>
      <c r="E294" s="130" t="s">
        <v>11951</v>
      </c>
      <c r="F294" s="130" t="s">
        <v>65</v>
      </c>
      <c r="G294" s="130" t="s">
        <v>11952</v>
      </c>
      <c r="H294" s="122" t="s">
        <v>11953</v>
      </c>
      <c r="I294" s="116" t="s">
        <v>11954</v>
      </c>
      <c r="J294" s="116" t="s">
        <v>11955</v>
      </c>
      <c r="K294" s="47" t="s">
        <v>11956</v>
      </c>
      <c r="L294" s="47" t="s">
        <v>11957</v>
      </c>
      <c r="M294" s="47" t="s">
        <v>11958</v>
      </c>
    </row>
    <row r="295" spans="1:13" ht="14.25" customHeight="1">
      <c r="A295" s="113">
        <v>7</v>
      </c>
      <c r="B295" s="47"/>
      <c r="C295" s="130" t="s">
        <v>5182</v>
      </c>
      <c r="D295" s="118" t="s">
        <v>5183</v>
      </c>
      <c r="E295" s="130" t="s">
        <v>5184</v>
      </c>
      <c r="F295" s="130" t="s">
        <v>65</v>
      </c>
      <c r="G295" s="130" t="s">
        <v>5185</v>
      </c>
      <c r="H295" s="122" t="s">
        <v>11959</v>
      </c>
      <c r="I295" s="116" t="s">
        <v>5187</v>
      </c>
      <c r="J295" s="116" t="s">
        <v>5188</v>
      </c>
      <c r="K295" s="47" t="s">
        <v>5449</v>
      </c>
      <c r="L295" s="47" t="s">
        <v>5450</v>
      </c>
      <c r="M295" s="47" t="s">
        <v>5451</v>
      </c>
    </row>
    <row r="296" spans="1:13" ht="14.25" customHeight="1">
      <c r="A296" s="113">
        <v>8</v>
      </c>
      <c r="B296" s="47"/>
      <c r="C296" s="130" t="s">
        <v>5885</v>
      </c>
      <c r="D296" s="118" t="s">
        <v>5886</v>
      </c>
      <c r="E296" s="130" t="s">
        <v>5887</v>
      </c>
      <c r="F296" s="130" t="s">
        <v>563</v>
      </c>
      <c r="G296" s="130" t="s">
        <v>11960</v>
      </c>
      <c r="H296" s="122" t="s">
        <v>11961</v>
      </c>
      <c r="I296" s="116" t="s">
        <v>5890</v>
      </c>
      <c r="J296" s="116" t="s">
        <v>5891</v>
      </c>
      <c r="K296" s="47" t="s">
        <v>10660</v>
      </c>
      <c r="L296" s="47" t="s">
        <v>10661</v>
      </c>
      <c r="M296" s="47" t="s">
        <v>10662</v>
      </c>
    </row>
    <row r="297" spans="1:13" ht="14.25" customHeight="1">
      <c r="A297" s="113">
        <v>9</v>
      </c>
      <c r="B297" s="47"/>
      <c r="C297" s="130" t="s">
        <v>4999</v>
      </c>
      <c r="D297" s="118" t="s">
        <v>5000</v>
      </c>
      <c r="E297" s="130" t="s">
        <v>438</v>
      </c>
      <c r="F297" s="130" t="s">
        <v>563</v>
      </c>
      <c r="G297" s="130" t="s">
        <v>11962</v>
      </c>
      <c r="H297" s="122" t="s">
        <v>11963</v>
      </c>
      <c r="I297" s="116" t="s">
        <v>5003</v>
      </c>
      <c r="J297" s="152" t="s">
        <v>5004</v>
      </c>
      <c r="K297" s="47" t="s">
        <v>5434</v>
      </c>
      <c r="L297" s="47" t="s">
        <v>5435</v>
      </c>
      <c r="M297" s="47" t="s">
        <v>5436</v>
      </c>
    </row>
    <row r="298" spans="1:13" ht="14.25" customHeight="1">
      <c r="A298" s="113">
        <v>10</v>
      </c>
      <c r="B298" s="47"/>
      <c r="C298" s="130" t="s">
        <v>4012</v>
      </c>
      <c r="D298" s="118" t="s">
        <v>3570</v>
      </c>
      <c r="E298" s="130" t="s">
        <v>3571</v>
      </c>
      <c r="F298" s="130" t="s">
        <v>117</v>
      </c>
      <c r="G298" s="130" t="s">
        <v>4013</v>
      </c>
      <c r="H298" s="122" t="s">
        <v>11964</v>
      </c>
      <c r="I298" s="116" t="s">
        <v>11965</v>
      </c>
      <c r="J298" s="116" t="s">
        <v>11966</v>
      </c>
      <c r="K298" s="47" t="s">
        <v>11967</v>
      </c>
      <c r="L298" s="47" t="s">
        <v>11968</v>
      </c>
      <c r="M298" s="47" t="s">
        <v>11969</v>
      </c>
    </row>
    <row r="299" spans="1:13" ht="14.25" customHeight="1">
      <c r="A299" s="113">
        <v>11</v>
      </c>
      <c r="B299" s="47"/>
      <c r="C299" s="130" t="s">
        <v>9320</v>
      </c>
      <c r="D299" s="118" t="s">
        <v>9321</v>
      </c>
      <c r="E299" s="130" t="s">
        <v>9322</v>
      </c>
      <c r="F299" s="130" t="s">
        <v>65</v>
      </c>
      <c r="G299" s="130" t="s">
        <v>11970</v>
      </c>
      <c r="H299" s="122" t="s">
        <v>11971</v>
      </c>
      <c r="I299" s="116" t="s">
        <v>9325</v>
      </c>
      <c r="J299" s="116" t="s">
        <v>9326</v>
      </c>
      <c r="K299" s="47" t="s">
        <v>10991</v>
      </c>
      <c r="L299" s="47" t="s">
        <v>10992</v>
      </c>
      <c r="M299" s="47" t="s">
        <v>10993</v>
      </c>
    </row>
    <row r="300" spans="1:13" ht="14.25" customHeight="1">
      <c r="A300" s="113">
        <v>12</v>
      </c>
      <c r="B300" s="47"/>
      <c r="C300" s="130" t="s">
        <v>8382</v>
      </c>
      <c r="D300" s="118" t="s">
        <v>8383</v>
      </c>
      <c r="E300" s="130" t="s">
        <v>8384</v>
      </c>
      <c r="F300" s="130" t="s">
        <v>65</v>
      </c>
      <c r="G300" s="130" t="s">
        <v>8385</v>
      </c>
      <c r="H300" s="122" t="s">
        <v>11972</v>
      </c>
      <c r="I300" s="116" t="s">
        <v>8387</v>
      </c>
      <c r="J300" s="116" t="s">
        <v>8388</v>
      </c>
      <c r="K300" s="47" t="s">
        <v>10894</v>
      </c>
      <c r="L300" s="47" t="s">
        <v>10895</v>
      </c>
      <c r="M300" s="47" t="s">
        <v>10896</v>
      </c>
    </row>
    <row r="301" spans="1:13" ht="14.25" customHeight="1">
      <c r="A301" s="113">
        <v>13</v>
      </c>
      <c r="B301" s="47"/>
      <c r="C301" s="130" t="s">
        <v>11973</v>
      </c>
      <c r="D301" s="118" t="s">
        <v>11974</v>
      </c>
      <c r="E301" s="130" t="s">
        <v>11975</v>
      </c>
      <c r="F301" s="130" t="s">
        <v>117</v>
      </c>
      <c r="G301" s="130" t="s">
        <v>11976</v>
      </c>
      <c r="H301" s="122" t="s">
        <v>11977</v>
      </c>
      <c r="I301" s="116" t="s">
        <v>11978</v>
      </c>
      <c r="J301" s="116" t="s">
        <v>11979</v>
      </c>
      <c r="K301" s="47" t="s">
        <v>11980</v>
      </c>
      <c r="L301" s="47" t="s">
        <v>11981</v>
      </c>
      <c r="M301" s="47" t="s">
        <v>11982</v>
      </c>
    </row>
    <row r="302" spans="1:13" ht="14.25" customHeight="1">
      <c r="A302" s="113">
        <v>14</v>
      </c>
      <c r="B302" s="47"/>
      <c r="C302" s="104" t="s">
        <v>9340</v>
      </c>
      <c r="D302" s="137" t="s">
        <v>9341</v>
      </c>
      <c r="E302" s="104" t="s">
        <v>9342</v>
      </c>
      <c r="F302" s="104" t="s">
        <v>117</v>
      </c>
      <c r="G302" s="104" t="s">
        <v>9343</v>
      </c>
      <c r="H302" s="122" t="s">
        <v>11983</v>
      </c>
      <c r="I302" s="116" t="s">
        <v>9345</v>
      </c>
      <c r="J302" s="116" t="s">
        <v>9346</v>
      </c>
      <c r="K302" s="47" t="s">
        <v>10994</v>
      </c>
      <c r="L302" s="47" t="s">
        <v>10995</v>
      </c>
      <c r="M302" s="47" t="s">
        <v>10996</v>
      </c>
    </row>
    <row r="303" spans="1:13" ht="14.25" customHeight="1">
      <c r="A303" s="146">
        <v>1</v>
      </c>
      <c r="B303" s="88"/>
      <c r="C303" s="148" t="s">
        <v>6678</v>
      </c>
      <c r="D303" s="148" t="s">
        <v>6679</v>
      </c>
      <c r="E303" s="148" t="s">
        <v>6680</v>
      </c>
      <c r="F303" s="148" t="s">
        <v>54</v>
      </c>
      <c r="G303" s="148" t="s">
        <v>6681</v>
      </c>
      <c r="H303" s="161" t="s">
        <v>11984</v>
      </c>
      <c r="I303" s="150" t="s">
        <v>6683</v>
      </c>
      <c r="J303" s="150" t="s">
        <v>6684</v>
      </c>
      <c r="K303" s="88" t="s">
        <v>10719</v>
      </c>
      <c r="L303" s="88" t="s">
        <v>10720</v>
      </c>
      <c r="M303" s="88" t="s">
        <v>10721</v>
      </c>
    </row>
    <row r="304" spans="1:13" ht="14.25" customHeight="1">
      <c r="A304" s="113">
        <v>2</v>
      </c>
      <c r="B304" s="47"/>
      <c r="C304" s="130" t="s">
        <v>7379</v>
      </c>
      <c r="D304" s="130" t="s">
        <v>7380</v>
      </c>
      <c r="E304" s="130" t="s">
        <v>7381</v>
      </c>
      <c r="F304" s="130" t="s">
        <v>117</v>
      </c>
      <c r="G304" s="104" t="s">
        <v>7382</v>
      </c>
      <c r="H304" s="122" t="s">
        <v>11985</v>
      </c>
      <c r="I304" s="116" t="s">
        <v>7384</v>
      </c>
      <c r="J304" s="116" t="s">
        <v>7385</v>
      </c>
      <c r="K304" s="47" t="s">
        <v>10782</v>
      </c>
      <c r="L304" s="47" t="s">
        <v>10783</v>
      </c>
      <c r="M304" s="47" t="s">
        <v>10784</v>
      </c>
    </row>
    <row r="305" spans="1:13" ht="14.25" customHeight="1">
      <c r="A305" s="174">
        <v>3</v>
      </c>
      <c r="B305" s="47"/>
      <c r="C305" s="175" t="s">
        <v>11986</v>
      </c>
      <c r="D305" s="175" t="s">
        <v>11987</v>
      </c>
      <c r="E305" s="175" t="s">
        <v>11988</v>
      </c>
      <c r="F305" s="175" t="s">
        <v>664</v>
      </c>
      <c r="G305" s="175" t="s">
        <v>11989</v>
      </c>
      <c r="H305" s="176" t="s">
        <v>11990</v>
      </c>
      <c r="I305" s="177" t="s">
        <v>11991</v>
      </c>
      <c r="J305" s="177" t="s">
        <v>11992</v>
      </c>
      <c r="K305" s="47" t="s">
        <v>11993</v>
      </c>
      <c r="L305" s="47" t="s">
        <v>11994</v>
      </c>
      <c r="M305" s="47" t="s">
        <v>11995</v>
      </c>
    </row>
    <row r="306" spans="1:13" ht="14.25" customHeight="1">
      <c r="A306" s="113">
        <v>4</v>
      </c>
      <c r="B306" s="47"/>
      <c r="C306" s="130" t="s">
        <v>7770</v>
      </c>
      <c r="D306" s="130" t="s">
        <v>7771</v>
      </c>
      <c r="E306" s="130" t="s">
        <v>7772</v>
      </c>
      <c r="F306" s="130" t="s">
        <v>65</v>
      </c>
      <c r="G306" s="104" t="s">
        <v>7773</v>
      </c>
      <c r="H306" s="122" t="s">
        <v>11996</v>
      </c>
      <c r="I306" s="116" t="s">
        <v>7775</v>
      </c>
      <c r="J306" s="116" t="s">
        <v>7776</v>
      </c>
      <c r="K306" s="47" t="s">
        <v>10833</v>
      </c>
      <c r="L306" s="47" t="s">
        <v>10834</v>
      </c>
      <c r="M306" s="47" t="s">
        <v>10835</v>
      </c>
    </row>
    <row r="307" spans="1:13" ht="14.25" customHeight="1">
      <c r="A307" s="113">
        <v>5</v>
      </c>
      <c r="B307" s="47"/>
      <c r="C307" s="130" t="s">
        <v>3641</v>
      </c>
      <c r="D307" s="130" t="s">
        <v>3642</v>
      </c>
      <c r="E307" s="130" t="s">
        <v>229</v>
      </c>
      <c r="F307" s="130" t="s">
        <v>117</v>
      </c>
      <c r="G307" s="104" t="s">
        <v>3643</v>
      </c>
      <c r="H307" s="122" t="s">
        <v>11997</v>
      </c>
      <c r="I307" s="116" t="s">
        <v>3645</v>
      </c>
      <c r="J307" s="116" t="s">
        <v>3646</v>
      </c>
      <c r="K307" s="47" t="s">
        <v>5264</v>
      </c>
      <c r="L307" s="47" t="s">
        <v>5265</v>
      </c>
      <c r="M307" s="47" t="s">
        <v>5266</v>
      </c>
    </row>
    <row r="308" spans="1:13" ht="14.25" customHeight="1">
      <c r="A308" s="113">
        <v>6</v>
      </c>
      <c r="B308" s="47"/>
      <c r="C308" s="130" t="s">
        <v>9853</v>
      </c>
      <c r="D308" s="130" t="s">
        <v>9854</v>
      </c>
      <c r="E308" s="130" t="s">
        <v>9855</v>
      </c>
      <c r="F308" s="130" t="s">
        <v>54</v>
      </c>
      <c r="G308" s="104" t="s">
        <v>9856</v>
      </c>
      <c r="H308" s="122" t="s">
        <v>11998</v>
      </c>
      <c r="I308" s="116" t="s">
        <v>9858</v>
      </c>
      <c r="J308" s="116" t="s">
        <v>9859</v>
      </c>
      <c r="K308" s="47" t="s">
        <v>11052</v>
      </c>
      <c r="L308" s="47" t="s">
        <v>11053</v>
      </c>
      <c r="M308" s="47" t="s">
        <v>11054</v>
      </c>
    </row>
    <row r="309" spans="1:13" ht="14.25" customHeight="1">
      <c r="A309" s="113">
        <v>7</v>
      </c>
      <c r="B309" s="47"/>
      <c r="C309" s="130" t="s">
        <v>11999</v>
      </c>
      <c r="D309" s="130" t="s">
        <v>12000</v>
      </c>
      <c r="E309" s="130" t="s">
        <v>12001</v>
      </c>
      <c r="F309" s="130" t="s">
        <v>219</v>
      </c>
      <c r="G309" s="104" t="s">
        <v>12002</v>
      </c>
      <c r="H309" s="122" t="s">
        <v>12003</v>
      </c>
      <c r="I309" s="116" t="s">
        <v>12004</v>
      </c>
      <c r="J309" s="116" t="s">
        <v>12005</v>
      </c>
      <c r="K309" s="47" t="s">
        <v>12006</v>
      </c>
      <c r="L309" s="47" t="s">
        <v>12007</v>
      </c>
      <c r="M309" s="47" t="s">
        <v>12008</v>
      </c>
    </row>
    <row r="310" spans="1:13" ht="14.25" customHeight="1">
      <c r="A310" s="113">
        <v>8</v>
      </c>
      <c r="B310" s="47"/>
      <c r="C310" s="104" t="s">
        <v>12009</v>
      </c>
      <c r="D310" s="104" t="s">
        <v>12010</v>
      </c>
      <c r="E310" s="104" t="s">
        <v>12011</v>
      </c>
      <c r="F310" s="104" t="s">
        <v>65</v>
      </c>
      <c r="G310" s="104" t="s">
        <v>12012</v>
      </c>
      <c r="H310" s="122" t="s">
        <v>12013</v>
      </c>
      <c r="I310" s="116" t="s">
        <v>12014</v>
      </c>
      <c r="J310" s="116" t="s">
        <v>12015</v>
      </c>
      <c r="K310" s="47" t="s">
        <v>12016</v>
      </c>
      <c r="L310" s="47" t="s">
        <v>12017</v>
      </c>
      <c r="M310" s="47" t="s">
        <v>12018</v>
      </c>
    </row>
    <row r="311" spans="1:13" ht="14.25" customHeight="1">
      <c r="A311" s="113">
        <v>9</v>
      </c>
      <c r="B311" s="47"/>
      <c r="C311" s="130" t="s">
        <v>8905</v>
      </c>
      <c r="D311" s="130" t="s">
        <v>8906</v>
      </c>
      <c r="E311" s="130" t="s">
        <v>8907</v>
      </c>
      <c r="F311" s="130" t="s">
        <v>501</v>
      </c>
      <c r="G311" s="104" t="s">
        <v>12019</v>
      </c>
      <c r="H311" s="122" t="s">
        <v>12020</v>
      </c>
      <c r="I311" s="116" t="s">
        <v>8910</v>
      </c>
      <c r="J311" s="116" t="s">
        <v>8911</v>
      </c>
      <c r="K311" s="47" t="s">
        <v>10951</v>
      </c>
      <c r="L311" s="47" t="s">
        <v>10952</v>
      </c>
      <c r="M311" s="47" t="s">
        <v>10953</v>
      </c>
    </row>
    <row r="312" spans="1:13" ht="14.25" customHeight="1">
      <c r="A312" s="113">
        <v>10</v>
      </c>
      <c r="B312" s="47"/>
      <c r="C312" s="130" t="s">
        <v>12021</v>
      </c>
      <c r="D312" s="130" t="s">
        <v>12022</v>
      </c>
      <c r="E312" s="130" t="s">
        <v>12023</v>
      </c>
      <c r="F312" s="130" t="s">
        <v>65</v>
      </c>
      <c r="G312" s="104" t="s">
        <v>8837</v>
      </c>
      <c r="H312" s="122" t="s">
        <v>12024</v>
      </c>
      <c r="I312" s="116" t="s">
        <v>12025</v>
      </c>
      <c r="J312" s="116" t="s">
        <v>8840</v>
      </c>
      <c r="K312" s="47" t="s">
        <v>12026</v>
      </c>
      <c r="L312" s="47" t="s">
        <v>12027</v>
      </c>
      <c r="M312" s="47" t="s">
        <v>12028</v>
      </c>
    </row>
    <row r="313" spans="1:13" ht="15.75" customHeight="1">
      <c r="A313" s="113">
        <v>11</v>
      </c>
      <c r="B313" s="47"/>
      <c r="C313" s="104" t="s">
        <v>6127</v>
      </c>
      <c r="D313" s="104" t="s">
        <v>6128</v>
      </c>
      <c r="E313" s="104" t="s">
        <v>6129</v>
      </c>
      <c r="F313" s="104" t="s">
        <v>65</v>
      </c>
      <c r="G313" s="104" t="s">
        <v>6130</v>
      </c>
      <c r="H313" s="122" t="s">
        <v>12029</v>
      </c>
      <c r="I313" s="116" t="s">
        <v>6132</v>
      </c>
      <c r="J313" s="116" t="s">
        <v>6133</v>
      </c>
      <c r="K313" s="47" t="s">
        <v>10682</v>
      </c>
      <c r="L313" s="47" t="s">
        <v>10683</v>
      </c>
      <c r="M313" s="47" t="s">
        <v>10684</v>
      </c>
    </row>
    <row r="314" spans="1:13" ht="14.25" customHeight="1">
      <c r="A314" s="113">
        <v>12</v>
      </c>
      <c r="B314" s="47"/>
      <c r="C314" s="130" t="s">
        <v>5819</v>
      </c>
      <c r="D314" s="130" t="s">
        <v>5820</v>
      </c>
      <c r="E314" s="130" t="s">
        <v>2957</v>
      </c>
      <c r="F314" s="130" t="s">
        <v>65</v>
      </c>
      <c r="G314" s="104" t="s">
        <v>5821</v>
      </c>
      <c r="H314" s="122" t="s">
        <v>12030</v>
      </c>
      <c r="I314" s="116" t="s">
        <v>5823</v>
      </c>
      <c r="J314" s="116" t="s">
        <v>5824</v>
      </c>
      <c r="K314" s="47" t="s">
        <v>10652</v>
      </c>
      <c r="L314" s="47" t="s">
        <v>10653</v>
      </c>
      <c r="M314" s="47" t="s">
        <v>10654</v>
      </c>
    </row>
    <row r="315" spans="1:13" ht="14.25" customHeight="1">
      <c r="A315" s="113">
        <v>13</v>
      </c>
      <c r="B315" s="47"/>
      <c r="C315" s="104" t="s">
        <v>1220</v>
      </c>
      <c r="D315" s="104" t="s">
        <v>1221</v>
      </c>
      <c r="E315" s="104" t="s">
        <v>1222</v>
      </c>
      <c r="F315" s="104" t="s">
        <v>117</v>
      </c>
      <c r="G315" s="104" t="s">
        <v>12031</v>
      </c>
      <c r="H315" s="122" t="s">
        <v>12032</v>
      </c>
      <c r="I315" s="116" t="s">
        <v>12033</v>
      </c>
      <c r="J315" s="116" t="s">
        <v>12034</v>
      </c>
      <c r="K315" s="47" t="s">
        <v>12035</v>
      </c>
      <c r="L315" s="47" t="s">
        <v>12036</v>
      </c>
      <c r="M315" s="47" t="s">
        <v>12037</v>
      </c>
    </row>
    <row r="316" spans="1:13" ht="14.25" customHeight="1">
      <c r="A316" s="113">
        <v>14</v>
      </c>
      <c r="B316" s="47"/>
      <c r="C316" s="130" t="s">
        <v>8197</v>
      </c>
      <c r="D316" s="130" t="s">
        <v>8198</v>
      </c>
      <c r="E316" s="130" t="s">
        <v>8199</v>
      </c>
      <c r="F316" s="130" t="s">
        <v>117</v>
      </c>
      <c r="G316" s="104" t="s">
        <v>8200</v>
      </c>
      <c r="H316" s="122" t="s">
        <v>12038</v>
      </c>
      <c r="I316" s="116" t="s">
        <v>8202</v>
      </c>
      <c r="J316" s="116" t="s">
        <v>8203</v>
      </c>
      <c r="K316" s="47" t="s">
        <v>10877</v>
      </c>
      <c r="L316" s="47" t="s">
        <v>10878</v>
      </c>
      <c r="M316" s="47" t="s">
        <v>10879</v>
      </c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59"/>
  <sheetViews>
    <sheetView workbookViewId="0">
      <pane xSplit="3" topLeftCell="D1" activePane="topRight" state="frozen"/>
      <selection pane="topRight" activeCell="E2" sqref="E2"/>
    </sheetView>
  </sheetViews>
  <sheetFormatPr defaultColWidth="12.6640625" defaultRowHeight="15" customHeight="1"/>
  <cols>
    <col min="1" max="1" width="6.33203125" customWidth="1"/>
    <col min="2" max="2" width="17" customWidth="1"/>
    <col min="3" max="3" width="18.21875" customWidth="1"/>
    <col min="4" max="4" width="34.77734375" customWidth="1"/>
    <col min="5" max="5" width="13" customWidth="1"/>
    <col min="6" max="6" width="12" customWidth="1"/>
    <col min="7" max="7" width="25.109375" customWidth="1"/>
    <col min="8" max="9" width="52.88671875" customWidth="1"/>
    <col min="10" max="10" width="57.6640625" customWidth="1"/>
    <col min="11" max="12" width="20.88671875" customWidth="1"/>
    <col min="13" max="13" width="23.44140625" customWidth="1"/>
  </cols>
  <sheetData>
    <row r="1" spans="1:13" ht="29.25" customHeight="1">
      <c r="A1" s="145" t="s">
        <v>12039</v>
      </c>
      <c r="B1" s="14" t="s">
        <v>13</v>
      </c>
      <c r="C1" s="15" t="s">
        <v>14</v>
      </c>
      <c r="D1" s="14" t="s">
        <v>3114</v>
      </c>
      <c r="E1" s="35" t="s">
        <v>16</v>
      </c>
      <c r="F1" s="35" t="s">
        <v>17</v>
      </c>
      <c r="G1" s="14" t="s">
        <v>18</v>
      </c>
      <c r="H1" s="14" t="s">
        <v>19</v>
      </c>
      <c r="I1" s="14" t="s">
        <v>20</v>
      </c>
      <c r="J1" s="16" t="s">
        <v>21</v>
      </c>
      <c r="K1" s="17" t="s">
        <v>22</v>
      </c>
      <c r="L1" s="17" t="s">
        <v>23</v>
      </c>
      <c r="M1" s="17" t="s">
        <v>24</v>
      </c>
    </row>
    <row r="2" spans="1:13" ht="14.25" customHeight="1">
      <c r="A2" s="178">
        <v>1</v>
      </c>
      <c r="B2" s="178"/>
      <c r="C2" s="179" t="s">
        <v>12040</v>
      </c>
      <c r="D2" s="180" t="s">
        <v>12041</v>
      </c>
      <c r="E2" s="181" t="s">
        <v>12042</v>
      </c>
      <c r="F2" s="182" t="s">
        <v>65</v>
      </c>
      <c r="G2" s="178" t="s">
        <v>12043</v>
      </c>
      <c r="H2" s="180" t="s">
        <v>12044</v>
      </c>
      <c r="I2" s="180"/>
      <c r="J2" s="180" t="s">
        <v>12045</v>
      </c>
      <c r="K2" s="180" t="s">
        <v>12046</v>
      </c>
      <c r="L2" s="178" t="s">
        <v>12047</v>
      </c>
      <c r="M2" s="178" t="s">
        <v>12048</v>
      </c>
    </row>
    <row r="3" spans="1:13" ht="14.25" customHeight="1">
      <c r="A3" s="116">
        <v>2</v>
      </c>
      <c r="B3" s="116"/>
      <c r="C3" s="183" t="s">
        <v>12049</v>
      </c>
      <c r="D3" s="115" t="s">
        <v>12050</v>
      </c>
      <c r="E3" s="184" t="s">
        <v>12051</v>
      </c>
      <c r="F3" s="184" t="s">
        <v>117</v>
      </c>
      <c r="G3" s="116" t="s">
        <v>12052</v>
      </c>
      <c r="H3" s="115" t="s">
        <v>12053</v>
      </c>
      <c r="I3" s="115"/>
      <c r="J3" s="115" t="s">
        <v>12054</v>
      </c>
      <c r="K3" s="134" t="s">
        <v>12055</v>
      </c>
      <c r="L3" s="116" t="s">
        <v>12056</v>
      </c>
      <c r="M3" s="116" t="s">
        <v>12057</v>
      </c>
    </row>
    <row r="4" spans="1:13" ht="14.25" customHeight="1">
      <c r="A4" s="116">
        <v>3</v>
      </c>
      <c r="B4" s="116"/>
      <c r="C4" s="183" t="s">
        <v>12058</v>
      </c>
      <c r="D4" s="115" t="s">
        <v>12059</v>
      </c>
      <c r="E4" s="184" t="s">
        <v>12060</v>
      </c>
      <c r="F4" s="184" t="s">
        <v>219</v>
      </c>
      <c r="G4" s="116" t="s">
        <v>12061</v>
      </c>
      <c r="H4" s="115" t="s">
        <v>12062</v>
      </c>
      <c r="I4" s="115"/>
      <c r="J4" s="115" t="s">
        <v>12063</v>
      </c>
      <c r="K4" s="134" t="s">
        <v>12064</v>
      </c>
      <c r="L4" s="116" t="s">
        <v>12065</v>
      </c>
      <c r="M4" s="116" t="s">
        <v>12066</v>
      </c>
    </row>
    <row r="5" spans="1:13" ht="14.25" customHeight="1">
      <c r="A5" s="116">
        <v>4</v>
      </c>
      <c r="B5" s="116"/>
      <c r="C5" s="183" t="s">
        <v>12067</v>
      </c>
      <c r="D5" s="115" t="s">
        <v>12068</v>
      </c>
      <c r="E5" s="184" t="s">
        <v>12069</v>
      </c>
      <c r="F5" s="184"/>
      <c r="G5" s="116" t="s">
        <v>12070</v>
      </c>
      <c r="H5" s="115" t="s">
        <v>12071</v>
      </c>
      <c r="I5" s="115"/>
      <c r="J5" s="116" t="s">
        <v>12072</v>
      </c>
      <c r="K5" s="134" t="s">
        <v>12073</v>
      </c>
      <c r="L5" s="116" t="s">
        <v>12074</v>
      </c>
      <c r="M5" s="116" t="s">
        <v>12075</v>
      </c>
    </row>
    <row r="6" spans="1:13" ht="14.25" customHeight="1">
      <c r="A6" s="116">
        <v>5</v>
      </c>
      <c r="B6" s="116"/>
      <c r="C6" s="183" t="s">
        <v>12076</v>
      </c>
      <c r="D6" s="115" t="s">
        <v>12077</v>
      </c>
      <c r="E6" s="184" t="s">
        <v>12078</v>
      </c>
      <c r="F6" s="184" t="s">
        <v>54</v>
      </c>
      <c r="G6" s="116" t="s">
        <v>12079</v>
      </c>
      <c r="H6" s="115" t="s">
        <v>12080</v>
      </c>
      <c r="I6" s="115"/>
      <c r="J6" s="115" t="s">
        <v>12081</v>
      </c>
      <c r="K6" s="134" t="s">
        <v>12082</v>
      </c>
      <c r="L6" s="116" t="s">
        <v>12083</v>
      </c>
      <c r="M6" s="116" t="s">
        <v>12084</v>
      </c>
    </row>
    <row r="7" spans="1:13" ht="14.25" customHeight="1">
      <c r="A7" s="116">
        <v>6</v>
      </c>
      <c r="B7" s="116"/>
      <c r="C7" s="183" t="s">
        <v>12085</v>
      </c>
      <c r="D7" s="115" t="s">
        <v>12086</v>
      </c>
      <c r="E7" s="184" t="s">
        <v>12087</v>
      </c>
      <c r="F7" s="185" t="s">
        <v>2454</v>
      </c>
      <c r="G7" s="116" t="s">
        <v>12088</v>
      </c>
      <c r="H7" s="115" t="s">
        <v>12089</v>
      </c>
      <c r="I7" s="115"/>
      <c r="J7" s="115" t="s">
        <v>12090</v>
      </c>
      <c r="K7" s="134" t="s">
        <v>12091</v>
      </c>
      <c r="L7" s="116" t="s">
        <v>12092</v>
      </c>
      <c r="M7" s="116" t="s">
        <v>12093</v>
      </c>
    </row>
    <row r="8" spans="1:13" ht="14.25" customHeight="1">
      <c r="A8" s="116">
        <v>7</v>
      </c>
      <c r="B8" s="116"/>
      <c r="C8" s="183" t="s">
        <v>12094</v>
      </c>
      <c r="D8" s="115" t="s">
        <v>12095</v>
      </c>
      <c r="E8" s="184" t="s">
        <v>12096</v>
      </c>
      <c r="F8" s="61" t="s">
        <v>65</v>
      </c>
      <c r="G8" s="116" t="s">
        <v>12097</v>
      </c>
      <c r="H8" s="115" t="s">
        <v>12098</v>
      </c>
      <c r="I8" s="115"/>
      <c r="J8" s="115" t="s">
        <v>12099</v>
      </c>
      <c r="K8" s="134" t="s">
        <v>12100</v>
      </c>
      <c r="L8" s="116" t="s">
        <v>12101</v>
      </c>
      <c r="M8" s="116" t="s">
        <v>12102</v>
      </c>
    </row>
    <row r="9" spans="1:13" ht="14.25" customHeight="1">
      <c r="A9" s="116">
        <v>8</v>
      </c>
      <c r="B9" s="116"/>
      <c r="C9" s="183" t="s">
        <v>12103</v>
      </c>
      <c r="D9" s="115" t="s">
        <v>12104</v>
      </c>
      <c r="E9" s="184" t="s">
        <v>12105</v>
      </c>
      <c r="F9" s="61" t="s">
        <v>65</v>
      </c>
      <c r="G9" s="116" t="s">
        <v>12106</v>
      </c>
      <c r="H9" s="115" t="s">
        <v>12107</v>
      </c>
      <c r="I9" s="115"/>
      <c r="J9" s="115" t="s">
        <v>12108</v>
      </c>
      <c r="K9" s="134" t="s">
        <v>12109</v>
      </c>
      <c r="L9" s="116" t="s">
        <v>12110</v>
      </c>
      <c r="M9" s="116" t="s">
        <v>12111</v>
      </c>
    </row>
    <row r="10" spans="1:13" ht="14.25" customHeight="1">
      <c r="A10" s="116">
        <v>9</v>
      </c>
      <c r="B10" s="116"/>
      <c r="C10" s="186" t="s">
        <v>12112</v>
      </c>
      <c r="D10" s="115" t="s">
        <v>12113</v>
      </c>
      <c r="E10" s="27" t="s">
        <v>12114</v>
      </c>
      <c r="F10" s="184" t="s">
        <v>54</v>
      </c>
      <c r="G10" s="116" t="s">
        <v>12115</v>
      </c>
      <c r="H10" s="115" t="s">
        <v>12116</v>
      </c>
      <c r="I10" s="115"/>
      <c r="J10" s="115" t="s">
        <v>12117</v>
      </c>
      <c r="K10" s="134" t="s">
        <v>12118</v>
      </c>
      <c r="L10" s="116" t="s">
        <v>12119</v>
      </c>
      <c r="M10" s="116" t="s">
        <v>12120</v>
      </c>
    </row>
    <row r="11" spans="1:13" ht="14.25" customHeight="1">
      <c r="A11" s="116">
        <v>10</v>
      </c>
      <c r="B11" s="116"/>
      <c r="C11" s="186" t="s">
        <v>8323</v>
      </c>
      <c r="D11" s="115" t="s">
        <v>8324</v>
      </c>
      <c r="E11" s="27" t="s">
        <v>8325</v>
      </c>
      <c r="F11" s="27" t="s">
        <v>6748</v>
      </c>
      <c r="G11" s="116" t="s">
        <v>12121</v>
      </c>
      <c r="H11" s="115" t="s">
        <v>12122</v>
      </c>
      <c r="I11" s="115"/>
      <c r="J11" s="115" t="s">
        <v>12123</v>
      </c>
      <c r="K11" s="134" t="s">
        <v>12124</v>
      </c>
      <c r="L11" s="132" t="s">
        <v>12125</v>
      </c>
      <c r="M11" s="116" t="s">
        <v>12126</v>
      </c>
    </row>
    <row r="12" spans="1:13" ht="14.25" customHeight="1">
      <c r="A12" s="116">
        <v>11</v>
      </c>
      <c r="B12" s="116"/>
      <c r="C12" s="186" t="s">
        <v>12127</v>
      </c>
      <c r="D12" s="115" t="s">
        <v>12128</v>
      </c>
      <c r="E12" s="27" t="s">
        <v>12129</v>
      </c>
      <c r="F12" s="184" t="s">
        <v>117</v>
      </c>
      <c r="G12" s="116" t="s">
        <v>12130</v>
      </c>
      <c r="H12" s="115" t="s">
        <v>12131</v>
      </c>
      <c r="I12" s="115"/>
      <c r="J12" s="115" t="s">
        <v>12132</v>
      </c>
      <c r="K12" s="134" t="s">
        <v>12133</v>
      </c>
      <c r="L12" s="116" t="s">
        <v>12134</v>
      </c>
      <c r="M12" s="116" t="s">
        <v>12135</v>
      </c>
    </row>
    <row r="13" spans="1:13" ht="14.25" customHeight="1">
      <c r="A13" s="116">
        <v>12</v>
      </c>
      <c r="B13" s="116"/>
      <c r="C13" s="186" t="s">
        <v>12136</v>
      </c>
      <c r="D13" s="115" t="s">
        <v>12137</v>
      </c>
      <c r="E13" s="27" t="s">
        <v>12138</v>
      </c>
      <c r="F13" s="184" t="s">
        <v>117</v>
      </c>
      <c r="G13" s="116" t="s">
        <v>12139</v>
      </c>
      <c r="H13" s="115" t="s">
        <v>12140</v>
      </c>
      <c r="I13" s="115"/>
      <c r="J13" s="115" t="s">
        <v>12141</v>
      </c>
      <c r="K13" s="134" t="s">
        <v>12142</v>
      </c>
      <c r="L13" s="116" t="s">
        <v>12143</v>
      </c>
      <c r="M13" s="116" t="s">
        <v>12144</v>
      </c>
    </row>
    <row r="14" spans="1:13" ht="14.25" customHeight="1">
      <c r="A14" s="116">
        <v>13</v>
      </c>
      <c r="B14" s="116"/>
      <c r="C14" s="186" t="s">
        <v>12145</v>
      </c>
      <c r="D14" s="115" t="s">
        <v>12146</v>
      </c>
      <c r="E14" s="27" t="s">
        <v>12147</v>
      </c>
      <c r="F14" s="26" t="s">
        <v>117</v>
      </c>
      <c r="G14" s="116" t="s">
        <v>12148</v>
      </c>
      <c r="H14" s="115" t="s">
        <v>12149</v>
      </c>
      <c r="I14" s="115"/>
      <c r="J14" s="115" t="s">
        <v>12150</v>
      </c>
      <c r="K14" s="134" t="s">
        <v>12151</v>
      </c>
      <c r="L14" s="116" t="s">
        <v>12152</v>
      </c>
      <c r="M14" s="116" t="s">
        <v>12153</v>
      </c>
    </row>
    <row r="15" spans="1:13" ht="14.25" customHeight="1">
      <c r="A15" s="116">
        <v>14</v>
      </c>
      <c r="B15" s="116"/>
      <c r="C15" s="186" t="s">
        <v>12154</v>
      </c>
      <c r="D15" s="115" t="s">
        <v>12155</v>
      </c>
      <c r="E15" s="27" t="s">
        <v>12156</v>
      </c>
      <c r="F15" s="26" t="s">
        <v>54</v>
      </c>
      <c r="G15" s="116" t="s">
        <v>12157</v>
      </c>
      <c r="H15" s="115" t="s">
        <v>12158</v>
      </c>
      <c r="I15" s="115"/>
      <c r="J15" s="187" t="s">
        <v>12159</v>
      </c>
      <c r="K15" s="134" t="s">
        <v>12160</v>
      </c>
      <c r="L15" s="116" t="s">
        <v>12161</v>
      </c>
      <c r="M15" s="116" t="s">
        <v>12162</v>
      </c>
    </row>
    <row r="16" spans="1:13" ht="14.25" customHeight="1">
      <c r="A16" s="116">
        <v>15</v>
      </c>
      <c r="B16" s="116"/>
      <c r="C16" s="186" t="s">
        <v>12163</v>
      </c>
      <c r="D16" s="115" t="s">
        <v>12164</v>
      </c>
      <c r="E16" s="27" t="s">
        <v>12165</v>
      </c>
      <c r="F16" s="61" t="s">
        <v>65</v>
      </c>
      <c r="G16" s="116" t="s">
        <v>12166</v>
      </c>
      <c r="H16" s="115" t="s">
        <v>12167</v>
      </c>
      <c r="I16" s="115"/>
      <c r="J16" s="115" t="s">
        <v>12168</v>
      </c>
      <c r="K16" s="134" t="s">
        <v>12169</v>
      </c>
      <c r="L16" s="116" t="s">
        <v>12170</v>
      </c>
      <c r="M16" s="116" t="s">
        <v>12171</v>
      </c>
    </row>
    <row r="17" spans="1:13" ht="14.25" customHeight="1">
      <c r="A17" s="116">
        <v>16</v>
      </c>
      <c r="B17" s="116"/>
      <c r="C17" s="186" t="s">
        <v>12172</v>
      </c>
      <c r="D17" s="115" t="s">
        <v>12173</v>
      </c>
      <c r="E17" s="27" t="s">
        <v>12174</v>
      </c>
      <c r="F17" s="61" t="s">
        <v>65</v>
      </c>
      <c r="G17" s="116" t="s">
        <v>12175</v>
      </c>
      <c r="H17" s="115" t="s">
        <v>12176</v>
      </c>
      <c r="I17" s="115"/>
      <c r="J17" s="115" t="s">
        <v>12177</v>
      </c>
      <c r="K17" s="134" t="s">
        <v>12178</v>
      </c>
      <c r="L17" s="116" t="s">
        <v>12179</v>
      </c>
      <c r="M17" s="116" t="s">
        <v>12180</v>
      </c>
    </row>
    <row r="18" spans="1:13" ht="14.25" customHeight="1">
      <c r="A18" s="116">
        <v>17</v>
      </c>
      <c r="B18" s="116"/>
      <c r="C18" s="186" t="s">
        <v>12181</v>
      </c>
      <c r="D18" s="115" t="s">
        <v>12182</v>
      </c>
      <c r="E18" s="27" t="s">
        <v>12183</v>
      </c>
      <c r="F18" s="26" t="s">
        <v>54</v>
      </c>
      <c r="G18" s="116" t="s">
        <v>12184</v>
      </c>
      <c r="H18" s="115" t="s">
        <v>12185</v>
      </c>
      <c r="I18" s="115"/>
      <c r="J18" s="187" t="s">
        <v>12186</v>
      </c>
      <c r="K18" s="134" t="s">
        <v>12187</v>
      </c>
      <c r="L18" s="116" t="s">
        <v>12188</v>
      </c>
      <c r="M18" s="116" t="s">
        <v>12189</v>
      </c>
    </row>
    <row r="19" spans="1:13" ht="14.25" customHeight="1">
      <c r="A19" s="116">
        <v>18</v>
      </c>
      <c r="B19" s="116"/>
      <c r="C19" s="186" t="s">
        <v>8874</v>
      </c>
      <c r="D19" s="115" t="s">
        <v>8875</v>
      </c>
      <c r="E19" s="27" t="s">
        <v>8876</v>
      </c>
      <c r="F19" s="184" t="s">
        <v>219</v>
      </c>
      <c r="G19" s="116" t="s">
        <v>8877</v>
      </c>
      <c r="H19" s="115" t="s">
        <v>12190</v>
      </c>
      <c r="I19" s="115"/>
      <c r="J19" s="115" t="s">
        <v>8880</v>
      </c>
      <c r="K19" s="134" t="s">
        <v>10944</v>
      </c>
      <c r="L19" s="116" t="s">
        <v>10945</v>
      </c>
      <c r="M19" s="132" t="s">
        <v>10946</v>
      </c>
    </row>
    <row r="20" spans="1:13" ht="14.25" customHeight="1">
      <c r="A20" s="116">
        <v>19</v>
      </c>
      <c r="B20" s="116"/>
      <c r="C20" s="186" t="s">
        <v>12191</v>
      </c>
      <c r="D20" s="115" t="s">
        <v>12192</v>
      </c>
      <c r="E20" s="27" t="s">
        <v>7007</v>
      </c>
      <c r="F20" s="26" t="s">
        <v>117</v>
      </c>
      <c r="G20" s="116" t="s">
        <v>12193</v>
      </c>
      <c r="H20" s="115" t="s">
        <v>12194</v>
      </c>
      <c r="I20" s="115"/>
      <c r="J20" s="115" t="s">
        <v>12195</v>
      </c>
      <c r="K20" s="116" t="s">
        <v>12196</v>
      </c>
      <c r="L20" s="116" t="s">
        <v>12197</v>
      </c>
      <c r="M20" s="116" t="s">
        <v>12198</v>
      </c>
    </row>
    <row r="21" spans="1:13" ht="14.25" customHeight="1">
      <c r="A21" s="132">
        <v>20</v>
      </c>
      <c r="B21" s="132"/>
      <c r="C21" s="186" t="s">
        <v>12199</v>
      </c>
      <c r="D21" s="115" t="s">
        <v>12200</v>
      </c>
      <c r="E21" s="136" t="s">
        <v>12201</v>
      </c>
      <c r="F21" s="61" t="s">
        <v>65</v>
      </c>
      <c r="G21" s="116" t="s">
        <v>12202</v>
      </c>
      <c r="H21" s="115" t="s">
        <v>12203</v>
      </c>
      <c r="I21" s="115"/>
      <c r="J21" s="115" t="s">
        <v>12204</v>
      </c>
      <c r="K21" s="134" t="s">
        <v>12205</v>
      </c>
      <c r="L21" s="116" t="s">
        <v>12206</v>
      </c>
      <c r="M21" s="116" t="s">
        <v>12207</v>
      </c>
    </row>
    <row r="22" spans="1:13" ht="14.25" customHeight="1">
      <c r="A22" s="132">
        <v>21</v>
      </c>
      <c r="B22" s="132"/>
      <c r="C22" s="186" t="s">
        <v>8480</v>
      </c>
      <c r="D22" s="116" t="s">
        <v>8481</v>
      </c>
      <c r="E22" s="26" t="s">
        <v>7871</v>
      </c>
      <c r="F22" s="184" t="s">
        <v>117</v>
      </c>
      <c r="G22" s="116" t="s">
        <v>10901</v>
      </c>
      <c r="H22" s="116" t="s">
        <v>12208</v>
      </c>
      <c r="I22" s="116"/>
      <c r="J22" s="116" t="s">
        <v>8485</v>
      </c>
      <c r="K22" s="134" t="s">
        <v>10902</v>
      </c>
      <c r="L22" s="116" t="s">
        <v>10903</v>
      </c>
      <c r="M22" s="116" t="s">
        <v>10904</v>
      </c>
    </row>
    <row r="23" spans="1:13" ht="14.25" customHeight="1">
      <c r="A23" s="132">
        <v>22</v>
      </c>
      <c r="B23" s="132"/>
      <c r="C23" s="186" t="s">
        <v>12209</v>
      </c>
      <c r="D23" s="115" t="s">
        <v>12210</v>
      </c>
      <c r="E23" s="26" t="s">
        <v>12211</v>
      </c>
      <c r="F23" s="26" t="s">
        <v>54</v>
      </c>
      <c r="G23" s="116" t="s">
        <v>12212</v>
      </c>
      <c r="H23" s="115" t="s">
        <v>12213</v>
      </c>
      <c r="I23" s="115"/>
      <c r="J23" s="115" t="s">
        <v>12214</v>
      </c>
      <c r="K23" s="134" t="s">
        <v>12215</v>
      </c>
      <c r="L23" s="116" t="s">
        <v>12216</v>
      </c>
      <c r="M23" s="116" t="s">
        <v>12217</v>
      </c>
    </row>
    <row r="24" spans="1:13" ht="14.25" customHeight="1">
      <c r="A24" s="132">
        <v>23</v>
      </c>
      <c r="B24" s="132"/>
      <c r="C24" s="186" t="s">
        <v>12218</v>
      </c>
      <c r="D24" s="115" t="s">
        <v>12219</v>
      </c>
      <c r="E24" s="26" t="s">
        <v>12220</v>
      </c>
      <c r="F24" s="61" t="s">
        <v>65</v>
      </c>
      <c r="G24" s="116" t="s">
        <v>12221</v>
      </c>
      <c r="H24" s="115" t="s">
        <v>12222</v>
      </c>
      <c r="I24" s="115"/>
      <c r="J24" s="115" t="s">
        <v>12223</v>
      </c>
      <c r="K24" s="134" t="s">
        <v>12224</v>
      </c>
      <c r="L24" s="116" t="s">
        <v>12225</v>
      </c>
      <c r="M24" s="116" t="s">
        <v>12226</v>
      </c>
    </row>
    <row r="25" spans="1:13" ht="14.25" customHeight="1">
      <c r="A25" s="132">
        <v>24</v>
      </c>
      <c r="B25" s="132"/>
      <c r="C25" s="186" t="s">
        <v>12227</v>
      </c>
      <c r="D25" s="115" t="s">
        <v>12228</v>
      </c>
      <c r="E25" s="26" t="s">
        <v>12229</v>
      </c>
      <c r="F25" s="26" t="s">
        <v>117</v>
      </c>
      <c r="G25" s="116" t="s">
        <v>12230</v>
      </c>
      <c r="H25" s="115" t="s">
        <v>12231</v>
      </c>
      <c r="I25" s="115"/>
      <c r="J25" s="115" t="s">
        <v>12232</v>
      </c>
      <c r="K25" s="134" t="s">
        <v>12233</v>
      </c>
      <c r="L25" s="116" t="s">
        <v>12234</v>
      </c>
      <c r="M25" s="116" t="s">
        <v>12235</v>
      </c>
    </row>
    <row r="26" spans="1:13" ht="14.25" customHeight="1">
      <c r="A26" s="132">
        <v>25</v>
      </c>
      <c r="B26" s="132"/>
      <c r="C26" s="186" t="s">
        <v>12236</v>
      </c>
      <c r="D26" s="187" t="s">
        <v>12237</v>
      </c>
      <c r="E26" s="26" t="s">
        <v>3094</v>
      </c>
      <c r="F26" s="26" t="s">
        <v>117</v>
      </c>
      <c r="G26" s="116" t="s">
        <v>12238</v>
      </c>
      <c r="H26" s="187" t="s">
        <v>12239</v>
      </c>
      <c r="I26" s="187"/>
      <c r="J26" s="115" t="s">
        <v>12240</v>
      </c>
      <c r="K26" s="134" t="s">
        <v>12241</v>
      </c>
      <c r="L26" s="116" t="s">
        <v>12242</v>
      </c>
      <c r="M26" s="116" t="s">
        <v>12243</v>
      </c>
    </row>
    <row r="27" spans="1:13" ht="14.25" customHeight="1">
      <c r="A27" s="132">
        <v>26</v>
      </c>
      <c r="B27" s="132"/>
      <c r="C27" s="183" t="s">
        <v>12244</v>
      </c>
      <c r="D27" s="115" t="s">
        <v>12245</v>
      </c>
      <c r="E27" s="184" t="s">
        <v>12246</v>
      </c>
      <c r="F27" s="184" t="s">
        <v>664</v>
      </c>
      <c r="G27" s="116" t="s">
        <v>12247</v>
      </c>
      <c r="H27" s="115" t="s">
        <v>12248</v>
      </c>
      <c r="I27" s="115"/>
      <c r="J27" s="115" t="s">
        <v>12249</v>
      </c>
      <c r="K27" s="134" t="s">
        <v>12250</v>
      </c>
      <c r="L27" s="116" t="s">
        <v>12251</v>
      </c>
      <c r="M27" s="116" t="s">
        <v>12252</v>
      </c>
    </row>
    <row r="28" spans="1:13" ht="14.25" customHeight="1">
      <c r="A28" s="116">
        <v>27</v>
      </c>
      <c r="B28" s="116"/>
      <c r="C28" s="183" t="s">
        <v>12253</v>
      </c>
      <c r="D28" s="115" t="s">
        <v>12254</v>
      </c>
      <c r="E28" s="184" t="s">
        <v>12255</v>
      </c>
      <c r="F28" s="184" t="s">
        <v>65</v>
      </c>
      <c r="G28" s="116" t="s">
        <v>12256</v>
      </c>
      <c r="H28" s="115" t="s">
        <v>12257</v>
      </c>
      <c r="I28" s="115"/>
      <c r="J28" s="115" t="s">
        <v>12258</v>
      </c>
      <c r="K28" s="134" t="s">
        <v>12259</v>
      </c>
      <c r="L28" s="132" t="s">
        <v>12260</v>
      </c>
      <c r="M28" s="116" t="s">
        <v>12261</v>
      </c>
    </row>
    <row r="29" spans="1:13" ht="14.25" customHeight="1">
      <c r="A29" s="116">
        <v>28</v>
      </c>
      <c r="B29" s="116"/>
      <c r="C29" s="183" t="s">
        <v>10048</v>
      </c>
      <c r="D29" s="187" t="s">
        <v>10049</v>
      </c>
      <c r="E29" s="184" t="s">
        <v>10050</v>
      </c>
      <c r="F29" s="184" t="s">
        <v>219</v>
      </c>
      <c r="G29" s="116" t="s">
        <v>10051</v>
      </c>
      <c r="H29" s="187" t="s">
        <v>12262</v>
      </c>
      <c r="I29" s="187"/>
      <c r="J29" s="187" t="s">
        <v>10054</v>
      </c>
      <c r="K29" s="134" t="s">
        <v>11083</v>
      </c>
      <c r="L29" s="116" t="s">
        <v>11084</v>
      </c>
      <c r="M29" s="116" t="s">
        <v>11085</v>
      </c>
    </row>
    <row r="30" spans="1:13" ht="14.25" customHeight="1">
      <c r="A30" s="116">
        <v>29</v>
      </c>
      <c r="B30" s="116"/>
      <c r="C30" s="183" t="s">
        <v>12263</v>
      </c>
      <c r="D30" s="115" t="s">
        <v>12264</v>
      </c>
      <c r="E30" s="184" t="s">
        <v>12265</v>
      </c>
      <c r="F30" s="184" t="s">
        <v>54</v>
      </c>
      <c r="G30" s="116" t="s">
        <v>12266</v>
      </c>
      <c r="H30" s="115" t="s">
        <v>12267</v>
      </c>
      <c r="I30" s="115"/>
      <c r="J30" s="115" t="s">
        <v>12268</v>
      </c>
      <c r="K30" s="134" t="s">
        <v>12269</v>
      </c>
      <c r="L30" s="116" t="s">
        <v>12270</v>
      </c>
      <c r="M30" s="116" t="s">
        <v>12271</v>
      </c>
    </row>
    <row r="31" spans="1:13" ht="14.25" customHeight="1">
      <c r="A31" s="116">
        <v>30</v>
      </c>
      <c r="B31" s="116"/>
      <c r="C31" s="183" t="s">
        <v>12272</v>
      </c>
      <c r="D31" s="115" t="s">
        <v>12273</v>
      </c>
      <c r="E31" s="184" t="s">
        <v>12274</v>
      </c>
      <c r="F31" s="184" t="s">
        <v>117</v>
      </c>
      <c r="G31" s="116" t="s">
        <v>12275</v>
      </c>
      <c r="H31" s="115" t="s">
        <v>12276</v>
      </c>
      <c r="I31" s="115"/>
      <c r="J31" s="115" t="s">
        <v>12277</v>
      </c>
      <c r="K31" s="134" t="s">
        <v>12278</v>
      </c>
      <c r="L31" s="116" t="s">
        <v>12279</v>
      </c>
      <c r="M31" s="116" t="s">
        <v>12280</v>
      </c>
    </row>
    <row r="32" spans="1:13" ht="14.25" customHeight="1">
      <c r="A32" s="132">
        <v>31</v>
      </c>
      <c r="B32" s="132"/>
      <c r="C32" s="183" t="s">
        <v>12281</v>
      </c>
      <c r="D32" s="115" t="s">
        <v>12282</v>
      </c>
      <c r="E32" s="184" t="s">
        <v>12283</v>
      </c>
      <c r="F32" s="184" t="s">
        <v>664</v>
      </c>
      <c r="G32" s="132" t="s">
        <v>12284</v>
      </c>
      <c r="H32" s="115" t="s">
        <v>12285</v>
      </c>
      <c r="I32" s="115"/>
      <c r="J32" s="115" t="s">
        <v>12286</v>
      </c>
      <c r="K32" s="115" t="s">
        <v>12287</v>
      </c>
      <c r="L32" s="132" t="s">
        <v>12288</v>
      </c>
      <c r="M32" s="132" t="s">
        <v>12289</v>
      </c>
    </row>
    <row r="33" spans="1:13" ht="14.25" customHeight="1">
      <c r="A33" s="116">
        <v>32</v>
      </c>
      <c r="B33" s="116"/>
      <c r="C33" s="183" t="s">
        <v>12290</v>
      </c>
      <c r="D33" s="115" t="s">
        <v>12291</v>
      </c>
      <c r="E33" s="184" t="s">
        <v>12292</v>
      </c>
      <c r="F33" s="184" t="s">
        <v>117</v>
      </c>
      <c r="G33" s="116" t="s">
        <v>12293</v>
      </c>
      <c r="H33" s="115" t="s">
        <v>12294</v>
      </c>
      <c r="I33" s="115"/>
      <c r="J33" s="115" t="s">
        <v>12295</v>
      </c>
      <c r="K33" s="134" t="s">
        <v>12296</v>
      </c>
      <c r="L33" s="116" t="s">
        <v>12297</v>
      </c>
      <c r="M33" s="116" t="s">
        <v>12298</v>
      </c>
    </row>
    <row r="34" spans="1:13" ht="14.25" customHeight="1">
      <c r="A34" s="116">
        <v>33</v>
      </c>
      <c r="B34" s="116"/>
      <c r="C34" s="183" t="s">
        <v>12299</v>
      </c>
      <c r="D34" s="115" t="s">
        <v>12300</v>
      </c>
      <c r="E34" s="184" t="s">
        <v>12301</v>
      </c>
      <c r="F34" s="184" t="s">
        <v>117</v>
      </c>
      <c r="G34" s="116" t="s">
        <v>12302</v>
      </c>
      <c r="H34" s="115" t="s">
        <v>12303</v>
      </c>
      <c r="I34" s="115"/>
      <c r="J34" s="115" t="s">
        <v>12304</v>
      </c>
      <c r="K34" s="134" t="s">
        <v>12305</v>
      </c>
      <c r="L34" s="116" t="s">
        <v>12306</v>
      </c>
      <c r="M34" s="116" t="s">
        <v>12307</v>
      </c>
    </row>
    <row r="35" spans="1:13" ht="14.25" customHeight="1">
      <c r="A35" s="116">
        <v>34</v>
      </c>
      <c r="B35" s="116"/>
      <c r="C35" s="186" t="s">
        <v>12308</v>
      </c>
      <c r="D35" s="115" t="s">
        <v>12309</v>
      </c>
      <c r="E35" s="26" t="s">
        <v>12310</v>
      </c>
      <c r="F35" s="26" t="s">
        <v>65</v>
      </c>
      <c r="G35" s="116" t="s">
        <v>12311</v>
      </c>
      <c r="H35" s="115" t="s">
        <v>12312</v>
      </c>
      <c r="I35" s="115"/>
      <c r="J35" s="115" t="s">
        <v>12313</v>
      </c>
      <c r="K35" s="134" t="s">
        <v>12314</v>
      </c>
      <c r="L35" s="116" t="s">
        <v>12315</v>
      </c>
      <c r="M35" s="116" t="s">
        <v>12316</v>
      </c>
    </row>
    <row r="36" spans="1:13" ht="14.25" customHeight="1">
      <c r="A36" s="132">
        <v>35</v>
      </c>
      <c r="B36" s="132"/>
      <c r="C36" s="183" t="s">
        <v>12317</v>
      </c>
      <c r="D36" s="115" t="s">
        <v>12318</v>
      </c>
      <c r="E36" s="27" t="s">
        <v>12319</v>
      </c>
      <c r="F36" s="184" t="s">
        <v>219</v>
      </c>
      <c r="G36" s="132" t="s">
        <v>12320</v>
      </c>
      <c r="H36" s="115" t="s">
        <v>12321</v>
      </c>
      <c r="I36" s="115"/>
      <c r="J36" s="115" t="s">
        <v>12322</v>
      </c>
      <c r="K36" s="115" t="s">
        <v>12323</v>
      </c>
      <c r="L36" s="116" t="s">
        <v>12324</v>
      </c>
      <c r="M36" s="132" t="s">
        <v>12325</v>
      </c>
    </row>
    <row r="37" spans="1:13" ht="14.25" customHeight="1">
      <c r="A37" s="116">
        <v>36</v>
      </c>
      <c r="B37" s="116"/>
      <c r="C37" s="186" t="s">
        <v>12326</v>
      </c>
      <c r="D37" s="115" t="s">
        <v>12327</v>
      </c>
      <c r="E37" s="26" t="s">
        <v>12328</v>
      </c>
      <c r="F37" s="184" t="s">
        <v>219</v>
      </c>
      <c r="G37" s="116" t="s">
        <v>12329</v>
      </c>
      <c r="H37" s="115" t="s">
        <v>12330</v>
      </c>
      <c r="I37" s="115"/>
      <c r="J37" s="115" t="s">
        <v>12331</v>
      </c>
      <c r="K37" s="134" t="s">
        <v>12332</v>
      </c>
      <c r="L37" s="116" t="s">
        <v>12333</v>
      </c>
      <c r="M37" s="132" t="s">
        <v>12334</v>
      </c>
    </row>
    <row r="38" spans="1:13" ht="14.25" customHeight="1">
      <c r="A38" s="178">
        <v>1</v>
      </c>
      <c r="B38" s="178"/>
      <c r="C38" s="179" t="s">
        <v>10078</v>
      </c>
      <c r="D38" s="178" t="s">
        <v>11094</v>
      </c>
      <c r="E38" s="188" t="s">
        <v>10080</v>
      </c>
      <c r="F38" s="188" t="s">
        <v>117</v>
      </c>
      <c r="G38" s="178" t="s">
        <v>11095</v>
      </c>
      <c r="H38" s="178" t="s">
        <v>12335</v>
      </c>
      <c r="I38" s="178"/>
      <c r="J38" s="180" t="s">
        <v>10084</v>
      </c>
      <c r="K38" s="180" t="s">
        <v>11096</v>
      </c>
      <c r="L38" s="178" t="s">
        <v>11097</v>
      </c>
      <c r="M38" s="178" t="s">
        <v>11098</v>
      </c>
    </row>
    <row r="39" spans="1:13" ht="14.25" customHeight="1">
      <c r="A39" s="116">
        <v>2</v>
      </c>
      <c r="B39" s="116"/>
      <c r="C39" s="186" t="s">
        <v>7445</v>
      </c>
      <c r="D39" s="134" t="s">
        <v>7446</v>
      </c>
      <c r="E39" s="26" t="s">
        <v>7447</v>
      </c>
      <c r="F39" s="26" t="s">
        <v>219</v>
      </c>
      <c r="G39" s="116" t="s">
        <v>10789</v>
      </c>
      <c r="H39" s="134" t="s">
        <v>12336</v>
      </c>
      <c r="I39" s="134"/>
      <c r="J39" s="134" t="s">
        <v>7451</v>
      </c>
      <c r="K39" s="134" t="s">
        <v>10790</v>
      </c>
      <c r="L39" s="116" t="s">
        <v>10791</v>
      </c>
      <c r="M39" s="116" t="s">
        <v>10792</v>
      </c>
    </row>
    <row r="40" spans="1:13" ht="14.25" customHeight="1">
      <c r="A40" s="116">
        <v>3</v>
      </c>
      <c r="B40" s="116"/>
      <c r="C40" s="186" t="s">
        <v>12337</v>
      </c>
      <c r="D40" s="116" t="s">
        <v>12338</v>
      </c>
      <c r="E40" s="26" t="s">
        <v>12339</v>
      </c>
      <c r="F40" s="26" t="s">
        <v>219</v>
      </c>
      <c r="G40" s="116" t="s">
        <v>12340</v>
      </c>
      <c r="H40" s="116" t="s">
        <v>12341</v>
      </c>
      <c r="I40" s="116"/>
      <c r="J40" s="116" t="s">
        <v>12342</v>
      </c>
      <c r="K40" s="134" t="s">
        <v>12343</v>
      </c>
      <c r="L40" s="116" t="s">
        <v>12344</v>
      </c>
      <c r="M40" s="116" t="s">
        <v>12345</v>
      </c>
    </row>
    <row r="41" spans="1:13" ht="14.25" customHeight="1">
      <c r="A41" s="116">
        <v>4</v>
      </c>
      <c r="B41" s="116"/>
      <c r="C41" s="186" t="s">
        <v>12346</v>
      </c>
      <c r="D41" s="116" t="s">
        <v>12347</v>
      </c>
      <c r="E41" s="26" t="s">
        <v>12348</v>
      </c>
      <c r="F41" s="26" t="s">
        <v>501</v>
      </c>
      <c r="G41" s="116" t="s">
        <v>12349</v>
      </c>
      <c r="H41" s="116" t="s">
        <v>12350</v>
      </c>
      <c r="I41" s="116"/>
      <c r="J41" s="116" t="s">
        <v>12351</v>
      </c>
      <c r="K41" s="134" t="s">
        <v>12352</v>
      </c>
      <c r="L41" s="116" t="s">
        <v>12353</v>
      </c>
      <c r="M41" s="116" t="s">
        <v>12354</v>
      </c>
    </row>
    <row r="42" spans="1:13" ht="14.25" customHeight="1">
      <c r="A42" s="116">
        <v>5</v>
      </c>
      <c r="B42" s="116"/>
      <c r="C42" s="186" t="s">
        <v>12355</v>
      </c>
      <c r="D42" s="116" t="s">
        <v>12356</v>
      </c>
      <c r="E42" s="26" t="s">
        <v>12357</v>
      </c>
      <c r="F42" s="26" t="s">
        <v>65</v>
      </c>
      <c r="G42" s="116" t="s">
        <v>12358</v>
      </c>
      <c r="H42" s="116" t="s">
        <v>12359</v>
      </c>
      <c r="I42" s="116"/>
      <c r="J42" s="116" t="s">
        <v>12360</v>
      </c>
      <c r="K42" s="134" t="s">
        <v>12361</v>
      </c>
      <c r="L42" s="116" t="s">
        <v>12362</v>
      </c>
      <c r="M42" s="116" t="s">
        <v>12363</v>
      </c>
    </row>
    <row r="43" spans="1:13" ht="14.25" customHeight="1">
      <c r="A43" s="116">
        <v>6</v>
      </c>
      <c r="B43" s="116"/>
      <c r="C43" s="186" t="s">
        <v>12364</v>
      </c>
      <c r="D43" s="115" t="s">
        <v>12365</v>
      </c>
      <c r="E43" s="26" t="s">
        <v>12366</v>
      </c>
      <c r="F43" s="113"/>
      <c r="G43" s="116" t="s">
        <v>12367</v>
      </c>
      <c r="H43" s="115" t="s">
        <v>12368</v>
      </c>
      <c r="I43" s="115"/>
      <c r="J43" s="116" t="s">
        <v>12369</v>
      </c>
      <c r="K43" s="134" t="s">
        <v>12370</v>
      </c>
      <c r="L43" s="116" t="s">
        <v>12371</v>
      </c>
      <c r="M43" s="116" t="s">
        <v>12372</v>
      </c>
    </row>
    <row r="44" spans="1:13" ht="14.25" customHeight="1">
      <c r="A44" s="116">
        <v>7</v>
      </c>
      <c r="B44" s="116"/>
      <c r="C44" s="186" t="s">
        <v>12373</v>
      </c>
      <c r="D44" s="134" t="s">
        <v>12374</v>
      </c>
      <c r="E44" s="26" t="s">
        <v>12375</v>
      </c>
      <c r="F44" s="26" t="s">
        <v>12376</v>
      </c>
      <c r="G44" s="116" t="s">
        <v>12377</v>
      </c>
      <c r="H44" s="134" t="s">
        <v>12378</v>
      </c>
      <c r="I44" s="134"/>
      <c r="J44" s="116" t="s">
        <v>12379</v>
      </c>
      <c r="K44" s="134" t="s">
        <v>12380</v>
      </c>
      <c r="L44" s="116" t="s">
        <v>12381</v>
      </c>
      <c r="M44" s="116" t="s">
        <v>12382</v>
      </c>
    </row>
    <row r="45" spans="1:13" ht="14.25" customHeight="1">
      <c r="A45" s="116">
        <v>8</v>
      </c>
      <c r="B45" s="116"/>
      <c r="C45" s="186" t="s">
        <v>12383</v>
      </c>
      <c r="D45" s="116" t="s">
        <v>12384</v>
      </c>
      <c r="E45" s="26" t="s">
        <v>12385</v>
      </c>
      <c r="F45" s="26" t="s">
        <v>117</v>
      </c>
      <c r="G45" s="116" t="s">
        <v>12386</v>
      </c>
      <c r="H45" s="116" t="s">
        <v>12387</v>
      </c>
      <c r="I45" s="116"/>
      <c r="J45" s="116" t="s">
        <v>12388</v>
      </c>
      <c r="K45" s="134" t="s">
        <v>12389</v>
      </c>
      <c r="L45" s="116" t="s">
        <v>12390</v>
      </c>
      <c r="M45" s="116" t="s">
        <v>12391</v>
      </c>
    </row>
    <row r="46" spans="1:13" ht="14.25" customHeight="1">
      <c r="A46" s="116">
        <v>9</v>
      </c>
      <c r="B46" s="116"/>
      <c r="C46" s="186" t="s">
        <v>5172</v>
      </c>
      <c r="D46" s="116" t="s">
        <v>5173</v>
      </c>
      <c r="E46" s="26" t="s">
        <v>5174</v>
      </c>
      <c r="F46" s="26" t="s">
        <v>219</v>
      </c>
      <c r="G46" s="116" t="s">
        <v>5445</v>
      </c>
      <c r="H46" s="116" t="s">
        <v>12392</v>
      </c>
      <c r="I46" s="116"/>
      <c r="J46" s="116" t="s">
        <v>5178</v>
      </c>
      <c r="K46" s="134" t="s">
        <v>5446</v>
      </c>
      <c r="L46" s="116" t="s">
        <v>5447</v>
      </c>
      <c r="M46" s="116" t="s">
        <v>5448</v>
      </c>
    </row>
    <row r="47" spans="1:13" ht="14.25" customHeight="1">
      <c r="A47" s="116">
        <v>10</v>
      </c>
      <c r="B47" s="116"/>
      <c r="C47" s="186" t="s">
        <v>12393</v>
      </c>
      <c r="D47" s="116" t="s">
        <v>12394</v>
      </c>
      <c r="E47" s="26" t="s">
        <v>12395</v>
      </c>
      <c r="F47" s="26" t="s">
        <v>219</v>
      </c>
      <c r="G47" s="116" t="s">
        <v>12396</v>
      </c>
      <c r="H47" s="116" t="s">
        <v>12397</v>
      </c>
      <c r="I47" s="116"/>
      <c r="J47" s="116" t="s">
        <v>12398</v>
      </c>
      <c r="K47" s="134" t="s">
        <v>12399</v>
      </c>
      <c r="L47" s="132" t="s">
        <v>12400</v>
      </c>
      <c r="M47" s="116" t="s">
        <v>12401</v>
      </c>
    </row>
    <row r="48" spans="1:13" ht="14.25" customHeight="1">
      <c r="A48" s="116">
        <v>11</v>
      </c>
      <c r="B48" s="116"/>
      <c r="C48" s="186" t="s">
        <v>12402</v>
      </c>
      <c r="D48" s="116" t="s">
        <v>12403</v>
      </c>
      <c r="E48" s="26" t="s">
        <v>11683</v>
      </c>
      <c r="F48" s="26" t="s">
        <v>117</v>
      </c>
      <c r="G48" s="116" t="s">
        <v>12404</v>
      </c>
      <c r="H48" s="116" t="s">
        <v>12405</v>
      </c>
      <c r="I48" s="116"/>
      <c r="J48" s="116" t="s">
        <v>12406</v>
      </c>
      <c r="K48" s="134" t="s">
        <v>12407</v>
      </c>
      <c r="L48" s="116" t="s">
        <v>12408</v>
      </c>
      <c r="M48" s="116" t="s">
        <v>12409</v>
      </c>
    </row>
    <row r="49" spans="1:13" ht="14.25" customHeight="1">
      <c r="A49" s="116">
        <v>12</v>
      </c>
      <c r="B49" s="116"/>
      <c r="C49" s="186" t="s">
        <v>12410</v>
      </c>
      <c r="D49" s="116" t="s">
        <v>12411</v>
      </c>
      <c r="E49" s="26" t="s">
        <v>12412</v>
      </c>
      <c r="F49" s="26" t="s">
        <v>12376</v>
      </c>
      <c r="G49" s="116" t="s">
        <v>12413</v>
      </c>
      <c r="H49" s="116" t="s">
        <v>12414</v>
      </c>
      <c r="I49" s="116"/>
      <c r="J49" s="116" t="s">
        <v>12415</v>
      </c>
      <c r="K49" s="134" t="s">
        <v>12416</v>
      </c>
      <c r="L49" s="116" t="s">
        <v>12417</v>
      </c>
      <c r="M49" s="116" t="s">
        <v>12418</v>
      </c>
    </row>
    <row r="50" spans="1:13" ht="14.25" customHeight="1">
      <c r="A50" s="116">
        <v>13</v>
      </c>
      <c r="B50" s="116"/>
      <c r="C50" s="186" t="s">
        <v>12419</v>
      </c>
      <c r="D50" s="116" t="s">
        <v>12420</v>
      </c>
      <c r="E50" s="26" t="s">
        <v>12421</v>
      </c>
      <c r="F50" s="26" t="s">
        <v>664</v>
      </c>
      <c r="G50" s="116" t="s">
        <v>12422</v>
      </c>
      <c r="H50" s="116" t="s">
        <v>12423</v>
      </c>
      <c r="I50" s="116"/>
      <c r="J50" s="116" t="s">
        <v>12424</v>
      </c>
      <c r="K50" s="134" t="s">
        <v>12425</v>
      </c>
      <c r="L50" s="116" t="s">
        <v>12426</v>
      </c>
      <c r="M50" s="116" t="s">
        <v>12427</v>
      </c>
    </row>
    <row r="51" spans="1:13" ht="14.25" customHeight="1">
      <c r="A51" s="116">
        <v>14</v>
      </c>
      <c r="B51" s="116"/>
      <c r="C51" s="186" t="s">
        <v>12428</v>
      </c>
      <c r="D51" s="116" t="s">
        <v>12429</v>
      </c>
      <c r="E51" s="26" t="s">
        <v>12430</v>
      </c>
      <c r="F51" s="26" t="s">
        <v>65</v>
      </c>
      <c r="G51" s="116" t="s">
        <v>12431</v>
      </c>
      <c r="H51" s="116" t="s">
        <v>12432</v>
      </c>
      <c r="I51" s="116"/>
      <c r="J51" s="116" t="s">
        <v>12433</v>
      </c>
      <c r="K51" s="134" t="s">
        <v>12434</v>
      </c>
      <c r="L51" s="116" t="s">
        <v>12435</v>
      </c>
      <c r="M51" s="116" t="s">
        <v>12436</v>
      </c>
    </row>
    <row r="52" spans="1:13" ht="14.25" customHeight="1">
      <c r="A52" s="116">
        <v>15</v>
      </c>
      <c r="B52" s="116"/>
      <c r="C52" s="186" t="s">
        <v>12437</v>
      </c>
      <c r="D52" s="116" t="s">
        <v>12438</v>
      </c>
      <c r="E52" s="183" t="s">
        <v>12439</v>
      </c>
      <c r="F52" s="26" t="s">
        <v>460</v>
      </c>
      <c r="G52" s="135" t="s">
        <v>12440</v>
      </c>
      <c r="H52" s="116" t="s">
        <v>12441</v>
      </c>
      <c r="I52" s="116"/>
      <c r="J52" s="116" t="s">
        <v>12442</v>
      </c>
      <c r="K52" s="134" t="s">
        <v>12443</v>
      </c>
      <c r="L52" s="116" t="s">
        <v>12444</v>
      </c>
      <c r="M52" s="116" t="s">
        <v>12445</v>
      </c>
    </row>
    <row r="53" spans="1:13" ht="14.25" customHeight="1">
      <c r="A53" s="116">
        <v>16</v>
      </c>
      <c r="B53" s="116"/>
      <c r="C53" s="186" t="s">
        <v>12446</v>
      </c>
      <c r="D53" s="116" t="s">
        <v>12447</v>
      </c>
      <c r="E53" s="26" t="s">
        <v>12448</v>
      </c>
      <c r="F53" s="26" t="s">
        <v>12449</v>
      </c>
      <c r="G53" s="135" t="s">
        <v>12450</v>
      </c>
      <c r="H53" s="116" t="s">
        <v>12451</v>
      </c>
      <c r="I53" s="116"/>
      <c r="J53" s="116" t="s">
        <v>12452</v>
      </c>
      <c r="K53" s="134" t="s">
        <v>12453</v>
      </c>
      <c r="L53" s="116" t="s">
        <v>12454</v>
      </c>
      <c r="M53" s="116" t="s">
        <v>12455</v>
      </c>
    </row>
    <row r="54" spans="1:13" ht="14.25" customHeight="1">
      <c r="A54" s="116">
        <v>17</v>
      </c>
      <c r="B54" s="116"/>
      <c r="C54" s="186" t="s">
        <v>12456</v>
      </c>
      <c r="D54" s="116" t="s">
        <v>12457</v>
      </c>
      <c r="E54" s="183" t="s">
        <v>12458</v>
      </c>
      <c r="F54" s="183" t="s">
        <v>117</v>
      </c>
      <c r="G54" s="116" t="s">
        <v>12459</v>
      </c>
      <c r="H54" s="116" t="s">
        <v>12460</v>
      </c>
      <c r="I54" s="116"/>
      <c r="J54" s="116" t="s">
        <v>12461</v>
      </c>
      <c r="K54" s="134" t="s">
        <v>12462</v>
      </c>
      <c r="L54" s="116" t="s">
        <v>12463</v>
      </c>
      <c r="M54" s="116" t="s">
        <v>12464</v>
      </c>
    </row>
    <row r="55" spans="1:13" ht="14.25" customHeight="1">
      <c r="A55" s="116">
        <v>18</v>
      </c>
      <c r="B55" s="116"/>
      <c r="C55" s="186" t="s">
        <v>7627</v>
      </c>
      <c r="D55" s="116" t="s">
        <v>7628</v>
      </c>
      <c r="E55" s="26" t="s">
        <v>7629</v>
      </c>
      <c r="F55" s="183" t="s">
        <v>117</v>
      </c>
      <c r="G55" s="135" t="s">
        <v>10813</v>
      </c>
      <c r="H55" s="116" t="s">
        <v>12465</v>
      </c>
      <c r="I55" s="116"/>
      <c r="J55" s="116" t="s">
        <v>7633</v>
      </c>
      <c r="K55" s="134" t="s">
        <v>10814</v>
      </c>
      <c r="L55" s="116" t="s">
        <v>10815</v>
      </c>
      <c r="M55" s="132" t="s">
        <v>10816</v>
      </c>
    </row>
    <row r="56" spans="1:13" ht="14.25" customHeight="1">
      <c r="A56" s="116">
        <v>19</v>
      </c>
      <c r="B56" s="116"/>
      <c r="C56" s="183" t="s">
        <v>12466</v>
      </c>
      <c r="D56" s="116" t="s">
        <v>12467</v>
      </c>
      <c r="E56" s="183" t="s">
        <v>12468</v>
      </c>
      <c r="F56" s="183" t="s">
        <v>117</v>
      </c>
      <c r="G56" s="135" t="s">
        <v>12469</v>
      </c>
      <c r="H56" s="116" t="s">
        <v>12470</v>
      </c>
      <c r="I56" s="116"/>
      <c r="J56" s="116" t="s">
        <v>12471</v>
      </c>
      <c r="K56" s="134" t="s">
        <v>12472</v>
      </c>
      <c r="L56" s="116" t="s">
        <v>12473</v>
      </c>
      <c r="M56" s="116" t="s">
        <v>12474</v>
      </c>
    </row>
    <row r="57" spans="1:13" ht="14.25" customHeight="1">
      <c r="A57" s="116">
        <v>20</v>
      </c>
      <c r="B57" s="116"/>
      <c r="C57" s="186" t="s">
        <v>9165</v>
      </c>
      <c r="D57" s="116" t="s">
        <v>9166</v>
      </c>
      <c r="E57" s="26" t="s">
        <v>9167</v>
      </c>
      <c r="F57" s="26" t="s">
        <v>65</v>
      </c>
      <c r="G57" s="116" t="s">
        <v>10974</v>
      </c>
      <c r="H57" s="116" t="s">
        <v>12475</v>
      </c>
      <c r="I57" s="116"/>
      <c r="J57" s="116" t="s">
        <v>9171</v>
      </c>
      <c r="K57" s="134" t="s">
        <v>10975</v>
      </c>
      <c r="L57" s="116" t="s">
        <v>10976</v>
      </c>
      <c r="M57" s="116" t="s">
        <v>10977</v>
      </c>
    </row>
    <row r="58" spans="1:13" ht="14.25" customHeight="1">
      <c r="A58" s="116">
        <v>21</v>
      </c>
      <c r="B58" s="116"/>
      <c r="C58" s="186" t="s">
        <v>12476</v>
      </c>
      <c r="D58" s="134" t="s">
        <v>12477</v>
      </c>
      <c r="E58" s="26" t="s">
        <v>12478</v>
      </c>
      <c r="F58" s="26" t="s">
        <v>219</v>
      </c>
      <c r="G58" s="116" t="s">
        <v>12479</v>
      </c>
      <c r="H58" s="134" t="s">
        <v>12480</v>
      </c>
      <c r="I58" s="134"/>
      <c r="J58" s="134" t="s">
        <v>12481</v>
      </c>
      <c r="K58" s="134" t="s">
        <v>12482</v>
      </c>
      <c r="L58" s="116" t="s">
        <v>12483</v>
      </c>
      <c r="M58" s="116" t="s">
        <v>12484</v>
      </c>
    </row>
    <row r="59" spans="1:13" ht="14.25" customHeight="1">
      <c r="A59" s="116">
        <v>22</v>
      </c>
      <c r="B59" s="116"/>
      <c r="C59" s="186" t="s">
        <v>12485</v>
      </c>
      <c r="D59" s="116" t="s">
        <v>12486</v>
      </c>
      <c r="E59" s="26" t="s">
        <v>12487</v>
      </c>
      <c r="F59" s="26" t="s">
        <v>117</v>
      </c>
      <c r="G59" s="116" t="s">
        <v>12488</v>
      </c>
      <c r="H59" s="116" t="s">
        <v>12489</v>
      </c>
      <c r="I59" s="116"/>
      <c r="J59" s="116" t="s">
        <v>12490</v>
      </c>
      <c r="K59" s="134" t="s">
        <v>12491</v>
      </c>
      <c r="L59" s="116" t="s">
        <v>12492</v>
      </c>
      <c r="M59" s="116" t="s">
        <v>12493</v>
      </c>
    </row>
    <row r="60" spans="1:13" ht="14.25" customHeight="1">
      <c r="A60" s="116">
        <v>23</v>
      </c>
      <c r="B60" s="116"/>
      <c r="C60" s="186" t="s">
        <v>12494</v>
      </c>
      <c r="D60" s="116" t="s">
        <v>12495</v>
      </c>
      <c r="E60" s="26" t="s">
        <v>12496</v>
      </c>
      <c r="F60" s="26" t="s">
        <v>117</v>
      </c>
      <c r="G60" s="116" t="s">
        <v>12497</v>
      </c>
      <c r="H60" s="116" t="s">
        <v>12498</v>
      </c>
      <c r="I60" s="116"/>
      <c r="J60" s="116" t="s">
        <v>12499</v>
      </c>
      <c r="K60" s="134" t="s">
        <v>12500</v>
      </c>
      <c r="L60" s="116" t="s">
        <v>12501</v>
      </c>
      <c r="M60" s="116" t="s">
        <v>12502</v>
      </c>
    </row>
    <row r="61" spans="1:13" ht="14.25" customHeight="1">
      <c r="A61" s="116">
        <v>24</v>
      </c>
      <c r="B61" s="116"/>
      <c r="C61" s="186" t="s">
        <v>12503</v>
      </c>
      <c r="D61" s="134" t="s">
        <v>12504</v>
      </c>
      <c r="E61" s="26" t="s">
        <v>12505</v>
      </c>
      <c r="F61" s="26" t="s">
        <v>54</v>
      </c>
      <c r="G61" s="116" t="s">
        <v>12506</v>
      </c>
      <c r="H61" s="134" t="s">
        <v>12507</v>
      </c>
      <c r="I61" s="134"/>
      <c r="J61" s="134" t="s">
        <v>12508</v>
      </c>
      <c r="K61" s="134" t="s">
        <v>12509</v>
      </c>
      <c r="L61" s="116" t="s">
        <v>12510</v>
      </c>
      <c r="M61" s="116" t="s">
        <v>12511</v>
      </c>
    </row>
    <row r="62" spans="1:13" ht="14.25" customHeight="1">
      <c r="A62" s="116">
        <v>25</v>
      </c>
      <c r="B62" s="116"/>
      <c r="C62" s="186" t="s">
        <v>12512</v>
      </c>
      <c r="D62" s="116" t="s">
        <v>12513</v>
      </c>
      <c r="E62" s="26" t="s">
        <v>12514</v>
      </c>
      <c r="F62" s="26" t="s">
        <v>65</v>
      </c>
      <c r="G62" s="135" t="s">
        <v>12515</v>
      </c>
      <c r="H62" s="116" t="s">
        <v>12516</v>
      </c>
      <c r="I62" s="116"/>
      <c r="J62" s="116" t="s">
        <v>12517</v>
      </c>
      <c r="K62" s="134" t="s">
        <v>12518</v>
      </c>
      <c r="L62" s="116" t="s">
        <v>12519</v>
      </c>
      <c r="M62" s="116" t="s">
        <v>12520</v>
      </c>
    </row>
    <row r="63" spans="1:13" ht="14.25" customHeight="1">
      <c r="A63" s="116">
        <v>26</v>
      </c>
      <c r="B63" s="116"/>
      <c r="C63" s="186" t="s">
        <v>9853</v>
      </c>
      <c r="D63" s="116" t="s">
        <v>9854</v>
      </c>
      <c r="E63" s="26" t="s">
        <v>9855</v>
      </c>
      <c r="F63" s="26" t="s">
        <v>54</v>
      </c>
      <c r="G63" s="116" t="s">
        <v>12521</v>
      </c>
      <c r="H63" s="116" t="s">
        <v>12522</v>
      </c>
      <c r="I63" s="116"/>
      <c r="J63" s="116" t="s">
        <v>12523</v>
      </c>
      <c r="K63" s="134" t="s">
        <v>12524</v>
      </c>
      <c r="L63" s="116" t="s">
        <v>12525</v>
      </c>
      <c r="M63" s="116" t="s">
        <v>12526</v>
      </c>
    </row>
    <row r="64" spans="1:13" ht="14.25" customHeight="1">
      <c r="A64" s="116">
        <v>27</v>
      </c>
      <c r="B64" s="116"/>
      <c r="C64" s="186" t="s">
        <v>12527</v>
      </c>
      <c r="D64" s="116" t="s">
        <v>12528</v>
      </c>
      <c r="E64" s="26" t="s">
        <v>12529</v>
      </c>
      <c r="F64" s="26" t="s">
        <v>219</v>
      </c>
      <c r="G64" s="116" t="s">
        <v>12530</v>
      </c>
      <c r="H64" s="116" t="s">
        <v>12531</v>
      </c>
      <c r="I64" s="116"/>
      <c r="J64" s="116" t="s">
        <v>12532</v>
      </c>
      <c r="K64" s="134" t="s">
        <v>12533</v>
      </c>
      <c r="L64" s="132" t="s">
        <v>12534</v>
      </c>
      <c r="M64" s="116" t="s">
        <v>12535</v>
      </c>
    </row>
    <row r="65" spans="1:13" ht="14.25" customHeight="1">
      <c r="A65" s="116">
        <v>28</v>
      </c>
      <c r="B65" s="116"/>
      <c r="C65" s="186" t="s">
        <v>12536</v>
      </c>
      <c r="D65" s="134" t="s">
        <v>12537</v>
      </c>
      <c r="E65" s="26" t="s">
        <v>12538</v>
      </c>
      <c r="F65" s="26" t="s">
        <v>65</v>
      </c>
      <c r="G65" s="116" t="s">
        <v>12539</v>
      </c>
      <c r="H65" s="134" t="s">
        <v>12540</v>
      </c>
      <c r="I65" s="134"/>
      <c r="J65" s="134" t="s">
        <v>12541</v>
      </c>
      <c r="K65" s="134" t="s">
        <v>12542</v>
      </c>
      <c r="L65" s="116" t="s">
        <v>12543</v>
      </c>
      <c r="M65" s="116" t="s">
        <v>12544</v>
      </c>
    </row>
    <row r="66" spans="1:13" ht="14.25" customHeight="1">
      <c r="A66" s="116">
        <v>29</v>
      </c>
      <c r="B66" s="116"/>
      <c r="C66" s="186" t="s">
        <v>12545</v>
      </c>
      <c r="D66" s="134" t="s">
        <v>12546</v>
      </c>
      <c r="E66" s="186" t="s">
        <v>12547</v>
      </c>
      <c r="F66" s="186" t="s">
        <v>219</v>
      </c>
      <c r="G66" s="116" t="s">
        <v>12548</v>
      </c>
      <c r="H66" s="134" t="s">
        <v>12549</v>
      </c>
      <c r="I66" s="134"/>
      <c r="J66" s="134" t="s">
        <v>12550</v>
      </c>
      <c r="K66" s="134" t="s">
        <v>12551</v>
      </c>
      <c r="L66" s="116" t="s">
        <v>12552</v>
      </c>
      <c r="M66" s="116" t="s">
        <v>12553</v>
      </c>
    </row>
    <row r="67" spans="1:13" ht="14.25" customHeight="1">
      <c r="A67" s="116">
        <v>30</v>
      </c>
      <c r="B67" s="116"/>
      <c r="C67" s="186" t="s">
        <v>8641</v>
      </c>
      <c r="D67" s="116" t="s">
        <v>8642</v>
      </c>
      <c r="E67" s="26" t="s">
        <v>8643</v>
      </c>
      <c r="F67" s="183" t="s">
        <v>54</v>
      </c>
      <c r="G67" s="116" t="s">
        <v>10915</v>
      </c>
      <c r="H67" s="116" t="s">
        <v>12554</v>
      </c>
      <c r="I67" s="116"/>
      <c r="J67" s="116" t="s">
        <v>8647</v>
      </c>
      <c r="K67" s="134" t="s">
        <v>10916</v>
      </c>
      <c r="L67" s="116" t="s">
        <v>10917</v>
      </c>
      <c r="M67" s="116" t="s">
        <v>10918</v>
      </c>
    </row>
    <row r="68" spans="1:13" ht="14.25" customHeight="1">
      <c r="A68" s="132">
        <v>31</v>
      </c>
      <c r="B68" s="132"/>
      <c r="C68" s="183" t="s">
        <v>8824</v>
      </c>
      <c r="D68" s="132" t="s">
        <v>8825</v>
      </c>
      <c r="E68" s="27" t="s">
        <v>8826</v>
      </c>
      <c r="F68" s="27" t="s">
        <v>117</v>
      </c>
      <c r="G68" s="132" t="s">
        <v>10938</v>
      </c>
      <c r="H68" s="132" t="s">
        <v>12555</v>
      </c>
      <c r="I68" s="132"/>
      <c r="J68" s="132" t="s">
        <v>8830</v>
      </c>
      <c r="K68" s="115" t="s">
        <v>10939</v>
      </c>
      <c r="L68" s="132" t="s">
        <v>10940</v>
      </c>
      <c r="M68" s="132" t="s">
        <v>10941</v>
      </c>
    </row>
    <row r="69" spans="1:13" ht="14.25" customHeight="1">
      <c r="A69" s="116">
        <v>32</v>
      </c>
      <c r="B69" s="116"/>
      <c r="C69" s="183" t="s">
        <v>8352</v>
      </c>
      <c r="D69" s="116" t="s">
        <v>8353</v>
      </c>
      <c r="E69" s="183" t="s">
        <v>3084</v>
      </c>
      <c r="F69" s="183" t="s">
        <v>65</v>
      </c>
      <c r="G69" s="116" t="s">
        <v>10889</v>
      </c>
      <c r="H69" s="116" t="s">
        <v>12556</v>
      </c>
      <c r="I69" s="116"/>
      <c r="J69" s="116" t="s">
        <v>8357</v>
      </c>
      <c r="K69" s="134" t="s">
        <v>10890</v>
      </c>
      <c r="L69" s="116" t="s">
        <v>10891</v>
      </c>
      <c r="M69" s="116" t="s">
        <v>10892</v>
      </c>
    </row>
    <row r="70" spans="1:13" ht="14.25" customHeight="1">
      <c r="A70" s="116">
        <v>33</v>
      </c>
      <c r="B70" s="116"/>
      <c r="C70" s="183" t="s">
        <v>9567</v>
      </c>
      <c r="D70" s="116" t="s">
        <v>9568</v>
      </c>
      <c r="E70" s="183" t="s">
        <v>9569</v>
      </c>
      <c r="F70" s="183" t="s">
        <v>65</v>
      </c>
      <c r="G70" s="116" t="s">
        <v>11016</v>
      </c>
      <c r="H70" s="116" t="s">
        <v>12557</v>
      </c>
      <c r="I70" s="116"/>
      <c r="J70" s="116" t="s">
        <v>9572</v>
      </c>
      <c r="K70" s="134" t="s">
        <v>11017</v>
      </c>
      <c r="L70" s="116" t="s">
        <v>11018</v>
      </c>
      <c r="M70" s="116" t="s">
        <v>11019</v>
      </c>
    </row>
    <row r="71" spans="1:13" ht="14.25" customHeight="1">
      <c r="A71" s="116">
        <v>34</v>
      </c>
      <c r="B71" s="116"/>
      <c r="C71" s="183" t="s">
        <v>7527</v>
      </c>
      <c r="D71" s="116" t="s">
        <v>7528</v>
      </c>
      <c r="E71" s="183" t="s">
        <v>7529</v>
      </c>
      <c r="F71" s="183" t="s">
        <v>65</v>
      </c>
      <c r="G71" s="116" t="s">
        <v>10803</v>
      </c>
      <c r="H71" s="116" t="s">
        <v>12558</v>
      </c>
      <c r="I71" s="116"/>
      <c r="J71" s="116" t="s">
        <v>7533</v>
      </c>
      <c r="K71" s="134" t="s">
        <v>10804</v>
      </c>
      <c r="L71" s="116" t="s">
        <v>10805</v>
      </c>
      <c r="M71" s="116" t="s">
        <v>10806</v>
      </c>
    </row>
    <row r="72" spans="1:13" ht="14.25" customHeight="1">
      <c r="A72" s="178">
        <v>1</v>
      </c>
      <c r="B72" s="178"/>
      <c r="C72" s="179" t="s">
        <v>12559</v>
      </c>
      <c r="D72" s="180" t="s">
        <v>12560</v>
      </c>
      <c r="E72" s="179" t="s">
        <v>12561</v>
      </c>
      <c r="F72" s="179" t="s">
        <v>117</v>
      </c>
      <c r="G72" s="178" t="s">
        <v>12562</v>
      </c>
      <c r="H72" s="180" t="s">
        <v>12563</v>
      </c>
      <c r="I72" s="180"/>
      <c r="J72" s="180" t="s">
        <v>12564</v>
      </c>
      <c r="K72" s="180" t="s">
        <v>12565</v>
      </c>
      <c r="L72" s="178" t="s">
        <v>12566</v>
      </c>
      <c r="M72" s="178" t="s">
        <v>12567</v>
      </c>
    </row>
    <row r="73" spans="1:13" ht="14.25" customHeight="1">
      <c r="A73" s="116">
        <v>2</v>
      </c>
      <c r="B73" s="116"/>
      <c r="C73" s="186" t="s">
        <v>12568</v>
      </c>
      <c r="D73" s="116" t="s">
        <v>12569</v>
      </c>
      <c r="E73" s="183" t="s">
        <v>12570</v>
      </c>
      <c r="F73" s="183" t="s">
        <v>219</v>
      </c>
      <c r="G73" s="116" t="s">
        <v>12571</v>
      </c>
      <c r="H73" s="116" t="s">
        <v>12572</v>
      </c>
      <c r="I73" s="116"/>
      <c r="J73" s="187" t="s">
        <v>12573</v>
      </c>
      <c r="K73" s="134" t="s">
        <v>12574</v>
      </c>
      <c r="L73" s="116" t="s">
        <v>12575</v>
      </c>
      <c r="M73" s="116" t="s">
        <v>12576</v>
      </c>
    </row>
    <row r="74" spans="1:13" ht="14.25" customHeight="1">
      <c r="A74" s="116">
        <v>3</v>
      </c>
      <c r="B74" s="116"/>
      <c r="C74" s="183" t="s">
        <v>12577</v>
      </c>
      <c r="D74" s="116" t="s">
        <v>12578</v>
      </c>
      <c r="E74" s="183" t="s">
        <v>12579</v>
      </c>
      <c r="F74" s="183" t="s">
        <v>664</v>
      </c>
      <c r="G74" s="116" t="s">
        <v>12580</v>
      </c>
      <c r="H74" s="116" t="s">
        <v>12581</v>
      </c>
      <c r="I74" s="116"/>
      <c r="J74" s="116" t="s">
        <v>12582</v>
      </c>
      <c r="K74" s="134" t="s">
        <v>12583</v>
      </c>
      <c r="L74" s="189" t="s">
        <v>12584</v>
      </c>
      <c r="M74" s="116" t="s">
        <v>12585</v>
      </c>
    </row>
    <row r="75" spans="1:13" ht="14.25" customHeight="1">
      <c r="A75" s="116">
        <v>4</v>
      </c>
      <c r="B75" s="116"/>
      <c r="C75" s="183" t="s">
        <v>12586</v>
      </c>
      <c r="D75" s="116" t="s">
        <v>12587</v>
      </c>
      <c r="E75" s="183" t="s">
        <v>12588</v>
      </c>
      <c r="F75" s="183" t="s">
        <v>65</v>
      </c>
      <c r="G75" s="116" t="s">
        <v>12589</v>
      </c>
      <c r="H75" s="116" t="s">
        <v>12590</v>
      </c>
      <c r="I75" s="116"/>
      <c r="J75" s="116" t="s">
        <v>12591</v>
      </c>
      <c r="K75" s="134" t="s">
        <v>12592</v>
      </c>
      <c r="L75" s="116" t="s">
        <v>12593</v>
      </c>
      <c r="M75" s="116" t="s">
        <v>12594</v>
      </c>
    </row>
    <row r="76" spans="1:13" ht="14.25" customHeight="1">
      <c r="A76" s="116">
        <v>5</v>
      </c>
      <c r="B76" s="116"/>
      <c r="C76" s="183" t="s">
        <v>12595</v>
      </c>
      <c r="D76" s="116" t="s">
        <v>12596</v>
      </c>
      <c r="E76" s="183" t="s">
        <v>12597</v>
      </c>
      <c r="F76" s="183" t="s">
        <v>54</v>
      </c>
      <c r="G76" s="116" t="s">
        <v>12598</v>
      </c>
      <c r="H76" s="116" t="s">
        <v>12599</v>
      </c>
      <c r="I76" s="116"/>
      <c r="J76" s="116" t="s">
        <v>12600</v>
      </c>
      <c r="K76" s="134" t="s">
        <v>12601</v>
      </c>
      <c r="L76" s="116" t="s">
        <v>12602</v>
      </c>
      <c r="M76" s="116" t="s">
        <v>12603</v>
      </c>
    </row>
    <row r="77" spans="1:13" ht="14.25" customHeight="1">
      <c r="A77" s="116">
        <v>6</v>
      </c>
      <c r="B77" s="116"/>
      <c r="C77" s="183" t="s">
        <v>12604</v>
      </c>
      <c r="D77" s="116" t="s">
        <v>12605</v>
      </c>
      <c r="E77" s="183" t="s">
        <v>12606</v>
      </c>
      <c r="F77" s="183" t="s">
        <v>117</v>
      </c>
      <c r="G77" s="116" t="s">
        <v>12130</v>
      </c>
      <c r="H77" s="116" t="s">
        <v>12607</v>
      </c>
      <c r="I77" s="116"/>
      <c r="J77" s="116" t="s">
        <v>12608</v>
      </c>
      <c r="K77" s="134" t="s">
        <v>12609</v>
      </c>
      <c r="L77" s="116" t="s">
        <v>12610</v>
      </c>
      <c r="M77" s="116" t="s">
        <v>12611</v>
      </c>
    </row>
    <row r="78" spans="1:13" ht="14.25" customHeight="1">
      <c r="A78" s="116">
        <v>7</v>
      </c>
      <c r="B78" s="116"/>
      <c r="C78" s="183" t="s">
        <v>12612</v>
      </c>
      <c r="D78" s="116" t="s">
        <v>12613</v>
      </c>
      <c r="E78" s="183" t="s">
        <v>12614</v>
      </c>
      <c r="F78" s="183" t="s">
        <v>117</v>
      </c>
      <c r="G78" s="116" t="s">
        <v>12615</v>
      </c>
      <c r="H78" s="116" t="s">
        <v>12616</v>
      </c>
      <c r="I78" s="116"/>
      <c r="J78" s="116" t="s">
        <v>12617</v>
      </c>
      <c r="K78" s="134" t="s">
        <v>12618</v>
      </c>
      <c r="L78" s="116" t="s">
        <v>12619</v>
      </c>
      <c r="M78" s="116" t="s">
        <v>12620</v>
      </c>
    </row>
    <row r="79" spans="1:13" ht="14.25" customHeight="1">
      <c r="A79" s="116">
        <v>8</v>
      </c>
      <c r="B79" s="116"/>
      <c r="C79" s="183" t="s">
        <v>12621</v>
      </c>
      <c r="D79" s="116" t="s">
        <v>12622</v>
      </c>
      <c r="E79" s="183" t="s">
        <v>12623</v>
      </c>
      <c r="F79" s="183" t="s">
        <v>117</v>
      </c>
      <c r="G79" s="116" t="s">
        <v>12624</v>
      </c>
      <c r="H79" s="116" t="s">
        <v>12625</v>
      </c>
      <c r="I79" s="116"/>
      <c r="J79" s="116" t="s">
        <v>12626</v>
      </c>
      <c r="K79" s="134" t="s">
        <v>12627</v>
      </c>
      <c r="L79" s="116" t="s">
        <v>12628</v>
      </c>
      <c r="M79" s="116" t="s">
        <v>12629</v>
      </c>
    </row>
    <row r="80" spans="1:13" ht="14.25" customHeight="1">
      <c r="A80" s="116">
        <v>9</v>
      </c>
      <c r="B80" s="116"/>
      <c r="C80" s="183" t="s">
        <v>12630</v>
      </c>
      <c r="D80" s="116" t="s">
        <v>12631</v>
      </c>
      <c r="E80" s="183" t="s">
        <v>12632</v>
      </c>
      <c r="F80" s="183" t="s">
        <v>65</v>
      </c>
      <c r="G80" s="135" t="s">
        <v>12633</v>
      </c>
      <c r="H80" s="116" t="s">
        <v>12634</v>
      </c>
      <c r="I80" s="116"/>
      <c r="J80" s="116" t="s">
        <v>12635</v>
      </c>
      <c r="K80" s="134" t="s">
        <v>12636</v>
      </c>
      <c r="L80" s="116" t="s">
        <v>12637</v>
      </c>
      <c r="M80" s="116" t="s">
        <v>12638</v>
      </c>
    </row>
    <row r="81" spans="1:13" ht="14.25" customHeight="1">
      <c r="A81" s="116">
        <v>10</v>
      </c>
      <c r="B81" s="116"/>
      <c r="C81" s="183" t="s">
        <v>12639</v>
      </c>
      <c r="D81" s="116" t="s">
        <v>12640</v>
      </c>
      <c r="E81" s="183" t="s">
        <v>12641</v>
      </c>
      <c r="F81" s="183" t="s">
        <v>65</v>
      </c>
      <c r="G81" s="116" t="s">
        <v>12642</v>
      </c>
      <c r="H81" s="116" t="s">
        <v>12643</v>
      </c>
      <c r="I81" s="116"/>
      <c r="J81" s="116" t="s">
        <v>12644</v>
      </c>
      <c r="K81" s="134" t="s">
        <v>12645</v>
      </c>
      <c r="L81" s="116" t="s">
        <v>12646</v>
      </c>
      <c r="M81" s="116" t="s">
        <v>12647</v>
      </c>
    </row>
    <row r="82" spans="1:13" ht="14.25" customHeight="1">
      <c r="A82" s="116">
        <v>11</v>
      </c>
      <c r="B82" s="116"/>
      <c r="C82" s="183" t="s">
        <v>7681</v>
      </c>
      <c r="D82" s="116" t="s">
        <v>7682</v>
      </c>
      <c r="E82" s="183" t="s">
        <v>7683</v>
      </c>
      <c r="F82" s="183" t="s">
        <v>54</v>
      </c>
      <c r="G82" s="116" t="s">
        <v>10819</v>
      </c>
      <c r="H82" s="116" t="s">
        <v>12648</v>
      </c>
      <c r="I82" s="116"/>
      <c r="J82" s="116" t="s">
        <v>7687</v>
      </c>
      <c r="K82" s="134" t="s">
        <v>10820</v>
      </c>
      <c r="L82" s="116" t="s">
        <v>10821</v>
      </c>
      <c r="M82" s="116" t="s">
        <v>10822</v>
      </c>
    </row>
    <row r="83" spans="1:13" ht="14.25" customHeight="1">
      <c r="A83" s="116">
        <v>12</v>
      </c>
      <c r="B83" s="116"/>
      <c r="C83" s="183" t="s">
        <v>12649</v>
      </c>
      <c r="D83" s="116" t="s">
        <v>12650</v>
      </c>
      <c r="E83" s="183" t="s">
        <v>12651</v>
      </c>
      <c r="F83" s="183" t="s">
        <v>664</v>
      </c>
      <c r="G83" s="116" t="s">
        <v>12652</v>
      </c>
      <c r="H83" s="116" t="s">
        <v>12653</v>
      </c>
      <c r="I83" s="116"/>
      <c r="J83" s="116" t="s">
        <v>12654</v>
      </c>
      <c r="K83" s="134" t="s">
        <v>12655</v>
      </c>
      <c r="L83" s="116" t="s">
        <v>12656</v>
      </c>
      <c r="M83" s="116" t="s">
        <v>12657</v>
      </c>
    </row>
    <row r="84" spans="1:13" ht="14.25" customHeight="1">
      <c r="A84" s="116">
        <v>13</v>
      </c>
      <c r="B84" s="116"/>
      <c r="C84" s="183" t="s">
        <v>12658</v>
      </c>
      <c r="D84" s="116" t="s">
        <v>12659</v>
      </c>
      <c r="E84" s="183" t="s">
        <v>12660</v>
      </c>
      <c r="F84" s="183" t="s">
        <v>117</v>
      </c>
      <c r="G84" s="116" t="s">
        <v>12661</v>
      </c>
      <c r="H84" s="116" t="s">
        <v>12662</v>
      </c>
      <c r="I84" s="116"/>
      <c r="J84" s="116" t="s">
        <v>12663</v>
      </c>
      <c r="K84" s="134" t="s">
        <v>12664</v>
      </c>
      <c r="L84" s="116" t="s">
        <v>12665</v>
      </c>
      <c r="M84" s="116" t="s">
        <v>12666</v>
      </c>
    </row>
    <row r="85" spans="1:13" ht="14.25" customHeight="1">
      <c r="A85" s="116">
        <v>14</v>
      </c>
      <c r="B85" s="116"/>
      <c r="C85" s="183" t="s">
        <v>12667</v>
      </c>
      <c r="D85" s="116" t="s">
        <v>12668</v>
      </c>
      <c r="E85" s="186" t="s">
        <v>12669</v>
      </c>
      <c r="F85" s="183" t="s">
        <v>65</v>
      </c>
      <c r="G85" s="116" t="s">
        <v>12670</v>
      </c>
      <c r="H85" s="116" t="s">
        <v>12671</v>
      </c>
      <c r="I85" s="116"/>
      <c r="J85" s="116" t="s">
        <v>12672</v>
      </c>
      <c r="K85" s="134" t="s">
        <v>12673</v>
      </c>
      <c r="L85" s="116" t="s">
        <v>12674</v>
      </c>
      <c r="M85" s="116" t="s">
        <v>12675</v>
      </c>
    </row>
    <row r="86" spans="1:13" ht="14.25" customHeight="1">
      <c r="A86" s="116">
        <v>15</v>
      </c>
      <c r="B86" s="116"/>
      <c r="C86" s="183" t="s">
        <v>12676</v>
      </c>
      <c r="D86" s="116" t="s">
        <v>12677</v>
      </c>
      <c r="E86" s="183" t="s">
        <v>12678</v>
      </c>
      <c r="F86" s="183" t="s">
        <v>65</v>
      </c>
      <c r="G86" s="116" t="s">
        <v>12679</v>
      </c>
      <c r="H86" s="116" t="s">
        <v>12680</v>
      </c>
      <c r="I86" s="116"/>
      <c r="J86" s="116" t="s">
        <v>12681</v>
      </c>
      <c r="K86" s="134" t="s">
        <v>12682</v>
      </c>
      <c r="L86" s="116" t="s">
        <v>12683</v>
      </c>
      <c r="M86" s="116" t="s">
        <v>12684</v>
      </c>
    </row>
    <row r="87" spans="1:13" ht="14.25" customHeight="1">
      <c r="A87" s="116">
        <v>16</v>
      </c>
      <c r="B87" s="116"/>
      <c r="C87" s="186" t="s">
        <v>12685</v>
      </c>
      <c r="D87" s="134" t="s">
        <v>12686</v>
      </c>
      <c r="E87" s="186" t="s">
        <v>12687</v>
      </c>
      <c r="F87" s="186" t="s">
        <v>117</v>
      </c>
      <c r="G87" s="116" t="s">
        <v>12688</v>
      </c>
      <c r="H87" s="134" t="s">
        <v>12689</v>
      </c>
      <c r="I87" s="134"/>
      <c r="J87" s="134" t="s">
        <v>12690</v>
      </c>
      <c r="K87" s="134" t="s">
        <v>12691</v>
      </c>
      <c r="L87" s="116" t="s">
        <v>12692</v>
      </c>
      <c r="M87" s="116" t="s">
        <v>12693</v>
      </c>
    </row>
    <row r="88" spans="1:13" ht="14.25" customHeight="1">
      <c r="A88" s="116">
        <v>17</v>
      </c>
      <c r="B88" s="116"/>
      <c r="C88" s="186" t="s">
        <v>12694</v>
      </c>
      <c r="D88" s="134" t="s">
        <v>12695</v>
      </c>
      <c r="E88" s="186" t="s">
        <v>12696</v>
      </c>
      <c r="F88" s="186" t="s">
        <v>65</v>
      </c>
      <c r="G88" s="116" t="s">
        <v>12697</v>
      </c>
      <c r="H88" s="134" t="s">
        <v>12698</v>
      </c>
      <c r="I88" s="134"/>
      <c r="J88" s="134" t="s">
        <v>12699</v>
      </c>
      <c r="K88" s="134" t="s">
        <v>12700</v>
      </c>
      <c r="L88" s="116" t="s">
        <v>12701</v>
      </c>
      <c r="M88" s="116" t="s">
        <v>12702</v>
      </c>
    </row>
    <row r="89" spans="1:13" ht="14.25" customHeight="1">
      <c r="A89" s="116">
        <v>18</v>
      </c>
      <c r="B89" s="116"/>
      <c r="C89" s="183" t="s">
        <v>12703</v>
      </c>
      <c r="D89" s="116" t="s">
        <v>12704</v>
      </c>
      <c r="E89" s="26" t="s">
        <v>12705</v>
      </c>
      <c r="F89" s="183" t="s">
        <v>65</v>
      </c>
      <c r="G89" s="116" t="s">
        <v>12706</v>
      </c>
      <c r="H89" s="116" t="s">
        <v>12707</v>
      </c>
      <c r="I89" s="116"/>
      <c r="J89" s="116" t="s">
        <v>12708</v>
      </c>
      <c r="K89" s="134" t="s">
        <v>12709</v>
      </c>
      <c r="L89" s="116" t="s">
        <v>12710</v>
      </c>
      <c r="M89" s="132" t="s">
        <v>12711</v>
      </c>
    </row>
    <row r="90" spans="1:13" ht="14.25" customHeight="1">
      <c r="A90" s="116">
        <v>19</v>
      </c>
      <c r="B90" s="116"/>
      <c r="C90" s="183" t="s">
        <v>12712</v>
      </c>
      <c r="D90" s="116" t="s">
        <v>12713</v>
      </c>
      <c r="E90" s="26" t="s">
        <v>12714</v>
      </c>
      <c r="F90" s="183" t="s">
        <v>65</v>
      </c>
      <c r="G90" s="116" t="s">
        <v>12715</v>
      </c>
      <c r="H90" s="116" t="s">
        <v>12716</v>
      </c>
      <c r="I90" s="116"/>
      <c r="J90" s="116" t="s">
        <v>12717</v>
      </c>
      <c r="K90" s="134" t="s">
        <v>12718</v>
      </c>
      <c r="L90" s="116" t="s">
        <v>12719</v>
      </c>
      <c r="M90" s="116" t="s">
        <v>12720</v>
      </c>
    </row>
    <row r="91" spans="1:13" ht="14.25" customHeight="1">
      <c r="A91" s="116">
        <v>20</v>
      </c>
      <c r="B91" s="116"/>
      <c r="C91" s="186" t="s">
        <v>12721</v>
      </c>
      <c r="D91" s="116" t="s">
        <v>12722</v>
      </c>
      <c r="E91" s="26" t="s">
        <v>12723</v>
      </c>
      <c r="F91" s="26" t="s">
        <v>117</v>
      </c>
      <c r="G91" s="116" t="s">
        <v>12724</v>
      </c>
      <c r="H91" s="116" t="s">
        <v>12725</v>
      </c>
      <c r="I91" s="116"/>
      <c r="J91" s="116" t="s">
        <v>12726</v>
      </c>
      <c r="K91" s="134" t="s">
        <v>12727</v>
      </c>
      <c r="L91" s="116" t="s">
        <v>12728</v>
      </c>
      <c r="M91" s="116" t="s">
        <v>12729</v>
      </c>
    </row>
    <row r="92" spans="1:13" ht="14.25" customHeight="1">
      <c r="A92" s="116">
        <v>21</v>
      </c>
      <c r="B92" s="116"/>
      <c r="C92" s="186" t="s">
        <v>6019</v>
      </c>
      <c r="D92" s="116" t="s">
        <v>6020</v>
      </c>
      <c r="E92" s="26" t="s">
        <v>6021</v>
      </c>
      <c r="F92" s="26" t="s">
        <v>219</v>
      </c>
      <c r="G92" s="116" t="s">
        <v>10670</v>
      </c>
      <c r="H92" s="116" t="s">
        <v>12730</v>
      </c>
      <c r="I92" s="116"/>
      <c r="J92" s="116" t="s">
        <v>6025</v>
      </c>
      <c r="K92" s="134" t="s">
        <v>10671</v>
      </c>
      <c r="L92" s="116" t="s">
        <v>10672</v>
      </c>
      <c r="M92" s="116" t="s">
        <v>10673</v>
      </c>
    </row>
    <row r="93" spans="1:13" ht="14.25" customHeight="1">
      <c r="A93" s="116">
        <v>22</v>
      </c>
      <c r="B93" s="116"/>
      <c r="C93" s="186" t="s">
        <v>12731</v>
      </c>
      <c r="D93" s="116" t="s">
        <v>12732</v>
      </c>
      <c r="E93" s="26" t="s">
        <v>12733</v>
      </c>
      <c r="F93" s="26" t="s">
        <v>117</v>
      </c>
      <c r="G93" s="116" t="s">
        <v>12734</v>
      </c>
      <c r="H93" s="116" t="s">
        <v>12735</v>
      </c>
      <c r="I93" s="116"/>
      <c r="J93" s="116" t="s">
        <v>12736</v>
      </c>
      <c r="K93" s="134" t="s">
        <v>12737</v>
      </c>
      <c r="L93" s="116" t="s">
        <v>12738</v>
      </c>
      <c r="M93" s="116" t="s">
        <v>12739</v>
      </c>
    </row>
    <row r="94" spans="1:13" ht="14.25" customHeight="1">
      <c r="A94" s="116">
        <v>23</v>
      </c>
      <c r="B94" s="116"/>
      <c r="C94" s="186" t="s">
        <v>12740</v>
      </c>
      <c r="D94" s="116" t="s">
        <v>12741</v>
      </c>
      <c r="E94" s="26" t="s">
        <v>12742</v>
      </c>
      <c r="F94" s="26" t="s">
        <v>65</v>
      </c>
      <c r="G94" s="116" t="s">
        <v>12743</v>
      </c>
      <c r="H94" s="116" t="s">
        <v>12744</v>
      </c>
      <c r="I94" s="116"/>
      <c r="J94" s="116" t="s">
        <v>12745</v>
      </c>
      <c r="K94" s="134" t="s">
        <v>12746</v>
      </c>
      <c r="L94" s="116" t="s">
        <v>12747</v>
      </c>
      <c r="M94" s="116" t="s">
        <v>12748</v>
      </c>
    </row>
    <row r="95" spans="1:13" ht="14.25" customHeight="1">
      <c r="A95" s="116">
        <v>24</v>
      </c>
      <c r="B95" s="116"/>
      <c r="C95" s="183" t="s">
        <v>12749</v>
      </c>
      <c r="D95" s="116" t="s">
        <v>12750</v>
      </c>
      <c r="E95" s="186" t="s">
        <v>12751</v>
      </c>
      <c r="F95" s="183" t="s">
        <v>117</v>
      </c>
      <c r="G95" s="116" t="s">
        <v>12752</v>
      </c>
      <c r="H95" s="116" t="s">
        <v>12753</v>
      </c>
      <c r="I95" s="116"/>
      <c r="J95" s="116" t="s">
        <v>12754</v>
      </c>
      <c r="K95" s="134" t="s">
        <v>12755</v>
      </c>
      <c r="L95" s="116" t="s">
        <v>12756</v>
      </c>
      <c r="M95" s="116" t="s">
        <v>12757</v>
      </c>
    </row>
    <row r="96" spans="1:13" ht="14.25" customHeight="1">
      <c r="A96" s="116">
        <v>25</v>
      </c>
      <c r="B96" s="116"/>
      <c r="C96" s="183" t="s">
        <v>12758</v>
      </c>
      <c r="D96" s="134" t="s">
        <v>12759</v>
      </c>
      <c r="E96" s="186" t="s">
        <v>12760</v>
      </c>
      <c r="F96" s="183" t="s">
        <v>65</v>
      </c>
      <c r="G96" s="116" t="s">
        <v>12761</v>
      </c>
      <c r="H96" s="134" t="s">
        <v>12762</v>
      </c>
      <c r="I96" s="134"/>
      <c r="J96" s="116" t="s">
        <v>12763</v>
      </c>
      <c r="K96" s="134" t="s">
        <v>12764</v>
      </c>
      <c r="L96" s="116" t="s">
        <v>12765</v>
      </c>
      <c r="M96" s="116" t="s">
        <v>12766</v>
      </c>
    </row>
    <row r="97" spans="1:13" ht="14.25" customHeight="1">
      <c r="A97" s="116">
        <v>26</v>
      </c>
      <c r="B97" s="116"/>
      <c r="C97" s="183" t="s">
        <v>12767</v>
      </c>
      <c r="D97" s="134" t="s">
        <v>12768</v>
      </c>
      <c r="E97" s="183" t="s">
        <v>12769</v>
      </c>
      <c r="F97" s="183" t="s">
        <v>65</v>
      </c>
      <c r="G97" s="116" t="s">
        <v>12770</v>
      </c>
      <c r="H97" s="134" t="s">
        <v>12771</v>
      </c>
      <c r="I97" s="134"/>
      <c r="J97" s="116" t="s">
        <v>12772</v>
      </c>
      <c r="K97" s="134" t="s">
        <v>12773</v>
      </c>
      <c r="L97" s="116" t="s">
        <v>12774</v>
      </c>
      <c r="M97" s="116" t="s">
        <v>12775</v>
      </c>
    </row>
    <row r="98" spans="1:13" ht="14.25" customHeight="1">
      <c r="A98" s="116">
        <v>27</v>
      </c>
      <c r="B98" s="116"/>
      <c r="C98" s="183" t="s">
        <v>12776</v>
      </c>
      <c r="D98" s="116" t="s">
        <v>12777</v>
      </c>
      <c r="E98" s="183" t="s">
        <v>12778</v>
      </c>
      <c r="F98" s="183" t="s">
        <v>117</v>
      </c>
      <c r="G98" s="116" t="s">
        <v>12779</v>
      </c>
      <c r="H98" s="116" t="s">
        <v>12780</v>
      </c>
      <c r="I98" s="116"/>
      <c r="J98" s="116" t="s">
        <v>12781</v>
      </c>
      <c r="K98" s="134" t="s">
        <v>12782</v>
      </c>
      <c r="L98" s="116" t="s">
        <v>12783</v>
      </c>
      <c r="M98" s="116" t="s">
        <v>12784</v>
      </c>
    </row>
    <row r="99" spans="1:13" ht="14.25" customHeight="1">
      <c r="A99" s="116">
        <v>28</v>
      </c>
      <c r="B99" s="116"/>
      <c r="C99" s="186" t="s">
        <v>12785</v>
      </c>
      <c r="D99" s="134" t="s">
        <v>12786</v>
      </c>
      <c r="E99" s="186" t="s">
        <v>2350</v>
      </c>
      <c r="F99" s="186" t="s">
        <v>501</v>
      </c>
      <c r="G99" s="116" t="s">
        <v>12787</v>
      </c>
      <c r="H99" s="134" t="s">
        <v>12788</v>
      </c>
      <c r="I99" s="134"/>
      <c r="J99" s="134" t="s">
        <v>12789</v>
      </c>
      <c r="K99" s="134" t="s">
        <v>12790</v>
      </c>
      <c r="L99" s="116" t="s">
        <v>12791</v>
      </c>
      <c r="M99" s="116" t="s">
        <v>12792</v>
      </c>
    </row>
    <row r="100" spans="1:13" ht="14.25" customHeight="1">
      <c r="A100" s="116">
        <v>29</v>
      </c>
      <c r="B100" s="116"/>
      <c r="C100" s="183" t="s">
        <v>12793</v>
      </c>
      <c r="D100" s="116" t="s">
        <v>12794</v>
      </c>
      <c r="E100" s="183" t="s">
        <v>12795</v>
      </c>
      <c r="F100" s="183" t="s">
        <v>117</v>
      </c>
      <c r="G100" s="116" t="s">
        <v>12796</v>
      </c>
      <c r="H100" s="116" t="s">
        <v>12797</v>
      </c>
      <c r="I100" s="116"/>
      <c r="J100" s="116" t="s">
        <v>12798</v>
      </c>
      <c r="K100" s="134" t="s">
        <v>12799</v>
      </c>
      <c r="L100" s="116" t="s">
        <v>12800</v>
      </c>
      <c r="M100" s="116" t="s">
        <v>12801</v>
      </c>
    </row>
    <row r="101" spans="1:13" ht="14.25" customHeight="1">
      <c r="A101" s="116">
        <v>30</v>
      </c>
      <c r="B101" s="116"/>
      <c r="C101" s="183" t="s">
        <v>5975</v>
      </c>
      <c r="D101" s="116" t="s">
        <v>5976</v>
      </c>
      <c r="E101" s="183" t="s">
        <v>5977</v>
      </c>
      <c r="F101" s="183" t="s">
        <v>65</v>
      </c>
      <c r="G101" s="116" t="s">
        <v>10665</v>
      </c>
      <c r="H101" s="116" t="s">
        <v>12802</v>
      </c>
      <c r="I101" s="116"/>
      <c r="J101" s="116" t="s">
        <v>5981</v>
      </c>
      <c r="K101" s="134" t="s">
        <v>10666</v>
      </c>
      <c r="L101" s="116" t="s">
        <v>10667</v>
      </c>
      <c r="M101" s="116" t="s">
        <v>10668</v>
      </c>
    </row>
    <row r="102" spans="1:13" ht="14.25" customHeight="1">
      <c r="A102" s="116">
        <v>31</v>
      </c>
      <c r="B102" s="116"/>
      <c r="C102" s="183" t="s">
        <v>12803</v>
      </c>
      <c r="D102" s="134" t="s">
        <v>12804</v>
      </c>
      <c r="E102" s="183" t="s">
        <v>12805</v>
      </c>
      <c r="F102" s="183" t="s">
        <v>54</v>
      </c>
      <c r="G102" s="116" t="s">
        <v>12806</v>
      </c>
      <c r="H102" s="134" t="s">
        <v>12807</v>
      </c>
      <c r="I102" s="134"/>
      <c r="J102" s="116" t="s">
        <v>12808</v>
      </c>
      <c r="K102" s="134" t="s">
        <v>12809</v>
      </c>
      <c r="L102" s="116" t="s">
        <v>12810</v>
      </c>
      <c r="M102" s="132" t="s">
        <v>12811</v>
      </c>
    </row>
    <row r="103" spans="1:13" ht="14.25" customHeight="1">
      <c r="A103" s="116">
        <v>32</v>
      </c>
      <c r="B103" s="116"/>
      <c r="C103" s="183" t="s">
        <v>12812</v>
      </c>
      <c r="D103" s="134" t="s">
        <v>12813</v>
      </c>
      <c r="E103" s="183" t="s">
        <v>12814</v>
      </c>
      <c r="F103" s="183" t="s">
        <v>65</v>
      </c>
      <c r="G103" s="116" t="s">
        <v>12815</v>
      </c>
      <c r="H103" s="134" t="s">
        <v>12816</v>
      </c>
      <c r="I103" s="134"/>
      <c r="J103" s="116" t="s">
        <v>2181</v>
      </c>
      <c r="K103" s="134" t="s">
        <v>12817</v>
      </c>
      <c r="L103" s="116" t="s">
        <v>12818</v>
      </c>
      <c r="M103" s="116" t="s">
        <v>12819</v>
      </c>
    </row>
    <row r="104" spans="1:13" ht="14.25" customHeight="1">
      <c r="A104" s="116">
        <v>33</v>
      </c>
      <c r="B104" s="116"/>
      <c r="C104" s="183" t="s">
        <v>12820</v>
      </c>
      <c r="D104" s="134" t="s">
        <v>12821</v>
      </c>
      <c r="E104" s="183" t="s">
        <v>12822</v>
      </c>
      <c r="F104" s="183" t="s">
        <v>54</v>
      </c>
      <c r="G104" s="116" t="s">
        <v>12823</v>
      </c>
      <c r="H104" s="134" t="s">
        <v>12824</v>
      </c>
      <c r="I104" s="134"/>
      <c r="J104" s="116" t="s">
        <v>12825</v>
      </c>
      <c r="K104" s="134" t="s">
        <v>12826</v>
      </c>
      <c r="L104" s="116" t="s">
        <v>12827</v>
      </c>
      <c r="M104" s="116" t="s">
        <v>12828</v>
      </c>
    </row>
    <row r="105" spans="1:13" ht="14.25" customHeight="1">
      <c r="A105" s="116">
        <v>34</v>
      </c>
      <c r="B105" s="116"/>
      <c r="C105" s="183" t="s">
        <v>7280</v>
      </c>
      <c r="D105" s="134" t="s">
        <v>7281</v>
      </c>
      <c r="E105" s="186" t="s">
        <v>7282</v>
      </c>
      <c r="F105" s="183" t="s">
        <v>65</v>
      </c>
      <c r="G105" s="116" t="s">
        <v>10761</v>
      </c>
      <c r="H105" s="134" t="s">
        <v>12829</v>
      </c>
      <c r="I105" s="134"/>
      <c r="J105" s="116" t="s">
        <v>7286</v>
      </c>
      <c r="K105" s="134" t="s">
        <v>10762</v>
      </c>
      <c r="L105" s="116" t="s">
        <v>10763</v>
      </c>
      <c r="M105" s="116" t="s">
        <v>10764</v>
      </c>
    </row>
    <row r="106" spans="1:13" ht="14.25" customHeight="1">
      <c r="A106" s="178">
        <v>1</v>
      </c>
      <c r="B106" s="178"/>
      <c r="C106" s="179" t="s">
        <v>12830</v>
      </c>
      <c r="D106" s="180" t="s">
        <v>12831</v>
      </c>
      <c r="E106" s="179" t="s">
        <v>12832</v>
      </c>
      <c r="F106" s="179" t="s">
        <v>219</v>
      </c>
      <c r="G106" s="178" t="s">
        <v>12833</v>
      </c>
      <c r="H106" s="180" t="s">
        <v>12834</v>
      </c>
      <c r="I106" s="180"/>
      <c r="J106" s="178" t="s">
        <v>12835</v>
      </c>
      <c r="K106" s="180" t="s">
        <v>12836</v>
      </c>
      <c r="L106" s="178" t="s">
        <v>12837</v>
      </c>
      <c r="M106" s="178" t="s">
        <v>12838</v>
      </c>
    </row>
    <row r="107" spans="1:13" ht="14.25" customHeight="1">
      <c r="A107" s="116">
        <v>2</v>
      </c>
      <c r="B107" s="116"/>
      <c r="C107" s="183" t="s">
        <v>12839</v>
      </c>
      <c r="D107" s="115" t="s">
        <v>12840</v>
      </c>
      <c r="E107" s="183" t="s">
        <v>12841</v>
      </c>
      <c r="F107" s="183" t="s">
        <v>501</v>
      </c>
      <c r="G107" s="116" t="s">
        <v>12842</v>
      </c>
      <c r="H107" s="115" t="s">
        <v>12843</v>
      </c>
      <c r="I107" s="115"/>
      <c r="J107" s="132" t="s">
        <v>12844</v>
      </c>
      <c r="K107" s="134" t="s">
        <v>12845</v>
      </c>
      <c r="L107" s="116" t="s">
        <v>12846</v>
      </c>
      <c r="M107" s="116" t="s">
        <v>12847</v>
      </c>
    </row>
    <row r="108" spans="1:13" ht="14.25" customHeight="1">
      <c r="A108" s="116">
        <v>3</v>
      </c>
      <c r="B108" s="116"/>
      <c r="C108" s="183" t="s">
        <v>12848</v>
      </c>
      <c r="D108" s="115" t="s">
        <v>12849</v>
      </c>
      <c r="E108" s="183" t="s">
        <v>12850</v>
      </c>
      <c r="F108" s="183" t="s">
        <v>117</v>
      </c>
      <c r="G108" s="116" t="s">
        <v>12851</v>
      </c>
      <c r="H108" s="115" t="s">
        <v>12852</v>
      </c>
      <c r="I108" s="115"/>
      <c r="J108" s="134" t="s">
        <v>12853</v>
      </c>
      <c r="K108" s="134" t="s">
        <v>12854</v>
      </c>
      <c r="L108" s="116" t="s">
        <v>12855</v>
      </c>
      <c r="M108" s="116" t="s">
        <v>12856</v>
      </c>
    </row>
    <row r="109" spans="1:13" ht="14.25" customHeight="1">
      <c r="A109" s="116">
        <v>4</v>
      </c>
      <c r="B109" s="116"/>
      <c r="C109" s="183" t="s">
        <v>12857</v>
      </c>
      <c r="D109" s="134" t="s">
        <v>12858</v>
      </c>
      <c r="E109" s="183" t="s">
        <v>12859</v>
      </c>
      <c r="F109" s="26"/>
      <c r="G109" s="116" t="s">
        <v>12860</v>
      </c>
      <c r="H109" s="134" t="s">
        <v>12861</v>
      </c>
      <c r="I109" s="134"/>
      <c r="J109" s="116" t="s">
        <v>12862</v>
      </c>
      <c r="K109" s="134" t="s">
        <v>12863</v>
      </c>
      <c r="L109" s="116" t="s">
        <v>12864</v>
      </c>
      <c r="M109" s="116" t="s">
        <v>12865</v>
      </c>
    </row>
    <row r="110" spans="1:13" ht="14.25" customHeight="1">
      <c r="A110" s="116">
        <v>5</v>
      </c>
      <c r="B110" s="116"/>
      <c r="C110" s="183" t="s">
        <v>12866</v>
      </c>
      <c r="D110" s="134" t="s">
        <v>12867</v>
      </c>
      <c r="E110" s="183" t="s">
        <v>12868</v>
      </c>
      <c r="F110" s="183" t="s">
        <v>54</v>
      </c>
      <c r="G110" s="116" t="s">
        <v>12869</v>
      </c>
      <c r="H110" s="134" t="s">
        <v>12870</v>
      </c>
      <c r="I110" s="134"/>
      <c r="J110" s="116" t="s">
        <v>12871</v>
      </c>
      <c r="K110" s="134" t="s">
        <v>12872</v>
      </c>
      <c r="L110" s="116" t="s">
        <v>12873</v>
      </c>
      <c r="M110" s="116" t="s">
        <v>12874</v>
      </c>
    </row>
    <row r="111" spans="1:13" ht="14.25" customHeight="1">
      <c r="A111" s="116">
        <v>6</v>
      </c>
      <c r="B111" s="116"/>
      <c r="C111" s="183" t="s">
        <v>12875</v>
      </c>
      <c r="D111" s="134" t="s">
        <v>12876</v>
      </c>
      <c r="E111" s="183" t="s">
        <v>12877</v>
      </c>
      <c r="F111" s="183" t="s">
        <v>117</v>
      </c>
      <c r="G111" s="116" t="s">
        <v>12878</v>
      </c>
      <c r="H111" s="134" t="s">
        <v>12879</v>
      </c>
      <c r="I111" s="134"/>
      <c r="J111" s="115" t="s">
        <v>12880</v>
      </c>
      <c r="K111" s="134" t="s">
        <v>12881</v>
      </c>
      <c r="L111" s="116" t="s">
        <v>12882</v>
      </c>
      <c r="M111" s="116" t="s">
        <v>12883</v>
      </c>
    </row>
    <row r="112" spans="1:13" ht="14.25" customHeight="1">
      <c r="A112" s="116">
        <v>7</v>
      </c>
      <c r="B112" s="116"/>
      <c r="C112" s="183" t="s">
        <v>7498</v>
      </c>
      <c r="D112" s="134" t="s">
        <v>7499</v>
      </c>
      <c r="E112" s="183" t="s">
        <v>7500</v>
      </c>
      <c r="F112" s="183" t="s">
        <v>65</v>
      </c>
      <c r="G112" s="116" t="s">
        <v>10798</v>
      </c>
      <c r="H112" s="134" t="s">
        <v>12884</v>
      </c>
      <c r="I112" s="134"/>
      <c r="J112" s="116" t="s">
        <v>7504</v>
      </c>
      <c r="K112" s="134" t="s">
        <v>10799</v>
      </c>
      <c r="L112" s="116" t="s">
        <v>10800</v>
      </c>
      <c r="M112" s="116" t="s">
        <v>10801</v>
      </c>
    </row>
    <row r="113" spans="1:13" ht="14.25" customHeight="1">
      <c r="A113" s="116">
        <v>8</v>
      </c>
      <c r="B113" s="116"/>
      <c r="C113" s="183" t="s">
        <v>12885</v>
      </c>
      <c r="D113" s="134" t="s">
        <v>12886</v>
      </c>
      <c r="E113" s="183" t="s">
        <v>12887</v>
      </c>
      <c r="F113" s="183" t="s">
        <v>12888</v>
      </c>
      <c r="G113" s="116" t="s">
        <v>12889</v>
      </c>
      <c r="H113" s="134" t="s">
        <v>12890</v>
      </c>
      <c r="I113" s="134"/>
      <c r="J113" s="116" t="s">
        <v>12891</v>
      </c>
      <c r="K113" s="134" t="s">
        <v>12892</v>
      </c>
      <c r="L113" s="116" t="s">
        <v>12893</v>
      </c>
      <c r="M113" s="116" t="s">
        <v>12894</v>
      </c>
    </row>
    <row r="114" spans="1:13" ht="14.25" customHeight="1">
      <c r="A114" s="116">
        <v>9</v>
      </c>
      <c r="B114" s="116"/>
      <c r="C114" s="186" t="s">
        <v>12895</v>
      </c>
      <c r="D114" s="134" t="s">
        <v>12896</v>
      </c>
      <c r="E114" s="186" t="s">
        <v>12897</v>
      </c>
      <c r="F114" s="186" t="s">
        <v>117</v>
      </c>
      <c r="G114" s="116" t="s">
        <v>12898</v>
      </c>
      <c r="H114" s="134" t="s">
        <v>12899</v>
      </c>
      <c r="I114" s="134"/>
      <c r="J114" s="134" t="s">
        <v>12900</v>
      </c>
      <c r="K114" s="134" t="s">
        <v>12901</v>
      </c>
      <c r="L114" s="116" t="s">
        <v>12902</v>
      </c>
      <c r="M114" s="116" t="s">
        <v>12903</v>
      </c>
    </row>
    <row r="115" spans="1:13" ht="14.25" customHeight="1">
      <c r="A115" s="116">
        <v>10</v>
      </c>
      <c r="B115" s="116"/>
      <c r="C115" s="183" t="s">
        <v>12904</v>
      </c>
      <c r="D115" s="134" t="s">
        <v>12905</v>
      </c>
      <c r="E115" s="183" t="s">
        <v>12906</v>
      </c>
      <c r="F115" s="183" t="s">
        <v>65</v>
      </c>
      <c r="G115" s="116" t="s">
        <v>12907</v>
      </c>
      <c r="H115" s="134" t="s">
        <v>12908</v>
      </c>
      <c r="I115" s="134"/>
      <c r="J115" s="116" t="s">
        <v>12909</v>
      </c>
      <c r="K115" s="134" t="s">
        <v>12910</v>
      </c>
      <c r="L115" s="116" t="s">
        <v>12911</v>
      </c>
      <c r="M115" s="116" t="s">
        <v>12912</v>
      </c>
    </row>
    <row r="116" spans="1:13" ht="14.25" customHeight="1">
      <c r="A116" s="116">
        <v>11</v>
      </c>
      <c r="B116" s="116"/>
      <c r="C116" s="183" t="s">
        <v>12913</v>
      </c>
      <c r="D116" s="115" t="s">
        <v>12914</v>
      </c>
      <c r="E116" s="183" t="s">
        <v>12915</v>
      </c>
      <c r="F116" s="183" t="s">
        <v>117</v>
      </c>
      <c r="G116" s="116" t="s">
        <v>12916</v>
      </c>
      <c r="H116" s="115" t="s">
        <v>12917</v>
      </c>
      <c r="I116" s="115"/>
      <c r="J116" s="115" t="s">
        <v>12918</v>
      </c>
      <c r="K116" s="134" t="s">
        <v>12919</v>
      </c>
      <c r="L116" s="116" t="s">
        <v>12920</v>
      </c>
      <c r="M116" s="116" t="s">
        <v>12921</v>
      </c>
    </row>
    <row r="117" spans="1:13" ht="14.25" customHeight="1">
      <c r="A117" s="116">
        <v>12</v>
      </c>
      <c r="B117" s="116"/>
      <c r="C117" s="186" t="s">
        <v>12922</v>
      </c>
      <c r="D117" s="134" t="s">
        <v>12923</v>
      </c>
      <c r="E117" s="26" t="s">
        <v>12924</v>
      </c>
      <c r="F117" s="26" t="s">
        <v>12925</v>
      </c>
      <c r="G117" s="116" t="s">
        <v>12926</v>
      </c>
      <c r="H117" s="134" t="s">
        <v>12927</v>
      </c>
      <c r="I117" s="134"/>
      <c r="J117" s="116" t="s">
        <v>12928</v>
      </c>
      <c r="K117" s="134" t="s">
        <v>12929</v>
      </c>
      <c r="L117" s="116" t="s">
        <v>12930</v>
      </c>
      <c r="M117" s="116" t="s">
        <v>12931</v>
      </c>
    </row>
    <row r="118" spans="1:13" ht="14.25" customHeight="1">
      <c r="A118" s="116">
        <v>13</v>
      </c>
      <c r="B118" s="116"/>
      <c r="C118" s="183" t="s">
        <v>12932</v>
      </c>
      <c r="D118" s="116" t="s">
        <v>12933</v>
      </c>
      <c r="E118" s="183" t="s">
        <v>12934</v>
      </c>
      <c r="F118" s="183" t="s">
        <v>65</v>
      </c>
      <c r="G118" s="116" t="s">
        <v>12935</v>
      </c>
      <c r="H118" s="116" t="s">
        <v>12936</v>
      </c>
      <c r="I118" s="116"/>
      <c r="J118" s="116" t="s">
        <v>12937</v>
      </c>
      <c r="K118" s="134" t="s">
        <v>12938</v>
      </c>
      <c r="L118" s="116" t="s">
        <v>12939</v>
      </c>
      <c r="M118" s="116" t="s">
        <v>12940</v>
      </c>
    </row>
    <row r="119" spans="1:13" ht="14.25" customHeight="1">
      <c r="A119" s="116">
        <v>14</v>
      </c>
      <c r="B119" s="116"/>
      <c r="C119" s="183" t="s">
        <v>12941</v>
      </c>
      <c r="D119" s="116" t="s">
        <v>12942</v>
      </c>
      <c r="E119" s="183" t="s">
        <v>12943</v>
      </c>
      <c r="F119" s="183" t="s">
        <v>65</v>
      </c>
      <c r="G119" s="116" t="s">
        <v>12944</v>
      </c>
      <c r="H119" s="116" t="s">
        <v>12945</v>
      </c>
      <c r="I119" s="116"/>
      <c r="J119" s="116" t="s">
        <v>12946</v>
      </c>
      <c r="K119" s="134" t="s">
        <v>12947</v>
      </c>
      <c r="L119" s="116" t="s">
        <v>12948</v>
      </c>
      <c r="M119" s="116" t="s">
        <v>12949</v>
      </c>
    </row>
    <row r="120" spans="1:13" ht="14.25" customHeight="1">
      <c r="A120" s="116">
        <v>15</v>
      </c>
      <c r="B120" s="116"/>
      <c r="C120" s="183" t="s">
        <v>12950</v>
      </c>
      <c r="D120" s="116" t="s">
        <v>12951</v>
      </c>
      <c r="E120" s="183" t="s">
        <v>12952</v>
      </c>
      <c r="F120" s="183" t="s">
        <v>54</v>
      </c>
      <c r="G120" s="116" t="s">
        <v>12953</v>
      </c>
      <c r="H120" s="116" t="s">
        <v>12954</v>
      </c>
      <c r="I120" s="116"/>
      <c r="J120" s="115" t="s">
        <v>12955</v>
      </c>
      <c r="K120" s="134" t="s">
        <v>12956</v>
      </c>
      <c r="L120" s="116" t="s">
        <v>12957</v>
      </c>
      <c r="M120" s="116" t="s">
        <v>12958</v>
      </c>
    </row>
    <row r="121" spans="1:13" ht="14.25" customHeight="1">
      <c r="A121" s="116">
        <v>16</v>
      </c>
      <c r="B121" s="116"/>
      <c r="C121" s="186" t="s">
        <v>12959</v>
      </c>
      <c r="D121" s="115" t="s">
        <v>12960</v>
      </c>
      <c r="E121" s="26" t="s">
        <v>12961</v>
      </c>
      <c r="F121" s="26" t="s">
        <v>664</v>
      </c>
      <c r="G121" s="116" t="s">
        <v>12962</v>
      </c>
      <c r="H121" s="115" t="s">
        <v>12963</v>
      </c>
      <c r="I121" s="115"/>
      <c r="J121" s="115" t="s">
        <v>12964</v>
      </c>
      <c r="K121" s="134" t="s">
        <v>12965</v>
      </c>
      <c r="L121" s="116" t="s">
        <v>12966</v>
      </c>
      <c r="M121" s="116" t="s">
        <v>12967</v>
      </c>
    </row>
    <row r="122" spans="1:13" ht="14.25" customHeight="1">
      <c r="A122" s="116">
        <v>17</v>
      </c>
      <c r="B122" s="116"/>
      <c r="C122" s="186" t="s">
        <v>12968</v>
      </c>
      <c r="D122" s="116" t="s">
        <v>12969</v>
      </c>
      <c r="E122" s="26" t="s">
        <v>12970</v>
      </c>
      <c r="F122" s="26" t="s">
        <v>65</v>
      </c>
      <c r="G122" s="116" t="s">
        <v>12971</v>
      </c>
      <c r="H122" s="116" t="s">
        <v>12972</v>
      </c>
      <c r="I122" s="116"/>
      <c r="J122" s="116" t="s">
        <v>12973</v>
      </c>
      <c r="K122" s="134" t="s">
        <v>12974</v>
      </c>
      <c r="L122" s="116" t="s">
        <v>12975</v>
      </c>
      <c r="M122" s="116" t="s">
        <v>12976</v>
      </c>
    </row>
    <row r="123" spans="1:13" ht="14.25" customHeight="1">
      <c r="A123" s="116">
        <v>18</v>
      </c>
      <c r="B123" s="116"/>
      <c r="C123" s="186" t="s">
        <v>12977</v>
      </c>
      <c r="D123" s="116" t="s">
        <v>12978</v>
      </c>
      <c r="E123" s="26" t="s">
        <v>12979</v>
      </c>
      <c r="F123" s="26" t="s">
        <v>54</v>
      </c>
      <c r="G123" s="116" t="s">
        <v>12980</v>
      </c>
      <c r="H123" s="116" t="s">
        <v>12981</v>
      </c>
      <c r="I123" s="116"/>
      <c r="J123" s="116" t="s">
        <v>12982</v>
      </c>
      <c r="K123" s="134" t="s">
        <v>12983</v>
      </c>
      <c r="L123" s="116" t="s">
        <v>12984</v>
      </c>
      <c r="M123" s="132" t="s">
        <v>12985</v>
      </c>
    </row>
    <row r="124" spans="1:13" ht="14.25" customHeight="1">
      <c r="A124" s="116">
        <v>19</v>
      </c>
      <c r="B124" s="116"/>
      <c r="C124" s="186" t="s">
        <v>12986</v>
      </c>
      <c r="D124" s="116" t="s">
        <v>12987</v>
      </c>
      <c r="E124" s="26" t="s">
        <v>12988</v>
      </c>
      <c r="F124" s="26" t="s">
        <v>117</v>
      </c>
      <c r="G124" s="116" t="s">
        <v>12989</v>
      </c>
      <c r="H124" s="116" t="s">
        <v>12990</v>
      </c>
      <c r="I124" s="116"/>
      <c r="J124" s="116" t="s">
        <v>12991</v>
      </c>
      <c r="K124" s="134" t="s">
        <v>12992</v>
      </c>
      <c r="L124" s="116" t="s">
        <v>12993</v>
      </c>
      <c r="M124" s="116" t="s">
        <v>12994</v>
      </c>
    </row>
    <row r="125" spans="1:13" ht="14.25" customHeight="1">
      <c r="A125" s="116">
        <v>20</v>
      </c>
      <c r="B125" s="116"/>
      <c r="C125" s="186" t="s">
        <v>12995</v>
      </c>
      <c r="D125" s="115" t="s">
        <v>12996</v>
      </c>
      <c r="E125" s="26" t="s">
        <v>10463</v>
      </c>
      <c r="F125" s="26" t="s">
        <v>117</v>
      </c>
      <c r="G125" s="116" t="s">
        <v>12997</v>
      </c>
      <c r="H125" s="115" t="s">
        <v>12998</v>
      </c>
      <c r="I125" s="115"/>
      <c r="J125" s="115" t="s">
        <v>12999</v>
      </c>
      <c r="K125" s="134" t="s">
        <v>13000</v>
      </c>
      <c r="L125" s="116" t="s">
        <v>13001</v>
      </c>
      <c r="M125" s="116" t="s">
        <v>13002</v>
      </c>
    </row>
    <row r="126" spans="1:13" ht="14.25" customHeight="1">
      <c r="A126" s="116">
        <v>21</v>
      </c>
      <c r="B126" s="116"/>
      <c r="C126" s="186" t="s">
        <v>13003</v>
      </c>
      <c r="D126" s="116" t="s">
        <v>13004</v>
      </c>
      <c r="E126" s="26" t="s">
        <v>13005</v>
      </c>
      <c r="F126" s="26" t="s">
        <v>117</v>
      </c>
      <c r="G126" s="116" t="s">
        <v>13006</v>
      </c>
      <c r="H126" s="116" t="s">
        <v>13007</v>
      </c>
      <c r="I126" s="116"/>
      <c r="J126" s="116" t="s">
        <v>13008</v>
      </c>
      <c r="K126" s="134" t="s">
        <v>13009</v>
      </c>
      <c r="L126" s="116" t="s">
        <v>13010</v>
      </c>
      <c r="M126" s="116" t="s">
        <v>13011</v>
      </c>
    </row>
    <row r="127" spans="1:13" ht="14.25" customHeight="1">
      <c r="A127" s="116">
        <v>22</v>
      </c>
      <c r="B127" s="116"/>
      <c r="C127" s="186" t="s">
        <v>13012</v>
      </c>
      <c r="D127" s="116" t="s">
        <v>13013</v>
      </c>
      <c r="E127" s="26" t="s">
        <v>13014</v>
      </c>
      <c r="F127" s="26" t="s">
        <v>117</v>
      </c>
      <c r="G127" s="116" t="s">
        <v>13015</v>
      </c>
      <c r="H127" s="116" t="s">
        <v>13016</v>
      </c>
      <c r="I127" s="116"/>
      <c r="J127" s="116" t="s">
        <v>13017</v>
      </c>
      <c r="K127" s="134" t="s">
        <v>13018</v>
      </c>
      <c r="L127" s="116" t="s">
        <v>13019</v>
      </c>
      <c r="M127" s="116" t="s">
        <v>13020</v>
      </c>
    </row>
    <row r="128" spans="1:13" ht="14.25" customHeight="1">
      <c r="A128" s="116">
        <v>23</v>
      </c>
      <c r="B128" s="116"/>
      <c r="C128" s="186" t="s">
        <v>13021</v>
      </c>
      <c r="D128" s="116" t="s">
        <v>13022</v>
      </c>
      <c r="E128" s="26" t="s">
        <v>13023</v>
      </c>
      <c r="F128" s="26" t="s">
        <v>219</v>
      </c>
      <c r="G128" s="116" t="s">
        <v>13024</v>
      </c>
      <c r="H128" s="116" t="s">
        <v>13025</v>
      </c>
      <c r="I128" s="116"/>
      <c r="J128" s="116" t="s">
        <v>13026</v>
      </c>
      <c r="K128" s="134" t="s">
        <v>13027</v>
      </c>
      <c r="L128" s="116" t="s">
        <v>13028</v>
      </c>
      <c r="M128" s="116" t="s">
        <v>13029</v>
      </c>
    </row>
    <row r="129" spans="1:13" ht="14.25" customHeight="1">
      <c r="A129" s="116">
        <v>24</v>
      </c>
      <c r="B129" s="116"/>
      <c r="C129" s="186" t="s">
        <v>13030</v>
      </c>
      <c r="D129" s="116" t="s">
        <v>13031</v>
      </c>
      <c r="E129" s="26" t="s">
        <v>13032</v>
      </c>
      <c r="F129" s="26" t="s">
        <v>65</v>
      </c>
      <c r="G129" s="116" t="s">
        <v>13033</v>
      </c>
      <c r="H129" s="116" t="s">
        <v>13034</v>
      </c>
      <c r="I129" s="116"/>
      <c r="J129" s="116" t="s">
        <v>13035</v>
      </c>
      <c r="K129" s="134" t="s">
        <v>13036</v>
      </c>
      <c r="L129" s="116" t="s">
        <v>13037</v>
      </c>
      <c r="M129" s="116" t="s">
        <v>13038</v>
      </c>
    </row>
    <row r="130" spans="1:13" ht="14.25" customHeight="1">
      <c r="A130" s="116">
        <v>25</v>
      </c>
      <c r="B130" s="116"/>
      <c r="C130" s="186" t="s">
        <v>13039</v>
      </c>
      <c r="D130" s="116" t="s">
        <v>13040</v>
      </c>
      <c r="E130" s="186" t="s">
        <v>13041</v>
      </c>
      <c r="F130" s="186" t="s">
        <v>117</v>
      </c>
      <c r="G130" s="116" t="s">
        <v>13042</v>
      </c>
      <c r="H130" s="116" t="s">
        <v>13043</v>
      </c>
      <c r="I130" s="116"/>
      <c r="J130" s="134" t="s">
        <v>13044</v>
      </c>
      <c r="K130" s="134" t="s">
        <v>13045</v>
      </c>
      <c r="L130" s="116" t="s">
        <v>13046</v>
      </c>
      <c r="M130" s="116" t="s">
        <v>13047</v>
      </c>
    </row>
    <row r="131" spans="1:13" ht="14.25" customHeight="1">
      <c r="A131" s="116">
        <v>26</v>
      </c>
      <c r="B131" s="116"/>
      <c r="C131" s="183" t="s">
        <v>9678</v>
      </c>
      <c r="D131" s="116" t="s">
        <v>13048</v>
      </c>
      <c r="E131" s="183" t="s">
        <v>5454</v>
      </c>
      <c r="F131" s="183" t="s">
        <v>117</v>
      </c>
      <c r="G131" s="116" t="s">
        <v>13049</v>
      </c>
      <c r="H131" s="116" t="s">
        <v>13050</v>
      </c>
      <c r="I131" s="116"/>
      <c r="J131" s="116" t="s">
        <v>13051</v>
      </c>
      <c r="K131" s="134" t="s">
        <v>13052</v>
      </c>
      <c r="L131" s="116" t="s">
        <v>13053</v>
      </c>
      <c r="M131" s="116" t="s">
        <v>13054</v>
      </c>
    </row>
    <row r="132" spans="1:13" ht="14.25" customHeight="1">
      <c r="A132" s="116">
        <v>27</v>
      </c>
      <c r="B132" s="116"/>
      <c r="C132" s="183" t="s">
        <v>13055</v>
      </c>
      <c r="D132" s="190" t="s">
        <v>13056</v>
      </c>
      <c r="E132" s="183" t="s">
        <v>13057</v>
      </c>
      <c r="F132" s="183" t="s">
        <v>54</v>
      </c>
      <c r="G132" s="116" t="s">
        <v>13058</v>
      </c>
      <c r="H132" s="190" t="s">
        <v>13059</v>
      </c>
      <c r="I132" s="190"/>
      <c r="J132" s="190" t="s">
        <v>13060</v>
      </c>
      <c r="K132" s="134" t="s">
        <v>13061</v>
      </c>
      <c r="L132" s="116" t="s">
        <v>13062</v>
      </c>
      <c r="M132" s="116" t="s">
        <v>13063</v>
      </c>
    </row>
    <row r="133" spans="1:13" ht="14.25" customHeight="1">
      <c r="A133" s="116">
        <v>28</v>
      </c>
      <c r="B133" s="116"/>
      <c r="C133" s="183" t="s">
        <v>13064</v>
      </c>
      <c r="D133" s="116" t="s">
        <v>13065</v>
      </c>
      <c r="E133" s="183" t="s">
        <v>13066</v>
      </c>
      <c r="F133" s="183" t="s">
        <v>65</v>
      </c>
      <c r="G133" s="116" t="s">
        <v>13067</v>
      </c>
      <c r="H133" s="116" t="s">
        <v>13068</v>
      </c>
      <c r="I133" s="116"/>
      <c r="J133" s="116" t="s">
        <v>13069</v>
      </c>
      <c r="K133" s="134" t="s">
        <v>13070</v>
      </c>
      <c r="L133" s="116" t="s">
        <v>13071</v>
      </c>
      <c r="M133" s="116" t="s">
        <v>13072</v>
      </c>
    </row>
    <row r="134" spans="1:13" ht="14.25" customHeight="1">
      <c r="A134" s="116">
        <v>29</v>
      </c>
      <c r="B134" s="116"/>
      <c r="C134" s="183" t="s">
        <v>13073</v>
      </c>
      <c r="D134" s="115" t="s">
        <v>13074</v>
      </c>
      <c r="E134" s="183" t="s">
        <v>13075</v>
      </c>
      <c r="F134" s="183" t="s">
        <v>65</v>
      </c>
      <c r="G134" s="116" t="s">
        <v>13076</v>
      </c>
      <c r="H134" s="115" t="s">
        <v>13077</v>
      </c>
      <c r="I134" s="115"/>
      <c r="J134" s="116" t="s">
        <v>13078</v>
      </c>
      <c r="K134" s="134" t="s">
        <v>13079</v>
      </c>
      <c r="L134" s="116" t="s">
        <v>13080</v>
      </c>
      <c r="M134" s="116" t="s">
        <v>13081</v>
      </c>
    </row>
    <row r="135" spans="1:13" ht="14.25" customHeight="1">
      <c r="A135" s="116">
        <v>30</v>
      </c>
      <c r="B135" s="116"/>
      <c r="C135" s="183" t="s">
        <v>13082</v>
      </c>
      <c r="D135" s="116" t="s">
        <v>13083</v>
      </c>
      <c r="E135" s="183" t="s">
        <v>13084</v>
      </c>
      <c r="F135" s="183" t="s">
        <v>117</v>
      </c>
      <c r="G135" s="116" t="s">
        <v>13085</v>
      </c>
      <c r="H135" s="116" t="s">
        <v>13086</v>
      </c>
      <c r="I135" s="116"/>
      <c r="J135" s="115" t="s">
        <v>13087</v>
      </c>
      <c r="K135" s="134" t="s">
        <v>13088</v>
      </c>
      <c r="L135" s="116" t="s">
        <v>13089</v>
      </c>
      <c r="M135" s="116" t="s">
        <v>13090</v>
      </c>
    </row>
    <row r="136" spans="1:13" ht="14.25" customHeight="1">
      <c r="A136" s="116">
        <v>31</v>
      </c>
      <c r="B136" s="116"/>
      <c r="C136" s="183" t="s">
        <v>13091</v>
      </c>
      <c r="D136" s="115" t="s">
        <v>13092</v>
      </c>
      <c r="E136" s="183" t="s">
        <v>2443</v>
      </c>
      <c r="F136" s="183" t="s">
        <v>219</v>
      </c>
      <c r="G136" s="116" t="s">
        <v>13093</v>
      </c>
      <c r="H136" s="115" t="s">
        <v>13094</v>
      </c>
      <c r="I136" s="115"/>
      <c r="J136" s="115" t="s">
        <v>13095</v>
      </c>
      <c r="K136" s="134" t="s">
        <v>13096</v>
      </c>
      <c r="L136" s="116" t="s">
        <v>13097</v>
      </c>
      <c r="M136" s="132" t="s">
        <v>13098</v>
      </c>
    </row>
    <row r="137" spans="1:13" ht="14.25" customHeight="1">
      <c r="A137" s="116">
        <v>32</v>
      </c>
      <c r="B137" s="116"/>
      <c r="C137" s="186" t="s">
        <v>13099</v>
      </c>
      <c r="D137" s="191" t="s">
        <v>13100</v>
      </c>
      <c r="E137" s="186" t="s">
        <v>13101</v>
      </c>
      <c r="F137" s="186" t="s">
        <v>501</v>
      </c>
      <c r="G137" s="116" t="s">
        <v>13102</v>
      </c>
      <c r="H137" s="191" t="s">
        <v>13103</v>
      </c>
      <c r="I137" s="191"/>
      <c r="J137" s="191" t="s">
        <v>13104</v>
      </c>
      <c r="K137" s="134" t="s">
        <v>13105</v>
      </c>
      <c r="L137" s="116" t="s">
        <v>13106</v>
      </c>
      <c r="M137" s="116" t="s">
        <v>13107</v>
      </c>
    </row>
    <row r="138" spans="1:13" ht="14.25" customHeight="1">
      <c r="A138" s="116">
        <v>33</v>
      </c>
      <c r="B138" s="116"/>
      <c r="C138" s="186" t="s">
        <v>13108</v>
      </c>
      <c r="D138" s="187" t="s">
        <v>13109</v>
      </c>
      <c r="E138" s="186" t="s">
        <v>13110</v>
      </c>
      <c r="F138" s="186" t="s">
        <v>117</v>
      </c>
      <c r="G138" s="116" t="s">
        <v>13111</v>
      </c>
      <c r="H138" s="187" t="s">
        <v>13112</v>
      </c>
      <c r="I138" s="187"/>
      <c r="J138" s="187" t="s">
        <v>13113</v>
      </c>
      <c r="K138" s="134" t="s">
        <v>13114</v>
      </c>
      <c r="L138" s="116" t="s">
        <v>13115</v>
      </c>
      <c r="M138" s="116" t="s">
        <v>13116</v>
      </c>
    </row>
    <row r="139" spans="1:13" ht="14.25" customHeight="1">
      <c r="A139" s="178">
        <v>1</v>
      </c>
      <c r="B139" s="178"/>
      <c r="C139" s="179" t="s">
        <v>13117</v>
      </c>
      <c r="D139" s="178" t="s">
        <v>13118</v>
      </c>
      <c r="E139" s="179" t="s">
        <v>13119</v>
      </c>
      <c r="F139" s="179" t="s">
        <v>65</v>
      </c>
      <c r="G139" s="178" t="s">
        <v>13120</v>
      </c>
      <c r="H139" s="178" t="s">
        <v>13121</v>
      </c>
      <c r="I139" s="178"/>
      <c r="J139" s="178" t="s">
        <v>13122</v>
      </c>
      <c r="K139" s="180" t="s">
        <v>13123</v>
      </c>
      <c r="L139" s="178" t="s">
        <v>13124</v>
      </c>
      <c r="M139" s="178" t="s">
        <v>13125</v>
      </c>
    </row>
    <row r="140" spans="1:13" ht="14.25" customHeight="1">
      <c r="A140" s="116">
        <v>2</v>
      </c>
      <c r="B140" s="116"/>
      <c r="C140" s="183" t="s">
        <v>13126</v>
      </c>
      <c r="D140" s="116" t="s">
        <v>13127</v>
      </c>
      <c r="E140" s="183" t="s">
        <v>13128</v>
      </c>
      <c r="F140" s="183" t="s">
        <v>117</v>
      </c>
      <c r="G140" s="116" t="s">
        <v>13129</v>
      </c>
      <c r="H140" s="116" t="s">
        <v>13130</v>
      </c>
      <c r="I140" s="116"/>
      <c r="J140" s="116" t="s">
        <v>13131</v>
      </c>
      <c r="K140" s="134" t="s">
        <v>13132</v>
      </c>
      <c r="L140" s="116" t="s">
        <v>13133</v>
      </c>
      <c r="M140" s="116" t="s">
        <v>13134</v>
      </c>
    </row>
    <row r="141" spans="1:13" ht="14.25" customHeight="1">
      <c r="A141" s="116">
        <v>3</v>
      </c>
      <c r="B141" s="116"/>
      <c r="C141" s="183" t="s">
        <v>13135</v>
      </c>
      <c r="D141" s="116" t="s">
        <v>13136</v>
      </c>
      <c r="E141" s="183" t="s">
        <v>13137</v>
      </c>
      <c r="F141" s="26"/>
      <c r="G141" s="116" t="s">
        <v>13138</v>
      </c>
      <c r="H141" s="116" t="s">
        <v>13139</v>
      </c>
      <c r="I141" s="116"/>
      <c r="J141" s="116" t="s">
        <v>13140</v>
      </c>
      <c r="K141" s="134" t="s">
        <v>13141</v>
      </c>
      <c r="L141" s="116" t="s">
        <v>13142</v>
      </c>
      <c r="M141" s="116" t="s">
        <v>13143</v>
      </c>
    </row>
    <row r="142" spans="1:13" ht="14.25" customHeight="1">
      <c r="A142" s="116">
        <v>4</v>
      </c>
      <c r="B142" s="116"/>
      <c r="C142" s="183" t="s">
        <v>13144</v>
      </c>
      <c r="D142" s="116" t="s">
        <v>13145</v>
      </c>
      <c r="E142" s="183" t="s">
        <v>13146</v>
      </c>
      <c r="F142" s="183" t="s">
        <v>117</v>
      </c>
      <c r="G142" s="116" t="s">
        <v>13147</v>
      </c>
      <c r="H142" s="116" t="s">
        <v>13148</v>
      </c>
      <c r="I142" s="116"/>
      <c r="J142" s="116" t="s">
        <v>13149</v>
      </c>
      <c r="K142" s="134" t="s">
        <v>13150</v>
      </c>
      <c r="L142" s="116" t="s">
        <v>13151</v>
      </c>
      <c r="M142" s="116" t="s">
        <v>13152</v>
      </c>
    </row>
    <row r="143" spans="1:13" ht="14.25" customHeight="1">
      <c r="A143" s="116">
        <v>5</v>
      </c>
      <c r="B143" s="116"/>
      <c r="C143" s="183" t="s">
        <v>13153</v>
      </c>
      <c r="D143" s="116" t="s">
        <v>13154</v>
      </c>
      <c r="E143" s="183" t="s">
        <v>13155</v>
      </c>
      <c r="F143" s="183" t="s">
        <v>65</v>
      </c>
      <c r="G143" s="116" t="s">
        <v>13156</v>
      </c>
      <c r="H143" s="116" t="s">
        <v>13157</v>
      </c>
      <c r="I143" s="116"/>
      <c r="J143" s="116" t="s">
        <v>13158</v>
      </c>
      <c r="K143" s="134" t="s">
        <v>13159</v>
      </c>
      <c r="L143" s="116" t="s">
        <v>13160</v>
      </c>
      <c r="M143" s="116" t="s">
        <v>13161</v>
      </c>
    </row>
    <row r="144" spans="1:13" ht="14.25" customHeight="1">
      <c r="A144" s="116">
        <v>6</v>
      </c>
      <c r="B144" s="116"/>
      <c r="C144" s="183" t="s">
        <v>13162</v>
      </c>
      <c r="D144" s="116" t="s">
        <v>13163</v>
      </c>
      <c r="E144" s="183" t="s">
        <v>13164</v>
      </c>
      <c r="F144" s="183" t="s">
        <v>65</v>
      </c>
      <c r="G144" s="116" t="s">
        <v>13165</v>
      </c>
      <c r="H144" s="116" t="s">
        <v>13166</v>
      </c>
      <c r="I144" s="116"/>
      <c r="J144" s="116" t="s">
        <v>13167</v>
      </c>
      <c r="K144" s="134" t="s">
        <v>13168</v>
      </c>
      <c r="L144" s="116" t="s">
        <v>13169</v>
      </c>
      <c r="M144" s="116" t="s">
        <v>13170</v>
      </c>
    </row>
    <row r="145" spans="1:13" ht="14.25" customHeight="1">
      <c r="A145" s="116">
        <v>7</v>
      </c>
      <c r="B145" s="116"/>
      <c r="C145" s="186" t="s">
        <v>13171</v>
      </c>
      <c r="D145" s="116" t="s">
        <v>13172</v>
      </c>
      <c r="E145" s="186" t="s">
        <v>13173</v>
      </c>
      <c r="F145" s="186" t="s">
        <v>117</v>
      </c>
      <c r="G145" s="116" t="s">
        <v>13174</v>
      </c>
      <c r="H145" s="134" t="s">
        <v>13175</v>
      </c>
      <c r="I145" s="134"/>
      <c r="J145" s="134" t="s">
        <v>13176</v>
      </c>
      <c r="K145" s="134" t="s">
        <v>13177</v>
      </c>
      <c r="L145" s="116" t="s">
        <v>13178</v>
      </c>
      <c r="M145" s="116" t="s">
        <v>13179</v>
      </c>
    </row>
    <row r="146" spans="1:13" ht="14.25" customHeight="1">
      <c r="A146" s="116">
        <v>8</v>
      </c>
      <c r="B146" s="116"/>
      <c r="C146" s="186" t="s">
        <v>6955</v>
      </c>
      <c r="D146" s="116" t="s">
        <v>6956</v>
      </c>
      <c r="E146" s="26" t="s">
        <v>6957</v>
      </c>
      <c r="F146" s="26" t="s">
        <v>65</v>
      </c>
      <c r="G146" s="116" t="s">
        <v>6958</v>
      </c>
      <c r="H146" s="116" t="s">
        <v>13180</v>
      </c>
      <c r="I146" s="116"/>
      <c r="J146" s="116" t="s">
        <v>6961</v>
      </c>
      <c r="K146" s="134" t="s">
        <v>10732</v>
      </c>
      <c r="L146" s="116" t="s">
        <v>10733</v>
      </c>
      <c r="M146" s="116" t="s">
        <v>10734</v>
      </c>
    </row>
    <row r="147" spans="1:13" ht="14.25" customHeight="1">
      <c r="A147" s="116">
        <v>9</v>
      </c>
      <c r="B147" s="116"/>
      <c r="C147" s="183" t="s">
        <v>13181</v>
      </c>
      <c r="D147" s="116" t="s">
        <v>13182</v>
      </c>
      <c r="E147" s="183" t="s">
        <v>13183</v>
      </c>
      <c r="F147" s="183" t="s">
        <v>65</v>
      </c>
      <c r="G147" s="116" t="s">
        <v>13184</v>
      </c>
      <c r="H147" s="116" t="s">
        <v>13185</v>
      </c>
      <c r="I147" s="116"/>
      <c r="J147" s="116" t="s">
        <v>13186</v>
      </c>
      <c r="K147" s="134" t="s">
        <v>13187</v>
      </c>
      <c r="L147" s="116" t="s">
        <v>13188</v>
      </c>
      <c r="M147" s="116" t="s">
        <v>13189</v>
      </c>
    </row>
    <row r="148" spans="1:13" ht="14.25" customHeight="1">
      <c r="A148" s="116">
        <v>10</v>
      </c>
      <c r="B148" s="116"/>
      <c r="C148" s="183" t="s">
        <v>13190</v>
      </c>
      <c r="D148" s="116" t="s">
        <v>13191</v>
      </c>
      <c r="E148" s="183" t="s">
        <v>13192</v>
      </c>
      <c r="F148" s="183" t="s">
        <v>117</v>
      </c>
      <c r="G148" s="116" t="s">
        <v>13193</v>
      </c>
      <c r="H148" s="116" t="s">
        <v>13194</v>
      </c>
      <c r="I148" s="116"/>
      <c r="J148" s="116" t="s">
        <v>13195</v>
      </c>
      <c r="K148" s="134" t="s">
        <v>13196</v>
      </c>
      <c r="L148" s="116" t="s">
        <v>13197</v>
      </c>
      <c r="M148" s="116" t="s">
        <v>13198</v>
      </c>
    </row>
    <row r="149" spans="1:13" ht="14.25" customHeight="1">
      <c r="A149" s="116">
        <v>11</v>
      </c>
      <c r="B149" s="116"/>
      <c r="C149" s="183" t="s">
        <v>13199</v>
      </c>
      <c r="D149" s="116" t="s">
        <v>13200</v>
      </c>
      <c r="E149" s="183" t="s">
        <v>13201</v>
      </c>
      <c r="F149" s="183" t="s">
        <v>117</v>
      </c>
      <c r="G149" s="116" t="s">
        <v>13202</v>
      </c>
      <c r="H149" s="116" t="s">
        <v>13203</v>
      </c>
      <c r="I149" s="116"/>
      <c r="J149" s="116" t="s">
        <v>13204</v>
      </c>
      <c r="K149" s="134" t="s">
        <v>13205</v>
      </c>
      <c r="L149" s="116" t="s">
        <v>13206</v>
      </c>
      <c r="M149" s="116" t="s">
        <v>13207</v>
      </c>
    </row>
    <row r="150" spans="1:13" ht="14.25" customHeight="1">
      <c r="A150" s="116">
        <v>12</v>
      </c>
      <c r="B150" s="116"/>
      <c r="C150" s="183" t="s">
        <v>3580</v>
      </c>
      <c r="D150" s="116" t="s">
        <v>3581</v>
      </c>
      <c r="E150" s="183" t="s">
        <v>3582</v>
      </c>
      <c r="F150" s="183" t="s">
        <v>65</v>
      </c>
      <c r="G150" s="116" t="s">
        <v>5251</v>
      </c>
      <c r="H150" s="116" t="s">
        <v>13208</v>
      </c>
      <c r="I150" s="116"/>
      <c r="J150" s="116" t="s">
        <v>3586</v>
      </c>
      <c r="K150" s="134" t="s">
        <v>5252</v>
      </c>
      <c r="L150" s="116" t="s">
        <v>5253</v>
      </c>
      <c r="M150" s="116" t="s">
        <v>5254</v>
      </c>
    </row>
    <row r="151" spans="1:13" ht="14.25" customHeight="1">
      <c r="A151" s="116">
        <v>13</v>
      </c>
      <c r="B151" s="116"/>
      <c r="C151" s="186" t="s">
        <v>13209</v>
      </c>
      <c r="D151" s="116" t="s">
        <v>13210</v>
      </c>
      <c r="E151" s="26" t="s">
        <v>13211</v>
      </c>
      <c r="F151" s="26" t="s">
        <v>65</v>
      </c>
      <c r="G151" s="116" t="s">
        <v>13212</v>
      </c>
      <c r="H151" s="116" t="s">
        <v>13213</v>
      </c>
      <c r="I151" s="116"/>
      <c r="J151" s="116" t="s">
        <v>13214</v>
      </c>
      <c r="K151" s="134" t="s">
        <v>13215</v>
      </c>
      <c r="L151" s="132" t="s">
        <v>13216</v>
      </c>
      <c r="M151" s="116" t="s">
        <v>13217</v>
      </c>
    </row>
    <row r="152" spans="1:13" ht="14.25" customHeight="1">
      <c r="A152" s="116">
        <v>14</v>
      </c>
      <c r="B152" s="116"/>
      <c r="C152" s="186" t="s">
        <v>13218</v>
      </c>
      <c r="D152" s="116" t="s">
        <v>13219</v>
      </c>
      <c r="E152" s="186" t="s">
        <v>13220</v>
      </c>
      <c r="F152" s="186" t="s">
        <v>65</v>
      </c>
      <c r="G152" s="116" t="s">
        <v>13221</v>
      </c>
      <c r="H152" s="191" t="s">
        <v>13222</v>
      </c>
      <c r="I152" s="191"/>
      <c r="J152" s="116" t="s">
        <v>13223</v>
      </c>
      <c r="K152" s="134" t="s">
        <v>13224</v>
      </c>
      <c r="L152" s="116" t="s">
        <v>13225</v>
      </c>
      <c r="M152" s="116" t="s">
        <v>13226</v>
      </c>
    </row>
    <row r="153" spans="1:13" ht="14.25" customHeight="1">
      <c r="A153" s="116">
        <v>15</v>
      </c>
      <c r="B153" s="116"/>
      <c r="C153" s="186" t="s">
        <v>13227</v>
      </c>
      <c r="D153" s="116" t="s">
        <v>13228</v>
      </c>
      <c r="E153" s="186" t="s">
        <v>13229</v>
      </c>
      <c r="F153" s="186" t="s">
        <v>219</v>
      </c>
      <c r="G153" s="116" t="s">
        <v>13230</v>
      </c>
      <c r="H153" s="191" t="s">
        <v>13231</v>
      </c>
      <c r="I153" s="191"/>
      <c r="J153" s="191" t="s">
        <v>13232</v>
      </c>
      <c r="K153" s="134" t="s">
        <v>13233</v>
      </c>
      <c r="L153" s="116" t="s">
        <v>13234</v>
      </c>
      <c r="M153" s="116" t="s">
        <v>13235</v>
      </c>
    </row>
    <row r="154" spans="1:13" ht="14.25" customHeight="1">
      <c r="A154" s="116">
        <v>16</v>
      </c>
      <c r="B154" s="116"/>
      <c r="C154" s="186" t="s">
        <v>13236</v>
      </c>
      <c r="D154" s="116" t="s">
        <v>13237</v>
      </c>
      <c r="E154" s="186" t="s">
        <v>13238</v>
      </c>
      <c r="F154" s="186" t="s">
        <v>117</v>
      </c>
      <c r="G154" s="116" t="s">
        <v>13239</v>
      </c>
      <c r="H154" s="116" t="s">
        <v>13240</v>
      </c>
      <c r="I154" s="116"/>
      <c r="J154" s="116" t="s">
        <v>13241</v>
      </c>
      <c r="K154" s="134" t="s">
        <v>13242</v>
      </c>
      <c r="L154" s="116" t="s">
        <v>13243</v>
      </c>
      <c r="M154" s="116" t="s">
        <v>13244</v>
      </c>
    </row>
    <row r="155" spans="1:13" ht="14.25" customHeight="1">
      <c r="A155" s="116">
        <v>17</v>
      </c>
      <c r="B155" s="116"/>
      <c r="C155" s="186" t="s">
        <v>13245</v>
      </c>
      <c r="D155" s="116" t="s">
        <v>13246</v>
      </c>
      <c r="E155" s="186" t="s">
        <v>13247</v>
      </c>
      <c r="F155" s="186" t="s">
        <v>219</v>
      </c>
      <c r="G155" s="116" t="s">
        <v>13248</v>
      </c>
      <c r="H155" s="116" t="s">
        <v>13249</v>
      </c>
      <c r="I155" s="116"/>
      <c r="J155" s="116" t="s">
        <v>13250</v>
      </c>
      <c r="K155" s="134" t="s">
        <v>13251</v>
      </c>
      <c r="L155" s="116" t="s">
        <v>13252</v>
      </c>
      <c r="M155" s="116" t="s">
        <v>13253</v>
      </c>
    </row>
    <row r="156" spans="1:13" ht="14.25" customHeight="1">
      <c r="A156" s="116">
        <v>18</v>
      </c>
      <c r="B156" s="116"/>
      <c r="C156" s="186" t="s">
        <v>13254</v>
      </c>
      <c r="D156" s="116" t="s">
        <v>13255</v>
      </c>
      <c r="E156" s="26" t="s">
        <v>13256</v>
      </c>
      <c r="F156" s="26" t="s">
        <v>65</v>
      </c>
      <c r="G156" s="116" t="s">
        <v>13257</v>
      </c>
      <c r="H156" s="116" t="s">
        <v>13258</v>
      </c>
      <c r="I156" s="116"/>
      <c r="J156" s="116" t="s">
        <v>13259</v>
      </c>
      <c r="K156" s="134" t="s">
        <v>13260</v>
      </c>
      <c r="L156" s="116" t="s">
        <v>13261</v>
      </c>
      <c r="M156" s="132" t="s">
        <v>13262</v>
      </c>
    </row>
    <row r="157" spans="1:13" ht="14.25" customHeight="1">
      <c r="A157" s="116">
        <v>19</v>
      </c>
      <c r="B157" s="116"/>
      <c r="C157" s="186" t="s">
        <v>13263</v>
      </c>
      <c r="D157" s="116" t="s">
        <v>13264</v>
      </c>
      <c r="E157" s="26" t="s">
        <v>13265</v>
      </c>
      <c r="F157" s="26" t="s">
        <v>65</v>
      </c>
      <c r="G157" s="116" t="s">
        <v>13266</v>
      </c>
      <c r="H157" s="134" t="s">
        <v>13267</v>
      </c>
      <c r="I157" s="134"/>
      <c r="J157" s="134" t="s">
        <v>13268</v>
      </c>
      <c r="K157" s="134" t="s">
        <v>13269</v>
      </c>
      <c r="L157" s="116" t="s">
        <v>13270</v>
      </c>
      <c r="M157" s="116" t="s">
        <v>13271</v>
      </c>
    </row>
    <row r="158" spans="1:13" ht="14.25" customHeight="1">
      <c r="A158" s="116">
        <v>20</v>
      </c>
      <c r="B158" s="116"/>
      <c r="C158" s="186" t="s">
        <v>13272</v>
      </c>
      <c r="D158" s="116" t="s">
        <v>13273</v>
      </c>
      <c r="E158" s="113" t="s">
        <v>13274</v>
      </c>
      <c r="F158" s="26" t="s">
        <v>219</v>
      </c>
      <c r="G158" s="116" t="s">
        <v>13275</v>
      </c>
      <c r="H158" s="116" t="s">
        <v>13276</v>
      </c>
      <c r="I158" s="116"/>
      <c r="J158" s="116" t="s">
        <v>13277</v>
      </c>
      <c r="K158" s="134" t="s">
        <v>13278</v>
      </c>
      <c r="L158" s="116" t="s">
        <v>13279</v>
      </c>
      <c r="M158" s="116" t="s">
        <v>13280</v>
      </c>
    </row>
    <row r="159" spans="1:13" ht="14.25" customHeight="1">
      <c r="A159" s="116">
        <v>21</v>
      </c>
      <c r="B159" s="116"/>
      <c r="C159" s="186" t="s">
        <v>7701</v>
      </c>
      <c r="D159" s="116" t="s">
        <v>7702</v>
      </c>
      <c r="E159" s="26" t="s">
        <v>7703</v>
      </c>
      <c r="F159" s="113" t="s">
        <v>117</v>
      </c>
      <c r="G159" s="116" t="s">
        <v>10823</v>
      </c>
      <c r="H159" s="134" t="s">
        <v>13281</v>
      </c>
      <c r="I159" s="134"/>
      <c r="J159" s="134" t="s">
        <v>7706</v>
      </c>
      <c r="K159" s="134" t="s">
        <v>10824</v>
      </c>
      <c r="L159" s="116" t="s">
        <v>10825</v>
      </c>
      <c r="M159" s="116" t="s">
        <v>10826</v>
      </c>
    </row>
    <row r="160" spans="1:13" ht="14.25" customHeight="1">
      <c r="A160" s="116">
        <v>22</v>
      </c>
      <c r="B160" s="116"/>
      <c r="C160" s="186" t="s">
        <v>13282</v>
      </c>
      <c r="D160" s="116" t="s">
        <v>13283</v>
      </c>
      <c r="E160" s="26" t="s">
        <v>13284</v>
      </c>
      <c r="F160" s="26" t="s">
        <v>219</v>
      </c>
      <c r="G160" s="116" t="s">
        <v>13285</v>
      </c>
      <c r="H160" s="116" t="s">
        <v>13286</v>
      </c>
      <c r="I160" s="116"/>
      <c r="J160" s="116" t="s">
        <v>13287</v>
      </c>
      <c r="K160" s="134" t="s">
        <v>13288</v>
      </c>
      <c r="L160" s="116" t="s">
        <v>13289</v>
      </c>
      <c r="M160" s="116" t="s">
        <v>13290</v>
      </c>
    </row>
    <row r="161" spans="1:13" ht="14.25" customHeight="1">
      <c r="A161" s="116">
        <v>23</v>
      </c>
      <c r="B161" s="116"/>
      <c r="C161" s="186" t="s">
        <v>8669</v>
      </c>
      <c r="D161" s="116" t="s">
        <v>8670</v>
      </c>
      <c r="E161" s="186" t="s">
        <v>8671</v>
      </c>
      <c r="F161" s="186" t="s">
        <v>117</v>
      </c>
      <c r="G161" s="116" t="s">
        <v>10923</v>
      </c>
      <c r="H161" s="116" t="s">
        <v>13291</v>
      </c>
      <c r="I161" s="116"/>
      <c r="J161" s="116" t="s">
        <v>8675</v>
      </c>
      <c r="K161" s="134" t="s">
        <v>10924</v>
      </c>
      <c r="L161" s="116" t="s">
        <v>10925</v>
      </c>
      <c r="M161" s="116" t="s">
        <v>10926</v>
      </c>
    </row>
    <row r="162" spans="1:13" ht="14.25" customHeight="1">
      <c r="A162" s="116">
        <v>24</v>
      </c>
      <c r="B162" s="116"/>
      <c r="C162" s="186" t="s">
        <v>13292</v>
      </c>
      <c r="D162" s="116" t="s">
        <v>13293</v>
      </c>
      <c r="E162" s="186" t="s">
        <v>13294</v>
      </c>
      <c r="F162" s="186" t="s">
        <v>117</v>
      </c>
      <c r="G162" s="116" t="s">
        <v>13295</v>
      </c>
      <c r="H162" s="116" t="s">
        <v>13296</v>
      </c>
      <c r="I162" s="116"/>
      <c r="J162" s="116" t="s">
        <v>13297</v>
      </c>
      <c r="K162" s="134" t="s">
        <v>13298</v>
      </c>
      <c r="L162" s="116" t="s">
        <v>13299</v>
      </c>
      <c r="M162" s="116" t="s">
        <v>13300</v>
      </c>
    </row>
    <row r="163" spans="1:13" ht="14.25" customHeight="1">
      <c r="A163" s="116">
        <v>25</v>
      </c>
      <c r="B163" s="116"/>
      <c r="C163" s="186" t="s">
        <v>13301</v>
      </c>
      <c r="D163" s="116" t="s">
        <v>13302</v>
      </c>
      <c r="E163" s="26" t="s">
        <v>13303</v>
      </c>
      <c r="F163" s="26" t="s">
        <v>563</v>
      </c>
      <c r="G163" s="192" t="s">
        <v>13304</v>
      </c>
      <c r="H163" s="191" t="s">
        <v>13305</v>
      </c>
      <c r="I163" s="191"/>
      <c r="J163" s="116" t="s">
        <v>13306</v>
      </c>
      <c r="K163" s="134" t="s">
        <v>13307</v>
      </c>
      <c r="L163" s="132" t="s">
        <v>13308</v>
      </c>
      <c r="M163" s="116" t="s">
        <v>13309</v>
      </c>
    </row>
    <row r="164" spans="1:13" ht="14.25" customHeight="1">
      <c r="A164" s="116">
        <v>26</v>
      </c>
      <c r="B164" s="116"/>
      <c r="C164" s="186" t="s">
        <v>13310</v>
      </c>
      <c r="D164" s="116" t="s">
        <v>13311</v>
      </c>
      <c r="E164" s="26" t="s">
        <v>13312</v>
      </c>
      <c r="F164" s="26" t="s">
        <v>65</v>
      </c>
      <c r="G164" s="116" t="s">
        <v>13313</v>
      </c>
      <c r="H164" s="116" t="s">
        <v>13314</v>
      </c>
      <c r="I164" s="116"/>
      <c r="J164" s="116" t="s">
        <v>13315</v>
      </c>
      <c r="K164" s="134" t="s">
        <v>13316</v>
      </c>
      <c r="L164" s="116" t="s">
        <v>13317</v>
      </c>
      <c r="M164" s="116" t="s">
        <v>13318</v>
      </c>
    </row>
    <row r="165" spans="1:13" ht="14.25" customHeight="1">
      <c r="A165" s="116">
        <v>27</v>
      </c>
      <c r="B165" s="116"/>
      <c r="C165" s="186" t="s">
        <v>13319</v>
      </c>
      <c r="D165" s="116" t="s">
        <v>13320</v>
      </c>
      <c r="E165" s="26" t="s">
        <v>13321</v>
      </c>
      <c r="F165" s="26" t="s">
        <v>65</v>
      </c>
      <c r="G165" s="116" t="s">
        <v>13322</v>
      </c>
      <c r="H165" s="116" t="s">
        <v>13323</v>
      </c>
      <c r="I165" s="116"/>
      <c r="J165" s="116" t="s">
        <v>13324</v>
      </c>
      <c r="K165" s="134" t="s">
        <v>13325</v>
      </c>
      <c r="L165" s="116" t="s">
        <v>13326</v>
      </c>
      <c r="M165" s="116" t="s">
        <v>13327</v>
      </c>
    </row>
    <row r="166" spans="1:13" ht="12.75" customHeight="1">
      <c r="A166" s="116">
        <v>28</v>
      </c>
      <c r="B166" s="116"/>
      <c r="C166" s="183" t="s">
        <v>13328</v>
      </c>
      <c r="D166" s="116" t="s">
        <v>13329</v>
      </c>
      <c r="E166" s="183" t="s">
        <v>13330</v>
      </c>
      <c r="F166" s="183" t="s">
        <v>65</v>
      </c>
      <c r="G166" s="116" t="s">
        <v>13331</v>
      </c>
      <c r="H166" s="116" t="s">
        <v>13332</v>
      </c>
      <c r="I166" s="116"/>
      <c r="J166" s="116" t="s">
        <v>13333</v>
      </c>
      <c r="K166" s="134" t="s">
        <v>13334</v>
      </c>
      <c r="L166" s="116" t="s">
        <v>13335</v>
      </c>
      <c r="M166" s="116" t="s">
        <v>13336</v>
      </c>
    </row>
    <row r="167" spans="1:13" ht="14.25" customHeight="1">
      <c r="A167" s="116">
        <v>29</v>
      </c>
      <c r="B167" s="116"/>
      <c r="C167" s="183" t="s">
        <v>13337</v>
      </c>
      <c r="D167" s="116" t="s">
        <v>13338</v>
      </c>
      <c r="E167" s="183" t="s">
        <v>13339</v>
      </c>
      <c r="F167" s="183" t="s">
        <v>65</v>
      </c>
      <c r="G167" s="116" t="s">
        <v>13340</v>
      </c>
      <c r="H167" s="116" t="s">
        <v>13341</v>
      </c>
      <c r="I167" s="116"/>
      <c r="J167" s="116" t="s">
        <v>13342</v>
      </c>
      <c r="K167" s="134" t="s">
        <v>13343</v>
      </c>
      <c r="L167" s="116" t="s">
        <v>13344</v>
      </c>
      <c r="M167" s="116" t="s">
        <v>13345</v>
      </c>
    </row>
    <row r="168" spans="1:13" ht="14.25" customHeight="1">
      <c r="A168" s="116">
        <v>30</v>
      </c>
      <c r="B168" s="116"/>
      <c r="C168" s="183" t="s">
        <v>13346</v>
      </c>
      <c r="D168" s="116" t="s">
        <v>13347</v>
      </c>
      <c r="E168" s="183" t="s">
        <v>13348</v>
      </c>
      <c r="F168" s="183" t="s">
        <v>65</v>
      </c>
      <c r="G168" s="116" t="s">
        <v>13349</v>
      </c>
      <c r="H168" s="116" t="s">
        <v>13350</v>
      </c>
      <c r="I168" s="116"/>
      <c r="J168" s="116" t="s">
        <v>13351</v>
      </c>
      <c r="K168" s="134" t="s">
        <v>13352</v>
      </c>
      <c r="L168" s="116" t="s">
        <v>13353</v>
      </c>
      <c r="M168" s="116" t="s">
        <v>13354</v>
      </c>
    </row>
    <row r="169" spans="1:13" ht="14.25" customHeight="1">
      <c r="A169" s="116">
        <v>31</v>
      </c>
      <c r="B169" s="116"/>
      <c r="C169" s="183" t="s">
        <v>13355</v>
      </c>
      <c r="D169" s="116" t="s">
        <v>13356</v>
      </c>
      <c r="E169" s="183" t="s">
        <v>13357</v>
      </c>
      <c r="F169" s="183" t="s">
        <v>13358</v>
      </c>
      <c r="G169" s="116" t="s">
        <v>13359</v>
      </c>
      <c r="H169" s="116" t="s">
        <v>13360</v>
      </c>
      <c r="I169" s="116"/>
      <c r="J169" s="116" t="s">
        <v>13361</v>
      </c>
      <c r="K169" s="134" t="s">
        <v>13362</v>
      </c>
      <c r="L169" s="116" t="s">
        <v>13363</v>
      </c>
      <c r="M169" s="132" t="s">
        <v>13364</v>
      </c>
    </row>
    <row r="170" spans="1:13" ht="14.25" customHeight="1">
      <c r="A170" s="132">
        <v>32</v>
      </c>
      <c r="B170" s="132"/>
      <c r="C170" s="183" t="s">
        <v>13365</v>
      </c>
      <c r="D170" s="132" t="s">
        <v>13366</v>
      </c>
      <c r="E170" s="183" t="s">
        <v>13367</v>
      </c>
      <c r="F170" s="183" t="s">
        <v>117</v>
      </c>
      <c r="G170" s="132" t="s">
        <v>13368</v>
      </c>
      <c r="H170" s="132" t="s">
        <v>13369</v>
      </c>
      <c r="I170" s="132"/>
      <c r="J170" s="132" t="s">
        <v>13370</v>
      </c>
      <c r="K170" s="115" t="s">
        <v>13371</v>
      </c>
      <c r="L170" s="132" t="s">
        <v>13372</v>
      </c>
      <c r="M170" s="116" t="s">
        <v>13373</v>
      </c>
    </row>
    <row r="171" spans="1:13" ht="14.25" customHeight="1">
      <c r="A171" s="116">
        <v>33</v>
      </c>
      <c r="B171" s="116"/>
      <c r="C171" s="186" t="s">
        <v>13374</v>
      </c>
      <c r="D171" s="116" t="s">
        <v>13375</v>
      </c>
      <c r="E171" s="186" t="s">
        <v>13376</v>
      </c>
      <c r="F171" s="186" t="s">
        <v>65</v>
      </c>
      <c r="G171" s="116" t="s">
        <v>13377</v>
      </c>
      <c r="H171" s="116" t="s">
        <v>13378</v>
      </c>
      <c r="I171" s="116"/>
      <c r="J171" s="116" t="s">
        <v>13379</v>
      </c>
      <c r="K171" s="134" t="s">
        <v>13380</v>
      </c>
      <c r="L171" s="116" t="s">
        <v>13381</v>
      </c>
      <c r="M171" s="116" t="s">
        <v>13382</v>
      </c>
    </row>
    <row r="172" spans="1:13" ht="14.25" customHeight="1">
      <c r="A172" s="116">
        <v>34</v>
      </c>
      <c r="B172" s="116"/>
      <c r="C172" s="183" t="s">
        <v>13383</v>
      </c>
      <c r="D172" s="116" t="s">
        <v>13384</v>
      </c>
      <c r="E172" s="183" t="s">
        <v>13385</v>
      </c>
      <c r="F172" s="183" t="s">
        <v>219</v>
      </c>
      <c r="G172" s="116" t="s">
        <v>13386</v>
      </c>
      <c r="H172" s="116" t="s">
        <v>13387</v>
      </c>
      <c r="I172" s="116"/>
      <c r="J172" s="116" t="s">
        <v>13388</v>
      </c>
      <c r="K172" s="134" t="s">
        <v>13389</v>
      </c>
      <c r="L172" s="116" t="s">
        <v>13390</v>
      </c>
      <c r="M172" s="116" t="s">
        <v>13391</v>
      </c>
    </row>
    <row r="173" spans="1:13" ht="14.25" customHeight="1">
      <c r="A173" s="116">
        <v>35</v>
      </c>
      <c r="B173" s="116"/>
      <c r="C173" s="183" t="s">
        <v>13392</v>
      </c>
      <c r="D173" s="116" t="s">
        <v>13393</v>
      </c>
      <c r="E173" s="183" t="s">
        <v>13394</v>
      </c>
      <c r="F173" s="183" t="s">
        <v>65</v>
      </c>
      <c r="G173" s="116" t="s">
        <v>13395</v>
      </c>
      <c r="H173" s="116" t="s">
        <v>13396</v>
      </c>
      <c r="I173" s="116"/>
      <c r="J173" s="116" t="s">
        <v>13397</v>
      </c>
      <c r="K173" s="134" t="s">
        <v>13398</v>
      </c>
      <c r="L173" s="116" t="s">
        <v>13399</v>
      </c>
      <c r="M173" s="116" t="s">
        <v>13400</v>
      </c>
    </row>
    <row r="174" spans="1:13" ht="14.25" customHeight="1">
      <c r="A174" s="178">
        <v>1</v>
      </c>
      <c r="B174" s="178"/>
      <c r="C174" s="179" t="s">
        <v>13401</v>
      </c>
      <c r="D174" s="178" t="s">
        <v>13402</v>
      </c>
      <c r="E174" s="179" t="s">
        <v>13403</v>
      </c>
      <c r="F174" s="188"/>
      <c r="G174" s="178" t="s">
        <v>13404</v>
      </c>
      <c r="H174" s="178" t="s">
        <v>13405</v>
      </c>
      <c r="I174" s="178"/>
      <c r="J174" s="178" t="s">
        <v>13406</v>
      </c>
      <c r="K174" s="180" t="s">
        <v>13407</v>
      </c>
      <c r="L174" s="178" t="s">
        <v>13408</v>
      </c>
      <c r="M174" s="178" t="s">
        <v>13409</v>
      </c>
    </row>
    <row r="175" spans="1:13" ht="14.25" customHeight="1">
      <c r="A175" s="116">
        <v>2</v>
      </c>
      <c r="B175" s="116"/>
      <c r="C175" s="183" t="s">
        <v>13410</v>
      </c>
      <c r="D175" s="116" t="s">
        <v>13411</v>
      </c>
      <c r="E175" s="183" t="s">
        <v>8907</v>
      </c>
      <c r="F175" s="183" t="s">
        <v>563</v>
      </c>
      <c r="G175" s="116" t="s">
        <v>5198</v>
      </c>
      <c r="H175" s="116" t="s">
        <v>13412</v>
      </c>
      <c r="I175" s="116"/>
      <c r="J175" s="116" t="s">
        <v>13413</v>
      </c>
      <c r="K175" s="134" t="s">
        <v>13414</v>
      </c>
      <c r="L175" s="116" t="s">
        <v>13415</v>
      </c>
      <c r="M175" s="116" t="s">
        <v>13416</v>
      </c>
    </row>
    <row r="176" spans="1:13" ht="14.25" customHeight="1">
      <c r="A176" s="116">
        <v>3</v>
      </c>
      <c r="B176" s="116"/>
      <c r="C176" s="183" t="s">
        <v>5846</v>
      </c>
      <c r="D176" s="116" t="s">
        <v>5847</v>
      </c>
      <c r="E176" s="183" t="s">
        <v>3984</v>
      </c>
      <c r="F176" s="183" t="s">
        <v>117</v>
      </c>
      <c r="G176" s="120" t="s">
        <v>5848</v>
      </c>
      <c r="H176" s="116" t="s">
        <v>13417</v>
      </c>
      <c r="I176" s="116"/>
      <c r="J176" s="116" t="s">
        <v>5851</v>
      </c>
      <c r="K176" s="134" t="s">
        <v>10656</v>
      </c>
      <c r="L176" s="116" t="s">
        <v>10657</v>
      </c>
      <c r="M176" s="116" t="s">
        <v>10658</v>
      </c>
    </row>
    <row r="177" spans="1:13" ht="14.25" customHeight="1">
      <c r="A177" s="116">
        <v>4</v>
      </c>
      <c r="B177" s="116"/>
      <c r="C177" s="183" t="s">
        <v>13418</v>
      </c>
      <c r="D177" s="116" t="s">
        <v>13419</v>
      </c>
      <c r="E177" s="183" t="s">
        <v>13420</v>
      </c>
      <c r="F177" s="183" t="s">
        <v>117</v>
      </c>
      <c r="G177" s="28" t="s">
        <v>13421</v>
      </c>
      <c r="H177" s="116" t="s">
        <v>13422</v>
      </c>
      <c r="I177" s="116"/>
      <c r="J177" s="116" t="s">
        <v>13423</v>
      </c>
      <c r="K177" s="134" t="s">
        <v>13424</v>
      </c>
      <c r="L177" s="116" t="s">
        <v>13425</v>
      </c>
      <c r="M177" s="116" t="s">
        <v>13426</v>
      </c>
    </row>
    <row r="178" spans="1:13" ht="14.25" customHeight="1">
      <c r="A178" s="116">
        <v>5</v>
      </c>
      <c r="B178" s="116"/>
      <c r="C178" s="183" t="s">
        <v>1843</v>
      </c>
      <c r="D178" s="116" t="s">
        <v>13427</v>
      </c>
      <c r="E178" s="26" t="s">
        <v>13428</v>
      </c>
      <c r="F178" s="183" t="s">
        <v>65</v>
      </c>
      <c r="G178" s="28" t="s">
        <v>13429</v>
      </c>
      <c r="H178" s="116" t="s">
        <v>13430</v>
      </c>
      <c r="I178" s="116"/>
      <c r="J178" s="28" t="s">
        <v>13431</v>
      </c>
      <c r="K178" s="134" t="s">
        <v>13432</v>
      </c>
      <c r="L178" s="116" t="s">
        <v>13433</v>
      </c>
      <c r="M178" s="116" t="s">
        <v>13434</v>
      </c>
    </row>
    <row r="179" spans="1:13" ht="14.25" customHeight="1">
      <c r="A179" s="116">
        <v>6</v>
      </c>
      <c r="B179" s="116"/>
      <c r="C179" s="183" t="s">
        <v>13435</v>
      </c>
      <c r="D179" s="116" t="s">
        <v>13436</v>
      </c>
      <c r="E179" s="186" t="s">
        <v>13437</v>
      </c>
      <c r="F179" s="183" t="s">
        <v>65</v>
      </c>
      <c r="G179" s="116" t="s">
        <v>13438</v>
      </c>
      <c r="H179" s="116" t="s">
        <v>13439</v>
      </c>
      <c r="I179" s="116"/>
      <c r="J179" s="116" t="s">
        <v>13440</v>
      </c>
      <c r="K179" s="134" t="s">
        <v>13441</v>
      </c>
      <c r="L179" s="116" t="s">
        <v>13442</v>
      </c>
      <c r="M179" s="116" t="s">
        <v>13443</v>
      </c>
    </row>
    <row r="180" spans="1:13" ht="14.25" customHeight="1">
      <c r="A180" s="116">
        <v>7</v>
      </c>
      <c r="B180" s="116"/>
      <c r="C180" s="183" t="s">
        <v>13444</v>
      </c>
      <c r="D180" s="116" t="s">
        <v>13445</v>
      </c>
      <c r="E180" s="183" t="s">
        <v>12274</v>
      </c>
      <c r="F180" s="183" t="s">
        <v>117</v>
      </c>
      <c r="G180" s="116" t="s">
        <v>13446</v>
      </c>
      <c r="H180" s="116" t="s">
        <v>13447</v>
      </c>
      <c r="I180" s="116"/>
      <c r="J180" s="116" t="s">
        <v>13448</v>
      </c>
      <c r="K180" s="134" t="s">
        <v>13449</v>
      </c>
      <c r="L180" s="116" t="s">
        <v>13450</v>
      </c>
      <c r="M180" s="116" t="s">
        <v>13451</v>
      </c>
    </row>
    <row r="181" spans="1:13" ht="14.25" customHeight="1">
      <c r="A181" s="116">
        <v>8</v>
      </c>
      <c r="B181" s="116"/>
      <c r="C181" s="183" t="s">
        <v>13452</v>
      </c>
      <c r="D181" s="116" t="s">
        <v>13453</v>
      </c>
      <c r="E181" s="183" t="s">
        <v>8344</v>
      </c>
      <c r="F181" s="183" t="s">
        <v>65</v>
      </c>
      <c r="G181" s="116" t="s">
        <v>13454</v>
      </c>
      <c r="H181" s="116" t="s">
        <v>13455</v>
      </c>
      <c r="I181" s="116"/>
      <c r="J181" s="116" t="s">
        <v>13456</v>
      </c>
      <c r="K181" s="134" t="s">
        <v>13457</v>
      </c>
      <c r="L181" s="116" t="s">
        <v>13458</v>
      </c>
      <c r="M181" s="116" t="s">
        <v>13459</v>
      </c>
    </row>
    <row r="182" spans="1:13" ht="14.25" customHeight="1">
      <c r="A182" s="116">
        <v>9</v>
      </c>
      <c r="B182" s="116"/>
      <c r="C182" s="183" t="s">
        <v>13460</v>
      </c>
      <c r="D182" s="116" t="s">
        <v>13461</v>
      </c>
      <c r="E182" s="183" t="s">
        <v>13462</v>
      </c>
      <c r="F182" s="183" t="s">
        <v>65</v>
      </c>
      <c r="G182" s="116" t="s">
        <v>13463</v>
      </c>
      <c r="H182" s="116" t="s">
        <v>13464</v>
      </c>
      <c r="I182" s="116"/>
      <c r="J182" s="132" t="s">
        <v>13465</v>
      </c>
      <c r="K182" s="134" t="s">
        <v>13466</v>
      </c>
      <c r="L182" s="116" t="s">
        <v>13467</v>
      </c>
      <c r="M182" s="116" t="s">
        <v>13468</v>
      </c>
    </row>
    <row r="183" spans="1:13" ht="14.25" customHeight="1">
      <c r="A183" s="116">
        <v>10</v>
      </c>
      <c r="B183" s="116"/>
      <c r="C183" s="183" t="s">
        <v>13469</v>
      </c>
      <c r="D183" s="116" t="s">
        <v>13470</v>
      </c>
      <c r="E183" s="183" t="s">
        <v>13471</v>
      </c>
      <c r="F183" s="183" t="s">
        <v>65</v>
      </c>
      <c r="G183" s="116" t="s">
        <v>13472</v>
      </c>
      <c r="H183" s="116" t="s">
        <v>13473</v>
      </c>
      <c r="I183" s="116"/>
      <c r="J183" s="116" t="s">
        <v>13474</v>
      </c>
      <c r="K183" s="134" t="s">
        <v>13475</v>
      </c>
      <c r="L183" s="116" t="s">
        <v>13476</v>
      </c>
      <c r="M183" s="116" t="s">
        <v>13477</v>
      </c>
    </row>
    <row r="184" spans="1:13" ht="14.25" customHeight="1">
      <c r="A184" s="116">
        <v>11</v>
      </c>
      <c r="B184" s="116"/>
      <c r="C184" s="183" t="s">
        <v>2288</v>
      </c>
      <c r="D184" s="116" t="s">
        <v>13478</v>
      </c>
      <c r="E184" s="186" t="s">
        <v>13479</v>
      </c>
      <c r="F184" s="183" t="s">
        <v>65</v>
      </c>
      <c r="G184" s="116" t="s">
        <v>13480</v>
      </c>
      <c r="H184" s="116" t="s">
        <v>13481</v>
      </c>
      <c r="I184" s="116"/>
      <c r="J184" s="132" t="s">
        <v>13482</v>
      </c>
      <c r="K184" s="134" t="s">
        <v>13483</v>
      </c>
      <c r="L184" s="116" t="s">
        <v>13484</v>
      </c>
      <c r="M184" s="116" t="s">
        <v>13485</v>
      </c>
    </row>
    <row r="185" spans="1:13" ht="14.25" customHeight="1">
      <c r="A185" s="116">
        <v>12</v>
      </c>
      <c r="B185" s="116"/>
      <c r="C185" s="183" t="s">
        <v>13486</v>
      </c>
      <c r="D185" s="132" t="s">
        <v>13487</v>
      </c>
      <c r="E185" s="183" t="s">
        <v>13488</v>
      </c>
      <c r="F185" s="183" t="s">
        <v>117</v>
      </c>
      <c r="G185" s="116" t="s">
        <v>13489</v>
      </c>
      <c r="H185" s="132" t="s">
        <v>13490</v>
      </c>
      <c r="I185" s="132"/>
      <c r="J185" s="116" t="s">
        <v>13491</v>
      </c>
      <c r="K185" s="134" t="s">
        <v>13492</v>
      </c>
      <c r="L185" s="116" t="s">
        <v>13493</v>
      </c>
      <c r="M185" s="116" t="s">
        <v>13494</v>
      </c>
    </row>
    <row r="186" spans="1:13" ht="14.25" customHeight="1">
      <c r="A186" s="116">
        <v>13</v>
      </c>
      <c r="B186" s="116"/>
      <c r="C186" s="183" t="s">
        <v>13495</v>
      </c>
      <c r="D186" s="132" t="s">
        <v>13496</v>
      </c>
      <c r="E186" s="183" t="s">
        <v>13497</v>
      </c>
      <c r="F186" s="183" t="s">
        <v>65</v>
      </c>
      <c r="G186" s="116" t="s">
        <v>13498</v>
      </c>
      <c r="H186" s="132" t="s">
        <v>13499</v>
      </c>
      <c r="I186" s="132"/>
      <c r="J186" s="116" t="s">
        <v>13500</v>
      </c>
      <c r="K186" s="134" t="s">
        <v>13501</v>
      </c>
      <c r="L186" s="116" t="s">
        <v>13502</v>
      </c>
      <c r="M186" s="116" t="s">
        <v>13503</v>
      </c>
    </row>
    <row r="187" spans="1:13" ht="14.25" customHeight="1">
      <c r="A187" s="116">
        <v>14</v>
      </c>
      <c r="B187" s="116"/>
      <c r="C187" s="186" t="s">
        <v>11799</v>
      </c>
      <c r="D187" s="116" t="s">
        <v>11800</v>
      </c>
      <c r="E187" s="186" t="s">
        <v>562</v>
      </c>
      <c r="F187" s="186" t="s">
        <v>117</v>
      </c>
      <c r="G187" s="116" t="s">
        <v>13504</v>
      </c>
      <c r="H187" s="116" t="s">
        <v>13505</v>
      </c>
      <c r="I187" s="116"/>
      <c r="J187" s="116" t="s">
        <v>13506</v>
      </c>
      <c r="K187" s="134" t="s">
        <v>13507</v>
      </c>
      <c r="L187" s="116" t="s">
        <v>13508</v>
      </c>
      <c r="M187" s="116" t="s">
        <v>13509</v>
      </c>
    </row>
    <row r="188" spans="1:13" ht="14.25" customHeight="1">
      <c r="A188" s="116">
        <v>15</v>
      </c>
      <c r="B188" s="116"/>
      <c r="C188" s="183" t="s">
        <v>13510</v>
      </c>
      <c r="D188" s="132" t="s">
        <v>13511</v>
      </c>
      <c r="E188" s="183" t="s">
        <v>13512</v>
      </c>
      <c r="F188" s="183" t="s">
        <v>65</v>
      </c>
      <c r="G188" s="116" t="s">
        <v>13513</v>
      </c>
      <c r="H188" s="132" t="s">
        <v>13514</v>
      </c>
      <c r="I188" s="132"/>
      <c r="J188" s="116" t="s">
        <v>13515</v>
      </c>
      <c r="K188" s="134" t="s">
        <v>13516</v>
      </c>
      <c r="L188" s="116" t="s">
        <v>13517</v>
      </c>
      <c r="M188" s="116" t="s">
        <v>13518</v>
      </c>
    </row>
    <row r="189" spans="1:13" ht="14.25" customHeight="1">
      <c r="A189" s="116">
        <v>16</v>
      </c>
      <c r="B189" s="116"/>
      <c r="C189" s="186" t="s">
        <v>13519</v>
      </c>
      <c r="D189" s="132" t="s">
        <v>13520</v>
      </c>
      <c r="E189" s="26" t="s">
        <v>13521</v>
      </c>
      <c r="F189" s="26" t="s">
        <v>65</v>
      </c>
      <c r="G189" s="116" t="s">
        <v>13522</v>
      </c>
      <c r="H189" s="132" t="s">
        <v>13523</v>
      </c>
      <c r="I189" s="132"/>
      <c r="J189" s="116" t="s">
        <v>13524</v>
      </c>
      <c r="K189" s="134" t="s">
        <v>13525</v>
      </c>
      <c r="L189" s="116" t="s">
        <v>13526</v>
      </c>
      <c r="M189" s="116" t="s">
        <v>13527</v>
      </c>
    </row>
    <row r="190" spans="1:13" ht="14.25" customHeight="1">
      <c r="A190" s="116">
        <v>17</v>
      </c>
      <c r="B190" s="116"/>
      <c r="C190" s="183" t="s">
        <v>13528</v>
      </c>
      <c r="D190" s="132" t="s">
        <v>13529</v>
      </c>
      <c r="E190" s="183" t="s">
        <v>13530</v>
      </c>
      <c r="F190" s="183" t="s">
        <v>65</v>
      </c>
      <c r="G190" s="116" t="s">
        <v>13531</v>
      </c>
      <c r="H190" s="132" t="s">
        <v>13532</v>
      </c>
      <c r="I190" s="132"/>
      <c r="J190" s="116" t="s">
        <v>13533</v>
      </c>
      <c r="K190" s="134" t="s">
        <v>13534</v>
      </c>
      <c r="L190" s="116" t="s">
        <v>13535</v>
      </c>
      <c r="M190" s="116" t="s">
        <v>13536</v>
      </c>
    </row>
    <row r="191" spans="1:13" ht="14.25" customHeight="1">
      <c r="A191" s="116">
        <v>18</v>
      </c>
      <c r="B191" s="116"/>
      <c r="C191" s="183" t="s">
        <v>13537</v>
      </c>
      <c r="D191" s="132" t="s">
        <v>13538</v>
      </c>
      <c r="E191" s="183" t="s">
        <v>13539</v>
      </c>
      <c r="F191" s="183" t="s">
        <v>65</v>
      </c>
      <c r="G191" s="116" t="s">
        <v>13540</v>
      </c>
      <c r="H191" s="132" t="s">
        <v>13541</v>
      </c>
      <c r="I191" s="132"/>
      <c r="J191" s="116" t="s">
        <v>13542</v>
      </c>
      <c r="K191" s="134" t="s">
        <v>13543</v>
      </c>
      <c r="L191" s="116" t="s">
        <v>13544</v>
      </c>
      <c r="M191" s="132" t="s">
        <v>13545</v>
      </c>
    </row>
    <row r="192" spans="1:13" ht="14.25" customHeight="1">
      <c r="A192" s="116">
        <v>19</v>
      </c>
      <c r="B192" s="116"/>
      <c r="C192" s="183" t="s">
        <v>13546</v>
      </c>
      <c r="D192" s="132" t="s">
        <v>13547</v>
      </c>
      <c r="E192" s="183" t="s">
        <v>13548</v>
      </c>
      <c r="F192" s="183" t="s">
        <v>117</v>
      </c>
      <c r="G192" s="116" t="s">
        <v>13549</v>
      </c>
      <c r="H192" s="132" t="s">
        <v>13550</v>
      </c>
      <c r="I192" s="132"/>
      <c r="J192" s="116" t="s">
        <v>13551</v>
      </c>
      <c r="K192" s="134" t="s">
        <v>13552</v>
      </c>
      <c r="L192" s="116" t="s">
        <v>13553</v>
      </c>
      <c r="M192" s="116" t="s">
        <v>13554</v>
      </c>
    </row>
    <row r="193" spans="1:13" ht="14.25" customHeight="1">
      <c r="A193" s="116">
        <v>20</v>
      </c>
      <c r="B193" s="116"/>
      <c r="C193" s="186" t="s">
        <v>13555</v>
      </c>
      <c r="D193" s="116" t="s">
        <v>13556</v>
      </c>
      <c r="E193" s="186" t="s">
        <v>13557</v>
      </c>
      <c r="F193" s="186" t="s">
        <v>117</v>
      </c>
      <c r="G193" s="116" t="s">
        <v>13558</v>
      </c>
      <c r="H193" s="116" t="s">
        <v>13559</v>
      </c>
      <c r="I193" s="116"/>
      <c r="J193" s="116" t="s">
        <v>13560</v>
      </c>
      <c r="K193" s="134" t="s">
        <v>13561</v>
      </c>
      <c r="L193" s="116" t="s">
        <v>13562</v>
      </c>
      <c r="M193" s="116" t="s">
        <v>13563</v>
      </c>
    </row>
    <row r="194" spans="1:13" ht="14.25" customHeight="1">
      <c r="A194" s="132">
        <v>21</v>
      </c>
      <c r="B194" s="132"/>
      <c r="C194" s="183" t="s">
        <v>13564</v>
      </c>
      <c r="D194" s="132" t="s">
        <v>13565</v>
      </c>
      <c r="E194" s="183" t="s">
        <v>13566</v>
      </c>
      <c r="F194" s="183" t="s">
        <v>219</v>
      </c>
      <c r="G194" s="132" t="s">
        <v>13567</v>
      </c>
      <c r="H194" s="132" t="s">
        <v>13568</v>
      </c>
      <c r="I194" s="132"/>
      <c r="J194" s="132" t="s">
        <v>13569</v>
      </c>
      <c r="K194" s="115" t="s">
        <v>13570</v>
      </c>
      <c r="L194" s="132" t="s">
        <v>13571</v>
      </c>
      <c r="M194" s="116" t="s">
        <v>13572</v>
      </c>
    </row>
    <row r="195" spans="1:13" ht="14.25" customHeight="1">
      <c r="A195" s="116">
        <v>22</v>
      </c>
      <c r="B195" s="116"/>
      <c r="C195" s="183" t="s">
        <v>13573</v>
      </c>
      <c r="D195" s="132" t="s">
        <v>13574</v>
      </c>
      <c r="E195" s="183" t="s">
        <v>13575</v>
      </c>
      <c r="F195" s="183" t="s">
        <v>117</v>
      </c>
      <c r="G195" s="28" t="s">
        <v>13576</v>
      </c>
      <c r="H195" s="132" t="s">
        <v>13577</v>
      </c>
      <c r="I195" s="132"/>
      <c r="J195" s="116" t="s">
        <v>13578</v>
      </c>
      <c r="K195" s="134" t="s">
        <v>13579</v>
      </c>
      <c r="L195" s="116" t="s">
        <v>13580</v>
      </c>
      <c r="M195" s="116" t="s">
        <v>13581</v>
      </c>
    </row>
    <row r="196" spans="1:13" ht="14.25" customHeight="1">
      <c r="A196" s="116">
        <v>23</v>
      </c>
      <c r="B196" s="116"/>
      <c r="C196" s="183" t="s">
        <v>11782</v>
      </c>
      <c r="D196" s="132" t="s">
        <v>11783</v>
      </c>
      <c r="E196" s="183" t="s">
        <v>11784</v>
      </c>
      <c r="F196" s="183" t="s">
        <v>117</v>
      </c>
      <c r="G196" s="28" t="s">
        <v>13582</v>
      </c>
      <c r="H196" s="132" t="s">
        <v>13583</v>
      </c>
      <c r="I196" s="132"/>
      <c r="J196" s="116" t="s">
        <v>13584</v>
      </c>
      <c r="K196" s="134" t="s">
        <v>13585</v>
      </c>
      <c r="L196" s="116" t="s">
        <v>13586</v>
      </c>
      <c r="M196" s="116" t="s">
        <v>13587</v>
      </c>
    </row>
    <row r="197" spans="1:13" ht="14.25" customHeight="1">
      <c r="A197" s="116">
        <v>24</v>
      </c>
      <c r="B197" s="116"/>
      <c r="C197" s="183" t="s">
        <v>13588</v>
      </c>
      <c r="D197" s="132" t="s">
        <v>13589</v>
      </c>
      <c r="E197" s="183" t="s">
        <v>13590</v>
      </c>
      <c r="F197" s="183" t="s">
        <v>117</v>
      </c>
      <c r="G197" s="116" t="s">
        <v>13591</v>
      </c>
      <c r="H197" s="132" t="s">
        <v>13592</v>
      </c>
      <c r="I197" s="132"/>
      <c r="J197" s="116" t="s">
        <v>13593</v>
      </c>
      <c r="K197" s="134" t="s">
        <v>13594</v>
      </c>
      <c r="L197" s="116" t="s">
        <v>13595</v>
      </c>
      <c r="M197" s="116" t="s">
        <v>13596</v>
      </c>
    </row>
    <row r="198" spans="1:13" ht="14.25" customHeight="1">
      <c r="A198" s="116">
        <v>25</v>
      </c>
      <c r="B198" s="116"/>
      <c r="C198" s="183" t="s">
        <v>13597</v>
      </c>
      <c r="D198" s="132" t="s">
        <v>13598</v>
      </c>
      <c r="E198" s="183" t="s">
        <v>13599</v>
      </c>
      <c r="F198" s="183" t="s">
        <v>117</v>
      </c>
      <c r="G198" s="116" t="s">
        <v>13600</v>
      </c>
      <c r="H198" s="132" t="s">
        <v>13601</v>
      </c>
      <c r="I198" s="132"/>
      <c r="J198" s="116" t="s">
        <v>13602</v>
      </c>
      <c r="K198" s="134" t="s">
        <v>13603</v>
      </c>
      <c r="L198" s="116" t="s">
        <v>13604</v>
      </c>
      <c r="M198" s="116" t="s">
        <v>13605</v>
      </c>
    </row>
    <row r="199" spans="1:13" ht="14.25" customHeight="1">
      <c r="A199" s="132">
        <v>26</v>
      </c>
      <c r="B199" s="132"/>
      <c r="C199" s="183" t="s">
        <v>13606</v>
      </c>
      <c r="D199" s="132" t="s">
        <v>13607</v>
      </c>
      <c r="E199" s="183" t="s">
        <v>13608</v>
      </c>
      <c r="F199" s="183" t="s">
        <v>117</v>
      </c>
      <c r="G199" s="193" t="s">
        <v>13609</v>
      </c>
      <c r="H199" s="132" t="s">
        <v>13610</v>
      </c>
      <c r="I199" s="132"/>
      <c r="J199" s="132" t="s">
        <v>13611</v>
      </c>
      <c r="K199" s="115" t="s">
        <v>13612</v>
      </c>
      <c r="L199" s="132" t="s">
        <v>13613</v>
      </c>
      <c r="M199" s="116" t="s">
        <v>13614</v>
      </c>
    </row>
    <row r="200" spans="1:13" ht="14.25" customHeight="1">
      <c r="A200" s="116">
        <v>27</v>
      </c>
      <c r="B200" s="116"/>
      <c r="C200" s="183" t="s">
        <v>13615</v>
      </c>
      <c r="D200" s="132" t="s">
        <v>13616</v>
      </c>
      <c r="E200" s="183" t="s">
        <v>13617</v>
      </c>
      <c r="F200" s="183" t="s">
        <v>117</v>
      </c>
      <c r="G200" s="28" t="s">
        <v>13618</v>
      </c>
      <c r="H200" s="132" t="s">
        <v>13619</v>
      </c>
      <c r="I200" s="132"/>
      <c r="J200" s="116" t="s">
        <v>13620</v>
      </c>
      <c r="K200" s="134" t="s">
        <v>13621</v>
      </c>
      <c r="L200" s="116" t="s">
        <v>13622</v>
      </c>
      <c r="M200" s="116" t="s">
        <v>13623</v>
      </c>
    </row>
    <row r="201" spans="1:13" ht="14.25" customHeight="1">
      <c r="A201" s="116">
        <v>28</v>
      </c>
      <c r="B201" s="116"/>
      <c r="C201" s="183" t="s">
        <v>13624</v>
      </c>
      <c r="D201" s="132" t="s">
        <v>13625</v>
      </c>
      <c r="E201" s="183" t="s">
        <v>13626</v>
      </c>
      <c r="F201" s="183" t="s">
        <v>65</v>
      </c>
      <c r="G201" s="28" t="s">
        <v>13627</v>
      </c>
      <c r="H201" s="132" t="s">
        <v>13628</v>
      </c>
      <c r="I201" s="132"/>
      <c r="J201" s="116" t="s">
        <v>13629</v>
      </c>
      <c r="K201" s="134" t="s">
        <v>13630</v>
      </c>
      <c r="L201" s="116" t="s">
        <v>13631</v>
      </c>
      <c r="M201" s="116" t="s">
        <v>13632</v>
      </c>
    </row>
    <row r="202" spans="1:13" ht="14.25" customHeight="1">
      <c r="A202" s="116">
        <v>29</v>
      </c>
      <c r="B202" s="116"/>
      <c r="C202" s="186" t="s">
        <v>13633</v>
      </c>
      <c r="D202" s="191" t="s">
        <v>13634</v>
      </c>
      <c r="E202" s="186" t="s">
        <v>13635</v>
      </c>
      <c r="F202" s="186" t="s">
        <v>65</v>
      </c>
      <c r="G202" s="28" t="s">
        <v>13636</v>
      </c>
      <c r="H202" s="191" t="s">
        <v>13637</v>
      </c>
      <c r="I202" s="191"/>
      <c r="J202" s="191" t="s">
        <v>13638</v>
      </c>
      <c r="K202" s="134" t="s">
        <v>13639</v>
      </c>
      <c r="L202" s="116" t="s">
        <v>13640</v>
      </c>
      <c r="M202" s="116" t="s">
        <v>13641</v>
      </c>
    </row>
    <row r="203" spans="1:13" ht="14.25" customHeight="1">
      <c r="A203" s="116">
        <v>30</v>
      </c>
      <c r="B203" s="116"/>
      <c r="C203" s="183" t="s">
        <v>13642</v>
      </c>
      <c r="D203" s="132" t="s">
        <v>13643</v>
      </c>
      <c r="E203" s="186" t="s">
        <v>13644</v>
      </c>
      <c r="F203" s="183" t="s">
        <v>65</v>
      </c>
      <c r="G203" s="28" t="s">
        <v>13645</v>
      </c>
      <c r="H203" s="132" t="s">
        <v>13646</v>
      </c>
      <c r="I203" s="132"/>
      <c r="J203" s="116" t="s">
        <v>13647</v>
      </c>
      <c r="K203" s="134" t="s">
        <v>13648</v>
      </c>
      <c r="L203" s="116" t="s">
        <v>13649</v>
      </c>
      <c r="M203" s="116" t="s">
        <v>13650</v>
      </c>
    </row>
    <row r="204" spans="1:13" ht="14.25" customHeight="1">
      <c r="A204" s="116">
        <v>31</v>
      </c>
      <c r="B204" s="116"/>
      <c r="C204" s="183" t="s">
        <v>13651</v>
      </c>
      <c r="D204" s="132" t="s">
        <v>13652</v>
      </c>
      <c r="E204" s="183" t="s">
        <v>13653</v>
      </c>
      <c r="F204" s="183" t="s">
        <v>54</v>
      </c>
      <c r="G204" s="28" t="s">
        <v>13654</v>
      </c>
      <c r="H204" s="132" t="s">
        <v>13655</v>
      </c>
      <c r="I204" s="132"/>
      <c r="J204" s="116" t="s">
        <v>13656</v>
      </c>
      <c r="K204" s="134" t="s">
        <v>13657</v>
      </c>
      <c r="L204" s="116" t="s">
        <v>13658</v>
      </c>
      <c r="M204" s="132" t="s">
        <v>13659</v>
      </c>
    </row>
    <row r="205" spans="1:13" ht="14.25" customHeight="1">
      <c r="A205" s="116">
        <v>32</v>
      </c>
      <c r="B205" s="116"/>
      <c r="C205" s="186" t="s">
        <v>11887</v>
      </c>
      <c r="D205" s="116" t="s">
        <v>11888</v>
      </c>
      <c r="E205" s="186" t="s">
        <v>11889</v>
      </c>
      <c r="F205" s="186" t="s">
        <v>65</v>
      </c>
      <c r="G205" s="28" t="s">
        <v>13660</v>
      </c>
      <c r="H205" s="116" t="s">
        <v>13661</v>
      </c>
      <c r="I205" s="116"/>
      <c r="J205" s="187" t="s">
        <v>13662</v>
      </c>
      <c r="K205" s="134" t="s">
        <v>13663</v>
      </c>
      <c r="L205" s="116" t="s">
        <v>13664</v>
      </c>
      <c r="M205" s="116" t="s">
        <v>13665</v>
      </c>
    </row>
    <row r="206" spans="1:13" ht="14.25" customHeight="1">
      <c r="A206" s="116">
        <v>33</v>
      </c>
      <c r="B206" s="116"/>
      <c r="C206" s="186" t="s">
        <v>13666</v>
      </c>
      <c r="D206" s="132" t="s">
        <v>13667</v>
      </c>
      <c r="E206" s="26" t="s">
        <v>13668</v>
      </c>
      <c r="F206" s="26" t="s">
        <v>54</v>
      </c>
      <c r="G206" s="28" t="s">
        <v>13669</v>
      </c>
      <c r="H206" s="132" t="s">
        <v>13670</v>
      </c>
      <c r="I206" s="132"/>
      <c r="J206" s="116" t="s">
        <v>13671</v>
      </c>
      <c r="K206" s="134" t="s">
        <v>13672</v>
      </c>
      <c r="L206" s="116" t="s">
        <v>13673</v>
      </c>
      <c r="M206" s="116" t="s">
        <v>13674</v>
      </c>
    </row>
    <row r="207" spans="1:13" ht="14.25" customHeight="1">
      <c r="A207" s="116">
        <v>34</v>
      </c>
      <c r="B207" s="116"/>
      <c r="C207" s="186" t="s">
        <v>13675</v>
      </c>
      <c r="D207" s="132" t="s">
        <v>13676</v>
      </c>
      <c r="E207" s="26" t="s">
        <v>13677</v>
      </c>
      <c r="F207" s="26" t="s">
        <v>65</v>
      </c>
      <c r="G207" s="28" t="s">
        <v>13678</v>
      </c>
      <c r="H207" s="132" t="s">
        <v>13679</v>
      </c>
      <c r="I207" s="132"/>
      <c r="J207" s="116" t="s">
        <v>13680</v>
      </c>
      <c r="K207" s="134" t="s">
        <v>13681</v>
      </c>
      <c r="L207" s="116" t="s">
        <v>13682</v>
      </c>
      <c r="M207" s="116" t="s">
        <v>13683</v>
      </c>
    </row>
    <row r="208" spans="1:13" ht="14.25" customHeight="1">
      <c r="A208" s="116">
        <v>35</v>
      </c>
      <c r="B208" s="116"/>
      <c r="C208" s="186" t="s">
        <v>13684</v>
      </c>
      <c r="D208" s="132" t="s">
        <v>13685</v>
      </c>
      <c r="E208" s="26" t="s">
        <v>13686</v>
      </c>
      <c r="F208" s="26" t="s">
        <v>65</v>
      </c>
      <c r="G208" s="116" t="s">
        <v>13687</v>
      </c>
      <c r="H208" s="132" t="s">
        <v>13688</v>
      </c>
      <c r="I208" s="132"/>
      <c r="J208" s="116" t="s">
        <v>13689</v>
      </c>
      <c r="K208" s="134" t="s">
        <v>13690</v>
      </c>
      <c r="L208" s="116" t="s">
        <v>13691</v>
      </c>
      <c r="M208" s="116" t="s">
        <v>13692</v>
      </c>
    </row>
    <row r="209" spans="1:13" ht="14.25" customHeight="1">
      <c r="A209" s="116">
        <v>36</v>
      </c>
      <c r="B209" s="116"/>
      <c r="C209" s="183" t="s">
        <v>13693</v>
      </c>
      <c r="D209" s="132" t="s">
        <v>13694</v>
      </c>
      <c r="E209" s="183" t="s">
        <v>13695</v>
      </c>
      <c r="F209" s="183" t="s">
        <v>117</v>
      </c>
      <c r="G209" s="116" t="s">
        <v>13696</v>
      </c>
      <c r="H209" s="132" t="s">
        <v>13697</v>
      </c>
      <c r="I209" s="132"/>
      <c r="J209" s="116" t="s">
        <v>13698</v>
      </c>
      <c r="K209" s="134" t="s">
        <v>13699</v>
      </c>
      <c r="L209" s="116" t="s">
        <v>13700</v>
      </c>
      <c r="M209" s="116" t="s">
        <v>13701</v>
      </c>
    </row>
    <row r="210" spans="1:13" ht="14.25" customHeight="1">
      <c r="A210" s="178">
        <v>1</v>
      </c>
      <c r="B210" s="178"/>
      <c r="C210" s="179" t="s">
        <v>13702</v>
      </c>
      <c r="D210" s="178" t="s">
        <v>13703</v>
      </c>
      <c r="E210" s="179" t="s">
        <v>13704</v>
      </c>
      <c r="F210" s="179" t="s">
        <v>117</v>
      </c>
      <c r="G210" s="178" t="s">
        <v>13705</v>
      </c>
      <c r="H210" s="178" t="s">
        <v>13706</v>
      </c>
      <c r="I210" s="178"/>
      <c r="J210" s="178" t="s">
        <v>13707</v>
      </c>
      <c r="K210" s="180" t="s">
        <v>13708</v>
      </c>
      <c r="L210" s="178" t="s">
        <v>13709</v>
      </c>
      <c r="M210" s="178" t="s">
        <v>13710</v>
      </c>
    </row>
    <row r="211" spans="1:13" ht="14.25" customHeight="1">
      <c r="A211" s="116">
        <v>2</v>
      </c>
      <c r="B211" s="116"/>
      <c r="C211" s="183" t="s">
        <v>13711</v>
      </c>
      <c r="D211" s="116" t="s">
        <v>13712</v>
      </c>
      <c r="E211" s="183" t="s">
        <v>13713</v>
      </c>
      <c r="F211" s="183" t="s">
        <v>65</v>
      </c>
      <c r="G211" s="116" t="s">
        <v>13714</v>
      </c>
      <c r="H211" s="116" t="s">
        <v>13715</v>
      </c>
      <c r="I211" s="116"/>
      <c r="J211" s="116" t="s">
        <v>13716</v>
      </c>
      <c r="K211" s="134" t="s">
        <v>13717</v>
      </c>
      <c r="L211" s="116" t="s">
        <v>13718</v>
      </c>
      <c r="M211" s="116" t="s">
        <v>13719</v>
      </c>
    </row>
    <row r="212" spans="1:13" ht="14.25" customHeight="1">
      <c r="A212" s="116">
        <v>3</v>
      </c>
      <c r="B212" s="116"/>
      <c r="C212" s="183" t="s">
        <v>13720</v>
      </c>
      <c r="D212" s="116" t="s">
        <v>13721</v>
      </c>
      <c r="E212" s="183" t="s">
        <v>13722</v>
      </c>
      <c r="F212" s="183" t="s">
        <v>117</v>
      </c>
      <c r="G212" s="116" t="s">
        <v>13723</v>
      </c>
      <c r="H212" s="116" t="s">
        <v>13724</v>
      </c>
      <c r="I212" s="116"/>
      <c r="J212" s="116" t="s">
        <v>13725</v>
      </c>
      <c r="K212" s="134" t="s">
        <v>13726</v>
      </c>
      <c r="L212" s="116" t="s">
        <v>13727</v>
      </c>
      <c r="M212" s="116" t="s">
        <v>13728</v>
      </c>
    </row>
    <row r="213" spans="1:13" ht="14.25" customHeight="1">
      <c r="A213" s="116">
        <v>4</v>
      </c>
      <c r="B213" s="116"/>
      <c r="C213" s="183" t="s">
        <v>13729</v>
      </c>
      <c r="D213" s="116" t="s">
        <v>13730</v>
      </c>
      <c r="E213" s="183" t="s">
        <v>13731</v>
      </c>
      <c r="F213" s="194"/>
      <c r="G213" s="116" t="s">
        <v>13732</v>
      </c>
      <c r="H213" s="116" t="s">
        <v>13733</v>
      </c>
      <c r="I213" s="116"/>
      <c r="J213" s="116" t="s">
        <v>13734</v>
      </c>
      <c r="K213" s="134" t="s">
        <v>13735</v>
      </c>
      <c r="L213" s="116" t="s">
        <v>13736</v>
      </c>
      <c r="M213" s="116" t="s">
        <v>13737</v>
      </c>
    </row>
    <row r="214" spans="1:13" ht="14.25" customHeight="1">
      <c r="A214" s="116">
        <v>5</v>
      </c>
      <c r="B214" s="116"/>
      <c r="C214" s="183" t="s">
        <v>13738</v>
      </c>
      <c r="D214" s="116" t="s">
        <v>13739</v>
      </c>
      <c r="E214" s="183" t="s">
        <v>13740</v>
      </c>
      <c r="F214" s="183" t="s">
        <v>117</v>
      </c>
      <c r="G214" s="116" t="s">
        <v>13741</v>
      </c>
      <c r="H214" s="116" t="s">
        <v>13742</v>
      </c>
      <c r="I214" s="116"/>
      <c r="J214" s="116" t="s">
        <v>13743</v>
      </c>
      <c r="K214" s="134" t="s">
        <v>13744</v>
      </c>
      <c r="L214" s="116" t="s">
        <v>13745</v>
      </c>
      <c r="M214" s="116" t="s">
        <v>13746</v>
      </c>
    </row>
    <row r="215" spans="1:13" ht="14.25" customHeight="1">
      <c r="A215" s="116">
        <v>6</v>
      </c>
      <c r="B215" s="116"/>
      <c r="C215" s="183" t="s">
        <v>13747</v>
      </c>
      <c r="D215" s="116" t="s">
        <v>13748</v>
      </c>
      <c r="E215" s="183" t="s">
        <v>13749</v>
      </c>
      <c r="F215" s="183" t="s">
        <v>65</v>
      </c>
      <c r="G215" s="116" t="s">
        <v>13750</v>
      </c>
      <c r="H215" s="116" t="s">
        <v>13751</v>
      </c>
      <c r="I215" s="116"/>
      <c r="J215" s="116" t="s">
        <v>13752</v>
      </c>
      <c r="K215" s="134" t="s">
        <v>13753</v>
      </c>
      <c r="L215" s="116" t="s">
        <v>13754</v>
      </c>
      <c r="M215" s="116" t="s">
        <v>13755</v>
      </c>
    </row>
    <row r="216" spans="1:13" ht="14.25" customHeight="1">
      <c r="A216" s="116">
        <v>7</v>
      </c>
      <c r="B216" s="116"/>
      <c r="C216" s="183" t="s">
        <v>13756</v>
      </c>
      <c r="D216" s="116" t="s">
        <v>13757</v>
      </c>
      <c r="E216" s="183" t="s">
        <v>13758</v>
      </c>
      <c r="F216" s="183" t="s">
        <v>117</v>
      </c>
      <c r="G216" s="116" t="s">
        <v>13759</v>
      </c>
      <c r="H216" s="116" t="s">
        <v>13760</v>
      </c>
      <c r="I216" s="116"/>
      <c r="J216" s="116" t="s">
        <v>13761</v>
      </c>
      <c r="K216" s="134" t="s">
        <v>13762</v>
      </c>
      <c r="L216" s="116" t="s">
        <v>13763</v>
      </c>
      <c r="M216" s="116" t="s">
        <v>13764</v>
      </c>
    </row>
    <row r="217" spans="1:13" ht="14.25" customHeight="1">
      <c r="A217" s="116">
        <v>8</v>
      </c>
      <c r="B217" s="116"/>
      <c r="C217" s="183" t="s">
        <v>13765</v>
      </c>
      <c r="D217" s="116" t="s">
        <v>13766</v>
      </c>
      <c r="E217" s="183" t="s">
        <v>13767</v>
      </c>
      <c r="F217" s="183" t="s">
        <v>65</v>
      </c>
      <c r="G217" s="116" t="s">
        <v>13768</v>
      </c>
      <c r="H217" s="116" t="s">
        <v>13769</v>
      </c>
      <c r="I217" s="116"/>
      <c r="J217" s="116" t="s">
        <v>13770</v>
      </c>
      <c r="K217" s="134" t="s">
        <v>13771</v>
      </c>
      <c r="L217" s="116" t="s">
        <v>13772</v>
      </c>
      <c r="M217" s="116" t="s">
        <v>13773</v>
      </c>
    </row>
    <row r="218" spans="1:13" ht="14.25" customHeight="1">
      <c r="A218" s="116">
        <v>9</v>
      </c>
      <c r="B218" s="116"/>
      <c r="C218" s="183" t="s">
        <v>13774</v>
      </c>
      <c r="D218" s="116" t="s">
        <v>13775</v>
      </c>
      <c r="E218" s="183" t="s">
        <v>13776</v>
      </c>
      <c r="F218" s="183" t="s">
        <v>54</v>
      </c>
      <c r="G218" s="116" t="s">
        <v>13777</v>
      </c>
      <c r="H218" s="116" t="s">
        <v>13778</v>
      </c>
      <c r="I218" s="116"/>
      <c r="J218" s="116" t="s">
        <v>13779</v>
      </c>
      <c r="K218" s="134" t="s">
        <v>13780</v>
      </c>
      <c r="L218" s="116" t="s">
        <v>13781</v>
      </c>
      <c r="M218" s="116" t="s">
        <v>13782</v>
      </c>
    </row>
    <row r="219" spans="1:13" ht="14.25" customHeight="1">
      <c r="A219" s="116">
        <v>10</v>
      </c>
      <c r="B219" s="116"/>
      <c r="C219" s="183" t="s">
        <v>13783</v>
      </c>
      <c r="D219" s="116" t="s">
        <v>13784</v>
      </c>
      <c r="E219" s="183" t="s">
        <v>13785</v>
      </c>
      <c r="F219" s="183" t="s">
        <v>65</v>
      </c>
      <c r="G219" s="116" t="s">
        <v>13786</v>
      </c>
      <c r="H219" s="116" t="s">
        <v>13787</v>
      </c>
      <c r="I219" s="116"/>
      <c r="J219" s="116" t="s">
        <v>13788</v>
      </c>
      <c r="K219" s="134" t="s">
        <v>13789</v>
      </c>
      <c r="L219" s="116" t="s">
        <v>13790</v>
      </c>
      <c r="M219" s="116" t="s">
        <v>13791</v>
      </c>
    </row>
    <row r="220" spans="1:13" ht="14.25" customHeight="1">
      <c r="A220" s="116">
        <v>11</v>
      </c>
      <c r="B220" s="116"/>
      <c r="C220" s="183" t="s">
        <v>13792</v>
      </c>
      <c r="D220" s="116" t="s">
        <v>13793</v>
      </c>
      <c r="E220" s="183" t="s">
        <v>13794</v>
      </c>
      <c r="F220" s="183" t="s">
        <v>117</v>
      </c>
      <c r="G220" s="116" t="s">
        <v>13795</v>
      </c>
      <c r="H220" s="116" t="s">
        <v>13796</v>
      </c>
      <c r="I220" s="116"/>
      <c r="J220" s="116" t="s">
        <v>13797</v>
      </c>
      <c r="K220" s="134" t="s">
        <v>13798</v>
      </c>
      <c r="L220" s="116" t="s">
        <v>13799</v>
      </c>
      <c r="M220" s="116" t="s">
        <v>13800</v>
      </c>
    </row>
    <row r="221" spans="1:13" ht="14.25" customHeight="1">
      <c r="A221" s="116">
        <v>12</v>
      </c>
      <c r="B221" s="116"/>
      <c r="C221" s="186" t="s">
        <v>13801</v>
      </c>
      <c r="D221" s="116" t="s">
        <v>13802</v>
      </c>
      <c r="E221" s="26" t="s">
        <v>13803</v>
      </c>
      <c r="F221" s="26" t="s">
        <v>54</v>
      </c>
      <c r="G221" s="116" t="s">
        <v>13804</v>
      </c>
      <c r="H221" s="116" t="s">
        <v>13805</v>
      </c>
      <c r="I221" s="116"/>
      <c r="J221" s="116" t="s">
        <v>13806</v>
      </c>
      <c r="K221" s="134" t="s">
        <v>13807</v>
      </c>
      <c r="L221" s="116" t="s">
        <v>13808</v>
      </c>
      <c r="M221" s="116" t="s">
        <v>13809</v>
      </c>
    </row>
    <row r="222" spans="1:13" ht="14.25" customHeight="1">
      <c r="A222" s="116">
        <v>13</v>
      </c>
      <c r="B222" s="116"/>
      <c r="C222" s="183" t="s">
        <v>13810</v>
      </c>
      <c r="D222" s="116" t="s">
        <v>13811</v>
      </c>
      <c r="E222" s="183" t="s">
        <v>13812</v>
      </c>
      <c r="F222" s="183" t="s">
        <v>65</v>
      </c>
      <c r="G222" s="116" t="s">
        <v>13813</v>
      </c>
      <c r="H222" s="116" t="s">
        <v>13814</v>
      </c>
      <c r="I222" s="116"/>
      <c r="J222" s="116" t="s">
        <v>13815</v>
      </c>
      <c r="K222" s="134" t="s">
        <v>13816</v>
      </c>
      <c r="L222" s="116" t="s">
        <v>13817</v>
      </c>
      <c r="M222" s="116" t="s">
        <v>13818</v>
      </c>
    </row>
    <row r="223" spans="1:13" ht="14.25" customHeight="1">
      <c r="A223" s="116">
        <v>14</v>
      </c>
      <c r="B223" s="116"/>
      <c r="C223" s="183" t="s">
        <v>13819</v>
      </c>
      <c r="D223" s="116" t="s">
        <v>13820</v>
      </c>
      <c r="E223" s="183" t="s">
        <v>13821</v>
      </c>
      <c r="F223" s="183" t="s">
        <v>117</v>
      </c>
      <c r="G223" s="116" t="s">
        <v>13822</v>
      </c>
      <c r="H223" s="116" t="s">
        <v>13823</v>
      </c>
      <c r="I223" s="116"/>
      <c r="J223" s="116" t="s">
        <v>13824</v>
      </c>
      <c r="K223" s="134" t="s">
        <v>13825</v>
      </c>
      <c r="L223" s="116" t="s">
        <v>13826</v>
      </c>
      <c r="M223" s="116" t="s">
        <v>13827</v>
      </c>
    </row>
    <row r="224" spans="1:13" ht="14.25" customHeight="1">
      <c r="A224" s="116">
        <v>15</v>
      </c>
      <c r="B224" s="116"/>
      <c r="C224" s="183" t="s">
        <v>6177</v>
      </c>
      <c r="D224" s="116" t="s">
        <v>6178</v>
      </c>
      <c r="E224" s="183" t="s">
        <v>10686</v>
      </c>
      <c r="F224" s="183" t="s">
        <v>65</v>
      </c>
      <c r="G224" s="116" t="s">
        <v>10687</v>
      </c>
      <c r="H224" s="116" t="s">
        <v>13828</v>
      </c>
      <c r="I224" s="116"/>
      <c r="J224" s="116" t="s">
        <v>6182</v>
      </c>
      <c r="K224" s="134" t="s">
        <v>10688</v>
      </c>
      <c r="L224" s="116" t="s">
        <v>10689</v>
      </c>
      <c r="M224" s="116" t="s">
        <v>10690</v>
      </c>
    </row>
    <row r="225" spans="1:13" ht="14.25" customHeight="1">
      <c r="A225" s="116">
        <v>16</v>
      </c>
      <c r="B225" s="116"/>
      <c r="C225" s="183" t="s">
        <v>13829</v>
      </c>
      <c r="D225" s="116" t="s">
        <v>13830</v>
      </c>
      <c r="E225" s="183" t="s">
        <v>13831</v>
      </c>
      <c r="F225" s="183" t="s">
        <v>664</v>
      </c>
      <c r="G225" s="116" t="s">
        <v>13832</v>
      </c>
      <c r="H225" s="116" t="s">
        <v>13833</v>
      </c>
      <c r="I225" s="116"/>
      <c r="J225" s="116" t="s">
        <v>13834</v>
      </c>
      <c r="K225" s="134" t="s">
        <v>13835</v>
      </c>
      <c r="L225" s="116" t="s">
        <v>13836</v>
      </c>
      <c r="M225" s="116" t="s">
        <v>13837</v>
      </c>
    </row>
    <row r="226" spans="1:13" ht="14.25" customHeight="1">
      <c r="A226" s="116">
        <v>17</v>
      </c>
      <c r="B226" s="116"/>
      <c r="C226" s="183" t="s">
        <v>13838</v>
      </c>
      <c r="D226" s="116" t="s">
        <v>13839</v>
      </c>
      <c r="E226" s="183" t="s">
        <v>13840</v>
      </c>
      <c r="F226" s="183" t="s">
        <v>65</v>
      </c>
      <c r="G226" s="116" t="s">
        <v>13841</v>
      </c>
      <c r="H226" s="116" t="s">
        <v>13842</v>
      </c>
      <c r="I226" s="116"/>
      <c r="J226" s="116" t="s">
        <v>13843</v>
      </c>
      <c r="K226" s="134" t="s">
        <v>13844</v>
      </c>
      <c r="L226" s="116" t="s">
        <v>13845</v>
      </c>
      <c r="M226" s="116" t="s">
        <v>13846</v>
      </c>
    </row>
    <row r="227" spans="1:13" ht="14.25" customHeight="1">
      <c r="A227" s="116">
        <v>18</v>
      </c>
      <c r="B227" s="116"/>
      <c r="C227" s="183" t="s">
        <v>13847</v>
      </c>
      <c r="D227" s="116" t="s">
        <v>13848</v>
      </c>
      <c r="E227" s="186" t="s">
        <v>10686</v>
      </c>
      <c r="F227" s="183" t="s">
        <v>117</v>
      </c>
      <c r="G227" s="116" t="s">
        <v>13849</v>
      </c>
      <c r="H227" s="116" t="s">
        <v>13850</v>
      </c>
      <c r="I227" s="116"/>
      <c r="J227" s="116" t="s">
        <v>13851</v>
      </c>
      <c r="K227" s="134" t="s">
        <v>13852</v>
      </c>
      <c r="L227" s="116" t="s">
        <v>13853</v>
      </c>
      <c r="M227" s="132" t="s">
        <v>13854</v>
      </c>
    </row>
    <row r="228" spans="1:13" ht="14.25" customHeight="1">
      <c r="A228" s="116">
        <v>19</v>
      </c>
      <c r="B228" s="116"/>
      <c r="C228" s="183" t="s">
        <v>13855</v>
      </c>
      <c r="D228" s="116" t="s">
        <v>13856</v>
      </c>
      <c r="E228" s="183" t="s">
        <v>5857</v>
      </c>
      <c r="F228" s="183" t="s">
        <v>219</v>
      </c>
      <c r="G228" s="116" t="s">
        <v>13857</v>
      </c>
      <c r="H228" s="116" t="s">
        <v>13858</v>
      </c>
      <c r="I228" s="116"/>
      <c r="J228" s="134" t="s">
        <v>13859</v>
      </c>
      <c r="K228" s="134" t="s">
        <v>13860</v>
      </c>
      <c r="L228" s="116" t="s">
        <v>13861</v>
      </c>
      <c r="M228" s="116" t="s">
        <v>13862</v>
      </c>
    </row>
    <row r="229" spans="1:13" ht="14.25" customHeight="1">
      <c r="A229" s="116">
        <v>20</v>
      </c>
      <c r="B229" s="116"/>
      <c r="C229" s="183" t="s">
        <v>13863</v>
      </c>
      <c r="D229" s="116" t="s">
        <v>13864</v>
      </c>
      <c r="E229" s="183" t="s">
        <v>13865</v>
      </c>
      <c r="F229" s="183" t="s">
        <v>117</v>
      </c>
      <c r="G229" s="116" t="s">
        <v>13866</v>
      </c>
      <c r="H229" s="116" t="s">
        <v>13867</v>
      </c>
      <c r="I229" s="116"/>
      <c r="J229" s="116" t="s">
        <v>13868</v>
      </c>
      <c r="K229" s="134" t="s">
        <v>13869</v>
      </c>
      <c r="L229" s="116" t="s">
        <v>13870</v>
      </c>
      <c r="M229" s="116" t="s">
        <v>13871</v>
      </c>
    </row>
    <row r="230" spans="1:13" ht="14.25" customHeight="1">
      <c r="A230" s="116">
        <v>21</v>
      </c>
      <c r="B230" s="116"/>
      <c r="C230" s="183" t="s">
        <v>13872</v>
      </c>
      <c r="D230" s="116" t="s">
        <v>13873</v>
      </c>
      <c r="E230" s="183" t="s">
        <v>13874</v>
      </c>
      <c r="F230" s="183" t="s">
        <v>65</v>
      </c>
      <c r="G230" s="116" t="s">
        <v>13875</v>
      </c>
      <c r="H230" s="116" t="s">
        <v>13876</v>
      </c>
      <c r="I230" s="116"/>
      <c r="J230" s="116" t="s">
        <v>13877</v>
      </c>
      <c r="K230" s="134" t="s">
        <v>13878</v>
      </c>
      <c r="L230" s="116" t="s">
        <v>13879</v>
      </c>
      <c r="M230" s="116" t="s">
        <v>13880</v>
      </c>
    </row>
    <row r="231" spans="1:13" ht="14.25" customHeight="1">
      <c r="A231" s="116">
        <v>22</v>
      </c>
      <c r="B231" s="116"/>
      <c r="C231" s="183" t="s">
        <v>13881</v>
      </c>
      <c r="D231" s="116" t="s">
        <v>13882</v>
      </c>
      <c r="E231" s="183" t="s">
        <v>13883</v>
      </c>
      <c r="F231" s="183" t="s">
        <v>54</v>
      </c>
      <c r="G231" s="116" t="s">
        <v>13884</v>
      </c>
      <c r="H231" s="116" t="s">
        <v>13885</v>
      </c>
      <c r="I231" s="116"/>
      <c r="J231" s="116" t="s">
        <v>13886</v>
      </c>
      <c r="K231" s="134" t="s">
        <v>13887</v>
      </c>
      <c r="L231" s="116" t="s">
        <v>13888</v>
      </c>
      <c r="M231" s="116" t="s">
        <v>13889</v>
      </c>
    </row>
    <row r="232" spans="1:13" ht="14.25" customHeight="1">
      <c r="A232" s="116">
        <v>23</v>
      </c>
      <c r="B232" s="116"/>
      <c r="C232" s="186" t="s">
        <v>13890</v>
      </c>
      <c r="D232" s="116" t="s">
        <v>13891</v>
      </c>
      <c r="E232" s="26" t="s">
        <v>13892</v>
      </c>
      <c r="F232" s="26" t="s">
        <v>117</v>
      </c>
      <c r="G232" s="116" t="s">
        <v>13893</v>
      </c>
      <c r="H232" s="116" t="s">
        <v>13894</v>
      </c>
      <c r="I232" s="116"/>
      <c r="J232" s="116" t="s">
        <v>13895</v>
      </c>
      <c r="K232" s="134" t="s">
        <v>13896</v>
      </c>
      <c r="L232" s="116" t="s">
        <v>13897</v>
      </c>
      <c r="M232" s="116" t="s">
        <v>13898</v>
      </c>
    </row>
    <row r="233" spans="1:13" ht="14.25" customHeight="1">
      <c r="A233" s="116">
        <v>24</v>
      </c>
      <c r="B233" s="116"/>
      <c r="C233" s="183" t="s">
        <v>13899</v>
      </c>
      <c r="D233" s="116" t="s">
        <v>13900</v>
      </c>
      <c r="E233" s="183" t="s">
        <v>13901</v>
      </c>
      <c r="F233" s="183" t="s">
        <v>117</v>
      </c>
      <c r="G233" s="116" t="s">
        <v>13902</v>
      </c>
      <c r="H233" s="116" t="s">
        <v>13903</v>
      </c>
      <c r="I233" s="116"/>
      <c r="J233" s="116" t="s">
        <v>13904</v>
      </c>
      <c r="K233" s="134" t="s">
        <v>13905</v>
      </c>
      <c r="L233" s="116" t="s">
        <v>13906</v>
      </c>
      <c r="M233" s="116" t="s">
        <v>13907</v>
      </c>
    </row>
    <row r="234" spans="1:13" ht="14.25" customHeight="1">
      <c r="A234" s="116">
        <v>25</v>
      </c>
      <c r="B234" s="116"/>
      <c r="C234" s="183" t="s">
        <v>13908</v>
      </c>
      <c r="D234" s="116" t="s">
        <v>13909</v>
      </c>
      <c r="E234" s="183" t="s">
        <v>13910</v>
      </c>
      <c r="F234" s="183" t="s">
        <v>65</v>
      </c>
      <c r="G234" s="116" t="s">
        <v>13911</v>
      </c>
      <c r="H234" s="116" t="s">
        <v>13912</v>
      </c>
      <c r="I234" s="116"/>
      <c r="J234" s="116" t="s">
        <v>13913</v>
      </c>
      <c r="K234" s="134" t="s">
        <v>13914</v>
      </c>
      <c r="L234" s="116" t="s">
        <v>13915</v>
      </c>
      <c r="M234" s="116" t="s">
        <v>13916</v>
      </c>
    </row>
    <row r="235" spans="1:13" ht="14.25" customHeight="1">
      <c r="A235" s="116">
        <v>26</v>
      </c>
      <c r="B235" s="116"/>
      <c r="C235" s="186" t="s">
        <v>13917</v>
      </c>
      <c r="D235" s="116" t="s">
        <v>13918</v>
      </c>
      <c r="E235" s="26" t="s">
        <v>13919</v>
      </c>
      <c r="F235" s="26" t="s">
        <v>54</v>
      </c>
      <c r="G235" s="116" t="s">
        <v>13920</v>
      </c>
      <c r="H235" s="116" t="s">
        <v>13921</v>
      </c>
      <c r="I235" s="116"/>
      <c r="J235" s="116" t="s">
        <v>13922</v>
      </c>
      <c r="K235" s="134" t="s">
        <v>13923</v>
      </c>
      <c r="L235" s="116" t="s">
        <v>13924</v>
      </c>
      <c r="M235" s="116" t="s">
        <v>13925</v>
      </c>
    </row>
    <row r="236" spans="1:13" ht="14.25" customHeight="1">
      <c r="A236" s="116">
        <v>27</v>
      </c>
      <c r="B236" s="116"/>
      <c r="C236" s="183" t="s">
        <v>13926</v>
      </c>
      <c r="D236" s="116" t="s">
        <v>13927</v>
      </c>
      <c r="E236" s="183" t="s">
        <v>13928</v>
      </c>
      <c r="F236" s="183" t="s">
        <v>117</v>
      </c>
      <c r="G236" s="116" t="s">
        <v>13929</v>
      </c>
      <c r="H236" s="116" t="s">
        <v>13930</v>
      </c>
      <c r="I236" s="116"/>
      <c r="J236" s="116" t="s">
        <v>13931</v>
      </c>
      <c r="K236" s="134" t="s">
        <v>13932</v>
      </c>
      <c r="L236" s="116" t="s">
        <v>13933</v>
      </c>
      <c r="M236" s="116" t="s">
        <v>13934</v>
      </c>
    </row>
    <row r="237" spans="1:13" ht="14.25" customHeight="1">
      <c r="A237" s="116">
        <v>28</v>
      </c>
      <c r="B237" s="116"/>
      <c r="C237" s="183" t="s">
        <v>13935</v>
      </c>
      <c r="D237" s="116" t="s">
        <v>13936</v>
      </c>
      <c r="E237" s="186" t="s">
        <v>13937</v>
      </c>
      <c r="F237" s="183" t="s">
        <v>117</v>
      </c>
      <c r="G237" s="116" t="s">
        <v>13938</v>
      </c>
      <c r="H237" s="116" t="s">
        <v>13939</v>
      </c>
      <c r="I237" s="116"/>
      <c r="J237" s="116" t="s">
        <v>13940</v>
      </c>
      <c r="K237" s="134" t="s">
        <v>13941</v>
      </c>
      <c r="L237" s="116" t="s">
        <v>13942</v>
      </c>
      <c r="M237" s="116" t="s">
        <v>13943</v>
      </c>
    </row>
    <row r="238" spans="1:13" ht="14.25" customHeight="1">
      <c r="A238" s="116">
        <v>29</v>
      </c>
      <c r="B238" s="116"/>
      <c r="C238" s="183" t="s">
        <v>13944</v>
      </c>
      <c r="D238" s="116" t="s">
        <v>13945</v>
      </c>
      <c r="E238" s="183" t="s">
        <v>13946</v>
      </c>
      <c r="F238" s="183" t="s">
        <v>117</v>
      </c>
      <c r="G238" s="116" t="s">
        <v>13947</v>
      </c>
      <c r="H238" s="116" t="s">
        <v>13948</v>
      </c>
      <c r="I238" s="116"/>
      <c r="J238" s="116" t="s">
        <v>13949</v>
      </c>
      <c r="K238" s="134" t="s">
        <v>13950</v>
      </c>
      <c r="L238" s="116" t="s">
        <v>13951</v>
      </c>
      <c r="M238" s="116" t="s">
        <v>13952</v>
      </c>
    </row>
    <row r="239" spans="1:13" ht="14.25" customHeight="1">
      <c r="A239" s="116">
        <v>30</v>
      </c>
      <c r="B239" s="116"/>
      <c r="C239" s="183" t="s">
        <v>13953</v>
      </c>
      <c r="D239" s="116" t="s">
        <v>13954</v>
      </c>
      <c r="E239" s="183" t="s">
        <v>13955</v>
      </c>
      <c r="F239" s="183" t="s">
        <v>65</v>
      </c>
      <c r="G239" s="116" t="s">
        <v>13956</v>
      </c>
      <c r="H239" s="116" t="s">
        <v>13957</v>
      </c>
      <c r="I239" s="116"/>
      <c r="J239" s="116" t="s">
        <v>13958</v>
      </c>
      <c r="K239" s="134" t="s">
        <v>13959</v>
      </c>
      <c r="L239" s="116" t="s">
        <v>13960</v>
      </c>
      <c r="M239" s="116" t="s">
        <v>13961</v>
      </c>
    </row>
    <row r="240" spans="1:13" ht="14.25" customHeight="1">
      <c r="A240" s="116">
        <v>31</v>
      </c>
      <c r="B240" s="116"/>
      <c r="C240" s="186" t="s">
        <v>13962</v>
      </c>
      <c r="D240" s="134" t="s">
        <v>13963</v>
      </c>
      <c r="E240" s="186" t="s">
        <v>13964</v>
      </c>
      <c r="F240" s="186" t="s">
        <v>117</v>
      </c>
      <c r="G240" s="116" t="s">
        <v>13965</v>
      </c>
      <c r="H240" s="134" t="s">
        <v>13966</v>
      </c>
      <c r="I240" s="134"/>
      <c r="J240" s="134" t="s">
        <v>13967</v>
      </c>
      <c r="K240" s="134" t="s">
        <v>13968</v>
      </c>
      <c r="L240" s="116" t="s">
        <v>13969</v>
      </c>
      <c r="M240" s="132" t="s">
        <v>13970</v>
      </c>
    </row>
    <row r="241" spans="1:13" ht="14.25" customHeight="1">
      <c r="A241" s="116">
        <v>32</v>
      </c>
      <c r="B241" s="116"/>
      <c r="C241" s="183" t="s">
        <v>13971</v>
      </c>
      <c r="D241" s="116" t="s">
        <v>13972</v>
      </c>
      <c r="E241" s="186" t="s">
        <v>13973</v>
      </c>
      <c r="F241" s="183" t="s">
        <v>65</v>
      </c>
      <c r="G241" s="116" t="s">
        <v>13974</v>
      </c>
      <c r="H241" s="116" t="s">
        <v>13975</v>
      </c>
      <c r="I241" s="116"/>
      <c r="J241" s="116" t="s">
        <v>13976</v>
      </c>
      <c r="K241" s="134" t="s">
        <v>13977</v>
      </c>
      <c r="L241" s="116" t="s">
        <v>13978</v>
      </c>
      <c r="M241" s="116" t="s">
        <v>13979</v>
      </c>
    </row>
    <row r="242" spans="1:13" ht="14.25" customHeight="1">
      <c r="A242" s="116">
        <v>33</v>
      </c>
      <c r="B242" s="116"/>
      <c r="C242" s="186" t="s">
        <v>13980</v>
      </c>
      <c r="D242" s="116" t="s">
        <v>13981</v>
      </c>
      <c r="E242" s="26" t="s">
        <v>13982</v>
      </c>
      <c r="F242" s="26" t="s">
        <v>117</v>
      </c>
      <c r="G242" s="116" t="s">
        <v>12386</v>
      </c>
      <c r="H242" s="116" t="s">
        <v>13983</v>
      </c>
      <c r="I242" s="116"/>
      <c r="J242" s="116" t="s">
        <v>13984</v>
      </c>
      <c r="K242" s="134" t="s">
        <v>13985</v>
      </c>
      <c r="L242" s="116" t="s">
        <v>13986</v>
      </c>
      <c r="M242" s="116" t="s">
        <v>13987</v>
      </c>
    </row>
    <row r="243" spans="1:13" ht="14.25" customHeight="1">
      <c r="A243" s="116">
        <v>34</v>
      </c>
      <c r="B243" s="116"/>
      <c r="C243" s="186" t="s">
        <v>13988</v>
      </c>
      <c r="D243" s="116" t="s">
        <v>13989</v>
      </c>
      <c r="E243" s="26" t="s">
        <v>13990</v>
      </c>
      <c r="F243" s="26" t="s">
        <v>65</v>
      </c>
      <c r="G243" s="116" t="s">
        <v>13991</v>
      </c>
      <c r="H243" s="116" t="s">
        <v>13992</v>
      </c>
      <c r="I243" s="116"/>
      <c r="J243" s="116" t="s">
        <v>13993</v>
      </c>
      <c r="K243" s="134" t="s">
        <v>13994</v>
      </c>
      <c r="L243" s="116" t="s">
        <v>13995</v>
      </c>
      <c r="M243" s="116" t="s">
        <v>13996</v>
      </c>
    </row>
    <row r="244" spans="1:13" ht="14.25" customHeight="1">
      <c r="A244" s="116">
        <v>35</v>
      </c>
      <c r="B244" s="116"/>
      <c r="C244" s="183" t="s">
        <v>8651</v>
      </c>
      <c r="D244" s="116" t="s">
        <v>8652</v>
      </c>
      <c r="E244" s="183" t="s">
        <v>8653</v>
      </c>
      <c r="F244" s="183" t="s">
        <v>117</v>
      </c>
      <c r="G244" s="116" t="s">
        <v>10919</v>
      </c>
      <c r="H244" s="116" t="s">
        <v>13997</v>
      </c>
      <c r="I244" s="116"/>
      <c r="J244" s="116" t="s">
        <v>8657</v>
      </c>
      <c r="K244" s="134" t="s">
        <v>10920</v>
      </c>
      <c r="L244" s="116" t="s">
        <v>10921</v>
      </c>
      <c r="M244" s="116" t="s">
        <v>10922</v>
      </c>
    </row>
    <row r="245" spans="1:13" ht="14.25" customHeight="1">
      <c r="A245" s="116">
        <v>36</v>
      </c>
      <c r="B245" s="116"/>
      <c r="C245" s="183" t="s">
        <v>13998</v>
      </c>
      <c r="D245" s="116" t="s">
        <v>13999</v>
      </c>
      <c r="E245" s="183" t="s">
        <v>14000</v>
      </c>
      <c r="F245" s="183" t="s">
        <v>117</v>
      </c>
      <c r="G245" s="116" t="s">
        <v>14001</v>
      </c>
      <c r="H245" s="116" t="s">
        <v>14002</v>
      </c>
      <c r="I245" s="116"/>
      <c r="J245" s="116" t="s">
        <v>6015</v>
      </c>
      <c r="K245" s="134" t="s">
        <v>14003</v>
      </c>
      <c r="L245" s="116" t="s">
        <v>14004</v>
      </c>
      <c r="M245" s="116" t="s">
        <v>14005</v>
      </c>
    </row>
    <row r="246" spans="1:13" ht="14.25" customHeight="1">
      <c r="A246" s="116">
        <v>37</v>
      </c>
      <c r="B246" s="116"/>
      <c r="C246" s="183" t="s">
        <v>14006</v>
      </c>
      <c r="D246" s="116" t="s">
        <v>14007</v>
      </c>
      <c r="E246" s="183" t="s">
        <v>14008</v>
      </c>
      <c r="F246" s="183" t="s">
        <v>65</v>
      </c>
      <c r="G246" s="116" t="s">
        <v>14009</v>
      </c>
      <c r="H246" s="116" t="s">
        <v>14010</v>
      </c>
      <c r="I246" s="116"/>
      <c r="J246" s="116" t="s">
        <v>14011</v>
      </c>
      <c r="K246" s="134" t="s">
        <v>14012</v>
      </c>
      <c r="L246" s="116" t="s">
        <v>14013</v>
      </c>
      <c r="M246" s="116" t="s">
        <v>14014</v>
      </c>
    </row>
    <row r="247" spans="1:13" ht="14.25" customHeight="1">
      <c r="A247" s="178">
        <v>1</v>
      </c>
      <c r="B247" s="178"/>
      <c r="C247" s="179" t="s">
        <v>14015</v>
      </c>
      <c r="D247" s="178" t="s">
        <v>14016</v>
      </c>
      <c r="E247" s="179" t="s">
        <v>14017</v>
      </c>
      <c r="F247" s="179" t="s">
        <v>117</v>
      </c>
      <c r="G247" s="178" t="s">
        <v>14018</v>
      </c>
      <c r="H247" s="178" t="s">
        <v>14019</v>
      </c>
      <c r="I247" s="178"/>
      <c r="J247" s="178" t="s">
        <v>14020</v>
      </c>
      <c r="K247" s="180" t="s">
        <v>14021</v>
      </c>
      <c r="L247" s="178" t="s">
        <v>14022</v>
      </c>
      <c r="M247" s="178" t="s">
        <v>14023</v>
      </c>
    </row>
    <row r="248" spans="1:13" ht="14.25" customHeight="1">
      <c r="A248" s="116">
        <v>2</v>
      </c>
      <c r="B248" s="116"/>
      <c r="C248" s="183" t="s">
        <v>14024</v>
      </c>
      <c r="D248" s="116" t="s">
        <v>14025</v>
      </c>
      <c r="E248" s="183" t="s">
        <v>14026</v>
      </c>
      <c r="F248" s="183" t="s">
        <v>65</v>
      </c>
      <c r="G248" s="116" t="s">
        <v>14027</v>
      </c>
      <c r="H248" s="116" t="s">
        <v>14028</v>
      </c>
      <c r="I248" s="116"/>
      <c r="J248" s="116" t="s">
        <v>14029</v>
      </c>
      <c r="K248" s="134" t="s">
        <v>14030</v>
      </c>
      <c r="L248" s="116" t="s">
        <v>14031</v>
      </c>
      <c r="M248" s="116" t="s">
        <v>14032</v>
      </c>
    </row>
    <row r="249" spans="1:13" ht="14.25" customHeight="1">
      <c r="A249" s="116">
        <v>3</v>
      </c>
      <c r="B249" s="116"/>
      <c r="C249" s="183" t="s">
        <v>9688</v>
      </c>
      <c r="D249" s="116" t="s">
        <v>9689</v>
      </c>
      <c r="E249" s="183" t="s">
        <v>9690</v>
      </c>
      <c r="F249" s="183" t="s">
        <v>219</v>
      </c>
      <c r="G249" s="116" t="s">
        <v>11026</v>
      </c>
      <c r="H249" s="116" t="s">
        <v>14033</v>
      </c>
      <c r="I249" s="116"/>
      <c r="J249" s="116" t="s">
        <v>9694</v>
      </c>
      <c r="K249" s="134" t="s">
        <v>11027</v>
      </c>
      <c r="L249" s="116" t="s">
        <v>11028</v>
      </c>
      <c r="M249" s="116" t="s">
        <v>11029</v>
      </c>
    </row>
    <row r="250" spans="1:13" ht="14.25" customHeight="1">
      <c r="A250" s="116">
        <v>4</v>
      </c>
      <c r="B250" s="116"/>
      <c r="C250" s="183" t="s">
        <v>14034</v>
      </c>
      <c r="D250" s="116" t="s">
        <v>14035</v>
      </c>
      <c r="E250" s="183" t="s">
        <v>14036</v>
      </c>
      <c r="F250" s="183" t="s">
        <v>117</v>
      </c>
      <c r="G250" s="116" t="s">
        <v>14037</v>
      </c>
      <c r="H250" s="116" t="s">
        <v>14038</v>
      </c>
      <c r="I250" s="116"/>
      <c r="J250" s="116" t="s">
        <v>14039</v>
      </c>
      <c r="K250" s="134" t="s">
        <v>14040</v>
      </c>
      <c r="L250" s="116" t="s">
        <v>14041</v>
      </c>
      <c r="M250" s="116" t="s">
        <v>14042</v>
      </c>
    </row>
    <row r="251" spans="1:13" ht="14.25" customHeight="1">
      <c r="A251" s="132">
        <v>5</v>
      </c>
      <c r="B251" s="132"/>
      <c r="C251" s="183" t="s">
        <v>14043</v>
      </c>
      <c r="D251" s="132" t="s">
        <v>14044</v>
      </c>
      <c r="E251" s="183" t="s">
        <v>14045</v>
      </c>
      <c r="F251" s="183" t="s">
        <v>117</v>
      </c>
      <c r="G251" s="135" t="s">
        <v>14046</v>
      </c>
      <c r="H251" s="132" t="s">
        <v>14047</v>
      </c>
      <c r="I251" s="132"/>
      <c r="J251" s="132" t="s">
        <v>14048</v>
      </c>
      <c r="K251" s="134" t="s">
        <v>14049</v>
      </c>
      <c r="L251" s="132" t="s">
        <v>14050</v>
      </c>
      <c r="M251" s="116" t="s">
        <v>14051</v>
      </c>
    </row>
    <row r="252" spans="1:13" ht="14.25" customHeight="1">
      <c r="A252" s="116">
        <v>6</v>
      </c>
      <c r="B252" s="116"/>
      <c r="C252" s="186" t="s">
        <v>14052</v>
      </c>
      <c r="D252" s="115" t="s">
        <v>14053</v>
      </c>
      <c r="E252" s="26" t="s">
        <v>14054</v>
      </c>
      <c r="F252" s="26" t="s">
        <v>65</v>
      </c>
      <c r="G252" s="132" t="s">
        <v>14055</v>
      </c>
      <c r="H252" s="115" t="s">
        <v>14056</v>
      </c>
      <c r="I252" s="115"/>
      <c r="J252" s="115" t="s">
        <v>14057</v>
      </c>
      <c r="K252" s="134" t="s">
        <v>14058</v>
      </c>
      <c r="L252" s="116" t="s">
        <v>14059</v>
      </c>
      <c r="M252" s="116" t="s">
        <v>14060</v>
      </c>
    </row>
    <row r="253" spans="1:13" ht="14.25" customHeight="1">
      <c r="A253" s="116">
        <v>7</v>
      </c>
      <c r="B253" s="116"/>
      <c r="C253" s="186" t="s">
        <v>10040</v>
      </c>
      <c r="D253" s="116" t="s">
        <v>10041</v>
      </c>
      <c r="E253" s="186" t="s">
        <v>10042</v>
      </c>
      <c r="F253" s="186" t="s">
        <v>117</v>
      </c>
      <c r="G253" s="116" t="s">
        <v>11079</v>
      </c>
      <c r="H253" s="116" t="s">
        <v>14061</v>
      </c>
      <c r="I253" s="116"/>
      <c r="J253" s="116" t="s">
        <v>10046</v>
      </c>
      <c r="K253" s="134" t="s">
        <v>11080</v>
      </c>
      <c r="L253" s="116" t="s">
        <v>11081</v>
      </c>
      <c r="M253" s="116" t="s">
        <v>11082</v>
      </c>
    </row>
    <row r="254" spans="1:13" ht="14.25" customHeight="1">
      <c r="A254" s="116">
        <v>8</v>
      </c>
      <c r="B254" s="116"/>
      <c r="C254" s="183" t="s">
        <v>14062</v>
      </c>
      <c r="D254" s="116" t="s">
        <v>14063</v>
      </c>
      <c r="E254" s="183" t="s">
        <v>14064</v>
      </c>
      <c r="F254" s="183" t="s">
        <v>117</v>
      </c>
      <c r="G254" s="132" t="s">
        <v>14065</v>
      </c>
      <c r="H254" s="116" t="s">
        <v>14066</v>
      </c>
      <c r="I254" s="116"/>
      <c r="J254" s="116" t="s">
        <v>14067</v>
      </c>
      <c r="K254" s="134" t="s">
        <v>14068</v>
      </c>
      <c r="L254" s="116" t="s">
        <v>14069</v>
      </c>
      <c r="M254" s="116" t="s">
        <v>14070</v>
      </c>
    </row>
    <row r="255" spans="1:13" ht="14.25" customHeight="1">
      <c r="A255" s="116">
        <v>9</v>
      </c>
      <c r="B255" s="116"/>
      <c r="C255" s="186" t="s">
        <v>14071</v>
      </c>
      <c r="D255" s="187" t="s">
        <v>14072</v>
      </c>
      <c r="E255" s="26" t="s">
        <v>14073</v>
      </c>
      <c r="F255" s="26" t="s">
        <v>65</v>
      </c>
      <c r="G255" s="132" t="s">
        <v>14074</v>
      </c>
      <c r="H255" s="187" t="s">
        <v>14075</v>
      </c>
      <c r="I255" s="187"/>
      <c r="J255" s="187" t="s">
        <v>14076</v>
      </c>
      <c r="K255" s="134" t="s">
        <v>14077</v>
      </c>
      <c r="L255" s="116" t="s">
        <v>14078</v>
      </c>
      <c r="M255" s="116" t="s">
        <v>14079</v>
      </c>
    </row>
    <row r="256" spans="1:13" ht="14.25" customHeight="1">
      <c r="A256" s="116">
        <v>10</v>
      </c>
      <c r="B256" s="116"/>
      <c r="C256" s="186" t="s">
        <v>14080</v>
      </c>
      <c r="D256" s="134" t="s">
        <v>14081</v>
      </c>
      <c r="E256" s="26" t="s">
        <v>14082</v>
      </c>
      <c r="F256" s="26" t="s">
        <v>117</v>
      </c>
      <c r="G256" s="116" t="s">
        <v>14083</v>
      </c>
      <c r="H256" s="134" t="s">
        <v>14084</v>
      </c>
      <c r="I256" s="134"/>
      <c r="J256" s="134" t="s">
        <v>14085</v>
      </c>
      <c r="K256" s="134" t="s">
        <v>14086</v>
      </c>
      <c r="L256" s="116" t="s">
        <v>14087</v>
      </c>
      <c r="M256" s="116" t="s">
        <v>14088</v>
      </c>
    </row>
    <row r="257" spans="1:13" ht="14.25" customHeight="1">
      <c r="A257" s="116">
        <v>11</v>
      </c>
      <c r="B257" s="116"/>
      <c r="C257" s="183" t="s">
        <v>14089</v>
      </c>
      <c r="D257" s="116" t="s">
        <v>14090</v>
      </c>
      <c r="E257" s="183" t="s">
        <v>14091</v>
      </c>
      <c r="F257" s="183" t="s">
        <v>65</v>
      </c>
      <c r="G257" s="132" t="s">
        <v>14092</v>
      </c>
      <c r="H257" s="116" t="s">
        <v>14093</v>
      </c>
      <c r="I257" s="116"/>
      <c r="J257" s="116" t="s">
        <v>14094</v>
      </c>
      <c r="K257" s="134" t="s">
        <v>14095</v>
      </c>
      <c r="L257" s="116" t="s">
        <v>14096</v>
      </c>
      <c r="M257" s="116" t="s">
        <v>14097</v>
      </c>
    </row>
    <row r="258" spans="1:13" ht="14.25" customHeight="1">
      <c r="A258" s="116">
        <v>12</v>
      </c>
      <c r="B258" s="116"/>
      <c r="C258" s="183" t="s">
        <v>14098</v>
      </c>
      <c r="D258" s="187" t="s">
        <v>14099</v>
      </c>
      <c r="E258" s="183" t="s">
        <v>14100</v>
      </c>
      <c r="F258" s="183" t="s">
        <v>65</v>
      </c>
      <c r="G258" s="132" t="s">
        <v>14101</v>
      </c>
      <c r="H258" s="187" t="s">
        <v>14102</v>
      </c>
      <c r="I258" s="187"/>
      <c r="J258" s="187" t="s">
        <v>14103</v>
      </c>
      <c r="K258" s="134" t="s">
        <v>14104</v>
      </c>
      <c r="L258" s="116" t="s">
        <v>14105</v>
      </c>
      <c r="M258" s="116" t="s">
        <v>14106</v>
      </c>
    </row>
    <row r="259" spans="1:13" ht="14.25" customHeight="1">
      <c r="A259" s="116">
        <v>13</v>
      </c>
      <c r="B259" s="116"/>
      <c r="C259" s="183" t="s">
        <v>14107</v>
      </c>
      <c r="D259" s="116" t="s">
        <v>14108</v>
      </c>
      <c r="E259" s="186" t="s">
        <v>14109</v>
      </c>
      <c r="F259" s="183" t="s">
        <v>65</v>
      </c>
      <c r="G259" s="132" t="s">
        <v>14110</v>
      </c>
      <c r="H259" s="116" t="s">
        <v>14111</v>
      </c>
      <c r="I259" s="116"/>
      <c r="J259" s="116" t="s">
        <v>14112</v>
      </c>
      <c r="K259" s="134" t="s">
        <v>14113</v>
      </c>
      <c r="L259" s="116" t="s">
        <v>14114</v>
      </c>
      <c r="M259" s="116" t="s">
        <v>14115</v>
      </c>
    </row>
    <row r="260" spans="1:13" ht="14.25" customHeight="1">
      <c r="A260" s="116">
        <v>14</v>
      </c>
      <c r="B260" s="116"/>
      <c r="C260" s="183" t="s">
        <v>14116</v>
      </c>
      <c r="D260" s="116" t="s">
        <v>14117</v>
      </c>
      <c r="E260" s="183" t="s">
        <v>14118</v>
      </c>
      <c r="F260" s="183" t="s">
        <v>117</v>
      </c>
      <c r="G260" s="132" t="s">
        <v>14119</v>
      </c>
      <c r="H260" s="116" t="s">
        <v>14120</v>
      </c>
      <c r="I260" s="116"/>
      <c r="J260" s="116" t="s">
        <v>14121</v>
      </c>
      <c r="K260" s="134" t="s">
        <v>14122</v>
      </c>
      <c r="L260" s="116" t="s">
        <v>14123</v>
      </c>
      <c r="M260" s="116" t="s">
        <v>14124</v>
      </c>
    </row>
    <row r="261" spans="1:13" ht="14.25" customHeight="1">
      <c r="A261" s="116">
        <v>15</v>
      </c>
      <c r="B261" s="116"/>
      <c r="C261" s="186" t="s">
        <v>14125</v>
      </c>
      <c r="D261" s="116" t="s">
        <v>14126</v>
      </c>
      <c r="E261" s="26" t="s">
        <v>14127</v>
      </c>
      <c r="F261" s="26" t="s">
        <v>54</v>
      </c>
      <c r="G261" s="132" t="s">
        <v>14128</v>
      </c>
      <c r="H261" s="116" t="s">
        <v>14129</v>
      </c>
      <c r="I261" s="116"/>
      <c r="J261" s="116" t="s">
        <v>14130</v>
      </c>
      <c r="K261" s="134" t="s">
        <v>14131</v>
      </c>
      <c r="L261" s="116" t="s">
        <v>14132</v>
      </c>
      <c r="M261" s="116" t="s">
        <v>14133</v>
      </c>
    </row>
    <row r="262" spans="1:13" ht="14.25" customHeight="1">
      <c r="A262" s="116">
        <v>16</v>
      </c>
      <c r="B262" s="116"/>
      <c r="C262" s="186" t="s">
        <v>14134</v>
      </c>
      <c r="D262" s="116" t="s">
        <v>14135</v>
      </c>
      <c r="E262" s="26" t="s">
        <v>14136</v>
      </c>
      <c r="F262" s="26" t="s">
        <v>65</v>
      </c>
      <c r="G262" s="132" t="s">
        <v>14137</v>
      </c>
      <c r="H262" s="116" t="s">
        <v>14138</v>
      </c>
      <c r="I262" s="116"/>
      <c r="J262" s="116" t="s">
        <v>14139</v>
      </c>
      <c r="K262" s="134" t="s">
        <v>14140</v>
      </c>
      <c r="L262" s="116" t="s">
        <v>14141</v>
      </c>
      <c r="M262" s="116" t="s">
        <v>14142</v>
      </c>
    </row>
    <row r="263" spans="1:13" ht="14.25" customHeight="1">
      <c r="A263" s="116">
        <v>17</v>
      </c>
      <c r="B263" s="116"/>
      <c r="C263" s="186" t="s">
        <v>11910</v>
      </c>
      <c r="D263" s="116" t="s">
        <v>11911</v>
      </c>
      <c r="E263" s="26" t="s">
        <v>11912</v>
      </c>
      <c r="F263" s="26" t="s">
        <v>65</v>
      </c>
      <c r="G263" s="132" t="s">
        <v>14143</v>
      </c>
      <c r="H263" s="116" t="s">
        <v>14144</v>
      </c>
      <c r="I263" s="116"/>
      <c r="J263" s="116" t="s">
        <v>14145</v>
      </c>
      <c r="K263" s="134" t="s">
        <v>14146</v>
      </c>
      <c r="L263" s="116" t="s">
        <v>14147</v>
      </c>
      <c r="M263" s="116" t="s">
        <v>14148</v>
      </c>
    </row>
    <row r="264" spans="1:13" ht="14.25" customHeight="1">
      <c r="A264" s="116">
        <v>18</v>
      </c>
      <c r="B264" s="116"/>
      <c r="C264" s="186" t="s">
        <v>14149</v>
      </c>
      <c r="D264" s="116" t="s">
        <v>14150</v>
      </c>
      <c r="E264" s="26" t="s">
        <v>14151</v>
      </c>
      <c r="F264" s="26" t="s">
        <v>219</v>
      </c>
      <c r="G264" s="132" t="s">
        <v>14152</v>
      </c>
      <c r="H264" s="116" t="s">
        <v>14153</v>
      </c>
      <c r="I264" s="116"/>
      <c r="J264" s="116" t="s">
        <v>14154</v>
      </c>
      <c r="K264" s="134" t="s">
        <v>14155</v>
      </c>
      <c r="L264" s="116" t="s">
        <v>14156</v>
      </c>
      <c r="M264" s="132" t="s">
        <v>14157</v>
      </c>
    </row>
    <row r="265" spans="1:13" ht="14.25" customHeight="1">
      <c r="A265" s="116">
        <v>19</v>
      </c>
      <c r="B265" s="116"/>
      <c r="C265" s="186" t="s">
        <v>14158</v>
      </c>
      <c r="D265" s="116" t="s">
        <v>14159</v>
      </c>
      <c r="E265" s="26" t="s">
        <v>14160</v>
      </c>
      <c r="F265" s="26" t="s">
        <v>65</v>
      </c>
      <c r="G265" s="132" t="s">
        <v>14161</v>
      </c>
      <c r="H265" s="116" t="s">
        <v>14162</v>
      </c>
      <c r="I265" s="116"/>
      <c r="J265" s="116" t="s">
        <v>14163</v>
      </c>
      <c r="K265" s="134" t="s">
        <v>14164</v>
      </c>
      <c r="L265" s="116" t="s">
        <v>14165</v>
      </c>
      <c r="M265" s="116" t="s">
        <v>14166</v>
      </c>
    </row>
    <row r="266" spans="1:13" ht="14.25" customHeight="1">
      <c r="A266" s="116">
        <v>20</v>
      </c>
      <c r="B266" s="116"/>
      <c r="C266" s="183" t="s">
        <v>14167</v>
      </c>
      <c r="D266" s="116" t="s">
        <v>14168</v>
      </c>
      <c r="E266" s="183" t="s">
        <v>14169</v>
      </c>
      <c r="F266" s="183" t="s">
        <v>65</v>
      </c>
      <c r="G266" s="132" t="s">
        <v>14170</v>
      </c>
      <c r="H266" s="116" t="s">
        <v>14171</v>
      </c>
      <c r="I266" s="116"/>
      <c r="J266" s="116" t="s">
        <v>14172</v>
      </c>
      <c r="K266" s="134" t="s">
        <v>14173</v>
      </c>
      <c r="L266" s="132" t="s">
        <v>14174</v>
      </c>
      <c r="M266" s="116" t="s">
        <v>14175</v>
      </c>
    </row>
    <row r="267" spans="1:13" ht="14.25" customHeight="1">
      <c r="A267" s="116">
        <v>21</v>
      </c>
      <c r="B267" s="116"/>
      <c r="C267" s="183" t="s">
        <v>14176</v>
      </c>
      <c r="D267" s="116" t="s">
        <v>14177</v>
      </c>
      <c r="E267" s="183" t="s">
        <v>14178</v>
      </c>
      <c r="F267" s="183" t="s">
        <v>54</v>
      </c>
      <c r="G267" s="132" t="s">
        <v>14179</v>
      </c>
      <c r="H267" s="116" t="s">
        <v>14180</v>
      </c>
      <c r="I267" s="116"/>
      <c r="J267" s="116" t="s">
        <v>14181</v>
      </c>
      <c r="K267" s="134" t="s">
        <v>14182</v>
      </c>
      <c r="L267" s="116" t="s">
        <v>14183</v>
      </c>
      <c r="M267" s="116" t="s">
        <v>14184</v>
      </c>
    </row>
    <row r="268" spans="1:13" ht="14.25" customHeight="1">
      <c r="A268" s="116">
        <v>22</v>
      </c>
      <c r="B268" s="116"/>
      <c r="C268" s="183" t="s">
        <v>14185</v>
      </c>
      <c r="D268" s="116" t="s">
        <v>14186</v>
      </c>
      <c r="E268" s="183" t="s">
        <v>14187</v>
      </c>
      <c r="F268" s="183" t="s">
        <v>54</v>
      </c>
      <c r="G268" s="132" t="s">
        <v>14188</v>
      </c>
      <c r="H268" s="116" t="s">
        <v>14189</v>
      </c>
      <c r="I268" s="116"/>
      <c r="J268" s="116" t="s">
        <v>14190</v>
      </c>
      <c r="K268" s="134" t="s">
        <v>14191</v>
      </c>
      <c r="L268" s="116" t="s">
        <v>14192</v>
      </c>
      <c r="M268" s="116" t="s">
        <v>14193</v>
      </c>
    </row>
    <row r="269" spans="1:13" ht="14.25" customHeight="1">
      <c r="A269" s="116">
        <v>23</v>
      </c>
      <c r="B269" s="116"/>
      <c r="C269" s="183" t="s">
        <v>14194</v>
      </c>
      <c r="D269" s="116" t="s">
        <v>14195</v>
      </c>
      <c r="E269" s="183" t="s">
        <v>14196</v>
      </c>
      <c r="F269" s="183" t="s">
        <v>117</v>
      </c>
      <c r="G269" s="132" t="s">
        <v>14197</v>
      </c>
      <c r="H269" s="116" t="s">
        <v>14198</v>
      </c>
      <c r="I269" s="116"/>
      <c r="J269" s="116" t="s">
        <v>14199</v>
      </c>
      <c r="K269" s="134" t="s">
        <v>14200</v>
      </c>
      <c r="L269" s="116" t="s">
        <v>14201</v>
      </c>
      <c r="M269" s="116" t="s">
        <v>14202</v>
      </c>
    </row>
    <row r="270" spans="1:13" ht="14.25" customHeight="1">
      <c r="A270" s="116">
        <v>24</v>
      </c>
      <c r="B270" s="116"/>
      <c r="C270" s="183" t="s">
        <v>14203</v>
      </c>
      <c r="D270" s="116" t="s">
        <v>14204</v>
      </c>
      <c r="E270" s="183" t="s">
        <v>14205</v>
      </c>
      <c r="F270" s="183" t="s">
        <v>65</v>
      </c>
      <c r="G270" s="132" t="s">
        <v>14206</v>
      </c>
      <c r="H270" s="116" t="s">
        <v>14207</v>
      </c>
      <c r="I270" s="116"/>
      <c r="J270" s="116" t="s">
        <v>14208</v>
      </c>
      <c r="K270" s="134" t="s">
        <v>14209</v>
      </c>
      <c r="L270" s="116" t="s">
        <v>14210</v>
      </c>
      <c r="M270" s="116" t="s">
        <v>14211</v>
      </c>
    </row>
    <row r="271" spans="1:13" ht="14.25" customHeight="1">
      <c r="A271" s="116">
        <v>25</v>
      </c>
      <c r="B271" s="116"/>
      <c r="C271" s="183" t="s">
        <v>14212</v>
      </c>
      <c r="D271" s="116" t="s">
        <v>14213</v>
      </c>
      <c r="E271" s="183" t="s">
        <v>14214</v>
      </c>
      <c r="F271" s="183" t="s">
        <v>65</v>
      </c>
      <c r="G271" s="132" t="s">
        <v>14215</v>
      </c>
      <c r="H271" s="116" t="s">
        <v>14216</v>
      </c>
      <c r="I271" s="116"/>
      <c r="J271" s="116" t="s">
        <v>14217</v>
      </c>
      <c r="K271" s="134" t="s">
        <v>14218</v>
      </c>
      <c r="L271" s="116" t="s">
        <v>14219</v>
      </c>
      <c r="M271" s="116" t="s">
        <v>14220</v>
      </c>
    </row>
    <row r="272" spans="1:13" ht="14.25" customHeight="1">
      <c r="A272" s="116">
        <v>26</v>
      </c>
      <c r="B272" s="116"/>
      <c r="C272" s="183" t="s">
        <v>14221</v>
      </c>
      <c r="D272" s="116" t="s">
        <v>14222</v>
      </c>
      <c r="E272" s="183" t="s">
        <v>14223</v>
      </c>
      <c r="F272" s="183" t="s">
        <v>54</v>
      </c>
      <c r="G272" s="132" t="s">
        <v>5305</v>
      </c>
      <c r="H272" s="116" t="s">
        <v>14224</v>
      </c>
      <c r="I272" s="116"/>
      <c r="J272" s="116" t="s">
        <v>14225</v>
      </c>
      <c r="K272" s="134" t="s">
        <v>14226</v>
      </c>
      <c r="L272" s="116" t="s">
        <v>14227</v>
      </c>
      <c r="M272" s="116" t="s">
        <v>14228</v>
      </c>
    </row>
    <row r="273" spans="1:13" ht="14.25" customHeight="1">
      <c r="A273" s="116">
        <v>27</v>
      </c>
      <c r="B273" s="116"/>
      <c r="C273" s="183" t="s">
        <v>14229</v>
      </c>
      <c r="D273" s="116" t="s">
        <v>14230</v>
      </c>
      <c r="E273" s="183" t="s">
        <v>14231</v>
      </c>
      <c r="F273" s="183" t="s">
        <v>65</v>
      </c>
      <c r="G273" s="132" t="s">
        <v>14232</v>
      </c>
      <c r="H273" s="116" t="s">
        <v>14233</v>
      </c>
      <c r="I273" s="116"/>
      <c r="J273" s="116" t="s">
        <v>14234</v>
      </c>
      <c r="K273" s="134" t="s">
        <v>14235</v>
      </c>
      <c r="L273" s="116" t="s">
        <v>14236</v>
      </c>
      <c r="M273" s="116" t="s">
        <v>14237</v>
      </c>
    </row>
    <row r="274" spans="1:13" ht="14.25" customHeight="1">
      <c r="A274" s="116">
        <v>28</v>
      </c>
      <c r="B274" s="116"/>
      <c r="C274" s="183" t="s">
        <v>14238</v>
      </c>
      <c r="D274" s="115" t="s">
        <v>14239</v>
      </c>
      <c r="E274" s="183" t="s">
        <v>14240</v>
      </c>
      <c r="F274" s="183" t="s">
        <v>664</v>
      </c>
      <c r="G274" s="132" t="s">
        <v>14241</v>
      </c>
      <c r="H274" s="115" t="s">
        <v>14242</v>
      </c>
      <c r="I274" s="115"/>
      <c r="J274" s="115" t="s">
        <v>14243</v>
      </c>
      <c r="K274" s="134" t="s">
        <v>14244</v>
      </c>
      <c r="L274" s="116" t="s">
        <v>14245</v>
      </c>
      <c r="M274" s="116" t="s">
        <v>14246</v>
      </c>
    </row>
    <row r="275" spans="1:13" ht="14.25" customHeight="1">
      <c r="A275" s="116">
        <v>29</v>
      </c>
      <c r="B275" s="116"/>
      <c r="C275" s="183" t="s">
        <v>14247</v>
      </c>
      <c r="D275" s="116" t="s">
        <v>14248</v>
      </c>
      <c r="E275" s="183" t="s">
        <v>14249</v>
      </c>
      <c r="F275" s="183" t="s">
        <v>65</v>
      </c>
      <c r="G275" s="132" t="s">
        <v>14250</v>
      </c>
      <c r="H275" s="116" t="s">
        <v>14251</v>
      </c>
      <c r="I275" s="116"/>
      <c r="J275" s="116" t="s">
        <v>14252</v>
      </c>
      <c r="K275" s="134" t="s">
        <v>14253</v>
      </c>
      <c r="L275" s="116" t="s">
        <v>14254</v>
      </c>
      <c r="M275" s="116" t="s">
        <v>14255</v>
      </c>
    </row>
    <row r="276" spans="1:13" ht="14.25" customHeight="1">
      <c r="A276" s="116">
        <v>30</v>
      </c>
      <c r="B276" s="116"/>
      <c r="C276" s="183" t="s">
        <v>14256</v>
      </c>
      <c r="D276" s="115" t="s">
        <v>14257</v>
      </c>
      <c r="E276" s="183" t="s">
        <v>14258</v>
      </c>
      <c r="F276" s="183" t="s">
        <v>117</v>
      </c>
      <c r="G276" s="132" t="s">
        <v>14259</v>
      </c>
      <c r="H276" s="115" t="s">
        <v>14260</v>
      </c>
      <c r="I276" s="115"/>
      <c r="J276" s="115" t="s">
        <v>14261</v>
      </c>
      <c r="K276" s="134" t="s">
        <v>14262</v>
      </c>
      <c r="L276" s="116" t="s">
        <v>14263</v>
      </c>
      <c r="M276" s="116" t="s">
        <v>14264</v>
      </c>
    </row>
    <row r="277" spans="1:13" ht="14.25" customHeight="1">
      <c r="A277" s="116">
        <v>31</v>
      </c>
      <c r="B277" s="116"/>
      <c r="C277" s="183" t="s">
        <v>10058</v>
      </c>
      <c r="D277" s="115" t="s">
        <v>10059</v>
      </c>
      <c r="E277" s="183" t="s">
        <v>10060</v>
      </c>
      <c r="F277" s="183" t="s">
        <v>664</v>
      </c>
      <c r="G277" s="132" t="s">
        <v>11086</v>
      </c>
      <c r="H277" s="115" t="s">
        <v>14265</v>
      </c>
      <c r="I277" s="115"/>
      <c r="J277" s="115" t="s">
        <v>10064</v>
      </c>
      <c r="K277" s="134" t="s">
        <v>11087</v>
      </c>
      <c r="L277" s="116" t="s">
        <v>11088</v>
      </c>
      <c r="M277" s="132" t="s">
        <v>11089</v>
      </c>
    </row>
    <row r="278" spans="1:13" ht="14.25" customHeight="1">
      <c r="A278" s="116">
        <v>32</v>
      </c>
      <c r="B278" s="116"/>
      <c r="C278" s="183" t="s">
        <v>14266</v>
      </c>
      <c r="D278" s="115" t="s">
        <v>14267</v>
      </c>
      <c r="E278" s="183" t="s">
        <v>14268</v>
      </c>
      <c r="F278" s="183" t="s">
        <v>65</v>
      </c>
      <c r="G278" s="132" t="s">
        <v>14269</v>
      </c>
      <c r="H278" s="115" t="s">
        <v>14270</v>
      </c>
      <c r="I278" s="115"/>
      <c r="J278" s="115" t="s">
        <v>14271</v>
      </c>
      <c r="K278" s="134" t="s">
        <v>14272</v>
      </c>
      <c r="L278" s="116" t="s">
        <v>14273</v>
      </c>
      <c r="M278" s="116" t="s">
        <v>14274</v>
      </c>
    </row>
    <row r="279" spans="1:13" ht="14.25" customHeight="1">
      <c r="A279" s="116">
        <v>33</v>
      </c>
      <c r="B279" s="116"/>
      <c r="C279" s="183" t="s">
        <v>7760</v>
      </c>
      <c r="D279" s="116" t="s">
        <v>7761</v>
      </c>
      <c r="E279" s="183" t="s">
        <v>7762</v>
      </c>
      <c r="F279" s="183" t="s">
        <v>117</v>
      </c>
      <c r="G279" s="135" t="s">
        <v>10829</v>
      </c>
      <c r="H279" s="116" t="s">
        <v>14275</v>
      </c>
      <c r="I279" s="116"/>
      <c r="J279" s="116" t="s">
        <v>7766</v>
      </c>
      <c r="K279" s="134" t="s">
        <v>10830</v>
      </c>
      <c r="L279" s="116" t="s">
        <v>10831</v>
      </c>
      <c r="M279" s="116" t="s">
        <v>10832</v>
      </c>
    </row>
    <row r="280" spans="1:13" ht="14.25" customHeight="1">
      <c r="A280" s="116">
        <v>34</v>
      </c>
      <c r="B280" s="116"/>
      <c r="C280" s="183" t="s">
        <v>14276</v>
      </c>
      <c r="D280" s="116" t="s">
        <v>14277</v>
      </c>
      <c r="E280" s="183" t="s">
        <v>3551</v>
      </c>
      <c r="F280" s="183" t="s">
        <v>54</v>
      </c>
      <c r="G280" s="132" t="s">
        <v>14278</v>
      </c>
      <c r="H280" s="116" t="s">
        <v>14279</v>
      </c>
      <c r="I280" s="116"/>
      <c r="J280" s="116" t="s">
        <v>14280</v>
      </c>
      <c r="K280" s="134" t="s">
        <v>14281</v>
      </c>
      <c r="L280" s="116" t="s">
        <v>14282</v>
      </c>
      <c r="M280" s="116" t="s">
        <v>14283</v>
      </c>
    </row>
    <row r="281" spans="1:13" ht="14.25" customHeight="1">
      <c r="A281" s="116">
        <v>35</v>
      </c>
      <c r="B281" s="116"/>
      <c r="C281" s="183" t="s">
        <v>14284</v>
      </c>
      <c r="D281" s="116" t="s">
        <v>14285</v>
      </c>
      <c r="E281" s="186" t="s">
        <v>14286</v>
      </c>
      <c r="F281" s="183" t="s">
        <v>65</v>
      </c>
      <c r="G281" s="132" t="s">
        <v>14287</v>
      </c>
      <c r="H281" s="116" t="s">
        <v>14288</v>
      </c>
      <c r="I281" s="116"/>
      <c r="J281" s="116" t="s">
        <v>14289</v>
      </c>
      <c r="K281" s="134" t="s">
        <v>14290</v>
      </c>
      <c r="L281" s="116" t="s">
        <v>14291</v>
      </c>
      <c r="M281" s="116" t="s">
        <v>14292</v>
      </c>
    </row>
    <row r="282" spans="1:13" ht="14.25" customHeight="1">
      <c r="A282" s="116">
        <v>36</v>
      </c>
      <c r="B282" s="116"/>
      <c r="C282" s="183" t="s">
        <v>9734</v>
      </c>
      <c r="D282" s="115" t="s">
        <v>9735</v>
      </c>
      <c r="E282" s="183" t="s">
        <v>9736</v>
      </c>
      <c r="F282" s="183" t="s">
        <v>117</v>
      </c>
      <c r="G282" s="135" t="s">
        <v>11035</v>
      </c>
      <c r="H282" s="115" t="s">
        <v>14293</v>
      </c>
      <c r="I282" s="115"/>
      <c r="J282" s="115" t="s">
        <v>9740</v>
      </c>
      <c r="K282" s="134" t="s">
        <v>11036</v>
      </c>
      <c r="L282" s="134" t="s">
        <v>11037</v>
      </c>
      <c r="M282" s="116" t="s">
        <v>11038</v>
      </c>
    </row>
    <row r="283" spans="1:13" ht="14.25" customHeight="1">
      <c r="A283" s="178">
        <v>1</v>
      </c>
      <c r="B283" s="178"/>
      <c r="C283" s="179" t="s">
        <v>14294</v>
      </c>
      <c r="D283" s="180" t="s">
        <v>14295</v>
      </c>
      <c r="E283" s="179" t="s">
        <v>14296</v>
      </c>
      <c r="F283" s="179" t="s">
        <v>65</v>
      </c>
      <c r="G283" s="178" t="s">
        <v>14297</v>
      </c>
      <c r="H283" s="180" t="s">
        <v>14298</v>
      </c>
      <c r="I283" s="180"/>
      <c r="J283" s="180" t="s">
        <v>14299</v>
      </c>
      <c r="K283" s="180" t="s">
        <v>14300</v>
      </c>
      <c r="L283" s="178" t="s">
        <v>14301</v>
      </c>
      <c r="M283" s="178" t="s">
        <v>14302</v>
      </c>
    </row>
    <row r="284" spans="1:13" ht="14.25" customHeight="1">
      <c r="A284" s="116">
        <v>2</v>
      </c>
      <c r="B284" s="116"/>
      <c r="C284" s="183" t="s">
        <v>7455</v>
      </c>
      <c r="D284" s="115" t="s">
        <v>14303</v>
      </c>
      <c r="E284" s="183" t="s">
        <v>14304</v>
      </c>
      <c r="F284" s="183" t="s">
        <v>14305</v>
      </c>
      <c r="G284" s="132" t="s">
        <v>14306</v>
      </c>
      <c r="H284" s="115" t="s">
        <v>14307</v>
      </c>
      <c r="I284" s="115"/>
      <c r="J284" s="115" t="s">
        <v>14308</v>
      </c>
      <c r="K284" s="134" t="s">
        <v>14309</v>
      </c>
      <c r="L284" s="116" t="s">
        <v>14310</v>
      </c>
      <c r="M284" s="116" t="s">
        <v>14311</v>
      </c>
    </row>
    <row r="285" spans="1:13" ht="14.25" customHeight="1">
      <c r="A285" s="116">
        <v>3</v>
      </c>
      <c r="B285" s="116"/>
      <c r="C285" s="186" t="s">
        <v>14312</v>
      </c>
      <c r="D285" s="134" t="s">
        <v>14313</v>
      </c>
      <c r="E285" s="186" t="s">
        <v>14314</v>
      </c>
      <c r="F285" s="186" t="s">
        <v>65</v>
      </c>
      <c r="G285" s="132" t="s">
        <v>14315</v>
      </c>
      <c r="H285" s="134" t="s">
        <v>14316</v>
      </c>
      <c r="I285" s="134"/>
      <c r="J285" s="134" t="s">
        <v>14317</v>
      </c>
      <c r="K285" s="134" t="s">
        <v>14318</v>
      </c>
      <c r="L285" s="116" t="s">
        <v>14319</v>
      </c>
      <c r="M285" s="116" t="s">
        <v>14320</v>
      </c>
    </row>
    <row r="286" spans="1:13" ht="14.25" customHeight="1">
      <c r="A286" s="116">
        <v>4</v>
      </c>
      <c r="B286" s="116"/>
      <c r="C286" s="183" t="s">
        <v>14321</v>
      </c>
      <c r="D286" s="115" t="s">
        <v>14322</v>
      </c>
      <c r="E286" s="183" t="s">
        <v>14323</v>
      </c>
      <c r="F286" s="183" t="s">
        <v>65</v>
      </c>
      <c r="G286" s="132" t="s">
        <v>14324</v>
      </c>
      <c r="H286" s="115" t="s">
        <v>14325</v>
      </c>
      <c r="I286" s="115"/>
      <c r="J286" s="115" t="s">
        <v>14326</v>
      </c>
      <c r="K286" s="134" t="s">
        <v>14327</v>
      </c>
      <c r="L286" s="116" t="s">
        <v>14328</v>
      </c>
      <c r="M286" s="116" t="s">
        <v>14329</v>
      </c>
    </row>
    <row r="287" spans="1:13" ht="14.25" customHeight="1">
      <c r="A287" s="116">
        <v>5</v>
      </c>
      <c r="B287" s="116"/>
      <c r="C287" s="183" t="s">
        <v>10112</v>
      </c>
      <c r="D287" s="115" t="s">
        <v>10113</v>
      </c>
      <c r="E287" s="183" t="s">
        <v>10114</v>
      </c>
      <c r="F287" s="183" t="s">
        <v>117</v>
      </c>
      <c r="G287" s="132" t="s">
        <v>11103</v>
      </c>
      <c r="H287" s="115" t="s">
        <v>14330</v>
      </c>
      <c r="I287" s="115"/>
      <c r="J287" s="187" t="s">
        <v>10118</v>
      </c>
      <c r="K287" s="134" t="s">
        <v>11104</v>
      </c>
      <c r="L287" s="116" t="s">
        <v>11105</v>
      </c>
      <c r="M287" s="116" t="s">
        <v>11106</v>
      </c>
    </row>
    <row r="288" spans="1:13" ht="14.25" customHeight="1">
      <c r="A288" s="116">
        <v>6</v>
      </c>
      <c r="B288" s="116"/>
      <c r="C288" s="183" t="s">
        <v>14331</v>
      </c>
      <c r="D288" s="115" t="s">
        <v>14332</v>
      </c>
      <c r="E288" s="183" t="s">
        <v>14333</v>
      </c>
      <c r="F288" s="183" t="s">
        <v>65</v>
      </c>
      <c r="G288" s="132" t="s">
        <v>14334</v>
      </c>
      <c r="H288" s="115" t="s">
        <v>14335</v>
      </c>
      <c r="I288" s="115"/>
      <c r="J288" s="116" t="s">
        <v>14336</v>
      </c>
      <c r="K288" s="134" t="s">
        <v>14337</v>
      </c>
      <c r="L288" s="132" t="s">
        <v>14338</v>
      </c>
      <c r="M288" s="116" t="s">
        <v>14339</v>
      </c>
    </row>
    <row r="289" spans="1:13" ht="14.25" customHeight="1">
      <c r="A289" s="116">
        <v>7</v>
      </c>
      <c r="B289" s="116"/>
      <c r="C289" s="186" t="s">
        <v>14340</v>
      </c>
      <c r="D289" s="134" t="s">
        <v>14341</v>
      </c>
      <c r="E289" s="186" t="s">
        <v>14342</v>
      </c>
      <c r="F289" s="186" t="s">
        <v>117</v>
      </c>
      <c r="G289" s="132" t="s">
        <v>14343</v>
      </c>
      <c r="H289" s="134" t="s">
        <v>14344</v>
      </c>
      <c r="I289" s="134"/>
      <c r="J289" s="134" t="s">
        <v>14345</v>
      </c>
      <c r="K289" s="134" t="s">
        <v>14346</v>
      </c>
      <c r="L289" s="116" t="s">
        <v>14347</v>
      </c>
      <c r="M289" s="116" t="s">
        <v>14348</v>
      </c>
    </row>
    <row r="290" spans="1:13" ht="14.25" customHeight="1">
      <c r="A290" s="116">
        <v>8</v>
      </c>
      <c r="B290" s="116"/>
      <c r="C290" s="183" t="s">
        <v>14349</v>
      </c>
      <c r="D290" s="116" t="s">
        <v>14350</v>
      </c>
      <c r="E290" s="183" t="s">
        <v>14351</v>
      </c>
      <c r="F290" s="183" t="s">
        <v>65</v>
      </c>
      <c r="G290" s="132" t="s">
        <v>14352</v>
      </c>
      <c r="H290" s="116" t="s">
        <v>14353</v>
      </c>
      <c r="I290" s="116"/>
      <c r="J290" s="115" t="s">
        <v>14354</v>
      </c>
      <c r="K290" s="134" t="s">
        <v>14355</v>
      </c>
      <c r="L290" s="116" t="s">
        <v>14356</v>
      </c>
      <c r="M290" s="116" t="s">
        <v>14357</v>
      </c>
    </row>
    <row r="291" spans="1:13" ht="14.25" customHeight="1">
      <c r="A291" s="116">
        <v>9</v>
      </c>
      <c r="B291" s="116"/>
      <c r="C291" s="183" t="s">
        <v>14358</v>
      </c>
      <c r="D291" s="115" t="s">
        <v>14359</v>
      </c>
      <c r="E291" s="183" t="s">
        <v>14360</v>
      </c>
      <c r="F291" s="183" t="s">
        <v>563</v>
      </c>
      <c r="G291" s="132" t="s">
        <v>14361</v>
      </c>
      <c r="H291" s="115" t="s">
        <v>14362</v>
      </c>
      <c r="I291" s="115"/>
      <c r="J291" s="115" t="s">
        <v>14363</v>
      </c>
      <c r="K291" s="134" t="s">
        <v>14364</v>
      </c>
      <c r="L291" s="116" t="s">
        <v>14365</v>
      </c>
      <c r="M291" s="116" t="s">
        <v>14366</v>
      </c>
    </row>
    <row r="292" spans="1:13" ht="14.25" customHeight="1">
      <c r="A292" s="116">
        <v>10</v>
      </c>
      <c r="B292" s="116"/>
      <c r="C292" s="183" t="s">
        <v>14367</v>
      </c>
      <c r="D292" s="187" t="s">
        <v>14368</v>
      </c>
      <c r="E292" s="183" t="s">
        <v>14369</v>
      </c>
      <c r="F292" s="183" t="s">
        <v>65</v>
      </c>
      <c r="G292" s="132" t="s">
        <v>14370</v>
      </c>
      <c r="H292" s="187" t="s">
        <v>14371</v>
      </c>
      <c r="I292" s="187"/>
      <c r="J292" s="116" t="s">
        <v>14372</v>
      </c>
      <c r="K292" s="134" t="s">
        <v>14373</v>
      </c>
      <c r="L292" s="132" t="s">
        <v>14374</v>
      </c>
      <c r="M292" s="116" t="s">
        <v>14375</v>
      </c>
    </row>
    <row r="293" spans="1:13" ht="14.25" customHeight="1">
      <c r="A293" s="116">
        <v>11</v>
      </c>
      <c r="B293" s="116"/>
      <c r="C293" s="186" t="s">
        <v>14376</v>
      </c>
      <c r="D293" s="134" t="s">
        <v>14377</v>
      </c>
      <c r="E293" s="186" t="s">
        <v>14378</v>
      </c>
      <c r="F293" s="186" t="s">
        <v>117</v>
      </c>
      <c r="G293" s="132" t="s">
        <v>14379</v>
      </c>
      <c r="H293" s="134" t="s">
        <v>14380</v>
      </c>
      <c r="I293" s="134"/>
      <c r="J293" s="134" t="s">
        <v>14381</v>
      </c>
      <c r="K293" s="134" t="s">
        <v>14382</v>
      </c>
      <c r="L293" s="116" t="s">
        <v>14383</v>
      </c>
      <c r="M293" s="116" t="s">
        <v>14384</v>
      </c>
    </row>
    <row r="294" spans="1:13" ht="14.25" customHeight="1">
      <c r="A294" s="116">
        <v>12</v>
      </c>
      <c r="B294" s="116"/>
      <c r="C294" s="183" t="s">
        <v>9215</v>
      </c>
      <c r="D294" s="115" t="s">
        <v>9216</v>
      </c>
      <c r="E294" s="183" t="s">
        <v>9217</v>
      </c>
      <c r="F294" s="183" t="s">
        <v>664</v>
      </c>
      <c r="G294" s="132" t="s">
        <v>5353</v>
      </c>
      <c r="H294" s="115" t="s">
        <v>14385</v>
      </c>
      <c r="I294" s="115"/>
      <c r="J294" s="115" t="s">
        <v>9220</v>
      </c>
      <c r="K294" s="134" t="s">
        <v>10982</v>
      </c>
      <c r="L294" s="116" t="s">
        <v>10983</v>
      </c>
      <c r="M294" s="116" t="s">
        <v>10984</v>
      </c>
    </row>
    <row r="295" spans="1:13" ht="14.25" customHeight="1">
      <c r="A295" s="116">
        <v>13</v>
      </c>
      <c r="B295" s="116"/>
      <c r="C295" s="183" t="s">
        <v>14386</v>
      </c>
      <c r="D295" s="187" t="s">
        <v>14387</v>
      </c>
      <c r="E295" s="183" t="s">
        <v>14388</v>
      </c>
      <c r="F295" s="183" t="s">
        <v>65</v>
      </c>
      <c r="G295" s="132" t="s">
        <v>14389</v>
      </c>
      <c r="H295" s="187" t="s">
        <v>14390</v>
      </c>
      <c r="I295" s="187"/>
      <c r="J295" s="187" t="s">
        <v>14391</v>
      </c>
      <c r="K295" s="134" t="s">
        <v>14392</v>
      </c>
      <c r="L295" s="116" t="s">
        <v>14393</v>
      </c>
      <c r="M295" s="116" t="s">
        <v>14394</v>
      </c>
    </row>
    <row r="296" spans="1:13" ht="14.25" customHeight="1">
      <c r="A296" s="116">
        <v>14</v>
      </c>
      <c r="B296" s="116"/>
      <c r="C296" s="183" t="s">
        <v>14395</v>
      </c>
      <c r="D296" s="115" t="s">
        <v>14396</v>
      </c>
      <c r="E296" s="183" t="s">
        <v>14397</v>
      </c>
      <c r="F296" s="183" t="s">
        <v>219</v>
      </c>
      <c r="G296" s="132" t="s">
        <v>14398</v>
      </c>
      <c r="H296" s="115" t="s">
        <v>14399</v>
      </c>
      <c r="I296" s="115"/>
      <c r="J296" s="115" t="s">
        <v>14400</v>
      </c>
      <c r="K296" s="134" t="s">
        <v>14401</v>
      </c>
      <c r="L296" s="116" t="s">
        <v>14402</v>
      </c>
      <c r="M296" s="116" t="s">
        <v>14403</v>
      </c>
    </row>
    <row r="297" spans="1:13" ht="14.25" customHeight="1">
      <c r="A297" s="116">
        <v>15</v>
      </c>
      <c r="B297" s="116"/>
      <c r="C297" s="183" t="s">
        <v>14404</v>
      </c>
      <c r="D297" s="187" t="s">
        <v>14405</v>
      </c>
      <c r="E297" s="183" t="s">
        <v>14406</v>
      </c>
      <c r="F297" s="183" t="s">
        <v>54</v>
      </c>
      <c r="G297" s="132" t="s">
        <v>14407</v>
      </c>
      <c r="H297" s="187" t="s">
        <v>14408</v>
      </c>
      <c r="I297" s="187"/>
      <c r="J297" s="187" t="s">
        <v>14409</v>
      </c>
      <c r="K297" s="134" t="s">
        <v>14410</v>
      </c>
      <c r="L297" s="116" t="s">
        <v>14411</v>
      </c>
      <c r="M297" s="116" t="s">
        <v>14412</v>
      </c>
    </row>
    <row r="298" spans="1:13" ht="14.25" customHeight="1">
      <c r="A298" s="116">
        <v>16</v>
      </c>
      <c r="B298" s="116"/>
      <c r="C298" s="183" t="s">
        <v>14413</v>
      </c>
      <c r="D298" s="115" t="s">
        <v>14414</v>
      </c>
      <c r="E298" s="183" t="s">
        <v>14415</v>
      </c>
      <c r="F298" s="183" t="s">
        <v>65</v>
      </c>
      <c r="G298" s="135" t="s">
        <v>14416</v>
      </c>
      <c r="H298" s="115" t="s">
        <v>14417</v>
      </c>
      <c r="I298" s="115"/>
      <c r="J298" s="116" t="s">
        <v>14418</v>
      </c>
      <c r="K298" s="134" t="s">
        <v>14419</v>
      </c>
      <c r="L298" s="116" t="s">
        <v>14420</v>
      </c>
      <c r="M298" s="116" t="s">
        <v>14421</v>
      </c>
    </row>
    <row r="299" spans="1:13" ht="14.25" customHeight="1">
      <c r="A299" s="116">
        <v>17</v>
      </c>
      <c r="B299" s="116"/>
      <c r="C299" s="186" t="s">
        <v>14422</v>
      </c>
      <c r="D299" s="134" t="s">
        <v>14423</v>
      </c>
      <c r="E299" s="26" t="s">
        <v>14424</v>
      </c>
      <c r="F299" s="26" t="s">
        <v>117</v>
      </c>
      <c r="G299" s="132" t="s">
        <v>14425</v>
      </c>
      <c r="H299" s="134" t="s">
        <v>14426</v>
      </c>
      <c r="I299" s="134"/>
      <c r="J299" s="134" t="s">
        <v>14427</v>
      </c>
      <c r="K299" s="134" t="s">
        <v>14428</v>
      </c>
      <c r="L299" s="116" t="s">
        <v>14429</v>
      </c>
      <c r="M299" s="116" t="s">
        <v>14430</v>
      </c>
    </row>
    <row r="300" spans="1:13" ht="14.25" customHeight="1">
      <c r="A300" s="116">
        <v>18</v>
      </c>
      <c r="B300" s="116"/>
      <c r="C300" s="186" t="s">
        <v>14431</v>
      </c>
      <c r="D300" s="115" t="s">
        <v>14432</v>
      </c>
      <c r="E300" s="26" t="s">
        <v>14433</v>
      </c>
      <c r="F300" s="26" t="s">
        <v>501</v>
      </c>
      <c r="G300" s="132" t="s">
        <v>14434</v>
      </c>
      <c r="H300" s="115" t="s">
        <v>14435</v>
      </c>
      <c r="I300" s="115"/>
      <c r="J300" s="115" t="s">
        <v>14436</v>
      </c>
      <c r="K300" s="134" t="s">
        <v>14437</v>
      </c>
      <c r="L300" s="116" t="s">
        <v>14438</v>
      </c>
      <c r="M300" s="132" t="s">
        <v>14439</v>
      </c>
    </row>
    <row r="301" spans="1:13" ht="14.25" customHeight="1">
      <c r="A301" s="116">
        <v>19</v>
      </c>
      <c r="B301" s="116"/>
      <c r="C301" s="186" t="s">
        <v>7607</v>
      </c>
      <c r="D301" s="115" t="s">
        <v>7608</v>
      </c>
      <c r="E301" s="26" t="s">
        <v>7609</v>
      </c>
      <c r="F301" s="26" t="s">
        <v>65</v>
      </c>
      <c r="G301" s="132" t="s">
        <v>10809</v>
      </c>
      <c r="H301" s="115" t="s">
        <v>14440</v>
      </c>
      <c r="I301" s="115"/>
      <c r="J301" s="116" t="s">
        <v>7613</v>
      </c>
      <c r="K301" s="134" t="s">
        <v>10810</v>
      </c>
      <c r="L301" s="116" t="s">
        <v>10811</v>
      </c>
      <c r="M301" s="116" t="s">
        <v>10812</v>
      </c>
    </row>
    <row r="302" spans="1:13" ht="14.25" customHeight="1">
      <c r="A302" s="116">
        <v>20</v>
      </c>
      <c r="B302" s="116"/>
      <c r="C302" s="183" t="s">
        <v>14441</v>
      </c>
      <c r="D302" s="187" t="s">
        <v>14442</v>
      </c>
      <c r="E302" s="183" t="s">
        <v>14443</v>
      </c>
      <c r="F302" s="183" t="s">
        <v>117</v>
      </c>
      <c r="G302" s="135" t="s">
        <v>14444</v>
      </c>
      <c r="H302" s="187" t="s">
        <v>14445</v>
      </c>
      <c r="I302" s="187"/>
      <c r="J302" s="116" t="s">
        <v>14446</v>
      </c>
      <c r="K302" s="134" t="s">
        <v>14447</v>
      </c>
      <c r="L302" s="116" t="s">
        <v>14448</v>
      </c>
      <c r="M302" s="116" t="s">
        <v>14449</v>
      </c>
    </row>
    <row r="303" spans="1:13" ht="14.25" customHeight="1">
      <c r="A303" s="116">
        <v>21</v>
      </c>
      <c r="B303" s="116"/>
      <c r="C303" s="186" t="s">
        <v>14450</v>
      </c>
      <c r="D303" s="115" t="s">
        <v>14451</v>
      </c>
      <c r="E303" s="26" t="s">
        <v>14452</v>
      </c>
      <c r="F303" s="183" t="s">
        <v>117</v>
      </c>
      <c r="G303" s="132" t="s">
        <v>14453</v>
      </c>
      <c r="H303" s="115" t="s">
        <v>14454</v>
      </c>
      <c r="I303" s="115"/>
      <c r="J303" s="115" t="s">
        <v>14455</v>
      </c>
      <c r="K303" s="134" t="s">
        <v>14456</v>
      </c>
      <c r="L303" s="116" t="s">
        <v>14457</v>
      </c>
      <c r="M303" s="116" t="s">
        <v>14458</v>
      </c>
    </row>
    <row r="304" spans="1:13" ht="14.25" customHeight="1">
      <c r="A304" s="116">
        <v>22</v>
      </c>
      <c r="B304" s="116"/>
      <c r="C304" s="183" t="s">
        <v>14459</v>
      </c>
      <c r="D304" s="115" t="s">
        <v>14460</v>
      </c>
      <c r="E304" s="183" t="s">
        <v>14461</v>
      </c>
      <c r="F304" s="183" t="s">
        <v>117</v>
      </c>
      <c r="G304" s="132" t="s">
        <v>14462</v>
      </c>
      <c r="H304" s="115" t="s">
        <v>14463</v>
      </c>
      <c r="I304" s="115"/>
      <c r="J304" s="115" t="s">
        <v>14464</v>
      </c>
      <c r="K304" s="134" t="s">
        <v>14465</v>
      </c>
      <c r="L304" s="116" t="s">
        <v>14466</v>
      </c>
      <c r="M304" s="116" t="s">
        <v>14467</v>
      </c>
    </row>
    <row r="305" spans="1:13" ht="14.25" customHeight="1">
      <c r="A305" s="116">
        <v>23</v>
      </c>
      <c r="B305" s="116"/>
      <c r="C305" s="183" t="s">
        <v>14468</v>
      </c>
      <c r="D305" s="116" t="s">
        <v>14469</v>
      </c>
      <c r="E305" s="183" t="s">
        <v>14470</v>
      </c>
      <c r="F305" s="183" t="s">
        <v>117</v>
      </c>
      <c r="G305" s="132" t="s">
        <v>14471</v>
      </c>
      <c r="H305" s="116" t="s">
        <v>14472</v>
      </c>
      <c r="I305" s="116"/>
      <c r="J305" s="115" t="s">
        <v>14473</v>
      </c>
      <c r="K305" s="134" t="s">
        <v>14474</v>
      </c>
      <c r="L305" s="116" t="s">
        <v>14475</v>
      </c>
      <c r="M305" s="116" t="s">
        <v>14476</v>
      </c>
    </row>
    <row r="306" spans="1:13" ht="14.25" customHeight="1">
      <c r="A306" s="116">
        <v>24</v>
      </c>
      <c r="B306" s="116"/>
      <c r="C306" s="183" t="s">
        <v>14477</v>
      </c>
      <c r="D306" s="115" t="s">
        <v>14478</v>
      </c>
      <c r="E306" s="183" t="s">
        <v>14479</v>
      </c>
      <c r="F306" s="183" t="s">
        <v>117</v>
      </c>
      <c r="G306" s="132" t="s">
        <v>14480</v>
      </c>
      <c r="H306" s="115" t="s">
        <v>14481</v>
      </c>
      <c r="I306" s="115"/>
      <c r="J306" s="115" t="s">
        <v>14482</v>
      </c>
      <c r="K306" s="134" t="s">
        <v>14483</v>
      </c>
      <c r="L306" s="116" t="s">
        <v>14484</v>
      </c>
      <c r="M306" s="116" t="s">
        <v>14485</v>
      </c>
    </row>
    <row r="307" spans="1:13" ht="14.25" customHeight="1">
      <c r="A307" s="116">
        <v>25</v>
      </c>
      <c r="B307" s="116"/>
      <c r="C307" s="183" t="s">
        <v>14486</v>
      </c>
      <c r="D307" s="115" t="s">
        <v>14487</v>
      </c>
      <c r="E307" s="183" t="s">
        <v>8010</v>
      </c>
      <c r="F307" s="183" t="s">
        <v>65</v>
      </c>
      <c r="G307" s="132" t="s">
        <v>14488</v>
      </c>
      <c r="H307" s="115" t="s">
        <v>14489</v>
      </c>
      <c r="I307" s="115"/>
      <c r="J307" s="115" t="s">
        <v>14490</v>
      </c>
      <c r="K307" s="134" t="s">
        <v>14491</v>
      </c>
      <c r="L307" s="116" t="s">
        <v>14492</v>
      </c>
      <c r="M307" s="116" t="s">
        <v>14493</v>
      </c>
    </row>
    <row r="308" spans="1:13" ht="14.25" customHeight="1">
      <c r="A308" s="116">
        <v>26</v>
      </c>
      <c r="B308" s="116"/>
      <c r="C308" s="183" t="s">
        <v>14494</v>
      </c>
      <c r="D308" s="115" t="s">
        <v>14495</v>
      </c>
      <c r="E308" s="183" t="s">
        <v>14496</v>
      </c>
      <c r="F308" s="183" t="s">
        <v>54</v>
      </c>
      <c r="G308" s="132" t="s">
        <v>14497</v>
      </c>
      <c r="H308" s="115" t="s">
        <v>14498</v>
      </c>
      <c r="I308" s="115"/>
      <c r="J308" s="115" t="s">
        <v>14499</v>
      </c>
      <c r="K308" s="134" t="s">
        <v>14500</v>
      </c>
      <c r="L308" s="132" t="s">
        <v>14501</v>
      </c>
      <c r="M308" s="116" t="s">
        <v>14502</v>
      </c>
    </row>
    <row r="309" spans="1:13" ht="14.25" customHeight="1">
      <c r="A309" s="116">
        <v>27</v>
      </c>
      <c r="B309" s="116"/>
      <c r="C309" s="183" t="s">
        <v>14503</v>
      </c>
      <c r="D309" s="115" t="s">
        <v>14504</v>
      </c>
      <c r="E309" s="183" t="s">
        <v>14505</v>
      </c>
      <c r="F309" s="183" t="s">
        <v>885</v>
      </c>
      <c r="G309" s="132" t="s">
        <v>14506</v>
      </c>
      <c r="H309" s="115" t="s">
        <v>14507</v>
      </c>
      <c r="I309" s="115"/>
      <c r="J309" s="115" t="s">
        <v>14508</v>
      </c>
      <c r="K309" s="134" t="s">
        <v>14509</v>
      </c>
      <c r="L309" s="116" t="s">
        <v>14510</v>
      </c>
      <c r="M309" s="116" t="s">
        <v>14511</v>
      </c>
    </row>
    <row r="310" spans="1:13" ht="14.25" customHeight="1">
      <c r="A310" s="116">
        <v>28</v>
      </c>
      <c r="B310" s="116"/>
      <c r="C310" s="183" t="s">
        <v>14512</v>
      </c>
      <c r="D310" s="115" t="s">
        <v>14513</v>
      </c>
      <c r="E310" s="183" t="s">
        <v>14514</v>
      </c>
      <c r="F310" s="183" t="s">
        <v>65</v>
      </c>
      <c r="G310" s="132" t="s">
        <v>14515</v>
      </c>
      <c r="H310" s="115" t="s">
        <v>14516</v>
      </c>
      <c r="I310" s="115"/>
      <c r="J310" s="115" t="s">
        <v>14517</v>
      </c>
      <c r="K310" s="134" t="s">
        <v>14518</v>
      </c>
      <c r="L310" s="116" t="s">
        <v>14519</v>
      </c>
      <c r="M310" s="116" t="s">
        <v>14520</v>
      </c>
    </row>
    <row r="311" spans="1:13" ht="14.25" customHeight="1">
      <c r="A311" s="116">
        <v>29</v>
      </c>
      <c r="B311" s="116"/>
      <c r="C311" s="183" t="s">
        <v>14521</v>
      </c>
      <c r="D311" s="115" t="s">
        <v>14522</v>
      </c>
      <c r="E311" s="183" t="s">
        <v>14523</v>
      </c>
      <c r="F311" s="183" t="s">
        <v>54</v>
      </c>
      <c r="G311" s="132" t="s">
        <v>14524</v>
      </c>
      <c r="H311" s="115" t="s">
        <v>14525</v>
      </c>
      <c r="I311" s="115"/>
      <c r="J311" s="115" t="s">
        <v>14526</v>
      </c>
      <c r="K311" s="134" t="s">
        <v>14527</v>
      </c>
      <c r="L311" s="116" t="s">
        <v>14528</v>
      </c>
      <c r="M311" s="116" t="s">
        <v>14529</v>
      </c>
    </row>
    <row r="312" spans="1:13" ht="14.25" customHeight="1">
      <c r="A312" s="116">
        <v>30</v>
      </c>
      <c r="B312" s="116"/>
      <c r="C312" s="186" t="s">
        <v>14530</v>
      </c>
      <c r="D312" s="134" t="s">
        <v>14531</v>
      </c>
      <c r="E312" s="186" t="s">
        <v>14532</v>
      </c>
      <c r="F312" s="186" t="s">
        <v>219</v>
      </c>
      <c r="G312" s="132" t="s">
        <v>14533</v>
      </c>
      <c r="H312" s="134" t="s">
        <v>14534</v>
      </c>
      <c r="I312" s="134"/>
      <c r="J312" s="134" t="s">
        <v>14535</v>
      </c>
      <c r="K312" s="134" t="s">
        <v>14536</v>
      </c>
      <c r="L312" s="116" t="s">
        <v>14537</v>
      </c>
      <c r="M312" s="116" t="s">
        <v>14538</v>
      </c>
    </row>
    <row r="313" spans="1:13" ht="14.25" customHeight="1">
      <c r="A313" s="116">
        <v>31</v>
      </c>
      <c r="B313" s="116"/>
      <c r="C313" s="186" t="s">
        <v>6235</v>
      </c>
      <c r="D313" s="116" t="s">
        <v>6236</v>
      </c>
      <c r="E313" s="186" t="s">
        <v>6237</v>
      </c>
      <c r="F313" s="186" t="s">
        <v>65</v>
      </c>
      <c r="G313" s="132" t="s">
        <v>10692</v>
      </c>
      <c r="H313" s="116" t="s">
        <v>14539</v>
      </c>
      <c r="I313" s="116"/>
      <c r="J313" s="116" t="s">
        <v>6241</v>
      </c>
      <c r="K313" s="134" t="s">
        <v>10693</v>
      </c>
      <c r="L313" s="116" t="s">
        <v>10694</v>
      </c>
      <c r="M313" s="132" t="s">
        <v>10695</v>
      </c>
    </row>
    <row r="314" spans="1:13" ht="14.25" customHeight="1">
      <c r="A314" s="116">
        <v>32</v>
      </c>
      <c r="B314" s="116"/>
      <c r="C314" s="183" t="s">
        <v>14540</v>
      </c>
      <c r="D314" s="116" t="s">
        <v>14541</v>
      </c>
      <c r="E314" s="183" t="s">
        <v>14542</v>
      </c>
      <c r="F314" s="183" t="s">
        <v>65</v>
      </c>
      <c r="G314" s="116" t="s">
        <v>14543</v>
      </c>
      <c r="H314" s="116" t="s">
        <v>14544</v>
      </c>
      <c r="I314" s="116"/>
      <c r="J314" s="115" t="s">
        <v>14545</v>
      </c>
      <c r="K314" s="134" t="s">
        <v>14546</v>
      </c>
      <c r="L314" s="116" t="s">
        <v>14547</v>
      </c>
      <c r="M314" s="116" t="s">
        <v>14548</v>
      </c>
    </row>
    <row r="315" spans="1:13" ht="14.25" customHeight="1">
      <c r="A315" s="116">
        <v>33</v>
      </c>
      <c r="B315" s="116"/>
      <c r="C315" s="186" t="s">
        <v>14549</v>
      </c>
      <c r="D315" s="115" t="s">
        <v>14550</v>
      </c>
      <c r="E315" s="186" t="s">
        <v>14551</v>
      </c>
      <c r="F315" s="186" t="s">
        <v>65</v>
      </c>
      <c r="G315" s="116" t="s">
        <v>14552</v>
      </c>
      <c r="H315" s="115" t="s">
        <v>14553</v>
      </c>
      <c r="I315" s="115"/>
      <c r="J315" s="116" t="s">
        <v>14554</v>
      </c>
      <c r="K315" s="134" t="s">
        <v>14555</v>
      </c>
      <c r="L315" s="116" t="s">
        <v>14556</v>
      </c>
      <c r="M315" s="116" t="s">
        <v>14557</v>
      </c>
    </row>
    <row r="316" spans="1:13" ht="14.25" customHeight="1">
      <c r="A316" s="116">
        <v>34</v>
      </c>
      <c r="B316" s="116"/>
      <c r="C316" s="183" t="s">
        <v>14558</v>
      </c>
      <c r="D316" s="116" t="s">
        <v>14559</v>
      </c>
      <c r="E316" s="183" t="s">
        <v>14560</v>
      </c>
      <c r="F316" s="183" t="s">
        <v>65</v>
      </c>
      <c r="G316" s="116" t="s">
        <v>14561</v>
      </c>
      <c r="H316" s="116" t="s">
        <v>14562</v>
      </c>
      <c r="I316" s="116"/>
      <c r="J316" s="116" t="s">
        <v>14563</v>
      </c>
      <c r="K316" s="134" t="s">
        <v>14564</v>
      </c>
      <c r="L316" s="132" t="s">
        <v>14565</v>
      </c>
      <c r="M316" s="116" t="s">
        <v>14566</v>
      </c>
    </row>
    <row r="317" spans="1:13" ht="14.25" customHeight="1">
      <c r="A317" s="178">
        <v>1</v>
      </c>
      <c r="B317" s="178"/>
      <c r="C317" s="179" t="s">
        <v>9784</v>
      </c>
      <c r="D317" s="180" t="s">
        <v>9785</v>
      </c>
      <c r="E317" s="179" t="s">
        <v>9786</v>
      </c>
      <c r="F317" s="179" t="s">
        <v>117</v>
      </c>
      <c r="G317" s="178" t="s">
        <v>11041</v>
      </c>
      <c r="H317" s="180" t="s">
        <v>14567</v>
      </c>
      <c r="I317" s="180"/>
      <c r="J317" s="180" t="s">
        <v>9790</v>
      </c>
      <c r="K317" s="180" t="s">
        <v>11042</v>
      </c>
      <c r="L317" s="178" t="s">
        <v>11043</v>
      </c>
      <c r="M317" s="178" t="s">
        <v>11044</v>
      </c>
    </row>
    <row r="318" spans="1:13" ht="14.25" customHeight="1">
      <c r="A318" s="116">
        <v>2</v>
      </c>
      <c r="B318" s="116"/>
      <c r="C318" s="183" t="s">
        <v>14568</v>
      </c>
      <c r="D318" s="115" t="s">
        <v>14569</v>
      </c>
      <c r="E318" s="183" t="s">
        <v>14570</v>
      </c>
      <c r="F318" s="183" t="s">
        <v>664</v>
      </c>
      <c r="G318" s="132" t="s">
        <v>14571</v>
      </c>
      <c r="H318" s="115" t="s">
        <v>14572</v>
      </c>
      <c r="I318" s="115"/>
      <c r="J318" s="115" t="s">
        <v>14573</v>
      </c>
      <c r="K318" s="134" t="s">
        <v>14574</v>
      </c>
      <c r="L318" s="116" t="s">
        <v>14575</v>
      </c>
      <c r="M318" s="116" t="s">
        <v>14576</v>
      </c>
    </row>
    <row r="319" spans="1:13" ht="14.25" customHeight="1">
      <c r="A319" s="116">
        <v>3</v>
      </c>
      <c r="B319" s="116"/>
      <c r="C319" s="183" t="s">
        <v>14577</v>
      </c>
      <c r="D319" s="187" t="s">
        <v>14578</v>
      </c>
      <c r="E319" s="183" t="s">
        <v>14579</v>
      </c>
      <c r="F319" s="183" t="s">
        <v>65</v>
      </c>
      <c r="G319" s="132" t="s">
        <v>14580</v>
      </c>
      <c r="H319" s="187" t="s">
        <v>14581</v>
      </c>
      <c r="I319" s="187"/>
      <c r="J319" s="116" t="s">
        <v>14582</v>
      </c>
      <c r="K319" s="134" t="s">
        <v>14583</v>
      </c>
      <c r="L319" s="116" t="s">
        <v>14584</v>
      </c>
      <c r="M319" s="116" t="s">
        <v>14585</v>
      </c>
    </row>
    <row r="320" spans="1:13" ht="14.25" customHeight="1">
      <c r="A320" s="132">
        <v>4</v>
      </c>
      <c r="B320" s="132"/>
      <c r="C320" s="183" t="s">
        <v>3790</v>
      </c>
      <c r="D320" s="115" t="s">
        <v>3791</v>
      </c>
      <c r="E320" s="183" t="s">
        <v>3792</v>
      </c>
      <c r="F320" s="183" t="s">
        <v>320</v>
      </c>
      <c r="G320" s="132" t="s">
        <v>14586</v>
      </c>
      <c r="H320" s="115" t="s">
        <v>14587</v>
      </c>
      <c r="I320" s="115"/>
      <c r="J320" s="115" t="s">
        <v>14588</v>
      </c>
      <c r="K320" s="115" t="s">
        <v>14589</v>
      </c>
      <c r="L320" s="132" t="s">
        <v>14590</v>
      </c>
      <c r="M320" s="116" t="s">
        <v>14591</v>
      </c>
    </row>
    <row r="321" spans="1:13" ht="14.25" customHeight="1">
      <c r="A321" s="116">
        <v>5</v>
      </c>
      <c r="B321" s="116"/>
      <c r="C321" s="183" t="s">
        <v>7370</v>
      </c>
      <c r="D321" s="115" t="s">
        <v>7371</v>
      </c>
      <c r="E321" s="183" t="s">
        <v>1718</v>
      </c>
      <c r="F321" s="183" t="s">
        <v>54</v>
      </c>
      <c r="G321" s="132" t="s">
        <v>10778</v>
      </c>
      <c r="H321" s="115" t="s">
        <v>14592</v>
      </c>
      <c r="I321" s="115"/>
      <c r="J321" s="115" t="s">
        <v>7375</v>
      </c>
      <c r="K321" s="134" t="s">
        <v>10779</v>
      </c>
      <c r="L321" s="132" t="s">
        <v>10780</v>
      </c>
      <c r="M321" s="116" t="s">
        <v>10781</v>
      </c>
    </row>
    <row r="322" spans="1:13" ht="14.25" customHeight="1">
      <c r="A322" s="116">
        <v>6</v>
      </c>
      <c r="B322" s="116"/>
      <c r="C322" s="183" t="s">
        <v>10142</v>
      </c>
      <c r="D322" s="116" t="s">
        <v>10143</v>
      </c>
      <c r="E322" s="183" t="s">
        <v>10144</v>
      </c>
      <c r="F322" s="183" t="s">
        <v>117</v>
      </c>
      <c r="G322" s="132" t="s">
        <v>11112</v>
      </c>
      <c r="H322" s="116" t="s">
        <v>14593</v>
      </c>
      <c r="I322" s="116"/>
      <c r="J322" s="116" t="s">
        <v>10148</v>
      </c>
      <c r="K322" s="134" t="s">
        <v>11113</v>
      </c>
      <c r="L322" s="132" t="s">
        <v>11114</v>
      </c>
      <c r="M322" s="116" t="s">
        <v>11115</v>
      </c>
    </row>
    <row r="323" spans="1:13" ht="14.25" customHeight="1">
      <c r="A323" s="132">
        <v>7</v>
      </c>
      <c r="B323" s="132"/>
      <c r="C323" s="183" t="s">
        <v>14594</v>
      </c>
      <c r="D323" s="115" t="s">
        <v>14595</v>
      </c>
      <c r="E323" s="183" t="s">
        <v>14596</v>
      </c>
      <c r="F323" s="183" t="s">
        <v>54</v>
      </c>
      <c r="G323" s="132" t="s">
        <v>14597</v>
      </c>
      <c r="H323" s="115" t="s">
        <v>14598</v>
      </c>
      <c r="I323" s="115"/>
      <c r="J323" s="115" t="s">
        <v>14599</v>
      </c>
      <c r="K323" s="115" t="s">
        <v>14600</v>
      </c>
      <c r="L323" s="132" t="s">
        <v>14601</v>
      </c>
      <c r="M323" s="116" t="s">
        <v>14602</v>
      </c>
    </row>
    <row r="324" spans="1:13" ht="14.25" customHeight="1">
      <c r="A324" s="116">
        <v>8</v>
      </c>
      <c r="B324" s="116"/>
      <c r="C324" s="183" t="s">
        <v>14603</v>
      </c>
      <c r="D324" s="116" t="s">
        <v>14604</v>
      </c>
      <c r="E324" s="183" t="s">
        <v>14605</v>
      </c>
      <c r="F324" s="183" t="s">
        <v>54</v>
      </c>
      <c r="G324" s="132" t="s">
        <v>14606</v>
      </c>
      <c r="H324" s="116" t="s">
        <v>14607</v>
      </c>
      <c r="I324" s="116"/>
      <c r="J324" s="116" t="s">
        <v>14608</v>
      </c>
      <c r="K324" s="134" t="s">
        <v>14609</v>
      </c>
      <c r="L324" s="132" t="s">
        <v>14610</v>
      </c>
      <c r="M324" s="116" t="s">
        <v>14611</v>
      </c>
    </row>
    <row r="325" spans="1:13" ht="14.25" customHeight="1">
      <c r="A325" s="116">
        <v>9</v>
      </c>
      <c r="B325" s="116"/>
      <c r="C325" s="183" t="s">
        <v>14612</v>
      </c>
      <c r="D325" s="115" t="s">
        <v>14613</v>
      </c>
      <c r="E325" s="183" t="s">
        <v>14614</v>
      </c>
      <c r="F325" s="183" t="s">
        <v>219</v>
      </c>
      <c r="G325" s="135" t="s">
        <v>14615</v>
      </c>
      <c r="H325" s="115" t="s">
        <v>14616</v>
      </c>
      <c r="I325" s="115"/>
      <c r="J325" s="115" t="s">
        <v>14617</v>
      </c>
      <c r="K325" s="134" t="s">
        <v>14618</v>
      </c>
      <c r="L325" s="132" t="s">
        <v>14619</v>
      </c>
      <c r="M325" s="116" t="s">
        <v>14620</v>
      </c>
    </row>
    <row r="326" spans="1:13" ht="14.25" customHeight="1">
      <c r="A326" s="116">
        <v>10</v>
      </c>
      <c r="B326" s="116"/>
      <c r="C326" s="183" t="s">
        <v>14621</v>
      </c>
      <c r="D326" s="115" t="s">
        <v>14622</v>
      </c>
      <c r="E326" s="183" t="s">
        <v>14623</v>
      </c>
      <c r="F326" s="183" t="s">
        <v>664</v>
      </c>
      <c r="G326" s="135" t="s">
        <v>14624</v>
      </c>
      <c r="H326" s="115" t="s">
        <v>14625</v>
      </c>
      <c r="I326" s="115"/>
      <c r="J326" s="115" t="s">
        <v>14626</v>
      </c>
      <c r="K326" s="134" t="s">
        <v>14627</v>
      </c>
      <c r="L326" s="132" t="s">
        <v>14628</v>
      </c>
      <c r="M326" s="116" t="s">
        <v>14629</v>
      </c>
    </row>
    <row r="327" spans="1:13" ht="14.25" customHeight="1">
      <c r="A327" s="116">
        <v>11</v>
      </c>
      <c r="B327" s="116"/>
      <c r="C327" s="183" t="s">
        <v>14630</v>
      </c>
      <c r="D327" s="115" t="s">
        <v>14631</v>
      </c>
      <c r="E327" s="183" t="s">
        <v>14632</v>
      </c>
      <c r="F327" s="183" t="s">
        <v>65</v>
      </c>
      <c r="G327" s="132" t="s">
        <v>14633</v>
      </c>
      <c r="H327" s="115" t="s">
        <v>14634</v>
      </c>
      <c r="I327" s="115"/>
      <c r="J327" s="115" t="s">
        <v>14635</v>
      </c>
      <c r="K327" s="134" t="s">
        <v>14636</v>
      </c>
      <c r="L327" s="132" t="s">
        <v>14637</v>
      </c>
      <c r="M327" s="116" t="s">
        <v>14638</v>
      </c>
    </row>
    <row r="328" spans="1:13" ht="14.25" customHeight="1">
      <c r="A328" s="116">
        <v>12</v>
      </c>
      <c r="B328" s="116"/>
      <c r="C328" s="183" t="s">
        <v>14639</v>
      </c>
      <c r="D328" s="116" t="s">
        <v>14640</v>
      </c>
      <c r="E328" s="183" t="s">
        <v>14641</v>
      </c>
      <c r="F328" s="183" t="s">
        <v>65</v>
      </c>
      <c r="G328" s="132" t="s">
        <v>14642</v>
      </c>
      <c r="H328" s="116" t="s">
        <v>14643</v>
      </c>
      <c r="I328" s="116"/>
      <c r="J328" s="115" t="s">
        <v>14644</v>
      </c>
      <c r="K328" s="134" t="s">
        <v>14645</v>
      </c>
      <c r="L328" s="132" t="s">
        <v>14646</v>
      </c>
      <c r="M328" s="116" t="s">
        <v>14647</v>
      </c>
    </row>
    <row r="329" spans="1:13" ht="14.25" customHeight="1">
      <c r="A329" s="116">
        <v>13</v>
      </c>
      <c r="B329" s="116"/>
      <c r="C329" s="195" t="s">
        <v>14648</v>
      </c>
      <c r="D329" s="115" t="s">
        <v>14649</v>
      </c>
      <c r="E329" s="26" t="s">
        <v>14650</v>
      </c>
      <c r="F329" s="26" t="s">
        <v>65</v>
      </c>
      <c r="G329" s="132" t="s">
        <v>14651</v>
      </c>
      <c r="H329" s="115" t="s">
        <v>14652</v>
      </c>
      <c r="I329" s="115"/>
      <c r="J329" s="115" t="s">
        <v>14653</v>
      </c>
      <c r="K329" s="134" t="s">
        <v>14654</v>
      </c>
      <c r="L329" s="132" t="s">
        <v>14655</v>
      </c>
      <c r="M329" s="116" t="s">
        <v>14656</v>
      </c>
    </row>
    <row r="330" spans="1:13" ht="14.25" customHeight="1">
      <c r="A330" s="116">
        <v>14</v>
      </c>
      <c r="B330" s="116"/>
      <c r="C330" s="183" t="s">
        <v>14657</v>
      </c>
      <c r="D330" s="115" t="s">
        <v>14658</v>
      </c>
      <c r="E330" s="183" t="s">
        <v>14659</v>
      </c>
      <c r="F330" s="183" t="s">
        <v>54</v>
      </c>
      <c r="G330" s="135" t="s">
        <v>14660</v>
      </c>
      <c r="H330" s="115" t="s">
        <v>14661</v>
      </c>
      <c r="I330" s="115"/>
      <c r="J330" s="115" t="s">
        <v>14662</v>
      </c>
      <c r="K330" s="134" t="s">
        <v>14663</v>
      </c>
      <c r="L330" s="132" t="s">
        <v>14664</v>
      </c>
      <c r="M330" s="116" t="s">
        <v>14665</v>
      </c>
    </row>
    <row r="331" spans="1:13" ht="14.25" customHeight="1">
      <c r="A331" s="116">
        <v>15</v>
      </c>
      <c r="B331" s="116"/>
      <c r="C331" s="183" t="s">
        <v>9833</v>
      </c>
      <c r="D331" s="115" t="s">
        <v>9834</v>
      </c>
      <c r="E331" s="183" t="s">
        <v>9835</v>
      </c>
      <c r="F331" s="183" t="s">
        <v>65</v>
      </c>
      <c r="G331" s="132" t="s">
        <v>11048</v>
      </c>
      <c r="H331" s="115" t="s">
        <v>14666</v>
      </c>
      <c r="I331" s="115"/>
      <c r="J331" s="115" t="s">
        <v>9839</v>
      </c>
      <c r="K331" s="134" t="s">
        <v>11049</v>
      </c>
      <c r="L331" s="132" t="s">
        <v>11050</v>
      </c>
      <c r="M331" s="116" t="s">
        <v>11051</v>
      </c>
    </row>
    <row r="332" spans="1:13" ht="14.25" customHeight="1">
      <c r="A332" s="116">
        <v>16</v>
      </c>
      <c r="B332" s="116"/>
      <c r="C332" s="183" t="s">
        <v>14667</v>
      </c>
      <c r="D332" s="116" t="s">
        <v>14668</v>
      </c>
      <c r="E332" s="183" t="s">
        <v>14669</v>
      </c>
      <c r="F332" s="183" t="s">
        <v>65</v>
      </c>
      <c r="G332" s="132" t="s">
        <v>14670</v>
      </c>
      <c r="H332" s="116" t="s">
        <v>14671</v>
      </c>
      <c r="I332" s="116"/>
      <c r="J332" s="116" t="s">
        <v>14672</v>
      </c>
      <c r="K332" s="134" t="s">
        <v>14673</v>
      </c>
      <c r="L332" s="132" t="s">
        <v>14674</v>
      </c>
      <c r="M332" s="116" t="s">
        <v>14675</v>
      </c>
    </row>
    <row r="333" spans="1:13" ht="14.25" customHeight="1">
      <c r="A333" s="116">
        <v>17</v>
      </c>
      <c r="B333" s="116"/>
      <c r="C333" s="183" t="s">
        <v>14676</v>
      </c>
      <c r="D333" s="116" t="s">
        <v>14677</v>
      </c>
      <c r="E333" s="183" t="s">
        <v>14678</v>
      </c>
      <c r="F333" s="183" t="s">
        <v>65</v>
      </c>
      <c r="G333" s="135" t="s">
        <v>14679</v>
      </c>
      <c r="H333" s="116" t="s">
        <v>14680</v>
      </c>
      <c r="I333" s="116"/>
      <c r="J333" s="115" t="s">
        <v>14681</v>
      </c>
      <c r="K333" s="134" t="s">
        <v>14682</v>
      </c>
      <c r="L333" s="132" t="s">
        <v>14683</v>
      </c>
      <c r="M333" s="116" t="s">
        <v>14684</v>
      </c>
    </row>
    <row r="334" spans="1:13" ht="14.25" customHeight="1">
      <c r="A334" s="116">
        <v>18</v>
      </c>
      <c r="B334" s="116"/>
      <c r="C334" s="183" t="s">
        <v>14685</v>
      </c>
      <c r="D334" s="116" t="s">
        <v>14686</v>
      </c>
      <c r="E334" s="183" t="s">
        <v>14687</v>
      </c>
      <c r="F334" s="183" t="s">
        <v>65</v>
      </c>
      <c r="G334" s="135" t="s">
        <v>14688</v>
      </c>
      <c r="H334" s="116" t="s">
        <v>14689</v>
      </c>
      <c r="I334" s="116"/>
      <c r="J334" s="116" t="s">
        <v>14690</v>
      </c>
      <c r="K334" s="134" t="s">
        <v>14691</v>
      </c>
      <c r="L334" s="132" t="s">
        <v>14692</v>
      </c>
      <c r="M334" s="132" t="s">
        <v>14693</v>
      </c>
    </row>
    <row r="335" spans="1:13" ht="14.25" customHeight="1">
      <c r="A335" s="116">
        <v>19</v>
      </c>
      <c r="B335" s="116"/>
      <c r="C335" s="195" t="s">
        <v>14694</v>
      </c>
      <c r="D335" s="116" t="s">
        <v>14695</v>
      </c>
      <c r="E335" s="26" t="s">
        <v>14696</v>
      </c>
      <c r="F335" s="26" t="s">
        <v>65</v>
      </c>
      <c r="G335" s="132" t="s">
        <v>14697</v>
      </c>
      <c r="H335" s="116" t="s">
        <v>14698</v>
      </c>
      <c r="I335" s="116"/>
      <c r="J335" s="116" t="s">
        <v>14699</v>
      </c>
      <c r="K335" s="134" t="s">
        <v>14700</v>
      </c>
      <c r="L335" s="132" t="s">
        <v>14701</v>
      </c>
      <c r="M335" s="116" t="s">
        <v>14702</v>
      </c>
    </row>
    <row r="336" spans="1:13" ht="14.25" customHeight="1">
      <c r="A336" s="116">
        <v>20</v>
      </c>
      <c r="B336" s="116"/>
      <c r="C336" s="183" t="s">
        <v>14703</v>
      </c>
      <c r="D336" s="116" t="s">
        <v>14704</v>
      </c>
      <c r="E336" s="183" t="s">
        <v>14705</v>
      </c>
      <c r="F336" s="183" t="s">
        <v>65</v>
      </c>
      <c r="G336" s="132" t="s">
        <v>14706</v>
      </c>
      <c r="H336" s="116" t="s">
        <v>14707</v>
      </c>
      <c r="I336" s="116"/>
      <c r="J336" s="116" t="s">
        <v>14708</v>
      </c>
      <c r="K336" s="134" t="s">
        <v>14709</v>
      </c>
      <c r="L336" s="132" t="s">
        <v>14710</v>
      </c>
      <c r="M336" s="116" t="s">
        <v>14711</v>
      </c>
    </row>
    <row r="337" spans="1:13" ht="14.25" customHeight="1">
      <c r="A337" s="116">
        <v>21</v>
      </c>
      <c r="B337" s="116"/>
      <c r="C337" s="183" t="s">
        <v>14712</v>
      </c>
      <c r="D337" s="115" t="s">
        <v>14713</v>
      </c>
      <c r="E337" s="183" t="s">
        <v>14714</v>
      </c>
      <c r="F337" s="183" t="s">
        <v>65</v>
      </c>
      <c r="G337" s="132" t="s">
        <v>14715</v>
      </c>
      <c r="H337" s="115" t="s">
        <v>14716</v>
      </c>
      <c r="I337" s="115"/>
      <c r="J337" s="116" t="s">
        <v>14717</v>
      </c>
      <c r="K337" s="134" t="s">
        <v>14718</v>
      </c>
      <c r="L337" s="132" t="s">
        <v>14719</v>
      </c>
      <c r="M337" s="116" t="s">
        <v>14720</v>
      </c>
    </row>
    <row r="338" spans="1:13" ht="14.25" customHeight="1">
      <c r="A338" s="116">
        <v>22</v>
      </c>
      <c r="B338" s="116"/>
      <c r="C338" s="186" t="s">
        <v>14721</v>
      </c>
      <c r="D338" s="116" t="s">
        <v>14722</v>
      </c>
      <c r="E338" s="186" t="s">
        <v>14723</v>
      </c>
      <c r="F338" s="186" t="s">
        <v>54</v>
      </c>
      <c r="G338" s="116" t="s">
        <v>14724</v>
      </c>
      <c r="H338" s="116" t="s">
        <v>14725</v>
      </c>
      <c r="I338" s="116"/>
      <c r="J338" s="115" t="s">
        <v>14726</v>
      </c>
      <c r="K338" s="134" t="s">
        <v>14727</v>
      </c>
      <c r="L338" s="132" t="s">
        <v>14728</v>
      </c>
      <c r="M338" s="116" t="s">
        <v>14729</v>
      </c>
    </row>
    <row r="339" spans="1:13" ht="14.25" customHeight="1">
      <c r="A339" s="116">
        <v>23</v>
      </c>
      <c r="B339" s="116"/>
      <c r="C339" s="195" t="s">
        <v>14730</v>
      </c>
      <c r="D339" s="116" t="s">
        <v>14731</v>
      </c>
      <c r="E339" s="26" t="s">
        <v>14732</v>
      </c>
      <c r="F339" s="26" t="s">
        <v>117</v>
      </c>
      <c r="G339" s="132" t="s">
        <v>14733</v>
      </c>
      <c r="H339" s="116" t="s">
        <v>14734</v>
      </c>
      <c r="I339" s="116"/>
      <c r="J339" s="116" t="s">
        <v>14735</v>
      </c>
      <c r="K339" s="134" t="s">
        <v>14736</v>
      </c>
      <c r="L339" s="132" t="s">
        <v>14737</v>
      </c>
      <c r="M339" s="116" t="s">
        <v>14738</v>
      </c>
    </row>
    <row r="340" spans="1:13" ht="14.25" customHeight="1">
      <c r="A340" s="116">
        <v>24</v>
      </c>
      <c r="B340" s="116"/>
      <c r="C340" s="183" t="s">
        <v>14739</v>
      </c>
      <c r="D340" s="116" t="s">
        <v>14740</v>
      </c>
      <c r="E340" s="183" t="s">
        <v>14741</v>
      </c>
      <c r="F340" s="183" t="s">
        <v>117</v>
      </c>
      <c r="G340" s="132" t="s">
        <v>14742</v>
      </c>
      <c r="H340" s="116" t="s">
        <v>14743</v>
      </c>
      <c r="I340" s="116"/>
      <c r="J340" s="115" t="s">
        <v>14744</v>
      </c>
      <c r="K340" s="134" t="s">
        <v>14745</v>
      </c>
      <c r="L340" s="132" t="s">
        <v>14746</v>
      </c>
      <c r="M340" s="116" t="s">
        <v>14747</v>
      </c>
    </row>
    <row r="341" spans="1:13" ht="14.25" customHeight="1">
      <c r="A341" s="116">
        <v>25</v>
      </c>
      <c r="B341" s="116"/>
      <c r="C341" s="183" t="s">
        <v>14748</v>
      </c>
      <c r="D341" s="115" t="s">
        <v>14749</v>
      </c>
      <c r="E341" s="186" t="s">
        <v>14750</v>
      </c>
      <c r="F341" s="183" t="s">
        <v>65</v>
      </c>
      <c r="G341" s="132" t="s">
        <v>14751</v>
      </c>
      <c r="H341" s="115" t="s">
        <v>14752</v>
      </c>
      <c r="I341" s="115"/>
      <c r="J341" s="115" t="s">
        <v>14753</v>
      </c>
      <c r="K341" s="134" t="s">
        <v>14754</v>
      </c>
      <c r="L341" s="132" t="s">
        <v>14755</v>
      </c>
      <c r="M341" s="116" t="s">
        <v>14756</v>
      </c>
    </row>
    <row r="342" spans="1:13" ht="14.25" customHeight="1">
      <c r="A342" s="116">
        <v>26</v>
      </c>
      <c r="B342" s="116"/>
      <c r="C342" s="183" t="s">
        <v>14757</v>
      </c>
      <c r="D342" s="115" t="s">
        <v>14758</v>
      </c>
      <c r="E342" s="183" t="s">
        <v>14759</v>
      </c>
      <c r="F342" s="183" t="s">
        <v>65</v>
      </c>
      <c r="G342" s="132" t="s">
        <v>14760</v>
      </c>
      <c r="H342" s="115" t="s">
        <v>14761</v>
      </c>
      <c r="I342" s="115"/>
      <c r="J342" s="115" t="s">
        <v>14762</v>
      </c>
      <c r="K342" s="134" t="s">
        <v>14763</v>
      </c>
      <c r="L342" s="132" t="s">
        <v>14764</v>
      </c>
      <c r="M342" s="116" t="s">
        <v>14765</v>
      </c>
    </row>
    <row r="343" spans="1:13" ht="14.25" customHeight="1">
      <c r="A343" s="116">
        <v>27</v>
      </c>
      <c r="B343" s="116"/>
      <c r="C343" s="195" t="s">
        <v>14766</v>
      </c>
      <c r="D343" s="115" t="s">
        <v>14767</v>
      </c>
      <c r="E343" s="26" t="s">
        <v>14768</v>
      </c>
      <c r="F343" s="26" t="s">
        <v>219</v>
      </c>
      <c r="G343" s="132" t="s">
        <v>14769</v>
      </c>
      <c r="H343" s="115" t="s">
        <v>14770</v>
      </c>
      <c r="I343" s="115"/>
      <c r="J343" s="116" t="s">
        <v>14771</v>
      </c>
      <c r="K343" s="134" t="s">
        <v>14772</v>
      </c>
      <c r="L343" s="132" t="s">
        <v>14773</v>
      </c>
      <c r="M343" s="116" t="s">
        <v>14774</v>
      </c>
    </row>
    <row r="344" spans="1:13" ht="14.25" customHeight="1">
      <c r="A344" s="116">
        <v>28</v>
      </c>
      <c r="B344" s="116"/>
      <c r="C344" s="195" t="s">
        <v>14775</v>
      </c>
      <c r="D344" s="116" t="s">
        <v>14776</v>
      </c>
      <c r="E344" s="26" t="s">
        <v>14777</v>
      </c>
      <c r="F344" s="26" t="s">
        <v>65</v>
      </c>
      <c r="G344" s="132" t="s">
        <v>14778</v>
      </c>
      <c r="H344" s="116" t="s">
        <v>14779</v>
      </c>
      <c r="I344" s="116"/>
      <c r="J344" s="115" t="s">
        <v>14780</v>
      </c>
      <c r="K344" s="134" t="s">
        <v>14781</v>
      </c>
      <c r="L344" s="132" t="s">
        <v>14782</v>
      </c>
      <c r="M344" s="116" t="s">
        <v>14783</v>
      </c>
    </row>
    <row r="345" spans="1:13" ht="14.25" customHeight="1">
      <c r="A345" s="116">
        <v>29</v>
      </c>
      <c r="B345" s="116"/>
      <c r="C345" s="195" t="s">
        <v>14784</v>
      </c>
      <c r="D345" s="115" t="s">
        <v>14785</v>
      </c>
      <c r="E345" s="26" t="s">
        <v>14786</v>
      </c>
      <c r="F345" s="26" t="s">
        <v>54</v>
      </c>
      <c r="G345" s="132" t="s">
        <v>14787</v>
      </c>
      <c r="H345" s="115" t="s">
        <v>14788</v>
      </c>
      <c r="I345" s="115"/>
      <c r="J345" s="115" t="s">
        <v>14789</v>
      </c>
      <c r="K345" s="134" t="s">
        <v>14790</v>
      </c>
      <c r="L345" s="132" t="s">
        <v>14791</v>
      </c>
      <c r="M345" s="116" t="s">
        <v>14792</v>
      </c>
    </row>
    <row r="346" spans="1:13" ht="14.25" customHeight="1">
      <c r="A346" s="116">
        <v>30</v>
      </c>
      <c r="B346" s="116"/>
      <c r="C346" s="195" t="s">
        <v>14793</v>
      </c>
      <c r="D346" s="115" t="s">
        <v>14794</v>
      </c>
      <c r="E346" s="26" t="s">
        <v>14795</v>
      </c>
      <c r="F346" s="26" t="s">
        <v>65</v>
      </c>
      <c r="G346" s="132" t="s">
        <v>14796</v>
      </c>
      <c r="H346" s="115" t="s">
        <v>14797</v>
      </c>
      <c r="I346" s="115"/>
      <c r="J346" s="115" t="s">
        <v>14798</v>
      </c>
      <c r="K346" s="134" t="s">
        <v>14799</v>
      </c>
      <c r="L346" s="132" t="s">
        <v>14800</v>
      </c>
      <c r="M346" s="116" t="s">
        <v>14801</v>
      </c>
    </row>
    <row r="347" spans="1:13" ht="14.25" customHeight="1">
      <c r="A347" s="178">
        <v>1</v>
      </c>
      <c r="B347" s="178"/>
      <c r="C347" s="196" t="s">
        <v>14802</v>
      </c>
      <c r="D347" s="178" t="s">
        <v>14803</v>
      </c>
      <c r="E347" s="182" t="s">
        <v>14804</v>
      </c>
      <c r="F347" s="182" t="s">
        <v>54</v>
      </c>
      <c r="G347" s="178" t="s">
        <v>14805</v>
      </c>
      <c r="H347" s="178" t="s">
        <v>14806</v>
      </c>
      <c r="I347" s="178"/>
      <c r="J347" s="178" t="s">
        <v>14807</v>
      </c>
      <c r="K347" s="180" t="s">
        <v>14808</v>
      </c>
      <c r="L347" s="197" t="s">
        <v>14809</v>
      </c>
      <c r="M347" s="178" t="s">
        <v>14810</v>
      </c>
    </row>
    <row r="348" spans="1:13" ht="14.25" customHeight="1">
      <c r="A348" s="116">
        <v>2</v>
      </c>
      <c r="B348" s="116"/>
      <c r="C348" s="195" t="s">
        <v>14811</v>
      </c>
      <c r="D348" s="116" t="s">
        <v>14812</v>
      </c>
      <c r="E348" s="61" t="s">
        <v>14813</v>
      </c>
      <c r="F348" s="61" t="s">
        <v>501</v>
      </c>
      <c r="G348" s="116" t="s">
        <v>14814</v>
      </c>
      <c r="H348" s="116" t="s">
        <v>14815</v>
      </c>
      <c r="I348" s="116"/>
      <c r="J348" s="116" t="s">
        <v>14816</v>
      </c>
      <c r="K348" s="134" t="s">
        <v>14817</v>
      </c>
      <c r="L348" s="28" t="s">
        <v>14818</v>
      </c>
      <c r="M348" s="116" t="s">
        <v>14819</v>
      </c>
    </row>
    <row r="349" spans="1:13" ht="14.25" customHeight="1">
      <c r="A349" s="116">
        <v>3</v>
      </c>
      <c r="B349" s="116"/>
      <c r="C349" s="195" t="s">
        <v>14820</v>
      </c>
      <c r="D349" s="116" t="s">
        <v>14821</v>
      </c>
      <c r="E349" s="61" t="s">
        <v>14822</v>
      </c>
      <c r="F349" s="61" t="s">
        <v>117</v>
      </c>
      <c r="G349" s="116" t="s">
        <v>14823</v>
      </c>
      <c r="H349" s="116" t="s">
        <v>14824</v>
      </c>
      <c r="I349" s="116"/>
      <c r="J349" s="116" t="s">
        <v>14825</v>
      </c>
      <c r="K349" s="134" t="s">
        <v>14826</v>
      </c>
      <c r="L349" s="28" t="s">
        <v>14827</v>
      </c>
      <c r="M349" s="116" t="s">
        <v>14828</v>
      </c>
    </row>
    <row r="350" spans="1:13" ht="14.25" customHeight="1">
      <c r="A350" s="116">
        <v>4</v>
      </c>
      <c r="B350" s="116"/>
      <c r="C350" s="195" t="s">
        <v>14829</v>
      </c>
      <c r="D350" s="116" t="s">
        <v>14830</v>
      </c>
      <c r="E350" s="185" t="s">
        <v>14831</v>
      </c>
      <c r="F350" s="185" t="s">
        <v>54</v>
      </c>
      <c r="G350" s="116" t="s">
        <v>14832</v>
      </c>
      <c r="H350" s="116" t="s">
        <v>14833</v>
      </c>
      <c r="I350" s="116"/>
      <c r="J350" s="116" t="s">
        <v>14834</v>
      </c>
      <c r="K350" s="134" t="s">
        <v>14835</v>
      </c>
      <c r="L350" s="28" t="s">
        <v>14836</v>
      </c>
      <c r="M350" s="116" t="s">
        <v>14837</v>
      </c>
    </row>
    <row r="351" spans="1:13" ht="14.25" customHeight="1">
      <c r="A351" s="116">
        <v>5</v>
      </c>
      <c r="B351" s="116"/>
      <c r="C351" s="195" t="s">
        <v>14838</v>
      </c>
      <c r="D351" s="116" t="s">
        <v>14839</v>
      </c>
      <c r="E351" s="61" t="s">
        <v>14840</v>
      </c>
      <c r="F351" s="61" t="s">
        <v>219</v>
      </c>
      <c r="G351" s="116" t="s">
        <v>14841</v>
      </c>
      <c r="H351" s="116" t="s">
        <v>14842</v>
      </c>
      <c r="I351" s="116"/>
      <c r="J351" s="116" t="s">
        <v>14843</v>
      </c>
      <c r="K351" s="134" t="s">
        <v>14844</v>
      </c>
      <c r="L351" s="28" t="s">
        <v>14845</v>
      </c>
      <c r="M351" s="116" t="s">
        <v>14846</v>
      </c>
    </row>
    <row r="352" spans="1:13" ht="14.25" customHeight="1">
      <c r="A352" s="116">
        <v>6</v>
      </c>
      <c r="B352" s="116"/>
      <c r="C352" s="195" t="s">
        <v>14847</v>
      </c>
      <c r="D352" s="116" t="s">
        <v>14848</v>
      </c>
      <c r="E352" s="61" t="s">
        <v>14849</v>
      </c>
      <c r="F352" s="61" t="s">
        <v>664</v>
      </c>
      <c r="G352" s="116" t="s">
        <v>14850</v>
      </c>
      <c r="H352" s="116" t="s">
        <v>14851</v>
      </c>
      <c r="I352" s="116"/>
      <c r="J352" s="116" t="s">
        <v>14852</v>
      </c>
      <c r="K352" s="134" t="s">
        <v>14853</v>
      </c>
      <c r="L352" s="28" t="s">
        <v>14854</v>
      </c>
      <c r="M352" s="116" t="s">
        <v>14855</v>
      </c>
    </row>
    <row r="353" spans="1:13" ht="14.25" customHeight="1">
      <c r="A353" s="116">
        <v>7</v>
      </c>
      <c r="B353" s="116"/>
      <c r="C353" s="195" t="s">
        <v>14856</v>
      </c>
      <c r="D353" s="116" t="s">
        <v>14857</v>
      </c>
      <c r="E353" s="61" t="s">
        <v>14858</v>
      </c>
      <c r="F353" s="61" t="s">
        <v>664</v>
      </c>
      <c r="G353" s="116" t="s">
        <v>14859</v>
      </c>
      <c r="H353" s="116" t="s">
        <v>14860</v>
      </c>
      <c r="I353" s="116"/>
      <c r="J353" s="116" t="s">
        <v>14861</v>
      </c>
      <c r="K353" s="134" t="s">
        <v>14862</v>
      </c>
      <c r="L353" s="28" t="s">
        <v>14863</v>
      </c>
      <c r="M353" s="116" t="s">
        <v>14864</v>
      </c>
    </row>
    <row r="354" spans="1:13" ht="14.25" customHeight="1">
      <c r="A354" s="116">
        <v>8</v>
      </c>
      <c r="B354" s="116"/>
      <c r="C354" s="195" t="s">
        <v>14865</v>
      </c>
      <c r="D354" s="116" t="s">
        <v>14866</v>
      </c>
      <c r="E354" s="61" t="s">
        <v>14867</v>
      </c>
      <c r="F354" s="61" t="s">
        <v>664</v>
      </c>
      <c r="G354" s="116" t="s">
        <v>14571</v>
      </c>
      <c r="H354" s="126" t="s">
        <v>14868</v>
      </c>
      <c r="I354" s="126"/>
      <c r="J354" s="126" t="s">
        <v>14869</v>
      </c>
      <c r="K354" s="134" t="s">
        <v>14870</v>
      </c>
      <c r="L354" s="28" t="s">
        <v>14871</v>
      </c>
      <c r="M354" s="116" t="s">
        <v>14872</v>
      </c>
    </row>
    <row r="355" spans="1:13" ht="14.25" customHeight="1">
      <c r="A355" s="116">
        <v>9</v>
      </c>
      <c r="B355" s="116"/>
      <c r="C355" s="195" t="s">
        <v>14873</v>
      </c>
      <c r="D355" s="116" t="s">
        <v>14874</v>
      </c>
      <c r="E355" s="61" t="s">
        <v>14875</v>
      </c>
      <c r="F355" s="61" t="s">
        <v>664</v>
      </c>
      <c r="G355" s="116" t="s">
        <v>14876</v>
      </c>
      <c r="H355" s="116" t="s">
        <v>14877</v>
      </c>
      <c r="I355" s="116"/>
      <c r="J355" s="116" t="s">
        <v>14878</v>
      </c>
      <c r="K355" s="134" t="s">
        <v>14879</v>
      </c>
      <c r="L355" s="193" t="s">
        <v>14880</v>
      </c>
      <c r="M355" s="116" t="s">
        <v>14881</v>
      </c>
    </row>
    <row r="356" spans="1:13" ht="14.25" customHeight="1">
      <c r="A356" s="116">
        <v>10</v>
      </c>
      <c r="B356" s="116"/>
      <c r="C356" s="195" t="s">
        <v>14882</v>
      </c>
      <c r="D356" s="116" t="s">
        <v>14883</v>
      </c>
      <c r="E356" s="61" t="s">
        <v>11902</v>
      </c>
      <c r="F356" s="61" t="s">
        <v>320</v>
      </c>
      <c r="G356" s="116" t="s">
        <v>14884</v>
      </c>
      <c r="H356" s="126" t="s">
        <v>14885</v>
      </c>
      <c r="I356" s="126"/>
      <c r="J356" s="126" t="s">
        <v>14886</v>
      </c>
      <c r="K356" s="134" t="s">
        <v>14887</v>
      </c>
      <c r="L356" s="28" t="s">
        <v>14888</v>
      </c>
      <c r="M356" s="116" t="s">
        <v>14889</v>
      </c>
    </row>
    <row r="357" spans="1:13" ht="14.25" customHeight="1">
      <c r="A357" s="116">
        <v>11</v>
      </c>
      <c r="B357" s="116"/>
      <c r="C357" s="195" t="s">
        <v>14890</v>
      </c>
      <c r="D357" s="116" t="s">
        <v>14891</v>
      </c>
      <c r="E357" s="61" t="s">
        <v>14892</v>
      </c>
      <c r="F357" s="61" t="s">
        <v>65</v>
      </c>
      <c r="G357" s="116" t="s">
        <v>14893</v>
      </c>
      <c r="H357" s="116" t="s">
        <v>14894</v>
      </c>
      <c r="I357" s="116"/>
      <c r="J357" s="116" t="s">
        <v>14895</v>
      </c>
      <c r="K357" s="134" t="s">
        <v>14896</v>
      </c>
      <c r="L357" s="28" t="s">
        <v>14897</v>
      </c>
      <c r="M357" s="116" t="s">
        <v>14898</v>
      </c>
    </row>
    <row r="358" spans="1:13" ht="14.25" customHeight="1">
      <c r="A358" s="116">
        <v>12</v>
      </c>
      <c r="B358" s="116"/>
      <c r="C358" s="195" t="s">
        <v>14899</v>
      </c>
      <c r="D358" s="116" t="s">
        <v>14900</v>
      </c>
      <c r="E358" s="61" t="s">
        <v>14901</v>
      </c>
      <c r="F358" s="61" t="s">
        <v>65</v>
      </c>
      <c r="G358" s="116" t="s">
        <v>14902</v>
      </c>
      <c r="H358" s="116" t="s">
        <v>14903</v>
      </c>
      <c r="I358" s="116"/>
      <c r="J358" s="116" t="s">
        <v>14904</v>
      </c>
      <c r="K358" s="134" t="s">
        <v>14905</v>
      </c>
      <c r="L358" s="28" t="s">
        <v>14906</v>
      </c>
      <c r="M358" s="116" t="s">
        <v>14907</v>
      </c>
    </row>
    <row r="359" spans="1:13" ht="14.25" customHeight="1">
      <c r="A359" s="116">
        <v>13</v>
      </c>
      <c r="B359" s="116"/>
      <c r="C359" s="195" t="s">
        <v>14908</v>
      </c>
      <c r="D359" s="116" t="s">
        <v>14909</v>
      </c>
      <c r="E359" s="61" t="s">
        <v>14910</v>
      </c>
      <c r="F359" s="61" t="s">
        <v>54</v>
      </c>
      <c r="G359" s="116" t="s">
        <v>14911</v>
      </c>
      <c r="H359" s="116" t="s">
        <v>14912</v>
      </c>
      <c r="I359" s="116"/>
      <c r="J359" s="116" t="s">
        <v>14913</v>
      </c>
      <c r="K359" s="134" t="s">
        <v>14914</v>
      </c>
      <c r="L359" s="28" t="s">
        <v>14915</v>
      </c>
      <c r="M359" s="116" t="s">
        <v>14916</v>
      </c>
    </row>
    <row r="360" spans="1:13" ht="14.25" customHeight="1">
      <c r="A360" s="116">
        <v>14</v>
      </c>
      <c r="B360" s="116"/>
      <c r="C360" s="195" t="s">
        <v>14917</v>
      </c>
      <c r="D360" s="116" t="s">
        <v>14918</v>
      </c>
      <c r="E360" s="61" t="s">
        <v>14919</v>
      </c>
      <c r="F360" s="61" t="s">
        <v>65</v>
      </c>
      <c r="G360" s="116" t="s">
        <v>14920</v>
      </c>
      <c r="H360" s="116" t="s">
        <v>14921</v>
      </c>
      <c r="I360" s="116"/>
      <c r="J360" s="116" t="s">
        <v>14922</v>
      </c>
      <c r="K360" s="134" t="s">
        <v>14923</v>
      </c>
      <c r="L360" s="28" t="s">
        <v>14924</v>
      </c>
      <c r="M360" s="116" t="s">
        <v>14925</v>
      </c>
    </row>
    <row r="361" spans="1:13" ht="14.25" customHeight="1">
      <c r="A361" s="116">
        <v>15</v>
      </c>
      <c r="B361" s="116"/>
      <c r="C361" s="195" t="s">
        <v>14926</v>
      </c>
      <c r="D361" s="116" t="s">
        <v>14927</v>
      </c>
      <c r="E361" s="185" t="s">
        <v>14928</v>
      </c>
      <c r="F361" s="185" t="s">
        <v>117</v>
      </c>
      <c r="G361" s="116" t="s">
        <v>14929</v>
      </c>
      <c r="H361" s="116" t="s">
        <v>14930</v>
      </c>
      <c r="I361" s="116"/>
      <c r="J361" s="116" t="s">
        <v>14931</v>
      </c>
      <c r="K361" s="134" t="s">
        <v>14932</v>
      </c>
      <c r="L361" s="28" t="s">
        <v>14933</v>
      </c>
      <c r="M361" s="116" t="s">
        <v>14934</v>
      </c>
    </row>
    <row r="362" spans="1:13" ht="14.25" customHeight="1">
      <c r="A362" s="116">
        <v>16</v>
      </c>
      <c r="B362" s="116"/>
      <c r="C362" s="195" t="s">
        <v>14935</v>
      </c>
      <c r="D362" s="116" t="s">
        <v>14936</v>
      </c>
      <c r="E362" s="61" t="s">
        <v>14937</v>
      </c>
      <c r="F362" s="61" t="s">
        <v>117</v>
      </c>
      <c r="G362" s="116" t="s">
        <v>14938</v>
      </c>
      <c r="H362" s="116" t="s">
        <v>14939</v>
      </c>
      <c r="I362" s="116"/>
      <c r="J362" s="116" t="s">
        <v>14940</v>
      </c>
      <c r="K362" s="134" t="s">
        <v>14941</v>
      </c>
      <c r="L362" s="28" t="s">
        <v>14942</v>
      </c>
      <c r="M362" s="116" t="s">
        <v>14943</v>
      </c>
    </row>
    <row r="363" spans="1:13" ht="14.25" customHeight="1">
      <c r="A363" s="116">
        <v>17</v>
      </c>
      <c r="B363" s="116"/>
      <c r="C363" s="195" t="s">
        <v>14944</v>
      </c>
      <c r="D363" s="116" t="s">
        <v>14945</v>
      </c>
      <c r="E363" s="61" t="s">
        <v>14946</v>
      </c>
      <c r="F363" s="61" t="s">
        <v>54</v>
      </c>
      <c r="G363" s="116" t="s">
        <v>14947</v>
      </c>
      <c r="H363" s="116" t="s">
        <v>14948</v>
      </c>
      <c r="I363" s="116"/>
      <c r="J363" s="116" t="s">
        <v>14949</v>
      </c>
      <c r="K363" s="134" t="s">
        <v>14950</v>
      </c>
      <c r="L363" s="193" t="s">
        <v>14951</v>
      </c>
      <c r="M363" s="116" t="s">
        <v>14952</v>
      </c>
    </row>
    <row r="364" spans="1:13" ht="14.25" customHeight="1">
      <c r="A364" s="116">
        <v>18</v>
      </c>
      <c r="B364" s="116"/>
      <c r="C364" s="195" t="s">
        <v>14953</v>
      </c>
      <c r="D364" s="116" t="s">
        <v>14954</v>
      </c>
      <c r="E364" s="185" t="s">
        <v>14955</v>
      </c>
      <c r="F364" s="185" t="s">
        <v>54</v>
      </c>
      <c r="G364" s="116" t="s">
        <v>14956</v>
      </c>
      <c r="H364" s="116" t="s">
        <v>14957</v>
      </c>
      <c r="I364" s="116"/>
      <c r="J364" s="116" t="s">
        <v>14958</v>
      </c>
      <c r="K364" s="134" t="s">
        <v>14959</v>
      </c>
      <c r="L364" s="130" t="s">
        <v>14960</v>
      </c>
      <c r="M364" s="132" t="s">
        <v>14961</v>
      </c>
    </row>
    <row r="365" spans="1:13" ht="14.25" customHeight="1">
      <c r="A365" s="116">
        <v>19</v>
      </c>
      <c r="B365" s="116"/>
      <c r="C365" s="195" t="s">
        <v>14962</v>
      </c>
      <c r="D365" s="116" t="s">
        <v>14963</v>
      </c>
      <c r="E365" s="61" t="s">
        <v>14964</v>
      </c>
      <c r="F365" s="61" t="s">
        <v>65</v>
      </c>
      <c r="G365" s="116" t="s">
        <v>14965</v>
      </c>
      <c r="H365" s="116" t="s">
        <v>14966</v>
      </c>
      <c r="I365" s="116"/>
      <c r="J365" s="116" t="s">
        <v>14967</v>
      </c>
      <c r="K365" s="134" t="s">
        <v>14968</v>
      </c>
      <c r="L365" s="130" t="s">
        <v>14969</v>
      </c>
      <c r="M365" s="116" t="s">
        <v>14970</v>
      </c>
    </row>
    <row r="366" spans="1:13" ht="14.25" customHeight="1">
      <c r="A366" s="132">
        <v>20</v>
      </c>
      <c r="B366" s="132"/>
      <c r="C366" s="194" t="s">
        <v>14971</v>
      </c>
      <c r="D366" s="132" t="s">
        <v>14972</v>
      </c>
      <c r="E366" s="61" t="s">
        <v>14973</v>
      </c>
      <c r="F366" s="61" t="s">
        <v>54</v>
      </c>
      <c r="G366" s="132" t="s">
        <v>14974</v>
      </c>
      <c r="H366" s="132" t="s">
        <v>14975</v>
      </c>
      <c r="I366" s="132"/>
      <c r="J366" s="132" t="s">
        <v>14976</v>
      </c>
      <c r="K366" s="134" t="s">
        <v>14977</v>
      </c>
      <c r="L366" s="130" t="s">
        <v>14978</v>
      </c>
      <c r="M366" s="116" t="s">
        <v>14979</v>
      </c>
    </row>
    <row r="367" spans="1:13" ht="14.25" customHeight="1">
      <c r="A367" s="116">
        <v>21</v>
      </c>
      <c r="B367" s="116"/>
      <c r="C367" s="195" t="s">
        <v>11811</v>
      </c>
      <c r="D367" s="116" t="s">
        <v>11812</v>
      </c>
      <c r="E367" s="61" t="s">
        <v>11813</v>
      </c>
      <c r="F367" s="61" t="s">
        <v>65</v>
      </c>
      <c r="G367" s="116" t="s">
        <v>14980</v>
      </c>
      <c r="H367" s="116" t="s">
        <v>14981</v>
      </c>
      <c r="I367" s="116"/>
      <c r="J367" s="116" t="s">
        <v>14982</v>
      </c>
      <c r="K367" s="134" t="s">
        <v>14983</v>
      </c>
      <c r="L367" s="130" t="s">
        <v>14984</v>
      </c>
      <c r="M367" s="116" t="s">
        <v>14985</v>
      </c>
    </row>
    <row r="368" spans="1:13" ht="14.25" customHeight="1">
      <c r="A368" s="116">
        <v>22</v>
      </c>
      <c r="B368" s="116"/>
      <c r="C368" s="195" t="s">
        <v>14986</v>
      </c>
      <c r="D368" s="116" t="s">
        <v>14987</v>
      </c>
      <c r="E368" s="61" t="s">
        <v>14988</v>
      </c>
      <c r="F368" s="61" t="s">
        <v>117</v>
      </c>
      <c r="G368" s="116" t="s">
        <v>14989</v>
      </c>
      <c r="H368" s="116" t="s">
        <v>14990</v>
      </c>
      <c r="I368" s="116"/>
      <c r="J368" s="116" t="s">
        <v>14991</v>
      </c>
      <c r="K368" s="134" t="s">
        <v>14992</v>
      </c>
      <c r="L368" s="130" t="s">
        <v>14993</v>
      </c>
      <c r="M368" s="116" t="s">
        <v>14994</v>
      </c>
    </row>
    <row r="369" spans="1:13" ht="14.25" customHeight="1">
      <c r="A369" s="116">
        <v>23</v>
      </c>
      <c r="B369" s="116"/>
      <c r="C369" s="195" t="s">
        <v>14995</v>
      </c>
      <c r="D369" s="116" t="s">
        <v>14996</v>
      </c>
      <c r="E369" s="61" t="s">
        <v>14997</v>
      </c>
      <c r="F369" s="61" t="s">
        <v>117</v>
      </c>
      <c r="G369" s="116" t="s">
        <v>14998</v>
      </c>
      <c r="H369" s="116" t="s">
        <v>14999</v>
      </c>
      <c r="I369" s="116"/>
      <c r="J369" s="116" t="s">
        <v>15000</v>
      </c>
      <c r="K369" s="134" t="s">
        <v>15001</v>
      </c>
      <c r="L369" s="130" t="s">
        <v>15002</v>
      </c>
      <c r="M369" s="116" t="s">
        <v>15003</v>
      </c>
    </row>
    <row r="370" spans="1:13" ht="14.25" customHeight="1">
      <c r="A370" s="116">
        <v>24</v>
      </c>
      <c r="B370" s="116"/>
      <c r="C370" s="195" t="s">
        <v>15004</v>
      </c>
      <c r="D370" s="116" t="s">
        <v>15005</v>
      </c>
      <c r="E370" s="61" t="s">
        <v>15006</v>
      </c>
      <c r="F370" s="61" t="s">
        <v>117</v>
      </c>
      <c r="G370" s="116" t="s">
        <v>15007</v>
      </c>
      <c r="H370" s="116" t="s">
        <v>15008</v>
      </c>
      <c r="I370" s="116"/>
      <c r="J370" s="116" t="s">
        <v>15009</v>
      </c>
      <c r="K370" s="134" t="s">
        <v>15010</v>
      </c>
      <c r="L370" s="130" t="s">
        <v>15011</v>
      </c>
      <c r="M370" s="116" t="s">
        <v>15012</v>
      </c>
    </row>
    <row r="371" spans="1:13" ht="14.25" customHeight="1">
      <c r="A371" s="116">
        <v>25</v>
      </c>
      <c r="B371" s="116"/>
      <c r="C371" s="195" t="s">
        <v>15013</v>
      </c>
      <c r="D371" s="116" t="s">
        <v>15014</v>
      </c>
      <c r="E371" s="61" t="s">
        <v>15015</v>
      </c>
      <c r="F371" s="61" t="s">
        <v>65</v>
      </c>
      <c r="G371" s="116" t="s">
        <v>15016</v>
      </c>
      <c r="H371" s="116" t="s">
        <v>15017</v>
      </c>
      <c r="I371" s="116"/>
      <c r="J371" s="116" t="s">
        <v>15018</v>
      </c>
      <c r="K371" s="134" t="s">
        <v>15019</v>
      </c>
      <c r="L371" s="130" t="s">
        <v>15020</v>
      </c>
      <c r="M371" s="116" t="s">
        <v>15021</v>
      </c>
    </row>
    <row r="372" spans="1:13" ht="14.25" customHeight="1">
      <c r="A372" s="116">
        <v>26</v>
      </c>
      <c r="B372" s="116"/>
      <c r="C372" s="195" t="s">
        <v>15022</v>
      </c>
      <c r="D372" s="116" t="s">
        <v>15023</v>
      </c>
      <c r="E372" s="61" t="s">
        <v>15024</v>
      </c>
      <c r="F372" s="61" t="s">
        <v>65</v>
      </c>
      <c r="G372" s="116" t="s">
        <v>15025</v>
      </c>
      <c r="H372" s="116" t="s">
        <v>15026</v>
      </c>
      <c r="I372" s="116"/>
      <c r="J372" s="116" t="s">
        <v>15027</v>
      </c>
      <c r="K372" s="134" t="s">
        <v>15028</v>
      </c>
      <c r="L372" s="130" t="s">
        <v>15029</v>
      </c>
      <c r="M372" s="116" t="s">
        <v>15030</v>
      </c>
    </row>
    <row r="373" spans="1:13" ht="14.25" customHeight="1">
      <c r="A373" s="116">
        <v>27</v>
      </c>
      <c r="B373" s="116"/>
      <c r="C373" s="195" t="s">
        <v>15031</v>
      </c>
      <c r="D373" s="116" t="s">
        <v>15032</v>
      </c>
      <c r="E373" s="61" t="s">
        <v>15033</v>
      </c>
      <c r="F373" s="61" t="s">
        <v>54</v>
      </c>
      <c r="G373" s="116" t="s">
        <v>15034</v>
      </c>
      <c r="H373" s="116" t="s">
        <v>15035</v>
      </c>
      <c r="I373" s="116"/>
      <c r="J373" s="116" t="s">
        <v>15036</v>
      </c>
      <c r="K373" s="134" t="s">
        <v>15037</v>
      </c>
      <c r="L373" s="130" t="s">
        <v>15038</v>
      </c>
      <c r="M373" s="116" t="s">
        <v>15039</v>
      </c>
    </row>
    <row r="374" spans="1:13" ht="14.25" customHeight="1">
      <c r="A374" s="116">
        <v>28</v>
      </c>
      <c r="B374" s="116"/>
      <c r="C374" s="195" t="s">
        <v>7978</v>
      </c>
      <c r="D374" s="116" t="s">
        <v>10853</v>
      </c>
      <c r="E374" s="113" t="s">
        <v>7980</v>
      </c>
      <c r="F374" s="61" t="s">
        <v>563</v>
      </c>
      <c r="G374" s="116" t="s">
        <v>10854</v>
      </c>
      <c r="H374" s="116" t="s">
        <v>15040</v>
      </c>
      <c r="I374" s="116"/>
      <c r="J374" s="118" t="s">
        <v>7984</v>
      </c>
      <c r="K374" s="134" t="s">
        <v>10855</v>
      </c>
      <c r="L374" s="130" t="s">
        <v>10856</v>
      </c>
      <c r="M374" s="116" t="s">
        <v>10857</v>
      </c>
    </row>
    <row r="375" spans="1:13" ht="14.25" customHeight="1">
      <c r="A375" s="116">
        <v>29</v>
      </c>
      <c r="B375" s="116"/>
      <c r="C375" s="195" t="s">
        <v>15041</v>
      </c>
      <c r="D375" s="116" t="s">
        <v>15042</v>
      </c>
      <c r="E375" s="61" t="s">
        <v>15043</v>
      </c>
      <c r="F375" s="61" t="s">
        <v>117</v>
      </c>
      <c r="G375" s="116" t="s">
        <v>15044</v>
      </c>
      <c r="H375" s="116" t="s">
        <v>15045</v>
      </c>
      <c r="I375" s="116"/>
      <c r="J375" s="118" t="s">
        <v>15046</v>
      </c>
      <c r="K375" s="134" t="s">
        <v>15047</v>
      </c>
      <c r="L375" s="130" t="s">
        <v>15048</v>
      </c>
      <c r="M375" s="116" t="s">
        <v>15049</v>
      </c>
    </row>
    <row r="376" spans="1:13" ht="14.25" customHeight="1">
      <c r="A376" s="116">
        <v>30</v>
      </c>
      <c r="B376" s="116"/>
      <c r="C376" s="195" t="s">
        <v>15050</v>
      </c>
      <c r="D376" s="116" t="s">
        <v>15051</v>
      </c>
      <c r="E376" s="61" t="s">
        <v>15052</v>
      </c>
      <c r="F376" s="61" t="s">
        <v>65</v>
      </c>
      <c r="G376" s="116" t="s">
        <v>15053</v>
      </c>
      <c r="H376" s="116" t="s">
        <v>15054</v>
      </c>
      <c r="I376" s="116"/>
      <c r="J376" s="116" t="s">
        <v>15055</v>
      </c>
      <c r="K376" s="134" t="s">
        <v>15056</v>
      </c>
      <c r="L376" s="104" t="s">
        <v>15057</v>
      </c>
      <c r="M376" s="116" t="s">
        <v>15058</v>
      </c>
    </row>
    <row r="377" spans="1:13" ht="14.25" customHeight="1">
      <c r="A377" s="178">
        <v>1</v>
      </c>
      <c r="B377" s="178"/>
      <c r="C377" s="196" t="s">
        <v>15059</v>
      </c>
      <c r="D377" s="178" t="s">
        <v>15060</v>
      </c>
      <c r="E377" s="182" t="s">
        <v>15061</v>
      </c>
      <c r="F377" s="182" t="s">
        <v>65</v>
      </c>
      <c r="G377" s="178" t="s">
        <v>15062</v>
      </c>
      <c r="H377" s="178" t="s">
        <v>15063</v>
      </c>
      <c r="I377" s="178"/>
      <c r="J377" s="178" t="s">
        <v>15064</v>
      </c>
      <c r="K377" s="180" t="s">
        <v>15065</v>
      </c>
      <c r="L377" s="197" t="s">
        <v>15066</v>
      </c>
      <c r="M377" s="178" t="s">
        <v>15067</v>
      </c>
    </row>
    <row r="378" spans="1:13" ht="14.25" customHeight="1">
      <c r="A378" s="116">
        <v>2</v>
      </c>
      <c r="B378" s="116"/>
      <c r="C378" s="186" t="s">
        <v>15068</v>
      </c>
      <c r="D378" s="116" t="s">
        <v>15069</v>
      </c>
      <c r="E378" s="61" t="s">
        <v>15070</v>
      </c>
      <c r="F378" s="61" t="s">
        <v>117</v>
      </c>
      <c r="G378" s="116" t="s">
        <v>15071</v>
      </c>
      <c r="H378" s="116" t="s">
        <v>15072</v>
      </c>
      <c r="I378" s="116"/>
      <c r="J378" s="116" t="s">
        <v>15073</v>
      </c>
      <c r="K378" s="134" t="s">
        <v>15074</v>
      </c>
      <c r="L378" s="116" t="s">
        <v>15075</v>
      </c>
      <c r="M378" s="116" t="s">
        <v>15076</v>
      </c>
    </row>
    <row r="379" spans="1:13" ht="14.25" customHeight="1">
      <c r="A379" s="116">
        <v>3</v>
      </c>
      <c r="B379" s="116"/>
      <c r="C379" s="186" t="s">
        <v>15077</v>
      </c>
      <c r="D379" s="116" t="s">
        <v>15078</v>
      </c>
      <c r="E379" s="61" t="s">
        <v>15079</v>
      </c>
      <c r="F379" s="61" t="s">
        <v>54</v>
      </c>
      <c r="G379" s="116" t="s">
        <v>15080</v>
      </c>
      <c r="H379" s="116" t="s">
        <v>15081</v>
      </c>
      <c r="I379" s="116"/>
      <c r="J379" s="116" t="s">
        <v>15082</v>
      </c>
      <c r="K379" s="134" t="s">
        <v>15083</v>
      </c>
      <c r="L379" s="116" t="s">
        <v>15084</v>
      </c>
      <c r="M379" s="116" t="s">
        <v>15085</v>
      </c>
    </row>
    <row r="380" spans="1:13" ht="14.25" customHeight="1">
      <c r="A380" s="116">
        <v>4</v>
      </c>
      <c r="B380" s="116"/>
      <c r="C380" s="186" t="s">
        <v>15086</v>
      </c>
      <c r="D380" s="116" t="s">
        <v>15087</v>
      </c>
      <c r="E380" s="61" t="s">
        <v>15088</v>
      </c>
      <c r="F380" s="61" t="s">
        <v>501</v>
      </c>
      <c r="G380" s="116" t="s">
        <v>15089</v>
      </c>
      <c r="H380" s="118" t="s">
        <v>15090</v>
      </c>
      <c r="I380" s="118"/>
      <c r="J380" s="132" t="s">
        <v>15091</v>
      </c>
      <c r="K380" s="134" t="s">
        <v>15092</v>
      </c>
      <c r="L380" s="116" t="s">
        <v>15093</v>
      </c>
      <c r="M380" s="116" t="s">
        <v>15094</v>
      </c>
    </row>
    <row r="381" spans="1:13" ht="14.25" customHeight="1">
      <c r="A381" s="116">
        <v>5</v>
      </c>
      <c r="B381" s="116"/>
      <c r="C381" s="186" t="s">
        <v>15095</v>
      </c>
      <c r="D381" s="116" t="s">
        <v>15096</v>
      </c>
      <c r="E381" s="61" t="s">
        <v>15097</v>
      </c>
      <c r="F381" s="61" t="s">
        <v>54</v>
      </c>
      <c r="G381" s="116" t="s">
        <v>15098</v>
      </c>
      <c r="H381" s="116" t="s">
        <v>15099</v>
      </c>
      <c r="I381" s="116"/>
      <c r="J381" s="116" t="s">
        <v>15100</v>
      </c>
      <c r="K381" s="134" t="s">
        <v>15101</v>
      </c>
      <c r="L381" s="116" t="s">
        <v>15102</v>
      </c>
      <c r="M381" s="116" t="s">
        <v>15103</v>
      </c>
    </row>
    <row r="382" spans="1:13" ht="14.25" customHeight="1">
      <c r="A382" s="116">
        <v>6</v>
      </c>
      <c r="B382" s="116"/>
      <c r="C382" s="186" t="s">
        <v>15104</v>
      </c>
      <c r="D382" s="116" t="s">
        <v>15105</v>
      </c>
      <c r="E382" s="61" t="s">
        <v>15106</v>
      </c>
      <c r="F382" s="61" t="s">
        <v>117</v>
      </c>
      <c r="G382" s="116" t="s">
        <v>15107</v>
      </c>
      <c r="H382" s="116" t="s">
        <v>15108</v>
      </c>
      <c r="I382" s="116"/>
      <c r="J382" s="116" t="s">
        <v>15109</v>
      </c>
      <c r="K382" s="134" t="s">
        <v>15110</v>
      </c>
      <c r="L382" s="116" t="s">
        <v>15111</v>
      </c>
      <c r="M382" s="116" t="s">
        <v>15112</v>
      </c>
    </row>
    <row r="383" spans="1:13" ht="14.25" customHeight="1">
      <c r="A383" s="116">
        <v>7</v>
      </c>
      <c r="B383" s="116"/>
      <c r="C383" s="186" t="s">
        <v>15113</v>
      </c>
      <c r="D383" s="116" t="s">
        <v>15114</v>
      </c>
      <c r="E383" s="61" t="s">
        <v>15115</v>
      </c>
      <c r="F383" s="61" t="s">
        <v>65</v>
      </c>
      <c r="G383" s="116" t="s">
        <v>15116</v>
      </c>
      <c r="H383" s="116" t="s">
        <v>15117</v>
      </c>
      <c r="I383" s="116"/>
      <c r="J383" s="116" t="s">
        <v>15118</v>
      </c>
      <c r="K383" s="134" t="s">
        <v>15119</v>
      </c>
      <c r="L383" s="116" t="s">
        <v>15120</v>
      </c>
      <c r="M383" s="116" t="s">
        <v>15121</v>
      </c>
    </row>
    <row r="384" spans="1:13" ht="14.25" customHeight="1">
      <c r="A384" s="116">
        <v>8</v>
      </c>
      <c r="B384" s="116"/>
      <c r="C384" s="186" t="s">
        <v>15122</v>
      </c>
      <c r="D384" s="116" t="s">
        <v>15123</v>
      </c>
      <c r="E384" s="61" t="s">
        <v>15124</v>
      </c>
      <c r="F384" s="61" t="s">
        <v>65</v>
      </c>
      <c r="G384" s="116" t="s">
        <v>15125</v>
      </c>
      <c r="H384" s="116" t="s">
        <v>15126</v>
      </c>
      <c r="I384" s="116"/>
      <c r="J384" s="116" t="s">
        <v>15127</v>
      </c>
      <c r="K384" s="134" t="s">
        <v>15128</v>
      </c>
      <c r="L384" s="116" t="s">
        <v>15129</v>
      </c>
      <c r="M384" s="116" t="s">
        <v>15130</v>
      </c>
    </row>
    <row r="385" spans="1:13" ht="14.25" customHeight="1">
      <c r="A385" s="116">
        <v>9</v>
      </c>
      <c r="B385" s="116"/>
      <c r="C385" s="186" t="s">
        <v>15131</v>
      </c>
      <c r="D385" s="116" t="s">
        <v>15132</v>
      </c>
      <c r="E385" s="61" t="s">
        <v>15133</v>
      </c>
      <c r="F385" s="26" t="s">
        <v>65</v>
      </c>
      <c r="G385" s="116" t="s">
        <v>15134</v>
      </c>
      <c r="H385" s="116" t="s">
        <v>15135</v>
      </c>
      <c r="I385" s="116"/>
      <c r="J385" s="116" t="s">
        <v>15136</v>
      </c>
      <c r="K385" s="134" t="s">
        <v>15137</v>
      </c>
      <c r="L385" s="116" t="s">
        <v>15138</v>
      </c>
      <c r="M385" s="116" t="s">
        <v>15139</v>
      </c>
    </row>
    <row r="386" spans="1:13" ht="14.25" customHeight="1">
      <c r="A386" s="116">
        <v>10</v>
      </c>
      <c r="B386" s="116"/>
      <c r="C386" s="186" t="s">
        <v>15140</v>
      </c>
      <c r="D386" s="116" t="s">
        <v>15141</v>
      </c>
      <c r="E386" s="61" t="s">
        <v>15142</v>
      </c>
      <c r="F386" s="26" t="s">
        <v>54</v>
      </c>
      <c r="G386" s="116" t="s">
        <v>15143</v>
      </c>
      <c r="H386" s="116" t="s">
        <v>15144</v>
      </c>
      <c r="I386" s="116"/>
      <c r="J386" s="116" t="s">
        <v>15145</v>
      </c>
      <c r="K386" s="134" t="s">
        <v>15146</v>
      </c>
      <c r="L386" s="116" t="s">
        <v>15147</v>
      </c>
      <c r="M386" s="116" t="s">
        <v>15148</v>
      </c>
    </row>
    <row r="387" spans="1:13" ht="14.25" customHeight="1">
      <c r="A387" s="116">
        <v>11</v>
      </c>
      <c r="B387" s="116"/>
      <c r="C387" s="186" t="s">
        <v>15149</v>
      </c>
      <c r="D387" s="116" t="s">
        <v>15150</v>
      </c>
      <c r="E387" s="61" t="s">
        <v>15151</v>
      </c>
      <c r="F387" s="61" t="s">
        <v>117</v>
      </c>
      <c r="G387" s="116" t="s">
        <v>15152</v>
      </c>
      <c r="H387" s="116" t="s">
        <v>15153</v>
      </c>
      <c r="I387" s="116"/>
      <c r="J387" s="116" t="s">
        <v>15154</v>
      </c>
      <c r="K387" s="134" t="s">
        <v>15155</v>
      </c>
      <c r="L387" s="116" t="s">
        <v>15156</v>
      </c>
      <c r="M387" s="116" t="s">
        <v>15157</v>
      </c>
    </row>
    <row r="388" spans="1:13" ht="14.25" customHeight="1">
      <c r="A388" s="132">
        <v>12</v>
      </c>
      <c r="B388" s="132"/>
      <c r="C388" s="194" t="s">
        <v>15158</v>
      </c>
      <c r="D388" s="132" t="s">
        <v>15159</v>
      </c>
      <c r="E388" s="61" t="s">
        <v>15160</v>
      </c>
      <c r="F388" s="61" t="s">
        <v>54</v>
      </c>
      <c r="G388" s="132" t="s">
        <v>15161</v>
      </c>
      <c r="H388" s="132" t="s">
        <v>15162</v>
      </c>
      <c r="I388" s="132"/>
      <c r="J388" s="132" t="s">
        <v>15163</v>
      </c>
      <c r="K388" s="134" t="s">
        <v>15164</v>
      </c>
      <c r="L388" s="193" t="s">
        <v>15165</v>
      </c>
      <c r="M388" s="116" t="s">
        <v>15166</v>
      </c>
    </row>
    <row r="389" spans="1:13" ht="14.25" customHeight="1">
      <c r="A389" s="116">
        <v>13</v>
      </c>
      <c r="B389" s="116"/>
      <c r="C389" s="195" t="s">
        <v>15167</v>
      </c>
      <c r="D389" s="116" t="s">
        <v>15168</v>
      </c>
      <c r="E389" s="61" t="s">
        <v>15169</v>
      </c>
      <c r="F389" s="61" t="s">
        <v>54</v>
      </c>
      <c r="G389" s="116" t="s">
        <v>15170</v>
      </c>
      <c r="H389" s="116" t="s">
        <v>15171</v>
      </c>
      <c r="I389" s="116"/>
      <c r="J389" s="116" t="s">
        <v>15172</v>
      </c>
      <c r="K389" s="134" t="s">
        <v>15173</v>
      </c>
      <c r="L389" s="28" t="s">
        <v>15174</v>
      </c>
      <c r="M389" s="116" t="s">
        <v>15175</v>
      </c>
    </row>
    <row r="390" spans="1:13" ht="14.25" customHeight="1">
      <c r="A390" s="116">
        <v>14</v>
      </c>
      <c r="B390" s="116"/>
      <c r="C390" s="195" t="s">
        <v>15176</v>
      </c>
      <c r="D390" s="116" t="s">
        <v>15177</v>
      </c>
      <c r="E390" s="185" t="s">
        <v>15178</v>
      </c>
      <c r="F390" s="185" t="s">
        <v>65</v>
      </c>
      <c r="G390" s="116" t="s">
        <v>15179</v>
      </c>
      <c r="H390" s="116" t="s">
        <v>15180</v>
      </c>
      <c r="I390" s="116"/>
      <c r="J390" s="116" t="s">
        <v>15181</v>
      </c>
      <c r="K390" s="134" t="s">
        <v>15182</v>
      </c>
      <c r="L390" s="28" t="s">
        <v>15183</v>
      </c>
      <c r="M390" s="116" t="s">
        <v>15184</v>
      </c>
    </row>
    <row r="391" spans="1:13" ht="14.25" customHeight="1">
      <c r="A391" s="116">
        <v>15</v>
      </c>
      <c r="B391" s="116"/>
      <c r="C391" s="186" t="s">
        <v>15185</v>
      </c>
      <c r="D391" s="116" t="s">
        <v>15186</v>
      </c>
      <c r="E391" s="61" t="s">
        <v>15187</v>
      </c>
      <c r="F391" s="61" t="s">
        <v>219</v>
      </c>
      <c r="G391" s="116" t="s">
        <v>15188</v>
      </c>
      <c r="H391" s="116" t="s">
        <v>15189</v>
      </c>
      <c r="I391" s="116"/>
      <c r="J391" s="116" t="s">
        <v>15190</v>
      </c>
      <c r="K391" s="134" t="s">
        <v>15191</v>
      </c>
      <c r="L391" s="28" t="s">
        <v>15192</v>
      </c>
      <c r="M391" s="116" t="s">
        <v>15193</v>
      </c>
    </row>
    <row r="392" spans="1:13" ht="14.25" customHeight="1">
      <c r="A392" s="116">
        <v>16</v>
      </c>
      <c r="B392" s="116"/>
      <c r="C392" s="186" t="s">
        <v>15194</v>
      </c>
      <c r="D392" s="116" t="s">
        <v>15195</v>
      </c>
      <c r="E392" s="185" t="s">
        <v>15196</v>
      </c>
      <c r="F392" s="185" t="s">
        <v>664</v>
      </c>
      <c r="G392" s="116" t="s">
        <v>15197</v>
      </c>
      <c r="H392" s="116" t="s">
        <v>15198</v>
      </c>
      <c r="I392" s="116"/>
      <c r="J392" s="116" t="s">
        <v>15199</v>
      </c>
      <c r="K392" s="134" t="s">
        <v>15200</v>
      </c>
      <c r="L392" s="198" t="s">
        <v>15201</v>
      </c>
      <c r="M392" s="116" t="s">
        <v>15202</v>
      </c>
    </row>
    <row r="393" spans="1:13" ht="14.25" customHeight="1">
      <c r="A393" s="116">
        <v>17</v>
      </c>
      <c r="B393" s="116"/>
      <c r="C393" s="186" t="s">
        <v>15203</v>
      </c>
      <c r="D393" s="116" t="s">
        <v>15204</v>
      </c>
      <c r="E393" s="61" t="s">
        <v>15205</v>
      </c>
      <c r="F393" s="61" t="s">
        <v>117</v>
      </c>
      <c r="G393" s="116" t="s">
        <v>15206</v>
      </c>
      <c r="H393" s="116" t="s">
        <v>15207</v>
      </c>
      <c r="I393" s="116"/>
      <c r="J393" s="116" t="s">
        <v>15208</v>
      </c>
      <c r="K393" s="134" t="s">
        <v>15209</v>
      </c>
      <c r="L393" s="28" t="s">
        <v>15210</v>
      </c>
      <c r="M393" s="116" t="s">
        <v>15211</v>
      </c>
    </row>
    <row r="394" spans="1:13" ht="14.25" customHeight="1">
      <c r="A394" s="116">
        <v>18</v>
      </c>
      <c r="B394" s="116"/>
      <c r="C394" s="186" t="s">
        <v>15212</v>
      </c>
      <c r="D394" s="116" t="s">
        <v>15213</v>
      </c>
      <c r="E394" s="61" t="s">
        <v>15214</v>
      </c>
      <c r="F394" s="61" t="s">
        <v>65</v>
      </c>
      <c r="G394" s="116" t="s">
        <v>15215</v>
      </c>
      <c r="H394" s="116" t="s">
        <v>15216</v>
      </c>
      <c r="I394" s="116"/>
      <c r="J394" s="116" t="s">
        <v>15217</v>
      </c>
      <c r="K394" s="134" t="s">
        <v>15218</v>
      </c>
      <c r="L394" s="28" t="s">
        <v>15219</v>
      </c>
      <c r="M394" s="132" t="s">
        <v>15220</v>
      </c>
    </row>
    <row r="395" spans="1:13" ht="14.25" customHeight="1">
      <c r="A395" s="116">
        <v>19</v>
      </c>
      <c r="B395" s="116"/>
      <c r="C395" s="186" t="s">
        <v>15221</v>
      </c>
      <c r="D395" s="116" t="s">
        <v>15222</v>
      </c>
      <c r="E395" s="61" t="s">
        <v>15223</v>
      </c>
      <c r="F395" s="61" t="s">
        <v>65</v>
      </c>
      <c r="G395" s="116" t="s">
        <v>15224</v>
      </c>
      <c r="H395" s="116" t="s">
        <v>15225</v>
      </c>
      <c r="I395" s="116"/>
      <c r="J395" s="116" t="s">
        <v>15226</v>
      </c>
      <c r="K395" s="134" t="s">
        <v>15227</v>
      </c>
      <c r="L395" s="28" t="s">
        <v>15228</v>
      </c>
      <c r="M395" s="116" t="s">
        <v>15229</v>
      </c>
    </row>
    <row r="396" spans="1:13" ht="14.25" customHeight="1">
      <c r="A396" s="116">
        <v>20</v>
      </c>
      <c r="B396" s="116"/>
      <c r="C396" s="186" t="s">
        <v>8588</v>
      </c>
      <c r="D396" s="116" t="s">
        <v>8589</v>
      </c>
      <c r="E396" s="61" t="s">
        <v>8590</v>
      </c>
      <c r="F396" s="61" t="s">
        <v>65</v>
      </c>
      <c r="G396" s="116" t="s">
        <v>10911</v>
      </c>
      <c r="H396" s="116" t="s">
        <v>15230</v>
      </c>
      <c r="I396" s="116"/>
      <c r="J396" s="116" t="s">
        <v>8594</v>
      </c>
      <c r="K396" s="134" t="s">
        <v>10912</v>
      </c>
      <c r="L396" s="28" t="s">
        <v>10913</v>
      </c>
      <c r="M396" s="116" t="s">
        <v>10914</v>
      </c>
    </row>
    <row r="397" spans="1:13" ht="14.25" customHeight="1">
      <c r="A397" s="132">
        <v>21</v>
      </c>
      <c r="B397" s="132"/>
      <c r="C397" s="183" t="s">
        <v>15231</v>
      </c>
      <c r="D397" s="132" t="s">
        <v>15232</v>
      </c>
      <c r="E397" s="61" t="s">
        <v>15233</v>
      </c>
      <c r="F397" s="61" t="s">
        <v>117</v>
      </c>
      <c r="G397" s="132" t="s">
        <v>15234</v>
      </c>
      <c r="H397" s="132" t="s">
        <v>15235</v>
      </c>
      <c r="I397" s="132"/>
      <c r="J397" s="132" t="s">
        <v>15236</v>
      </c>
      <c r="K397" s="134" t="s">
        <v>15237</v>
      </c>
      <c r="L397" s="193" t="s">
        <v>15238</v>
      </c>
      <c r="M397" s="116" t="s">
        <v>15239</v>
      </c>
    </row>
    <row r="398" spans="1:13" ht="14.25" customHeight="1">
      <c r="A398" s="116">
        <v>22</v>
      </c>
      <c r="B398" s="116"/>
      <c r="C398" s="186" t="s">
        <v>15240</v>
      </c>
      <c r="D398" s="116" t="s">
        <v>15241</v>
      </c>
      <c r="E398" s="61" t="s">
        <v>15242</v>
      </c>
      <c r="F398" s="61" t="s">
        <v>117</v>
      </c>
      <c r="G398" s="116" t="s">
        <v>15243</v>
      </c>
      <c r="H398" s="116" t="s">
        <v>15244</v>
      </c>
      <c r="I398" s="116"/>
      <c r="J398" s="116" t="s">
        <v>15245</v>
      </c>
      <c r="K398" s="134" t="s">
        <v>15246</v>
      </c>
      <c r="L398" s="28" t="s">
        <v>15247</v>
      </c>
      <c r="M398" s="116" t="s">
        <v>15248</v>
      </c>
    </row>
    <row r="399" spans="1:13" ht="14.25" customHeight="1">
      <c r="A399" s="116">
        <v>23</v>
      </c>
      <c r="B399" s="116"/>
      <c r="C399" s="186" t="s">
        <v>8885</v>
      </c>
      <c r="D399" s="116" t="s">
        <v>8886</v>
      </c>
      <c r="E399" s="61" t="s">
        <v>8887</v>
      </c>
      <c r="F399" s="61" t="s">
        <v>563</v>
      </c>
      <c r="G399" s="116" t="s">
        <v>8888</v>
      </c>
      <c r="H399" s="116" t="s">
        <v>15249</v>
      </c>
      <c r="I399" s="116"/>
      <c r="J399" s="116" t="s">
        <v>8891</v>
      </c>
      <c r="K399" s="134" t="s">
        <v>10947</v>
      </c>
      <c r="L399" s="28" t="s">
        <v>10948</v>
      </c>
      <c r="M399" s="116" t="s">
        <v>10949</v>
      </c>
    </row>
    <row r="400" spans="1:13" ht="14.25" customHeight="1">
      <c r="A400" s="116">
        <v>24</v>
      </c>
      <c r="B400" s="116"/>
      <c r="C400" s="186" t="s">
        <v>15250</v>
      </c>
      <c r="D400" s="116" t="s">
        <v>15251</v>
      </c>
      <c r="E400" s="61" t="s">
        <v>15252</v>
      </c>
      <c r="F400" s="61" t="s">
        <v>117</v>
      </c>
      <c r="G400" s="116" t="s">
        <v>15253</v>
      </c>
      <c r="H400" s="116" t="s">
        <v>15254</v>
      </c>
      <c r="I400" s="116"/>
      <c r="J400" s="116" t="s">
        <v>15255</v>
      </c>
      <c r="K400" s="134" t="s">
        <v>15256</v>
      </c>
      <c r="L400" s="116" t="s">
        <v>15257</v>
      </c>
      <c r="M400" s="116" t="s">
        <v>15258</v>
      </c>
    </row>
    <row r="401" spans="1:13" ht="14.25" customHeight="1">
      <c r="A401" s="116">
        <v>25</v>
      </c>
      <c r="B401" s="116"/>
      <c r="C401" s="186" t="s">
        <v>15259</v>
      </c>
      <c r="D401" s="116" t="s">
        <v>15260</v>
      </c>
      <c r="E401" s="185" t="s">
        <v>15261</v>
      </c>
      <c r="F401" s="185" t="s">
        <v>65</v>
      </c>
      <c r="G401" s="116" t="s">
        <v>15262</v>
      </c>
      <c r="H401" s="116" t="s">
        <v>15263</v>
      </c>
      <c r="I401" s="116"/>
      <c r="J401" s="116" t="s">
        <v>15264</v>
      </c>
      <c r="K401" s="134" t="s">
        <v>15265</v>
      </c>
      <c r="L401" s="116" t="s">
        <v>15266</v>
      </c>
      <c r="M401" s="116" t="s">
        <v>15267</v>
      </c>
    </row>
    <row r="402" spans="1:13" ht="14.25" customHeight="1">
      <c r="A402" s="116">
        <v>26</v>
      </c>
      <c r="B402" s="116"/>
      <c r="C402" s="186" t="s">
        <v>15268</v>
      </c>
      <c r="D402" s="116" t="s">
        <v>15269</v>
      </c>
      <c r="E402" s="61" t="s">
        <v>15270</v>
      </c>
      <c r="F402" s="61" t="s">
        <v>117</v>
      </c>
      <c r="G402" s="116" t="s">
        <v>15271</v>
      </c>
      <c r="H402" s="116" t="s">
        <v>15272</v>
      </c>
      <c r="I402" s="116"/>
      <c r="J402" s="116" t="s">
        <v>15273</v>
      </c>
      <c r="K402" s="134" t="s">
        <v>15274</v>
      </c>
      <c r="L402" s="116" t="s">
        <v>15275</v>
      </c>
      <c r="M402" s="116" t="s">
        <v>15276</v>
      </c>
    </row>
    <row r="403" spans="1:13" ht="14.25" customHeight="1">
      <c r="A403" s="116">
        <v>27</v>
      </c>
      <c r="B403" s="116"/>
      <c r="C403" s="186" t="s">
        <v>15277</v>
      </c>
      <c r="D403" s="116" t="s">
        <v>15278</v>
      </c>
      <c r="E403" s="61" t="s">
        <v>15279</v>
      </c>
      <c r="F403" s="61" t="s">
        <v>117</v>
      </c>
      <c r="G403" s="116" t="s">
        <v>15280</v>
      </c>
      <c r="H403" s="116" t="s">
        <v>15281</v>
      </c>
      <c r="I403" s="116"/>
      <c r="J403" s="116" t="s">
        <v>15282</v>
      </c>
      <c r="K403" s="134" t="s">
        <v>15283</v>
      </c>
      <c r="L403" s="116" t="s">
        <v>15284</v>
      </c>
      <c r="M403" s="116" t="s">
        <v>15285</v>
      </c>
    </row>
    <row r="404" spans="1:13" ht="14.25" customHeight="1">
      <c r="A404" s="116">
        <v>28</v>
      </c>
      <c r="B404" s="116"/>
      <c r="C404" s="186" t="s">
        <v>15286</v>
      </c>
      <c r="D404" s="116" t="s">
        <v>15287</v>
      </c>
      <c r="E404" s="61" t="s">
        <v>15288</v>
      </c>
      <c r="F404" s="61" t="s">
        <v>54</v>
      </c>
      <c r="G404" s="116" t="s">
        <v>15289</v>
      </c>
      <c r="H404" s="116" t="s">
        <v>15290</v>
      </c>
      <c r="I404" s="116"/>
      <c r="J404" s="116" t="s">
        <v>15291</v>
      </c>
      <c r="K404" s="134" t="s">
        <v>15292</v>
      </c>
      <c r="L404" s="116" t="s">
        <v>15293</v>
      </c>
      <c r="M404" s="116" t="s">
        <v>15294</v>
      </c>
    </row>
    <row r="405" spans="1:13" ht="14.25" customHeight="1">
      <c r="A405" s="116">
        <v>29</v>
      </c>
      <c r="B405" s="116"/>
      <c r="C405" s="186" t="s">
        <v>15295</v>
      </c>
      <c r="D405" s="116" t="s">
        <v>15296</v>
      </c>
      <c r="E405" s="61" t="s">
        <v>15297</v>
      </c>
      <c r="F405" s="61"/>
      <c r="G405" s="116" t="s">
        <v>15298</v>
      </c>
      <c r="H405" s="116" t="s">
        <v>15299</v>
      </c>
      <c r="I405" s="116"/>
      <c r="J405" s="116" t="s">
        <v>15300</v>
      </c>
      <c r="K405" s="134" t="s">
        <v>15301</v>
      </c>
      <c r="L405" s="116" t="s">
        <v>15302</v>
      </c>
      <c r="M405" s="116" t="s">
        <v>15303</v>
      </c>
    </row>
    <row r="406" spans="1:13" ht="14.25" customHeight="1">
      <c r="A406" s="116">
        <v>30</v>
      </c>
      <c r="B406" s="116"/>
      <c r="C406" s="186" t="s">
        <v>15304</v>
      </c>
      <c r="D406" s="116" t="s">
        <v>15305</v>
      </c>
      <c r="E406" s="61" t="s">
        <v>15306</v>
      </c>
      <c r="F406" s="61" t="s">
        <v>65</v>
      </c>
      <c r="G406" s="116" t="s">
        <v>15307</v>
      </c>
      <c r="H406" s="116" t="s">
        <v>15308</v>
      </c>
      <c r="I406" s="116"/>
      <c r="J406" s="116" t="s">
        <v>15309</v>
      </c>
      <c r="K406" s="134" t="s">
        <v>15310</v>
      </c>
      <c r="L406" s="116" t="s">
        <v>15311</v>
      </c>
      <c r="M406" s="116" t="s">
        <v>15312</v>
      </c>
    </row>
    <row r="407" spans="1:13" ht="14.25" customHeight="1">
      <c r="A407" s="116">
        <v>31</v>
      </c>
      <c r="B407" s="116"/>
      <c r="C407" s="186" t="s">
        <v>15313</v>
      </c>
      <c r="D407" s="116" t="s">
        <v>15314</v>
      </c>
      <c r="E407" s="61" t="s">
        <v>15315</v>
      </c>
      <c r="F407" s="61" t="s">
        <v>664</v>
      </c>
      <c r="G407" s="116" t="s">
        <v>15316</v>
      </c>
      <c r="H407" s="116" t="s">
        <v>15317</v>
      </c>
      <c r="I407" s="116"/>
      <c r="J407" s="116" t="s">
        <v>15318</v>
      </c>
      <c r="K407" s="134" t="s">
        <v>15319</v>
      </c>
      <c r="L407" s="116" t="s">
        <v>15320</v>
      </c>
      <c r="M407" s="132" t="s">
        <v>15321</v>
      </c>
    </row>
    <row r="408" spans="1:13" ht="14.25" customHeight="1">
      <c r="A408" s="116">
        <v>32</v>
      </c>
      <c r="B408" s="116"/>
      <c r="C408" s="186" t="s">
        <v>15322</v>
      </c>
      <c r="D408" s="116" t="s">
        <v>15323</v>
      </c>
      <c r="E408" s="61" t="s">
        <v>15324</v>
      </c>
      <c r="F408" s="61" t="s">
        <v>65</v>
      </c>
      <c r="G408" s="116" t="s">
        <v>15325</v>
      </c>
      <c r="H408" s="116" t="s">
        <v>15326</v>
      </c>
      <c r="I408" s="116"/>
      <c r="J408" s="116" t="s">
        <v>15327</v>
      </c>
      <c r="K408" s="134" t="s">
        <v>15328</v>
      </c>
      <c r="L408" s="116" t="s">
        <v>15329</v>
      </c>
      <c r="M408" s="116" t="s">
        <v>15330</v>
      </c>
    </row>
    <row r="409" spans="1:13" ht="14.25" customHeight="1">
      <c r="A409" s="132">
        <v>33</v>
      </c>
      <c r="B409" s="132"/>
      <c r="C409" s="183" t="s">
        <v>15331</v>
      </c>
      <c r="D409" s="132" t="s">
        <v>15332</v>
      </c>
      <c r="E409" s="61" t="s">
        <v>15333</v>
      </c>
      <c r="F409" s="27" t="s">
        <v>117</v>
      </c>
      <c r="G409" s="132" t="s">
        <v>15334</v>
      </c>
      <c r="H409" s="132" t="s">
        <v>15335</v>
      </c>
      <c r="I409" s="132"/>
      <c r="J409" s="132" t="s">
        <v>15336</v>
      </c>
      <c r="K409" s="134" t="s">
        <v>15337</v>
      </c>
      <c r="L409" s="132" t="s">
        <v>15338</v>
      </c>
      <c r="M409" s="116" t="s">
        <v>15339</v>
      </c>
    </row>
    <row r="410" spans="1:13" ht="14.25" customHeight="1">
      <c r="A410" s="178">
        <v>1</v>
      </c>
      <c r="B410" s="178"/>
      <c r="C410" s="196" t="s">
        <v>15340</v>
      </c>
      <c r="D410" s="178" t="s">
        <v>15341</v>
      </c>
      <c r="E410" s="182" t="s">
        <v>15342</v>
      </c>
      <c r="F410" s="182" t="s">
        <v>65</v>
      </c>
      <c r="G410" s="178" t="s">
        <v>15343</v>
      </c>
      <c r="H410" s="178" t="s">
        <v>15344</v>
      </c>
      <c r="I410" s="178"/>
      <c r="J410" s="178" t="s">
        <v>15345</v>
      </c>
      <c r="K410" s="180" t="s">
        <v>15346</v>
      </c>
      <c r="L410" s="197" t="s">
        <v>15347</v>
      </c>
      <c r="M410" s="178" t="s">
        <v>15348</v>
      </c>
    </row>
    <row r="411" spans="1:13" ht="14.25" customHeight="1">
      <c r="A411" s="116">
        <v>2</v>
      </c>
      <c r="B411" s="116"/>
      <c r="C411" s="186" t="s">
        <v>15349</v>
      </c>
      <c r="D411" s="116" t="s">
        <v>15350</v>
      </c>
      <c r="E411" s="61" t="s">
        <v>15351</v>
      </c>
      <c r="F411" s="61" t="s">
        <v>65</v>
      </c>
      <c r="G411" s="116" t="s">
        <v>15352</v>
      </c>
      <c r="H411" s="132" t="s">
        <v>15353</v>
      </c>
      <c r="I411" s="132"/>
      <c r="J411" s="116" t="s">
        <v>15354</v>
      </c>
      <c r="K411" s="134" t="s">
        <v>15355</v>
      </c>
      <c r="L411" s="116" t="s">
        <v>15356</v>
      </c>
      <c r="M411" s="116" t="s">
        <v>15357</v>
      </c>
    </row>
    <row r="412" spans="1:13" ht="14.25" customHeight="1">
      <c r="A412" s="116">
        <v>3</v>
      </c>
      <c r="B412" s="116"/>
      <c r="C412" s="186" t="s">
        <v>15358</v>
      </c>
      <c r="D412" s="116" t="s">
        <v>15359</v>
      </c>
      <c r="E412" s="61" t="s">
        <v>15360</v>
      </c>
      <c r="F412" s="61" t="s">
        <v>65</v>
      </c>
      <c r="G412" s="116" t="s">
        <v>15361</v>
      </c>
      <c r="H412" s="118" t="s">
        <v>15362</v>
      </c>
      <c r="I412" s="118"/>
      <c r="J412" s="116" t="s">
        <v>15363</v>
      </c>
      <c r="K412" s="134" t="s">
        <v>15364</v>
      </c>
      <c r="L412" s="116" t="s">
        <v>15365</v>
      </c>
      <c r="M412" s="116" t="s">
        <v>15366</v>
      </c>
    </row>
    <row r="413" spans="1:13" ht="14.25" customHeight="1">
      <c r="A413" s="116">
        <v>4</v>
      </c>
      <c r="B413" s="116"/>
      <c r="C413" s="186" t="s">
        <v>15367</v>
      </c>
      <c r="D413" s="116" t="s">
        <v>15368</v>
      </c>
      <c r="E413" s="61" t="s">
        <v>15369</v>
      </c>
      <c r="F413" s="61" t="s">
        <v>117</v>
      </c>
      <c r="G413" s="116" t="s">
        <v>15370</v>
      </c>
      <c r="H413" s="132" t="s">
        <v>15371</v>
      </c>
      <c r="I413" s="132"/>
      <c r="J413" s="116" t="s">
        <v>15372</v>
      </c>
      <c r="K413" s="134" t="s">
        <v>15373</v>
      </c>
      <c r="L413" s="116" t="s">
        <v>15374</v>
      </c>
      <c r="M413" s="116" t="s">
        <v>15375</v>
      </c>
    </row>
    <row r="414" spans="1:13" ht="14.25" customHeight="1">
      <c r="A414" s="116">
        <v>5</v>
      </c>
      <c r="B414" s="116"/>
      <c r="C414" s="186" t="s">
        <v>8984</v>
      </c>
      <c r="D414" s="116" t="s">
        <v>8985</v>
      </c>
      <c r="E414" s="61" t="s">
        <v>8986</v>
      </c>
      <c r="F414" s="61" t="s">
        <v>117</v>
      </c>
      <c r="G414" s="116" t="s">
        <v>10958</v>
      </c>
      <c r="H414" s="132" t="s">
        <v>15376</v>
      </c>
      <c r="I414" s="132"/>
      <c r="J414" s="116" t="s">
        <v>8990</v>
      </c>
      <c r="K414" s="134" t="s">
        <v>10959</v>
      </c>
      <c r="L414" s="116" t="s">
        <v>10960</v>
      </c>
      <c r="M414" s="116" t="s">
        <v>10961</v>
      </c>
    </row>
    <row r="415" spans="1:13" ht="14.25" customHeight="1">
      <c r="A415" s="116">
        <v>6</v>
      </c>
      <c r="B415" s="116"/>
      <c r="C415" s="186" t="s">
        <v>15377</v>
      </c>
      <c r="D415" s="116" t="s">
        <v>15378</v>
      </c>
      <c r="E415" s="61" t="s">
        <v>15379</v>
      </c>
      <c r="F415" s="61" t="s">
        <v>65</v>
      </c>
      <c r="G415" s="116" t="s">
        <v>15380</v>
      </c>
      <c r="H415" s="132" t="s">
        <v>15381</v>
      </c>
      <c r="I415" s="132"/>
      <c r="J415" s="116" t="s">
        <v>15382</v>
      </c>
      <c r="K415" s="134" t="s">
        <v>15383</v>
      </c>
      <c r="L415" s="116" t="s">
        <v>15384</v>
      </c>
      <c r="M415" s="116" t="s">
        <v>15385</v>
      </c>
    </row>
    <row r="416" spans="1:13" ht="14.25" customHeight="1">
      <c r="A416" s="116">
        <v>7</v>
      </c>
      <c r="B416" s="116"/>
      <c r="C416" s="186" t="s">
        <v>15386</v>
      </c>
      <c r="D416" s="116" t="s">
        <v>15387</v>
      </c>
      <c r="E416" s="61" t="s">
        <v>15388</v>
      </c>
      <c r="F416" s="61" t="s">
        <v>54</v>
      </c>
      <c r="G416" s="116" t="s">
        <v>15389</v>
      </c>
      <c r="H416" s="132" t="s">
        <v>15390</v>
      </c>
      <c r="I416" s="132"/>
      <c r="J416" s="116" t="s">
        <v>15391</v>
      </c>
      <c r="K416" s="134" t="s">
        <v>15392</v>
      </c>
      <c r="L416" s="116" t="s">
        <v>15393</v>
      </c>
      <c r="M416" s="116" t="s">
        <v>15394</v>
      </c>
    </row>
    <row r="417" spans="1:13" ht="14.25" customHeight="1">
      <c r="A417" s="116">
        <v>8</v>
      </c>
      <c r="B417" s="116"/>
      <c r="C417" s="186" t="s">
        <v>7464</v>
      </c>
      <c r="D417" s="116" t="s">
        <v>7465</v>
      </c>
      <c r="E417" s="61" t="s">
        <v>7466</v>
      </c>
      <c r="F417" s="61" t="s">
        <v>54</v>
      </c>
      <c r="G417" s="116" t="s">
        <v>5305</v>
      </c>
      <c r="H417" s="132" t="s">
        <v>15395</v>
      </c>
      <c r="I417" s="132"/>
      <c r="J417" s="116" t="s">
        <v>7469</v>
      </c>
      <c r="K417" s="134" t="s">
        <v>10793</v>
      </c>
      <c r="L417" s="116" t="s">
        <v>10794</v>
      </c>
      <c r="M417" s="116" t="s">
        <v>10795</v>
      </c>
    </row>
    <row r="418" spans="1:13" ht="14.25" customHeight="1">
      <c r="A418" s="116">
        <v>9</v>
      </c>
      <c r="B418" s="116"/>
      <c r="C418" s="186" t="s">
        <v>15396</v>
      </c>
      <c r="D418" s="116" t="s">
        <v>15397</v>
      </c>
      <c r="E418" s="61" t="s">
        <v>1409</v>
      </c>
      <c r="F418" s="61" t="s">
        <v>54</v>
      </c>
      <c r="G418" s="116" t="s">
        <v>15398</v>
      </c>
      <c r="H418" s="132" t="s">
        <v>15399</v>
      </c>
      <c r="I418" s="132"/>
      <c r="J418" s="116" t="s">
        <v>15400</v>
      </c>
      <c r="K418" s="134" t="s">
        <v>15401</v>
      </c>
      <c r="L418" s="116" t="s">
        <v>15402</v>
      </c>
      <c r="M418" s="116" t="s">
        <v>15403</v>
      </c>
    </row>
    <row r="419" spans="1:13" ht="14.25" customHeight="1">
      <c r="A419" s="116">
        <v>10</v>
      </c>
      <c r="B419" s="116"/>
      <c r="C419" s="186" t="s">
        <v>9920</v>
      </c>
      <c r="D419" s="116" t="s">
        <v>9921</v>
      </c>
      <c r="E419" s="61" t="s">
        <v>9922</v>
      </c>
      <c r="F419" s="61" t="s">
        <v>219</v>
      </c>
      <c r="G419" s="116" t="s">
        <v>11056</v>
      </c>
      <c r="H419" s="132" t="s">
        <v>15404</v>
      </c>
      <c r="I419" s="132"/>
      <c r="J419" s="116" t="s">
        <v>9926</v>
      </c>
      <c r="K419" s="134" t="s">
        <v>11057</v>
      </c>
      <c r="L419" s="116" t="s">
        <v>11058</v>
      </c>
      <c r="M419" s="116" t="s">
        <v>11059</v>
      </c>
    </row>
    <row r="420" spans="1:13" ht="14.25" customHeight="1">
      <c r="A420" s="116">
        <v>11</v>
      </c>
      <c r="B420" s="116"/>
      <c r="C420" s="186" t="s">
        <v>8780</v>
      </c>
      <c r="D420" s="116" t="s">
        <v>8781</v>
      </c>
      <c r="E420" s="61" t="s">
        <v>8782</v>
      </c>
      <c r="F420" s="61" t="s">
        <v>117</v>
      </c>
      <c r="G420" s="116" t="s">
        <v>10932</v>
      </c>
      <c r="H420" s="132" t="s">
        <v>15405</v>
      </c>
      <c r="I420" s="132"/>
      <c r="J420" s="116" t="s">
        <v>8786</v>
      </c>
      <c r="K420" s="134" t="s">
        <v>10933</v>
      </c>
      <c r="L420" s="116" t="s">
        <v>10934</v>
      </c>
      <c r="M420" s="116" t="s">
        <v>10935</v>
      </c>
    </row>
    <row r="421" spans="1:13" ht="14.25" customHeight="1">
      <c r="A421" s="116">
        <v>12</v>
      </c>
      <c r="B421" s="116"/>
      <c r="C421" s="186" t="s">
        <v>7869</v>
      </c>
      <c r="D421" s="116" t="s">
        <v>7870</v>
      </c>
      <c r="E421" s="61" t="s">
        <v>7871</v>
      </c>
      <c r="F421" s="61" t="s">
        <v>563</v>
      </c>
      <c r="G421" s="116" t="s">
        <v>10841</v>
      </c>
      <c r="H421" s="132" t="s">
        <v>15406</v>
      </c>
      <c r="I421" s="132"/>
      <c r="J421" s="116" t="s">
        <v>7875</v>
      </c>
      <c r="K421" s="134" t="s">
        <v>10842</v>
      </c>
      <c r="L421" s="116" t="s">
        <v>10843</v>
      </c>
      <c r="M421" s="116" t="s">
        <v>10844</v>
      </c>
    </row>
    <row r="422" spans="1:13" ht="14.25" customHeight="1">
      <c r="A422" s="116">
        <v>13</v>
      </c>
      <c r="B422" s="116"/>
      <c r="C422" s="186" t="s">
        <v>15407</v>
      </c>
      <c r="D422" s="116" t="s">
        <v>15408</v>
      </c>
      <c r="E422" s="61" t="s">
        <v>15409</v>
      </c>
      <c r="F422" s="61" t="s">
        <v>219</v>
      </c>
      <c r="G422" s="116" t="s">
        <v>15410</v>
      </c>
      <c r="H422" s="132" t="s">
        <v>15411</v>
      </c>
      <c r="I422" s="132"/>
      <c r="J422" s="116" t="s">
        <v>15412</v>
      </c>
      <c r="K422" s="134" t="s">
        <v>15413</v>
      </c>
      <c r="L422" s="116" t="s">
        <v>15414</v>
      </c>
      <c r="M422" s="116" t="s">
        <v>15415</v>
      </c>
    </row>
    <row r="423" spans="1:13" ht="14.25" customHeight="1">
      <c r="A423" s="116">
        <v>14</v>
      </c>
      <c r="B423" s="116"/>
      <c r="C423" s="186" t="s">
        <v>15416</v>
      </c>
      <c r="D423" s="116" t="s">
        <v>15417</v>
      </c>
      <c r="E423" s="61" t="s">
        <v>15418</v>
      </c>
      <c r="F423" s="61" t="s">
        <v>117</v>
      </c>
      <c r="G423" s="116" t="s">
        <v>15419</v>
      </c>
      <c r="H423" s="132" t="s">
        <v>15420</v>
      </c>
      <c r="I423" s="132"/>
      <c r="J423" s="116" t="s">
        <v>15421</v>
      </c>
      <c r="K423" s="134" t="s">
        <v>15422</v>
      </c>
      <c r="L423" s="116" t="s">
        <v>15423</v>
      </c>
      <c r="M423" s="116" t="s">
        <v>15424</v>
      </c>
    </row>
    <row r="424" spans="1:13" ht="14.25" customHeight="1">
      <c r="A424" s="116">
        <v>15</v>
      </c>
      <c r="B424" s="116"/>
      <c r="C424" s="186" t="s">
        <v>15425</v>
      </c>
      <c r="D424" s="116" t="s">
        <v>15426</v>
      </c>
      <c r="E424" s="61" t="s">
        <v>15427</v>
      </c>
      <c r="F424" s="61" t="s">
        <v>219</v>
      </c>
      <c r="G424" s="116" t="s">
        <v>15428</v>
      </c>
      <c r="H424" s="132" t="s">
        <v>15429</v>
      </c>
      <c r="I424" s="132"/>
      <c r="J424" s="116" t="s">
        <v>15430</v>
      </c>
      <c r="K424" s="134" t="s">
        <v>15431</v>
      </c>
      <c r="L424" s="116" t="s">
        <v>15432</v>
      </c>
      <c r="M424" s="116" t="s">
        <v>15433</v>
      </c>
    </row>
    <row r="425" spans="1:13" ht="14.25" customHeight="1">
      <c r="A425" s="116">
        <v>16</v>
      </c>
      <c r="B425" s="116"/>
      <c r="C425" s="186" t="s">
        <v>15434</v>
      </c>
      <c r="D425" s="116" t="s">
        <v>15435</v>
      </c>
      <c r="E425" s="61" t="s">
        <v>15436</v>
      </c>
      <c r="F425" s="61" t="s">
        <v>65</v>
      </c>
      <c r="G425" s="116" t="s">
        <v>15437</v>
      </c>
      <c r="H425" s="132" t="s">
        <v>15438</v>
      </c>
      <c r="I425" s="132"/>
      <c r="J425" s="116" t="s">
        <v>15439</v>
      </c>
      <c r="K425" s="134" t="s">
        <v>15440</v>
      </c>
      <c r="L425" s="116" t="s">
        <v>15441</v>
      </c>
      <c r="M425" s="116" t="s">
        <v>15442</v>
      </c>
    </row>
    <row r="426" spans="1:13" ht="14.25" customHeight="1">
      <c r="A426" s="116">
        <v>17</v>
      </c>
      <c r="B426" s="116"/>
      <c r="C426" s="186" t="s">
        <v>15443</v>
      </c>
      <c r="D426" s="116" t="s">
        <v>15444</v>
      </c>
      <c r="E426" s="61" t="s">
        <v>15445</v>
      </c>
      <c r="F426" s="61" t="s">
        <v>65</v>
      </c>
      <c r="G426" s="116" t="s">
        <v>15446</v>
      </c>
      <c r="H426" s="132" t="s">
        <v>15447</v>
      </c>
      <c r="I426" s="132"/>
      <c r="J426" s="116" t="s">
        <v>15448</v>
      </c>
      <c r="K426" s="134" t="s">
        <v>15449</v>
      </c>
      <c r="L426" s="116" t="s">
        <v>15450</v>
      </c>
      <c r="M426" s="116" t="s">
        <v>15451</v>
      </c>
    </row>
    <row r="427" spans="1:13" ht="14.25" customHeight="1">
      <c r="A427" s="116">
        <v>18</v>
      </c>
      <c r="B427" s="116"/>
      <c r="C427" s="186" t="s">
        <v>15452</v>
      </c>
      <c r="D427" s="116" t="s">
        <v>15453</v>
      </c>
      <c r="E427" s="61" t="s">
        <v>15454</v>
      </c>
      <c r="F427" s="61" t="s">
        <v>65</v>
      </c>
      <c r="G427" s="116" t="s">
        <v>15455</v>
      </c>
      <c r="H427" s="132" t="s">
        <v>15456</v>
      </c>
      <c r="I427" s="132"/>
      <c r="J427" s="116" t="s">
        <v>15457</v>
      </c>
      <c r="K427" s="134" t="s">
        <v>15458</v>
      </c>
      <c r="L427" s="116" t="s">
        <v>15459</v>
      </c>
      <c r="M427" s="132" t="s">
        <v>15460</v>
      </c>
    </row>
    <row r="428" spans="1:13" ht="14.25" customHeight="1">
      <c r="A428" s="116">
        <v>19</v>
      </c>
      <c r="B428" s="116"/>
      <c r="C428" s="186" t="s">
        <v>15461</v>
      </c>
      <c r="D428" s="116" t="s">
        <v>15462</v>
      </c>
      <c r="E428" s="61" t="s">
        <v>15463</v>
      </c>
      <c r="F428" s="61" t="s">
        <v>65</v>
      </c>
      <c r="G428" s="116" t="s">
        <v>15464</v>
      </c>
      <c r="H428" s="132" t="s">
        <v>15465</v>
      </c>
      <c r="I428" s="132"/>
      <c r="J428" s="199" t="s">
        <v>15466</v>
      </c>
      <c r="K428" s="134" t="s">
        <v>15467</v>
      </c>
      <c r="L428" s="116" t="s">
        <v>15468</v>
      </c>
      <c r="M428" s="116" t="s">
        <v>15469</v>
      </c>
    </row>
    <row r="429" spans="1:13" ht="14.25" customHeight="1">
      <c r="A429" s="116">
        <v>20</v>
      </c>
      <c r="B429" s="116"/>
      <c r="C429" s="186" t="s">
        <v>15470</v>
      </c>
      <c r="D429" s="116" t="s">
        <v>15471</v>
      </c>
      <c r="E429" s="61" t="s">
        <v>15472</v>
      </c>
      <c r="F429" s="26" t="s">
        <v>65</v>
      </c>
      <c r="G429" s="116" t="s">
        <v>15473</v>
      </c>
      <c r="H429" s="132" t="s">
        <v>15474</v>
      </c>
      <c r="I429" s="132"/>
      <c r="J429" s="116" t="s">
        <v>15475</v>
      </c>
      <c r="K429" s="134" t="s">
        <v>15476</v>
      </c>
      <c r="L429" s="116" t="s">
        <v>15477</v>
      </c>
      <c r="M429" s="116" t="s">
        <v>15478</v>
      </c>
    </row>
    <row r="430" spans="1:13" ht="14.25" customHeight="1">
      <c r="A430" s="116">
        <v>21</v>
      </c>
      <c r="B430" s="116"/>
      <c r="C430" s="186" t="s">
        <v>15479</v>
      </c>
      <c r="D430" s="116" t="s">
        <v>15480</v>
      </c>
      <c r="E430" s="61" t="s">
        <v>15481</v>
      </c>
      <c r="F430" s="26" t="s">
        <v>219</v>
      </c>
      <c r="G430" s="116" t="s">
        <v>15482</v>
      </c>
      <c r="H430" s="132" t="s">
        <v>15483</v>
      </c>
      <c r="I430" s="132"/>
      <c r="J430" s="116" t="s">
        <v>15484</v>
      </c>
      <c r="K430" s="134" t="s">
        <v>15485</v>
      </c>
      <c r="L430" s="116" t="s">
        <v>15486</v>
      </c>
      <c r="M430" s="116" t="s">
        <v>15487</v>
      </c>
    </row>
    <row r="431" spans="1:13" ht="14.25" customHeight="1">
      <c r="A431" s="116">
        <v>22</v>
      </c>
      <c r="B431" s="116"/>
      <c r="C431" s="186" t="s">
        <v>15488</v>
      </c>
      <c r="D431" s="116" t="s">
        <v>15489</v>
      </c>
      <c r="E431" s="61" t="s">
        <v>15490</v>
      </c>
      <c r="F431" s="26" t="s">
        <v>219</v>
      </c>
      <c r="G431" s="116" t="s">
        <v>1122</v>
      </c>
      <c r="H431" s="132" t="s">
        <v>15491</v>
      </c>
      <c r="I431" s="132"/>
      <c r="J431" s="116" t="s">
        <v>15492</v>
      </c>
      <c r="K431" s="134" t="s">
        <v>15493</v>
      </c>
      <c r="L431" s="116" t="s">
        <v>15494</v>
      </c>
      <c r="M431" s="116" t="s">
        <v>15495</v>
      </c>
    </row>
    <row r="432" spans="1:13" ht="14.25" customHeight="1">
      <c r="A432" s="116">
        <v>23</v>
      </c>
      <c r="B432" s="116"/>
      <c r="C432" s="186" t="s">
        <v>15496</v>
      </c>
      <c r="D432" s="116" t="s">
        <v>15497</v>
      </c>
      <c r="E432" s="185" t="s">
        <v>15498</v>
      </c>
      <c r="F432" s="185" t="s">
        <v>54</v>
      </c>
      <c r="G432" s="116" t="s">
        <v>15499</v>
      </c>
      <c r="H432" s="116" t="s">
        <v>15500</v>
      </c>
      <c r="I432" s="116"/>
      <c r="J432" s="116" t="s">
        <v>15501</v>
      </c>
      <c r="K432" s="134" t="s">
        <v>15502</v>
      </c>
      <c r="L432" s="116" t="s">
        <v>15503</v>
      </c>
      <c r="M432" s="116" t="s">
        <v>15504</v>
      </c>
    </row>
    <row r="433" spans="1:13" ht="14.25" customHeight="1">
      <c r="A433" s="116">
        <v>24</v>
      </c>
      <c r="B433" s="116"/>
      <c r="C433" s="186" t="s">
        <v>15505</v>
      </c>
      <c r="D433" s="116" t="s">
        <v>15506</v>
      </c>
      <c r="E433" s="185" t="s">
        <v>15507</v>
      </c>
      <c r="F433" s="26" t="s">
        <v>54</v>
      </c>
      <c r="G433" s="116" t="s">
        <v>15508</v>
      </c>
      <c r="H433" s="116" t="s">
        <v>15509</v>
      </c>
      <c r="I433" s="116"/>
      <c r="J433" s="116" t="s">
        <v>15510</v>
      </c>
      <c r="K433" s="134" t="s">
        <v>15511</v>
      </c>
      <c r="L433" s="116" t="s">
        <v>15512</v>
      </c>
      <c r="M433" s="116" t="s">
        <v>15513</v>
      </c>
    </row>
    <row r="434" spans="1:13" ht="14.25" customHeight="1">
      <c r="A434" s="116">
        <v>25</v>
      </c>
      <c r="B434" s="116"/>
      <c r="C434" s="186" t="s">
        <v>15514</v>
      </c>
      <c r="D434" s="116" t="s">
        <v>15515</v>
      </c>
      <c r="E434" s="185" t="s">
        <v>15516</v>
      </c>
      <c r="F434" s="185" t="s">
        <v>117</v>
      </c>
      <c r="G434" s="116" t="s">
        <v>15517</v>
      </c>
      <c r="H434" s="116" t="s">
        <v>15518</v>
      </c>
      <c r="I434" s="116"/>
      <c r="J434" s="116" t="s">
        <v>15519</v>
      </c>
      <c r="K434" s="134" t="s">
        <v>15520</v>
      </c>
      <c r="L434" s="116" t="s">
        <v>15521</v>
      </c>
      <c r="M434" s="116" t="s">
        <v>15522</v>
      </c>
    </row>
    <row r="435" spans="1:13" ht="14.25" customHeight="1">
      <c r="A435" s="116">
        <v>26</v>
      </c>
      <c r="B435" s="116"/>
      <c r="C435" s="186" t="s">
        <v>9698</v>
      </c>
      <c r="D435" s="116" t="s">
        <v>9699</v>
      </c>
      <c r="E435" s="185" t="s">
        <v>9700</v>
      </c>
      <c r="F435" s="185" t="s">
        <v>117</v>
      </c>
      <c r="G435" s="116" t="s">
        <v>11030</v>
      </c>
      <c r="H435" s="116" t="s">
        <v>15523</v>
      </c>
      <c r="I435" s="116"/>
      <c r="J435" s="116" t="s">
        <v>9704</v>
      </c>
      <c r="K435" s="134" t="s">
        <v>11031</v>
      </c>
      <c r="L435" s="116" t="s">
        <v>11032</v>
      </c>
      <c r="M435" s="116" t="s">
        <v>11033</v>
      </c>
    </row>
    <row r="436" spans="1:13" ht="14.25" customHeight="1">
      <c r="A436" s="116">
        <v>27</v>
      </c>
      <c r="B436" s="116"/>
      <c r="C436" s="186" t="s">
        <v>15524</v>
      </c>
      <c r="D436" s="116" t="s">
        <v>15525</v>
      </c>
      <c r="E436" s="185" t="s">
        <v>4170</v>
      </c>
      <c r="F436" s="185" t="s">
        <v>501</v>
      </c>
      <c r="G436" s="116" t="s">
        <v>15526</v>
      </c>
      <c r="H436" s="116" t="s">
        <v>15527</v>
      </c>
      <c r="I436" s="116"/>
      <c r="J436" s="116" t="s">
        <v>15528</v>
      </c>
      <c r="K436" s="134" t="s">
        <v>15529</v>
      </c>
      <c r="L436" s="116" t="s">
        <v>15530</v>
      </c>
      <c r="M436" s="116" t="s">
        <v>15531</v>
      </c>
    </row>
    <row r="437" spans="1:13" ht="14.25" customHeight="1">
      <c r="A437" s="116">
        <v>28</v>
      </c>
      <c r="B437" s="116"/>
      <c r="C437" s="186" t="s">
        <v>15532</v>
      </c>
      <c r="D437" s="116" t="s">
        <v>15533</v>
      </c>
      <c r="E437" s="185" t="s">
        <v>15534</v>
      </c>
      <c r="F437" s="185" t="s">
        <v>117</v>
      </c>
      <c r="G437" s="116" t="s">
        <v>15535</v>
      </c>
      <c r="H437" s="116" t="s">
        <v>15536</v>
      </c>
      <c r="I437" s="116"/>
      <c r="J437" s="116" t="s">
        <v>15537</v>
      </c>
      <c r="K437" s="134" t="s">
        <v>15538</v>
      </c>
      <c r="L437" s="116" t="s">
        <v>15539</v>
      </c>
      <c r="M437" s="116" t="s">
        <v>15540</v>
      </c>
    </row>
    <row r="438" spans="1:13" ht="14.25" customHeight="1">
      <c r="A438" s="116">
        <v>29</v>
      </c>
      <c r="B438" s="116"/>
      <c r="C438" s="186" t="s">
        <v>15541</v>
      </c>
      <c r="D438" s="116" t="s">
        <v>15542</v>
      </c>
      <c r="E438" s="185" t="s">
        <v>15543</v>
      </c>
      <c r="F438" s="185" t="s">
        <v>117</v>
      </c>
      <c r="G438" s="116" t="s">
        <v>15544</v>
      </c>
      <c r="H438" s="116" t="s">
        <v>15545</v>
      </c>
      <c r="I438" s="116"/>
      <c r="J438" s="116" t="s">
        <v>15546</v>
      </c>
      <c r="K438" s="134" t="s">
        <v>15547</v>
      </c>
      <c r="L438" s="116" t="s">
        <v>15548</v>
      </c>
      <c r="M438" s="116" t="s">
        <v>15549</v>
      </c>
    </row>
    <row r="439" spans="1:13" ht="14.25" customHeight="1">
      <c r="A439" s="116">
        <v>30</v>
      </c>
      <c r="B439" s="116"/>
      <c r="C439" s="186" t="s">
        <v>15550</v>
      </c>
      <c r="D439" s="116" t="s">
        <v>15551</v>
      </c>
      <c r="E439" s="185" t="s">
        <v>15552</v>
      </c>
      <c r="F439" s="185" t="s">
        <v>54</v>
      </c>
      <c r="G439" s="116" t="s">
        <v>15553</v>
      </c>
      <c r="H439" s="116" t="s">
        <v>15554</v>
      </c>
      <c r="I439" s="116"/>
      <c r="J439" s="116" t="s">
        <v>15555</v>
      </c>
      <c r="K439" s="134" t="s">
        <v>15556</v>
      </c>
      <c r="L439" s="116" t="s">
        <v>15557</v>
      </c>
      <c r="M439" s="116" t="s">
        <v>15558</v>
      </c>
    </row>
    <row r="440" spans="1:13" ht="14.25" customHeight="1">
      <c r="A440" s="116">
        <v>31</v>
      </c>
      <c r="B440" s="116"/>
      <c r="C440" s="186" t="s">
        <v>15559</v>
      </c>
      <c r="D440" s="116" t="s">
        <v>15560</v>
      </c>
      <c r="E440" s="185" t="s">
        <v>15561</v>
      </c>
      <c r="F440" s="26" t="s">
        <v>501</v>
      </c>
      <c r="G440" s="116" t="s">
        <v>15562</v>
      </c>
      <c r="H440" s="116" t="s">
        <v>15563</v>
      </c>
      <c r="I440" s="116"/>
      <c r="J440" s="116" t="s">
        <v>15564</v>
      </c>
      <c r="K440" s="134" t="s">
        <v>15565</v>
      </c>
      <c r="L440" s="116" t="s">
        <v>15566</v>
      </c>
      <c r="M440" s="132" t="s">
        <v>15567</v>
      </c>
    </row>
    <row r="441" spans="1:13" ht="14.25" customHeight="1">
      <c r="A441" s="116">
        <v>32</v>
      </c>
      <c r="B441" s="116"/>
      <c r="C441" s="186" t="s">
        <v>15568</v>
      </c>
      <c r="D441" s="116" t="s">
        <v>15569</v>
      </c>
      <c r="E441" s="61" t="s">
        <v>15570</v>
      </c>
      <c r="F441" s="26" t="s">
        <v>54</v>
      </c>
      <c r="G441" s="116" t="s">
        <v>15571</v>
      </c>
      <c r="H441" s="132" t="s">
        <v>15572</v>
      </c>
      <c r="I441" s="132"/>
      <c r="J441" s="116" t="s">
        <v>15573</v>
      </c>
      <c r="K441" s="134" t="s">
        <v>15574</v>
      </c>
      <c r="L441" s="116" t="s">
        <v>15575</v>
      </c>
      <c r="M441" s="116" t="s">
        <v>15576</v>
      </c>
    </row>
    <row r="442" spans="1:13" ht="14.25" customHeight="1">
      <c r="A442" s="116">
        <v>33</v>
      </c>
      <c r="B442" s="116"/>
      <c r="C442" s="186" t="s">
        <v>15577</v>
      </c>
      <c r="D442" s="116" t="s">
        <v>15578</v>
      </c>
      <c r="E442" s="61" t="s">
        <v>15579</v>
      </c>
      <c r="F442" s="26" t="s">
        <v>65</v>
      </c>
      <c r="G442" s="116" t="s">
        <v>15580</v>
      </c>
      <c r="H442" s="132" t="s">
        <v>15581</v>
      </c>
      <c r="I442" s="132"/>
      <c r="J442" s="116" t="s">
        <v>15582</v>
      </c>
      <c r="K442" s="134" t="s">
        <v>15583</v>
      </c>
      <c r="L442" s="116" t="s">
        <v>15584</v>
      </c>
      <c r="M442" s="116" t="s">
        <v>15585</v>
      </c>
    </row>
    <row r="443" spans="1:13" ht="14.25" customHeight="1">
      <c r="A443" s="178">
        <v>1</v>
      </c>
      <c r="B443" s="178"/>
      <c r="C443" s="196" t="s">
        <v>15586</v>
      </c>
      <c r="D443" s="178" t="s">
        <v>15587</v>
      </c>
      <c r="E443" s="182" t="s">
        <v>15588</v>
      </c>
      <c r="F443" s="182" t="s">
        <v>117</v>
      </c>
      <c r="G443" s="178" t="s">
        <v>15589</v>
      </c>
      <c r="H443" s="178" t="s">
        <v>15590</v>
      </c>
      <c r="I443" s="178"/>
      <c r="J443" s="178" t="s">
        <v>15591</v>
      </c>
      <c r="K443" s="180" t="s">
        <v>15592</v>
      </c>
      <c r="L443" s="197" t="s">
        <v>15593</v>
      </c>
      <c r="M443" s="178" t="s">
        <v>15594</v>
      </c>
    </row>
    <row r="444" spans="1:13" ht="14.25" customHeight="1">
      <c r="A444" s="116">
        <v>2</v>
      </c>
      <c r="B444" s="116"/>
      <c r="C444" s="186" t="s">
        <v>15595</v>
      </c>
      <c r="D444" s="116" t="s">
        <v>15596</v>
      </c>
      <c r="E444" s="61" t="s">
        <v>15597</v>
      </c>
      <c r="F444" s="26" t="s">
        <v>117</v>
      </c>
      <c r="G444" s="116" t="s">
        <v>15598</v>
      </c>
      <c r="H444" s="116" t="s">
        <v>15599</v>
      </c>
      <c r="I444" s="116"/>
      <c r="J444" s="116" t="s">
        <v>15600</v>
      </c>
      <c r="K444" s="134" t="s">
        <v>15601</v>
      </c>
      <c r="L444" s="116" t="s">
        <v>15602</v>
      </c>
      <c r="M444" s="116" t="s">
        <v>15603</v>
      </c>
    </row>
    <row r="445" spans="1:13" ht="14.25" customHeight="1">
      <c r="A445" s="116">
        <v>3</v>
      </c>
      <c r="B445" s="116"/>
      <c r="C445" s="186" t="s">
        <v>15604</v>
      </c>
      <c r="D445" s="116" t="s">
        <v>15605</v>
      </c>
      <c r="E445" s="61" t="s">
        <v>15606</v>
      </c>
      <c r="F445" s="61" t="s">
        <v>65</v>
      </c>
      <c r="G445" s="116" t="s">
        <v>15607</v>
      </c>
      <c r="H445" s="116" t="s">
        <v>15608</v>
      </c>
      <c r="I445" s="116"/>
      <c r="J445" s="116" t="s">
        <v>15609</v>
      </c>
      <c r="K445" s="134" t="s">
        <v>15610</v>
      </c>
      <c r="L445" s="116" t="s">
        <v>15611</v>
      </c>
      <c r="M445" s="116" t="s">
        <v>15612</v>
      </c>
    </row>
    <row r="446" spans="1:13" ht="14.25" customHeight="1">
      <c r="A446" s="116">
        <v>4</v>
      </c>
      <c r="B446" s="116"/>
      <c r="C446" s="186" t="s">
        <v>15613</v>
      </c>
      <c r="D446" s="116" t="s">
        <v>15614</v>
      </c>
      <c r="E446" s="61" t="s">
        <v>15615</v>
      </c>
      <c r="F446" s="61" t="s">
        <v>65</v>
      </c>
      <c r="G446" s="116" t="s">
        <v>15616</v>
      </c>
      <c r="H446" s="116" t="s">
        <v>15617</v>
      </c>
      <c r="I446" s="116"/>
      <c r="J446" s="116" t="s">
        <v>15618</v>
      </c>
      <c r="K446" s="134" t="s">
        <v>15619</v>
      </c>
      <c r="L446" s="116" t="s">
        <v>15620</v>
      </c>
      <c r="M446" s="116" t="s">
        <v>15621</v>
      </c>
    </row>
    <row r="447" spans="1:13" ht="14.25" customHeight="1">
      <c r="A447" s="116">
        <v>5</v>
      </c>
      <c r="B447" s="116"/>
      <c r="C447" s="186" t="s">
        <v>15622</v>
      </c>
      <c r="D447" s="116" t="s">
        <v>15623</v>
      </c>
      <c r="E447" s="61" t="s">
        <v>15624</v>
      </c>
      <c r="F447" s="61" t="s">
        <v>117</v>
      </c>
      <c r="G447" s="116" t="s">
        <v>15625</v>
      </c>
      <c r="H447" s="116" t="s">
        <v>15626</v>
      </c>
      <c r="I447" s="116"/>
      <c r="J447" s="116" t="s">
        <v>15627</v>
      </c>
      <c r="K447" s="134" t="s">
        <v>15628</v>
      </c>
      <c r="L447" s="116" t="s">
        <v>11011</v>
      </c>
      <c r="M447" s="116" t="s">
        <v>11012</v>
      </c>
    </row>
    <row r="448" spans="1:13" ht="14.25" customHeight="1">
      <c r="A448" s="116">
        <v>6</v>
      </c>
      <c r="B448" s="116"/>
      <c r="C448" s="186" t="s">
        <v>15470</v>
      </c>
      <c r="D448" s="116" t="s">
        <v>15471</v>
      </c>
      <c r="E448" s="61" t="s">
        <v>15472</v>
      </c>
      <c r="F448" s="61" t="s">
        <v>117</v>
      </c>
      <c r="G448" s="116" t="s">
        <v>15243</v>
      </c>
      <c r="H448" s="116" t="s">
        <v>15629</v>
      </c>
      <c r="I448" s="116"/>
      <c r="J448" s="116" t="s">
        <v>15630</v>
      </c>
      <c r="K448" s="134" t="s">
        <v>15631</v>
      </c>
      <c r="L448" s="116" t="s">
        <v>15632</v>
      </c>
      <c r="M448" s="116" t="s">
        <v>15633</v>
      </c>
    </row>
    <row r="449" spans="1:13" ht="14.25" customHeight="1">
      <c r="A449" s="116">
        <v>7</v>
      </c>
      <c r="B449" s="116"/>
      <c r="C449" s="186" t="s">
        <v>15634</v>
      </c>
      <c r="D449" s="116" t="s">
        <v>15635</v>
      </c>
      <c r="E449" s="61" t="s">
        <v>15636</v>
      </c>
      <c r="F449" s="61" t="s">
        <v>501</v>
      </c>
      <c r="G449" s="116" t="s">
        <v>15637</v>
      </c>
      <c r="H449" s="116" t="s">
        <v>15638</v>
      </c>
      <c r="I449" s="116"/>
      <c r="J449" s="116" t="s">
        <v>15639</v>
      </c>
      <c r="K449" s="134" t="s">
        <v>15640</v>
      </c>
      <c r="L449" s="116" t="s">
        <v>15641</v>
      </c>
      <c r="M449" s="116" t="s">
        <v>15642</v>
      </c>
    </row>
    <row r="450" spans="1:13" ht="14.25" customHeight="1">
      <c r="A450" s="116">
        <v>8</v>
      </c>
      <c r="B450" s="116"/>
      <c r="C450" s="186" t="s">
        <v>15643</v>
      </c>
      <c r="D450" s="116" t="s">
        <v>15644</v>
      </c>
      <c r="E450" s="61" t="s">
        <v>15645</v>
      </c>
      <c r="F450" s="61" t="s">
        <v>664</v>
      </c>
      <c r="G450" s="116" t="s">
        <v>15646</v>
      </c>
      <c r="H450" s="116" t="s">
        <v>15647</v>
      </c>
      <c r="I450" s="116"/>
      <c r="J450" s="116" t="s">
        <v>15648</v>
      </c>
      <c r="K450" s="134" t="s">
        <v>15649</v>
      </c>
      <c r="L450" s="116" t="s">
        <v>15650</v>
      </c>
      <c r="M450" s="116" t="s">
        <v>15651</v>
      </c>
    </row>
    <row r="451" spans="1:13" ht="14.25" customHeight="1">
      <c r="A451" s="116">
        <v>9</v>
      </c>
      <c r="B451" s="116"/>
      <c r="C451" s="186" t="s">
        <v>15652</v>
      </c>
      <c r="D451" s="116" t="s">
        <v>15653</v>
      </c>
      <c r="E451" s="61" t="s">
        <v>15654</v>
      </c>
      <c r="F451" s="61" t="s">
        <v>664</v>
      </c>
      <c r="G451" s="116" t="s">
        <v>15655</v>
      </c>
      <c r="H451" s="116" t="s">
        <v>15656</v>
      </c>
      <c r="I451" s="116"/>
      <c r="J451" s="116" t="s">
        <v>15657</v>
      </c>
      <c r="K451" s="134" t="s">
        <v>15658</v>
      </c>
      <c r="L451" s="132" t="s">
        <v>15659</v>
      </c>
      <c r="M451" s="116" t="s">
        <v>15660</v>
      </c>
    </row>
    <row r="452" spans="1:13" ht="14.25" customHeight="1">
      <c r="A452" s="116">
        <v>10</v>
      </c>
      <c r="B452" s="116"/>
      <c r="C452" s="186" t="s">
        <v>15661</v>
      </c>
      <c r="D452" s="116" t="s">
        <v>15662</v>
      </c>
      <c r="E452" s="61" t="s">
        <v>15663</v>
      </c>
      <c r="F452" s="61" t="s">
        <v>65</v>
      </c>
      <c r="G452" s="116" t="s">
        <v>15664</v>
      </c>
      <c r="H452" s="116" t="s">
        <v>15665</v>
      </c>
      <c r="I452" s="116"/>
      <c r="J452" s="116" t="s">
        <v>15666</v>
      </c>
      <c r="K452" s="134" t="s">
        <v>15667</v>
      </c>
      <c r="L452" s="116" t="s">
        <v>15668</v>
      </c>
      <c r="M452" s="116" t="s">
        <v>15669</v>
      </c>
    </row>
    <row r="453" spans="1:13" ht="14.25" customHeight="1">
      <c r="A453" s="116">
        <v>11</v>
      </c>
      <c r="B453" s="116"/>
      <c r="C453" s="186" t="s">
        <v>15670</v>
      </c>
      <c r="D453" s="116" t="s">
        <v>15671</v>
      </c>
      <c r="E453" s="61" t="s">
        <v>15672</v>
      </c>
      <c r="F453" s="61" t="s">
        <v>65</v>
      </c>
      <c r="G453" s="116" t="s">
        <v>15673</v>
      </c>
      <c r="H453" s="116" t="s">
        <v>15674</v>
      </c>
      <c r="I453" s="116"/>
      <c r="J453" s="116" t="s">
        <v>15675</v>
      </c>
      <c r="K453" s="134" t="s">
        <v>15676</v>
      </c>
      <c r="L453" s="116" t="s">
        <v>15677</v>
      </c>
      <c r="M453" s="116" t="s">
        <v>15678</v>
      </c>
    </row>
    <row r="454" spans="1:13" ht="14.25" customHeight="1">
      <c r="A454" s="116">
        <v>12</v>
      </c>
      <c r="B454" s="116"/>
      <c r="C454" s="186" t="s">
        <v>15679</v>
      </c>
      <c r="D454" s="116" t="s">
        <v>15680</v>
      </c>
      <c r="E454" s="61" t="s">
        <v>15681</v>
      </c>
      <c r="F454" s="61" t="s">
        <v>54</v>
      </c>
      <c r="G454" s="116" t="s">
        <v>15682</v>
      </c>
      <c r="H454" s="116" t="s">
        <v>15683</v>
      </c>
      <c r="I454" s="116"/>
      <c r="J454" s="116" t="s">
        <v>15684</v>
      </c>
      <c r="K454" s="134" t="s">
        <v>15685</v>
      </c>
      <c r="L454" s="116" t="s">
        <v>15686</v>
      </c>
      <c r="M454" s="116" t="s">
        <v>15687</v>
      </c>
    </row>
    <row r="455" spans="1:13" ht="14.25" customHeight="1">
      <c r="A455" s="116">
        <v>13</v>
      </c>
      <c r="B455" s="116"/>
      <c r="C455" s="186" t="s">
        <v>15688</v>
      </c>
      <c r="D455" s="116" t="s">
        <v>6768</v>
      </c>
      <c r="E455" s="185" t="s">
        <v>6769</v>
      </c>
      <c r="F455" s="185" t="s">
        <v>117</v>
      </c>
      <c r="G455" s="116" t="s">
        <v>15689</v>
      </c>
      <c r="H455" s="116" t="s">
        <v>15690</v>
      </c>
      <c r="I455" s="116"/>
      <c r="J455" s="116" t="s">
        <v>15691</v>
      </c>
      <c r="K455" s="134" t="s">
        <v>15692</v>
      </c>
      <c r="L455" s="116" t="s">
        <v>15693</v>
      </c>
      <c r="M455" s="116" t="s">
        <v>15694</v>
      </c>
    </row>
    <row r="456" spans="1:13" ht="14.25" customHeight="1">
      <c r="A456" s="116">
        <v>14</v>
      </c>
      <c r="B456" s="116"/>
      <c r="C456" s="186" t="s">
        <v>15695</v>
      </c>
      <c r="D456" s="116" t="s">
        <v>15696</v>
      </c>
      <c r="E456" s="61" t="s">
        <v>15697</v>
      </c>
      <c r="F456" s="61" t="s">
        <v>117</v>
      </c>
      <c r="G456" s="116" t="s">
        <v>15698</v>
      </c>
      <c r="H456" s="116" t="s">
        <v>15699</v>
      </c>
      <c r="I456" s="116"/>
      <c r="J456" s="116" t="s">
        <v>15700</v>
      </c>
      <c r="K456" s="134" t="s">
        <v>15701</v>
      </c>
      <c r="L456" s="116" t="s">
        <v>15702</v>
      </c>
      <c r="M456" s="116" t="s">
        <v>15703</v>
      </c>
    </row>
    <row r="457" spans="1:13" ht="14.25" customHeight="1">
      <c r="A457" s="116">
        <v>15</v>
      </c>
      <c r="B457" s="116"/>
      <c r="C457" s="186" t="s">
        <v>15704</v>
      </c>
      <c r="D457" s="116" t="s">
        <v>15705</v>
      </c>
      <c r="E457" s="61" t="s">
        <v>15706</v>
      </c>
      <c r="F457" s="61" t="s">
        <v>65</v>
      </c>
      <c r="G457" s="116" t="s">
        <v>15707</v>
      </c>
      <c r="H457" s="116" t="s">
        <v>15708</v>
      </c>
      <c r="I457" s="116"/>
      <c r="J457" s="116" t="s">
        <v>15709</v>
      </c>
      <c r="K457" s="134" t="s">
        <v>15710</v>
      </c>
      <c r="L457" s="116" t="s">
        <v>15711</v>
      </c>
      <c r="M457" s="116" t="s">
        <v>15712</v>
      </c>
    </row>
    <row r="458" spans="1:13" ht="14.25" customHeight="1">
      <c r="A458" s="116">
        <v>16</v>
      </c>
      <c r="B458" s="116"/>
      <c r="C458" s="186" t="s">
        <v>15713</v>
      </c>
      <c r="D458" s="116" t="s">
        <v>15714</v>
      </c>
      <c r="E458" s="61" t="s">
        <v>15715</v>
      </c>
      <c r="F458" s="61" t="s">
        <v>54</v>
      </c>
      <c r="G458" s="116" t="s">
        <v>15716</v>
      </c>
      <c r="H458" s="116" t="s">
        <v>15717</v>
      </c>
      <c r="I458" s="116"/>
      <c r="J458" s="116" t="s">
        <v>15718</v>
      </c>
      <c r="K458" s="134" t="s">
        <v>15719</v>
      </c>
      <c r="L458" s="116" t="s">
        <v>15720</v>
      </c>
      <c r="M458" s="116" t="s">
        <v>15721</v>
      </c>
    </row>
    <row r="459" spans="1:13" ht="14.25" customHeight="1">
      <c r="A459" s="116">
        <v>17</v>
      </c>
      <c r="B459" s="116"/>
      <c r="C459" s="186" t="s">
        <v>15722</v>
      </c>
      <c r="D459" s="116" t="s">
        <v>15723</v>
      </c>
      <c r="E459" s="61" t="s">
        <v>15724</v>
      </c>
      <c r="F459" s="61" t="s">
        <v>54</v>
      </c>
      <c r="G459" s="116" t="s">
        <v>15725</v>
      </c>
      <c r="H459" s="116" t="s">
        <v>15726</v>
      </c>
      <c r="I459" s="116"/>
      <c r="J459" s="116" t="s">
        <v>15727</v>
      </c>
      <c r="K459" s="134" t="s">
        <v>15728</v>
      </c>
      <c r="L459" s="116" t="s">
        <v>15729</v>
      </c>
      <c r="M459" s="116" t="s">
        <v>15730</v>
      </c>
    </row>
    <row r="460" spans="1:13" ht="14.25" customHeight="1">
      <c r="A460" s="116">
        <v>18</v>
      </c>
      <c r="B460" s="116"/>
      <c r="C460" s="186" t="s">
        <v>15731</v>
      </c>
      <c r="D460" s="116" t="s">
        <v>15732</v>
      </c>
      <c r="E460" s="61" t="s">
        <v>15733</v>
      </c>
      <c r="F460" s="61" t="s">
        <v>117</v>
      </c>
      <c r="G460" s="116" t="s">
        <v>15734</v>
      </c>
      <c r="H460" s="116" t="s">
        <v>15735</v>
      </c>
      <c r="I460" s="116"/>
      <c r="J460" s="116" t="s">
        <v>15736</v>
      </c>
      <c r="K460" s="134" t="s">
        <v>15737</v>
      </c>
      <c r="L460" s="116" t="s">
        <v>15738</v>
      </c>
      <c r="M460" s="132" t="s">
        <v>15739</v>
      </c>
    </row>
    <row r="461" spans="1:13" ht="14.25" customHeight="1">
      <c r="A461" s="116">
        <v>19</v>
      </c>
      <c r="B461" s="116"/>
      <c r="C461" s="186" t="s">
        <v>15740</v>
      </c>
      <c r="D461" s="116" t="s">
        <v>15741</v>
      </c>
      <c r="E461" s="61" t="s">
        <v>15742</v>
      </c>
      <c r="F461" s="26" t="s">
        <v>65</v>
      </c>
      <c r="G461" s="116" t="s">
        <v>15743</v>
      </c>
      <c r="H461" s="116" t="s">
        <v>15744</v>
      </c>
      <c r="I461" s="116"/>
      <c r="J461" s="116" t="s">
        <v>15745</v>
      </c>
      <c r="K461" s="134" t="s">
        <v>15746</v>
      </c>
      <c r="L461" s="116" t="s">
        <v>15747</v>
      </c>
      <c r="M461" s="116" t="s">
        <v>15748</v>
      </c>
    </row>
    <row r="462" spans="1:13" ht="14.25" customHeight="1">
      <c r="A462" s="132">
        <v>20</v>
      </c>
      <c r="B462" s="132"/>
      <c r="C462" s="183" t="s">
        <v>5521</v>
      </c>
      <c r="D462" s="132" t="s">
        <v>5522</v>
      </c>
      <c r="E462" s="61" t="s">
        <v>5523</v>
      </c>
      <c r="F462" s="27" t="s">
        <v>117</v>
      </c>
      <c r="G462" s="132" t="s">
        <v>10621</v>
      </c>
      <c r="H462" s="132" t="s">
        <v>15749</v>
      </c>
      <c r="I462" s="132"/>
      <c r="J462" s="132" t="s">
        <v>5527</v>
      </c>
      <c r="K462" s="134" t="s">
        <v>10622</v>
      </c>
      <c r="L462" s="132" t="s">
        <v>10623</v>
      </c>
      <c r="M462" s="116" t="s">
        <v>10624</v>
      </c>
    </row>
    <row r="463" spans="1:13" ht="14.25" customHeight="1">
      <c r="A463" s="116">
        <v>21</v>
      </c>
      <c r="B463" s="116"/>
      <c r="C463" s="186" t="s">
        <v>15750</v>
      </c>
      <c r="D463" s="116" t="s">
        <v>15751</v>
      </c>
      <c r="E463" s="61" t="s">
        <v>15752</v>
      </c>
      <c r="F463" s="26" t="s">
        <v>54</v>
      </c>
      <c r="G463" s="116" t="s">
        <v>14278</v>
      </c>
      <c r="H463" s="116" t="s">
        <v>15753</v>
      </c>
      <c r="I463" s="116"/>
      <c r="J463" s="116" t="s">
        <v>15754</v>
      </c>
      <c r="K463" s="134" t="s">
        <v>15755</v>
      </c>
      <c r="L463" s="132" t="s">
        <v>15756</v>
      </c>
      <c r="M463" s="116" t="s">
        <v>15757</v>
      </c>
    </row>
    <row r="464" spans="1:13" ht="14.25" customHeight="1">
      <c r="A464" s="116">
        <v>22</v>
      </c>
      <c r="B464" s="116"/>
      <c r="C464" s="186" t="s">
        <v>15758</v>
      </c>
      <c r="D464" s="116" t="s">
        <v>15759</v>
      </c>
      <c r="E464" s="61" t="s">
        <v>15760</v>
      </c>
      <c r="F464" s="61" t="s">
        <v>117</v>
      </c>
      <c r="G464" s="116" t="s">
        <v>15761</v>
      </c>
      <c r="H464" s="116" t="s">
        <v>15762</v>
      </c>
      <c r="I464" s="116"/>
      <c r="J464" s="116" t="s">
        <v>15763</v>
      </c>
      <c r="K464" s="134" t="s">
        <v>15764</v>
      </c>
      <c r="L464" s="116" t="s">
        <v>15765</v>
      </c>
      <c r="M464" s="116" t="s">
        <v>15766</v>
      </c>
    </row>
    <row r="465" spans="1:13" ht="14.25" customHeight="1">
      <c r="A465" s="116">
        <v>23</v>
      </c>
      <c r="B465" s="116"/>
      <c r="C465" s="186" t="s">
        <v>6089</v>
      </c>
      <c r="D465" s="116" t="s">
        <v>6090</v>
      </c>
      <c r="E465" s="61" t="s">
        <v>6091</v>
      </c>
      <c r="F465" s="61" t="s">
        <v>65</v>
      </c>
      <c r="G465" s="116" t="s">
        <v>10677</v>
      </c>
      <c r="H465" s="116" t="s">
        <v>15767</v>
      </c>
      <c r="I465" s="116"/>
      <c r="J465" s="116" t="s">
        <v>6094</v>
      </c>
      <c r="K465" s="134" t="s">
        <v>10678</v>
      </c>
      <c r="L465" s="116" t="s">
        <v>10679</v>
      </c>
      <c r="M465" s="116" t="s">
        <v>10680</v>
      </c>
    </row>
    <row r="466" spans="1:13" ht="14.25" customHeight="1">
      <c r="A466" s="116">
        <v>24</v>
      </c>
      <c r="B466" s="116"/>
      <c r="C466" s="186" t="s">
        <v>9370</v>
      </c>
      <c r="D466" s="116" t="s">
        <v>9371</v>
      </c>
      <c r="E466" s="61" t="s">
        <v>9372</v>
      </c>
      <c r="F466" s="61" t="s">
        <v>54</v>
      </c>
      <c r="G466" s="116" t="s">
        <v>10997</v>
      </c>
      <c r="H466" s="116" t="s">
        <v>15768</v>
      </c>
      <c r="I466" s="116"/>
      <c r="J466" s="116" t="s">
        <v>9376</v>
      </c>
      <c r="K466" s="134" t="s">
        <v>10998</v>
      </c>
      <c r="L466" s="116" t="s">
        <v>10999</v>
      </c>
      <c r="M466" s="116" t="s">
        <v>11000</v>
      </c>
    </row>
    <row r="467" spans="1:13" ht="14.25" customHeight="1">
      <c r="A467" s="116">
        <v>25</v>
      </c>
      <c r="B467" s="116"/>
      <c r="C467" s="186" t="s">
        <v>15769</v>
      </c>
      <c r="D467" s="116" t="s">
        <v>15770</v>
      </c>
      <c r="E467" s="61" t="s">
        <v>15771</v>
      </c>
      <c r="F467" s="61" t="s">
        <v>54</v>
      </c>
      <c r="G467" s="116" t="s">
        <v>15772</v>
      </c>
      <c r="H467" s="116" t="s">
        <v>15773</v>
      </c>
      <c r="I467" s="116"/>
      <c r="J467" s="116" t="s">
        <v>15774</v>
      </c>
      <c r="K467" s="134" t="s">
        <v>15775</v>
      </c>
      <c r="L467" s="116" t="s">
        <v>15776</v>
      </c>
      <c r="M467" s="116" t="s">
        <v>15777</v>
      </c>
    </row>
    <row r="468" spans="1:13" ht="14.25" customHeight="1">
      <c r="A468" s="116">
        <v>26</v>
      </c>
      <c r="B468" s="116"/>
      <c r="C468" s="186" t="s">
        <v>15778</v>
      </c>
      <c r="D468" s="116" t="s">
        <v>15779</v>
      </c>
      <c r="E468" s="61" t="s">
        <v>15780</v>
      </c>
      <c r="F468" s="61" t="s">
        <v>117</v>
      </c>
      <c r="G468" s="116" t="s">
        <v>15781</v>
      </c>
      <c r="H468" s="116" t="s">
        <v>15782</v>
      </c>
      <c r="I468" s="116"/>
      <c r="J468" s="116" t="s">
        <v>15783</v>
      </c>
      <c r="K468" s="134" t="s">
        <v>15784</v>
      </c>
      <c r="L468" s="116" t="s">
        <v>15785</v>
      </c>
      <c r="M468" s="116" t="s">
        <v>15786</v>
      </c>
    </row>
    <row r="469" spans="1:13" ht="14.25" customHeight="1">
      <c r="A469" s="116">
        <v>27</v>
      </c>
      <c r="B469" s="116"/>
      <c r="C469" s="186" t="s">
        <v>15787</v>
      </c>
      <c r="D469" s="116" t="s">
        <v>15788</v>
      </c>
      <c r="E469" s="61" t="s">
        <v>15789</v>
      </c>
      <c r="F469" s="61" t="s">
        <v>65</v>
      </c>
      <c r="G469" s="116" t="s">
        <v>15790</v>
      </c>
      <c r="H469" s="116" t="s">
        <v>15791</v>
      </c>
      <c r="I469" s="116"/>
      <c r="J469" s="116" t="s">
        <v>15792</v>
      </c>
      <c r="K469" s="134" t="s">
        <v>15793</v>
      </c>
      <c r="L469" s="116" t="s">
        <v>15794</v>
      </c>
      <c r="M469" s="116" t="s">
        <v>15795</v>
      </c>
    </row>
    <row r="470" spans="1:13" ht="14.25" customHeight="1">
      <c r="A470" s="116">
        <v>28</v>
      </c>
      <c r="B470" s="116"/>
      <c r="C470" s="186" t="s">
        <v>15796</v>
      </c>
      <c r="D470" s="116" t="s">
        <v>15797</v>
      </c>
      <c r="E470" s="61" t="s">
        <v>15798</v>
      </c>
      <c r="F470" s="61" t="s">
        <v>65</v>
      </c>
      <c r="G470" s="116" t="s">
        <v>15799</v>
      </c>
      <c r="H470" s="116" t="s">
        <v>15800</v>
      </c>
      <c r="I470" s="116"/>
      <c r="J470" s="116" t="s">
        <v>15801</v>
      </c>
      <c r="K470" s="134" t="s">
        <v>15802</v>
      </c>
      <c r="L470" s="116" t="s">
        <v>15803</v>
      </c>
      <c r="M470" s="116" t="s">
        <v>10744</v>
      </c>
    </row>
    <row r="471" spans="1:13" ht="14.25" customHeight="1">
      <c r="A471" s="116">
        <v>29</v>
      </c>
      <c r="B471" s="116"/>
      <c r="C471" s="186" t="s">
        <v>15804</v>
      </c>
      <c r="D471" s="116" t="s">
        <v>15805</v>
      </c>
      <c r="E471" s="61" t="s">
        <v>15806</v>
      </c>
      <c r="F471" s="61" t="s">
        <v>117</v>
      </c>
      <c r="G471" s="116" t="s">
        <v>15807</v>
      </c>
      <c r="H471" s="116" t="s">
        <v>15808</v>
      </c>
      <c r="I471" s="116"/>
      <c r="J471" s="116" t="s">
        <v>15809</v>
      </c>
      <c r="K471" s="134" t="s">
        <v>15810</v>
      </c>
      <c r="L471" s="116" t="s">
        <v>15811</v>
      </c>
      <c r="M471" s="116" t="s">
        <v>15812</v>
      </c>
    </row>
    <row r="472" spans="1:13" ht="14.25" customHeight="1">
      <c r="A472" s="116">
        <v>30</v>
      </c>
      <c r="B472" s="116"/>
      <c r="C472" s="186" t="s">
        <v>15813</v>
      </c>
      <c r="D472" s="116" t="s">
        <v>15814</v>
      </c>
      <c r="E472" s="61" t="s">
        <v>15815</v>
      </c>
      <c r="F472" s="61" t="s">
        <v>117</v>
      </c>
      <c r="G472" s="116" t="s">
        <v>15816</v>
      </c>
      <c r="H472" s="116" t="s">
        <v>15817</v>
      </c>
      <c r="I472" s="116"/>
      <c r="J472" s="116" t="s">
        <v>15818</v>
      </c>
      <c r="K472" s="134" t="s">
        <v>15819</v>
      </c>
      <c r="L472" s="116" t="s">
        <v>15820</v>
      </c>
      <c r="M472" s="116" t="s">
        <v>15821</v>
      </c>
    </row>
    <row r="473" spans="1:13" ht="14.25" customHeight="1">
      <c r="A473" s="116">
        <v>31</v>
      </c>
      <c r="B473" s="116"/>
      <c r="C473" s="186" t="s">
        <v>15822</v>
      </c>
      <c r="D473" s="116" t="s">
        <v>15823</v>
      </c>
      <c r="E473" s="61" t="s">
        <v>15824</v>
      </c>
      <c r="F473" s="26" t="s">
        <v>65</v>
      </c>
      <c r="G473" s="116" t="s">
        <v>15825</v>
      </c>
      <c r="H473" s="116" t="s">
        <v>15826</v>
      </c>
      <c r="I473" s="116"/>
      <c r="J473" s="116" t="s">
        <v>15827</v>
      </c>
      <c r="K473" s="134" t="s">
        <v>15828</v>
      </c>
      <c r="L473" s="116" t="s">
        <v>15829</v>
      </c>
      <c r="M473" s="132" t="s">
        <v>15830</v>
      </c>
    </row>
    <row r="474" spans="1:13" ht="14.25" customHeight="1">
      <c r="A474" s="116">
        <v>32</v>
      </c>
      <c r="B474" s="116"/>
      <c r="C474" s="186" t="s">
        <v>15831</v>
      </c>
      <c r="D474" s="116" t="s">
        <v>15832</v>
      </c>
      <c r="E474" s="61" t="s">
        <v>15833</v>
      </c>
      <c r="F474" s="26" t="s">
        <v>65</v>
      </c>
      <c r="G474" s="116" t="s">
        <v>15834</v>
      </c>
      <c r="H474" s="116" t="s">
        <v>15835</v>
      </c>
      <c r="I474" s="116"/>
      <c r="J474" s="116" t="s">
        <v>15836</v>
      </c>
      <c r="K474" s="134" t="s">
        <v>15837</v>
      </c>
      <c r="L474" s="116" t="s">
        <v>15838</v>
      </c>
      <c r="M474" s="116" t="s">
        <v>15839</v>
      </c>
    </row>
    <row r="475" spans="1:13" ht="14.25" customHeight="1">
      <c r="A475" s="178">
        <v>1</v>
      </c>
      <c r="B475" s="178"/>
      <c r="C475" s="196" t="s">
        <v>15840</v>
      </c>
      <c r="D475" s="178" t="s">
        <v>15841</v>
      </c>
      <c r="E475" s="182" t="s">
        <v>15842</v>
      </c>
      <c r="F475" s="182"/>
      <c r="G475" s="178" t="s">
        <v>15843</v>
      </c>
      <c r="H475" s="178" t="s">
        <v>15844</v>
      </c>
      <c r="I475" s="178"/>
      <c r="J475" s="178" t="s">
        <v>15845</v>
      </c>
      <c r="K475" s="180" t="s">
        <v>15846</v>
      </c>
      <c r="L475" s="197" t="s">
        <v>15847</v>
      </c>
      <c r="M475" s="178" t="s">
        <v>15594</v>
      </c>
    </row>
    <row r="476" spans="1:13" ht="14.25" customHeight="1">
      <c r="A476" s="116">
        <v>2</v>
      </c>
      <c r="B476" s="116"/>
      <c r="C476" s="186" t="s">
        <v>15848</v>
      </c>
      <c r="D476" s="116" t="s">
        <v>15849</v>
      </c>
      <c r="E476" s="185" t="s">
        <v>15850</v>
      </c>
      <c r="F476" s="185" t="s">
        <v>54</v>
      </c>
      <c r="G476" s="116" t="s">
        <v>15851</v>
      </c>
      <c r="H476" s="116" t="s">
        <v>15852</v>
      </c>
      <c r="I476" s="116"/>
      <c r="J476" s="116" t="s">
        <v>15853</v>
      </c>
      <c r="K476" s="134" t="s">
        <v>15854</v>
      </c>
      <c r="L476" s="116" t="s">
        <v>15855</v>
      </c>
      <c r="M476" s="116" t="s">
        <v>15603</v>
      </c>
    </row>
    <row r="477" spans="1:13" ht="14.25" customHeight="1">
      <c r="A477" s="116">
        <v>3</v>
      </c>
      <c r="B477" s="116"/>
      <c r="C477" s="186" t="s">
        <v>15856</v>
      </c>
      <c r="D477" s="116" t="s">
        <v>15857</v>
      </c>
      <c r="E477" s="61" t="s">
        <v>15858</v>
      </c>
      <c r="F477" s="61" t="s">
        <v>117</v>
      </c>
      <c r="G477" s="116" t="s">
        <v>15859</v>
      </c>
      <c r="H477" s="116" t="s">
        <v>15860</v>
      </c>
      <c r="I477" s="116"/>
      <c r="J477" s="116" t="s">
        <v>15861</v>
      </c>
      <c r="K477" s="134" t="s">
        <v>15862</v>
      </c>
      <c r="L477" s="116" t="s">
        <v>15863</v>
      </c>
      <c r="M477" s="116" t="s">
        <v>15612</v>
      </c>
    </row>
    <row r="478" spans="1:13" ht="14.25" customHeight="1">
      <c r="A478" s="116">
        <v>4</v>
      </c>
      <c r="B478" s="116"/>
      <c r="C478" s="186" t="s">
        <v>15864</v>
      </c>
      <c r="D478" s="116" t="s">
        <v>15865</v>
      </c>
      <c r="E478" s="61" t="s">
        <v>15866</v>
      </c>
      <c r="F478" s="61" t="s">
        <v>117</v>
      </c>
      <c r="G478" s="116" t="s">
        <v>15867</v>
      </c>
      <c r="H478" s="116" t="s">
        <v>15868</v>
      </c>
      <c r="I478" s="116"/>
      <c r="J478" s="116" t="s">
        <v>15869</v>
      </c>
      <c r="K478" s="134" t="s">
        <v>15870</v>
      </c>
      <c r="L478" s="116" t="s">
        <v>15871</v>
      </c>
      <c r="M478" s="116" t="s">
        <v>15621</v>
      </c>
    </row>
    <row r="479" spans="1:13" ht="14.25" customHeight="1">
      <c r="A479" s="116">
        <v>5</v>
      </c>
      <c r="B479" s="116"/>
      <c r="C479" s="186" t="s">
        <v>15872</v>
      </c>
      <c r="D479" s="116" t="s">
        <v>15873</v>
      </c>
      <c r="E479" s="61" t="s">
        <v>15874</v>
      </c>
      <c r="F479" s="61" t="s">
        <v>117</v>
      </c>
      <c r="G479" s="116" t="s">
        <v>15875</v>
      </c>
      <c r="H479" s="116" t="s">
        <v>15876</v>
      </c>
      <c r="I479" s="116"/>
      <c r="J479" s="116" t="s">
        <v>15877</v>
      </c>
      <c r="K479" s="134" t="s">
        <v>15878</v>
      </c>
      <c r="L479" s="116" t="s">
        <v>15879</v>
      </c>
      <c r="M479" s="116" t="s">
        <v>11012</v>
      </c>
    </row>
    <row r="480" spans="1:13" ht="14.25" customHeight="1">
      <c r="A480" s="116">
        <v>6</v>
      </c>
      <c r="B480" s="116"/>
      <c r="C480" s="186" t="s">
        <v>15880</v>
      </c>
      <c r="D480" s="116" t="s">
        <v>15881</v>
      </c>
      <c r="E480" s="185" t="s">
        <v>15882</v>
      </c>
      <c r="F480" s="185" t="s">
        <v>65</v>
      </c>
      <c r="G480" s="116" t="s">
        <v>15883</v>
      </c>
      <c r="H480" s="116" t="s">
        <v>15884</v>
      </c>
      <c r="I480" s="116"/>
      <c r="J480" s="116" t="s">
        <v>15885</v>
      </c>
      <c r="K480" s="134" t="s">
        <v>15886</v>
      </c>
      <c r="L480" s="116" t="s">
        <v>15887</v>
      </c>
      <c r="M480" s="116" t="s">
        <v>15633</v>
      </c>
    </row>
    <row r="481" spans="1:13" ht="14.25" customHeight="1">
      <c r="A481" s="116">
        <v>7</v>
      </c>
      <c r="B481" s="116"/>
      <c r="C481" s="186" t="s">
        <v>15888</v>
      </c>
      <c r="D481" s="116" t="s">
        <v>15889</v>
      </c>
      <c r="E481" s="61" t="s">
        <v>15890</v>
      </c>
      <c r="F481" s="61" t="s">
        <v>219</v>
      </c>
      <c r="G481" s="116" t="s">
        <v>15891</v>
      </c>
      <c r="H481" s="116" t="s">
        <v>15892</v>
      </c>
      <c r="I481" s="116"/>
      <c r="J481" s="116" t="s">
        <v>15893</v>
      </c>
      <c r="K481" s="134" t="s">
        <v>15894</v>
      </c>
      <c r="L481" s="116" t="s">
        <v>15895</v>
      </c>
      <c r="M481" s="116" t="s">
        <v>15642</v>
      </c>
    </row>
    <row r="482" spans="1:13" ht="14.25" customHeight="1">
      <c r="A482" s="132">
        <v>8</v>
      </c>
      <c r="B482" s="132"/>
      <c r="C482" s="183" t="s">
        <v>15896</v>
      </c>
      <c r="D482" s="132" t="s">
        <v>15897</v>
      </c>
      <c r="E482" s="61" t="s">
        <v>15898</v>
      </c>
      <c r="F482" s="61" t="s">
        <v>65</v>
      </c>
      <c r="G482" s="132" t="s">
        <v>15899</v>
      </c>
      <c r="H482" s="132" t="s">
        <v>15900</v>
      </c>
      <c r="I482" s="132"/>
      <c r="J482" s="132" t="s">
        <v>15901</v>
      </c>
      <c r="K482" s="115" t="s">
        <v>15902</v>
      </c>
      <c r="L482" s="198" t="s">
        <v>15903</v>
      </c>
      <c r="M482" s="116" t="s">
        <v>15651</v>
      </c>
    </row>
    <row r="483" spans="1:13" ht="14.25" customHeight="1">
      <c r="A483" s="132">
        <v>9</v>
      </c>
      <c r="B483" s="132"/>
      <c r="C483" s="183" t="s">
        <v>15904</v>
      </c>
      <c r="D483" s="132" t="s">
        <v>15905</v>
      </c>
      <c r="E483" s="61" t="s">
        <v>15906</v>
      </c>
      <c r="F483" s="27" t="s">
        <v>54</v>
      </c>
      <c r="G483" s="132" t="s">
        <v>15907</v>
      </c>
      <c r="H483" s="132" t="s">
        <v>15908</v>
      </c>
      <c r="I483" s="132"/>
      <c r="J483" s="132" t="s">
        <v>15909</v>
      </c>
      <c r="K483" s="115" t="s">
        <v>15910</v>
      </c>
      <c r="L483" s="132" t="s">
        <v>15911</v>
      </c>
      <c r="M483" s="116" t="s">
        <v>15660</v>
      </c>
    </row>
    <row r="484" spans="1:13" ht="14.25" customHeight="1">
      <c r="A484" s="132">
        <v>10</v>
      </c>
      <c r="B484" s="132"/>
      <c r="C484" s="183" t="s">
        <v>15912</v>
      </c>
      <c r="D484" s="132" t="s">
        <v>15913</v>
      </c>
      <c r="E484" s="61" t="s">
        <v>15914</v>
      </c>
      <c r="F484" s="27" t="s">
        <v>54</v>
      </c>
      <c r="G484" s="132" t="s">
        <v>15915</v>
      </c>
      <c r="H484" s="132" t="s">
        <v>15916</v>
      </c>
      <c r="I484" s="132"/>
      <c r="J484" s="132" t="s">
        <v>15917</v>
      </c>
      <c r="K484" s="115" t="s">
        <v>15918</v>
      </c>
      <c r="L484" s="132" t="s">
        <v>15919</v>
      </c>
      <c r="M484" s="116" t="s">
        <v>15669</v>
      </c>
    </row>
    <row r="485" spans="1:13" ht="14.25" customHeight="1">
      <c r="A485" s="132">
        <v>11</v>
      </c>
      <c r="B485" s="132"/>
      <c r="C485" s="183" t="s">
        <v>15920</v>
      </c>
      <c r="D485" s="132" t="s">
        <v>15921</v>
      </c>
      <c r="E485" s="61" t="s">
        <v>15922</v>
      </c>
      <c r="F485" s="27" t="s">
        <v>54</v>
      </c>
      <c r="G485" s="132" t="s">
        <v>15923</v>
      </c>
      <c r="H485" s="132" t="s">
        <v>15924</v>
      </c>
      <c r="I485" s="132"/>
      <c r="J485" s="132" t="s">
        <v>15925</v>
      </c>
      <c r="K485" s="115" t="s">
        <v>15926</v>
      </c>
      <c r="L485" s="132" t="s">
        <v>15927</v>
      </c>
      <c r="M485" s="116" t="s">
        <v>15678</v>
      </c>
    </row>
    <row r="486" spans="1:13" ht="14.25" customHeight="1">
      <c r="A486" s="132">
        <v>12</v>
      </c>
      <c r="B486" s="132"/>
      <c r="C486" s="183" t="s">
        <v>15928</v>
      </c>
      <c r="D486" s="132" t="s">
        <v>15929</v>
      </c>
      <c r="E486" s="61" t="s">
        <v>15930</v>
      </c>
      <c r="F486" s="61" t="s">
        <v>65</v>
      </c>
      <c r="G486" s="132" t="s">
        <v>15931</v>
      </c>
      <c r="H486" s="132" t="s">
        <v>15932</v>
      </c>
      <c r="I486" s="132"/>
      <c r="J486" s="132" t="s">
        <v>15933</v>
      </c>
      <c r="K486" s="115" t="s">
        <v>15934</v>
      </c>
      <c r="L486" s="132" t="s">
        <v>15935</v>
      </c>
      <c r="M486" s="116" t="s">
        <v>15687</v>
      </c>
    </row>
    <row r="487" spans="1:13" ht="14.25" customHeight="1">
      <c r="A487" s="132">
        <v>13</v>
      </c>
      <c r="B487" s="132"/>
      <c r="C487" s="183" t="s">
        <v>15936</v>
      </c>
      <c r="D487" s="132" t="s">
        <v>15937</v>
      </c>
      <c r="E487" s="61" t="s">
        <v>15938</v>
      </c>
      <c r="F487" s="61" t="s">
        <v>65</v>
      </c>
      <c r="G487" s="132" t="s">
        <v>15939</v>
      </c>
      <c r="H487" s="132" t="s">
        <v>15940</v>
      </c>
      <c r="I487" s="132"/>
      <c r="J487" s="132" t="s">
        <v>15941</v>
      </c>
      <c r="K487" s="115" t="s">
        <v>15942</v>
      </c>
      <c r="L487" s="132" t="s">
        <v>15943</v>
      </c>
      <c r="M487" s="116" t="s">
        <v>15694</v>
      </c>
    </row>
    <row r="488" spans="1:13" ht="14.25" customHeight="1">
      <c r="A488" s="132">
        <v>14</v>
      </c>
      <c r="B488" s="132"/>
      <c r="C488" s="183" t="s">
        <v>15944</v>
      </c>
      <c r="D488" s="132" t="s">
        <v>15945</v>
      </c>
      <c r="E488" s="61" t="s">
        <v>15946</v>
      </c>
      <c r="F488" s="61" t="s">
        <v>65</v>
      </c>
      <c r="G488" s="132" t="s">
        <v>15947</v>
      </c>
      <c r="H488" s="132" t="s">
        <v>15948</v>
      </c>
      <c r="I488" s="132"/>
      <c r="J488" s="132" t="s">
        <v>15949</v>
      </c>
      <c r="K488" s="115" t="s">
        <v>15950</v>
      </c>
      <c r="L488" s="132" t="s">
        <v>15951</v>
      </c>
      <c r="M488" s="116" t="s">
        <v>15703</v>
      </c>
    </row>
    <row r="489" spans="1:13" ht="14.25" customHeight="1">
      <c r="A489" s="116">
        <v>15</v>
      </c>
      <c r="B489" s="116"/>
      <c r="C489" s="186" t="s">
        <v>15952</v>
      </c>
      <c r="D489" s="116" t="s">
        <v>15953</v>
      </c>
      <c r="E489" s="61" t="s">
        <v>15954</v>
      </c>
      <c r="F489" s="61" t="s">
        <v>65</v>
      </c>
      <c r="G489" s="116" t="s">
        <v>15955</v>
      </c>
      <c r="H489" s="116" t="s">
        <v>15956</v>
      </c>
      <c r="I489" s="116"/>
      <c r="J489" s="116" t="s">
        <v>15957</v>
      </c>
      <c r="K489" s="115" t="s">
        <v>15958</v>
      </c>
      <c r="L489" s="116" t="s">
        <v>15959</v>
      </c>
      <c r="M489" s="116" t="s">
        <v>15712</v>
      </c>
    </row>
    <row r="490" spans="1:13" ht="14.25" customHeight="1">
      <c r="A490" s="116">
        <v>16</v>
      </c>
      <c r="B490" s="116"/>
      <c r="C490" s="186" t="s">
        <v>15960</v>
      </c>
      <c r="D490" s="116" t="s">
        <v>15961</v>
      </c>
      <c r="E490" s="61" t="s">
        <v>531</v>
      </c>
      <c r="F490" s="61" t="s">
        <v>117</v>
      </c>
      <c r="G490" s="116" t="s">
        <v>15962</v>
      </c>
      <c r="H490" s="116" t="s">
        <v>15963</v>
      </c>
      <c r="I490" s="116"/>
      <c r="J490" s="116" t="s">
        <v>15964</v>
      </c>
      <c r="K490" s="115" t="s">
        <v>15965</v>
      </c>
      <c r="L490" s="116" t="s">
        <v>15966</v>
      </c>
      <c r="M490" s="116" t="s">
        <v>15721</v>
      </c>
    </row>
    <row r="491" spans="1:13" ht="14.25" customHeight="1">
      <c r="A491" s="116">
        <v>17</v>
      </c>
      <c r="B491" s="116"/>
      <c r="C491" s="186" t="s">
        <v>15967</v>
      </c>
      <c r="D491" s="116" t="s">
        <v>15968</v>
      </c>
      <c r="E491" s="61" t="s">
        <v>15969</v>
      </c>
      <c r="F491" s="61" t="s">
        <v>117</v>
      </c>
      <c r="G491" s="116" t="s">
        <v>15970</v>
      </c>
      <c r="H491" s="116" t="s">
        <v>15971</v>
      </c>
      <c r="I491" s="116"/>
      <c r="J491" s="116" t="s">
        <v>15972</v>
      </c>
      <c r="K491" s="115" t="s">
        <v>15973</v>
      </c>
      <c r="L491" s="116" t="s">
        <v>15974</v>
      </c>
      <c r="M491" s="116" t="s">
        <v>15730</v>
      </c>
    </row>
    <row r="492" spans="1:13" ht="14.25" customHeight="1">
      <c r="A492" s="116">
        <v>18</v>
      </c>
      <c r="B492" s="116"/>
      <c r="C492" s="186" t="s">
        <v>15975</v>
      </c>
      <c r="D492" s="116" t="s">
        <v>15976</v>
      </c>
      <c r="E492" s="185" t="s">
        <v>15977</v>
      </c>
      <c r="F492" s="185" t="s">
        <v>117</v>
      </c>
      <c r="G492" s="116" t="s">
        <v>15978</v>
      </c>
      <c r="H492" s="116" t="s">
        <v>15979</v>
      </c>
      <c r="I492" s="116"/>
      <c r="J492" s="116" t="s">
        <v>15980</v>
      </c>
      <c r="K492" s="115" t="s">
        <v>15981</v>
      </c>
      <c r="L492" s="116" t="s">
        <v>15982</v>
      </c>
      <c r="M492" s="132" t="s">
        <v>15739</v>
      </c>
    </row>
    <row r="493" spans="1:13" ht="14.25" customHeight="1">
      <c r="A493" s="116">
        <v>19</v>
      </c>
      <c r="B493" s="116"/>
      <c r="C493" s="186" t="s">
        <v>15983</v>
      </c>
      <c r="D493" s="116" t="s">
        <v>15984</v>
      </c>
      <c r="E493" s="61" t="s">
        <v>15985</v>
      </c>
      <c r="F493" s="61" t="s">
        <v>65</v>
      </c>
      <c r="G493" s="116" t="s">
        <v>10677</v>
      </c>
      <c r="H493" s="116" t="s">
        <v>15986</v>
      </c>
      <c r="I493" s="116"/>
      <c r="J493" s="116" t="s">
        <v>15987</v>
      </c>
      <c r="K493" s="115" t="s">
        <v>15988</v>
      </c>
      <c r="L493" s="116" t="s">
        <v>15989</v>
      </c>
      <c r="M493" s="116" t="s">
        <v>15748</v>
      </c>
    </row>
    <row r="494" spans="1:13" ht="14.25" customHeight="1">
      <c r="A494" s="116">
        <v>20</v>
      </c>
      <c r="B494" s="116"/>
      <c r="C494" s="186" t="s">
        <v>15990</v>
      </c>
      <c r="D494" s="116" t="s">
        <v>15991</v>
      </c>
      <c r="E494" s="61" t="s">
        <v>15992</v>
      </c>
      <c r="F494" s="61" t="s">
        <v>65</v>
      </c>
      <c r="G494" s="116" t="s">
        <v>15993</v>
      </c>
      <c r="H494" s="116" t="s">
        <v>15994</v>
      </c>
      <c r="I494" s="116"/>
      <c r="J494" s="116" t="s">
        <v>15995</v>
      </c>
      <c r="K494" s="115" t="s">
        <v>15996</v>
      </c>
      <c r="L494" s="116" t="s">
        <v>15997</v>
      </c>
      <c r="M494" s="116" t="s">
        <v>10624</v>
      </c>
    </row>
    <row r="495" spans="1:13" ht="14.25" customHeight="1">
      <c r="A495" s="116">
        <v>21</v>
      </c>
      <c r="B495" s="116"/>
      <c r="C495" s="186" t="s">
        <v>15998</v>
      </c>
      <c r="D495" s="116" t="s">
        <v>15999</v>
      </c>
      <c r="E495" s="185" t="s">
        <v>16000</v>
      </c>
      <c r="F495" s="185" t="s">
        <v>54</v>
      </c>
      <c r="G495" s="116" t="s">
        <v>16001</v>
      </c>
      <c r="H495" s="116" t="s">
        <v>16002</v>
      </c>
      <c r="I495" s="116"/>
      <c r="J495" s="116" t="s">
        <v>16003</v>
      </c>
      <c r="K495" s="115" t="s">
        <v>16004</v>
      </c>
      <c r="L495" s="116" t="s">
        <v>16005</v>
      </c>
      <c r="M495" s="116" t="s">
        <v>15757</v>
      </c>
    </row>
    <row r="496" spans="1:13" ht="14.25" customHeight="1">
      <c r="A496" s="116">
        <v>22</v>
      </c>
      <c r="B496" s="116"/>
      <c r="C496" s="186" t="s">
        <v>16006</v>
      </c>
      <c r="D496" s="116" t="s">
        <v>16007</v>
      </c>
      <c r="E496" s="61" t="s">
        <v>16008</v>
      </c>
      <c r="F496" s="61" t="s">
        <v>117</v>
      </c>
      <c r="G496" s="116" t="s">
        <v>16009</v>
      </c>
      <c r="H496" s="116" t="s">
        <v>16010</v>
      </c>
      <c r="I496" s="116"/>
      <c r="J496" s="116" t="s">
        <v>16011</v>
      </c>
      <c r="K496" s="115" t="s">
        <v>16012</v>
      </c>
      <c r="L496" s="116" t="s">
        <v>16013</v>
      </c>
      <c r="M496" s="116" t="s">
        <v>15766</v>
      </c>
    </row>
    <row r="497" spans="1:13" ht="14.25" customHeight="1">
      <c r="A497" s="116">
        <v>23</v>
      </c>
      <c r="B497" s="116"/>
      <c r="C497" s="186" t="s">
        <v>16014</v>
      </c>
      <c r="D497" s="116" t="s">
        <v>16015</v>
      </c>
      <c r="E497" s="61" t="s">
        <v>16016</v>
      </c>
      <c r="F497" s="61" t="s">
        <v>117</v>
      </c>
      <c r="G497" s="116" t="s">
        <v>16017</v>
      </c>
      <c r="H497" s="116" t="s">
        <v>16018</v>
      </c>
      <c r="I497" s="116"/>
      <c r="J497" s="116" t="s">
        <v>16019</v>
      </c>
      <c r="K497" s="115" t="s">
        <v>16020</v>
      </c>
      <c r="L497" s="116" t="s">
        <v>16021</v>
      </c>
      <c r="M497" s="116" t="s">
        <v>10680</v>
      </c>
    </row>
    <row r="498" spans="1:13" ht="14.25" customHeight="1">
      <c r="A498" s="116">
        <v>24</v>
      </c>
      <c r="B498" s="116"/>
      <c r="C498" s="186" t="s">
        <v>16022</v>
      </c>
      <c r="D498" s="116" t="s">
        <v>16023</v>
      </c>
      <c r="E498" s="61" t="s">
        <v>16024</v>
      </c>
      <c r="F498" s="61" t="s">
        <v>117</v>
      </c>
      <c r="G498" s="116" t="s">
        <v>16025</v>
      </c>
      <c r="H498" s="116" t="s">
        <v>16026</v>
      </c>
      <c r="I498" s="116"/>
      <c r="J498" s="116" t="s">
        <v>16027</v>
      </c>
      <c r="K498" s="115" t="s">
        <v>16028</v>
      </c>
      <c r="L498" s="116" t="s">
        <v>16029</v>
      </c>
      <c r="M498" s="116" t="s">
        <v>11000</v>
      </c>
    </row>
    <row r="499" spans="1:13" ht="14.25" customHeight="1">
      <c r="A499" s="116">
        <v>25</v>
      </c>
      <c r="B499" s="116"/>
      <c r="C499" s="183" t="s">
        <v>16030</v>
      </c>
      <c r="D499" s="116" t="s">
        <v>16031</v>
      </c>
      <c r="E499" s="61" t="s">
        <v>16032</v>
      </c>
      <c r="F499" s="61" t="s">
        <v>219</v>
      </c>
      <c r="G499" s="116" t="s">
        <v>16033</v>
      </c>
      <c r="H499" s="116" t="s">
        <v>16034</v>
      </c>
      <c r="I499" s="116"/>
      <c r="J499" s="116" t="s">
        <v>16035</v>
      </c>
      <c r="K499" s="115" t="s">
        <v>16036</v>
      </c>
      <c r="L499" s="116" t="s">
        <v>16037</v>
      </c>
      <c r="M499" s="116" t="s">
        <v>15777</v>
      </c>
    </row>
    <row r="500" spans="1:13" ht="14.25" customHeight="1">
      <c r="A500" s="116">
        <v>26</v>
      </c>
      <c r="B500" s="116"/>
      <c r="C500" s="186" t="s">
        <v>16038</v>
      </c>
      <c r="D500" s="116" t="s">
        <v>16039</v>
      </c>
      <c r="E500" s="61" t="s">
        <v>16040</v>
      </c>
      <c r="F500" s="61" t="s">
        <v>117</v>
      </c>
      <c r="G500" s="116" t="s">
        <v>16041</v>
      </c>
      <c r="H500" s="116" t="s">
        <v>16042</v>
      </c>
      <c r="I500" s="116"/>
      <c r="J500" s="116" t="s">
        <v>16043</v>
      </c>
      <c r="K500" s="115" t="s">
        <v>16044</v>
      </c>
      <c r="L500" s="116" t="s">
        <v>16045</v>
      </c>
      <c r="M500" s="116" t="s">
        <v>15786</v>
      </c>
    </row>
    <row r="501" spans="1:13" ht="14.25" customHeight="1">
      <c r="A501" s="116">
        <v>27</v>
      </c>
      <c r="B501" s="116"/>
      <c r="C501" s="186" t="s">
        <v>16046</v>
      </c>
      <c r="D501" s="116" t="s">
        <v>16047</v>
      </c>
      <c r="E501" s="185" t="s">
        <v>16048</v>
      </c>
      <c r="F501" s="185" t="s">
        <v>117</v>
      </c>
      <c r="G501" s="116" t="s">
        <v>16049</v>
      </c>
      <c r="H501" s="116" t="s">
        <v>16050</v>
      </c>
      <c r="I501" s="116"/>
      <c r="J501" s="116" t="s">
        <v>16051</v>
      </c>
      <c r="K501" s="115" t="s">
        <v>16052</v>
      </c>
      <c r="L501" s="116" t="s">
        <v>16053</v>
      </c>
      <c r="M501" s="116" t="s">
        <v>15795</v>
      </c>
    </row>
    <row r="502" spans="1:13" ht="14.25" customHeight="1">
      <c r="A502" s="116">
        <v>28</v>
      </c>
      <c r="B502" s="116"/>
      <c r="C502" s="186" t="s">
        <v>7079</v>
      </c>
      <c r="D502" s="116" t="s">
        <v>7080</v>
      </c>
      <c r="E502" s="61" t="s">
        <v>7081</v>
      </c>
      <c r="F502" s="61" t="s">
        <v>54</v>
      </c>
      <c r="G502" s="116" t="s">
        <v>10741</v>
      </c>
      <c r="H502" s="116" t="s">
        <v>16054</v>
      </c>
      <c r="I502" s="116"/>
      <c r="J502" s="116" t="s">
        <v>7085</v>
      </c>
      <c r="K502" s="115" t="s">
        <v>10742</v>
      </c>
      <c r="L502" s="116" t="s">
        <v>10743</v>
      </c>
      <c r="M502" s="116" t="s">
        <v>10744</v>
      </c>
    </row>
    <row r="503" spans="1:13" ht="14.25" customHeight="1">
      <c r="A503" s="116">
        <v>29</v>
      </c>
      <c r="B503" s="116"/>
      <c r="C503" s="186" t="s">
        <v>16055</v>
      </c>
      <c r="D503" s="116" t="s">
        <v>16056</v>
      </c>
      <c r="E503" s="61" t="s">
        <v>16057</v>
      </c>
      <c r="F503" s="61" t="s">
        <v>117</v>
      </c>
      <c r="G503" s="116" t="s">
        <v>16058</v>
      </c>
      <c r="H503" s="116" t="s">
        <v>16059</v>
      </c>
      <c r="I503" s="116"/>
      <c r="J503" s="116" t="s">
        <v>16060</v>
      </c>
      <c r="K503" s="115" t="s">
        <v>16061</v>
      </c>
      <c r="L503" s="116" t="s">
        <v>16062</v>
      </c>
      <c r="M503" s="116" t="s">
        <v>15812</v>
      </c>
    </row>
    <row r="504" spans="1:13" ht="14.25" customHeight="1">
      <c r="A504" s="116">
        <v>30</v>
      </c>
      <c r="B504" s="116"/>
      <c r="C504" s="183" t="s">
        <v>16063</v>
      </c>
      <c r="D504" s="116" t="s">
        <v>16064</v>
      </c>
      <c r="E504" s="61" t="s">
        <v>16065</v>
      </c>
      <c r="F504" s="26" t="s">
        <v>54</v>
      </c>
      <c r="G504" s="116" t="s">
        <v>16066</v>
      </c>
      <c r="H504" s="116" t="s">
        <v>16067</v>
      </c>
      <c r="I504" s="116"/>
      <c r="J504" s="116" t="s">
        <v>16068</v>
      </c>
      <c r="K504" s="115" t="s">
        <v>16069</v>
      </c>
      <c r="L504" s="116" t="s">
        <v>16070</v>
      </c>
      <c r="M504" s="116" t="s">
        <v>15821</v>
      </c>
    </row>
    <row r="505" spans="1:13" ht="14.25" customHeight="1">
      <c r="A505" s="116">
        <v>31</v>
      </c>
      <c r="B505" s="116"/>
      <c r="C505" s="186" t="s">
        <v>16071</v>
      </c>
      <c r="D505" s="116" t="s">
        <v>16072</v>
      </c>
      <c r="E505" s="61" t="s">
        <v>16073</v>
      </c>
      <c r="F505" s="26" t="s">
        <v>117</v>
      </c>
      <c r="G505" s="116" t="s">
        <v>16074</v>
      </c>
      <c r="H505" s="116" t="s">
        <v>16075</v>
      </c>
      <c r="I505" s="116"/>
      <c r="J505" s="116" t="s">
        <v>16076</v>
      </c>
      <c r="K505" s="115" t="s">
        <v>16077</v>
      </c>
      <c r="L505" s="116" t="s">
        <v>16078</v>
      </c>
      <c r="M505" s="116" t="s">
        <v>15830</v>
      </c>
    </row>
    <row r="506" spans="1:13" ht="14.25" customHeight="1">
      <c r="A506" s="178">
        <v>1</v>
      </c>
      <c r="B506" s="178"/>
      <c r="C506" s="196" t="s">
        <v>16079</v>
      </c>
      <c r="D506" s="178" t="s">
        <v>16080</v>
      </c>
      <c r="E506" s="182" t="s">
        <v>16081</v>
      </c>
      <c r="F506" s="182" t="s">
        <v>65</v>
      </c>
      <c r="G506" s="178" t="s">
        <v>16082</v>
      </c>
      <c r="H506" s="178" t="s">
        <v>16083</v>
      </c>
      <c r="I506" s="178"/>
      <c r="J506" s="178" t="s">
        <v>16084</v>
      </c>
      <c r="K506" s="180" t="s">
        <v>16085</v>
      </c>
      <c r="L506" s="197" t="s">
        <v>16086</v>
      </c>
      <c r="M506" s="178" t="s">
        <v>16087</v>
      </c>
    </row>
    <row r="507" spans="1:13" ht="14.25" customHeight="1">
      <c r="A507" s="116">
        <v>2</v>
      </c>
      <c r="B507" s="116"/>
      <c r="C507" s="186" t="s">
        <v>16088</v>
      </c>
      <c r="D507" s="116" t="s">
        <v>16089</v>
      </c>
      <c r="E507" s="61" t="s">
        <v>16090</v>
      </c>
      <c r="F507" s="61" t="s">
        <v>117</v>
      </c>
      <c r="G507" s="116" t="s">
        <v>16091</v>
      </c>
      <c r="H507" s="116" t="s">
        <v>16092</v>
      </c>
      <c r="I507" s="116"/>
      <c r="J507" s="116" t="s">
        <v>16093</v>
      </c>
      <c r="K507" s="134" t="s">
        <v>16094</v>
      </c>
      <c r="L507" s="116" t="s">
        <v>16095</v>
      </c>
      <c r="M507" s="116" t="s">
        <v>16096</v>
      </c>
    </row>
    <row r="508" spans="1:13" ht="14.25" customHeight="1">
      <c r="A508" s="116">
        <v>3</v>
      </c>
      <c r="B508" s="116"/>
      <c r="C508" s="186" t="s">
        <v>16097</v>
      </c>
      <c r="D508" s="116" t="s">
        <v>16098</v>
      </c>
      <c r="E508" s="61" t="s">
        <v>16099</v>
      </c>
      <c r="F508" s="61" t="s">
        <v>65</v>
      </c>
      <c r="G508" s="116" t="s">
        <v>16100</v>
      </c>
      <c r="H508" s="118" t="s">
        <v>16101</v>
      </c>
      <c r="I508" s="118"/>
      <c r="J508" s="116" t="s">
        <v>16102</v>
      </c>
      <c r="K508" s="134" t="s">
        <v>16103</v>
      </c>
      <c r="L508" s="116" t="s">
        <v>16104</v>
      </c>
      <c r="M508" s="116" t="s">
        <v>16105</v>
      </c>
    </row>
    <row r="509" spans="1:13" ht="14.25" customHeight="1">
      <c r="A509" s="116">
        <v>4</v>
      </c>
      <c r="B509" s="116"/>
      <c r="C509" s="186" t="s">
        <v>16106</v>
      </c>
      <c r="D509" s="116" t="s">
        <v>16107</v>
      </c>
      <c r="E509" s="61" t="s">
        <v>16108</v>
      </c>
      <c r="F509" s="61" t="s">
        <v>65</v>
      </c>
      <c r="G509" s="116" t="s">
        <v>16109</v>
      </c>
      <c r="H509" s="116" t="s">
        <v>16110</v>
      </c>
      <c r="I509" s="116"/>
      <c r="J509" s="116" t="s">
        <v>16111</v>
      </c>
      <c r="K509" s="134" t="s">
        <v>16112</v>
      </c>
      <c r="L509" s="116" t="s">
        <v>16113</v>
      </c>
      <c r="M509" s="116" t="s">
        <v>16114</v>
      </c>
    </row>
    <row r="510" spans="1:13" ht="14.25" customHeight="1">
      <c r="A510" s="116">
        <v>5</v>
      </c>
      <c r="B510" s="116"/>
      <c r="C510" s="186" t="s">
        <v>16115</v>
      </c>
      <c r="D510" s="116" t="s">
        <v>16116</v>
      </c>
      <c r="E510" s="61" t="s">
        <v>16117</v>
      </c>
      <c r="F510" s="61" t="s">
        <v>117</v>
      </c>
      <c r="G510" s="116" t="s">
        <v>16118</v>
      </c>
      <c r="H510" s="116" t="s">
        <v>16119</v>
      </c>
      <c r="I510" s="116"/>
      <c r="J510" s="116" t="s">
        <v>16120</v>
      </c>
      <c r="K510" s="134" t="s">
        <v>16121</v>
      </c>
      <c r="L510" s="116" t="s">
        <v>16122</v>
      </c>
      <c r="M510" s="116" t="s">
        <v>16123</v>
      </c>
    </row>
    <row r="511" spans="1:13" ht="14.25" customHeight="1">
      <c r="A511" s="116">
        <v>6</v>
      </c>
      <c r="B511" s="116"/>
      <c r="C511" s="195" t="s">
        <v>16124</v>
      </c>
      <c r="D511" s="134" t="s">
        <v>16125</v>
      </c>
      <c r="E511" s="61" t="s">
        <v>16126</v>
      </c>
      <c r="F511" s="61" t="s">
        <v>65</v>
      </c>
      <c r="G511" s="134" t="s">
        <v>16127</v>
      </c>
      <c r="H511" s="134" t="s">
        <v>16128</v>
      </c>
      <c r="I511" s="134"/>
      <c r="J511" s="134" t="s">
        <v>16129</v>
      </c>
      <c r="K511" s="134" t="s">
        <v>16130</v>
      </c>
      <c r="L511" s="116" t="s">
        <v>16131</v>
      </c>
      <c r="M511" s="116" t="s">
        <v>16132</v>
      </c>
    </row>
    <row r="512" spans="1:13" ht="14.25" customHeight="1">
      <c r="A512" s="116">
        <v>7</v>
      </c>
      <c r="B512" s="116"/>
      <c r="C512" s="186" t="s">
        <v>16133</v>
      </c>
      <c r="D512" s="116" t="s">
        <v>16134</v>
      </c>
      <c r="E512" s="61" t="s">
        <v>16135</v>
      </c>
      <c r="F512" s="61" t="s">
        <v>117</v>
      </c>
      <c r="G512" s="116" t="s">
        <v>16136</v>
      </c>
      <c r="H512" s="116" t="s">
        <v>16137</v>
      </c>
      <c r="I512" s="116"/>
      <c r="J512" s="116" t="s">
        <v>16138</v>
      </c>
      <c r="K512" s="134" t="s">
        <v>16139</v>
      </c>
      <c r="L512" s="116" t="s">
        <v>16140</v>
      </c>
      <c r="M512" s="116" t="s">
        <v>16141</v>
      </c>
    </row>
    <row r="513" spans="1:13" ht="14.25" customHeight="1">
      <c r="A513" s="116">
        <v>8</v>
      </c>
      <c r="B513" s="116"/>
      <c r="C513" s="195" t="s">
        <v>16142</v>
      </c>
      <c r="D513" s="134" t="s">
        <v>16143</v>
      </c>
      <c r="E513" s="61" t="s">
        <v>16144</v>
      </c>
      <c r="F513" s="61" t="s">
        <v>117</v>
      </c>
      <c r="G513" s="134" t="s">
        <v>16145</v>
      </c>
      <c r="H513" s="134" t="s">
        <v>16146</v>
      </c>
      <c r="I513" s="134"/>
      <c r="J513" s="134" t="s">
        <v>16147</v>
      </c>
      <c r="K513" s="134" t="s">
        <v>16148</v>
      </c>
      <c r="L513" s="116" t="s">
        <v>16149</v>
      </c>
      <c r="M513" s="116" t="s">
        <v>16150</v>
      </c>
    </row>
    <row r="514" spans="1:13" ht="14.25" customHeight="1">
      <c r="A514" s="116">
        <v>9</v>
      </c>
      <c r="B514" s="116"/>
      <c r="C514" s="186" t="s">
        <v>16151</v>
      </c>
      <c r="D514" s="116" t="s">
        <v>16152</v>
      </c>
      <c r="E514" s="61" t="s">
        <v>16153</v>
      </c>
      <c r="F514" s="61" t="s">
        <v>65</v>
      </c>
      <c r="G514" s="116" t="s">
        <v>16154</v>
      </c>
      <c r="H514" s="116" t="s">
        <v>16155</v>
      </c>
      <c r="I514" s="116"/>
      <c r="J514" s="116" t="s">
        <v>16156</v>
      </c>
      <c r="K514" s="134" t="s">
        <v>16157</v>
      </c>
      <c r="L514" s="116" t="s">
        <v>16158</v>
      </c>
      <c r="M514" s="116" t="s">
        <v>16159</v>
      </c>
    </row>
    <row r="515" spans="1:13" ht="14.25" customHeight="1">
      <c r="A515" s="116">
        <v>10</v>
      </c>
      <c r="B515" s="116"/>
      <c r="C515" s="186" t="s">
        <v>16160</v>
      </c>
      <c r="D515" s="116" t="s">
        <v>16161</v>
      </c>
      <c r="E515" s="61" t="s">
        <v>16162</v>
      </c>
      <c r="F515" s="61" t="s">
        <v>117</v>
      </c>
      <c r="G515" s="116" t="s">
        <v>16163</v>
      </c>
      <c r="H515" s="116" t="s">
        <v>16164</v>
      </c>
      <c r="I515" s="116"/>
      <c r="J515" s="116" t="s">
        <v>16165</v>
      </c>
      <c r="K515" s="134" t="s">
        <v>16166</v>
      </c>
      <c r="L515" s="116" t="s">
        <v>16167</v>
      </c>
      <c r="M515" s="116" t="s">
        <v>16168</v>
      </c>
    </row>
    <row r="516" spans="1:13" ht="14.25" customHeight="1">
      <c r="A516" s="116">
        <v>11</v>
      </c>
      <c r="B516" s="116"/>
      <c r="C516" s="186" t="s">
        <v>5541</v>
      </c>
      <c r="D516" s="116" t="s">
        <v>5542</v>
      </c>
      <c r="E516" s="61" t="s">
        <v>5543</v>
      </c>
      <c r="F516" s="61" t="s">
        <v>65</v>
      </c>
      <c r="G516" s="116" t="s">
        <v>10625</v>
      </c>
      <c r="H516" s="116" t="s">
        <v>16169</v>
      </c>
      <c r="I516" s="116"/>
      <c r="J516" s="116" t="s">
        <v>5547</v>
      </c>
      <c r="K516" s="134" t="s">
        <v>10626</v>
      </c>
      <c r="L516" s="116" t="s">
        <v>10627</v>
      </c>
      <c r="M516" s="116" t="s">
        <v>10628</v>
      </c>
    </row>
    <row r="517" spans="1:13" ht="14.25" customHeight="1">
      <c r="A517" s="116">
        <v>12</v>
      </c>
      <c r="B517" s="116"/>
      <c r="C517" s="186" t="s">
        <v>16170</v>
      </c>
      <c r="D517" s="116" t="s">
        <v>16171</v>
      </c>
      <c r="E517" s="61" t="s">
        <v>16172</v>
      </c>
      <c r="F517" s="61" t="s">
        <v>117</v>
      </c>
      <c r="G517" s="116" t="s">
        <v>16173</v>
      </c>
      <c r="H517" s="116" t="s">
        <v>16174</v>
      </c>
      <c r="I517" s="116"/>
      <c r="J517" s="116" t="s">
        <v>16175</v>
      </c>
      <c r="K517" s="134" t="s">
        <v>16176</v>
      </c>
      <c r="L517" s="116" t="s">
        <v>16177</v>
      </c>
      <c r="M517" s="116" t="s">
        <v>16178</v>
      </c>
    </row>
    <row r="518" spans="1:13" ht="14.25" customHeight="1">
      <c r="A518" s="116">
        <v>13</v>
      </c>
      <c r="B518" s="116"/>
      <c r="C518" s="186" t="s">
        <v>16179</v>
      </c>
      <c r="D518" s="116" t="s">
        <v>16180</v>
      </c>
      <c r="E518" s="61" t="s">
        <v>16181</v>
      </c>
      <c r="F518" s="61" t="s">
        <v>65</v>
      </c>
      <c r="G518" s="116" t="s">
        <v>16182</v>
      </c>
      <c r="H518" s="116" t="s">
        <v>16183</v>
      </c>
      <c r="I518" s="116"/>
      <c r="J518" s="116" t="s">
        <v>16184</v>
      </c>
      <c r="K518" s="134" t="s">
        <v>16185</v>
      </c>
      <c r="L518" s="116" t="s">
        <v>16186</v>
      </c>
      <c r="M518" s="116" t="s">
        <v>16187</v>
      </c>
    </row>
    <row r="519" spans="1:13" ht="14.25" customHeight="1">
      <c r="A519" s="116">
        <v>14</v>
      </c>
      <c r="B519" s="116"/>
      <c r="C519" s="186" t="s">
        <v>16188</v>
      </c>
      <c r="D519" s="116" t="s">
        <v>16189</v>
      </c>
      <c r="E519" s="61" t="s">
        <v>16190</v>
      </c>
      <c r="F519" s="61" t="s">
        <v>65</v>
      </c>
      <c r="G519" s="116" t="s">
        <v>16191</v>
      </c>
      <c r="H519" s="116" t="s">
        <v>16192</v>
      </c>
      <c r="I519" s="116"/>
      <c r="J519" s="116" t="s">
        <v>16193</v>
      </c>
      <c r="K519" s="134" t="s">
        <v>16194</v>
      </c>
      <c r="L519" s="116" t="s">
        <v>16195</v>
      </c>
      <c r="M519" s="116" t="s">
        <v>16196</v>
      </c>
    </row>
    <row r="520" spans="1:13" ht="14.25" customHeight="1">
      <c r="A520" s="116">
        <v>15</v>
      </c>
      <c r="B520" s="116"/>
      <c r="C520" s="186" t="s">
        <v>16197</v>
      </c>
      <c r="D520" s="116" t="s">
        <v>16198</v>
      </c>
      <c r="E520" s="61" t="s">
        <v>16199</v>
      </c>
      <c r="F520" s="61" t="s">
        <v>117</v>
      </c>
      <c r="G520" s="116" t="s">
        <v>16200</v>
      </c>
      <c r="H520" s="116" t="s">
        <v>16201</v>
      </c>
      <c r="I520" s="116"/>
      <c r="J520" s="116" t="s">
        <v>16202</v>
      </c>
      <c r="K520" s="134" t="s">
        <v>16203</v>
      </c>
      <c r="L520" s="116" t="s">
        <v>16204</v>
      </c>
      <c r="M520" s="116" t="s">
        <v>16205</v>
      </c>
    </row>
    <row r="521" spans="1:13" ht="14.25" customHeight="1">
      <c r="A521" s="116">
        <v>16</v>
      </c>
      <c r="B521" s="116"/>
      <c r="C521" s="186" t="s">
        <v>16206</v>
      </c>
      <c r="D521" s="116" t="s">
        <v>16207</v>
      </c>
      <c r="E521" s="61" t="s">
        <v>16208</v>
      </c>
      <c r="F521" s="61" t="s">
        <v>117</v>
      </c>
      <c r="G521" s="116" t="s">
        <v>16209</v>
      </c>
      <c r="H521" s="116" t="s">
        <v>16210</v>
      </c>
      <c r="I521" s="116"/>
      <c r="J521" s="116" t="s">
        <v>16211</v>
      </c>
      <c r="K521" s="134" t="s">
        <v>16212</v>
      </c>
      <c r="L521" s="116" t="s">
        <v>16213</v>
      </c>
      <c r="M521" s="116" t="s">
        <v>16214</v>
      </c>
    </row>
    <row r="522" spans="1:13" ht="14.25" customHeight="1">
      <c r="A522" s="116">
        <v>17</v>
      </c>
      <c r="B522" s="116"/>
      <c r="C522" s="186" t="s">
        <v>16215</v>
      </c>
      <c r="D522" s="116" t="s">
        <v>16216</v>
      </c>
      <c r="E522" s="61" t="s">
        <v>16217</v>
      </c>
      <c r="F522" s="61" t="s">
        <v>54</v>
      </c>
      <c r="G522" s="116" t="s">
        <v>16218</v>
      </c>
      <c r="H522" s="116" t="s">
        <v>16219</v>
      </c>
      <c r="I522" s="116"/>
      <c r="J522" s="116" t="s">
        <v>16220</v>
      </c>
      <c r="K522" s="134" t="s">
        <v>16221</v>
      </c>
      <c r="L522" s="116" t="s">
        <v>16222</v>
      </c>
      <c r="M522" s="116" t="s">
        <v>16223</v>
      </c>
    </row>
    <row r="523" spans="1:13" ht="14.25" customHeight="1">
      <c r="A523" s="116">
        <v>18</v>
      </c>
      <c r="B523" s="116"/>
      <c r="C523" s="186" t="s">
        <v>16224</v>
      </c>
      <c r="D523" s="116" t="s">
        <v>16225</v>
      </c>
      <c r="E523" s="61" t="s">
        <v>16226</v>
      </c>
      <c r="F523" s="61" t="s">
        <v>65</v>
      </c>
      <c r="G523" s="116" t="s">
        <v>16227</v>
      </c>
      <c r="H523" s="116" t="s">
        <v>16228</v>
      </c>
      <c r="I523" s="116"/>
      <c r="J523" s="116" t="s">
        <v>16229</v>
      </c>
      <c r="K523" s="134" t="s">
        <v>16230</v>
      </c>
      <c r="L523" s="116" t="s">
        <v>16231</v>
      </c>
      <c r="M523" s="132" t="s">
        <v>16232</v>
      </c>
    </row>
    <row r="524" spans="1:13" ht="14.25" customHeight="1">
      <c r="A524" s="116">
        <v>19</v>
      </c>
      <c r="B524" s="116"/>
      <c r="C524" s="186" t="s">
        <v>16233</v>
      </c>
      <c r="D524" s="116" t="s">
        <v>16234</v>
      </c>
      <c r="E524" s="185" t="s">
        <v>16235</v>
      </c>
      <c r="F524" s="185" t="s">
        <v>219</v>
      </c>
      <c r="G524" s="116" t="s">
        <v>16236</v>
      </c>
      <c r="H524" s="116" t="s">
        <v>16237</v>
      </c>
      <c r="I524" s="116"/>
      <c r="J524" s="116" t="s">
        <v>16238</v>
      </c>
      <c r="K524" s="134" t="s">
        <v>16239</v>
      </c>
      <c r="L524" s="116" t="s">
        <v>16240</v>
      </c>
      <c r="M524" s="116" t="s">
        <v>16241</v>
      </c>
    </row>
    <row r="525" spans="1:13" ht="14.25" customHeight="1">
      <c r="A525" s="116">
        <v>20</v>
      </c>
      <c r="B525" s="116"/>
      <c r="C525" s="186" t="s">
        <v>16242</v>
      </c>
      <c r="D525" s="116" t="s">
        <v>16243</v>
      </c>
      <c r="E525" s="61" t="s">
        <v>16244</v>
      </c>
      <c r="F525" s="61" t="s">
        <v>117</v>
      </c>
      <c r="G525" s="116" t="s">
        <v>16245</v>
      </c>
      <c r="H525" s="116" t="s">
        <v>16246</v>
      </c>
      <c r="I525" s="116"/>
      <c r="J525" s="116" t="s">
        <v>16247</v>
      </c>
      <c r="K525" s="134" t="s">
        <v>16248</v>
      </c>
      <c r="L525" s="116" t="s">
        <v>16249</v>
      </c>
      <c r="M525" s="116" t="s">
        <v>16250</v>
      </c>
    </row>
    <row r="526" spans="1:13" ht="14.25" customHeight="1">
      <c r="A526" s="116">
        <v>21</v>
      </c>
      <c r="B526" s="116"/>
      <c r="C526" s="186" t="s">
        <v>16251</v>
      </c>
      <c r="D526" s="116" t="s">
        <v>16252</v>
      </c>
      <c r="E526" s="61" t="s">
        <v>16253</v>
      </c>
      <c r="F526" s="61" t="s">
        <v>219</v>
      </c>
      <c r="G526" s="116" t="s">
        <v>16254</v>
      </c>
      <c r="H526" s="116" t="s">
        <v>16255</v>
      </c>
      <c r="I526" s="116"/>
      <c r="J526" s="116" t="s">
        <v>16256</v>
      </c>
      <c r="K526" s="134" t="s">
        <v>16257</v>
      </c>
      <c r="L526" s="116" t="s">
        <v>16258</v>
      </c>
      <c r="M526" s="116" t="s">
        <v>16259</v>
      </c>
    </row>
    <row r="527" spans="1:13" ht="14.25" customHeight="1">
      <c r="A527" s="116">
        <v>22</v>
      </c>
      <c r="B527" s="116"/>
      <c r="C527" s="186" t="s">
        <v>16260</v>
      </c>
      <c r="D527" s="116" t="s">
        <v>16261</v>
      </c>
      <c r="E527" s="61" t="s">
        <v>16262</v>
      </c>
      <c r="F527" s="61" t="s">
        <v>320</v>
      </c>
      <c r="G527" s="116" t="s">
        <v>16263</v>
      </c>
      <c r="H527" s="116" t="s">
        <v>16264</v>
      </c>
      <c r="I527" s="116"/>
      <c r="J527" s="116" t="s">
        <v>16265</v>
      </c>
      <c r="K527" s="134" t="s">
        <v>16266</v>
      </c>
      <c r="L527" s="116" t="s">
        <v>16267</v>
      </c>
      <c r="M527" s="116" t="s">
        <v>16268</v>
      </c>
    </row>
    <row r="528" spans="1:13" ht="14.25" customHeight="1">
      <c r="A528" s="116">
        <v>23</v>
      </c>
      <c r="B528" s="116"/>
      <c r="C528" s="186" t="s">
        <v>16269</v>
      </c>
      <c r="D528" s="116" t="s">
        <v>16270</v>
      </c>
      <c r="E528" s="61" t="s">
        <v>16271</v>
      </c>
      <c r="F528" s="61" t="s">
        <v>54</v>
      </c>
      <c r="G528" s="116" t="s">
        <v>16272</v>
      </c>
      <c r="H528" s="116" t="s">
        <v>16273</v>
      </c>
      <c r="I528" s="116"/>
      <c r="J528" s="116" t="s">
        <v>16274</v>
      </c>
      <c r="K528" s="134" t="s">
        <v>16275</v>
      </c>
      <c r="L528" s="116" t="s">
        <v>16276</v>
      </c>
      <c r="M528" s="116" t="s">
        <v>16277</v>
      </c>
    </row>
    <row r="529" spans="1:13" ht="14.25" customHeight="1">
      <c r="A529" s="116">
        <v>24</v>
      </c>
      <c r="B529" s="116"/>
      <c r="C529" s="186" t="s">
        <v>16278</v>
      </c>
      <c r="D529" s="116" t="s">
        <v>16279</v>
      </c>
      <c r="E529" s="61" t="s">
        <v>16280</v>
      </c>
      <c r="F529" s="61" t="s">
        <v>117</v>
      </c>
      <c r="G529" s="116" t="s">
        <v>16281</v>
      </c>
      <c r="H529" s="116" t="s">
        <v>16282</v>
      </c>
      <c r="I529" s="116"/>
      <c r="J529" s="116" t="s">
        <v>16283</v>
      </c>
      <c r="K529" s="134" t="s">
        <v>16284</v>
      </c>
      <c r="L529" s="116" t="s">
        <v>16285</v>
      </c>
      <c r="M529" s="116" t="s">
        <v>16286</v>
      </c>
    </row>
    <row r="530" spans="1:13" ht="14.25" customHeight="1">
      <c r="A530" s="116">
        <v>25</v>
      </c>
      <c r="B530" s="116"/>
      <c r="C530" s="186" t="s">
        <v>16287</v>
      </c>
      <c r="D530" s="116" t="s">
        <v>16288</v>
      </c>
      <c r="E530" s="61" t="s">
        <v>16289</v>
      </c>
      <c r="F530" s="61" t="s">
        <v>117</v>
      </c>
      <c r="G530" s="116" t="s">
        <v>16290</v>
      </c>
      <c r="H530" s="116" t="s">
        <v>16291</v>
      </c>
      <c r="I530" s="116"/>
      <c r="J530" s="116" t="s">
        <v>16292</v>
      </c>
      <c r="K530" s="134" t="s">
        <v>16293</v>
      </c>
      <c r="L530" s="116" t="s">
        <v>16294</v>
      </c>
      <c r="M530" s="116" t="s">
        <v>16295</v>
      </c>
    </row>
    <row r="531" spans="1:13" ht="14.25" customHeight="1">
      <c r="A531" s="116">
        <v>26</v>
      </c>
      <c r="B531" s="116"/>
      <c r="C531" s="195" t="s">
        <v>16296</v>
      </c>
      <c r="D531" s="134" t="s">
        <v>16297</v>
      </c>
      <c r="E531" s="61" t="s">
        <v>16298</v>
      </c>
      <c r="F531" s="61" t="s">
        <v>54</v>
      </c>
      <c r="G531" s="134" t="s">
        <v>16299</v>
      </c>
      <c r="H531" s="134" t="s">
        <v>16300</v>
      </c>
      <c r="I531" s="134"/>
      <c r="J531" s="134" t="s">
        <v>16301</v>
      </c>
      <c r="K531" s="134" t="s">
        <v>16302</v>
      </c>
      <c r="L531" s="116" t="s">
        <v>16303</v>
      </c>
      <c r="M531" s="116" t="s">
        <v>16304</v>
      </c>
    </row>
    <row r="532" spans="1:13" ht="13.5" customHeight="1">
      <c r="A532" s="132">
        <v>27</v>
      </c>
      <c r="B532" s="132"/>
      <c r="C532" s="194" t="s">
        <v>16305</v>
      </c>
      <c r="D532" s="115" t="s">
        <v>16306</v>
      </c>
      <c r="E532" s="61" t="s">
        <v>16307</v>
      </c>
      <c r="F532" s="61" t="s">
        <v>54</v>
      </c>
      <c r="G532" s="115" t="s">
        <v>16308</v>
      </c>
      <c r="H532" s="115" t="s">
        <v>16309</v>
      </c>
      <c r="I532" s="115"/>
      <c r="J532" s="115" t="s">
        <v>16310</v>
      </c>
      <c r="K532" s="134" t="s">
        <v>16311</v>
      </c>
      <c r="L532" s="116" t="s">
        <v>16312</v>
      </c>
      <c r="M532" s="116" t="s">
        <v>16313</v>
      </c>
    </row>
    <row r="533" spans="1:13" ht="14.25" customHeight="1">
      <c r="A533" s="116">
        <v>28</v>
      </c>
      <c r="B533" s="116"/>
      <c r="C533" s="195" t="s">
        <v>16314</v>
      </c>
      <c r="D533" s="134" t="s">
        <v>16315</v>
      </c>
      <c r="E533" s="61" t="s">
        <v>16316</v>
      </c>
      <c r="F533" s="61" t="s">
        <v>54</v>
      </c>
      <c r="G533" s="134" t="s">
        <v>16317</v>
      </c>
      <c r="H533" s="134" t="s">
        <v>16318</v>
      </c>
      <c r="I533" s="134"/>
      <c r="J533" s="134" t="s">
        <v>16319</v>
      </c>
      <c r="K533" s="134" t="s">
        <v>16320</v>
      </c>
      <c r="L533" s="116" t="s">
        <v>16321</v>
      </c>
      <c r="M533" s="116" t="s">
        <v>16322</v>
      </c>
    </row>
    <row r="534" spans="1:13" ht="14.25" customHeight="1">
      <c r="A534" s="116">
        <v>29</v>
      </c>
      <c r="B534" s="116"/>
      <c r="C534" s="195" t="s">
        <v>16323</v>
      </c>
      <c r="D534" s="134" t="s">
        <v>16324</v>
      </c>
      <c r="E534" s="61" t="s">
        <v>1698</v>
      </c>
      <c r="F534" s="61" t="s">
        <v>117</v>
      </c>
      <c r="G534" s="134" t="s">
        <v>16325</v>
      </c>
      <c r="H534" s="134" t="s">
        <v>16326</v>
      </c>
      <c r="I534" s="134"/>
      <c r="J534" s="134" t="s">
        <v>16327</v>
      </c>
      <c r="K534" s="134" t="s">
        <v>16328</v>
      </c>
      <c r="L534" s="116" t="s">
        <v>16329</v>
      </c>
      <c r="M534" s="116" t="s">
        <v>16330</v>
      </c>
    </row>
    <row r="535" spans="1:13" ht="14.25" customHeight="1">
      <c r="A535" s="116">
        <v>30</v>
      </c>
      <c r="B535" s="116"/>
      <c r="C535" s="195" t="s">
        <v>16331</v>
      </c>
      <c r="D535" s="134" t="s">
        <v>16332</v>
      </c>
      <c r="E535" s="61" t="s">
        <v>15977</v>
      </c>
      <c r="F535" s="61" t="s">
        <v>117</v>
      </c>
      <c r="G535" s="134" t="s">
        <v>16333</v>
      </c>
      <c r="H535" s="134" t="s">
        <v>16334</v>
      </c>
      <c r="I535" s="134"/>
      <c r="J535" s="134" t="s">
        <v>16335</v>
      </c>
      <c r="K535" s="134" t="s">
        <v>16336</v>
      </c>
      <c r="L535" s="116" t="s">
        <v>16337</v>
      </c>
      <c r="M535" s="116" t="s">
        <v>16338</v>
      </c>
    </row>
    <row r="536" spans="1:13" ht="14.25" customHeight="1">
      <c r="A536" s="116">
        <v>31</v>
      </c>
      <c r="B536" s="116"/>
      <c r="C536" s="195" t="s">
        <v>16339</v>
      </c>
      <c r="D536" s="134" t="s">
        <v>16340</v>
      </c>
      <c r="E536" s="61" t="s">
        <v>16341</v>
      </c>
      <c r="F536" s="61" t="s">
        <v>117</v>
      </c>
      <c r="G536" s="134" t="s">
        <v>16342</v>
      </c>
      <c r="H536" s="134" t="s">
        <v>16343</v>
      </c>
      <c r="I536" s="134"/>
      <c r="J536" s="134" t="s">
        <v>16344</v>
      </c>
      <c r="K536" s="134" t="s">
        <v>16345</v>
      </c>
      <c r="L536" s="116" t="s">
        <v>16346</v>
      </c>
      <c r="M536" s="116" t="s">
        <v>16347</v>
      </c>
    </row>
    <row r="537" spans="1:13" ht="14.25" customHeight="1">
      <c r="A537" s="178">
        <v>1</v>
      </c>
      <c r="B537" s="178"/>
      <c r="C537" s="196" t="s">
        <v>8568</v>
      </c>
      <c r="D537" s="178" t="s">
        <v>8569</v>
      </c>
      <c r="E537" s="182" t="s">
        <v>8570</v>
      </c>
      <c r="F537" s="182" t="s">
        <v>54</v>
      </c>
      <c r="G537" s="178" t="s">
        <v>10907</v>
      </c>
      <c r="H537" s="178" t="s">
        <v>16348</v>
      </c>
      <c r="I537" s="178"/>
      <c r="J537" s="178" t="s">
        <v>8574</v>
      </c>
      <c r="K537" s="180" t="s">
        <v>10908</v>
      </c>
      <c r="L537" s="197" t="s">
        <v>10909</v>
      </c>
      <c r="M537" s="178" t="s">
        <v>10910</v>
      </c>
    </row>
    <row r="538" spans="1:13" ht="14.25" customHeight="1">
      <c r="A538" s="116">
        <v>2</v>
      </c>
      <c r="B538" s="116"/>
      <c r="C538" s="195" t="s">
        <v>16349</v>
      </c>
      <c r="D538" s="134" t="s">
        <v>16350</v>
      </c>
      <c r="E538" s="61" t="s">
        <v>16351</v>
      </c>
      <c r="F538" s="61" t="s">
        <v>65</v>
      </c>
      <c r="G538" s="134" t="s">
        <v>16352</v>
      </c>
      <c r="H538" s="134" t="s">
        <v>16353</v>
      </c>
      <c r="I538" s="134"/>
      <c r="J538" s="134" t="s">
        <v>16354</v>
      </c>
      <c r="K538" s="134" t="s">
        <v>16355</v>
      </c>
      <c r="L538" s="134" t="s">
        <v>16356</v>
      </c>
      <c r="M538" s="116" t="s">
        <v>16357</v>
      </c>
    </row>
    <row r="539" spans="1:13" ht="14.25" customHeight="1">
      <c r="A539" s="116">
        <v>3</v>
      </c>
      <c r="B539" s="116"/>
      <c r="C539" s="195" t="s">
        <v>16358</v>
      </c>
      <c r="D539" s="134" t="s">
        <v>16359</v>
      </c>
      <c r="E539" s="61" t="s">
        <v>16360</v>
      </c>
      <c r="F539" s="61" t="s">
        <v>65</v>
      </c>
      <c r="G539" s="134" t="s">
        <v>16361</v>
      </c>
      <c r="H539" s="118" t="s">
        <v>16362</v>
      </c>
      <c r="I539" s="118"/>
      <c r="J539" s="134" t="s">
        <v>16363</v>
      </c>
      <c r="K539" s="134" t="s">
        <v>16364</v>
      </c>
      <c r="L539" s="134" t="s">
        <v>16365</v>
      </c>
      <c r="M539" s="116" t="s">
        <v>16366</v>
      </c>
    </row>
    <row r="540" spans="1:13" ht="14.25" customHeight="1">
      <c r="A540" s="116">
        <v>4</v>
      </c>
      <c r="B540" s="116"/>
      <c r="C540" s="195" t="s">
        <v>16367</v>
      </c>
      <c r="D540" s="134" t="s">
        <v>16368</v>
      </c>
      <c r="E540" s="61" t="s">
        <v>16369</v>
      </c>
      <c r="F540" s="61" t="s">
        <v>65</v>
      </c>
      <c r="G540" s="134" t="s">
        <v>16370</v>
      </c>
      <c r="H540" s="134" t="s">
        <v>16371</v>
      </c>
      <c r="I540" s="134"/>
      <c r="J540" s="134" t="s">
        <v>16372</v>
      </c>
      <c r="K540" s="134" t="s">
        <v>16373</v>
      </c>
      <c r="L540" s="134" t="s">
        <v>16374</v>
      </c>
      <c r="M540" s="116" t="s">
        <v>16375</v>
      </c>
    </row>
    <row r="541" spans="1:13" ht="14.25" customHeight="1">
      <c r="A541" s="116">
        <v>5</v>
      </c>
      <c r="B541" s="116"/>
      <c r="C541" s="195" t="s">
        <v>16376</v>
      </c>
      <c r="D541" s="134" t="s">
        <v>16377</v>
      </c>
      <c r="E541" s="61" t="s">
        <v>16378</v>
      </c>
      <c r="F541" s="61" t="s">
        <v>65</v>
      </c>
      <c r="G541" s="134" t="s">
        <v>16379</v>
      </c>
      <c r="H541" s="134" t="s">
        <v>16380</v>
      </c>
      <c r="I541" s="134"/>
      <c r="J541" s="134" t="s">
        <v>16381</v>
      </c>
      <c r="K541" s="134" t="s">
        <v>16382</v>
      </c>
      <c r="L541" s="134" t="s">
        <v>16383</v>
      </c>
      <c r="M541" s="116" t="s">
        <v>16384</v>
      </c>
    </row>
    <row r="542" spans="1:13" ht="14.25" customHeight="1">
      <c r="A542" s="116">
        <v>6</v>
      </c>
      <c r="B542" s="116"/>
      <c r="C542" s="195" t="s">
        <v>16385</v>
      </c>
      <c r="D542" s="134" t="s">
        <v>16386</v>
      </c>
      <c r="E542" s="61" t="s">
        <v>16387</v>
      </c>
      <c r="F542" s="61" t="s">
        <v>65</v>
      </c>
      <c r="G542" s="134" t="s">
        <v>16388</v>
      </c>
      <c r="H542" s="134" t="s">
        <v>16389</v>
      </c>
      <c r="I542" s="134"/>
      <c r="J542" s="134" t="s">
        <v>16390</v>
      </c>
      <c r="K542" s="134" t="s">
        <v>16391</v>
      </c>
      <c r="L542" s="134" t="s">
        <v>16392</v>
      </c>
      <c r="M542" s="116" t="s">
        <v>16393</v>
      </c>
    </row>
    <row r="543" spans="1:13" ht="14.25" customHeight="1">
      <c r="A543" s="116">
        <v>7</v>
      </c>
      <c r="B543" s="116"/>
      <c r="C543" s="195" t="s">
        <v>16394</v>
      </c>
      <c r="D543" s="134" t="s">
        <v>16395</v>
      </c>
      <c r="E543" s="61" t="s">
        <v>16396</v>
      </c>
      <c r="F543" s="61" t="s">
        <v>563</v>
      </c>
      <c r="G543" s="134" t="s">
        <v>16397</v>
      </c>
      <c r="H543" s="134" t="s">
        <v>16398</v>
      </c>
      <c r="I543" s="134"/>
      <c r="J543" s="134" t="s">
        <v>16399</v>
      </c>
      <c r="K543" s="134" t="s">
        <v>16400</v>
      </c>
      <c r="L543" s="134" t="s">
        <v>16401</v>
      </c>
      <c r="M543" s="116" t="s">
        <v>16402</v>
      </c>
    </row>
    <row r="544" spans="1:13" ht="14.25" customHeight="1">
      <c r="A544" s="116">
        <v>8</v>
      </c>
      <c r="B544" s="116"/>
      <c r="C544" s="195" t="s">
        <v>16403</v>
      </c>
      <c r="D544" s="134" t="s">
        <v>16404</v>
      </c>
      <c r="E544" s="61" t="s">
        <v>16405</v>
      </c>
      <c r="F544" s="61" t="s">
        <v>65</v>
      </c>
      <c r="G544" s="134" t="s">
        <v>16406</v>
      </c>
      <c r="H544" s="134" t="s">
        <v>16407</v>
      </c>
      <c r="I544" s="134"/>
      <c r="J544" s="134" t="s">
        <v>16408</v>
      </c>
      <c r="K544" s="134" t="s">
        <v>16409</v>
      </c>
      <c r="L544" s="134" t="s">
        <v>16410</v>
      </c>
      <c r="M544" s="116" t="s">
        <v>16411</v>
      </c>
    </row>
    <row r="545" spans="1:13" ht="14.25" customHeight="1">
      <c r="A545" s="116">
        <v>9</v>
      </c>
      <c r="B545" s="116"/>
      <c r="C545" s="195" t="s">
        <v>16412</v>
      </c>
      <c r="D545" s="134" t="s">
        <v>16413</v>
      </c>
      <c r="E545" s="61" t="s">
        <v>16414</v>
      </c>
      <c r="F545" s="61" t="s">
        <v>54</v>
      </c>
      <c r="G545" s="134" t="s">
        <v>16415</v>
      </c>
      <c r="H545" s="134" t="s">
        <v>16416</v>
      </c>
      <c r="I545" s="134"/>
      <c r="J545" s="134" t="s">
        <v>16417</v>
      </c>
      <c r="K545" s="134" t="s">
        <v>16418</v>
      </c>
      <c r="L545" s="134" t="s">
        <v>16419</v>
      </c>
      <c r="M545" s="116" t="s">
        <v>16420</v>
      </c>
    </row>
    <row r="546" spans="1:13" ht="14.25" customHeight="1">
      <c r="A546" s="116">
        <v>10</v>
      </c>
      <c r="B546" s="116"/>
      <c r="C546" s="195" t="s">
        <v>16421</v>
      </c>
      <c r="D546" s="134" t="s">
        <v>16422</v>
      </c>
      <c r="E546" s="61" t="s">
        <v>16423</v>
      </c>
      <c r="F546" s="61" t="s">
        <v>65</v>
      </c>
      <c r="G546" s="134" t="s">
        <v>16424</v>
      </c>
      <c r="H546" s="134" t="s">
        <v>16425</v>
      </c>
      <c r="I546" s="134"/>
      <c r="J546" s="134" t="s">
        <v>16426</v>
      </c>
      <c r="K546" s="134" t="s">
        <v>16427</v>
      </c>
      <c r="L546" s="134" t="s">
        <v>16428</v>
      </c>
      <c r="M546" s="116" t="s">
        <v>16429</v>
      </c>
    </row>
    <row r="547" spans="1:13" ht="14.25" customHeight="1">
      <c r="A547" s="116">
        <v>11</v>
      </c>
      <c r="B547" s="116"/>
      <c r="C547" s="195" t="s">
        <v>16430</v>
      </c>
      <c r="D547" s="134" t="s">
        <v>16431</v>
      </c>
      <c r="E547" s="61" t="s">
        <v>16432</v>
      </c>
      <c r="F547" s="61" t="s">
        <v>54</v>
      </c>
      <c r="G547" s="134" t="s">
        <v>16433</v>
      </c>
      <c r="H547" s="134" t="s">
        <v>16434</v>
      </c>
      <c r="I547" s="134"/>
      <c r="J547" s="134" t="s">
        <v>16435</v>
      </c>
      <c r="K547" s="134" t="s">
        <v>16436</v>
      </c>
      <c r="L547" s="134" t="s">
        <v>16437</v>
      </c>
      <c r="M547" s="116" t="s">
        <v>16438</v>
      </c>
    </row>
    <row r="548" spans="1:13" ht="14.25" customHeight="1">
      <c r="A548" s="116">
        <v>12</v>
      </c>
      <c r="B548" s="116"/>
      <c r="C548" s="195" t="s">
        <v>16439</v>
      </c>
      <c r="D548" s="134" t="s">
        <v>16440</v>
      </c>
      <c r="E548" s="61" t="s">
        <v>16441</v>
      </c>
      <c r="F548" s="61" t="s">
        <v>65</v>
      </c>
      <c r="G548" s="134" t="s">
        <v>16442</v>
      </c>
      <c r="H548" s="134" t="s">
        <v>16443</v>
      </c>
      <c r="I548" s="134"/>
      <c r="J548" s="134" t="s">
        <v>16444</v>
      </c>
      <c r="K548" s="134" t="s">
        <v>16445</v>
      </c>
      <c r="L548" s="134" t="s">
        <v>16446</v>
      </c>
      <c r="M548" s="116" t="s">
        <v>16447</v>
      </c>
    </row>
    <row r="549" spans="1:13" ht="14.25" customHeight="1">
      <c r="A549" s="116">
        <v>13</v>
      </c>
      <c r="B549" s="116"/>
      <c r="C549" s="195" t="s">
        <v>16448</v>
      </c>
      <c r="D549" s="134" t="s">
        <v>16449</v>
      </c>
      <c r="E549" s="61" t="s">
        <v>16450</v>
      </c>
      <c r="F549" s="61" t="s">
        <v>65</v>
      </c>
      <c r="G549" s="134" t="s">
        <v>16451</v>
      </c>
      <c r="H549" s="134" t="s">
        <v>16452</v>
      </c>
      <c r="I549" s="134"/>
      <c r="J549" s="134" t="s">
        <v>16453</v>
      </c>
      <c r="K549" s="134" t="s">
        <v>16454</v>
      </c>
      <c r="L549" s="134" t="s">
        <v>16455</v>
      </c>
      <c r="M549" s="116" t="s">
        <v>16456</v>
      </c>
    </row>
    <row r="550" spans="1:13" ht="14.25" customHeight="1">
      <c r="A550" s="116">
        <v>14</v>
      </c>
      <c r="B550" s="116"/>
      <c r="C550" s="195" t="s">
        <v>16457</v>
      </c>
      <c r="D550" s="134" t="s">
        <v>16458</v>
      </c>
      <c r="E550" s="61" t="s">
        <v>16459</v>
      </c>
      <c r="F550" s="61" t="s">
        <v>54</v>
      </c>
      <c r="G550" s="134" t="s">
        <v>16460</v>
      </c>
      <c r="H550" s="134" t="s">
        <v>16461</v>
      </c>
      <c r="I550" s="134"/>
      <c r="J550" s="134" t="s">
        <v>16462</v>
      </c>
      <c r="K550" s="134" t="s">
        <v>16463</v>
      </c>
      <c r="L550" s="134" t="s">
        <v>16464</v>
      </c>
      <c r="M550" s="116" t="s">
        <v>16465</v>
      </c>
    </row>
    <row r="551" spans="1:13" ht="14.25" customHeight="1">
      <c r="A551" s="116">
        <v>15</v>
      </c>
      <c r="B551" s="116"/>
      <c r="C551" s="195" t="s">
        <v>16466</v>
      </c>
      <c r="D551" s="134" t="s">
        <v>16467</v>
      </c>
      <c r="E551" s="61" t="s">
        <v>16468</v>
      </c>
      <c r="F551" s="61" t="s">
        <v>117</v>
      </c>
      <c r="G551" s="134" t="s">
        <v>16469</v>
      </c>
      <c r="H551" s="134" t="s">
        <v>16470</v>
      </c>
      <c r="I551" s="134"/>
      <c r="J551" s="134" t="s">
        <v>16471</v>
      </c>
      <c r="K551" s="134" t="s">
        <v>16472</v>
      </c>
      <c r="L551" s="134" t="s">
        <v>16473</v>
      </c>
      <c r="M551" s="116" t="s">
        <v>16474</v>
      </c>
    </row>
    <row r="552" spans="1:13" ht="14.25" customHeight="1">
      <c r="A552" s="116">
        <v>16</v>
      </c>
      <c r="B552" s="116"/>
      <c r="C552" s="195" t="s">
        <v>16475</v>
      </c>
      <c r="D552" s="134" t="s">
        <v>16476</v>
      </c>
      <c r="E552" s="61" t="s">
        <v>16477</v>
      </c>
      <c r="F552" s="61" t="s">
        <v>117</v>
      </c>
      <c r="G552" s="134" t="s">
        <v>16478</v>
      </c>
      <c r="H552" s="134" t="s">
        <v>16479</v>
      </c>
      <c r="I552" s="134"/>
      <c r="J552" s="134" t="s">
        <v>16480</v>
      </c>
      <c r="K552" s="134" t="s">
        <v>16481</v>
      </c>
      <c r="L552" s="134" t="s">
        <v>16482</v>
      </c>
      <c r="M552" s="116" t="s">
        <v>16483</v>
      </c>
    </row>
    <row r="553" spans="1:13" ht="14.25" customHeight="1">
      <c r="A553" s="116">
        <v>17</v>
      </c>
      <c r="B553" s="116"/>
      <c r="C553" s="195" t="s">
        <v>16484</v>
      </c>
      <c r="D553" s="134" t="s">
        <v>16485</v>
      </c>
      <c r="E553" s="61" t="s">
        <v>16486</v>
      </c>
      <c r="F553" s="61" t="s">
        <v>117</v>
      </c>
      <c r="G553" s="134" t="s">
        <v>16487</v>
      </c>
      <c r="H553" s="134" t="s">
        <v>16488</v>
      </c>
      <c r="I553" s="134"/>
      <c r="J553" s="134" t="s">
        <v>16489</v>
      </c>
      <c r="K553" s="134" t="s">
        <v>16490</v>
      </c>
      <c r="L553" s="134" t="s">
        <v>16491</v>
      </c>
      <c r="M553" s="116" t="s">
        <v>16492</v>
      </c>
    </row>
    <row r="554" spans="1:13" ht="14.25" customHeight="1">
      <c r="A554" s="116">
        <v>18</v>
      </c>
      <c r="B554" s="116"/>
      <c r="C554" s="195" t="s">
        <v>16493</v>
      </c>
      <c r="D554" s="134" t="s">
        <v>16494</v>
      </c>
      <c r="E554" s="61" t="s">
        <v>16495</v>
      </c>
      <c r="F554" s="61"/>
      <c r="G554" s="134" t="s">
        <v>16496</v>
      </c>
      <c r="H554" s="134" t="s">
        <v>16497</v>
      </c>
      <c r="I554" s="134"/>
      <c r="J554" s="134" t="s">
        <v>16498</v>
      </c>
      <c r="K554" s="134" t="s">
        <v>16499</v>
      </c>
      <c r="L554" s="134" t="s">
        <v>16500</v>
      </c>
      <c r="M554" s="132" t="s">
        <v>16501</v>
      </c>
    </row>
    <row r="555" spans="1:13" ht="14.25" customHeight="1">
      <c r="A555" s="116">
        <v>19</v>
      </c>
      <c r="B555" s="116"/>
      <c r="C555" s="195" t="s">
        <v>16502</v>
      </c>
      <c r="D555" s="134" t="s">
        <v>6521</v>
      </c>
      <c r="E555" s="185" t="s">
        <v>16503</v>
      </c>
      <c r="F555" s="185" t="s">
        <v>117</v>
      </c>
      <c r="G555" s="134" t="s">
        <v>16504</v>
      </c>
      <c r="H555" s="134" t="s">
        <v>16505</v>
      </c>
      <c r="I555" s="134"/>
      <c r="J555" s="134" t="s">
        <v>16506</v>
      </c>
      <c r="K555" s="134" t="s">
        <v>16507</v>
      </c>
      <c r="L555" s="134" t="s">
        <v>16508</v>
      </c>
      <c r="M555" s="116" t="s">
        <v>16509</v>
      </c>
    </row>
    <row r="556" spans="1:13" ht="14.25" customHeight="1">
      <c r="A556" s="116">
        <v>20</v>
      </c>
      <c r="B556" s="116"/>
      <c r="C556" s="195" t="s">
        <v>16510</v>
      </c>
      <c r="D556" s="134" t="s">
        <v>16511</v>
      </c>
      <c r="E556" s="61" t="s">
        <v>16512</v>
      </c>
      <c r="F556" s="61" t="s">
        <v>65</v>
      </c>
      <c r="G556" s="134" t="s">
        <v>16513</v>
      </c>
      <c r="H556" s="134" t="s">
        <v>16514</v>
      </c>
      <c r="I556" s="134"/>
      <c r="J556" s="134" t="s">
        <v>16515</v>
      </c>
      <c r="K556" s="134" t="s">
        <v>16516</v>
      </c>
      <c r="L556" s="134" t="s">
        <v>16517</v>
      </c>
      <c r="M556" s="116" t="s">
        <v>16518</v>
      </c>
    </row>
    <row r="557" spans="1:13" ht="14.25" customHeight="1">
      <c r="A557" s="116">
        <v>21</v>
      </c>
      <c r="B557" s="116"/>
      <c r="C557" s="195" t="s">
        <v>16519</v>
      </c>
      <c r="D557" s="134" t="s">
        <v>16520</v>
      </c>
      <c r="E557" s="185" t="s">
        <v>1564</v>
      </c>
      <c r="F557" s="185" t="s">
        <v>219</v>
      </c>
      <c r="G557" s="134" t="s">
        <v>16521</v>
      </c>
      <c r="H557" s="134" t="s">
        <v>16522</v>
      </c>
      <c r="I557" s="134"/>
      <c r="J557" s="134" t="s">
        <v>16523</v>
      </c>
      <c r="K557" s="134" t="s">
        <v>16524</v>
      </c>
      <c r="L557" s="134" t="s">
        <v>16525</v>
      </c>
      <c r="M557" s="116" t="s">
        <v>16526</v>
      </c>
    </row>
    <row r="558" spans="1:13" ht="14.25" customHeight="1">
      <c r="A558" s="116">
        <v>22</v>
      </c>
      <c r="B558" s="116"/>
      <c r="C558" s="195" t="s">
        <v>7200</v>
      </c>
      <c r="D558" s="134" t="s">
        <v>7201</v>
      </c>
      <c r="E558" s="61" t="s">
        <v>7202</v>
      </c>
      <c r="F558" s="61" t="s">
        <v>65</v>
      </c>
      <c r="G558" s="134" t="s">
        <v>10751</v>
      </c>
      <c r="H558" s="134" t="s">
        <v>16527</v>
      </c>
      <c r="I558" s="134"/>
      <c r="J558" s="134" t="s">
        <v>7206</v>
      </c>
      <c r="K558" s="134" t="s">
        <v>10752</v>
      </c>
      <c r="L558" s="134" t="s">
        <v>10753</v>
      </c>
      <c r="M558" s="116" t="s">
        <v>10754</v>
      </c>
    </row>
    <row r="559" spans="1:13" ht="14.25" customHeight="1">
      <c r="A559" s="116">
        <v>23</v>
      </c>
      <c r="B559" s="116"/>
      <c r="C559" s="195" t="s">
        <v>16528</v>
      </c>
      <c r="D559" s="134" t="s">
        <v>16529</v>
      </c>
      <c r="E559" s="61" t="s">
        <v>16530</v>
      </c>
      <c r="F559" s="61" t="s">
        <v>117</v>
      </c>
      <c r="G559" s="134" t="s">
        <v>16531</v>
      </c>
      <c r="H559" s="134" t="s">
        <v>16532</v>
      </c>
      <c r="I559" s="134"/>
      <c r="J559" s="134" t="s">
        <v>16533</v>
      </c>
      <c r="K559" s="134" t="s">
        <v>16534</v>
      </c>
      <c r="L559" s="134" t="s">
        <v>16535</v>
      </c>
      <c r="M559" s="116" t="s">
        <v>16536</v>
      </c>
    </row>
    <row r="560" spans="1:13" ht="14.25" customHeight="1">
      <c r="A560" s="116">
        <v>24</v>
      </c>
      <c r="B560" s="116"/>
      <c r="C560" s="195" t="s">
        <v>16537</v>
      </c>
      <c r="D560" s="134" t="s">
        <v>16538</v>
      </c>
      <c r="E560" s="185" t="s">
        <v>6631</v>
      </c>
      <c r="F560" s="185" t="s">
        <v>117</v>
      </c>
      <c r="G560" s="134" t="s">
        <v>15867</v>
      </c>
      <c r="H560" s="134" t="s">
        <v>16539</v>
      </c>
      <c r="I560" s="134"/>
      <c r="J560" s="134" t="s">
        <v>16540</v>
      </c>
      <c r="K560" s="134" t="s">
        <v>16541</v>
      </c>
      <c r="L560" s="134" t="s">
        <v>16542</v>
      </c>
      <c r="M560" s="116" t="s">
        <v>16543</v>
      </c>
    </row>
    <row r="561" spans="1:13" ht="14.25" customHeight="1">
      <c r="A561" s="116">
        <v>25</v>
      </c>
      <c r="B561" s="116"/>
      <c r="C561" s="195" t="s">
        <v>16544</v>
      </c>
      <c r="D561" s="134" t="s">
        <v>16545</v>
      </c>
      <c r="E561" s="61" t="s">
        <v>16546</v>
      </c>
      <c r="F561" s="61" t="s">
        <v>54</v>
      </c>
      <c r="G561" s="134" t="s">
        <v>16547</v>
      </c>
      <c r="H561" s="134" t="s">
        <v>16548</v>
      </c>
      <c r="I561" s="134"/>
      <c r="J561" s="134" t="s">
        <v>16549</v>
      </c>
      <c r="K561" s="134" t="s">
        <v>16550</v>
      </c>
      <c r="L561" s="134" t="s">
        <v>16551</v>
      </c>
      <c r="M561" s="116" t="s">
        <v>16552</v>
      </c>
    </row>
    <row r="562" spans="1:13" ht="14.25" customHeight="1">
      <c r="A562" s="116">
        <v>26</v>
      </c>
      <c r="B562" s="116"/>
      <c r="C562" s="195" t="s">
        <v>16553</v>
      </c>
      <c r="D562" s="134" t="s">
        <v>16554</v>
      </c>
      <c r="E562" s="61" t="s">
        <v>16555</v>
      </c>
      <c r="F562" s="61" t="s">
        <v>54</v>
      </c>
      <c r="G562" s="134" t="s">
        <v>16556</v>
      </c>
      <c r="H562" s="134" t="s">
        <v>16557</v>
      </c>
      <c r="I562" s="134"/>
      <c r="J562" s="134" t="s">
        <v>16558</v>
      </c>
      <c r="K562" s="134" t="s">
        <v>16559</v>
      </c>
      <c r="L562" s="134" t="s">
        <v>16560</v>
      </c>
      <c r="M562" s="116" t="s">
        <v>16561</v>
      </c>
    </row>
    <row r="563" spans="1:13" ht="14.25" customHeight="1">
      <c r="A563" s="116">
        <v>27</v>
      </c>
      <c r="B563" s="116"/>
      <c r="C563" s="195" t="s">
        <v>16562</v>
      </c>
      <c r="D563" s="134" t="s">
        <v>16563</v>
      </c>
      <c r="E563" s="61" t="s">
        <v>16564</v>
      </c>
      <c r="F563" s="61" t="s">
        <v>563</v>
      </c>
      <c r="G563" s="134" t="s">
        <v>16565</v>
      </c>
      <c r="H563" s="134" t="s">
        <v>16566</v>
      </c>
      <c r="I563" s="134"/>
      <c r="J563" s="134" t="s">
        <v>16567</v>
      </c>
      <c r="K563" s="134" t="s">
        <v>16568</v>
      </c>
      <c r="L563" s="134" t="s">
        <v>16569</v>
      </c>
      <c r="M563" s="116" t="s">
        <v>16570</v>
      </c>
    </row>
    <row r="564" spans="1:13" ht="14.25" customHeight="1">
      <c r="A564" s="116">
        <v>28</v>
      </c>
      <c r="B564" s="116"/>
      <c r="C564" s="195" t="s">
        <v>16571</v>
      </c>
      <c r="D564" s="134" t="s">
        <v>16572</v>
      </c>
      <c r="E564" s="61" t="s">
        <v>16573</v>
      </c>
      <c r="F564" s="61" t="s">
        <v>117</v>
      </c>
      <c r="G564" s="134" t="s">
        <v>16574</v>
      </c>
      <c r="H564" s="134" t="s">
        <v>16575</v>
      </c>
      <c r="I564" s="134"/>
      <c r="J564" s="134" t="s">
        <v>16576</v>
      </c>
      <c r="K564" s="134" t="s">
        <v>16577</v>
      </c>
      <c r="L564" s="134" t="s">
        <v>16578</v>
      </c>
      <c r="M564" s="116" t="s">
        <v>16579</v>
      </c>
    </row>
    <row r="565" spans="1:13" ht="14.25" customHeight="1">
      <c r="A565" s="116">
        <v>29</v>
      </c>
      <c r="B565" s="116"/>
      <c r="C565" s="195" t="s">
        <v>16580</v>
      </c>
      <c r="D565" s="134" t="s">
        <v>16581</v>
      </c>
      <c r="E565" s="61" t="s">
        <v>16582</v>
      </c>
      <c r="F565" s="61" t="s">
        <v>219</v>
      </c>
      <c r="G565" s="134" t="s">
        <v>16583</v>
      </c>
      <c r="H565" s="134" t="s">
        <v>16584</v>
      </c>
      <c r="I565" s="134"/>
      <c r="J565" s="134" t="s">
        <v>16585</v>
      </c>
      <c r="K565" s="134" t="s">
        <v>16586</v>
      </c>
      <c r="L565" s="134" t="s">
        <v>16587</v>
      </c>
      <c r="M565" s="116" t="s">
        <v>16588</v>
      </c>
    </row>
    <row r="566" spans="1:13" ht="14.25" customHeight="1">
      <c r="A566" s="178">
        <v>1</v>
      </c>
      <c r="B566" s="178"/>
      <c r="C566" s="196" t="s">
        <v>16589</v>
      </c>
      <c r="D566" s="178" t="s">
        <v>16590</v>
      </c>
      <c r="E566" s="182" t="s">
        <v>16591</v>
      </c>
      <c r="F566" s="182" t="s">
        <v>117</v>
      </c>
      <c r="G566" s="178" t="s">
        <v>16592</v>
      </c>
      <c r="H566" s="178" t="s">
        <v>16593</v>
      </c>
      <c r="I566" s="178"/>
      <c r="J566" s="178" t="s">
        <v>16594</v>
      </c>
      <c r="K566" s="180" t="s">
        <v>16595</v>
      </c>
      <c r="L566" s="197" t="s">
        <v>16596</v>
      </c>
      <c r="M566" s="178" t="s">
        <v>16597</v>
      </c>
    </row>
    <row r="567" spans="1:13" ht="14.25" customHeight="1">
      <c r="A567" s="116">
        <v>2</v>
      </c>
      <c r="B567" s="116"/>
      <c r="C567" s="195" t="s">
        <v>16598</v>
      </c>
      <c r="D567" s="134" t="s">
        <v>16599</v>
      </c>
      <c r="E567" s="61" t="s">
        <v>16600</v>
      </c>
      <c r="F567" s="61" t="s">
        <v>65</v>
      </c>
      <c r="G567" s="134" t="s">
        <v>16601</v>
      </c>
      <c r="H567" s="134" t="s">
        <v>16602</v>
      </c>
      <c r="I567" s="134"/>
      <c r="J567" s="134" t="s">
        <v>16603</v>
      </c>
      <c r="K567" s="134" t="s">
        <v>16604</v>
      </c>
      <c r="L567" s="134" t="s">
        <v>16605</v>
      </c>
      <c r="M567" s="116" t="s">
        <v>16606</v>
      </c>
    </row>
    <row r="568" spans="1:13" ht="14.25" customHeight="1">
      <c r="A568" s="116">
        <v>3</v>
      </c>
      <c r="B568" s="116"/>
      <c r="C568" s="195" t="s">
        <v>16607</v>
      </c>
      <c r="D568" s="134" t="s">
        <v>16608</v>
      </c>
      <c r="E568" s="61" t="s">
        <v>16609</v>
      </c>
      <c r="F568" s="61" t="s">
        <v>65</v>
      </c>
      <c r="G568" s="134" t="s">
        <v>16610</v>
      </c>
      <c r="H568" s="134" t="s">
        <v>16611</v>
      </c>
      <c r="I568" s="134"/>
      <c r="J568" s="134" t="s">
        <v>16612</v>
      </c>
      <c r="K568" s="134" t="s">
        <v>16613</v>
      </c>
      <c r="L568" s="134" t="s">
        <v>16614</v>
      </c>
      <c r="M568" s="116" t="s">
        <v>16615</v>
      </c>
    </row>
    <row r="569" spans="1:13" ht="14.25" customHeight="1">
      <c r="A569" s="116">
        <v>4</v>
      </c>
      <c r="B569" s="116"/>
      <c r="C569" s="195" t="s">
        <v>16616</v>
      </c>
      <c r="D569" s="134" t="s">
        <v>16617</v>
      </c>
      <c r="E569" s="61" t="s">
        <v>16618</v>
      </c>
      <c r="F569" s="61" t="s">
        <v>54</v>
      </c>
      <c r="G569" s="134" t="s">
        <v>16619</v>
      </c>
      <c r="H569" s="134" t="s">
        <v>16620</v>
      </c>
      <c r="I569" s="134"/>
      <c r="J569" s="134" t="s">
        <v>16621</v>
      </c>
      <c r="K569" s="134" t="s">
        <v>16622</v>
      </c>
      <c r="L569" s="134" t="s">
        <v>16623</v>
      </c>
      <c r="M569" s="116" t="s">
        <v>16624</v>
      </c>
    </row>
    <row r="570" spans="1:13" ht="14.25" customHeight="1">
      <c r="A570" s="116">
        <v>5</v>
      </c>
      <c r="B570" s="116"/>
      <c r="C570" s="195" t="s">
        <v>16625</v>
      </c>
      <c r="D570" s="134" t="s">
        <v>16626</v>
      </c>
      <c r="E570" s="61" t="s">
        <v>16627</v>
      </c>
      <c r="F570" s="61" t="s">
        <v>117</v>
      </c>
      <c r="G570" s="134" t="s">
        <v>16628</v>
      </c>
      <c r="H570" s="134" t="s">
        <v>16629</v>
      </c>
      <c r="I570" s="134"/>
      <c r="J570" s="134" t="s">
        <v>16630</v>
      </c>
      <c r="K570" s="134" t="s">
        <v>16631</v>
      </c>
      <c r="L570" s="134" t="s">
        <v>16632</v>
      </c>
      <c r="M570" s="116" t="s">
        <v>16633</v>
      </c>
    </row>
    <row r="571" spans="1:13" ht="14.25" customHeight="1">
      <c r="A571" s="116">
        <v>6</v>
      </c>
      <c r="B571" s="116"/>
      <c r="C571" s="195" t="s">
        <v>16634</v>
      </c>
      <c r="D571" s="134" t="s">
        <v>16635</v>
      </c>
      <c r="E571" s="185" t="s">
        <v>854</v>
      </c>
      <c r="F571" s="185" t="s">
        <v>563</v>
      </c>
      <c r="G571" s="134" t="s">
        <v>16636</v>
      </c>
      <c r="H571" s="134" t="s">
        <v>16637</v>
      </c>
      <c r="I571" s="134"/>
      <c r="J571" s="134" t="s">
        <v>16638</v>
      </c>
      <c r="K571" s="134" t="s">
        <v>16639</v>
      </c>
      <c r="L571" s="134" t="s">
        <v>16640</v>
      </c>
      <c r="M571" s="116" t="s">
        <v>16641</v>
      </c>
    </row>
    <row r="572" spans="1:13" ht="14.25" customHeight="1">
      <c r="A572" s="116">
        <v>7</v>
      </c>
      <c r="B572" s="116"/>
      <c r="C572" s="195" t="s">
        <v>16642</v>
      </c>
      <c r="D572" s="134" t="s">
        <v>16643</v>
      </c>
      <c r="E572" s="61" t="s">
        <v>16644</v>
      </c>
      <c r="F572" s="61" t="s">
        <v>65</v>
      </c>
      <c r="G572" s="134" t="s">
        <v>16645</v>
      </c>
      <c r="H572" s="134" t="s">
        <v>16646</v>
      </c>
      <c r="I572" s="134"/>
      <c r="J572" s="134" t="s">
        <v>16647</v>
      </c>
      <c r="K572" s="134" t="s">
        <v>16648</v>
      </c>
      <c r="L572" s="134" t="s">
        <v>16649</v>
      </c>
      <c r="M572" s="116" t="s">
        <v>16650</v>
      </c>
    </row>
    <row r="573" spans="1:13" ht="14.25" customHeight="1">
      <c r="A573" s="116">
        <v>8</v>
      </c>
      <c r="B573" s="116"/>
      <c r="C573" s="195" t="s">
        <v>16651</v>
      </c>
      <c r="D573" s="134" t="s">
        <v>16652</v>
      </c>
      <c r="E573" s="61" t="s">
        <v>16653</v>
      </c>
      <c r="F573" s="61" t="s">
        <v>54</v>
      </c>
      <c r="G573" s="134" t="s">
        <v>16654</v>
      </c>
      <c r="H573" s="134" t="s">
        <v>16655</v>
      </c>
      <c r="I573" s="134"/>
      <c r="J573" s="134" t="s">
        <v>16656</v>
      </c>
      <c r="K573" s="134" t="s">
        <v>16657</v>
      </c>
      <c r="L573" s="134" t="s">
        <v>16658</v>
      </c>
      <c r="M573" s="116" t="s">
        <v>16659</v>
      </c>
    </row>
    <row r="574" spans="1:13" ht="14.25" customHeight="1">
      <c r="A574" s="116">
        <v>9</v>
      </c>
      <c r="B574" s="116"/>
      <c r="C574" s="195" t="s">
        <v>16660</v>
      </c>
      <c r="D574" s="134" t="s">
        <v>16661</v>
      </c>
      <c r="E574" s="61" t="s">
        <v>16662</v>
      </c>
      <c r="F574" s="61" t="s">
        <v>65</v>
      </c>
      <c r="G574" s="134" t="s">
        <v>16663</v>
      </c>
      <c r="H574" s="134" t="s">
        <v>16664</v>
      </c>
      <c r="I574" s="134"/>
      <c r="J574" s="134" t="s">
        <v>16665</v>
      </c>
      <c r="K574" s="134" t="s">
        <v>16666</v>
      </c>
      <c r="L574" s="134" t="s">
        <v>16667</v>
      </c>
      <c r="M574" s="116" t="s">
        <v>16668</v>
      </c>
    </row>
    <row r="575" spans="1:13" ht="14.25" customHeight="1">
      <c r="A575" s="116">
        <v>10</v>
      </c>
      <c r="B575" s="116"/>
      <c r="C575" s="195" t="s">
        <v>16669</v>
      </c>
      <c r="D575" s="134" t="s">
        <v>16670</v>
      </c>
      <c r="E575" s="185" t="s">
        <v>16671</v>
      </c>
      <c r="F575" s="185" t="s">
        <v>117</v>
      </c>
      <c r="G575" s="134" t="s">
        <v>16672</v>
      </c>
      <c r="H575" s="134" t="s">
        <v>16673</v>
      </c>
      <c r="I575" s="134"/>
      <c r="J575" s="134" t="s">
        <v>16674</v>
      </c>
      <c r="K575" s="134" t="s">
        <v>16675</v>
      </c>
      <c r="L575" s="134" t="s">
        <v>16676</v>
      </c>
      <c r="M575" s="116" t="s">
        <v>16677</v>
      </c>
    </row>
    <row r="576" spans="1:13" ht="14.25" customHeight="1">
      <c r="A576" s="116">
        <v>11</v>
      </c>
      <c r="B576" s="116"/>
      <c r="C576" s="195" t="s">
        <v>16678</v>
      </c>
      <c r="D576" s="134" t="s">
        <v>16679</v>
      </c>
      <c r="E576" s="61" t="s">
        <v>16680</v>
      </c>
      <c r="F576" s="61" t="s">
        <v>117</v>
      </c>
      <c r="G576" s="134" t="s">
        <v>16681</v>
      </c>
      <c r="H576" s="134" t="s">
        <v>16682</v>
      </c>
      <c r="I576" s="134"/>
      <c r="J576" s="134" t="s">
        <v>16683</v>
      </c>
      <c r="K576" s="134" t="s">
        <v>16684</v>
      </c>
      <c r="L576" s="134" t="s">
        <v>16685</v>
      </c>
      <c r="M576" s="116" t="s">
        <v>16686</v>
      </c>
    </row>
    <row r="577" spans="1:13" ht="14.25" customHeight="1">
      <c r="A577" s="116">
        <v>12</v>
      </c>
      <c r="B577" s="116"/>
      <c r="C577" s="195" t="s">
        <v>16687</v>
      </c>
      <c r="D577" s="134" t="s">
        <v>16688</v>
      </c>
      <c r="E577" s="61" t="s">
        <v>16689</v>
      </c>
      <c r="F577" s="61" t="s">
        <v>563</v>
      </c>
      <c r="G577" s="134" t="s">
        <v>16690</v>
      </c>
      <c r="H577" s="134" t="s">
        <v>16691</v>
      </c>
      <c r="I577" s="134"/>
      <c r="J577" s="134" t="s">
        <v>16692</v>
      </c>
      <c r="K577" s="134" t="s">
        <v>16693</v>
      </c>
      <c r="L577" s="134" t="s">
        <v>16694</v>
      </c>
      <c r="M577" s="116" t="s">
        <v>16695</v>
      </c>
    </row>
    <row r="578" spans="1:13" ht="14.25" customHeight="1">
      <c r="A578" s="116">
        <v>13</v>
      </c>
      <c r="B578" s="116"/>
      <c r="C578" s="195" t="s">
        <v>16696</v>
      </c>
      <c r="D578" s="134" t="s">
        <v>16697</v>
      </c>
      <c r="E578" s="61" t="s">
        <v>16698</v>
      </c>
      <c r="F578" s="61"/>
      <c r="G578" s="134" t="s">
        <v>16699</v>
      </c>
      <c r="H578" s="134" t="s">
        <v>16700</v>
      </c>
      <c r="I578" s="134"/>
      <c r="J578" s="134" t="s">
        <v>16701</v>
      </c>
      <c r="K578" s="134" t="s">
        <v>16702</v>
      </c>
      <c r="L578" s="134" t="s">
        <v>16703</v>
      </c>
      <c r="M578" s="116" t="s">
        <v>16704</v>
      </c>
    </row>
    <row r="579" spans="1:13" ht="14.25" customHeight="1">
      <c r="A579" s="116">
        <v>14</v>
      </c>
      <c r="B579" s="116"/>
      <c r="C579" s="195" t="s">
        <v>16705</v>
      </c>
      <c r="D579" s="134" t="s">
        <v>16706</v>
      </c>
      <c r="E579" s="185" t="s">
        <v>16707</v>
      </c>
      <c r="F579" s="185" t="s">
        <v>54</v>
      </c>
      <c r="G579" s="134" t="s">
        <v>16708</v>
      </c>
      <c r="H579" s="134" t="s">
        <v>16709</v>
      </c>
      <c r="I579" s="134"/>
      <c r="J579" s="134" t="s">
        <v>16710</v>
      </c>
      <c r="K579" s="134" t="s">
        <v>16711</v>
      </c>
      <c r="L579" s="134" t="s">
        <v>16712</v>
      </c>
      <c r="M579" s="116" t="s">
        <v>16713</v>
      </c>
    </row>
    <row r="580" spans="1:13" ht="14.25" customHeight="1">
      <c r="A580" s="116">
        <v>15</v>
      </c>
      <c r="B580" s="116"/>
      <c r="C580" s="195" t="s">
        <v>16714</v>
      </c>
      <c r="D580" s="134" t="s">
        <v>16715</v>
      </c>
      <c r="E580" s="61" t="s">
        <v>16716</v>
      </c>
      <c r="F580" s="61" t="s">
        <v>65</v>
      </c>
      <c r="G580" s="134" t="s">
        <v>16717</v>
      </c>
      <c r="H580" s="134" t="s">
        <v>16718</v>
      </c>
      <c r="I580" s="134"/>
      <c r="J580" s="134" t="s">
        <v>16719</v>
      </c>
      <c r="K580" s="134" t="s">
        <v>16720</v>
      </c>
      <c r="L580" s="134" t="s">
        <v>16721</v>
      </c>
      <c r="M580" s="116" t="s">
        <v>16722</v>
      </c>
    </row>
    <row r="581" spans="1:13" ht="14.25" customHeight="1">
      <c r="A581" s="116">
        <v>16</v>
      </c>
      <c r="B581" s="116"/>
      <c r="C581" s="195" t="s">
        <v>16723</v>
      </c>
      <c r="D581" s="134" t="s">
        <v>16724</v>
      </c>
      <c r="E581" s="61" t="s">
        <v>16725</v>
      </c>
      <c r="F581" s="61" t="s">
        <v>219</v>
      </c>
      <c r="G581" s="134" t="s">
        <v>16726</v>
      </c>
      <c r="H581" s="134" t="s">
        <v>16727</v>
      </c>
      <c r="I581" s="134"/>
      <c r="J581" s="134" t="s">
        <v>16728</v>
      </c>
      <c r="K581" s="134" t="s">
        <v>16729</v>
      </c>
      <c r="L581" s="134" t="s">
        <v>16730</v>
      </c>
      <c r="M581" s="116" t="s">
        <v>16731</v>
      </c>
    </row>
    <row r="582" spans="1:13" ht="14.25" customHeight="1">
      <c r="A582" s="116">
        <v>17</v>
      </c>
      <c r="B582" s="116"/>
      <c r="C582" s="195" t="s">
        <v>16732</v>
      </c>
      <c r="D582" s="134" t="s">
        <v>16733</v>
      </c>
      <c r="E582" s="61" t="s">
        <v>16734</v>
      </c>
      <c r="F582" s="61" t="s">
        <v>54</v>
      </c>
      <c r="G582" s="134" t="s">
        <v>16735</v>
      </c>
      <c r="H582" s="134" t="s">
        <v>16736</v>
      </c>
      <c r="I582" s="134"/>
      <c r="J582" s="134" t="s">
        <v>16737</v>
      </c>
      <c r="K582" s="134" t="s">
        <v>16738</v>
      </c>
      <c r="L582" s="134" t="s">
        <v>16739</v>
      </c>
      <c r="M582" s="116" t="s">
        <v>16740</v>
      </c>
    </row>
    <row r="583" spans="1:13" ht="14.25" customHeight="1">
      <c r="A583" s="116">
        <v>18</v>
      </c>
      <c r="B583" s="116"/>
      <c r="C583" s="195" t="s">
        <v>10000</v>
      </c>
      <c r="D583" s="134" t="s">
        <v>10001</v>
      </c>
      <c r="E583" s="61" t="s">
        <v>10002</v>
      </c>
      <c r="F583" s="61" t="s">
        <v>65</v>
      </c>
      <c r="G583" s="134" t="s">
        <v>11071</v>
      </c>
      <c r="H583" s="134" t="s">
        <v>16741</v>
      </c>
      <c r="I583" s="134"/>
      <c r="J583" s="134" t="s">
        <v>10006</v>
      </c>
      <c r="K583" s="134" t="s">
        <v>11072</v>
      </c>
      <c r="L583" s="134" t="s">
        <v>11073</v>
      </c>
      <c r="M583" s="132" t="s">
        <v>11074</v>
      </c>
    </row>
    <row r="584" spans="1:13" ht="14.25" customHeight="1">
      <c r="A584" s="116">
        <v>19</v>
      </c>
      <c r="B584" s="116"/>
      <c r="C584" s="195" t="s">
        <v>16742</v>
      </c>
      <c r="D584" s="134" t="s">
        <v>16743</v>
      </c>
      <c r="E584" s="61" t="s">
        <v>16744</v>
      </c>
      <c r="F584" s="61"/>
      <c r="G584" s="134" t="s">
        <v>16745</v>
      </c>
      <c r="H584" s="134" t="s">
        <v>16746</v>
      </c>
      <c r="I584" s="134"/>
      <c r="J584" s="134" t="s">
        <v>16747</v>
      </c>
      <c r="K584" s="134" t="s">
        <v>16748</v>
      </c>
      <c r="L584" s="134" t="s">
        <v>16749</v>
      </c>
      <c r="M584" s="116" t="s">
        <v>16750</v>
      </c>
    </row>
    <row r="585" spans="1:13" ht="14.25" customHeight="1">
      <c r="A585" s="116">
        <v>20</v>
      </c>
      <c r="B585" s="116"/>
      <c r="C585" s="195" t="s">
        <v>16751</v>
      </c>
      <c r="D585" s="134" t="s">
        <v>16752</v>
      </c>
      <c r="E585" s="185" t="s">
        <v>16753</v>
      </c>
      <c r="F585" s="185" t="s">
        <v>117</v>
      </c>
      <c r="G585" s="134" t="s">
        <v>16754</v>
      </c>
      <c r="H585" s="134" t="s">
        <v>16755</v>
      </c>
      <c r="I585" s="134"/>
      <c r="J585" s="134" t="s">
        <v>16756</v>
      </c>
      <c r="K585" s="134" t="s">
        <v>16757</v>
      </c>
      <c r="L585" s="134" t="s">
        <v>16758</v>
      </c>
      <c r="M585" s="116" t="s">
        <v>16759</v>
      </c>
    </row>
    <row r="586" spans="1:13" ht="14.25" customHeight="1">
      <c r="A586" s="116">
        <v>21</v>
      </c>
      <c r="B586" s="116"/>
      <c r="C586" s="195" t="s">
        <v>9960</v>
      </c>
      <c r="D586" s="134" t="s">
        <v>9961</v>
      </c>
      <c r="E586" s="185" t="s">
        <v>9962</v>
      </c>
      <c r="F586" s="47" t="s">
        <v>117</v>
      </c>
      <c r="G586" s="134" t="s">
        <v>11062</v>
      </c>
      <c r="H586" s="134" t="s">
        <v>16760</v>
      </c>
      <c r="I586" s="134"/>
      <c r="J586" s="134" t="s">
        <v>9966</v>
      </c>
      <c r="K586" s="134" t="s">
        <v>11063</v>
      </c>
      <c r="L586" s="134" t="s">
        <v>11064</v>
      </c>
      <c r="M586" s="116" t="s">
        <v>11065</v>
      </c>
    </row>
    <row r="587" spans="1:13" ht="14.25" customHeight="1">
      <c r="A587" s="116">
        <v>22</v>
      </c>
      <c r="B587" s="116"/>
      <c r="C587" s="195" t="s">
        <v>16761</v>
      </c>
      <c r="D587" s="134" t="s">
        <v>16762</v>
      </c>
      <c r="E587" s="61" t="s">
        <v>16763</v>
      </c>
      <c r="F587" s="61" t="s">
        <v>65</v>
      </c>
      <c r="G587" s="134" t="s">
        <v>16764</v>
      </c>
      <c r="H587" s="134" t="s">
        <v>16765</v>
      </c>
      <c r="I587" s="134"/>
      <c r="J587" s="134" t="s">
        <v>16766</v>
      </c>
      <c r="K587" s="134" t="s">
        <v>16767</v>
      </c>
      <c r="L587" s="134" t="s">
        <v>16768</v>
      </c>
      <c r="M587" s="116" t="s">
        <v>16769</v>
      </c>
    </row>
    <row r="588" spans="1:13" ht="14.25" customHeight="1">
      <c r="A588" s="116">
        <v>23</v>
      </c>
      <c r="B588" s="116"/>
      <c r="C588" s="195" t="s">
        <v>16770</v>
      </c>
      <c r="D588" s="134" t="s">
        <v>16771</v>
      </c>
      <c r="E588" s="61" t="s">
        <v>16772</v>
      </c>
      <c r="F588" s="61" t="s">
        <v>219</v>
      </c>
      <c r="G588" s="134" t="s">
        <v>16773</v>
      </c>
      <c r="H588" s="134" t="s">
        <v>16774</v>
      </c>
      <c r="I588" s="134"/>
      <c r="J588" s="134" t="s">
        <v>16775</v>
      </c>
      <c r="K588" s="134" t="s">
        <v>16776</v>
      </c>
      <c r="L588" s="134" t="s">
        <v>16777</v>
      </c>
      <c r="M588" s="116" t="s">
        <v>16778</v>
      </c>
    </row>
    <row r="589" spans="1:13" ht="14.25" customHeight="1">
      <c r="A589" s="116">
        <v>24</v>
      </c>
      <c r="B589" s="116"/>
      <c r="C589" s="195" t="s">
        <v>16779</v>
      </c>
      <c r="D589" s="134" t="s">
        <v>16780</v>
      </c>
      <c r="E589" s="61" t="s">
        <v>16781</v>
      </c>
      <c r="F589" s="61" t="s">
        <v>65</v>
      </c>
      <c r="G589" s="134" t="s">
        <v>16782</v>
      </c>
      <c r="H589" s="134" t="s">
        <v>16783</v>
      </c>
      <c r="I589" s="134"/>
      <c r="J589" s="134" t="s">
        <v>16784</v>
      </c>
      <c r="K589" s="134" t="s">
        <v>16785</v>
      </c>
      <c r="L589" s="134" t="s">
        <v>16786</v>
      </c>
      <c r="M589" s="116" t="s">
        <v>16787</v>
      </c>
    </row>
    <row r="590" spans="1:13" ht="14.25" customHeight="1">
      <c r="A590" s="116">
        <v>25</v>
      </c>
      <c r="B590" s="116"/>
      <c r="C590" s="195" t="s">
        <v>16788</v>
      </c>
      <c r="D590" s="134" t="s">
        <v>16789</v>
      </c>
      <c r="E590" s="61" t="s">
        <v>16790</v>
      </c>
      <c r="F590" s="61" t="s">
        <v>65</v>
      </c>
      <c r="G590" s="134" t="s">
        <v>16791</v>
      </c>
      <c r="H590" s="134" t="s">
        <v>16792</v>
      </c>
      <c r="I590" s="134"/>
      <c r="J590" s="134" t="s">
        <v>16793</v>
      </c>
      <c r="K590" s="134" t="s">
        <v>16794</v>
      </c>
      <c r="L590" s="134" t="s">
        <v>16795</v>
      </c>
      <c r="M590" s="116" t="s">
        <v>16796</v>
      </c>
    </row>
    <row r="591" spans="1:13" ht="14.25" customHeight="1">
      <c r="A591" s="116">
        <v>26</v>
      </c>
      <c r="B591" s="116"/>
      <c r="C591" s="195" t="s">
        <v>16797</v>
      </c>
      <c r="D591" s="134" t="s">
        <v>16798</v>
      </c>
      <c r="E591" s="61" t="s">
        <v>16799</v>
      </c>
      <c r="F591" s="61" t="s">
        <v>65</v>
      </c>
      <c r="G591" s="134" t="s">
        <v>16800</v>
      </c>
      <c r="H591" s="134" t="s">
        <v>16801</v>
      </c>
      <c r="I591" s="134"/>
      <c r="J591" s="134" t="s">
        <v>16802</v>
      </c>
      <c r="K591" s="134" t="s">
        <v>16803</v>
      </c>
      <c r="L591" s="134" t="s">
        <v>16804</v>
      </c>
      <c r="M591" s="116" t="s">
        <v>16805</v>
      </c>
    </row>
    <row r="592" spans="1:13" ht="14.25" customHeight="1">
      <c r="A592" s="116">
        <v>27</v>
      </c>
      <c r="B592" s="116"/>
      <c r="C592" s="195" t="s">
        <v>8118</v>
      </c>
      <c r="D592" s="134" t="s">
        <v>8119</v>
      </c>
      <c r="E592" s="61" t="s">
        <v>8120</v>
      </c>
      <c r="F592" s="61" t="s">
        <v>65</v>
      </c>
      <c r="G592" s="134" t="s">
        <v>10868</v>
      </c>
      <c r="H592" s="134" t="s">
        <v>16806</v>
      </c>
      <c r="I592" s="134"/>
      <c r="J592" s="134" t="s">
        <v>8124</v>
      </c>
      <c r="K592" s="134" t="s">
        <v>10869</v>
      </c>
      <c r="L592" s="134" t="s">
        <v>10870</v>
      </c>
      <c r="M592" s="116" t="s">
        <v>10871</v>
      </c>
    </row>
    <row r="593" spans="1:13" ht="14.25" customHeight="1">
      <c r="A593" s="116">
        <v>28</v>
      </c>
      <c r="B593" s="116"/>
      <c r="C593" s="195" t="s">
        <v>16807</v>
      </c>
      <c r="D593" s="134" t="s">
        <v>16808</v>
      </c>
      <c r="E593" s="61" t="s">
        <v>16809</v>
      </c>
      <c r="F593" s="61" t="s">
        <v>65</v>
      </c>
      <c r="G593" s="134" t="s">
        <v>16810</v>
      </c>
      <c r="H593" s="134" t="s">
        <v>16811</v>
      </c>
      <c r="I593" s="134"/>
      <c r="J593" s="134" t="s">
        <v>16812</v>
      </c>
      <c r="K593" s="134" t="s">
        <v>16813</v>
      </c>
      <c r="L593" s="134" t="s">
        <v>16814</v>
      </c>
      <c r="M593" s="116" t="s">
        <v>16815</v>
      </c>
    </row>
    <row r="594" spans="1:13" ht="14.25" customHeight="1">
      <c r="A594" s="116">
        <v>29</v>
      </c>
      <c r="B594" s="116"/>
      <c r="C594" s="195" t="s">
        <v>16816</v>
      </c>
      <c r="D594" s="134" t="s">
        <v>16817</v>
      </c>
      <c r="E594" s="61" t="s">
        <v>16818</v>
      </c>
      <c r="F594" s="61" t="s">
        <v>65</v>
      </c>
      <c r="G594" s="134" t="s">
        <v>16819</v>
      </c>
      <c r="H594" s="134" t="s">
        <v>16820</v>
      </c>
      <c r="I594" s="134"/>
      <c r="J594" s="134" t="s">
        <v>16821</v>
      </c>
      <c r="K594" s="134" t="s">
        <v>16822</v>
      </c>
      <c r="L594" s="134" t="s">
        <v>16823</v>
      </c>
      <c r="M594" s="116" t="s">
        <v>16824</v>
      </c>
    </row>
    <row r="595" spans="1:13" ht="14.25" customHeight="1">
      <c r="A595" s="116">
        <v>30</v>
      </c>
      <c r="B595" s="116"/>
      <c r="C595" s="195" t="s">
        <v>9105</v>
      </c>
      <c r="D595" s="134" t="s">
        <v>9106</v>
      </c>
      <c r="E595" s="185" t="s">
        <v>9107</v>
      </c>
      <c r="F595" s="47" t="s">
        <v>65</v>
      </c>
      <c r="G595" s="134" t="s">
        <v>10966</v>
      </c>
      <c r="H595" s="134" t="s">
        <v>16825</v>
      </c>
      <c r="I595" s="134"/>
      <c r="J595" s="134" t="s">
        <v>9111</v>
      </c>
      <c r="K595" s="134" t="s">
        <v>10967</v>
      </c>
      <c r="L595" s="134" t="s">
        <v>10968</v>
      </c>
      <c r="M595" s="116" t="s">
        <v>10969</v>
      </c>
    </row>
    <row r="596" spans="1:13" ht="14.25" customHeight="1">
      <c r="A596" s="116">
        <v>31</v>
      </c>
      <c r="B596" s="116"/>
      <c r="C596" s="195" t="s">
        <v>16826</v>
      </c>
      <c r="D596" s="134" t="s">
        <v>16827</v>
      </c>
      <c r="E596" s="61" t="s">
        <v>16828</v>
      </c>
      <c r="F596" s="47" t="s">
        <v>65</v>
      </c>
      <c r="G596" s="134" t="s">
        <v>16829</v>
      </c>
      <c r="H596" s="134" t="s">
        <v>16830</v>
      </c>
      <c r="I596" s="134"/>
      <c r="J596" s="134" t="s">
        <v>16831</v>
      </c>
      <c r="K596" s="134" t="s">
        <v>16832</v>
      </c>
      <c r="L596" s="134" t="s">
        <v>16833</v>
      </c>
      <c r="M596" s="132" t="s">
        <v>16834</v>
      </c>
    </row>
    <row r="597" spans="1:13" ht="14.25" customHeight="1">
      <c r="A597" s="116">
        <v>32</v>
      </c>
      <c r="B597" s="116"/>
      <c r="C597" s="195" t="s">
        <v>16835</v>
      </c>
      <c r="D597" s="134" t="s">
        <v>16836</v>
      </c>
      <c r="E597" s="61" t="s">
        <v>16837</v>
      </c>
      <c r="F597" s="47" t="s">
        <v>65</v>
      </c>
      <c r="G597" s="134" t="s">
        <v>16838</v>
      </c>
      <c r="H597" s="134" t="s">
        <v>16839</v>
      </c>
      <c r="I597" s="134"/>
      <c r="J597" s="134" t="s">
        <v>16840</v>
      </c>
      <c r="K597" s="134" t="s">
        <v>16841</v>
      </c>
      <c r="L597" s="134" t="s">
        <v>16842</v>
      </c>
      <c r="M597" s="116" t="s">
        <v>16843</v>
      </c>
    </row>
    <row r="598" spans="1:13" ht="14.25" customHeight="1">
      <c r="A598" s="178">
        <v>1</v>
      </c>
      <c r="B598" s="178"/>
      <c r="C598" s="196" t="s">
        <v>10068</v>
      </c>
      <c r="D598" s="178" t="s">
        <v>10069</v>
      </c>
      <c r="E598" s="182" t="s">
        <v>10070</v>
      </c>
      <c r="F598" s="182" t="s">
        <v>65</v>
      </c>
      <c r="G598" s="178" t="s">
        <v>11090</v>
      </c>
      <c r="H598" s="178" t="s">
        <v>16844</v>
      </c>
      <c r="I598" s="178"/>
      <c r="J598" s="178" t="s">
        <v>10074</v>
      </c>
      <c r="K598" s="180" t="s">
        <v>11091</v>
      </c>
      <c r="L598" s="197" t="s">
        <v>11092</v>
      </c>
      <c r="M598" s="178" t="s">
        <v>11093</v>
      </c>
    </row>
    <row r="599" spans="1:13" ht="14.25" customHeight="1">
      <c r="A599" s="116">
        <v>2</v>
      </c>
      <c r="B599" s="116"/>
      <c r="C599" s="195" t="s">
        <v>10088</v>
      </c>
      <c r="D599" s="134" t="s">
        <v>10089</v>
      </c>
      <c r="E599" s="61" t="s">
        <v>10090</v>
      </c>
      <c r="F599" s="61" t="s">
        <v>117</v>
      </c>
      <c r="G599" s="134" t="s">
        <v>11099</v>
      </c>
      <c r="H599" s="134" t="s">
        <v>16845</v>
      </c>
      <c r="I599" s="134"/>
      <c r="J599" s="134" t="s">
        <v>10094</v>
      </c>
      <c r="K599" s="134" t="s">
        <v>11100</v>
      </c>
      <c r="L599" s="134" t="s">
        <v>11101</v>
      </c>
      <c r="M599" s="116" t="s">
        <v>11102</v>
      </c>
    </row>
    <row r="600" spans="1:13" ht="14.25" customHeight="1">
      <c r="A600" s="116">
        <v>3</v>
      </c>
      <c r="B600" s="116"/>
      <c r="C600" s="195" t="s">
        <v>16846</v>
      </c>
      <c r="D600" s="134" t="s">
        <v>16847</v>
      </c>
      <c r="E600" s="61" t="s">
        <v>16848</v>
      </c>
      <c r="F600" s="61" t="s">
        <v>65</v>
      </c>
      <c r="G600" s="134" t="s">
        <v>16849</v>
      </c>
      <c r="H600" s="134" t="s">
        <v>16850</v>
      </c>
      <c r="I600" s="134"/>
      <c r="J600" s="134" t="s">
        <v>16851</v>
      </c>
      <c r="K600" s="134" t="s">
        <v>16852</v>
      </c>
      <c r="L600" s="134" t="s">
        <v>16853</v>
      </c>
      <c r="M600" s="116" t="s">
        <v>16854</v>
      </c>
    </row>
    <row r="601" spans="1:13" ht="14.25" customHeight="1">
      <c r="A601" s="116">
        <v>4</v>
      </c>
      <c r="B601" s="116"/>
      <c r="C601" s="195" t="s">
        <v>16855</v>
      </c>
      <c r="D601" s="134" t="s">
        <v>16856</v>
      </c>
      <c r="E601" s="61" t="s">
        <v>16857</v>
      </c>
      <c r="F601" s="61" t="s">
        <v>65</v>
      </c>
      <c r="G601" s="134" t="s">
        <v>16858</v>
      </c>
      <c r="H601" s="134" t="s">
        <v>16859</v>
      </c>
      <c r="I601" s="134"/>
      <c r="J601" s="134" t="s">
        <v>16860</v>
      </c>
      <c r="K601" s="134" t="s">
        <v>16861</v>
      </c>
      <c r="L601" s="134" t="s">
        <v>16862</v>
      </c>
      <c r="M601" s="116" t="s">
        <v>16863</v>
      </c>
    </row>
    <row r="602" spans="1:13" ht="14.25" customHeight="1">
      <c r="A602" s="116">
        <v>5</v>
      </c>
      <c r="B602" s="116"/>
      <c r="C602" s="195" t="s">
        <v>16864</v>
      </c>
      <c r="D602" s="134" t="s">
        <v>16865</v>
      </c>
      <c r="E602" s="61" t="s">
        <v>16866</v>
      </c>
      <c r="F602" s="61" t="s">
        <v>117</v>
      </c>
      <c r="G602" s="134" t="s">
        <v>16867</v>
      </c>
      <c r="H602" s="134" t="s">
        <v>16868</v>
      </c>
      <c r="I602" s="134"/>
      <c r="J602" s="134" t="s">
        <v>16869</v>
      </c>
      <c r="K602" s="134" t="s">
        <v>16870</v>
      </c>
      <c r="L602" s="134" t="s">
        <v>16871</v>
      </c>
      <c r="M602" s="116" t="s">
        <v>16872</v>
      </c>
    </row>
    <row r="603" spans="1:13" ht="14.25" customHeight="1">
      <c r="A603" s="116">
        <v>6</v>
      </c>
      <c r="B603" s="116"/>
      <c r="C603" s="195" t="s">
        <v>16873</v>
      </c>
      <c r="D603" s="134" t="s">
        <v>16874</v>
      </c>
      <c r="E603" s="61" t="s">
        <v>16875</v>
      </c>
      <c r="F603" s="61" t="s">
        <v>65</v>
      </c>
      <c r="G603" s="134" t="s">
        <v>16876</v>
      </c>
      <c r="H603" s="134" t="s">
        <v>16877</v>
      </c>
      <c r="I603" s="134"/>
      <c r="J603" s="134" t="s">
        <v>16878</v>
      </c>
      <c r="K603" s="134" t="s">
        <v>16879</v>
      </c>
      <c r="L603" s="134" t="s">
        <v>16880</v>
      </c>
      <c r="M603" s="116" t="s">
        <v>16881</v>
      </c>
    </row>
    <row r="604" spans="1:13" ht="14.25" customHeight="1">
      <c r="A604" s="116">
        <v>7</v>
      </c>
      <c r="B604" s="116"/>
      <c r="C604" s="195" t="s">
        <v>16882</v>
      </c>
      <c r="D604" s="134" t="s">
        <v>16883</v>
      </c>
      <c r="E604" s="61" t="s">
        <v>16884</v>
      </c>
      <c r="F604" s="61" t="s">
        <v>65</v>
      </c>
      <c r="G604" s="134" t="s">
        <v>16885</v>
      </c>
      <c r="H604" s="134" t="s">
        <v>16886</v>
      </c>
      <c r="I604" s="134"/>
      <c r="J604" s="134" t="s">
        <v>16887</v>
      </c>
      <c r="K604" s="134" t="s">
        <v>16888</v>
      </c>
      <c r="L604" s="134" t="s">
        <v>16889</v>
      </c>
      <c r="M604" s="116" t="s">
        <v>16890</v>
      </c>
    </row>
    <row r="605" spans="1:13" ht="14.25" customHeight="1">
      <c r="A605" s="116">
        <v>8</v>
      </c>
      <c r="B605" s="116"/>
      <c r="C605" s="195" t="s">
        <v>16891</v>
      </c>
      <c r="D605" s="134" t="s">
        <v>16892</v>
      </c>
      <c r="E605" s="61" t="s">
        <v>16893</v>
      </c>
      <c r="F605" s="61" t="s">
        <v>65</v>
      </c>
      <c r="G605" s="134" t="s">
        <v>16894</v>
      </c>
      <c r="H605" s="134" t="s">
        <v>16895</v>
      </c>
      <c r="I605" s="134"/>
      <c r="J605" s="134" t="s">
        <v>16896</v>
      </c>
      <c r="K605" s="134" t="s">
        <v>16897</v>
      </c>
      <c r="L605" s="134" t="s">
        <v>16898</v>
      </c>
      <c r="M605" s="116" t="s">
        <v>16899</v>
      </c>
    </row>
    <row r="606" spans="1:13" ht="14.25" customHeight="1">
      <c r="A606" s="116">
        <v>9</v>
      </c>
      <c r="B606" s="116"/>
      <c r="C606" s="195" t="s">
        <v>16900</v>
      </c>
      <c r="D606" s="134" t="s">
        <v>16901</v>
      </c>
      <c r="E606" s="61" t="s">
        <v>16902</v>
      </c>
      <c r="F606" s="61" t="s">
        <v>117</v>
      </c>
      <c r="G606" s="134" t="s">
        <v>16903</v>
      </c>
      <c r="H606" s="134" t="s">
        <v>16904</v>
      </c>
      <c r="I606" s="134"/>
      <c r="J606" s="134" t="s">
        <v>16905</v>
      </c>
      <c r="K606" s="134" t="s">
        <v>16906</v>
      </c>
      <c r="L606" s="134" t="s">
        <v>16907</v>
      </c>
      <c r="M606" s="116" t="s">
        <v>16908</v>
      </c>
    </row>
    <row r="607" spans="1:13" ht="14.25" customHeight="1">
      <c r="A607" s="116">
        <v>10</v>
      </c>
      <c r="B607" s="116"/>
      <c r="C607" s="195" t="s">
        <v>16909</v>
      </c>
      <c r="D607" s="134" t="s">
        <v>16910</v>
      </c>
      <c r="E607" s="61" t="s">
        <v>16911</v>
      </c>
      <c r="F607" s="61" t="s">
        <v>117</v>
      </c>
      <c r="G607" s="134" t="s">
        <v>16912</v>
      </c>
      <c r="H607" s="134" t="s">
        <v>16913</v>
      </c>
      <c r="I607" s="134"/>
      <c r="J607" s="134" t="s">
        <v>16914</v>
      </c>
      <c r="K607" s="134" t="s">
        <v>16915</v>
      </c>
      <c r="L607" s="134" t="s">
        <v>16916</v>
      </c>
      <c r="M607" s="116" t="s">
        <v>16917</v>
      </c>
    </row>
    <row r="608" spans="1:13" ht="14.25" customHeight="1">
      <c r="A608" s="116">
        <v>11</v>
      </c>
      <c r="B608" s="116"/>
      <c r="C608" s="195" t="s">
        <v>16918</v>
      </c>
      <c r="D608" s="134" t="s">
        <v>16919</v>
      </c>
      <c r="E608" s="61" t="s">
        <v>16920</v>
      </c>
      <c r="F608" s="61" t="s">
        <v>117</v>
      </c>
      <c r="G608" s="134" t="s">
        <v>16921</v>
      </c>
      <c r="H608" s="134" t="s">
        <v>16922</v>
      </c>
      <c r="I608" s="134"/>
      <c r="J608" s="134" t="s">
        <v>16923</v>
      </c>
      <c r="K608" s="134" t="s">
        <v>16924</v>
      </c>
      <c r="L608" s="134" t="s">
        <v>16925</v>
      </c>
      <c r="M608" s="116" t="s">
        <v>16926</v>
      </c>
    </row>
    <row r="609" spans="1:13" ht="14.25" customHeight="1">
      <c r="A609" s="116">
        <v>12</v>
      </c>
      <c r="B609" s="116"/>
      <c r="C609" s="195" t="s">
        <v>872</v>
      </c>
      <c r="D609" s="134" t="s">
        <v>873</v>
      </c>
      <c r="E609" s="61" t="s">
        <v>874</v>
      </c>
      <c r="F609" s="61" t="s">
        <v>65</v>
      </c>
      <c r="G609" s="134" t="s">
        <v>16927</v>
      </c>
      <c r="H609" s="134" t="s">
        <v>16928</v>
      </c>
      <c r="I609" s="134"/>
      <c r="J609" s="134" t="s">
        <v>16929</v>
      </c>
      <c r="K609" s="134" t="s">
        <v>16930</v>
      </c>
      <c r="L609" s="134" t="s">
        <v>16931</v>
      </c>
      <c r="M609" s="116" t="s">
        <v>16932</v>
      </c>
    </row>
    <row r="610" spans="1:13" ht="14.25" customHeight="1">
      <c r="A610" s="116">
        <v>13</v>
      </c>
      <c r="B610" s="116"/>
      <c r="C610" s="195" t="s">
        <v>1109</v>
      </c>
      <c r="D610" s="134" t="s">
        <v>1110</v>
      </c>
      <c r="E610" s="61" t="s">
        <v>1111</v>
      </c>
      <c r="F610" s="61" t="s">
        <v>65</v>
      </c>
      <c r="G610" s="134" t="s">
        <v>16933</v>
      </c>
      <c r="H610" s="134" t="s">
        <v>16934</v>
      </c>
      <c r="I610" s="134"/>
      <c r="J610" s="134" t="s">
        <v>16935</v>
      </c>
      <c r="K610" s="134" t="s">
        <v>16936</v>
      </c>
      <c r="L610" s="134" t="s">
        <v>16937</v>
      </c>
      <c r="M610" s="116" t="s">
        <v>16938</v>
      </c>
    </row>
    <row r="611" spans="1:13" ht="14.25" customHeight="1">
      <c r="A611" s="116">
        <v>14</v>
      </c>
      <c r="B611" s="116"/>
      <c r="C611" s="195" t="s">
        <v>16939</v>
      </c>
      <c r="D611" s="134" t="s">
        <v>16940</v>
      </c>
      <c r="E611" s="61" t="s">
        <v>16941</v>
      </c>
      <c r="F611" s="61" t="s">
        <v>65</v>
      </c>
      <c r="G611" s="134" t="s">
        <v>16942</v>
      </c>
      <c r="H611" s="118" t="s">
        <v>16943</v>
      </c>
      <c r="I611" s="118"/>
      <c r="J611" s="134" t="s">
        <v>16944</v>
      </c>
      <c r="K611" s="134" t="s">
        <v>16945</v>
      </c>
      <c r="L611" s="134" t="s">
        <v>16946</v>
      </c>
      <c r="M611" s="116" t="s">
        <v>16947</v>
      </c>
    </row>
    <row r="612" spans="1:13" ht="14.25" customHeight="1">
      <c r="A612" s="116">
        <v>15</v>
      </c>
      <c r="B612" s="116"/>
      <c r="C612" s="195" t="s">
        <v>16948</v>
      </c>
      <c r="D612" s="134" t="s">
        <v>16949</v>
      </c>
      <c r="E612" s="61" t="s">
        <v>16950</v>
      </c>
      <c r="F612" s="61" t="s">
        <v>54</v>
      </c>
      <c r="G612" s="134" t="s">
        <v>16951</v>
      </c>
      <c r="H612" s="134" t="s">
        <v>16952</v>
      </c>
      <c r="I612" s="134"/>
      <c r="J612" s="134" t="s">
        <v>16953</v>
      </c>
      <c r="K612" s="134" t="s">
        <v>16954</v>
      </c>
      <c r="L612" s="134" t="s">
        <v>16955</v>
      </c>
      <c r="M612" s="116" t="s">
        <v>16956</v>
      </c>
    </row>
    <row r="613" spans="1:13" ht="14.25" customHeight="1">
      <c r="A613" s="116">
        <v>16</v>
      </c>
      <c r="B613" s="116"/>
      <c r="C613" s="195" t="s">
        <v>16957</v>
      </c>
      <c r="D613" s="134" t="s">
        <v>16958</v>
      </c>
      <c r="E613" s="61" t="s">
        <v>16959</v>
      </c>
      <c r="F613" s="61" t="s">
        <v>117</v>
      </c>
      <c r="G613" s="134" t="s">
        <v>16960</v>
      </c>
      <c r="H613" s="118" t="s">
        <v>16961</v>
      </c>
      <c r="I613" s="118"/>
      <c r="J613" s="134" t="s">
        <v>16962</v>
      </c>
      <c r="K613" s="134" t="s">
        <v>16963</v>
      </c>
      <c r="L613" s="134" t="s">
        <v>16964</v>
      </c>
      <c r="M613" s="116" t="s">
        <v>16965</v>
      </c>
    </row>
    <row r="614" spans="1:13" ht="14.25" customHeight="1">
      <c r="A614" s="116">
        <v>17</v>
      </c>
      <c r="B614" s="116"/>
      <c r="C614" s="195" t="s">
        <v>16966</v>
      </c>
      <c r="D614" s="134" t="s">
        <v>16967</v>
      </c>
      <c r="E614" s="61" t="s">
        <v>16968</v>
      </c>
      <c r="F614" s="61" t="s">
        <v>65</v>
      </c>
      <c r="G614" s="134" t="s">
        <v>16969</v>
      </c>
      <c r="H614" s="134" t="s">
        <v>16970</v>
      </c>
      <c r="I614" s="134"/>
      <c r="J614" s="134" t="s">
        <v>16971</v>
      </c>
      <c r="K614" s="134" t="s">
        <v>16972</v>
      </c>
      <c r="L614" s="134" t="s">
        <v>16973</v>
      </c>
      <c r="M614" s="116" t="s">
        <v>16974</v>
      </c>
    </row>
    <row r="615" spans="1:13" ht="14.25" customHeight="1">
      <c r="A615" s="116">
        <v>18</v>
      </c>
      <c r="B615" s="116"/>
      <c r="C615" s="195" t="s">
        <v>16975</v>
      </c>
      <c r="D615" s="134" t="s">
        <v>16976</v>
      </c>
      <c r="E615" s="61" t="s">
        <v>13303</v>
      </c>
      <c r="F615" s="61" t="s">
        <v>117</v>
      </c>
      <c r="G615" s="134" t="s">
        <v>16977</v>
      </c>
      <c r="H615" s="134" t="s">
        <v>16978</v>
      </c>
      <c r="I615" s="134"/>
      <c r="J615" s="134" t="s">
        <v>16979</v>
      </c>
      <c r="K615" s="134" t="s">
        <v>16980</v>
      </c>
      <c r="L615" s="134" t="s">
        <v>16981</v>
      </c>
      <c r="M615" s="132" t="s">
        <v>16982</v>
      </c>
    </row>
    <row r="616" spans="1:13" ht="14.25" customHeight="1">
      <c r="A616" s="116">
        <v>19</v>
      </c>
      <c r="B616" s="116"/>
      <c r="C616" s="195" t="s">
        <v>16983</v>
      </c>
      <c r="D616" s="134" t="s">
        <v>16984</v>
      </c>
      <c r="E616" s="61" t="s">
        <v>16985</v>
      </c>
      <c r="F616" s="61" t="s">
        <v>117</v>
      </c>
      <c r="G616" s="134" t="s">
        <v>16986</v>
      </c>
      <c r="H616" s="134" t="s">
        <v>16987</v>
      </c>
      <c r="I616" s="134"/>
      <c r="J616" s="134" t="s">
        <v>16988</v>
      </c>
      <c r="K616" s="134" t="s">
        <v>16989</v>
      </c>
      <c r="L616" s="134" t="s">
        <v>16990</v>
      </c>
      <c r="M616" s="116" t="s">
        <v>16991</v>
      </c>
    </row>
    <row r="617" spans="1:13" ht="14.25" customHeight="1">
      <c r="A617" s="116">
        <v>20</v>
      </c>
      <c r="B617" s="116"/>
      <c r="C617" s="195" t="s">
        <v>16992</v>
      </c>
      <c r="D617" s="134" t="s">
        <v>16993</v>
      </c>
      <c r="E617" s="61" t="s">
        <v>16994</v>
      </c>
      <c r="F617" s="61"/>
      <c r="G617" s="134" t="s">
        <v>16995</v>
      </c>
      <c r="H617" s="134" t="s">
        <v>16996</v>
      </c>
      <c r="I617" s="134"/>
      <c r="J617" s="134" t="s">
        <v>16997</v>
      </c>
      <c r="K617" s="134" t="s">
        <v>16998</v>
      </c>
      <c r="L617" s="134" t="s">
        <v>16999</v>
      </c>
      <c r="M617" s="116" t="s">
        <v>17000</v>
      </c>
    </row>
    <row r="618" spans="1:13" ht="14.25" customHeight="1">
      <c r="A618" s="116">
        <v>21</v>
      </c>
      <c r="B618" s="116"/>
      <c r="C618" s="195" t="s">
        <v>17001</v>
      </c>
      <c r="D618" s="134" t="s">
        <v>17002</v>
      </c>
      <c r="E618" s="61" t="s">
        <v>17003</v>
      </c>
      <c r="F618" s="61" t="s">
        <v>117</v>
      </c>
      <c r="G618" s="134" t="s">
        <v>15698</v>
      </c>
      <c r="H618" s="134" t="s">
        <v>17004</v>
      </c>
      <c r="I618" s="134"/>
      <c r="J618" s="134" t="s">
        <v>17005</v>
      </c>
      <c r="K618" s="134" t="s">
        <v>17006</v>
      </c>
      <c r="L618" s="134" t="s">
        <v>17007</v>
      </c>
      <c r="M618" s="116" t="s">
        <v>17008</v>
      </c>
    </row>
    <row r="619" spans="1:13" ht="14.25" customHeight="1">
      <c r="A619" s="116">
        <v>22</v>
      </c>
      <c r="B619" s="116"/>
      <c r="C619" s="195" t="s">
        <v>17009</v>
      </c>
      <c r="D619" s="134" t="s">
        <v>17010</v>
      </c>
      <c r="E619" s="61" t="s">
        <v>5672</v>
      </c>
      <c r="F619" s="61" t="s">
        <v>117</v>
      </c>
      <c r="G619" s="134" t="s">
        <v>17011</v>
      </c>
      <c r="H619" s="134" t="s">
        <v>17012</v>
      </c>
      <c r="I619" s="134"/>
      <c r="J619" s="134" t="s">
        <v>17013</v>
      </c>
      <c r="K619" s="134" t="s">
        <v>17014</v>
      </c>
      <c r="L619" s="134" t="s">
        <v>17015</v>
      </c>
      <c r="M619" s="116" t="s">
        <v>17016</v>
      </c>
    </row>
    <row r="620" spans="1:13" ht="14.25" customHeight="1">
      <c r="A620" s="116">
        <v>23</v>
      </c>
      <c r="B620" s="116"/>
      <c r="C620" s="195" t="s">
        <v>11368</v>
      </c>
      <c r="D620" s="134" t="s">
        <v>11369</v>
      </c>
      <c r="E620" s="61" t="s">
        <v>11370</v>
      </c>
      <c r="F620" s="61" t="s">
        <v>65</v>
      </c>
      <c r="G620" s="134" t="s">
        <v>17017</v>
      </c>
      <c r="H620" s="134" t="s">
        <v>17018</v>
      </c>
      <c r="I620" s="134"/>
      <c r="J620" s="134" t="s">
        <v>17019</v>
      </c>
      <c r="K620" s="134" t="s">
        <v>17020</v>
      </c>
      <c r="L620" s="134" t="s">
        <v>17021</v>
      </c>
      <c r="M620" s="116" t="s">
        <v>17022</v>
      </c>
    </row>
    <row r="621" spans="1:13" ht="14.25" customHeight="1">
      <c r="A621" s="132">
        <v>24</v>
      </c>
      <c r="B621" s="132"/>
      <c r="C621" s="194" t="s">
        <v>17023</v>
      </c>
      <c r="D621" s="115" t="s">
        <v>17024</v>
      </c>
      <c r="E621" s="61" t="s">
        <v>17025</v>
      </c>
      <c r="F621" s="61" t="s">
        <v>117</v>
      </c>
      <c r="G621" s="115" t="s">
        <v>17026</v>
      </c>
      <c r="H621" s="115" t="s">
        <v>17027</v>
      </c>
      <c r="I621" s="115"/>
      <c r="J621" s="115" t="s">
        <v>17028</v>
      </c>
      <c r="K621" s="134" t="s">
        <v>17029</v>
      </c>
      <c r="L621" s="134" t="s">
        <v>17030</v>
      </c>
      <c r="M621" s="116" t="s">
        <v>17031</v>
      </c>
    </row>
    <row r="622" spans="1:13" ht="14.25" customHeight="1">
      <c r="A622" s="116">
        <v>25</v>
      </c>
      <c r="B622" s="116"/>
      <c r="C622" s="195" t="s">
        <v>17032</v>
      </c>
      <c r="D622" s="134" t="s">
        <v>17033</v>
      </c>
      <c r="E622" s="61" t="s">
        <v>17034</v>
      </c>
      <c r="F622" s="61" t="s">
        <v>54</v>
      </c>
      <c r="G622" s="134" t="s">
        <v>17035</v>
      </c>
      <c r="H622" s="134" t="s">
        <v>17036</v>
      </c>
      <c r="I622" s="134"/>
      <c r="J622" s="134" t="s">
        <v>17037</v>
      </c>
      <c r="K622" s="134" t="s">
        <v>17038</v>
      </c>
      <c r="L622" s="134" t="s">
        <v>17039</v>
      </c>
      <c r="M622" s="116" t="s">
        <v>17040</v>
      </c>
    </row>
    <row r="623" spans="1:13" ht="14.25" customHeight="1">
      <c r="A623" s="116">
        <v>26</v>
      </c>
      <c r="B623" s="116"/>
      <c r="C623" s="195" t="s">
        <v>17041</v>
      </c>
      <c r="D623" s="134" t="s">
        <v>17042</v>
      </c>
      <c r="E623" s="61" t="s">
        <v>17043</v>
      </c>
      <c r="F623" s="61" t="s">
        <v>65</v>
      </c>
      <c r="G623" s="134" t="s">
        <v>17044</v>
      </c>
      <c r="H623" s="134" t="s">
        <v>17045</v>
      </c>
      <c r="I623" s="134"/>
      <c r="J623" s="134" t="s">
        <v>17046</v>
      </c>
      <c r="K623" s="134" t="s">
        <v>17047</v>
      </c>
      <c r="L623" s="134" t="s">
        <v>17048</v>
      </c>
      <c r="M623" s="116" t="s">
        <v>17049</v>
      </c>
    </row>
    <row r="624" spans="1:13" ht="14.25" customHeight="1">
      <c r="A624" s="116">
        <v>27</v>
      </c>
      <c r="B624" s="116"/>
      <c r="C624" s="195" t="s">
        <v>17050</v>
      </c>
      <c r="D624" s="134" t="s">
        <v>17051</v>
      </c>
      <c r="E624" s="61" t="s">
        <v>17052</v>
      </c>
      <c r="F624" s="61" t="s">
        <v>65</v>
      </c>
      <c r="G624" s="134" t="s">
        <v>17053</v>
      </c>
      <c r="H624" s="134" t="s">
        <v>17054</v>
      </c>
      <c r="I624" s="134"/>
      <c r="J624" s="134" t="s">
        <v>17055</v>
      </c>
      <c r="K624" s="134" t="s">
        <v>17056</v>
      </c>
      <c r="L624" s="134" t="s">
        <v>17057</v>
      </c>
      <c r="M624" s="116" t="s">
        <v>17058</v>
      </c>
    </row>
    <row r="625" spans="1:13" ht="14.25" customHeight="1">
      <c r="A625" s="116">
        <v>28</v>
      </c>
      <c r="B625" s="116"/>
      <c r="C625" s="195" t="s">
        <v>7330</v>
      </c>
      <c r="D625" s="134" t="s">
        <v>7331</v>
      </c>
      <c r="E625" s="61" t="s">
        <v>7332</v>
      </c>
      <c r="F625" s="61" t="s">
        <v>65</v>
      </c>
      <c r="G625" s="134" t="s">
        <v>10768</v>
      </c>
      <c r="H625" s="134" t="s">
        <v>17059</v>
      </c>
      <c r="I625" s="134"/>
      <c r="J625" s="134" t="s">
        <v>7336</v>
      </c>
      <c r="K625" s="134" t="s">
        <v>10769</v>
      </c>
      <c r="L625" s="134" t="s">
        <v>10770</v>
      </c>
      <c r="M625" s="116" t="s">
        <v>10771</v>
      </c>
    </row>
    <row r="626" spans="1:13" ht="14.25" customHeight="1">
      <c r="A626" s="116">
        <v>29</v>
      </c>
      <c r="B626" s="116"/>
      <c r="C626" s="195" t="s">
        <v>17060</v>
      </c>
      <c r="D626" s="134" t="s">
        <v>17061</v>
      </c>
      <c r="E626" s="61" t="s">
        <v>17062</v>
      </c>
      <c r="F626" s="61" t="s">
        <v>65</v>
      </c>
      <c r="G626" s="134" t="s">
        <v>17063</v>
      </c>
      <c r="H626" s="134" t="s">
        <v>17064</v>
      </c>
      <c r="I626" s="134"/>
      <c r="J626" s="134" t="s">
        <v>17065</v>
      </c>
      <c r="K626" s="134" t="s">
        <v>17066</v>
      </c>
      <c r="L626" s="134" t="s">
        <v>17067</v>
      </c>
      <c r="M626" s="116" t="s">
        <v>17068</v>
      </c>
    </row>
    <row r="627" spans="1:13" ht="14.25" customHeight="1">
      <c r="A627" s="116">
        <v>30</v>
      </c>
      <c r="B627" s="116"/>
      <c r="C627" s="195" t="s">
        <v>17069</v>
      </c>
      <c r="D627" s="134" t="s">
        <v>17070</v>
      </c>
      <c r="E627" s="185" t="s">
        <v>17071</v>
      </c>
      <c r="F627" s="185" t="s">
        <v>563</v>
      </c>
      <c r="G627" s="134" t="s">
        <v>17072</v>
      </c>
      <c r="H627" s="134" t="s">
        <v>17073</v>
      </c>
      <c r="I627" s="134"/>
      <c r="J627" s="134" t="s">
        <v>17074</v>
      </c>
      <c r="K627" s="134" t="s">
        <v>17075</v>
      </c>
      <c r="L627" s="134" t="s">
        <v>17076</v>
      </c>
      <c r="M627" s="116" t="s">
        <v>17077</v>
      </c>
    </row>
    <row r="628" spans="1:13" ht="14.25" customHeight="1">
      <c r="A628" s="116">
        <v>31</v>
      </c>
      <c r="B628" s="116"/>
      <c r="C628" s="195" t="s">
        <v>17078</v>
      </c>
      <c r="D628" s="134" t="s">
        <v>17079</v>
      </c>
      <c r="E628" s="61" t="s">
        <v>17080</v>
      </c>
      <c r="F628" s="61" t="s">
        <v>117</v>
      </c>
      <c r="G628" s="134" t="s">
        <v>17081</v>
      </c>
      <c r="H628" s="134" t="s">
        <v>17082</v>
      </c>
      <c r="I628" s="134"/>
      <c r="J628" s="134" t="s">
        <v>17083</v>
      </c>
      <c r="K628" s="134" t="s">
        <v>17084</v>
      </c>
      <c r="L628" s="134" t="s">
        <v>17085</v>
      </c>
      <c r="M628" s="132" t="s">
        <v>17086</v>
      </c>
    </row>
    <row r="629" spans="1:13" ht="14.25" customHeight="1">
      <c r="A629" s="116">
        <v>32</v>
      </c>
      <c r="B629" s="116"/>
      <c r="C629" s="195" t="s">
        <v>17087</v>
      </c>
      <c r="D629" s="134" t="s">
        <v>17088</v>
      </c>
      <c r="E629" s="61" t="s">
        <v>17089</v>
      </c>
      <c r="F629" s="61" t="s">
        <v>65</v>
      </c>
      <c r="G629" s="134" t="s">
        <v>17090</v>
      </c>
      <c r="H629" s="134" t="s">
        <v>17091</v>
      </c>
      <c r="I629" s="134"/>
      <c r="J629" s="134" t="s">
        <v>17092</v>
      </c>
      <c r="K629" s="134" t="s">
        <v>17093</v>
      </c>
      <c r="L629" s="134" t="s">
        <v>17094</v>
      </c>
      <c r="M629" s="116" t="s">
        <v>17095</v>
      </c>
    </row>
    <row r="630" spans="1:13" ht="14.25" customHeight="1">
      <c r="A630" s="178">
        <v>1</v>
      </c>
      <c r="B630" s="178"/>
      <c r="C630" s="196" t="s">
        <v>17096</v>
      </c>
      <c r="D630" s="178" t="s">
        <v>17097</v>
      </c>
      <c r="E630" s="200" t="s">
        <v>17098</v>
      </c>
      <c r="F630" s="200" t="s">
        <v>65</v>
      </c>
      <c r="G630" s="178" t="s">
        <v>17099</v>
      </c>
      <c r="H630" s="178" t="s">
        <v>17100</v>
      </c>
      <c r="I630" s="178"/>
      <c r="J630" s="178" t="s">
        <v>17101</v>
      </c>
      <c r="K630" s="180" t="s">
        <v>17102</v>
      </c>
      <c r="L630" s="197" t="s">
        <v>17103</v>
      </c>
      <c r="M630" s="178" t="s">
        <v>17104</v>
      </c>
    </row>
    <row r="631" spans="1:13" ht="14.25" customHeight="1">
      <c r="A631" s="116">
        <v>2</v>
      </c>
      <c r="B631" s="116"/>
      <c r="C631" s="195" t="s">
        <v>17105</v>
      </c>
      <c r="D631" s="134" t="s">
        <v>17106</v>
      </c>
      <c r="E631" s="121" t="s">
        <v>17107</v>
      </c>
      <c r="F631" s="121" t="s">
        <v>65</v>
      </c>
      <c r="G631" s="134" t="s">
        <v>17108</v>
      </c>
      <c r="H631" s="134" t="s">
        <v>17109</v>
      </c>
      <c r="I631" s="134"/>
      <c r="J631" s="134" t="s">
        <v>17110</v>
      </c>
      <c r="K631" s="134" t="s">
        <v>17111</v>
      </c>
      <c r="L631" s="134" t="s">
        <v>17112</v>
      </c>
      <c r="M631" s="116" t="s">
        <v>17113</v>
      </c>
    </row>
    <row r="632" spans="1:13" ht="14.25" customHeight="1">
      <c r="A632" s="116">
        <v>3</v>
      </c>
      <c r="B632" s="116"/>
      <c r="C632" s="195" t="s">
        <v>17114</v>
      </c>
      <c r="D632" s="134" t="s">
        <v>17115</v>
      </c>
      <c r="E632" s="121" t="s">
        <v>17116</v>
      </c>
      <c r="F632" s="121" t="s">
        <v>117</v>
      </c>
      <c r="G632" s="134" t="s">
        <v>17117</v>
      </c>
      <c r="H632" s="134" t="s">
        <v>17118</v>
      </c>
      <c r="I632" s="134"/>
      <c r="J632" s="134" t="s">
        <v>17119</v>
      </c>
      <c r="K632" s="134" t="s">
        <v>17120</v>
      </c>
      <c r="L632" s="134" t="s">
        <v>17121</v>
      </c>
      <c r="M632" s="116" t="s">
        <v>17122</v>
      </c>
    </row>
    <row r="633" spans="1:13" ht="14.25" customHeight="1">
      <c r="A633" s="116">
        <v>4</v>
      </c>
      <c r="B633" s="116"/>
      <c r="C633" s="195" t="s">
        <v>17123</v>
      </c>
      <c r="D633" s="134" t="s">
        <v>17124</v>
      </c>
      <c r="E633" s="121" t="s">
        <v>17125</v>
      </c>
      <c r="F633" s="121" t="s">
        <v>65</v>
      </c>
      <c r="G633" s="134" t="s">
        <v>17126</v>
      </c>
      <c r="H633" s="134" t="s">
        <v>17127</v>
      </c>
      <c r="I633" s="134"/>
      <c r="J633" s="134" t="s">
        <v>17128</v>
      </c>
      <c r="K633" s="134" t="s">
        <v>17129</v>
      </c>
      <c r="L633" s="134" t="s">
        <v>17130</v>
      </c>
      <c r="M633" s="116" t="s">
        <v>17131</v>
      </c>
    </row>
    <row r="634" spans="1:13" ht="14.25" customHeight="1">
      <c r="A634" s="116">
        <v>5</v>
      </c>
      <c r="B634" s="116"/>
      <c r="C634" s="195" t="s">
        <v>17132</v>
      </c>
      <c r="D634" s="134" t="s">
        <v>17133</v>
      </c>
      <c r="E634" s="121" t="s">
        <v>17134</v>
      </c>
      <c r="F634" s="121" t="s">
        <v>65</v>
      </c>
      <c r="G634" s="134" t="s">
        <v>17135</v>
      </c>
      <c r="H634" s="134" t="s">
        <v>17136</v>
      </c>
      <c r="I634" s="134"/>
      <c r="J634" s="134" t="s">
        <v>17137</v>
      </c>
      <c r="K634" s="134" t="s">
        <v>17138</v>
      </c>
      <c r="L634" s="134" t="s">
        <v>17139</v>
      </c>
      <c r="M634" s="116" t="s">
        <v>17140</v>
      </c>
    </row>
    <row r="635" spans="1:13" ht="14.25" customHeight="1">
      <c r="A635" s="116">
        <v>6</v>
      </c>
      <c r="B635" s="116"/>
      <c r="C635" s="195" t="s">
        <v>17141</v>
      </c>
      <c r="D635" s="134" t="s">
        <v>17142</v>
      </c>
      <c r="E635" s="121" t="s">
        <v>17143</v>
      </c>
      <c r="F635" s="121" t="s">
        <v>65</v>
      </c>
      <c r="G635" s="134" t="s">
        <v>17144</v>
      </c>
      <c r="H635" s="134" t="s">
        <v>17145</v>
      </c>
      <c r="I635" s="134"/>
      <c r="J635" s="134" t="s">
        <v>17146</v>
      </c>
      <c r="K635" s="134" t="s">
        <v>17147</v>
      </c>
      <c r="L635" s="134" t="s">
        <v>17148</v>
      </c>
      <c r="M635" s="116" t="s">
        <v>17149</v>
      </c>
    </row>
    <row r="636" spans="1:13" ht="14.25" customHeight="1">
      <c r="A636" s="116">
        <v>7</v>
      </c>
      <c r="B636" s="116"/>
      <c r="C636" s="195" t="s">
        <v>17150</v>
      </c>
      <c r="D636" s="134" t="s">
        <v>17151</v>
      </c>
      <c r="E636" s="121" t="s">
        <v>17152</v>
      </c>
      <c r="F636" s="121" t="s">
        <v>117</v>
      </c>
      <c r="G636" s="134" t="s">
        <v>5201</v>
      </c>
      <c r="H636" s="134" t="s">
        <v>17153</v>
      </c>
      <c r="I636" s="134"/>
      <c r="J636" s="134" t="s">
        <v>17154</v>
      </c>
      <c r="K636" s="134" t="s">
        <v>17155</v>
      </c>
      <c r="L636" s="134" t="s">
        <v>17156</v>
      </c>
      <c r="M636" s="116" t="s">
        <v>17157</v>
      </c>
    </row>
    <row r="637" spans="1:13" ht="14.25" customHeight="1">
      <c r="A637" s="116">
        <v>8</v>
      </c>
      <c r="B637" s="116"/>
      <c r="C637" s="195" t="s">
        <v>17158</v>
      </c>
      <c r="D637" s="134" t="s">
        <v>17159</v>
      </c>
      <c r="E637" s="121" t="s">
        <v>17160</v>
      </c>
      <c r="F637" s="121" t="s">
        <v>65</v>
      </c>
      <c r="G637" s="134" t="s">
        <v>17161</v>
      </c>
      <c r="H637" s="134" t="s">
        <v>17162</v>
      </c>
      <c r="I637" s="134"/>
      <c r="J637" s="134" t="s">
        <v>17163</v>
      </c>
      <c r="K637" s="134" t="s">
        <v>17164</v>
      </c>
      <c r="L637" s="134" t="s">
        <v>17165</v>
      </c>
      <c r="M637" s="116" t="s">
        <v>17166</v>
      </c>
    </row>
    <row r="638" spans="1:13" ht="14.25" customHeight="1">
      <c r="A638" s="132">
        <v>9</v>
      </c>
      <c r="B638" s="132"/>
      <c r="C638" s="194" t="s">
        <v>7988</v>
      </c>
      <c r="D638" s="115" t="s">
        <v>7989</v>
      </c>
      <c r="E638" s="121" t="s">
        <v>7990</v>
      </c>
      <c r="F638" s="121" t="s">
        <v>117</v>
      </c>
      <c r="G638" s="115" t="s">
        <v>10858</v>
      </c>
      <c r="H638" s="115" t="s">
        <v>17167</v>
      </c>
      <c r="I638" s="115"/>
      <c r="J638" s="115" t="s">
        <v>7994</v>
      </c>
      <c r="K638" s="115" t="s">
        <v>10859</v>
      </c>
      <c r="L638" s="134" t="s">
        <v>10860</v>
      </c>
      <c r="M638" s="116" t="s">
        <v>10861</v>
      </c>
    </row>
    <row r="639" spans="1:13" ht="14.25" customHeight="1">
      <c r="A639" s="116">
        <v>10</v>
      </c>
      <c r="B639" s="116"/>
      <c r="C639" s="195" t="s">
        <v>17168</v>
      </c>
      <c r="D639" s="134" t="s">
        <v>17169</v>
      </c>
      <c r="E639" s="123" t="s">
        <v>17170</v>
      </c>
      <c r="F639" s="123" t="s">
        <v>65</v>
      </c>
      <c r="G639" s="134" t="s">
        <v>17171</v>
      </c>
      <c r="H639" s="134" t="s">
        <v>17172</v>
      </c>
      <c r="I639" s="134"/>
      <c r="J639" s="134" t="s">
        <v>17173</v>
      </c>
      <c r="K639" s="134" t="s">
        <v>17174</v>
      </c>
      <c r="L639" s="134" t="s">
        <v>17175</v>
      </c>
      <c r="M639" s="116" t="s">
        <v>17176</v>
      </c>
    </row>
    <row r="640" spans="1:13" ht="14.25" customHeight="1">
      <c r="A640" s="116">
        <v>11</v>
      </c>
      <c r="B640" s="116"/>
      <c r="C640" s="195" t="s">
        <v>10020</v>
      </c>
      <c r="D640" s="134" t="s">
        <v>10021</v>
      </c>
      <c r="E640" s="121" t="s">
        <v>10022</v>
      </c>
      <c r="F640" s="121" t="s">
        <v>117</v>
      </c>
      <c r="G640" s="134" t="s">
        <v>11075</v>
      </c>
      <c r="H640" s="134" t="s">
        <v>17177</v>
      </c>
      <c r="I640" s="134"/>
      <c r="J640" s="134" t="s">
        <v>10026</v>
      </c>
      <c r="K640" s="134" t="s">
        <v>11076</v>
      </c>
      <c r="L640" s="134" t="s">
        <v>11077</v>
      </c>
      <c r="M640" s="116" t="s">
        <v>11078</v>
      </c>
    </row>
    <row r="641" spans="1:13" ht="14.25" customHeight="1">
      <c r="A641" s="116">
        <v>12</v>
      </c>
      <c r="B641" s="116"/>
      <c r="C641" s="195" t="s">
        <v>17178</v>
      </c>
      <c r="D641" s="134" t="s">
        <v>17179</v>
      </c>
      <c r="E641" s="123" t="s">
        <v>17180</v>
      </c>
      <c r="F641" s="123" t="s">
        <v>219</v>
      </c>
      <c r="G641" s="134" t="s">
        <v>1122</v>
      </c>
      <c r="H641" s="134" t="s">
        <v>17181</v>
      </c>
      <c r="I641" s="134"/>
      <c r="J641" s="134" t="s">
        <v>17182</v>
      </c>
      <c r="K641" s="134" t="s">
        <v>17183</v>
      </c>
      <c r="L641" s="134" t="s">
        <v>17184</v>
      </c>
      <c r="M641" s="116" t="s">
        <v>17185</v>
      </c>
    </row>
    <row r="642" spans="1:13" ht="14.25" customHeight="1">
      <c r="A642" s="116">
        <v>13</v>
      </c>
      <c r="B642" s="116"/>
      <c r="C642" s="195" t="s">
        <v>17186</v>
      </c>
      <c r="D642" s="134" t="s">
        <v>17187</v>
      </c>
      <c r="E642" s="121" t="s">
        <v>17188</v>
      </c>
      <c r="F642" s="121" t="s">
        <v>54</v>
      </c>
      <c r="G642" s="134" t="s">
        <v>17189</v>
      </c>
      <c r="H642" s="134" t="s">
        <v>17190</v>
      </c>
      <c r="I642" s="134"/>
      <c r="J642" s="134" t="s">
        <v>17191</v>
      </c>
      <c r="K642" s="134" t="s">
        <v>17192</v>
      </c>
      <c r="L642" s="134" t="s">
        <v>17193</v>
      </c>
      <c r="M642" s="116" t="s">
        <v>17194</v>
      </c>
    </row>
    <row r="643" spans="1:13" ht="14.25" customHeight="1">
      <c r="A643" s="116">
        <v>14</v>
      </c>
      <c r="B643" s="116"/>
      <c r="C643" s="195" t="s">
        <v>17195</v>
      </c>
      <c r="D643" s="134" t="s">
        <v>17196</v>
      </c>
      <c r="E643" s="121" t="s">
        <v>17197</v>
      </c>
      <c r="F643" s="121" t="s">
        <v>65</v>
      </c>
      <c r="G643" s="134" t="s">
        <v>17198</v>
      </c>
      <c r="H643" s="134" t="s">
        <v>17199</v>
      </c>
      <c r="I643" s="134"/>
      <c r="J643" s="134" t="s">
        <v>17200</v>
      </c>
      <c r="K643" s="134" t="s">
        <v>17201</v>
      </c>
      <c r="L643" s="134" t="s">
        <v>17202</v>
      </c>
      <c r="M643" s="116" t="s">
        <v>17203</v>
      </c>
    </row>
    <row r="644" spans="1:13" ht="14.25" customHeight="1">
      <c r="A644" s="116">
        <v>15</v>
      </c>
      <c r="B644" s="116"/>
      <c r="C644" s="195" t="s">
        <v>17204</v>
      </c>
      <c r="D644" s="134" t="s">
        <v>17205</v>
      </c>
      <c r="E644" s="121" t="s">
        <v>17206</v>
      </c>
      <c r="F644" s="121" t="s">
        <v>117</v>
      </c>
      <c r="G644" s="134" t="s">
        <v>17207</v>
      </c>
      <c r="H644" s="134" t="s">
        <v>17208</v>
      </c>
      <c r="I644" s="134"/>
      <c r="J644" s="134" t="s">
        <v>17209</v>
      </c>
      <c r="K644" s="134" t="s">
        <v>17210</v>
      </c>
      <c r="L644" s="134" t="s">
        <v>17211</v>
      </c>
      <c r="M644" s="116" t="s">
        <v>17212</v>
      </c>
    </row>
    <row r="645" spans="1:13" ht="14.25" customHeight="1">
      <c r="A645" s="116">
        <v>16</v>
      </c>
      <c r="B645" s="116"/>
      <c r="C645" s="195" t="s">
        <v>17213</v>
      </c>
      <c r="D645" s="134" t="s">
        <v>17214</v>
      </c>
      <c r="E645" s="121" t="s">
        <v>17215</v>
      </c>
      <c r="F645" s="121" t="s">
        <v>54</v>
      </c>
      <c r="G645" s="134" t="s">
        <v>17216</v>
      </c>
      <c r="H645" s="134" t="s">
        <v>17217</v>
      </c>
      <c r="I645" s="134"/>
      <c r="J645" s="134" t="s">
        <v>17218</v>
      </c>
      <c r="K645" s="134" t="s">
        <v>17219</v>
      </c>
      <c r="L645" s="134" t="s">
        <v>17220</v>
      </c>
      <c r="M645" s="116" t="s">
        <v>17221</v>
      </c>
    </row>
    <row r="646" spans="1:13" ht="14.25" customHeight="1">
      <c r="A646" s="116">
        <v>17</v>
      </c>
      <c r="B646" s="116"/>
      <c r="C646" s="195" t="s">
        <v>17222</v>
      </c>
      <c r="D646" s="134" t="s">
        <v>17223</v>
      </c>
      <c r="E646" s="121" t="s">
        <v>17224</v>
      </c>
      <c r="F646" s="121" t="s">
        <v>117</v>
      </c>
      <c r="G646" s="134" t="s">
        <v>17225</v>
      </c>
      <c r="H646" s="134" t="s">
        <v>17226</v>
      </c>
      <c r="I646" s="134"/>
      <c r="J646" s="134" t="s">
        <v>17227</v>
      </c>
      <c r="K646" s="134" t="s">
        <v>17228</v>
      </c>
      <c r="L646" s="134" t="s">
        <v>17229</v>
      </c>
      <c r="M646" s="116" t="s">
        <v>17230</v>
      </c>
    </row>
    <row r="647" spans="1:13" ht="14.25" customHeight="1">
      <c r="A647" s="116">
        <v>18</v>
      </c>
      <c r="B647" s="116"/>
      <c r="C647" s="195" t="s">
        <v>17231</v>
      </c>
      <c r="D647" s="134" t="s">
        <v>17232</v>
      </c>
      <c r="E647" s="121" t="s">
        <v>17233</v>
      </c>
      <c r="F647" s="121" t="s">
        <v>117</v>
      </c>
      <c r="G647" s="134" t="s">
        <v>17234</v>
      </c>
      <c r="H647" s="134" t="s">
        <v>17235</v>
      </c>
      <c r="I647" s="134"/>
      <c r="J647" s="134" t="s">
        <v>17236</v>
      </c>
      <c r="K647" s="134" t="s">
        <v>17237</v>
      </c>
      <c r="L647" s="134" t="s">
        <v>17238</v>
      </c>
      <c r="M647" s="132" t="s">
        <v>17239</v>
      </c>
    </row>
    <row r="648" spans="1:13" ht="14.25" customHeight="1">
      <c r="A648" s="116">
        <v>19</v>
      </c>
      <c r="B648" s="116"/>
      <c r="C648" s="195" t="s">
        <v>17240</v>
      </c>
      <c r="D648" s="134" t="s">
        <v>17241</v>
      </c>
      <c r="E648" s="121" t="s">
        <v>17242</v>
      </c>
      <c r="F648" s="121" t="s">
        <v>65</v>
      </c>
      <c r="G648" s="134" t="s">
        <v>17243</v>
      </c>
      <c r="H648" s="134" t="s">
        <v>17244</v>
      </c>
      <c r="I648" s="134"/>
      <c r="J648" s="134" t="s">
        <v>17245</v>
      </c>
      <c r="K648" s="134" t="s">
        <v>17246</v>
      </c>
      <c r="L648" s="134" t="s">
        <v>17247</v>
      </c>
      <c r="M648" s="116" t="s">
        <v>17248</v>
      </c>
    </row>
    <row r="649" spans="1:13" ht="14.25" customHeight="1">
      <c r="A649" s="116">
        <v>20</v>
      </c>
      <c r="B649" s="116"/>
      <c r="C649" s="195" t="s">
        <v>17249</v>
      </c>
      <c r="D649" s="134" t="s">
        <v>17250</v>
      </c>
      <c r="E649" s="123" t="s">
        <v>17251</v>
      </c>
      <c r="F649" s="123" t="s">
        <v>117</v>
      </c>
      <c r="G649" s="134" t="s">
        <v>13239</v>
      </c>
      <c r="H649" s="134" t="s">
        <v>17252</v>
      </c>
      <c r="I649" s="134"/>
      <c r="J649" s="134" t="s">
        <v>17253</v>
      </c>
      <c r="K649" s="134" t="s">
        <v>17254</v>
      </c>
      <c r="L649" s="134" t="s">
        <v>17255</v>
      </c>
      <c r="M649" s="116" t="s">
        <v>17256</v>
      </c>
    </row>
    <row r="650" spans="1:13" ht="14.25" customHeight="1">
      <c r="A650" s="116">
        <v>21</v>
      </c>
      <c r="B650" s="116"/>
      <c r="C650" s="195" t="s">
        <v>17257</v>
      </c>
      <c r="D650" s="134" t="s">
        <v>17258</v>
      </c>
      <c r="E650" s="123" t="s">
        <v>13831</v>
      </c>
      <c r="F650" s="123" t="s">
        <v>65</v>
      </c>
      <c r="G650" s="134" t="s">
        <v>17259</v>
      </c>
      <c r="H650" s="134" t="s">
        <v>17260</v>
      </c>
      <c r="I650" s="134"/>
      <c r="J650" s="134" t="s">
        <v>17261</v>
      </c>
      <c r="K650" s="134" t="s">
        <v>17262</v>
      </c>
      <c r="L650" s="134" t="s">
        <v>17263</v>
      </c>
      <c r="M650" s="116" t="s">
        <v>17264</v>
      </c>
    </row>
    <row r="651" spans="1:13" ht="14.25" customHeight="1">
      <c r="A651" s="116">
        <v>22</v>
      </c>
      <c r="B651" s="116"/>
      <c r="C651" s="195" t="s">
        <v>17265</v>
      </c>
      <c r="D651" s="134" t="s">
        <v>17266</v>
      </c>
      <c r="E651" s="121" t="s">
        <v>17267</v>
      </c>
      <c r="F651" s="121" t="s">
        <v>219</v>
      </c>
      <c r="G651" s="134" t="s">
        <v>16254</v>
      </c>
      <c r="H651" s="134" t="s">
        <v>17268</v>
      </c>
      <c r="I651" s="134"/>
      <c r="J651" s="134" t="s">
        <v>17269</v>
      </c>
      <c r="K651" s="134" t="s">
        <v>17270</v>
      </c>
      <c r="L651" s="134" t="s">
        <v>17271</v>
      </c>
      <c r="M651" s="116" t="s">
        <v>17272</v>
      </c>
    </row>
    <row r="652" spans="1:13" ht="14.25" customHeight="1">
      <c r="A652" s="116">
        <v>23</v>
      </c>
      <c r="B652" s="116"/>
      <c r="C652" s="195" t="s">
        <v>17273</v>
      </c>
      <c r="D652" s="134" t="s">
        <v>17274</v>
      </c>
      <c r="E652" s="121" t="s">
        <v>17275</v>
      </c>
      <c r="F652" s="121" t="s">
        <v>65</v>
      </c>
      <c r="G652" s="134" t="s">
        <v>17276</v>
      </c>
      <c r="H652" s="134" t="s">
        <v>17277</v>
      </c>
      <c r="I652" s="134"/>
      <c r="J652" s="134" t="s">
        <v>17278</v>
      </c>
      <c r="K652" s="134" t="s">
        <v>17279</v>
      </c>
      <c r="L652" s="134" t="s">
        <v>17280</v>
      </c>
      <c r="M652" s="116" t="s">
        <v>17281</v>
      </c>
    </row>
    <row r="653" spans="1:13" ht="14.25" customHeight="1">
      <c r="A653" s="116">
        <v>24</v>
      </c>
      <c r="B653" s="116"/>
      <c r="C653" s="195" t="s">
        <v>17282</v>
      </c>
      <c r="D653" s="134" t="s">
        <v>17283</v>
      </c>
      <c r="E653" s="121" t="s">
        <v>17284</v>
      </c>
      <c r="F653" s="121" t="s">
        <v>563</v>
      </c>
      <c r="G653" s="134" t="s">
        <v>17285</v>
      </c>
      <c r="H653" s="134" t="s">
        <v>17286</v>
      </c>
      <c r="I653" s="134"/>
      <c r="J653" s="134" t="s">
        <v>17287</v>
      </c>
      <c r="K653" s="134" t="s">
        <v>17288</v>
      </c>
      <c r="L653" s="134" t="s">
        <v>17289</v>
      </c>
      <c r="M653" s="116" t="s">
        <v>17290</v>
      </c>
    </row>
    <row r="654" spans="1:13" ht="14.25" customHeight="1">
      <c r="A654" s="116">
        <v>25</v>
      </c>
      <c r="B654" s="116"/>
      <c r="C654" s="195" t="s">
        <v>17291</v>
      </c>
      <c r="D654" s="134" t="s">
        <v>17292</v>
      </c>
      <c r="E654" s="121" t="s">
        <v>17293</v>
      </c>
      <c r="F654" s="121" t="s">
        <v>65</v>
      </c>
      <c r="G654" s="134" t="s">
        <v>17294</v>
      </c>
      <c r="H654" s="134" t="s">
        <v>17295</v>
      </c>
      <c r="I654" s="134"/>
      <c r="J654" s="134" t="s">
        <v>17296</v>
      </c>
      <c r="K654" s="134" t="s">
        <v>17297</v>
      </c>
      <c r="L654" s="134" t="s">
        <v>17298</v>
      </c>
      <c r="M654" s="116" t="s">
        <v>17299</v>
      </c>
    </row>
    <row r="655" spans="1:13" ht="14.25" customHeight="1">
      <c r="A655" s="116">
        <v>26</v>
      </c>
      <c r="B655" s="116"/>
      <c r="C655" s="195" t="s">
        <v>17300</v>
      </c>
      <c r="D655" s="134" t="s">
        <v>17301</v>
      </c>
      <c r="E655" s="121" t="s">
        <v>17302</v>
      </c>
      <c r="F655" s="121" t="s">
        <v>65</v>
      </c>
      <c r="G655" s="134" t="s">
        <v>17303</v>
      </c>
      <c r="H655" s="134" t="s">
        <v>17304</v>
      </c>
      <c r="I655" s="134"/>
      <c r="J655" s="134" t="s">
        <v>17305</v>
      </c>
      <c r="K655" s="134" t="s">
        <v>17306</v>
      </c>
      <c r="L655" s="134" t="s">
        <v>17307</v>
      </c>
      <c r="M655" s="116" t="s">
        <v>17308</v>
      </c>
    </row>
    <row r="656" spans="1:13" ht="14.25" customHeight="1">
      <c r="A656" s="116">
        <v>27</v>
      </c>
      <c r="B656" s="116"/>
      <c r="C656" s="195" t="s">
        <v>17309</v>
      </c>
      <c r="D656" s="134" t="s">
        <v>17310</v>
      </c>
      <c r="E656" s="121" t="s">
        <v>17311</v>
      </c>
      <c r="F656" s="121" t="s">
        <v>117</v>
      </c>
      <c r="G656" s="134" t="s">
        <v>17312</v>
      </c>
      <c r="H656" s="134" t="s">
        <v>17313</v>
      </c>
      <c r="I656" s="134"/>
      <c r="J656" s="134" t="s">
        <v>17314</v>
      </c>
      <c r="K656" s="134" t="s">
        <v>17315</v>
      </c>
      <c r="L656" s="134" t="s">
        <v>17316</v>
      </c>
      <c r="M656" s="116" t="s">
        <v>17317</v>
      </c>
    </row>
    <row r="657" spans="1:13" ht="14.25" customHeight="1">
      <c r="A657" s="116">
        <v>28</v>
      </c>
      <c r="B657" s="116"/>
      <c r="C657" s="195" t="s">
        <v>17318</v>
      </c>
      <c r="D657" s="134" t="s">
        <v>17319</v>
      </c>
      <c r="E657" s="121" t="s">
        <v>17320</v>
      </c>
      <c r="F657" s="121" t="s">
        <v>54</v>
      </c>
      <c r="G657" s="134" t="s">
        <v>17321</v>
      </c>
      <c r="H657" s="134" t="s">
        <v>17322</v>
      </c>
      <c r="I657" s="134"/>
      <c r="J657" s="134" t="s">
        <v>17323</v>
      </c>
      <c r="K657" s="134" t="s">
        <v>17324</v>
      </c>
      <c r="L657" s="134" t="s">
        <v>17325</v>
      </c>
      <c r="M657" s="116" t="s">
        <v>17326</v>
      </c>
    </row>
    <row r="658" spans="1:13" ht="14.25" customHeight="1">
      <c r="A658" s="116">
        <v>29</v>
      </c>
      <c r="B658" s="116"/>
      <c r="C658" s="195" t="s">
        <v>17327</v>
      </c>
      <c r="D658" s="134" t="s">
        <v>17328</v>
      </c>
      <c r="E658" s="121" t="s">
        <v>17329</v>
      </c>
      <c r="F658" s="121" t="s">
        <v>54</v>
      </c>
      <c r="G658" s="134" t="s">
        <v>17330</v>
      </c>
      <c r="H658" s="134" t="s">
        <v>17331</v>
      </c>
      <c r="I658" s="134"/>
      <c r="J658" s="134" t="s">
        <v>17332</v>
      </c>
      <c r="K658" s="134" t="s">
        <v>17333</v>
      </c>
      <c r="L658" s="134" t="s">
        <v>17334</v>
      </c>
      <c r="M658" s="116" t="s">
        <v>17335</v>
      </c>
    </row>
    <row r="659" spans="1:13" ht="14.25" customHeight="1">
      <c r="A659" s="116">
        <v>30</v>
      </c>
      <c r="B659" s="116"/>
      <c r="C659" s="195" t="s">
        <v>17336</v>
      </c>
      <c r="D659" s="134" t="s">
        <v>17337</v>
      </c>
      <c r="E659" s="121" t="s">
        <v>17338</v>
      </c>
      <c r="F659" s="121" t="s">
        <v>54</v>
      </c>
      <c r="G659" s="134" t="s">
        <v>17339</v>
      </c>
      <c r="H659" s="134" t="s">
        <v>17340</v>
      </c>
      <c r="I659" s="134"/>
      <c r="J659" s="134" t="s">
        <v>17341</v>
      </c>
      <c r="K659" s="134" t="s">
        <v>17342</v>
      </c>
      <c r="L659" s="134" t="s">
        <v>17343</v>
      </c>
      <c r="M659" s="116" t="s">
        <v>17344</v>
      </c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7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640625" defaultRowHeight="15" customHeight="1"/>
  <cols>
    <col min="1" max="1" width="9.33203125" customWidth="1"/>
    <col min="2" max="2" width="20.44140625" customWidth="1"/>
    <col min="3" max="3" width="10.33203125" customWidth="1"/>
    <col min="4" max="4" width="39.77734375" customWidth="1"/>
    <col min="5" max="5" width="11.44140625" customWidth="1"/>
    <col min="6" max="6" width="12" customWidth="1"/>
    <col min="7" max="7" width="27.44140625" customWidth="1"/>
    <col min="8" max="8" width="30.33203125" customWidth="1"/>
    <col min="9" max="9" width="40.109375" customWidth="1"/>
    <col min="10" max="10" width="40.88671875" customWidth="1"/>
    <col min="11" max="11" width="21" customWidth="1"/>
    <col min="12" max="12" width="21.109375" customWidth="1"/>
    <col min="13" max="13" width="21.33203125" customWidth="1"/>
  </cols>
  <sheetData>
    <row r="1" spans="1:13" ht="31.5" customHeight="1">
      <c r="A1" s="145" t="s">
        <v>12</v>
      </c>
      <c r="B1" s="14" t="s">
        <v>13</v>
      </c>
      <c r="C1" s="15" t="s">
        <v>14</v>
      </c>
      <c r="D1" s="15" t="s">
        <v>15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20</v>
      </c>
      <c r="J1" s="16" t="s">
        <v>21</v>
      </c>
      <c r="K1" s="17" t="s">
        <v>22</v>
      </c>
      <c r="L1" s="17" t="s">
        <v>23</v>
      </c>
      <c r="M1" s="17" t="s">
        <v>24</v>
      </c>
    </row>
    <row r="2" spans="1:13" ht="14.25" customHeight="1">
      <c r="A2" s="146">
        <v>1</v>
      </c>
      <c r="B2" s="88"/>
      <c r="C2" s="148" t="s">
        <v>216</v>
      </c>
      <c r="D2" s="148" t="s">
        <v>217</v>
      </c>
      <c r="E2" s="148" t="s">
        <v>218</v>
      </c>
      <c r="F2" s="148" t="s">
        <v>219</v>
      </c>
      <c r="G2" s="148" t="s">
        <v>220</v>
      </c>
      <c r="H2" s="148" t="s">
        <v>17345</v>
      </c>
      <c r="I2" s="157" t="s">
        <v>222</v>
      </c>
      <c r="J2" s="148" t="s">
        <v>223</v>
      </c>
      <c r="K2" s="88" t="s">
        <v>17346</v>
      </c>
      <c r="L2" s="88" t="s">
        <v>17347</v>
      </c>
      <c r="M2" s="88" t="s">
        <v>37</v>
      </c>
    </row>
    <row r="3" spans="1:13" ht="14.25" customHeight="1">
      <c r="A3" s="113">
        <v>2</v>
      </c>
      <c r="B3" s="47"/>
      <c r="C3" s="201" t="s">
        <v>237</v>
      </c>
      <c r="D3" s="201" t="s">
        <v>238</v>
      </c>
      <c r="E3" s="130" t="s">
        <v>239</v>
      </c>
      <c r="F3" s="130" t="s">
        <v>117</v>
      </c>
      <c r="G3" s="130" t="s">
        <v>240</v>
      </c>
      <c r="H3" s="130" t="s">
        <v>17348</v>
      </c>
      <c r="I3" s="115" t="s">
        <v>242</v>
      </c>
      <c r="J3" s="130" t="s">
        <v>243</v>
      </c>
      <c r="K3" s="47" t="s">
        <v>17349</v>
      </c>
      <c r="L3" s="47" t="s">
        <v>17350</v>
      </c>
      <c r="M3" s="47" t="s">
        <v>49</v>
      </c>
    </row>
    <row r="4" spans="1:13" ht="14.25" customHeight="1">
      <c r="A4" s="113">
        <v>3</v>
      </c>
      <c r="B4" s="47"/>
      <c r="C4" s="201" t="s">
        <v>247</v>
      </c>
      <c r="D4" s="201" t="s">
        <v>248</v>
      </c>
      <c r="E4" s="130" t="s">
        <v>249</v>
      </c>
      <c r="F4" s="130" t="s">
        <v>30</v>
      </c>
      <c r="G4" s="130" t="s">
        <v>17351</v>
      </c>
      <c r="H4" s="130" t="s">
        <v>17352</v>
      </c>
      <c r="I4" s="115" t="s">
        <v>252</v>
      </c>
      <c r="J4" s="130" t="s">
        <v>253</v>
      </c>
      <c r="K4" s="47" t="s">
        <v>17353</v>
      </c>
      <c r="L4" s="47" t="s">
        <v>17354</v>
      </c>
      <c r="M4" s="47" t="s">
        <v>61</v>
      </c>
    </row>
    <row r="5" spans="1:13" ht="14.25" customHeight="1">
      <c r="A5" s="113">
        <v>4</v>
      </c>
      <c r="B5" s="47"/>
      <c r="C5" s="201" t="s">
        <v>114</v>
      </c>
      <c r="D5" s="201" t="s">
        <v>115</v>
      </c>
      <c r="E5" s="130" t="s">
        <v>116</v>
      </c>
      <c r="F5" s="130" t="s">
        <v>117</v>
      </c>
      <c r="G5" s="130" t="s">
        <v>118</v>
      </c>
      <c r="H5" s="130" t="s">
        <v>17355</v>
      </c>
      <c r="I5" s="115" t="s">
        <v>120</v>
      </c>
      <c r="J5" s="130" t="s">
        <v>121</v>
      </c>
      <c r="K5" s="47" t="s">
        <v>17356</v>
      </c>
      <c r="L5" s="47" t="s">
        <v>17357</v>
      </c>
      <c r="M5" s="47" t="s">
        <v>72</v>
      </c>
    </row>
    <row r="6" spans="1:13" ht="14.25" customHeight="1">
      <c r="A6" s="113">
        <v>5</v>
      </c>
      <c r="B6" s="47"/>
      <c r="C6" s="201" t="s">
        <v>125</v>
      </c>
      <c r="D6" s="201" t="s">
        <v>126</v>
      </c>
      <c r="E6" s="130" t="s">
        <v>127</v>
      </c>
      <c r="F6" s="130" t="s">
        <v>30</v>
      </c>
      <c r="G6" s="130" t="s">
        <v>17358</v>
      </c>
      <c r="H6" s="130" t="s">
        <v>17359</v>
      </c>
      <c r="I6" s="115" t="s">
        <v>130</v>
      </c>
      <c r="J6" s="130" t="s">
        <v>131</v>
      </c>
      <c r="K6" s="47" t="s">
        <v>17360</v>
      </c>
      <c r="L6" s="47" t="s">
        <v>17361</v>
      </c>
      <c r="M6" s="47" t="s">
        <v>83</v>
      </c>
    </row>
    <row r="7" spans="1:13" ht="14.25" customHeight="1">
      <c r="A7" s="113">
        <v>6</v>
      </c>
      <c r="B7" s="47"/>
      <c r="C7" s="201" t="s">
        <v>27</v>
      </c>
      <c r="D7" s="201" t="s">
        <v>28</v>
      </c>
      <c r="E7" s="130" t="s">
        <v>29</v>
      </c>
      <c r="F7" s="130" t="s">
        <v>30</v>
      </c>
      <c r="G7" s="130" t="s">
        <v>31</v>
      </c>
      <c r="H7" s="130" t="s">
        <v>17362</v>
      </c>
      <c r="I7" s="115" t="s">
        <v>33</v>
      </c>
      <c r="J7" s="130" t="s">
        <v>34</v>
      </c>
      <c r="K7" s="47" t="s">
        <v>17363</v>
      </c>
      <c r="L7" s="47" t="s">
        <v>17364</v>
      </c>
      <c r="M7" s="47" t="s">
        <v>93</v>
      </c>
    </row>
    <row r="8" spans="1:13" ht="14.25" customHeight="1">
      <c r="A8" s="113">
        <v>7</v>
      </c>
      <c r="B8" s="47"/>
      <c r="C8" s="201" t="s">
        <v>145</v>
      </c>
      <c r="D8" s="201" t="s">
        <v>146</v>
      </c>
      <c r="E8" s="130" t="s">
        <v>147</v>
      </c>
      <c r="F8" s="130" t="s">
        <v>30</v>
      </c>
      <c r="G8" s="130" t="s">
        <v>148</v>
      </c>
      <c r="H8" s="130" t="s">
        <v>17365</v>
      </c>
      <c r="I8" s="115" t="s">
        <v>150</v>
      </c>
      <c r="J8" s="130" t="s">
        <v>151</v>
      </c>
      <c r="K8" s="47" t="s">
        <v>17366</v>
      </c>
      <c r="L8" s="47" t="s">
        <v>17367</v>
      </c>
      <c r="M8" s="47" t="s">
        <v>103</v>
      </c>
    </row>
    <row r="9" spans="1:13" ht="14.25" customHeight="1">
      <c r="A9" s="113">
        <v>8</v>
      </c>
      <c r="B9" s="47"/>
      <c r="C9" s="201" t="s">
        <v>94</v>
      </c>
      <c r="D9" s="201" t="s">
        <v>95</v>
      </c>
      <c r="E9" s="130" t="s">
        <v>96</v>
      </c>
      <c r="F9" s="130" t="s">
        <v>42</v>
      </c>
      <c r="G9" s="130" t="s">
        <v>97</v>
      </c>
      <c r="H9" s="130" t="s">
        <v>17368</v>
      </c>
      <c r="I9" s="115" t="s">
        <v>99</v>
      </c>
      <c r="J9" s="130" t="s">
        <v>100</v>
      </c>
      <c r="K9" s="47" t="s">
        <v>17369</v>
      </c>
      <c r="L9" s="47" t="s">
        <v>17370</v>
      </c>
      <c r="M9" s="47" t="s">
        <v>113</v>
      </c>
    </row>
    <row r="10" spans="1:13" ht="14.25" customHeight="1">
      <c r="A10" s="113">
        <v>9</v>
      </c>
      <c r="B10" s="47"/>
      <c r="C10" s="201" t="s">
        <v>165</v>
      </c>
      <c r="D10" s="201" t="s">
        <v>166</v>
      </c>
      <c r="E10" s="130" t="s">
        <v>167</v>
      </c>
      <c r="F10" s="130" t="s">
        <v>42</v>
      </c>
      <c r="G10" s="130" t="s">
        <v>168</v>
      </c>
      <c r="H10" s="130" t="s">
        <v>17371</v>
      </c>
      <c r="I10" s="115" t="s">
        <v>170</v>
      </c>
      <c r="J10" s="154" t="s">
        <v>171</v>
      </c>
      <c r="K10" s="47" t="s">
        <v>17372</v>
      </c>
      <c r="L10" s="47" t="s">
        <v>17373</v>
      </c>
      <c r="M10" s="47" t="s">
        <v>124</v>
      </c>
    </row>
    <row r="11" spans="1:13" ht="14.25" customHeight="1">
      <c r="A11" s="113">
        <v>10</v>
      </c>
      <c r="B11" s="47"/>
      <c r="C11" s="201" t="s">
        <v>206</v>
      </c>
      <c r="D11" s="201" t="s">
        <v>207</v>
      </c>
      <c r="E11" s="130" t="s">
        <v>208</v>
      </c>
      <c r="F11" s="130" t="s">
        <v>42</v>
      </c>
      <c r="G11" s="130" t="s">
        <v>209</v>
      </c>
      <c r="H11" s="130" t="s">
        <v>17374</v>
      </c>
      <c r="I11" s="115" t="s">
        <v>211</v>
      </c>
      <c r="J11" s="130" t="s">
        <v>212</v>
      </c>
      <c r="K11" s="47" t="s">
        <v>17375</v>
      </c>
      <c r="L11" s="47" t="s">
        <v>17376</v>
      </c>
      <c r="M11" s="47" t="s">
        <v>134</v>
      </c>
    </row>
    <row r="12" spans="1:13" ht="14.25" customHeight="1">
      <c r="A12" s="113">
        <v>11</v>
      </c>
      <c r="B12" s="47"/>
      <c r="C12" s="201" t="s">
        <v>712</v>
      </c>
      <c r="D12" s="201" t="s">
        <v>713</v>
      </c>
      <c r="E12" s="130" t="s">
        <v>418</v>
      </c>
      <c r="F12" s="130" t="s">
        <v>42</v>
      </c>
      <c r="G12" s="130" t="s">
        <v>714</v>
      </c>
      <c r="H12" s="130" t="s">
        <v>17377</v>
      </c>
      <c r="I12" s="115" t="s">
        <v>716</v>
      </c>
      <c r="J12" s="130" t="s">
        <v>717</v>
      </c>
      <c r="K12" s="47" t="s">
        <v>17378</v>
      </c>
      <c r="L12" s="47" t="s">
        <v>17379</v>
      </c>
      <c r="M12" s="47" t="s">
        <v>144</v>
      </c>
    </row>
    <row r="13" spans="1:13" ht="14.25" customHeight="1">
      <c r="A13" s="113">
        <v>12</v>
      </c>
      <c r="B13" s="47"/>
      <c r="C13" s="201" t="s">
        <v>416</v>
      </c>
      <c r="D13" s="201" t="s">
        <v>417</v>
      </c>
      <c r="E13" s="130" t="s">
        <v>418</v>
      </c>
      <c r="F13" s="130" t="s">
        <v>42</v>
      </c>
      <c r="G13" s="130" t="s">
        <v>419</v>
      </c>
      <c r="H13" s="130" t="s">
        <v>17380</v>
      </c>
      <c r="I13" s="115" t="s">
        <v>421</v>
      </c>
      <c r="J13" s="130" t="s">
        <v>422</v>
      </c>
      <c r="K13" s="47" t="s">
        <v>17381</v>
      </c>
      <c r="L13" s="47" t="s">
        <v>17382</v>
      </c>
      <c r="M13" s="47" t="s">
        <v>154</v>
      </c>
    </row>
    <row r="14" spans="1:13" ht="14.25" customHeight="1">
      <c r="A14" s="113">
        <v>13</v>
      </c>
      <c r="B14" s="47"/>
      <c r="C14" s="201" t="s">
        <v>51</v>
      </c>
      <c r="D14" s="201" t="s">
        <v>52</v>
      </c>
      <c r="E14" s="130" t="s">
        <v>53</v>
      </c>
      <c r="F14" s="130" t="s">
        <v>54</v>
      </c>
      <c r="G14" s="130" t="s">
        <v>55</v>
      </c>
      <c r="H14" s="154" t="s">
        <v>17383</v>
      </c>
      <c r="I14" s="115" t="s">
        <v>57</v>
      </c>
      <c r="J14" s="130" t="s">
        <v>58</v>
      </c>
      <c r="K14" s="47" t="s">
        <v>5413</v>
      </c>
      <c r="L14" s="47" t="s">
        <v>5414</v>
      </c>
      <c r="M14" s="47" t="s">
        <v>5415</v>
      </c>
    </row>
    <row r="15" spans="1:13" ht="14.25" customHeight="1">
      <c r="A15" s="185">
        <v>14</v>
      </c>
      <c r="B15" s="47"/>
      <c r="C15" s="201" t="s">
        <v>104</v>
      </c>
      <c r="D15" s="201" t="s">
        <v>105</v>
      </c>
      <c r="E15" s="159" t="s">
        <v>106</v>
      </c>
      <c r="F15" s="130" t="s">
        <v>17384</v>
      </c>
      <c r="G15" s="130" t="s">
        <v>17385</v>
      </c>
      <c r="H15" s="130" t="s">
        <v>17386</v>
      </c>
      <c r="I15" s="115" t="s">
        <v>109</v>
      </c>
      <c r="J15" s="130" t="s">
        <v>110</v>
      </c>
      <c r="K15" s="47" t="s">
        <v>17387</v>
      </c>
      <c r="L15" s="47" t="s">
        <v>17388</v>
      </c>
      <c r="M15" s="47" t="s">
        <v>17389</v>
      </c>
    </row>
    <row r="16" spans="1:13" ht="14.25" customHeight="1">
      <c r="A16" s="146">
        <v>1</v>
      </c>
      <c r="B16" s="88"/>
      <c r="C16" s="202" t="s">
        <v>307</v>
      </c>
      <c r="D16" s="202" t="s">
        <v>308</v>
      </c>
      <c r="E16" s="148" t="s">
        <v>309</v>
      </c>
      <c r="F16" s="148" t="s">
        <v>65</v>
      </c>
      <c r="G16" s="148" t="s">
        <v>310</v>
      </c>
      <c r="H16" s="148" t="s">
        <v>17390</v>
      </c>
      <c r="I16" s="157" t="s">
        <v>312</v>
      </c>
      <c r="J16" s="148" t="s">
        <v>313</v>
      </c>
      <c r="K16" s="88" t="s">
        <v>17391</v>
      </c>
      <c r="L16" s="88" t="s">
        <v>17392</v>
      </c>
      <c r="M16" s="88" t="s">
        <v>164</v>
      </c>
    </row>
    <row r="17" spans="1:13" ht="14.25" customHeight="1">
      <c r="A17" s="113">
        <v>2</v>
      </c>
      <c r="B17" s="47"/>
      <c r="C17" s="201" t="s">
        <v>62</v>
      </c>
      <c r="D17" s="201" t="s">
        <v>63</v>
      </c>
      <c r="E17" s="130" t="s">
        <v>64</v>
      </c>
      <c r="F17" s="130" t="s">
        <v>65</v>
      </c>
      <c r="G17" s="130" t="s">
        <v>66</v>
      </c>
      <c r="H17" s="130" t="s">
        <v>17393</v>
      </c>
      <c r="I17" s="115" t="s">
        <v>68</v>
      </c>
      <c r="J17" s="130" t="s">
        <v>69</v>
      </c>
      <c r="K17" s="47" t="s">
        <v>17394</v>
      </c>
      <c r="L17" s="47" t="s">
        <v>17395</v>
      </c>
      <c r="M17" s="47" t="s">
        <v>174</v>
      </c>
    </row>
    <row r="18" spans="1:13" ht="14.25" customHeight="1">
      <c r="A18" s="113">
        <v>3</v>
      </c>
      <c r="B18" s="47"/>
      <c r="C18" s="201" t="s">
        <v>84</v>
      </c>
      <c r="D18" s="201" t="s">
        <v>85</v>
      </c>
      <c r="E18" s="130" t="s">
        <v>86</v>
      </c>
      <c r="F18" s="130" t="s">
        <v>65</v>
      </c>
      <c r="G18" s="130" t="s">
        <v>87</v>
      </c>
      <c r="H18" s="130" t="s">
        <v>17396</v>
      </c>
      <c r="I18" s="115" t="s">
        <v>89</v>
      </c>
      <c r="J18" s="130" t="s">
        <v>90</v>
      </c>
      <c r="K18" s="47" t="s">
        <v>17397</v>
      </c>
      <c r="L18" s="47" t="s">
        <v>17398</v>
      </c>
      <c r="M18" s="47" t="s">
        <v>185</v>
      </c>
    </row>
    <row r="19" spans="1:13" ht="14.25" customHeight="1">
      <c r="A19" s="113">
        <v>4</v>
      </c>
      <c r="B19" s="47"/>
      <c r="C19" s="201" t="s">
        <v>196</v>
      </c>
      <c r="D19" s="201" t="s">
        <v>197</v>
      </c>
      <c r="E19" s="130" t="s">
        <v>198</v>
      </c>
      <c r="F19" s="130" t="s">
        <v>65</v>
      </c>
      <c r="G19" s="130" t="s">
        <v>199</v>
      </c>
      <c r="H19" s="130" t="s">
        <v>17399</v>
      </c>
      <c r="I19" s="115" t="s">
        <v>201</v>
      </c>
      <c r="J19" s="130" t="s">
        <v>202</v>
      </c>
      <c r="K19" s="47" t="s">
        <v>17400</v>
      </c>
      <c r="L19" s="47" t="s">
        <v>17401</v>
      </c>
      <c r="M19" s="47" t="s">
        <v>195</v>
      </c>
    </row>
    <row r="20" spans="1:13" ht="14.25" customHeight="1">
      <c r="A20" s="113">
        <v>5</v>
      </c>
      <c r="B20" s="47"/>
      <c r="C20" s="201" t="s">
        <v>176</v>
      </c>
      <c r="D20" s="201" t="s">
        <v>177</v>
      </c>
      <c r="E20" s="130" t="s">
        <v>178</v>
      </c>
      <c r="F20" s="130" t="s">
        <v>117</v>
      </c>
      <c r="G20" s="130" t="s">
        <v>179</v>
      </c>
      <c r="H20" s="130" t="s">
        <v>17402</v>
      </c>
      <c r="I20" s="115" t="s">
        <v>181</v>
      </c>
      <c r="J20" s="130" t="s">
        <v>182</v>
      </c>
      <c r="K20" s="47" t="s">
        <v>17403</v>
      </c>
      <c r="L20" s="47" t="s">
        <v>17404</v>
      </c>
      <c r="M20" s="47" t="s">
        <v>205</v>
      </c>
    </row>
    <row r="21" spans="1:13" ht="14.25" customHeight="1">
      <c r="A21" s="113">
        <v>6</v>
      </c>
      <c r="B21" s="47"/>
      <c r="C21" s="201" t="s">
        <v>227</v>
      </c>
      <c r="D21" s="201" t="s">
        <v>228</v>
      </c>
      <c r="E21" s="130" t="s">
        <v>229</v>
      </c>
      <c r="F21" s="130" t="s">
        <v>117</v>
      </c>
      <c r="G21" s="130" t="s">
        <v>230</v>
      </c>
      <c r="H21" s="130" t="s">
        <v>17405</v>
      </c>
      <c r="I21" s="115" t="s">
        <v>232</v>
      </c>
      <c r="J21" s="130" t="s">
        <v>233</v>
      </c>
      <c r="K21" s="47" t="s">
        <v>17406</v>
      </c>
      <c r="L21" s="47" t="s">
        <v>17407</v>
      </c>
      <c r="M21" s="47" t="s">
        <v>215</v>
      </c>
    </row>
    <row r="22" spans="1:13" ht="14.25" customHeight="1">
      <c r="A22" s="113">
        <v>7</v>
      </c>
      <c r="B22" s="47"/>
      <c r="C22" s="201" t="s">
        <v>186</v>
      </c>
      <c r="D22" s="201" t="s">
        <v>187</v>
      </c>
      <c r="E22" s="130" t="s">
        <v>188</v>
      </c>
      <c r="F22" s="130" t="s">
        <v>42</v>
      </c>
      <c r="G22" s="130" t="s">
        <v>189</v>
      </c>
      <c r="H22" s="130" t="s">
        <v>17408</v>
      </c>
      <c r="I22" s="115" t="s">
        <v>191</v>
      </c>
      <c r="J22" s="130" t="s">
        <v>192</v>
      </c>
      <c r="K22" s="47" t="s">
        <v>17409</v>
      </c>
      <c r="L22" s="47" t="s">
        <v>17410</v>
      </c>
      <c r="M22" s="47" t="s">
        <v>226</v>
      </c>
    </row>
    <row r="23" spans="1:13" ht="14.25" customHeight="1">
      <c r="A23" s="113">
        <v>8</v>
      </c>
      <c r="B23" s="47"/>
      <c r="C23" s="201" t="s">
        <v>488</v>
      </c>
      <c r="D23" s="201" t="s">
        <v>489</v>
      </c>
      <c r="E23" s="130" t="s">
        <v>490</v>
      </c>
      <c r="F23" s="130" t="s">
        <v>320</v>
      </c>
      <c r="G23" s="130" t="s">
        <v>491</v>
      </c>
      <c r="H23" s="130" t="s">
        <v>17411</v>
      </c>
      <c r="I23" s="115" t="s">
        <v>493</v>
      </c>
      <c r="J23" s="130" t="s">
        <v>494</v>
      </c>
      <c r="K23" s="47" t="s">
        <v>17412</v>
      </c>
      <c r="L23" s="47" t="s">
        <v>17413</v>
      </c>
      <c r="M23" s="47" t="s">
        <v>236</v>
      </c>
    </row>
    <row r="24" spans="1:13" ht="14.25" customHeight="1">
      <c r="A24" s="113">
        <v>9</v>
      </c>
      <c r="B24" s="47"/>
      <c r="C24" s="201" t="s">
        <v>329</v>
      </c>
      <c r="D24" s="201" t="s">
        <v>330</v>
      </c>
      <c r="E24" s="116" t="s">
        <v>331</v>
      </c>
      <c r="F24" s="130" t="s">
        <v>65</v>
      </c>
      <c r="G24" s="130" t="s">
        <v>332</v>
      </c>
      <c r="H24" s="130" t="s">
        <v>17414</v>
      </c>
      <c r="I24" s="115" t="s">
        <v>334</v>
      </c>
      <c r="J24" s="130" t="s">
        <v>335</v>
      </c>
      <c r="K24" s="47" t="s">
        <v>17415</v>
      </c>
      <c r="L24" s="47" t="s">
        <v>17416</v>
      </c>
      <c r="M24" s="47" t="s">
        <v>246</v>
      </c>
    </row>
    <row r="25" spans="1:13" ht="14.25" customHeight="1">
      <c r="A25" s="113">
        <v>10</v>
      </c>
      <c r="B25" s="47"/>
      <c r="C25" s="201" t="s">
        <v>17417</v>
      </c>
      <c r="D25" s="201" t="s">
        <v>17418</v>
      </c>
      <c r="E25" s="116" t="s">
        <v>17419</v>
      </c>
      <c r="F25" s="130" t="s">
        <v>65</v>
      </c>
      <c r="G25" s="130" t="s">
        <v>17420</v>
      </c>
      <c r="H25" s="130" t="s">
        <v>17421</v>
      </c>
      <c r="I25" s="115" t="s">
        <v>17422</v>
      </c>
      <c r="J25" s="130" t="s">
        <v>17423</v>
      </c>
      <c r="K25" s="47" t="s">
        <v>17424</v>
      </c>
      <c r="L25" s="47" t="s">
        <v>17425</v>
      </c>
      <c r="M25" s="47" t="s">
        <v>256</v>
      </c>
    </row>
    <row r="26" spans="1:13" ht="14.25" customHeight="1">
      <c r="A26" s="146">
        <v>1</v>
      </c>
      <c r="B26" s="88"/>
      <c r="C26" s="148" t="s">
        <v>135</v>
      </c>
      <c r="D26" s="148" t="s">
        <v>136</v>
      </c>
      <c r="E26" s="148" t="s">
        <v>137</v>
      </c>
      <c r="F26" s="148" t="s">
        <v>65</v>
      </c>
      <c r="G26" s="148" t="s">
        <v>17426</v>
      </c>
      <c r="H26" s="148" t="s">
        <v>17427</v>
      </c>
      <c r="I26" s="157" t="s">
        <v>140</v>
      </c>
      <c r="J26" s="148" t="s">
        <v>141</v>
      </c>
      <c r="K26" s="88" t="s">
        <v>17428</v>
      </c>
      <c r="L26" s="88" t="s">
        <v>17429</v>
      </c>
      <c r="M26" s="88" t="s">
        <v>316</v>
      </c>
    </row>
    <row r="27" spans="1:13" ht="14.25" customHeight="1">
      <c r="A27" s="113">
        <v>2</v>
      </c>
      <c r="B27" s="47"/>
      <c r="C27" s="130" t="s">
        <v>1763</v>
      </c>
      <c r="D27" s="130" t="s">
        <v>1764</v>
      </c>
      <c r="E27" s="130" t="s">
        <v>1765</v>
      </c>
      <c r="F27" s="130" t="s">
        <v>65</v>
      </c>
      <c r="G27" s="130" t="s">
        <v>1766</v>
      </c>
      <c r="H27" s="130" t="s">
        <v>17430</v>
      </c>
      <c r="I27" s="115" t="s">
        <v>1768</v>
      </c>
      <c r="J27" s="130" t="s">
        <v>1769</v>
      </c>
      <c r="K27" s="47" t="s">
        <v>17431</v>
      </c>
      <c r="L27" s="47" t="s">
        <v>17432</v>
      </c>
      <c r="M27" s="47" t="s">
        <v>327</v>
      </c>
    </row>
    <row r="28" spans="1:13" ht="14.25" customHeight="1">
      <c r="A28" s="113">
        <v>3</v>
      </c>
      <c r="B28" s="47"/>
      <c r="C28" s="130" t="s">
        <v>406</v>
      </c>
      <c r="D28" s="130" t="s">
        <v>407</v>
      </c>
      <c r="E28" s="130" t="s">
        <v>408</v>
      </c>
      <c r="F28" s="130" t="s">
        <v>65</v>
      </c>
      <c r="G28" s="130" t="s">
        <v>409</v>
      </c>
      <c r="H28" s="130" t="s">
        <v>17433</v>
      </c>
      <c r="I28" s="115" t="s">
        <v>411</v>
      </c>
      <c r="J28" s="154" t="s">
        <v>412</v>
      </c>
      <c r="K28" s="47" t="s">
        <v>17434</v>
      </c>
      <c r="L28" s="47" t="s">
        <v>17435</v>
      </c>
      <c r="M28" s="47" t="s">
        <v>338</v>
      </c>
    </row>
    <row r="29" spans="1:13" ht="14.25" customHeight="1">
      <c r="A29" s="113">
        <v>4</v>
      </c>
      <c r="B29" s="47"/>
      <c r="C29" s="130" t="s">
        <v>2842</v>
      </c>
      <c r="D29" s="130" t="s">
        <v>2843</v>
      </c>
      <c r="E29" s="130" t="s">
        <v>2844</v>
      </c>
      <c r="F29" s="130" t="s">
        <v>65</v>
      </c>
      <c r="G29" s="130" t="s">
        <v>2845</v>
      </c>
      <c r="H29" s="130" t="s">
        <v>17436</v>
      </c>
      <c r="I29" s="115" t="s">
        <v>837</v>
      </c>
      <c r="J29" s="130" t="s">
        <v>2846</v>
      </c>
      <c r="K29" s="47" t="s">
        <v>17437</v>
      </c>
      <c r="L29" s="47" t="s">
        <v>17438</v>
      </c>
      <c r="M29" s="47" t="s">
        <v>348</v>
      </c>
    </row>
    <row r="30" spans="1:13" ht="14.25" customHeight="1">
      <c r="A30" s="113">
        <v>5</v>
      </c>
      <c r="B30" s="47"/>
      <c r="C30" s="130" t="s">
        <v>317</v>
      </c>
      <c r="D30" s="130" t="s">
        <v>318</v>
      </c>
      <c r="E30" s="130" t="s">
        <v>319</v>
      </c>
      <c r="F30" s="130" t="s">
        <v>320</v>
      </c>
      <c r="G30" s="130" t="s">
        <v>321</v>
      </c>
      <c r="H30" s="130" t="s">
        <v>17439</v>
      </c>
      <c r="I30" s="115" t="s">
        <v>323</v>
      </c>
      <c r="J30" s="130" t="s">
        <v>324</v>
      </c>
      <c r="K30" s="47" t="s">
        <v>17440</v>
      </c>
      <c r="L30" s="47" t="s">
        <v>17441</v>
      </c>
      <c r="M30" s="47" t="s">
        <v>358</v>
      </c>
    </row>
    <row r="31" spans="1:13" ht="14.25" customHeight="1">
      <c r="A31" s="113">
        <v>6</v>
      </c>
      <c r="B31" s="47"/>
      <c r="C31" s="130" t="s">
        <v>376</v>
      </c>
      <c r="D31" s="130" t="s">
        <v>377</v>
      </c>
      <c r="E31" s="130" t="s">
        <v>378</v>
      </c>
      <c r="F31" s="130" t="s">
        <v>42</v>
      </c>
      <c r="G31" s="130" t="s">
        <v>379</v>
      </c>
      <c r="H31" s="130" t="s">
        <v>17442</v>
      </c>
      <c r="I31" s="115" t="s">
        <v>381</v>
      </c>
      <c r="J31" s="130" t="s">
        <v>382</v>
      </c>
      <c r="K31" s="47" t="s">
        <v>17443</v>
      </c>
      <c r="L31" s="47" t="s">
        <v>17444</v>
      </c>
      <c r="M31" s="47" t="s">
        <v>368</v>
      </c>
    </row>
    <row r="32" spans="1:13" ht="14.25" customHeight="1">
      <c r="A32" s="113">
        <v>7</v>
      </c>
      <c r="B32" s="47"/>
      <c r="C32" s="130" t="s">
        <v>396</v>
      </c>
      <c r="D32" s="130" t="s">
        <v>397</v>
      </c>
      <c r="E32" s="130" t="s">
        <v>398</v>
      </c>
      <c r="F32" s="130" t="s">
        <v>42</v>
      </c>
      <c r="G32" s="130" t="s">
        <v>399</v>
      </c>
      <c r="H32" s="130" t="s">
        <v>17445</v>
      </c>
      <c r="I32" s="115" t="s">
        <v>401</v>
      </c>
      <c r="J32" s="130" t="s">
        <v>402</v>
      </c>
      <c r="K32" s="47" t="s">
        <v>17446</v>
      </c>
      <c r="L32" s="47" t="s">
        <v>17447</v>
      </c>
      <c r="M32" s="47" t="s">
        <v>375</v>
      </c>
    </row>
    <row r="33" spans="1:13" ht="14.25" customHeight="1">
      <c r="A33" s="113">
        <v>8</v>
      </c>
      <c r="B33" s="47"/>
      <c r="C33" s="130" t="s">
        <v>581</v>
      </c>
      <c r="D33" s="130" t="s">
        <v>582</v>
      </c>
      <c r="E33" s="130" t="s">
        <v>583</v>
      </c>
      <c r="F33" s="130" t="s">
        <v>320</v>
      </c>
      <c r="G33" s="130" t="s">
        <v>584</v>
      </c>
      <c r="H33" s="130" t="s">
        <v>17448</v>
      </c>
      <c r="I33" s="115" t="s">
        <v>586</v>
      </c>
      <c r="J33" s="130" t="s">
        <v>587</v>
      </c>
      <c r="K33" s="47" t="s">
        <v>17449</v>
      </c>
      <c r="L33" s="47" t="s">
        <v>17450</v>
      </c>
      <c r="M33" s="47" t="s">
        <v>385</v>
      </c>
    </row>
    <row r="34" spans="1:13" ht="14.25" customHeight="1">
      <c r="A34" s="146">
        <v>1</v>
      </c>
      <c r="B34" s="88"/>
      <c r="C34" s="148" t="s">
        <v>721</v>
      </c>
      <c r="D34" s="148" t="s">
        <v>722</v>
      </c>
      <c r="E34" s="148" t="s">
        <v>723</v>
      </c>
      <c r="F34" s="148" t="s">
        <v>65</v>
      </c>
      <c r="G34" s="148" t="s">
        <v>724</v>
      </c>
      <c r="H34" s="148" t="s">
        <v>17451</v>
      </c>
      <c r="I34" s="157" t="s">
        <v>726</v>
      </c>
      <c r="J34" s="203" t="s">
        <v>727</v>
      </c>
      <c r="K34" s="88" t="s">
        <v>17452</v>
      </c>
      <c r="L34" s="88" t="s">
        <v>17453</v>
      </c>
      <c r="M34" s="88" t="s">
        <v>548</v>
      </c>
    </row>
    <row r="35" spans="1:13" ht="14.25" customHeight="1">
      <c r="A35" s="113">
        <v>2</v>
      </c>
      <c r="B35" s="47"/>
      <c r="C35" s="130" t="s">
        <v>611</v>
      </c>
      <c r="D35" s="130" t="s">
        <v>612</v>
      </c>
      <c r="E35" s="130" t="s">
        <v>613</v>
      </c>
      <c r="F35" s="130" t="s">
        <v>42</v>
      </c>
      <c r="G35" s="130" t="s">
        <v>614</v>
      </c>
      <c r="H35" s="130" t="s">
        <v>17454</v>
      </c>
      <c r="I35" s="115" t="s">
        <v>616</v>
      </c>
      <c r="J35" s="154" t="s">
        <v>617</v>
      </c>
      <c r="K35" s="47" t="s">
        <v>17455</v>
      </c>
      <c r="L35" s="47" t="s">
        <v>17456</v>
      </c>
      <c r="M35" s="47" t="s">
        <v>558</v>
      </c>
    </row>
    <row r="36" spans="1:13" ht="14.25" customHeight="1">
      <c r="A36" s="113">
        <v>3</v>
      </c>
      <c r="B36" s="47"/>
      <c r="C36" s="130" t="s">
        <v>731</v>
      </c>
      <c r="D36" s="130" t="s">
        <v>732</v>
      </c>
      <c r="E36" s="130" t="s">
        <v>733</v>
      </c>
      <c r="F36" s="130" t="s">
        <v>734</v>
      </c>
      <c r="G36" s="130" t="s">
        <v>735</v>
      </c>
      <c r="H36" s="130" t="s">
        <v>17457</v>
      </c>
      <c r="I36" s="115" t="s">
        <v>737</v>
      </c>
      <c r="J36" s="154" t="s">
        <v>738</v>
      </c>
      <c r="K36" s="47" t="s">
        <v>17458</v>
      </c>
      <c r="L36" s="47" t="s">
        <v>17459</v>
      </c>
      <c r="M36" s="47" t="s">
        <v>570</v>
      </c>
    </row>
    <row r="37" spans="1:13" ht="14.25" customHeight="1">
      <c r="A37" s="113">
        <v>4</v>
      </c>
      <c r="B37" s="47"/>
      <c r="C37" s="130" t="s">
        <v>742</v>
      </c>
      <c r="D37" s="130" t="s">
        <v>743</v>
      </c>
      <c r="E37" s="130" t="s">
        <v>744</v>
      </c>
      <c r="F37" s="130" t="s">
        <v>54</v>
      </c>
      <c r="G37" s="130" t="s">
        <v>745</v>
      </c>
      <c r="H37" s="130" t="s">
        <v>17460</v>
      </c>
      <c r="I37" s="115" t="s">
        <v>747</v>
      </c>
      <c r="J37" s="130" t="s">
        <v>748</v>
      </c>
      <c r="K37" s="47" t="s">
        <v>17461</v>
      </c>
      <c r="L37" s="47" t="s">
        <v>17462</v>
      </c>
      <c r="M37" s="47" t="s">
        <v>580</v>
      </c>
    </row>
    <row r="38" spans="1:13" ht="14.25" customHeight="1">
      <c r="A38" s="113">
        <v>5</v>
      </c>
      <c r="B38" s="47"/>
      <c r="C38" s="130" t="s">
        <v>621</v>
      </c>
      <c r="D38" s="130" t="s">
        <v>622</v>
      </c>
      <c r="E38" s="130" t="s">
        <v>623</v>
      </c>
      <c r="F38" s="130" t="s">
        <v>5791</v>
      </c>
      <c r="G38" s="130" t="s">
        <v>17463</v>
      </c>
      <c r="H38" s="130" t="s">
        <v>17464</v>
      </c>
      <c r="I38" s="115" t="s">
        <v>626</v>
      </c>
      <c r="J38" s="154" t="s">
        <v>627</v>
      </c>
      <c r="K38" s="47" t="s">
        <v>17465</v>
      </c>
      <c r="L38" s="47" t="s">
        <v>17466</v>
      </c>
      <c r="M38" s="47" t="s">
        <v>590</v>
      </c>
    </row>
    <row r="39" spans="1:13" ht="14.25" customHeight="1">
      <c r="A39" s="113">
        <v>6</v>
      </c>
      <c r="B39" s="47"/>
      <c r="C39" s="130" t="s">
        <v>17467</v>
      </c>
      <c r="D39" s="130" t="s">
        <v>17468</v>
      </c>
      <c r="E39" s="130" t="s">
        <v>17469</v>
      </c>
      <c r="F39" s="130" t="s">
        <v>65</v>
      </c>
      <c r="G39" s="130" t="s">
        <v>695</v>
      </c>
      <c r="H39" s="130" t="s">
        <v>17470</v>
      </c>
      <c r="I39" s="115" t="s">
        <v>17471</v>
      </c>
      <c r="J39" s="154" t="s">
        <v>17472</v>
      </c>
      <c r="K39" s="47" t="s">
        <v>17473</v>
      </c>
      <c r="L39" s="47" t="s">
        <v>17474</v>
      </c>
      <c r="M39" s="47" t="s">
        <v>600</v>
      </c>
    </row>
    <row r="40" spans="1:13" ht="14.25" customHeight="1">
      <c r="A40" s="113">
        <v>7</v>
      </c>
      <c r="B40" s="47"/>
      <c r="C40" s="130" t="s">
        <v>601</v>
      </c>
      <c r="D40" s="130" t="s">
        <v>602</v>
      </c>
      <c r="E40" s="130" t="s">
        <v>603</v>
      </c>
      <c r="F40" s="130" t="s">
        <v>65</v>
      </c>
      <c r="G40" s="130" t="s">
        <v>604</v>
      </c>
      <c r="H40" s="130" t="s">
        <v>17475</v>
      </c>
      <c r="I40" s="115" t="s">
        <v>606</v>
      </c>
      <c r="J40" s="154" t="s">
        <v>607</v>
      </c>
      <c r="K40" s="47" t="s">
        <v>17476</v>
      </c>
      <c r="L40" s="47" t="s">
        <v>17477</v>
      </c>
      <c r="M40" s="47" t="s">
        <v>610</v>
      </c>
    </row>
    <row r="41" spans="1:13" ht="14.25" customHeight="1">
      <c r="A41" s="113">
        <v>8</v>
      </c>
      <c r="B41" s="47"/>
      <c r="C41" s="130" t="s">
        <v>702</v>
      </c>
      <c r="D41" s="130" t="s">
        <v>703</v>
      </c>
      <c r="E41" s="130" t="s">
        <v>704</v>
      </c>
      <c r="F41" s="130" t="s">
        <v>65</v>
      </c>
      <c r="G41" s="130" t="s">
        <v>705</v>
      </c>
      <c r="H41" s="130" t="s">
        <v>17478</v>
      </c>
      <c r="I41" s="115" t="s">
        <v>707</v>
      </c>
      <c r="J41" s="154" t="s">
        <v>708</v>
      </c>
      <c r="K41" s="47" t="s">
        <v>17479</v>
      </c>
      <c r="L41" s="47" t="s">
        <v>17480</v>
      </c>
      <c r="M41" s="47" t="s">
        <v>620</v>
      </c>
    </row>
    <row r="42" spans="1:13" ht="14.25" customHeight="1">
      <c r="A42" s="113">
        <v>9</v>
      </c>
      <c r="B42" s="47"/>
      <c r="C42" s="130" t="s">
        <v>539</v>
      </c>
      <c r="D42" s="130" t="s">
        <v>540</v>
      </c>
      <c r="E42" s="130" t="s">
        <v>541</v>
      </c>
      <c r="F42" s="130" t="s">
        <v>117</v>
      </c>
      <c r="G42" s="130" t="s">
        <v>542</v>
      </c>
      <c r="H42" s="130" t="s">
        <v>17481</v>
      </c>
      <c r="I42" s="115" t="s">
        <v>544</v>
      </c>
      <c r="J42" s="130" t="s">
        <v>545</v>
      </c>
      <c r="K42" s="47" t="s">
        <v>17482</v>
      </c>
      <c r="L42" s="47" t="s">
        <v>17483</v>
      </c>
      <c r="M42" s="47" t="s">
        <v>630</v>
      </c>
    </row>
    <row r="43" spans="1:13" ht="14.25" customHeight="1">
      <c r="A43" s="113">
        <v>10</v>
      </c>
      <c r="B43" s="47"/>
      <c r="C43" s="130" t="s">
        <v>2338</v>
      </c>
      <c r="D43" s="130" t="s">
        <v>2339</v>
      </c>
      <c r="E43" s="130" t="s">
        <v>2340</v>
      </c>
      <c r="F43" s="130" t="s">
        <v>320</v>
      </c>
      <c r="G43" s="130" t="s">
        <v>2341</v>
      </c>
      <c r="H43" s="130" t="s">
        <v>17484</v>
      </c>
      <c r="I43" s="115" t="s">
        <v>2343</v>
      </c>
      <c r="J43" s="130" t="s">
        <v>2344</v>
      </c>
      <c r="K43" s="47" t="s">
        <v>17485</v>
      </c>
      <c r="L43" s="47" t="s">
        <v>17486</v>
      </c>
      <c r="M43" s="47" t="s">
        <v>640</v>
      </c>
    </row>
    <row r="44" spans="1:13" ht="14.25" customHeight="1">
      <c r="A44" s="146">
        <v>1</v>
      </c>
      <c r="B44" s="88"/>
      <c r="C44" s="148" t="s">
        <v>832</v>
      </c>
      <c r="D44" s="148" t="s">
        <v>833</v>
      </c>
      <c r="E44" s="148" t="s">
        <v>834</v>
      </c>
      <c r="F44" s="148" t="s">
        <v>117</v>
      </c>
      <c r="G44" s="148" t="s">
        <v>835</v>
      </c>
      <c r="H44" s="148" t="s">
        <v>17487</v>
      </c>
      <c r="I44" s="157" t="s">
        <v>837</v>
      </c>
      <c r="J44" s="148" t="s">
        <v>838</v>
      </c>
      <c r="K44" s="88" t="s">
        <v>17488</v>
      </c>
      <c r="L44" s="88" t="s">
        <v>17489</v>
      </c>
      <c r="M44" s="88" t="s">
        <v>761</v>
      </c>
    </row>
    <row r="45" spans="1:13" ht="14.25" customHeight="1">
      <c r="A45" s="113">
        <v>2</v>
      </c>
      <c r="B45" s="47"/>
      <c r="C45" s="130" t="s">
        <v>2267</v>
      </c>
      <c r="D45" s="130" t="s">
        <v>2268</v>
      </c>
      <c r="E45" s="130" t="s">
        <v>2269</v>
      </c>
      <c r="F45" s="130" t="s">
        <v>117</v>
      </c>
      <c r="G45" s="130" t="s">
        <v>2270</v>
      </c>
      <c r="H45" s="130" t="s">
        <v>17490</v>
      </c>
      <c r="I45" s="115" t="s">
        <v>2272</v>
      </c>
      <c r="J45" s="130" t="s">
        <v>2273</v>
      </c>
      <c r="K45" s="47" t="s">
        <v>17491</v>
      </c>
      <c r="L45" s="47" t="s">
        <v>17492</v>
      </c>
      <c r="M45" s="47" t="s">
        <v>771</v>
      </c>
    </row>
    <row r="46" spans="1:13" ht="14.25" customHeight="1">
      <c r="A46" s="113">
        <v>3</v>
      </c>
      <c r="B46" s="47"/>
      <c r="C46" s="130" t="s">
        <v>2135</v>
      </c>
      <c r="D46" s="130" t="s">
        <v>2136</v>
      </c>
      <c r="E46" s="130" t="s">
        <v>2137</v>
      </c>
      <c r="F46" s="130" t="s">
        <v>117</v>
      </c>
      <c r="G46" s="130" t="s">
        <v>2138</v>
      </c>
      <c r="H46" s="130" t="s">
        <v>17493</v>
      </c>
      <c r="I46" s="115" t="s">
        <v>2140</v>
      </c>
      <c r="J46" s="130" t="s">
        <v>2141</v>
      </c>
      <c r="K46" s="47" t="s">
        <v>17494</v>
      </c>
      <c r="L46" s="47" t="s">
        <v>17495</v>
      </c>
      <c r="M46" s="47" t="s">
        <v>782</v>
      </c>
    </row>
    <row r="47" spans="1:13" ht="14.25" customHeight="1">
      <c r="A47" s="113">
        <v>4</v>
      </c>
      <c r="B47" s="47"/>
      <c r="C47" s="130" t="s">
        <v>2762</v>
      </c>
      <c r="D47" s="130" t="s">
        <v>2763</v>
      </c>
      <c r="E47" s="130" t="s">
        <v>2764</v>
      </c>
      <c r="F47" s="130" t="s">
        <v>117</v>
      </c>
      <c r="G47" s="130" t="s">
        <v>2765</v>
      </c>
      <c r="H47" s="130" t="s">
        <v>17496</v>
      </c>
      <c r="I47" s="115" t="s">
        <v>2767</v>
      </c>
      <c r="J47" s="130" t="s">
        <v>2768</v>
      </c>
      <c r="K47" s="47" t="s">
        <v>17497</v>
      </c>
      <c r="L47" s="47" t="s">
        <v>17498</v>
      </c>
      <c r="M47" s="47" t="s">
        <v>792</v>
      </c>
    </row>
    <row r="48" spans="1:13" ht="14.25" customHeight="1">
      <c r="A48" s="113">
        <v>5</v>
      </c>
      <c r="B48" s="47"/>
      <c r="C48" s="130" t="s">
        <v>2850</v>
      </c>
      <c r="D48" s="130" t="s">
        <v>2851</v>
      </c>
      <c r="E48" s="130" t="s">
        <v>2852</v>
      </c>
      <c r="F48" s="130" t="s">
        <v>65</v>
      </c>
      <c r="G48" s="130" t="s">
        <v>2853</v>
      </c>
      <c r="H48" s="130" t="s">
        <v>17499</v>
      </c>
      <c r="I48" s="115" t="s">
        <v>2855</v>
      </c>
      <c r="J48" s="130" t="s">
        <v>2856</v>
      </c>
      <c r="K48" s="47" t="s">
        <v>17500</v>
      </c>
      <c r="L48" s="47" t="s">
        <v>17501</v>
      </c>
      <c r="M48" s="47" t="s">
        <v>802</v>
      </c>
    </row>
    <row r="49" spans="1:13" ht="14.25" customHeight="1">
      <c r="A49" s="113">
        <v>6</v>
      </c>
      <c r="B49" s="47"/>
      <c r="C49" s="130" t="s">
        <v>2832</v>
      </c>
      <c r="D49" s="130" t="s">
        <v>2833</v>
      </c>
      <c r="E49" s="130" t="s">
        <v>2834</v>
      </c>
      <c r="F49" s="130" t="s">
        <v>65</v>
      </c>
      <c r="G49" s="130" t="s">
        <v>2835</v>
      </c>
      <c r="H49" s="130" t="s">
        <v>17502</v>
      </c>
      <c r="I49" s="115" t="s">
        <v>2837</v>
      </c>
      <c r="J49" s="130" t="s">
        <v>2838</v>
      </c>
      <c r="K49" s="47" t="s">
        <v>17503</v>
      </c>
      <c r="L49" s="47" t="s">
        <v>17504</v>
      </c>
      <c r="M49" s="47" t="s">
        <v>812</v>
      </c>
    </row>
    <row r="50" spans="1:13" ht="14.25" customHeight="1">
      <c r="A50" s="113">
        <v>7</v>
      </c>
      <c r="B50" s="47"/>
      <c r="C50" s="130" t="s">
        <v>852</v>
      </c>
      <c r="D50" s="130" t="s">
        <v>853</v>
      </c>
      <c r="E50" s="130" t="s">
        <v>854</v>
      </c>
      <c r="F50" s="130" t="s">
        <v>117</v>
      </c>
      <c r="G50" s="130" t="s">
        <v>855</v>
      </c>
      <c r="H50" s="130" t="s">
        <v>17505</v>
      </c>
      <c r="I50" s="115" t="s">
        <v>857</v>
      </c>
      <c r="J50" s="130" t="s">
        <v>858</v>
      </c>
      <c r="K50" s="47" t="s">
        <v>17506</v>
      </c>
      <c r="L50" s="47" t="s">
        <v>17507</v>
      </c>
      <c r="M50" s="47" t="s">
        <v>821</v>
      </c>
    </row>
    <row r="51" spans="1:13" ht="14.25" customHeight="1">
      <c r="A51" s="113">
        <v>8</v>
      </c>
      <c r="B51" s="47"/>
      <c r="C51" s="130" t="s">
        <v>893</v>
      </c>
      <c r="D51" s="130" t="s">
        <v>894</v>
      </c>
      <c r="E51" s="130" t="s">
        <v>895</v>
      </c>
      <c r="F51" s="130" t="s">
        <v>65</v>
      </c>
      <c r="G51" s="130" t="s">
        <v>17508</v>
      </c>
      <c r="H51" s="130" t="s">
        <v>17509</v>
      </c>
      <c r="I51" s="115" t="s">
        <v>898</v>
      </c>
      <c r="J51" s="130" t="s">
        <v>899</v>
      </c>
      <c r="K51" s="47" t="s">
        <v>17510</v>
      </c>
      <c r="L51" s="47" t="s">
        <v>17511</v>
      </c>
      <c r="M51" s="47" t="s">
        <v>831</v>
      </c>
    </row>
    <row r="52" spans="1:13" ht="14.25" customHeight="1">
      <c r="A52" s="113">
        <v>9</v>
      </c>
      <c r="B52" s="47"/>
      <c r="C52" s="130" t="s">
        <v>1129</v>
      </c>
      <c r="D52" s="130" t="s">
        <v>1130</v>
      </c>
      <c r="E52" s="130" t="s">
        <v>1131</v>
      </c>
      <c r="F52" s="130" t="s">
        <v>54</v>
      </c>
      <c r="G52" s="130" t="s">
        <v>1132</v>
      </c>
      <c r="H52" s="130" t="s">
        <v>17512</v>
      </c>
      <c r="I52" s="115" t="s">
        <v>1134</v>
      </c>
      <c r="J52" s="130" t="s">
        <v>1135</v>
      </c>
      <c r="K52" s="47" t="s">
        <v>17513</v>
      </c>
      <c r="L52" s="47" t="s">
        <v>17514</v>
      </c>
      <c r="M52" s="47" t="s">
        <v>841</v>
      </c>
    </row>
    <row r="53" spans="1:13" ht="14.25" customHeight="1">
      <c r="A53" s="113">
        <v>10</v>
      </c>
      <c r="B53" s="47"/>
      <c r="C53" s="130" t="s">
        <v>641</v>
      </c>
      <c r="D53" s="130" t="s">
        <v>642</v>
      </c>
      <c r="E53" s="130" t="s">
        <v>643</v>
      </c>
      <c r="F53" s="130" t="s">
        <v>65</v>
      </c>
      <c r="G53" s="130" t="s">
        <v>644</v>
      </c>
      <c r="H53" s="130" t="s">
        <v>17515</v>
      </c>
      <c r="I53" s="115" t="s">
        <v>646</v>
      </c>
      <c r="J53" s="130" t="s">
        <v>647</v>
      </c>
      <c r="K53" s="47" t="s">
        <v>17516</v>
      </c>
      <c r="L53" s="47" t="s">
        <v>17517</v>
      </c>
      <c r="M53" s="47" t="s">
        <v>851</v>
      </c>
    </row>
    <row r="54" spans="1:13" ht="14.25" customHeight="1">
      <c r="A54" s="113">
        <v>11</v>
      </c>
      <c r="B54" s="47"/>
      <c r="C54" s="130" t="s">
        <v>267</v>
      </c>
      <c r="D54" s="130" t="s">
        <v>268</v>
      </c>
      <c r="E54" s="130" t="s">
        <v>269</v>
      </c>
      <c r="F54" s="130" t="s">
        <v>219</v>
      </c>
      <c r="G54" s="130" t="s">
        <v>270</v>
      </c>
      <c r="H54" s="130" t="s">
        <v>17518</v>
      </c>
      <c r="I54" s="115" t="s">
        <v>272</v>
      </c>
      <c r="J54" s="130" t="s">
        <v>273</v>
      </c>
      <c r="K54" s="47" t="s">
        <v>17519</v>
      </c>
      <c r="L54" s="47" t="s">
        <v>17520</v>
      </c>
      <c r="M54" s="47" t="s">
        <v>861</v>
      </c>
    </row>
    <row r="55" spans="1:13" ht="14.25" customHeight="1">
      <c r="A55" s="113">
        <v>12</v>
      </c>
      <c r="B55" s="47"/>
      <c r="C55" s="130" t="s">
        <v>1149</v>
      </c>
      <c r="D55" s="130" t="s">
        <v>1150</v>
      </c>
      <c r="E55" s="130" t="s">
        <v>1151</v>
      </c>
      <c r="F55" s="130" t="s">
        <v>42</v>
      </c>
      <c r="G55" s="130" t="s">
        <v>1152</v>
      </c>
      <c r="H55" s="130" t="s">
        <v>17521</v>
      </c>
      <c r="I55" s="115" t="s">
        <v>1154</v>
      </c>
      <c r="J55" s="130" t="s">
        <v>1155</v>
      </c>
      <c r="K55" s="47" t="s">
        <v>17522</v>
      </c>
      <c r="L55" s="47" t="s">
        <v>17523</v>
      </c>
      <c r="M55" s="47" t="s">
        <v>871</v>
      </c>
    </row>
    <row r="56" spans="1:13" ht="14.25" customHeight="1">
      <c r="A56" s="113">
        <v>13</v>
      </c>
      <c r="B56" s="47"/>
      <c r="C56" s="104" t="s">
        <v>2927</v>
      </c>
      <c r="D56" s="104" t="s">
        <v>2928</v>
      </c>
      <c r="E56" s="204" t="s">
        <v>2929</v>
      </c>
      <c r="F56" s="130" t="s">
        <v>17384</v>
      </c>
      <c r="G56" s="104" t="s">
        <v>2930</v>
      </c>
      <c r="H56" s="104" t="s">
        <v>17524</v>
      </c>
      <c r="I56" s="115" t="s">
        <v>2932</v>
      </c>
      <c r="J56" s="104" t="s">
        <v>2933</v>
      </c>
      <c r="K56" s="47" t="s">
        <v>17525</v>
      </c>
      <c r="L56" s="47" t="s">
        <v>17526</v>
      </c>
      <c r="M56" s="47" t="s">
        <v>881</v>
      </c>
    </row>
    <row r="57" spans="1:13" ht="14.25" customHeight="1">
      <c r="A57" s="113">
        <v>14</v>
      </c>
      <c r="B57" s="47"/>
      <c r="C57" s="104" t="s">
        <v>2937</v>
      </c>
      <c r="D57" s="104" t="s">
        <v>2938</v>
      </c>
      <c r="E57" s="204" t="s">
        <v>2929</v>
      </c>
      <c r="F57" s="130" t="s">
        <v>17384</v>
      </c>
      <c r="G57" s="104" t="s">
        <v>2939</v>
      </c>
      <c r="H57" s="104" t="s">
        <v>17527</v>
      </c>
      <c r="I57" s="115" t="s">
        <v>2941</v>
      </c>
      <c r="J57" s="104" t="s">
        <v>2942</v>
      </c>
      <c r="K57" s="47" t="s">
        <v>17528</v>
      </c>
      <c r="L57" s="47" t="s">
        <v>17529</v>
      </c>
      <c r="M57" s="47" t="s">
        <v>892</v>
      </c>
    </row>
    <row r="58" spans="1:13" ht="14.25" customHeight="1">
      <c r="A58" s="146">
        <v>1</v>
      </c>
      <c r="B58" s="88"/>
      <c r="C58" s="148" t="s">
        <v>1696</v>
      </c>
      <c r="D58" s="148" t="s">
        <v>1697</v>
      </c>
      <c r="E58" s="148" t="s">
        <v>1698</v>
      </c>
      <c r="F58" s="148" t="s">
        <v>65</v>
      </c>
      <c r="G58" s="148" t="s">
        <v>1699</v>
      </c>
      <c r="H58" s="148" t="s">
        <v>17530</v>
      </c>
      <c r="I58" s="157" t="s">
        <v>1701</v>
      </c>
      <c r="J58" s="148" t="s">
        <v>1702</v>
      </c>
      <c r="K58" s="88" t="s">
        <v>17531</v>
      </c>
      <c r="L58" s="88" t="s">
        <v>17532</v>
      </c>
      <c r="M58" s="88" t="s">
        <v>981</v>
      </c>
    </row>
    <row r="59" spans="1:13" ht="14.25" customHeight="1">
      <c r="A59" s="113">
        <v>2</v>
      </c>
      <c r="B59" s="47"/>
      <c r="C59" s="130" t="s">
        <v>1522</v>
      </c>
      <c r="D59" s="130" t="s">
        <v>1523</v>
      </c>
      <c r="E59" s="130" t="s">
        <v>1524</v>
      </c>
      <c r="F59" s="130" t="s">
        <v>65</v>
      </c>
      <c r="G59" s="130" t="s">
        <v>1525</v>
      </c>
      <c r="H59" s="130" t="s">
        <v>17533</v>
      </c>
      <c r="I59" s="115" t="s">
        <v>1527</v>
      </c>
      <c r="J59" s="130" t="s">
        <v>1528</v>
      </c>
      <c r="K59" s="47" t="s">
        <v>17534</v>
      </c>
      <c r="L59" s="47" t="s">
        <v>17535</v>
      </c>
      <c r="M59" s="47" t="s">
        <v>991</v>
      </c>
    </row>
    <row r="60" spans="1:13" ht="14.25" customHeight="1">
      <c r="A60" s="113">
        <v>3</v>
      </c>
      <c r="B60" s="47"/>
      <c r="C60" s="130" t="s">
        <v>1280</v>
      </c>
      <c r="D60" s="130" t="s">
        <v>1281</v>
      </c>
      <c r="E60" s="130" t="s">
        <v>1282</v>
      </c>
      <c r="F60" s="130" t="s">
        <v>117</v>
      </c>
      <c r="G60" s="130" t="s">
        <v>1283</v>
      </c>
      <c r="H60" s="130" t="s">
        <v>17536</v>
      </c>
      <c r="I60" s="115" t="s">
        <v>1285</v>
      </c>
      <c r="J60" s="154" t="s">
        <v>1286</v>
      </c>
      <c r="K60" s="47" t="s">
        <v>17537</v>
      </c>
      <c r="L60" s="47" t="s">
        <v>17538</v>
      </c>
      <c r="M60" s="47" t="s">
        <v>995</v>
      </c>
    </row>
    <row r="61" spans="1:13" ht="14.25" customHeight="1">
      <c r="A61" s="113">
        <v>4</v>
      </c>
      <c r="B61" s="47"/>
      <c r="C61" s="130" t="s">
        <v>2601</v>
      </c>
      <c r="D61" s="130" t="s">
        <v>2602</v>
      </c>
      <c r="E61" s="130" t="s">
        <v>2603</v>
      </c>
      <c r="F61" s="130" t="s">
        <v>117</v>
      </c>
      <c r="G61" s="130" t="s">
        <v>2604</v>
      </c>
      <c r="H61" s="130" t="s">
        <v>17539</v>
      </c>
      <c r="I61" s="115" t="s">
        <v>2606</v>
      </c>
      <c r="J61" s="130" t="s">
        <v>2607</v>
      </c>
      <c r="K61" s="47" t="s">
        <v>17540</v>
      </c>
      <c r="L61" s="47" t="s">
        <v>17541</v>
      </c>
      <c r="M61" s="47" t="s">
        <v>1005</v>
      </c>
    </row>
    <row r="62" spans="1:13" ht="14.25" customHeight="1">
      <c r="A62" s="113">
        <v>5</v>
      </c>
      <c r="B62" s="47"/>
      <c r="C62" s="130" t="s">
        <v>2254</v>
      </c>
      <c r="D62" s="130" t="s">
        <v>2255</v>
      </c>
      <c r="E62" s="130" t="s">
        <v>2256</v>
      </c>
      <c r="F62" s="130" t="s">
        <v>117</v>
      </c>
      <c r="G62" s="130" t="s">
        <v>2257</v>
      </c>
      <c r="H62" s="130" t="s">
        <v>17542</v>
      </c>
      <c r="I62" s="115" t="s">
        <v>2259</v>
      </c>
      <c r="J62" s="130" t="s">
        <v>2260</v>
      </c>
      <c r="K62" s="47" t="s">
        <v>17543</v>
      </c>
      <c r="L62" s="47" t="s">
        <v>17544</v>
      </c>
      <c r="M62" s="47" t="s">
        <v>1015</v>
      </c>
    </row>
    <row r="63" spans="1:13" ht="14.25" customHeight="1">
      <c r="A63" s="113">
        <v>6</v>
      </c>
      <c r="B63" s="47"/>
      <c r="C63" s="130" t="s">
        <v>752</v>
      </c>
      <c r="D63" s="130" t="s">
        <v>753</v>
      </c>
      <c r="E63" s="130" t="s">
        <v>754</v>
      </c>
      <c r="F63" s="130" t="s">
        <v>65</v>
      </c>
      <c r="G63" s="130" t="s">
        <v>755</v>
      </c>
      <c r="H63" s="130" t="s">
        <v>17545</v>
      </c>
      <c r="I63" s="115" t="s">
        <v>757</v>
      </c>
      <c r="J63" s="130" t="s">
        <v>758</v>
      </c>
      <c r="K63" s="47" t="s">
        <v>17546</v>
      </c>
      <c r="L63" s="47" t="s">
        <v>17547</v>
      </c>
      <c r="M63" s="47" t="s">
        <v>1025</v>
      </c>
    </row>
    <row r="64" spans="1:13" ht="14.25" customHeight="1">
      <c r="A64" s="113">
        <v>7</v>
      </c>
      <c r="B64" s="47"/>
      <c r="C64" s="130" t="s">
        <v>996</v>
      </c>
      <c r="D64" s="130" t="s">
        <v>997</v>
      </c>
      <c r="E64" s="130" t="s">
        <v>998</v>
      </c>
      <c r="F64" s="130" t="s">
        <v>65</v>
      </c>
      <c r="G64" s="130" t="s">
        <v>999</v>
      </c>
      <c r="H64" s="130" t="s">
        <v>17548</v>
      </c>
      <c r="I64" s="115" t="s">
        <v>1001</v>
      </c>
      <c r="J64" s="130" t="s">
        <v>1002</v>
      </c>
      <c r="K64" s="47" t="s">
        <v>17549</v>
      </c>
      <c r="L64" s="47" t="s">
        <v>17550</v>
      </c>
      <c r="M64" s="47" t="s">
        <v>1028</v>
      </c>
    </row>
    <row r="65" spans="1:13" ht="14.25" customHeight="1">
      <c r="A65" s="113">
        <v>8</v>
      </c>
      <c r="B65" s="47"/>
      <c r="C65" s="104" t="s">
        <v>2244</v>
      </c>
      <c r="D65" s="104" t="s">
        <v>2245</v>
      </c>
      <c r="E65" s="104" t="s">
        <v>2246</v>
      </c>
      <c r="F65" s="104" t="s">
        <v>65</v>
      </c>
      <c r="G65" s="104" t="s">
        <v>2247</v>
      </c>
      <c r="H65" s="130" t="s">
        <v>17551</v>
      </c>
      <c r="I65" s="115" t="s">
        <v>2249</v>
      </c>
      <c r="J65" s="130" t="s">
        <v>2250</v>
      </c>
      <c r="K65" s="47" t="s">
        <v>17552</v>
      </c>
      <c r="L65" s="47" t="s">
        <v>17553</v>
      </c>
      <c r="M65" s="47" t="s">
        <v>1038</v>
      </c>
    </row>
    <row r="66" spans="1:13" ht="14.25" customHeight="1">
      <c r="A66" s="113">
        <v>9</v>
      </c>
      <c r="B66" s="47"/>
      <c r="C66" s="130" t="s">
        <v>793</v>
      </c>
      <c r="D66" s="130" t="s">
        <v>794</v>
      </c>
      <c r="E66" s="130" t="s">
        <v>795</v>
      </c>
      <c r="F66" s="130" t="s">
        <v>65</v>
      </c>
      <c r="G66" s="130" t="s">
        <v>796</v>
      </c>
      <c r="H66" s="130" t="s">
        <v>17554</v>
      </c>
      <c r="I66" s="115" t="s">
        <v>798</v>
      </c>
      <c r="J66" s="154" t="s">
        <v>799</v>
      </c>
      <c r="K66" s="47" t="s">
        <v>17555</v>
      </c>
      <c r="L66" s="47" t="s">
        <v>17556</v>
      </c>
      <c r="M66" s="47" t="s">
        <v>1048</v>
      </c>
    </row>
    <row r="67" spans="1:13" ht="14.25" customHeight="1">
      <c r="A67" s="113">
        <v>10</v>
      </c>
      <c r="B67" s="47"/>
      <c r="C67" s="104" t="s">
        <v>773</v>
      </c>
      <c r="D67" s="104" t="s">
        <v>774</v>
      </c>
      <c r="E67" s="104" t="s">
        <v>775</v>
      </c>
      <c r="F67" s="104" t="s">
        <v>65</v>
      </c>
      <c r="G67" s="104" t="s">
        <v>776</v>
      </c>
      <c r="H67" s="104" t="s">
        <v>17557</v>
      </c>
      <c r="I67" s="115" t="s">
        <v>778</v>
      </c>
      <c r="J67" s="104" t="s">
        <v>779</v>
      </c>
      <c r="K67" s="47" t="s">
        <v>17558</v>
      </c>
      <c r="L67" s="47" t="s">
        <v>17559</v>
      </c>
      <c r="M67" s="47" t="s">
        <v>1058</v>
      </c>
    </row>
    <row r="68" spans="1:13" ht="14.25" customHeight="1">
      <c r="A68" s="113">
        <v>11</v>
      </c>
      <c r="B68" s="47"/>
      <c r="C68" s="130" t="s">
        <v>1006</v>
      </c>
      <c r="D68" s="130" t="s">
        <v>1007</v>
      </c>
      <c r="E68" s="130" t="s">
        <v>1008</v>
      </c>
      <c r="F68" s="130" t="s">
        <v>117</v>
      </c>
      <c r="G68" s="130" t="s">
        <v>17560</v>
      </c>
      <c r="H68" s="130" t="s">
        <v>17561</v>
      </c>
      <c r="I68" s="115" t="s">
        <v>1011</v>
      </c>
      <c r="J68" s="130" t="s">
        <v>1012</v>
      </c>
      <c r="K68" s="47" t="s">
        <v>17562</v>
      </c>
      <c r="L68" s="47" t="s">
        <v>17563</v>
      </c>
      <c r="M68" s="47" t="s">
        <v>1068</v>
      </c>
    </row>
    <row r="69" spans="1:13" ht="14.25" customHeight="1">
      <c r="A69" s="113">
        <v>12</v>
      </c>
      <c r="B69" s="47"/>
      <c r="C69" s="130" t="s">
        <v>762</v>
      </c>
      <c r="D69" s="130" t="s">
        <v>763</v>
      </c>
      <c r="E69" s="130" t="s">
        <v>764</v>
      </c>
      <c r="F69" s="130" t="s">
        <v>65</v>
      </c>
      <c r="G69" s="130" t="s">
        <v>765</v>
      </c>
      <c r="H69" s="130" t="s">
        <v>17564</v>
      </c>
      <c r="I69" s="115" t="s">
        <v>767</v>
      </c>
      <c r="J69" s="130" t="s">
        <v>768</v>
      </c>
      <c r="K69" s="47" t="s">
        <v>17565</v>
      </c>
      <c r="L69" s="47" t="s">
        <v>17566</v>
      </c>
      <c r="M69" s="47" t="s">
        <v>1078</v>
      </c>
    </row>
    <row r="70" spans="1:13" ht="14.25" customHeight="1">
      <c r="A70" s="146">
        <v>1</v>
      </c>
      <c r="B70" s="88"/>
      <c r="C70" s="148" t="s">
        <v>1240</v>
      </c>
      <c r="D70" s="148" t="s">
        <v>1241</v>
      </c>
      <c r="E70" s="148" t="s">
        <v>1242</v>
      </c>
      <c r="F70" s="148" t="s">
        <v>65</v>
      </c>
      <c r="G70" s="148" t="s">
        <v>1243</v>
      </c>
      <c r="H70" s="203" t="s">
        <v>17567</v>
      </c>
      <c r="I70" s="157" t="s">
        <v>1245</v>
      </c>
      <c r="J70" s="203" t="s">
        <v>1246</v>
      </c>
      <c r="K70" s="88" t="s">
        <v>17568</v>
      </c>
      <c r="L70" s="88" t="s">
        <v>17569</v>
      </c>
      <c r="M70" s="88" t="s">
        <v>1187</v>
      </c>
    </row>
    <row r="71" spans="1:13" ht="14.25" customHeight="1">
      <c r="A71" s="113">
        <v>2</v>
      </c>
      <c r="B71" s="47"/>
      <c r="C71" s="130" t="s">
        <v>560</v>
      </c>
      <c r="D71" s="130" t="s">
        <v>561</v>
      </c>
      <c r="E71" s="130" t="s">
        <v>562</v>
      </c>
      <c r="F71" s="130" t="s">
        <v>563</v>
      </c>
      <c r="G71" s="130" t="s">
        <v>564</v>
      </c>
      <c r="H71" s="130" t="s">
        <v>17570</v>
      </c>
      <c r="I71" s="115" t="s">
        <v>566</v>
      </c>
      <c r="J71" s="130" t="s">
        <v>567</v>
      </c>
      <c r="K71" s="47" t="s">
        <v>17571</v>
      </c>
      <c r="L71" s="47" t="s">
        <v>17572</v>
      </c>
      <c r="M71" s="47" t="s">
        <v>1198</v>
      </c>
    </row>
    <row r="72" spans="1:13" ht="14.25" customHeight="1">
      <c r="A72" s="113">
        <v>3</v>
      </c>
      <c r="B72" s="47"/>
      <c r="C72" s="130" t="s">
        <v>1039</v>
      </c>
      <c r="D72" s="130" t="s">
        <v>1040</v>
      </c>
      <c r="E72" s="130" t="s">
        <v>1041</v>
      </c>
      <c r="F72" s="130" t="s">
        <v>117</v>
      </c>
      <c r="G72" s="130" t="s">
        <v>1042</v>
      </c>
      <c r="H72" s="130" t="s">
        <v>17573</v>
      </c>
      <c r="I72" s="115" t="s">
        <v>1044</v>
      </c>
      <c r="J72" s="154" t="s">
        <v>1045</v>
      </c>
      <c r="K72" s="47" t="s">
        <v>17574</v>
      </c>
      <c r="L72" s="47" t="s">
        <v>17575</v>
      </c>
      <c r="M72" s="47" t="s">
        <v>1209</v>
      </c>
    </row>
    <row r="73" spans="1:13" ht="14.25" customHeight="1">
      <c r="A73" s="113">
        <v>4</v>
      </c>
      <c r="B73" s="47"/>
      <c r="C73" s="130" t="s">
        <v>1079</v>
      </c>
      <c r="D73" s="130" t="s">
        <v>1080</v>
      </c>
      <c r="E73" s="130" t="s">
        <v>1081</v>
      </c>
      <c r="F73" s="130" t="s">
        <v>117</v>
      </c>
      <c r="G73" s="130" t="s">
        <v>1082</v>
      </c>
      <c r="H73" s="130" t="s">
        <v>17576</v>
      </c>
      <c r="I73" s="115" t="s">
        <v>1084</v>
      </c>
      <c r="J73" s="154" t="s">
        <v>1085</v>
      </c>
      <c r="K73" s="47" t="s">
        <v>17577</v>
      </c>
      <c r="L73" s="47" t="s">
        <v>17578</v>
      </c>
      <c r="M73" s="47" t="s">
        <v>1219</v>
      </c>
    </row>
    <row r="74" spans="1:13" ht="14.25" customHeight="1">
      <c r="A74" s="113">
        <v>5</v>
      </c>
      <c r="B74" s="47"/>
      <c r="C74" s="130" t="s">
        <v>2497</v>
      </c>
      <c r="D74" s="130" t="s">
        <v>2498</v>
      </c>
      <c r="E74" s="130" t="s">
        <v>2499</v>
      </c>
      <c r="F74" s="130" t="s">
        <v>117</v>
      </c>
      <c r="G74" s="130" t="s">
        <v>2500</v>
      </c>
      <c r="H74" s="130" t="s">
        <v>17579</v>
      </c>
      <c r="I74" s="115" t="s">
        <v>2502</v>
      </c>
      <c r="J74" s="154" t="s">
        <v>2503</v>
      </c>
      <c r="K74" s="47" t="s">
        <v>17580</v>
      </c>
      <c r="L74" s="47" t="s">
        <v>17581</v>
      </c>
      <c r="M74" s="47" t="s">
        <v>1229</v>
      </c>
    </row>
    <row r="75" spans="1:13" ht="14.25" customHeight="1">
      <c r="A75" s="113">
        <v>6</v>
      </c>
      <c r="B75" s="47"/>
      <c r="C75" s="130" t="s">
        <v>1963</v>
      </c>
      <c r="D75" s="130" t="s">
        <v>1964</v>
      </c>
      <c r="E75" s="130" t="s">
        <v>1965</v>
      </c>
      <c r="F75" s="130" t="s">
        <v>65</v>
      </c>
      <c r="G75" s="130" t="s">
        <v>1966</v>
      </c>
      <c r="H75" s="130" t="s">
        <v>17582</v>
      </c>
      <c r="I75" s="115" t="s">
        <v>1968</v>
      </c>
      <c r="J75" s="154" t="s">
        <v>1969</v>
      </c>
      <c r="K75" s="47" t="s">
        <v>17583</v>
      </c>
      <c r="L75" s="47" t="s">
        <v>17584</v>
      </c>
      <c r="M75" s="47" t="s">
        <v>1239</v>
      </c>
    </row>
    <row r="76" spans="1:13" ht="14.25" customHeight="1">
      <c r="A76" s="113">
        <v>7</v>
      </c>
      <c r="B76" s="47"/>
      <c r="C76" s="130" t="s">
        <v>549</v>
      </c>
      <c r="D76" s="130" t="s">
        <v>550</v>
      </c>
      <c r="E76" s="130" t="s">
        <v>551</v>
      </c>
      <c r="F76" s="130" t="s">
        <v>42</v>
      </c>
      <c r="G76" s="130" t="s">
        <v>552</v>
      </c>
      <c r="H76" s="130" t="s">
        <v>17585</v>
      </c>
      <c r="I76" s="115" t="s">
        <v>554</v>
      </c>
      <c r="J76" s="154" t="s">
        <v>555</v>
      </c>
      <c r="K76" s="47" t="s">
        <v>17586</v>
      </c>
      <c r="L76" s="47" t="s">
        <v>17587</v>
      </c>
      <c r="M76" s="47" t="s">
        <v>1249</v>
      </c>
    </row>
    <row r="77" spans="1:13" ht="14.25" customHeight="1">
      <c r="A77" s="113">
        <v>8</v>
      </c>
      <c r="B77" s="47"/>
      <c r="C77" s="130" t="s">
        <v>1883</v>
      </c>
      <c r="D77" s="130" t="s">
        <v>1884</v>
      </c>
      <c r="E77" s="130" t="s">
        <v>1885</v>
      </c>
      <c r="F77" s="130" t="s">
        <v>563</v>
      </c>
      <c r="G77" s="130" t="s">
        <v>1886</v>
      </c>
      <c r="H77" s="130" t="s">
        <v>17588</v>
      </c>
      <c r="I77" s="115" t="s">
        <v>1888</v>
      </c>
      <c r="J77" s="154" t="s">
        <v>1889</v>
      </c>
      <c r="K77" s="47" t="s">
        <v>17589</v>
      </c>
      <c r="L77" s="47" t="s">
        <v>17590</v>
      </c>
      <c r="M77" s="47" t="s">
        <v>1259</v>
      </c>
    </row>
    <row r="78" spans="1:13" ht="14.25" customHeight="1">
      <c r="A78" s="113">
        <v>9</v>
      </c>
      <c r="B78" s="47"/>
      <c r="C78" s="130" t="s">
        <v>529</v>
      </c>
      <c r="D78" s="130" t="s">
        <v>530</v>
      </c>
      <c r="E78" s="130" t="s">
        <v>531</v>
      </c>
      <c r="F78" s="130" t="s">
        <v>117</v>
      </c>
      <c r="G78" s="130" t="s">
        <v>532</v>
      </c>
      <c r="H78" s="130" t="s">
        <v>17591</v>
      </c>
      <c r="I78" s="115" t="s">
        <v>534</v>
      </c>
      <c r="J78" s="154" t="s">
        <v>535</v>
      </c>
      <c r="K78" s="47" t="s">
        <v>17592</v>
      </c>
      <c r="L78" s="47" t="s">
        <v>17593</v>
      </c>
      <c r="M78" s="47" t="s">
        <v>1269</v>
      </c>
    </row>
    <row r="79" spans="1:13" ht="14.25" customHeight="1">
      <c r="A79" s="113">
        <v>10</v>
      </c>
      <c r="B79" s="47"/>
      <c r="C79" s="130" t="s">
        <v>1833</v>
      </c>
      <c r="D79" s="130" t="s">
        <v>1834</v>
      </c>
      <c r="E79" s="130" t="s">
        <v>1835</v>
      </c>
      <c r="F79" s="130" t="s">
        <v>65</v>
      </c>
      <c r="G79" s="130" t="s">
        <v>1836</v>
      </c>
      <c r="H79" s="130" t="s">
        <v>17594</v>
      </c>
      <c r="I79" s="115" t="s">
        <v>1838</v>
      </c>
      <c r="J79" s="154" t="s">
        <v>1839</v>
      </c>
      <c r="K79" s="47" t="s">
        <v>17595</v>
      </c>
      <c r="L79" s="47" t="s">
        <v>17596</v>
      </c>
      <c r="M79" s="47" t="s">
        <v>1279</v>
      </c>
    </row>
    <row r="80" spans="1:13" ht="14.25" customHeight="1">
      <c r="A80" s="113">
        <v>11</v>
      </c>
      <c r="B80" s="47"/>
      <c r="C80" s="130" t="s">
        <v>1139</v>
      </c>
      <c r="D80" s="130" t="s">
        <v>1140</v>
      </c>
      <c r="E80" s="130" t="s">
        <v>1141</v>
      </c>
      <c r="F80" s="130" t="s">
        <v>65</v>
      </c>
      <c r="G80" s="130" t="s">
        <v>1142</v>
      </c>
      <c r="H80" s="130" t="s">
        <v>17597</v>
      </c>
      <c r="I80" s="115" t="s">
        <v>1144</v>
      </c>
      <c r="J80" s="154" t="s">
        <v>1145</v>
      </c>
      <c r="K80" s="47" t="s">
        <v>17598</v>
      </c>
      <c r="L80" s="47" t="s">
        <v>17599</v>
      </c>
      <c r="M80" s="47" t="s">
        <v>1289</v>
      </c>
    </row>
    <row r="81" spans="1:13" ht="14.25" customHeight="1">
      <c r="A81" s="113">
        <v>12</v>
      </c>
      <c r="B81" s="47"/>
      <c r="C81" s="130" t="s">
        <v>2695</v>
      </c>
      <c r="D81" s="130" t="s">
        <v>2696</v>
      </c>
      <c r="E81" s="130" t="s">
        <v>2697</v>
      </c>
      <c r="F81" s="130" t="s">
        <v>65</v>
      </c>
      <c r="G81" s="130" t="s">
        <v>2698</v>
      </c>
      <c r="H81" s="130" t="s">
        <v>17600</v>
      </c>
      <c r="I81" s="115" t="s">
        <v>2700</v>
      </c>
      <c r="J81" s="154" t="s">
        <v>2701</v>
      </c>
      <c r="K81" s="47" t="s">
        <v>17601</v>
      </c>
      <c r="L81" s="47" t="s">
        <v>17602</v>
      </c>
      <c r="M81" s="47" t="s">
        <v>1298</v>
      </c>
    </row>
    <row r="82" spans="1:13" ht="14.25" customHeight="1">
      <c r="A82" s="113">
        <v>13</v>
      </c>
      <c r="B82" s="47"/>
      <c r="C82" s="130" t="s">
        <v>1706</v>
      </c>
      <c r="D82" s="130" t="s">
        <v>1707</v>
      </c>
      <c r="E82" s="130" t="s">
        <v>1708</v>
      </c>
      <c r="F82" s="130" t="s">
        <v>42</v>
      </c>
      <c r="G82" s="130" t="s">
        <v>1709</v>
      </c>
      <c r="H82" s="130" t="s">
        <v>17603</v>
      </c>
      <c r="I82" s="115" t="s">
        <v>1711</v>
      </c>
      <c r="J82" s="154" t="s">
        <v>1712</v>
      </c>
      <c r="K82" s="47" t="s">
        <v>5208</v>
      </c>
      <c r="L82" s="47" t="s">
        <v>5209</v>
      </c>
      <c r="M82" s="47" t="s">
        <v>1308</v>
      </c>
    </row>
    <row r="83" spans="1:13" ht="14.25" customHeight="1">
      <c r="A83" s="113">
        <v>14</v>
      </c>
      <c r="B83" s="47"/>
      <c r="C83" s="130" t="s">
        <v>1864</v>
      </c>
      <c r="D83" s="130" t="s">
        <v>1865</v>
      </c>
      <c r="E83" s="130" t="s">
        <v>1544</v>
      </c>
      <c r="F83" s="130" t="s">
        <v>65</v>
      </c>
      <c r="G83" s="130" t="s">
        <v>1866</v>
      </c>
      <c r="H83" s="130" t="s">
        <v>17604</v>
      </c>
      <c r="I83" s="115" t="s">
        <v>1868</v>
      </c>
      <c r="J83" s="154" t="s">
        <v>1869</v>
      </c>
      <c r="K83" s="47" t="s">
        <v>17605</v>
      </c>
      <c r="L83" s="47" t="s">
        <v>17606</v>
      </c>
      <c r="M83" s="47" t="s">
        <v>1311</v>
      </c>
    </row>
    <row r="84" spans="1:13" ht="14.25" customHeight="1">
      <c r="A84" s="113">
        <v>15</v>
      </c>
      <c r="B84" s="47"/>
      <c r="C84" s="130" t="s">
        <v>369</v>
      </c>
      <c r="D84" s="130" t="s">
        <v>370</v>
      </c>
      <c r="E84" s="130" t="s">
        <v>371</v>
      </c>
      <c r="F84" s="130" t="s">
        <v>42</v>
      </c>
      <c r="G84" s="130" t="s">
        <v>372</v>
      </c>
      <c r="H84" s="130" t="s">
        <v>17607</v>
      </c>
      <c r="I84" s="115" t="s">
        <v>191</v>
      </c>
      <c r="J84" s="154" t="s">
        <v>192</v>
      </c>
      <c r="K84" s="47" t="s">
        <v>17608</v>
      </c>
      <c r="L84" s="47" t="s">
        <v>17609</v>
      </c>
      <c r="M84" s="47" t="s">
        <v>1321</v>
      </c>
    </row>
    <row r="85" spans="1:13" ht="14.25" customHeight="1">
      <c r="A85" s="146">
        <v>1</v>
      </c>
      <c r="B85" s="88"/>
      <c r="C85" s="148" t="s">
        <v>3770</v>
      </c>
      <c r="D85" s="148" t="s">
        <v>3771</v>
      </c>
      <c r="E85" s="148" t="s">
        <v>3772</v>
      </c>
      <c r="F85" s="148" t="s">
        <v>65</v>
      </c>
      <c r="G85" s="148" t="s">
        <v>3773</v>
      </c>
      <c r="H85" s="148" t="s">
        <v>17610</v>
      </c>
      <c r="I85" s="157" t="s">
        <v>3775</v>
      </c>
      <c r="J85" s="148" t="s">
        <v>3776</v>
      </c>
      <c r="K85" s="88" t="s">
        <v>5280</v>
      </c>
      <c r="L85" s="88" t="s">
        <v>5281</v>
      </c>
      <c r="M85" s="88" t="s">
        <v>1427</v>
      </c>
    </row>
    <row r="86" spans="1:13" ht="14.25" customHeight="1">
      <c r="A86" s="113">
        <v>2</v>
      </c>
      <c r="B86" s="47"/>
      <c r="C86" s="130" t="s">
        <v>1016</v>
      </c>
      <c r="D86" s="130" t="s">
        <v>1017</v>
      </c>
      <c r="E86" s="130" t="s">
        <v>1018</v>
      </c>
      <c r="F86" s="130" t="s">
        <v>42</v>
      </c>
      <c r="G86" s="104" t="s">
        <v>1019</v>
      </c>
      <c r="H86" s="130" t="s">
        <v>17611</v>
      </c>
      <c r="I86" s="115" t="s">
        <v>1021</v>
      </c>
      <c r="J86" s="130" t="s">
        <v>1022</v>
      </c>
      <c r="K86" s="47" t="s">
        <v>17612</v>
      </c>
      <c r="L86" s="47" t="s">
        <v>17613</v>
      </c>
      <c r="M86" s="47" t="s">
        <v>1437</v>
      </c>
    </row>
    <row r="87" spans="1:13" ht="14.25" customHeight="1">
      <c r="A87" s="113">
        <v>3</v>
      </c>
      <c r="B87" s="47"/>
      <c r="C87" s="130" t="s">
        <v>1332</v>
      </c>
      <c r="D87" s="130" t="s">
        <v>1333</v>
      </c>
      <c r="E87" s="130" t="s">
        <v>1334</v>
      </c>
      <c r="F87" s="130" t="s">
        <v>117</v>
      </c>
      <c r="G87" s="104" t="s">
        <v>1335</v>
      </c>
      <c r="H87" s="130" t="s">
        <v>17614</v>
      </c>
      <c r="I87" s="115" t="s">
        <v>1337</v>
      </c>
      <c r="J87" s="130" t="s">
        <v>1338</v>
      </c>
      <c r="K87" s="47" t="s">
        <v>17615</v>
      </c>
      <c r="L87" s="47" t="s">
        <v>17616</v>
      </c>
      <c r="M87" s="47" t="s">
        <v>1448</v>
      </c>
    </row>
    <row r="88" spans="1:13" ht="14.25" customHeight="1">
      <c r="A88" s="113">
        <v>4</v>
      </c>
      <c r="B88" s="47"/>
      <c r="C88" s="130" t="s">
        <v>1332</v>
      </c>
      <c r="D88" s="130" t="s">
        <v>1333</v>
      </c>
      <c r="E88" s="130" t="s">
        <v>1334</v>
      </c>
      <c r="F88" s="130" t="s">
        <v>501</v>
      </c>
      <c r="G88" s="104" t="s">
        <v>17617</v>
      </c>
      <c r="H88" s="154" t="s">
        <v>17618</v>
      </c>
      <c r="I88" s="115" t="s">
        <v>17619</v>
      </c>
      <c r="J88" s="116" t="s">
        <v>17620</v>
      </c>
      <c r="K88" s="47" t="s">
        <v>17621</v>
      </c>
      <c r="L88" s="47" t="s">
        <v>17622</v>
      </c>
      <c r="M88" s="47" t="s">
        <v>1458</v>
      </c>
    </row>
    <row r="89" spans="1:13" ht="14.25" customHeight="1">
      <c r="A89" s="113">
        <v>5</v>
      </c>
      <c r="B89" s="47"/>
      <c r="C89" s="130" t="s">
        <v>2051</v>
      </c>
      <c r="D89" s="130" t="s">
        <v>2052</v>
      </c>
      <c r="E89" s="130" t="s">
        <v>2053</v>
      </c>
      <c r="F89" s="130" t="s">
        <v>42</v>
      </c>
      <c r="G89" s="104" t="s">
        <v>2054</v>
      </c>
      <c r="H89" s="130" t="s">
        <v>17623</v>
      </c>
      <c r="I89" s="115" t="s">
        <v>2056</v>
      </c>
      <c r="J89" s="130" t="s">
        <v>2057</v>
      </c>
      <c r="K89" s="47" t="s">
        <v>17624</v>
      </c>
      <c r="L89" s="47" t="s">
        <v>17625</v>
      </c>
      <c r="M89" s="47" t="s">
        <v>1468</v>
      </c>
    </row>
    <row r="90" spans="1:13" ht="14.25" customHeight="1">
      <c r="A90" s="113">
        <v>6</v>
      </c>
      <c r="B90" s="47"/>
      <c r="C90" s="130" t="s">
        <v>672</v>
      </c>
      <c r="D90" s="130" t="s">
        <v>673</v>
      </c>
      <c r="E90" s="130" t="s">
        <v>674</v>
      </c>
      <c r="F90" s="130" t="s">
        <v>65</v>
      </c>
      <c r="G90" s="130" t="s">
        <v>675</v>
      </c>
      <c r="H90" s="130" t="s">
        <v>17626</v>
      </c>
      <c r="I90" s="115" t="s">
        <v>677</v>
      </c>
      <c r="J90" s="116" t="s">
        <v>678</v>
      </c>
      <c r="K90" s="47" t="s">
        <v>17627</v>
      </c>
      <c r="L90" s="47" t="s">
        <v>17628</v>
      </c>
      <c r="M90" s="47" t="s">
        <v>1478</v>
      </c>
    </row>
    <row r="91" spans="1:13" ht="14.25" customHeight="1">
      <c r="A91" s="113">
        <v>7</v>
      </c>
      <c r="B91" s="47"/>
      <c r="C91" s="130" t="s">
        <v>631</v>
      </c>
      <c r="D91" s="130" t="s">
        <v>632</v>
      </c>
      <c r="E91" s="130" t="s">
        <v>633</v>
      </c>
      <c r="F91" s="130" t="s">
        <v>65</v>
      </c>
      <c r="G91" s="130" t="s">
        <v>634</v>
      </c>
      <c r="H91" s="130" t="s">
        <v>17629</v>
      </c>
      <c r="I91" s="115" t="s">
        <v>636</v>
      </c>
      <c r="J91" s="116" t="s">
        <v>637</v>
      </c>
      <c r="K91" s="47" t="s">
        <v>17630</v>
      </c>
      <c r="L91" s="47" t="s">
        <v>17631</v>
      </c>
      <c r="M91" s="47" t="s">
        <v>1488</v>
      </c>
    </row>
    <row r="92" spans="1:13" ht="14.25" customHeight="1">
      <c r="A92" s="113">
        <v>8</v>
      </c>
      <c r="B92" s="47"/>
      <c r="C92" s="130" t="s">
        <v>1608</v>
      </c>
      <c r="D92" s="130" t="s">
        <v>1609</v>
      </c>
      <c r="E92" s="130" t="s">
        <v>1610</v>
      </c>
      <c r="F92" s="130" t="s">
        <v>65</v>
      </c>
      <c r="G92" s="130" t="s">
        <v>1611</v>
      </c>
      <c r="H92" s="130" t="s">
        <v>17632</v>
      </c>
      <c r="I92" s="115" t="s">
        <v>1613</v>
      </c>
      <c r="J92" s="116" t="s">
        <v>1614</v>
      </c>
      <c r="K92" s="47" t="s">
        <v>17633</v>
      </c>
      <c r="L92" s="47" t="s">
        <v>17634</v>
      </c>
      <c r="M92" s="47" t="s">
        <v>1498</v>
      </c>
    </row>
    <row r="93" spans="1:13" ht="14.25" customHeight="1">
      <c r="A93" s="113">
        <v>9</v>
      </c>
      <c r="B93" s="47"/>
      <c r="C93" s="130" t="s">
        <v>1365</v>
      </c>
      <c r="D93" s="130" t="s">
        <v>1366</v>
      </c>
      <c r="E93" s="130" t="s">
        <v>1367</v>
      </c>
      <c r="F93" s="130" t="s">
        <v>65</v>
      </c>
      <c r="G93" s="130" t="s">
        <v>1368</v>
      </c>
      <c r="H93" s="130" t="s">
        <v>17635</v>
      </c>
      <c r="I93" s="115" t="s">
        <v>1370</v>
      </c>
      <c r="J93" s="116" t="s">
        <v>1371</v>
      </c>
      <c r="K93" s="47" t="s">
        <v>17636</v>
      </c>
      <c r="L93" s="47" t="s">
        <v>17637</v>
      </c>
      <c r="M93" s="47" t="s">
        <v>1508</v>
      </c>
    </row>
    <row r="94" spans="1:13" ht="14.25" customHeight="1">
      <c r="A94" s="113">
        <v>10</v>
      </c>
      <c r="B94" s="47"/>
      <c r="C94" s="130" t="s">
        <v>457</v>
      </c>
      <c r="D94" s="130" t="s">
        <v>458</v>
      </c>
      <c r="E94" s="130" t="s">
        <v>459</v>
      </c>
      <c r="F94" s="130" t="s">
        <v>460</v>
      </c>
      <c r="G94" s="130" t="s">
        <v>461</v>
      </c>
      <c r="H94" s="130" t="s">
        <v>17638</v>
      </c>
      <c r="I94" s="115" t="s">
        <v>463</v>
      </c>
      <c r="J94" s="116" t="s">
        <v>464</v>
      </c>
      <c r="K94" s="47" t="s">
        <v>17639</v>
      </c>
      <c r="L94" s="47" t="s">
        <v>17640</v>
      </c>
      <c r="M94" s="47" t="s">
        <v>1518</v>
      </c>
    </row>
    <row r="95" spans="1:13" ht="14.25" customHeight="1">
      <c r="A95" s="113">
        <v>11</v>
      </c>
      <c r="B95" s="47"/>
      <c r="C95" s="130" t="s">
        <v>1449</v>
      </c>
      <c r="D95" s="130" t="s">
        <v>1450</v>
      </c>
      <c r="E95" s="130" t="s">
        <v>1451</v>
      </c>
      <c r="F95" s="130" t="s">
        <v>54</v>
      </c>
      <c r="G95" s="130" t="s">
        <v>1452</v>
      </c>
      <c r="H95" s="130" t="s">
        <v>17641</v>
      </c>
      <c r="I95" s="115" t="s">
        <v>1454</v>
      </c>
      <c r="J95" s="116" t="s">
        <v>1455</v>
      </c>
      <c r="K95" s="47" t="s">
        <v>17642</v>
      </c>
      <c r="L95" s="47" t="s">
        <v>17643</v>
      </c>
      <c r="M95" s="47" t="s">
        <v>1521</v>
      </c>
    </row>
    <row r="96" spans="1:13" ht="14.25" customHeight="1">
      <c r="A96" s="113">
        <v>12</v>
      </c>
      <c r="B96" s="47"/>
      <c r="C96" s="130" t="s">
        <v>1666</v>
      </c>
      <c r="D96" s="130" t="s">
        <v>1667</v>
      </c>
      <c r="E96" s="130" t="s">
        <v>1668</v>
      </c>
      <c r="F96" s="130" t="s">
        <v>65</v>
      </c>
      <c r="G96" s="130" t="s">
        <v>1669</v>
      </c>
      <c r="H96" s="130" t="s">
        <v>17644</v>
      </c>
      <c r="I96" s="115" t="s">
        <v>1671</v>
      </c>
      <c r="J96" s="116" t="s">
        <v>1672</v>
      </c>
      <c r="K96" s="47" t="s">
        <v>17645</v>
      </c>
      <c r="L96" s="47" t="s">
        <v>17646</v>
      </c>
      <c r="M96" s="47" t="s">
        <v>1531</v>
      </c>
    </row>
    <row r="97" spans="1:13" ht="14.25" customHeight="1">
      <c r="A97" s="113">
        <v>13</v>
      </c>
      <c r="B97" s="47"/>
      <c r="C97" s="130" t="s">
        <v>1813</v>
      </c>
      <c r="D97" s="130" t="s">
        <v>1814</v>
      </c>
      <c r="E97" s="130" t="s">
        <v>1815</v>
      </c>
      <c r="F97" s="130" t="s">
        <v>65</v>
      </c>
      <c r="G97" s="130" t="s">
        <v>1816</v>
      </c>
      <c r="H97" s="130" t="s">
        <v>17647</v>
      </c>
      <c r="I97" s="115" t="s">
        <v>1818</v>
      </c>
      <c r="J97" s="116" t="s">
        <v>1819</v>
      </c>
      <c r="K97" s="47" t="s">
        <v>17648</v>
      </c>
      <c r="L97" s="47" t="s">
        <v>17649</v>
      </c>
      <c r="M97" s="47" t="s">
        <v>1541</v>
      </c>
    </row>
    <row r="98" spans="1:13" ht="14.25" customHeight="1">
      <c r="A98" s="113">
        <v>14</v>
      </c>
      <c r="B98" s="47"/>
      <c r="C98" s="130" t="s">
        <v>1459</v>
      </c>
      <c r="D98" s="130" t="s">
        <v>1460</v>
      </c>
      <c r="E98" s="130" t="s">
        <v>1461</v>
      </c>
      <c r="F98" s="130" t="s">
        <v>65</v>
      </c>
      <c r="G98" s="130" t="s">
        <v>1462</v>
      </c>
      <c r="H98" s="130" t="s">
        <v>17650</v>
      </c>
      <c r="I98" s="115" t="s">
        <v>1464</v>
      </c>
      <c r="J98" s="116" t="s">
        <v>1465</v>
      </c>
      <c r="K98" s="47" t="s">
        <v>17651</v>
      </c>
      <c r="L98" s="47" t="s">
        <v>17652</v>
      </c>
      <c r="M98" s="47" t="s">
        <v>1551</v>
      </c>
    </row>
    <row r="99" spans="1:13" ht="14.25" customHeight="1">
      <c r="A99" s="146">
        <v>1</v>
      </c>
      <c r="B99" s="88"/>
      <c r="C99" s="148" t="s">
        <v>1676</v>
      </c>
      <c r="D99" s="148" t="s">
        <v>1677</v>
      </c>
      <c r="E99" s="148" t="s">
        <v>1678</v>
      </c>
      <c r="F99" s="148" t="s">
        <v>65</v>
      </c>
      <c r="G99" s="148" t="s">
        <v>1679</v>
      </c>
      <c r="H99" s="148" t="s">
        <v>17653</v>
      </c>
      <c r="I99" s="150" t="s">
        <v>1681</v>
      </c>
      <c r="J99" s="148" t="s">
        <v>1682</v>
      </c>
      <c r="K99" s="88" t="s">
        <v>17654</v>
      </c>
      <c r="L99" s="88" t="s">
        <v>1629</v>
      </c>
      <c r="M99" s="88" t="s">
        <v>1630</v>
      </c>
    </row>
    <row r="100" spans="1:13" ht="14.25" customHeight="1">
      <c r="A100" s="113">
        <v>2</v>
      </c>
      <c r="B100" s="47"/>
      <c r="C100" s="104" t="s">
        <v>5008</v>
      </c>
      <c r="D100" s="104" t="s">
        <v>5009</v>
      </c>
      <c r="E100" s="104" t="s">
        <v>5010</v>
      </c>
      <c r="F100" s="104" t="s">
        <v>65</v>
      </c>
      <c r="G100" s="104" t="s">
        <v>1624</v>
      </c>
      <c r="H100" s="154" t="s">
        <v>17655</v>
      </c>
      <c r="I100" s="116" t="s">
        <v>5012</v>
      </c>
      <c r="J100" s="154" t="s">
        <v>5013</v>
      </c>
      <c r="K100" s="47" t="s">
        <v>5437</v>
      </c>
      <c r="L100" s="47" t="s">
        <v>1640</v>
      </c>
      <c r="M100" s="47" t="s">
        <v>1641</v>
      </c>
    </row>
    <row r="101" spans="1:13" ht="14.25" customHeight="1">
      <c r="A101" s="113">
        <v>3</v>
      </c>
      <c r="B101" s="47"/>
      <c r="C101" s="104" t="s">
        <v>4501</v>
      </c>
      <c r="D101" s="104" t="s">
        <v>4502</v>
      </c>
      <c r="E101" s="104" t="s">
        <v>4503</v>
      </c>
      <c r="F101" s="104" t="s">
        <v>65</v>
      </c>
      <c r="G101" s="104" t="s">
        <v>4504</v>
      </c>
      <c r="H101" s="154" t="s">
        <v>17656</v>
      </c>
      <c r="I101" s="116" t="s">
        <v>4506</v>
      </c>
      <c r="J101" s="154" t="s">
        <v>4507</v>
      </c>
      <c r="K101" s="47" t="s">
        <v>5377</v>
      </c>
      <c r="L101" s="47" t="s">
        <v>1644</v>
      </c>
      <c r="M101" s="47" t="s">
        <v>1645</v>
      </c>
    </row>
    <row r="102" spans="1:13" ht="14.25" customHeight="1">
      <c r="A102" s="113">
        <v>4</v>
      </c>
      <c r="B102" s="47"/>
      <c r="C102" s="130" t="s">
        <v>1345</v>
      </c>
      <c r="D102" s="130" t="s">
        <v>1346</v>
      </c>
      <c r="E102" s="130" t="s">
        <v>1347</v>
      </c>
      <c r="F102" s="130" t="s">
        <v>65</v>
      </c>
      <c r="G102" s="104" t="s">
        <v>1348</v>
      </c>
      <c r="H102" s="130" t="s">
        <v>17657</v>
      </c>
      <c r="I102" s="116" t="s">
        <v>1350</v>
      </c>
      <c r="J102" s="130" t="s">
        <v>1351</v>
      </c>
      <c r="K102" s="47" t="s">
        <v>17658</v>
      </c>
      <c r="L102" s="47" t="s">
        <v>1654</v>
      </c>
      <c r="M102" s="47" t="s">
        <v>1655</v>
      </c>
    </row>
    <row r="103" spans="1:13" ht="14.25" customHeight="1">
      <c r="A103" s="113">
        <v>5</v>
      </c>
      <c r="B103" s="47"/>
      <c r="C103" s="130" t="s">
        <v>1903</v>
      </c>
      <c r="D103" s="130" t="s">
        <v>1904</v>
      </c>
      <c r="E103" s="130" t="s">
        <v>1905</v>
      </c>
      <c r="F103" s="130" t="s">
        <v>42</v>
      </c>
      <c r="G103" s="104" t="s">
        <v>1906</v>
      </c>
      <c r="H103" s="130" t="s">
        <v>17659</v>
      </c>
      <c r="I103" s="116" t="s">
        <v>1908</v>
      </c>
      <c r="J103" s="130" t="s">
        <v>1909</v>
      </c>
      <c r="K103" s="47" t="s">
        <v>17660</v>
      </c>
      <c r="L103" s="47" t="s">
        <v>1664</v>
      </c>
      <c r="M103" s="47" t="s">
        <v>1665</v>
      </c>
    </row>
    <row r="104" spans="1:13" ht="14.25" customHeight="1">
      <c r="A104" s="113">
        <v>6</v>
      </c>
      <c r="B104" s="47"/>
      <c r="C104" s="104" t="s">
        <v>661</v>
      </c>
      <c r="D104" s="104" t="s">
        <v>662</v>
      </c>
      <c r="E104" s="104" t="s">
        <v>663</v>
      </c>
      <c r="F104" s="104" t="s">
        <v>664</v>
      </c>
      <c r="G104" s="104" t="s">
        <v>665</v>
      </c>
      <c r="H104" s="104" t="s">
        <v>17661</v>
      </c>
      <c r="I104" s="116" t="s">
        <v>667</v>
      </c>
      <c r="J104" s="104" t="s">
        <v>668</v>
      </c>
      <c r="K104" s="47" t="s">
        <v>17662</v>
      </c>
      <c r="L104" s="47" t="s">
        <v>1674</v>
      </c>
      <c r="M104" s="47" t="s">
        <v>1675</v>
      </c>
    </row>
    <row r="105" spans="1:13" ht="14.25" customHeight="1">
      <c r="A105" s="113">
        <v>7</v>
      </c>
      <c r="B105" s="47"/>
      <c r="C105" s="130" t="s">
        <v>1159</v>
      </c>
      <c r="D105" s="130" t="s">
        <v>1160</v>
      </c>
      <c r="E105" s="130" t="s">
        <v>854</v>
      </c>
      <c r="F105" s="130" t="s">
        <v>117</v>
      </c>
      <c r="G105" s="104" t="s">
        <v>1161</v>
      </c>
      <c r="H105" s="130" t="s">
        <v>17663</v>
      </c>
      <c r="I105" s="116" t="s">
        <v>1163</v>
      </c>
      <c r="J105" s="116" t="s">
        <v>1164</v>
      </c>
      <c r="K105" s="47" t="s">
        <v>17664</v>
      </c>
      <c r="L105" s="47" t="s">
        <v>1684</v>
      </c>
      <c r="M105" s="47" t="s">
        <v>1685</v>
      </c>
    </row>
    <row r="106" spans="1:13" ht="14.25" customHeight="1">
      <c r="A106" s="113">
        <v>8</v>
      </c>
      <c r="B106" s="47"/>
      <c r="C106" s="130" t="s">
        <v>591</v>
      </c>
      <c r="D106" s="130" t="s">
        <v>592</v>
      </c>
      <c r="E106" s="130" t="s">
        <v>593</v>
      </c>
      <c r="F106" s="130" t="s">
        <v>117</v>
      </c>
      <c r="G106" s="104" t="s">
        <v>594</v>
      </c>
      <c r="H106" s="130" t="s">
        <v>17665</v>
      </c>
      <c r="I106" s="116" t="s">
        <v>596</v>
      </c>
      <c r="J106" s="116" t="s">
        <v>597</v>
      </c>
      <c r="K106" s="47" t="s">
        <v>17666</v>
      </c>
      <c r="L106" s="47" t="s">
        <v>1694</v>
      </c>
      <c r="M106" s="47" t="s">
        <v>1695</v>
      </c>
    </row>
    <row r="107" spans="1:13" ht="14.25" customHeight="1">
      <c r="A107" s="113">
        <v>9</v>
      </c>
      <c r="B107" s="47"/>
      <c r="C107" s="130" t="s">
        <v>1552</v>
      </c>
      <c r="D107" s="130" t="s">
        <v>1553</v>
      </c>
      <c r="E107" s="130" t="s">
        <v>1554</v>
      </c>
      <c r="F107" s="130" t="s">
        <v>117</v>
      </c>
      <c r="G107" s="104" t="s">
        <v>1555</v>
      </c>
      <c r="H107" s="130" t="s">
        <v>17667</v>
      </c>
      <c r="I107" s="116" t="s">
        <v>1557</v>
      </c>
      <c r="J107" s="116" t="s">
        <v>1558</v>
      </c>
      <c r="K107" s="47" t="s">
        <v>17668</v>
      </c>
      <c r="L107" s="47" t="s">
        <v>1704</v>
      </c>
      <c r="M107" s="47" t="s">
        <v>1705</v>
      </c>
    </row>
    <row r="108" spans="1:13" ht="14.25" customHeight="1">
      <c r="A108" s="113">
        <v>10</v>
      </c>
      <c r="B108" s="47"/>
      <c r="C108" s="130" t="s">
        <v>1686</v>
      </c>
      <c r="D108" s="130" t="s">
        <v>1687</v>
      </c>
      <c r="E108" s="130" t="s">
        <v>1688</v>
      </c>
      <c r="F108" s="130" t="s">
        <v>563</v>
      </c>
      <c r="G108" s="104" t="s">
        <v>1689</v>
      </c>
      <c r="H108" s="130" t="s">
        <v>17669</v>
      </c>
      <c r="I108" s="116" t="s">
        <v>1691</v>
      </c>
      <c r="J108" s="130" t="s">
        <v>1692</v>
      </c>
      <c r="K108" s="47" t="s">
        <v>17670</v>
      </c>
      <c r="L108" s="47" t="s">
        <v>1714</v>
      </c>
      <c r="M108" s="47" t="s">
        <v>1715</v>
      </c>
    </row>
    <row r="109" spans="1:13" ht="14.25" customHeight="1">
      <c r="A109" s="113">
        <v>11</v>
      </c>
      <c r="B109" s="47"/>
      <c r="C109" s="130" t="s">
        <v>1489</v>
      </c>
      <c r="D109" s="130" t="s">
        <v>1490</v>
      </c>
      <c r="E109" s="130" t="s">
        <v>1491</v>
      </c>
      <c r="F109" s="130" t="s">
        <v>65</v>
      </c>
      <c r="G109" s="130" t="s">
        <v>1492</v>
      </c>
      <c r="H109" s="130" t="s">
        <v>17671</v>
      </c>
      <c r="I109" s="116" t="s">
        <v>1494</v>
      </c>
      <c r="J109" s="130" t="s">
        <v>1495</v>
      </c>
      <c r="K109" s="47" t="s">
        <v>17672</v>
      </c>
      <c r="L109" s="47" t="s">
        <v>1725</v>
      </c>
      <c r="M109" s="47" t="s">
        <v>1726</v>
      </c>
    </row>
    <row r="110" spans="1:13" ht="14.25" customHeight="1">
      <c r="A110" s="113">
        <v>12</v>
      </c>
      <c r="B110" s="47"/>
      <c r="C110" s="130" t="s">
        <v>923</v>
      </c>
      <c r="D110" s="130" t="s">
        <v>924</v>
      </c>
      <c r="E110" s="130" t="s">
        <v>925</v>
      </c>
      <c r="F110" s="130" t="s">
        <v>65</v>
      </c>
      <c r="G110" s="130" t="s">
        <v>926</v>
      </c>
      <c r="H110" s="130" t="s">
        <v>17673</v>
      </c>
      <c r="I110" s="116" t="s">
        <v>928</v>
      </c>
      <c r="J110" s="154" t="s">
        <v>929</v>
      </c>
      <c r="K110" s="47" t="s">
        <v>17674</v>
      </c>
      <c r="L110" s="47" t="s">
        <v>1735</v>
      </c>
      <c r="M110" s="47" t="s">
        <v>1736</v>
      </c>
    </row>
    <row r="111" spans="1:13" ht="14.25" customHeight="1">
      <c r="A111" s="146">
        <v>1</v>
      </c>
      <c r="B111" s="88"/>
      <c r="C111" s="148" t="s">
        <v>2719</v>
      </c>
      <c r="D111" s="148" t="s">
        <v>2720</v>
      </c>
      <c r="E111" s="148" t="s">
        <v>2721</v>
      </c>
      <c r="F111" s="148" t="s">
        <v>65</v>
      </c>
      <c r="G111" s="148" t="s">
        <v>2722</v>
      </c>
      <c r="H111" s="148" t="s">
        <v>17675</v>
      </c>
      <c r="I111" s="150" t="s">
        <v>2724</v>
      </c>
      <c r="J111" s="150" t="s">
        <v>2725</v>
      </c>
      <c r="K111" s="88" t="s">
        <v>17676</v>
      </c>
      <c r="L111" s="88" t="s">
        <v>1841</v>
      </c>
      <c r="M111" s="88" t="s">
        <v>1842</v>
      </c>
    </row>
    <row r="112" spans="1:13" ht="14.25" customHeight="1">
      <c r="A112" s="113">
        <v>2</v>
      </c>
      <c r="B112" s="47"/>
      <c r="C112" s="130" t="s">
        <v>1188</v>
      </c>
      <c r="D112" s="130" t="s">
        <v>1189</v>
      </c>
      <c r="E112" s="130" t="s">
        <v>1190</v>
      </c>
      <c r="F112" s="130" t="s">
        <v>1191</v>
      </c>
      <c r="G112" s="130" t="s">
        <v>1192</v>
      </c>
      <c r="H112" s="130" t="s">
        <v>17677</v>
      </c>
      <c r="I112" s="116" t="s">
        <v>1194</v>
      </c>
      <c r="J112" s="116" t="s">
        <v>1195</v>
      </c>
      <c r="K112" s="47" t="s">
        <v>5350</v>
      </c>
      <c r="L112" s="47" t="s">
        <v>1851</v>
      </c>
      <c r="M112" s="47" t="s">
        <v>1852</v>
      </c>
    </row>
    <row r="113" spans="1:13" ht="14.25" customHeight="1">
      <c r="A113" s="113">
        <v>3</v>
      </c>
      <c r="B113" s="47"/>
      <c r="C113" s="130" t="s">
        <v>1220</v>
      </c>
      <c r="D113" s="130" t="s">
        <v>1221</v>
      </c>
      <c r="E113" s="130" t="s">
        <v>1222</v>
      </c>
      <c r="F113" s="130" t="s">
        <v>563</v>
      </c>
      <c r="G113" s="104" t="s">
        <v>1223</v>
      </c>
      <c r="H113" s="130" t="s">
        <v>17678</v>
      </c>
      <c r="I113" s="116" t="s">
        <v>1225</v>
      </c>
      <c r="J113" s="116" t="s">
        <v>1226</v>
      </c>
      <c r="K113" s="47" t="s">
        <v>17679</v>
      </c>
      <c r="L113" s="47" t="s">
        <v>1862</v>
      </c>
      <c r="M113" s="47" t="s">
        <v>1863</v>
      </c>
    </row>
    <row r="114" spans="1:13" ht="14.25" customHeight="1">
      <c r="A114" s="113">
        <v>4</v>
      </c>
      <c r="B114" s="47"/>
      <c r="C114" s="130" t="s">
        <v>1542</v>
      </c>
      <c r="D114" s="130" t="s">
        <v>1543</v>
      </c>
      <c r="E114" s="130" t="s">
        <v>1544</v>
      </c>
      <c r="F114" s="130" t="s">
        <v>65</v>
      </c>
      <c r="G114" s="104" t="s">
        <v>1545</v>
      </c>
      <c r="H114" s="130" t="s">
        <v>17680</v>
      </c>
      <c r="I114" s="116" t="s">
        <v>1547</v>
      </c>
      <c r="J114" s="116" t="s">
        <v>1548</v>
      </c>
      <c r="K114" s="47" t="s">
        <v>17681</v>
      </c>
      <c r="L114" s="47" t="s">
        <v>1871</v>
      </c>
      <c r="M114" s="47" t="s">
        <v>1872</v>
      </c>
    </row>
    <row r="115" spans="1:13" ht="14.25" customHeight="1">
      <c r="A115" s="113">
        <v>5</v>
      </c>
      <c r="B115" s="47"/>
      <c r="C115" s="130" t="s">
        <v>1178</v>
      </c>
      <c r="D115" s="130" t="s">
        <v>1179</v>
      </c>
      <c r="E115" s="130" t="s">
        <v>1180</v>
      </c>
      <c r="F115" s="130" t="s">
        <v>65</v>
      </c>
      <c r="G115" s="104" t="s">
        <v>17682</v>
      </c>
      <c r="H115" s="130" t="s">
        <v>17683</v>
      </c>
      <c r="I115" s="116" t="s">
        <v>1183</v>
      </c>
      <c r="J115" s="130" t="s">
        <v>1184</v>
      </c>
      <c r="K115" s="47" t="s">
        <v>17684</v>
      </c>
      <c r="L115" s="47" t="s">
        <v>1881</v>
      </c>
      <c r="M115" s="47" t="s">
        <v>1882</v>
      </c>
    </row>
    <row r="116" spans="1:13" ht="14.25" customHeight="1">
      <c r="A116" s="113">
        <v>6</v>
      </c>
      <c r="B116" s="47"/>
      <c r="C116" s="130" t="s">
        <v>2061</v>
      </c>
      <c r="D116" s="130" t="s">
        <v>2062</v>
      </c>
      <c r="E116" s="130" t="s">
        <v>2063</v>
      </c>
      <c r="F116" s="130" t="s">
        <v>65</v>
      </c>
      <c r="G116" s="104" t="s">
        <v>2064</v>
      </c>
      <c r="H116" s="130" t="s">
        <v>17685</v>
      </c>
      <c r="I116" s="116" t="s">
        <v>2066</v>
      </c>
      <c r="J116" s="116" t="s">
        <v>2067</v>
      </c>
      <c r="K116" s="47" t="s">
        <v>17686</v>
      </c>
      <c r="L116" s="47" t="s">
        <v>1891</v>
      </c>
      <c r="M116" s="47" t="s">
        <v>1892</v>
      </c>
    </row>
    <row r="117" spans="1:13" ht="14.25" customHeight="1">
      <c r="A117" s="113">
        <v>7</v>
      </c>
      <c r="B117" s="47"/>
      <c r="C117" s="130" t="s">
        <v>17687</v>
      </c>
      <c r="D117" s="130" t="s">
        <v>17688</v>
      </c>
      <c r="E117" s="130" t="s">
        <v>17689</v>
      </c>
      <c r="F117" s="130" t="s">
        <v>117</v>
      </c>
      <c r="G117" s="104" t="s">
        <v>17690</v>
      </c>
      <c r="H117" s="130" t="s">
        <v>17691</v>
      </c>
      <c r="I117" s="116" t="s">
        <v>17692</v>
      </c>
      <c r="J117" s="116" t="s">
        <v>17693</v>
      </c>
      <c r="K117" s="47" t="s">
        <v>17694</v>
      </c>
      <c r="L117" s="47" t="s">
        <v>1901</v>
      </c>
      <c r="M117" s="47" t="s">
        <v>1902</v>
      </c>
    </row>
    <row r="118" spans="1:13" ht="14.25" customHeight="1">
      <c r="A118" s="113">
        <v>8</v>
      </c>
      <c r="B118" s="47"/>
      <c r="C118" s="130" t="s">
        <v>2478</v>
      </c>
      <c r="D118" s="130" t="s">
        <v>2479</v>
      </c>
      <c r="E118" s="130" t="s">
        <v>2480</v>
      </c>
      <c r="F118" s="130" t="s">
        <v>117</v>
      </c>
      <c r="G118" s="104" t="s">
        <v>2481</v>
      </c>
      <c r="H118" s="130" t="s">
        <v>17695</v>
      </c>
      <c r="I118" s="116" t="s">
        <v>2483</v>
      </c>
      <c r="J118" s="116" t="s">
        <v>2484</v>
      </c>
      <c r="K118" s="47" t="s">
        <v>10818</v>
      </c>
      <c r="L118" s="47" t="s">
        <v>1911</v>
      </c>
      <c r="M118" s="47" t="s">
        <v>1912</v>
      </c>
    </row>
    <row r="119" spans="1:13" ht="14.25" customHeight="1">
      <c r="A119" s="113">
        <v>9</v>
      </c>
      <c r="B119" s="47"/>
      <c r="C119" s="104" t="s">
        <v>3092</v>
      </c>
      <c r="D119" s="104" t="s">
        <v>3093</v>
      </c>
      <c r="E119" s="104" t="s">
        <v>3094</v>
      </c>
      <c r="F119" s="104" t="s">
        <v>117</v>
      </c>
      <c r="G119" s="104" t="s">
        <v>3095</v>
      </c>
      <c r="H119" s="104" t="s">
        <v>17696</v>
      </c>
      <c r="I119" s="116" t="s">
        <v>3097</v>
      </c>
      <c r="J119" s="116" t="s">
        <v>3098</v>
      </c>
      <c r="K119" s="47" t="s">
        <v>17697</v>
      </c>
      <c r="L119" s="47" t="s">
        <v>1921</v>
      </c>
      <c r="M119" s="47" t="s">
        <v>1922</v>
      </c>
    </row>
    <row r="120" spans="1:13" ht="14.25" customHeight="1">
      <c r="A120" s="113">
        <v>10</v>
      </c>
      <c r="B120" s="47"/>
      <c r="C120" s="130" t="s">
        <v>519</v>
      </c>
      <c r="D120" s="130" t="s">
        <v>520</v>
      </c>
      <c r="E120" s="130" t="s">
        <v>521</v>
      </c>
      <c r="F120" s="130" t="s">
        <v>42</v>
      </c>
      <c r="G120" s="130" t="s">
        <v>522</v>
      </c>
      <c r="H120" s="130" t="s">
        <v>17698</v>
      </c>
      <c r="I120" s="116" t="s">
        <v>524</v>
      </c>
      <c r="J120" s="116" t="s">
        <v>525</v>
      </c>
      <c r="K120" s="47" t="s">
        <v>17699</v>
      </c>
      <c r="L120" s="47" t="s">
        <v>1931</v>
      </c>
      <c r="M120" s="47" t="s">
        <v>1932</v>
      </c>
    </row>
    <row r="121" spans="1:13" ht="14.25" customHeight="1">
      <c r="A121" s="113">
        <v>11</v>
      </c>
      <c r="B121" s="47"/>
      <c r="C121" s="130" t="s">
        <v>17700</v>
      </c>
      <c r="D121" s="130" t="s">
        <v>17701</v>
      </c>
      <c r="E121" s="130" t="s">
        <v>17702</v>
      </c>
      <c r="F121" s="130" t="s">
        <v>65</v>
      </c>
      <c r="G121" s="130" t="s">
        <v>17703</v>
      </c>
      <c r="H121" s="130" t="s">
        <v>17704</v>
      </c>
      <c r="I121" s="116" t="s">
        <v>17705</v>
      </c>
      <c r="J121" s="116" t="s">
        <v>17706</v>
      </c>
      <c r="K121" s="47" t="s">
        <v>17707</v>
      </c>
      <c r="L121" s="47" t="s">
        <v>1941</v>
      </c>
      <c r="M121" s="47" t="s">
        <v>1942</v>
      </c>
    </row>
    <row r="122" spans="1:13" ht="14.25" customHeight="1">
      <c r="A122" s="146">
        <v>1</v>
      </c>
      <c r="B122" s="88"/>
      <c r="C122" s="148" t="s">
        <v>1499</v>
      </c>
      <c r="D122" s="148" t="s">
        <v>1500</v>
      </c>
      <c r="E122" s="148" t="s">
        <v>1501</v>
      </c>
      <c r="F122" s="148" t="s">
        <v>460</v>
      </c>
      <c r="G122" s="148" t="s">
        <v>1502</v>
      </c>
      <c r="H122" s="148" t="s">
        <v>17708</v>
      </c>
      <c r="I122" s="150" t="s">
        <v>1504</v>
      </c>
      <c r="J122" s="150" t="s">
        <v>1505</v>
      </c>
      <c r="K122" s="88" t="s">
        <v>17709</v>
      </c>
      <c r="L122" s="88" t="s">
        <v>2069</v>
      </c>
      <c r="M122" s="88" t="s">
        <v>2070</v>
      </c>
    </row>
    <row r="123" spans="1:13" ht="14.25" customHeight="1">
      <c r="A123" s="113">
        <v>2</v>
      </c>
      <c r="B123" s="47"/>
      <c r="C123" s="130" t="s">
        <v>2328</v>
      </c>
      <c r="D123" s="130" t="s">
        <v>2329</v>
      </c>
      <c r="E123" s="130" t="s">
        <v>2330</v>
      </c>
      <c r="F123" s="130" t="s">
        <v>117</v>
      </c>
      <c r="G123" s="104" t="s">
        <v>2331</v>
      </c>
      <c r="H123" s="130" t="s">
        <v>17710</v>
      </c>
      <c r="I123" s="116" t="s">
        <v>2333</v>
      </c>
      <c r="J123" s="116" t="s">
        <v>2334</v>
      </c>
      <c r="K123" s="47" t="s">
        <v>17711</v>
      </c>
      <c r="L123" s="47" t="s">
        <v>2079</v>
      </c>
      <c r="M123" s="47" t="s">
        <v>2080</v>
      </c>
    </row>
    <row r="124" spans="1:13" ht="14.25" customHeight="1">
      <c r="A124" s="113">
        <v>3</v>
      </c>
      <c r="B124" s="47"/>
      <c r="C124" s="130" t="s">
        <v>2348</v>
      </c>
      <c r="D124" s="130" t="s">
        <v>2349</v>
      </c>
      <c r="E124" s="130" t="s">
        <v>2350</v>
      </c>
      <c r="F124" s="130" t="s">
        <v>65</v>
      </c>
      <c r="G124" s="104" t="s">
        <v>2351</v>
      </c>
      <c r="H124" s="130" t="s">
        <v>17712</v>
      </c>
      <c r="I124" s="116" t="s">
        <v>2353</v>
      </c>
      <c r="J124" s="116" t="s">
        <v>2354</v>
      </c>
      <c r="K124" s="47" t="s">
        <v>17713</v>
      </c>
      <c r="L124" s="47" t="s">
        <v>2090</v>
      </c>
      <c r="M124" s="47" t="s">
        <v>2091</v>
      </c>
    </row>
    <row r="125" spans="1:13" ht="14.25" customHeight="1">
      <c r="A125" s="113">
        <v>4</v>
      </c>
      <c r="B125" s="47"/>
      <c r="C125" s="130" t="s">
        <v>2298</v>
      </c>
      <c r="D125" s="130" t="s">
        <v>2299</v>
      </c>
      <c r="E125" s="130" t="s">
        <v>2300</v>
      </c>
      <c r="F125" s="130" t="s">
        <v>65</v>
      </c>
      <c r="G125" s="104" t="s">
        <v>2301</v>
      </c>
      <c r="H125" s="130" t="s">
        <v>17714</v>
      </c>
      <c r="I125" s="116" t="s">
        <v>2303</v>
      </c>
      <c r="J125" s="116" t="s">
        <v>2304</v>
      </c>
      <c r="K125" s="47" t="s">
        <v>17715</v>
      </c>
      <c r="L125" s="47" t="s">
        <v>2100</v>
      </c>
      <c r="M125" s="47" t="s">
        <v>2101</v>
      </c>
    </row>
    <row r="126" spans="1:13" ht="14.25" customHeight="1">
      <c r="A126" s="113">
        <v>5</v>
      </c>
      <c r="B126" s="47"/>
      <c r="C126" s="130" t="s">
        <v>2378</v>
      </c>
      <c r="D126" s="130" t="s">
        <v>2379</v>
      </c>
      <c r="E126" s="130" t="s">
        <v>2380</v>
      </c>
      <c r="F126" s="130" t="s">
        <v>54</v>
      </c>
      <c r="G126" s="104" t="s">
        <v>2381</v>
      </c>
      <c r="H126" s="130" t="s">
        <v>17716</v>
      </c>
      <c r="I126" s="116" t="s">
        <v>2383</v>
      </c>
      <c r="J126" s="116" t="s">
        <v>2384</v>
      </c>
      <c r="K126" s="47" t="s">
        <v>17717</v>
      </c>
      <c r="L126" s="47" t="s">
        <v>2110</v>
      </c>
      <c r="M126" s="47" t="s">
        <v>2111</v>
      </c>
    </row>
    <row r="127" spans="1:13" ht="14.25" customHeight="1">
      <c r="A127" s="113">
        <v>6</v>
      </c>
      <c r="B127" s="47"/>
      <c r="C127" s="130" t="s">
        <v>2507</v>
      </c>
      <c r="D127" s="130" t="s">
        <v>2508</v>
      </c>
      <c r="E127" s="130" t="s">
        <v>2509</v>
      </c>
      <c r="F127" s="130" t="s">
        <v>54</v>
      </c>
      <c r="G127" s="104" t="s">
        <v>2510</v>
      </c>
      <c r="H127" s="130" t="s">
        <v>17718</v>
      </c>
      <c r="I127" s="116" t="s">
        <v>2512</v>
      </c>
      <c r="J127" s="116" t="s">
        <v>2513</v>
      </c>
      <c r="K127" s="47" t="s">
        <v>17719</v>
      </c>
      <c r="L127" s="47" t="s">
        <v>2120</v>
      </c>
      <c r="M127" s="47" t="s">
        <v>2121</v>
      </c>
    </row>
    <row r="128" spans="1:13" ht="14.25" customHeight="1">
      <c r="A128" s="113">
        <v>7</v>
      </c>
      <c r="B128" s="47"/>
      <c r="C128" s="130" t="s">
        <v>509</v>
      </c>
      <c r="D128" s="130" t="s">
        <v>510</v>
      </c>
      <c r="E128" s="130" t="s">
        <v>511</v>
      </c>
      <c r="F128" s="130" t="s">
        <v>5711</v>
      </c>
      <c r="G128" s="104" t="s">
        <v>512</v>
      </c>
      <c r="H128" s="154" t="s">
        <v>17720</v>
      </c>
      <c r="I128" s="116" t="s">
        <v>514</v>
      </c>
      <c r="J128" s="116" t="s">
        <v>515</v>
      </c>
      <c r="K128" s="47" t="s">
        <v>17721</v>
      </c>
      <c r="L128" s="47" t="s">
        <v>2130</v>
      </c>
      <c r="M128" s="47" t="s">
        <v>2131</v>
      </c>
    </row>
    <row r="129" spans="1:13" ht="14.25" customHeight="1">
      <c r="A129" s="113">
        <v>8</v>
      </c>
      <c r="B129" s="47"/>
      <c r="C129" s="130" t="s">
        <v>2002</v>
      </c>
      <c r="D129" s="130" t="s">
        <v>2003</v>
      </c>
      <c r="E129" s="130" t="s">
        <v>2004</v>
      </c>
      <c r="F129" s="130" t="s">
        <v>42</v>
      </c>
      <c r="G129" s="104" t="s">
        <v>1152</v>
      </c>
      <c r="H129" s="130" t="s">
        <v>17722</v>
      </c>
      <c r="I129" s="116" t="s">
        <v>2006</v>
      </c>
      <c r="J129" s="115" t="s">
        <v>2007</v>
      </c>
      <c r="K129" s="47" t="s">
        <v>17723</v>
      </c>
      <c r="L129" s="47" t="s">
        <v>2133</v>
      </c>
      <c r="M129" s="47" t="s">
        <v>2134</v>
      </c>
    </row>
    <row r="130" spans="1:13" ht="14.25" customHeight="1">
      <c r="A130" s="113">
        <v>9</v>
      </c>
      <c r="B130" s="47"/>
      <c r="C130" s="130" t="s">
        <v>2965</v>
      </c>
      <c r="D130" s="130" t="s">
        <v>2966</v>
      </c>
      <c r="E130" s="130" t="s">
        <v>2967</v>
      </c>
      <c r="F130" s="130" t="s">
        <v>117</v>
      </c>
      <c r="G130" s="104" t="s">
        <v>2968</v>
      </c>
      <c r="H130" s="130" t="s">
        <v>17724</v>
      </c>
      <c r="I130" s="116" t="s">
        <v>2970</v>
      </c>
      <c r="J130" s="116" t="s">
        <v>2971</v>
      </c>
      <c r="K130" s="47" t="s">
        <v>17725</v>
      </c>
      <c r="L130" s="47" t="s">
        <v>2143</v>
      </c>
      <c r="M130" s="47" t="s">
        <v>2144</v>
      </c>
    </row>
    <row r="131" spans="1:13" ht="14.25" customHeight="1">
      <c r="A131" s="113">
        <v>10</v>
      </c>
      <c r="B131" s="47"/>
      <c r="C131" s="130" t="s">
        <v>4700</v>
      </c>
      <c r="D131" s="130" t="s">
        <v>4701</v>
      </c>
      <c r="E131" s="130" t="s">
        <v>4702</v>
      </c>
      <c r="F131" s="130" t="s">
        <v>65</v>
      </c>
      <c r="G131" s="104" t="s">
        <v>4703</v>
      </c>
      <c r="H131" s="130" t="s">
        <v>17726</v>
      </c>
      <c r="I131" s="116" t="s">
        <v>4705</v>
      </c>
      <c r="J131" s="116" t="s">
        <v>4706</v>
      </c>
      <c r="K131" s="47" t="s">
        <v>5393</v>
      </c>
      <c r="L131" s="47" t="s">
        <v>2153</v>
      </c>
      <c r="M131" s="47" t="s">
        <v>2154</v>
      </c>
    </row>
    <row r="132" spans="1:13" ht="14.25" customHeight="1">
      <c r="A132" s="113">
        <v>11</v>
      </c>
      <c r="B132" s="47"/>
      <c r="C132" s="130" t="s">
        <v>17727</v>
      </c>
      <c r="D132" s="130" t="s">
        <v>17728</v>
      </c>
      <c r="E132" s="130" t="s">
        <v>17729</v>
      </c>
      <c r="F132" s="130" t="s">
        <v>65</v>
      </c>
      <c r="G132" s="104" t="s">
        <v>17730</v>
      </c>
      <c r="H132" s="130" t="s">
        <v>17731</v>
      </c>
      <c r="I132" s="116" t="s">
        <v>17732</v>
      </c>
      <c r="J132" s="116" t="s">
        <v>17733</v>
      </c>
      <c r="K132" s="47" t="s">
        <v>17734</v>
      </c>
      <c r="L132" s="47" t="s">
        <v>2163</v>
      </c>
      <c r="M132" s="47" t="s">
        <v>2164</v>
      </c>
    </row>
    <row r="133" spans="1:13" ht="14.25" customHeight="1">
      <c r="A133" s="113">
        <v>12</v>
      </c>
      <c r="B133" s="47"/>
      <c r="C133" s="130" t="s">
        <v>2401</v>
      </c>
      <c r="D133" s="130" t="s">
        <v>2402</v>
      </c>
      <c r="E133" s="130" t="s">
        <v>2403</v>
      </c>
      <c r="F133" s="130" t="s">
        <v>117</v>
      </c>
      <c r="G133" s="130" t="s">
        <v>2404</v>
      </c>
      <c r="H133" s="130" t="s">
        <v>17735</v>
      </c>
      <c r="I133" s="116" t="s">
        <v>2406</v>
      </c>
      <c r="J133" s="116" t="s">
        <v>2407</v>
      </c>
      <c r="K133" s="47" t="s">
        <v>17736</v>
      </c>
      <c r="L133" s="47" t="s">
        <v>2173</v>
      </c>
      <c r="M133" s="47" t="s">
        <v>2174</v>
      </c>
    </row>
    <row r="134" spans="1:13" ht="14.25" customHeight="1">
      <c r="A134" s="113">
        <v>13</v>
      </c>
      <c r="B134" s="47"/>
      <c r="C134" s="130" t="s">
        <v>2517</v>
      </c>
      <c r="D134" s="130" t="s">
        <v>2518</v>
      </c>
      <c r="E134" s="130" t="s">
        <v>2519</v>
      </c>
      <c r="F134" s="130" t="s">
        <v>65</v>
      </c>
      <c r="G134" s="130" t="s">
        <v>2520</v>
      </c>
      <c r="H134" s="130" t="s">
        <v>17737</v>
      </c>
      <c r="I134" s="116" t="s">
        <v>2522</v>
      </c>
      <c r="J134" s="116" t="s">
        <v>2523</v>
      </c>
      <c r="K134" s="47" t="s">
        <v>17738</v>
      </c>
      <c r="L134" s="47" t="s">
        <v>2183</v>
      </c>
      <c r="M134" s="47" t="s">
        <v>2184</v>
      </c>
    </row>
    <row r="135" spans="1:13" ht="14.25" customHeight="1">
      <c r="A135" s="113">
        <v>14</v>
      </c>
      <c r="B135" s="47"/>
      <c r="C135" s="130" t="s">
        <v>1913</v>
      </c>
      <c r="D135" s="130" t="s">
        <v>1914</v>
      </c>
      <c r="E135" s="130" t="s">
        <v>1915</v>
      </c>
      <c r="F135" s="130" t="s">
        <v>65</v>
      </c>
      <c r="G135" s="130" t="s">
        <v>1916</v>
      </c>
      <c r="H135" s="130" t="s">
        <v>17739</v>
      </c>
      <c r="I135" s="116" t="s">
        <v>1918</v>
      </c>
      <c r="J135" s="116" t="s">
        <v>1919</v>
      </c>
      <c r="K135" s="47" t="s">
        <v>17740</v>
      </c>
      <c r="L135" s="47" t="s">
        <v>2193</v>
      </c>
      <c r="M135" s="47" t="s">
        <v>2194</v>
      </c>
    </row>
    <row r="136" spans="1:13" ht="14.25" customHeight="1">
      <c r="A136" s="113">
        <v>15</v>
      </c>
      <c r="B136" s="47"/>
      <c r="C136" s="130" t="s">
        <v>1059</v>
      </c>
      <c r="D136" s="130" t="s">
        <v>1060</v>
      </c>
      <c r="E136" s="130" t="s">
        <v>1061</v>
      </c>
      <c r="F136" s="130" t="s">
        <v>563</v>
      </c>
      <c r="G136" s="130" t="s">
        <v>17741</v>
      </c>
      <c r="H136" s="130" t="s">
        <v>17742</v>
      </c>
      <c r="I136" s="116" t="s">
        <v>1064</v>
      </c>
      <c r="J136" s="116" t="s">
        <v>1065</v>
      </c>
      <c r="K136" s="47" t="s">
        <v>17743</v>
      </c>
      <c r="L136" s="47" t="s">
        <v>2203</v>
      </c>
      <c r="M136" s="47" t="s">
        <v>2204</v>
      </c>
    </row>
    <row r="137" spans="1:13" ht="14.25" customHeight="1">
      <c r="A137" s="146">
        <v>1</v>
      </c>
      <c r="B137" s="88"/>
      <c r="C137" s="148" t="s">
        <v>1210</v>
      </c>
      <c r="D137" s="148" t="s">
        <v>1211</v>
      </c>
      <c r="E137" s="148" t="s">
        <v>1212</v>
      </c>
      <c r="F137" s="148" t="s">
        <v>65</v>
      </c>
      <c r="G137" s="148" t="s">
        <v>1213</v>
      </c>
      <c r="H137" s="148" t="s">
        <v>17744</v>
      </c>
      <c r="I137" s="150" t="s">
        <v>1215</v>
      </c>
      <c r="J137" s="157" t="s">
        <v>1216</v>
      </c>
      <c r="K137" s="88" t="s">
        <v>17745</v>
      </c>
      <c r="L137" s="88" t="s">
        <v>2306</v>
      </c>
      <c r="M137" s="88" t="s">
        <v>2307</v>
      </c>
    </row>
    <row r="138" spans="1:13" ht="14.25" customHeight="1">
      <c r="A138" s="113">
        <v>2</v>
      </c>
      <c r="B138" s="47"/>
      <c r="C138" s="130" t="s">
        <v>2205</v>
      </c>
      <c r="D138" s="130" t="s">
        <v>2206</v>
      </c>
      <c r="E138" s="130" t="s">
        <v>2207</v>
      </c>
      <c r="F138" s="130" t="s">
        <v>117</v>
      </c>
      <c r="G138" s="104" t="s">
        <v>2208</v>
      </c>
      <c r="H138" s="130" t="s">
        <v>17746</v>
      </c>
      <c r="I138" s="116" t="s">
        <v>2210</v>
      </c>
      <c r="J138" s="116" t="s">
        <v>17747</v>
      </c>
      <c r="K138" s="47" t="s">
        <v>17748</v>
      </c>
      <c r="L138" s="47" t="s">
        <v>2316</v>
      </c>
      <c r="M138" s="47" t="s">
        <v>2317</v>
      </c>
    </row>
    <row r="139" spans="1:13" ht="14.25" customHeight="1">
      <c r="A139" s="113">
        <v>3</v>
      </c>
      <c r="B139" s="47"/>
      <c r="C139" s="130" t="s">
        <v>1727</v>
      </c>
      <c r="D139" s="130" t="s">
        <v>1728</v>
      </c>
      <c r="E139" s="130" t="s">
        <v>1729</v>
      </c>
      <c r="F139" s="130" t="s">
        <v>117</v>
      </c>
      <c r="G139" s="104" t="s">
        <v>1730</v>
      </c>
      <c r="H139" s="130" t="s">
        <v>17749</v>
      </c>
      <c r="I139" s="116" t="s">
        <v>1732</v>
      </c>
      <c r="J139" s="116" t="s">
        <v>17750</v>
      </c>
      <c r="K139" s="47" t="s">
        <v>17751</v>
      </c>
      <c r="L139" s="47" t="s">
        <v>2326</v>
      </c>
      <c r="M139" s="47" t="s">
        <v>2327</v>
      </c>
    </row>
    <row r="140" spans="1:13" ht="14.25" customHeight="1">
      <c r="A140" s="113">
        <v>4</v>
      </c>
      <c r="B140" s="47"/>
      <c r="C140" s="130" t="s">
        <v>2561</v>
      </c>
      <c r="D140" s="130" t="s">
        <v>2562</v>
      </c>
      <c r="E140" s="130" t="s">
        <v>2563</v>
      </c>
      <c r="F140" s="130" t="s">
        <v>117</v>
      </c>
      <c r="G140" s="104" t="s">
        <v>2564</v>
      </c>
      <c r="H140" s="130" t="s">
        <v>17752</v>
      </c>
      <c r="I140" s="116" t="s">
        <v>2566</v>
      </c>
      <c r="J140" s="116" t="s">
        <v>17753</v>
      </c>
      <c r="K140" s="47" t="s">
        <v>17754</v>
      </c>
      <c r="L140" s="47" t="s">
        <v>2336</v>
      </c>
      <c r="M140" s="47" t="s">
        <v>2337</v>
      </c>
    </row>
    <row r="141" spans="1:13" ht="14.25" customHeight="1">
      <c r="A141" s="113">
        <v>5</v>
      </c>
      <c r="B141" s="47"/>
      <c r="C141" s="130" t="s">
        <v>1803</v>
      </c>
      <c r="D141" s="130" t="s">
        <v>1804</v>
      </c>
      <c r="E141" s="130" t="s">
        <v>1805</v>
      </c>
      <c r="F141" s="130" t="s">
        <v>65</v>
      </c>
      <c r="G141" s="104" t="s">
        <v>1806</v>
      </c>
      <c r="H141" s="130" t="s">
        <v>17755</v>
      </c>
      <c r="I141" s="116" t="s">
        <v>1808</v>
      </c>
      <c r="J141" s="116" t="s">
        <v>1809</v>
      </c>
      <c r="K141" s="47" t="s">
        <v>17756</v>
      </c>
      <c r="L141" s="47" t="s">
        <v>2346</v>
      </c>
      <c r="M141" s="47" t="s">
        <v>2347</v>
      </c>
    </row>
    <row r="142" spans="1:13" ht="14.25" customHeight="1">
      <c r="A142" s="113">
        <v>6</v>
      </c>
      <c r="B142" s="47"/>
      <c r="C142" s="130" t="s">
        <v>2614</v>
      </c>
      <c r="D142" s="130" t="s">
        <v>2615</v>
      </c>
      <c r="E142" s="130" t="s">
        <v>2616</v>
      </c>
      <c r="F142" s="130" t="s">
        <v>501</v>
      </c>
      <c r="G142" s="104" t="s">
        <v>2617</v>
      </c>
      <c r="H142" s="130" t="s">
        <v>17757</v>
      </c>
      <c r="I142" s="116" t="s">
        <v>2619</v>
      </c>
      <c r="J142" s="116" t="s">
        <v>2620</v>
      </c>
      <c r="K142" s="47" t="s">
        <v>5194</v>
      </c>
      <c r="L142" s="47" t="s">
        <v>2356</v>
      </c>
      <c r="M142" s="47" t="s">
        <v>2357</v>
      </c>
    </row>
    <row r="143" spans="1:13" ht="14.25" customHeight="1">
      <c r="A143" s="113">
        <v>7</v>
      </c>
      <c r="B143" s="47"/>
      <c r="C143" s="130" t="s">
        <v>436</v>
      </c>
      <c r="D143" s="130" t="s">
        <v>437</v>
      </c>
      <c r="E143" s="130" t="s">
        <v>438</v>
      </c>
      <c r="F143" s="130" t="s">
        <v>439</v>
      </c>
      <c r="G143" s="104" t="s">
        <v>440</v>
      </c>
      <c r="H143" s="130" t="s">
        <v>17758</v>
      </c>
      <c r="I143" s="116" t="s">
        <v>442</v>
      </c>
      <c r="J143" s="130" t="s">
        <v>443</v>
      </c>
      <c r="K143" s="47" t="s">
        <v>17759</v>
      </c>
      <c r="L143" s="47" t="s">
        <v>2366</v>
      </c>
      <c r="M143" s="47" t="s">
        <v>2367</v>
      </c>
    </row>
    <row r="144" spans="1:13" ht="14.25" customHeight="1">
      <c r="A144" s="113">
        <v>8</v>
      </c>
      <c r="B144" s="47"/>
      <c r="C144" s="130" t="s">
        <v>297</v>
      </c>
      <c r="D144" s="130" t="s">
        <v>298</v>
      </c>
      <c r="E144" s="130" t="s">
        <v>299</v>
      </c>
      <c r="F144" s="130" t="s">
        <v>219</v>
      </c>
      <c r="G144" s="104" t="s">
        <v>300</v>
      </c>
      <c r="H144" s="130" t="s">
        <v>17760</v>
      </c>
      <c r="I144" s="116" t="s">
        <v>302</v>
      </c>
      <c r="J144" s="116" t="s">
        <v>17761</v>
      </c>
      <c r="K144" s="47" t="s">
        <v>17762</v>
      </c>
      <c r="L144" s="47" t="s">
        <v>2376</v>
      </c>
      <c r="M144" s="47" t="s">
        <v>2377</v>
      </c>
    </row>
    <row r="145" spans="1:13" ht="14.25" customHeight="1">
      <c r="A145" s="113">
        <v>9</v>
      </c>
      <c r="B145" s="47"/>
      <c r="C145" s="130" t="s">
        <v>1260</v>
      </c>
      <c r="D145" s="130" t="s">
        <v>1261</v>
      </c>
      <c r="E145" s="130" t="s">
        <v>1262</v>
      </c>
      <c r="F145" s="130" t="s">
        <v>320</v>
      </c>
      <c r="G145" s="104" t="s">
        <v>1263</v>
      </c>
      <c r="H145" s="130" t="s">
        <v>17763</v>
      </c>
      <c r="I145" s="116" t="s">
        <v>1265</v>
      </c>
      <c r="J145" s="116" t="s">
        <v>1266</v>
      </c>
      <c r="K145" s="47" t="s">
        <v>17764</v>
      </c>
      <c r="L145" s="47" t="s">
        <v>2386</v>
      </c>
      <c r="M145" s="47" t="s">
        <v>2387</v>
      </c>
    </row>
    <row r="146" spans="1:13" ht="14.25" customHeight="1">
      <c r="A146" s="113">
        <v>10</v>
      </c>
      <c r="B146" s="47"/>
      <c r="C146" s="130" t="s">
        <v>953</v>
      </c>
      <c r="D146" s="130" t="s">
        <v>954</v>
      </c>
      <c r="E146" s="130" t="s">
        <v>955</v>
      </c>
      <c r="F146" s="130" t="s">
        <v>117</v>
      </c>
      <c r="G146" s="104" t="s">
        <v>956</v>
      </c>
      <c r="H146" s="130" t="s">
        <v>17765</v>
      </c>
      <c r="I146" s="116" t="s">
        <v>958</v>
      </c>
      <c r="J146" s="116" t="s">
        <v>17766</v>
      </c>
      <c r="K146" s="47" t="s">
        <v>17767</v>
      </c>
      <c r="L146" s="47" t="s">
        <v>2389</v>
      </c>
      <c r="M146" s="47" t="s">
        <v>2390</v>
      </c>
    </row>
    <row r="147" spans="1:13" ht="15" customHeight="1">
      <c r="A147" s="146">
        <v>1</v>
      </c>
      <c r="B147" s="88"/>
      <c r="C147" s="148" t="s">
        <v>2451</v>
      </c>
      <c r="D147" s="148" t="s">
        <v>2452</v>
      </c>
      <c r="E147" s="148" t="s">
        <v>2453</v>
      </c>
      <c r="F147" s="148" t="s">
        <v>2454</v>
      </c>
      <c r="G147" s="148" t="s">
        <v>2455</v>
      </c>
      <c r="H147" s="203" t="s">
        <v>17768</v>
      </c>
      <c r="I147" s="150" t="s">
        <v>2457</v>
      </c>
      <c r="J147" s="203" t="s">
        <v>2458</v>
      </c>
      <c r="K147" s="88" t="s">
        <v>17769</v>
      </c>
      <c r="L147" s="88" t="s">
        <v>2535</v>
      </c>
      <c r="M147" s="88" t="s">
        <v>2536</v>
      </c>
    </row>
    <row r="148" spans="1:13" ht="14.25" customHeight="1">
      <c r="A148" s="113">
        <v>2</v>
      </c>
      <c r="B148" s="47"/>
      <c r="C148" s="130" t="s">
        <v>17770</v>
      </c>
      <c r="D148" s="130" t="s">
        <v>17771</v>
      </c>
      <c r="E148" s="130" t="s">
        <v>17772</v>
      </c>
      <c r="F148" s="130" t="s">
        <v>54</v>
      </c>
      <c r="G148" s="104" t="s">
        <v>17773</v>
      </c>
      <c r="H148" s="154" t="s">
        <v>17774</v>
      </c>
      <c r="I148" s="116" t="s">
        <v>17775</v>
      </c>
      <c r="J148" s="154" t="s">
        <v>17776</v>
      </c>
      <c r="K148" s="47" t="s">
        <v>17777</v>
      </c>
      <c r="L148" s="47" t="s">
        <v>2538</v>
      </c>
      <c r="M148" s="47" t="s">
        <v>2539</v>
      </c>
    </row>
    <row r="149" spans="1:13" ht="14.25" customHeight="1">
      <c r="A149" s="113">
        <v>3</v>
      </c>
      <c r="B149" s="47"/>
      <c r="C149" s="130" t="s">
        <v>1923</v>
      </c>
      <c r="D149" s="130" t="s">
        <v>1924</v>
      </c>
      <c r="E149" s="130" t="s">
        <v>1925</v>
      </c>
      <c r="F149" s="130" t="s">
        <v>54</v>
      </c>
      <c r="G149" s="104" t="s">
        <v>1926</v>
      </c>
      <c r="H149" s="130" t="s">
        <v>17778</v>
      </c>
      <c r="I149" s="116" t="s">
        <v>1928</v>
      </c>
      <c r="J149" s="115" t="s">
        <v>17779</v>
      </c>
      <c r="K149" s="47" t="s">
        <v>17780</v>
      </c>
      <c r="L149" s="47" t="s">
        <v>2549</v>
      </c>
      <c r="M149" s="47" t="s">
        <v>2550</v>
      </c>
    </row>
    <row r="150" spans="1:13" ht="14.25" customHeight="1">
      <c r="A150" s="113">
        <v>4</v>
      </c>
      <c r="B150" s="47"/>
      <c r="C150" s="130" t="s">
        <v>1049</v>
      </c>
      <c r="D150" s="130" t="s">
        <v>1050</v>
      </c>
      <c r="E150" s="130" t="s">
        <v>1051</v>
      </c>
      <c r="F150" s="130" t="s">
        <v>65</v>
      </c>
      <c r="G150" s="104" t="s">
        <v>1052</v>
      </c>
      <c r="H150" s="130" t="s">
        <v>17781</v>
      </c>
      <c r="I150" s="116" t="s">
        <v>1054</v>
      </c>
      <c r="J150" s="115" t="s">
        <v>17782</v>
      </c>
      <c r="K150" s="47" t="s">
        <v>17783</v>
      </c>
      <c r="L150" s="47" t="s">
        <v>2559</v>
      </c>
      <c r="M150" s="47" t="s">
        <v>2560</v>
      </c>
    </row>
    <row r="151" spans="1:13" ht="14.25" customHeight="1">
      <c r="A151" s="113">
        <v>5</v>
      </c>
      <c r="B151" s="47"/>
      <c r="C151" s="130" t="s">
        <v>1943</v>
      </c>
      <c r="D151" s="130" t="s">
        <v>1944</v>
      </c>
      <c r="E151" s="130" t="s">
        <v>1945</v>
      </c>
      <c r="F151" s="130" t="s">
        <v>65</v>
      </c>
      <c r="G151" s="104" t="s">
        <v>1946</v>
      </c>
      <c r="H151" s="130" t="s">
        <v>17784</v>
      </c>
      <c r="I151" s="116" t="s">
        <v>1948</v>
      </c>
      <c r="J151" s="115" t="s">
        <v>17785</v>
      </c>
      <c r="K151" s="47" t="s">
        <v>17786</v>
      </c>
      <c r="L151" s="47" t="s">
        <v>2569</v>
      </c>
      <c r="M151" s="47" t="s">
        <v>2570</v>
      </c>
    </row>
    <row r="152" spans="1:13" ht="14.25" customHeight="1">
      <c r="A152" s="113">
        <v>6</v>
      </c>
      <c r="B152" s="47"/>
      <c r="C152" s="130" t="s">
        <v>1973</v>
      </c>
      <c r="D152" s="130" t="s">
        <v>1974</v>
      </c>
      <c r="E152" s="130" t="s">
        <v>1975</v>
      </c>
      <c r="F152" s="130" t="s">
        <v>65</v>
      </c>
      <c r="G152" s="104" t="s">
        <v>1976</v>
      </c>
      <c r="H152" s="130" t="s">
        <v>17787</v>
      </c>
      <c r="I152" s="116" t="s">
        <v>1978</v>
      </c>
      <c r="J152" s="115" t="s">
        <v>17788</v>
      </c>
      <c r="K152" s="47" t="s">
        <v>17789</v>
      </c>
      <c r="L152" s="47" t="s">
        <v>2579</v>
      </c>
      <c r="M152" s="47" t="s">
        <v>2580</v>
      </c>
    </row>
    <row r="153" spans="1:13" ht="14.25" customHeight="1">
      <c r="A153" s="113">
        <v>7</v>
      </c>
      <c r="B153" s="47"/>
      <c r="C153" s="130" t="s">
        <v>2122</v>
      </c>
      <c r="D153" s="130" t="s">
        <v>2123</v>
      </c>
      <c r="E153" s="130" t="s">
        <v>2124</v>
      </c>
      <c r="F153" s="130" t="s">
        <v>65</v>
      </c>
      <c r="G153" s="104" t="s">
        <v>2125</v>
      </c>
      <c r="H153" s="130" t="s">
        <v>17790</v>
      </c>
      <c r="I153" s="116" t="s">
        <v>2127</v>
      </c>
      <c r="J153" s="115" t="s">
        <v>17791</v>
      </c>
      <c r="K153" s="47" t="s">
        <v>17792</v>
      </c>
      <c r="L153" s="47" t="s">
        <v>2589</v>
      </c>
      <c r="M153" s="47" t="s">
        <v>2590</v>
      </c>
    </row>
    <row r="154" spans="1:13" ht="14.25" customHeight="1">
      <c r="A154" s="113">
        <v>8</v>
      </c>
      <c r="B154" s="47"/>
      <c r="C154" s="130" t="s">
        <v>2675</v>
      </c>
      <c r="D154" s="130" t="s">
        <v>2676</v>
      </c>
      <c r="E154" s="130" t="s">
        <v>2677</v>
      </c>
      <c r="F154" s="130" t="s">
        <v>65</v>
      </c>
      <c r="G154" s="104" t="s">
        <v>2678</v>
      </c>
      <c r="H154" s="130" t="s">
        <v>17793</v>
      </c>
      <c r="I154" s="116" t="s">
        <v>2680</v>
      </c>
      <c r="J154" s="115" t="s">
        <v>17794</v>
      </c>
      <c r="K154" s="47" t="s">
        <v>17795</v>
      </c>
      <c r="L154" s="47" t="s">
        <v>2599</v>
      </c>
      <c r="M154" s="47" t="s">
        <v>2600</v>
      </c>
    </row>
    <row r="155" spans="1:13" ht="14.25" customHeight="1">
      <c r="A155" s="113">
        <v>9</v>
      </c>
      <c r="B155" s="47"/>
      <c r="C155" s="130" t="s">
        <v>3320</v>
      </c>
      <c r="D155" s="130" t="s">
        <v>3321</v>
      </c>
      <c r="E155" s="130" t="s">
        <v>3322</v>
      </c>
      <c r="F155" s="130" t="s">
        <v>439</v>
      </c>
      <c r="G155" s="104" t="s">
        <v>3323</v>
      </c>
      <c r="H155" s="130" t="s">
        <v>17796</v>
      </c>
      <c r="I155" s="116" t="s">
        <v>3325</v>
      </c>
      <c r="J155" s="115" t="s">
        <v>3326</v>
      </c>
      <c r="K155" s="47" t="s">
        <v>5221</v>
      </c>
      <c r="L155" s="47" t="s">
        <v>2609</v>
      </c>
      <c r="M155" s="47" t="s">
        <v>2610</v>
      </c>
    </row>
    <row r="156" spans="1:13" ht="14.25" customHeight="1">
      <c r="A156" s="113">
        <v>10</v>
      </c>
      <c r="B156" s="47"/>
      <c r="C156" s="130" t="s">
        <v>1407</v>
      </c>
      <c r="D156" s="130" t="s">
        <v>1408</v>
      </c>
      <c r="E156" s="130" t="s">
        <v>1409</v>
      </c>
      <c r="F156" s="130" t="s">
        <v>1410</v>
      </c>
      <c r="G156" s="104" t="s">
        <v>1411</v>
      </c>
      <c r="H156" s="130" t="s">
        <v>17797</v>
      </c>
      <c r="I156" s="116" t="s">
        <v>1413</v>
      </c>
      <c r="J156" s="115" t="s">
        <v>17798</v>
      </c>
      <c r="K156" s="47" t="s">
        <v>17799</v>
      </c>
      <c r="L156" s="47" t="s">
        <v>2612</v>
      </c>
      <c r="M156" s="47" t="s">
        <v>2613</v>
      </c>
    </row>
    <row r="157" spans="1:13" ht="14.25" customHeight="1">
      <c r="A157" s="113">
        <v>11</v>
      </c>
      <c r="B157" s="47"/>
      <c r="C157" s="130" t="s">
        <v>1398</v>
      </c>
      <c r="D157" s="130" t="s">
        <v>1399</v>
      </c>
      <c r="E157" s="130" t="s">
        <v>1400</v>
      </c>
      <c r="F157" s="130" t="s">
        <v>65</v>
      </c>
      <c r="G157" s="104" t="s">
        <v>1223</v>
      </c>
      <c r="H157" s="130" t="s">
        <v>17800</v>
      </c>
      <c r="I157" s="116" t="s">
        <v>1402</v>
      </c>
      <c r="J157" s="115" t="s">
        <v>1403</v>
      </c>
      <c r="K157" s="47" t="s">
        <v>17801</v>
      </c>
      <c r="L157" s="47" t="s">
        <v>2622</v>
      </c>
      <c r="M157" s="47" t="s">
        <v>2623</v>
      </c>
    </row>
    <row r="158" spans="1:13" ht="14.25" customHeight="1">
      <c r="A158" s="113">
        <v>12</v>
      </c>
      <c r="B158" s="47"/>
      <c r="C158" s="130" t="s">
        <v>2729</v>
      </c>
      <c r="D158" s="130" t="s">
        <v>2730</v>
      </c>
      <c r="E158" s="130" t="s">
        <v>2731</v>
      </c>
      <c r="F158" s="130" t="s">
        <v>117</v>
      </c>
      <c r="G158" s="104" t="s">
        <v>7483</v>
      </c>
      <c r="H158" s="130" t="s">
        <v>17802</v>
      </c>
      <c r="I158" s="116" t="s">
        <v>2734</v>
      </c>
      <c r="J158" s="115" t="s">
        <v>2735</v>
      </c>
      <c r="K158" s="47" t="s">
        <v>10796</v>
      </c>
      <c r="L158" s="47" t="s">
        <v>2630</v>
      </c>
      <c r="M158" s="47" t="s">
        <v>2631</v>
      </c>
    </row>
    <row r="159" spans="1:13" ht="14.25" customHeight="1">
      <c r="A159" s="113" t="s">
        <v>17803</v>
      </c>
      <c r="B159" s="47"/>
      <c r="C159" s="130" t="s">
        <v>3419</v>
      </c>
      <c r="D159" s="130" t="s">
        <v>3420</v>
      </c>
      <c r="E159" s="130" t="s">
        <v>3421</v>
      </c>
      <c r="F159" s="130" t="s">
        <v>117</v>
      </c>
      <c r="G159" s="104" t="s">
        <v>3422</v>
      </c>
      <c r="H159" s="130" t="s">
        <v>17804</v>
      </c>
      <c r="I159" s="116" t="s">
        <v>3424</v>
      </c>
      <c r="J159" s="130" t="s">
        <v>3425</v>
      </c>
      <c r="K159" s="47" t="s">
        <v>5228</v>
      </c>
      <c r="L159" s="47" t="s">
        <v>2633</v>
      </c>
      <c r="M159" s="47" t="s">
        <v>2634</v>
      </c>
    </row>
    <row r="160" spans="1:13" ht="14.25" customHeight="1">
      <c r="A160" s="113">
        <v>14</v>
      </c>
      <c r="B160" s="47"/>
      <c r="C160" s="104" t="s">
        <v>1479</v>
      </c>
      <c r="D160" s="104" t="s">
        <v>1480</v>
      </c>
      <c r="E160" s="104" t="s">
        <v>1481</v>
      </c>
      <c r="F160" s="104" t="s">
        <v>117</v>
      </c>
      <c r="G160" s="104" t="s">
        <v>1482</v>
      </c>
      <c r="H160" s="104" t="s">
        <v>17805</v>
      </c>
      <c r="I160" s="116" t="s">
        <v>1484</v>
      </c>
      <c r="J160" s="104" t="s">
        <v>1485</v>
      </c>
      <c r="K160" s="47" t="s">
        <v>17806</v>
      </c>
      <c r="L160" s="47" t="s">
        <v>2643</v>
      </c>
      <c r="M160" s="47" t="s">
        <v>2644</v>
      </c>
    </row>
    <row r="161" spans="1:13" ht="14.25" customHeight="1">
      <c r="A161" s="113">
        <v>15</v>
      </c>
      <c r="B161" s="47"/>
      <c r="C161" s="130" t="s">
        <v>1509</v>
      </c>
      <c r="D161" s="130" t="s">
        <v>1510</v>
      </c>
      <c r="E161" s="130" t="s">
        <v>1511</v>
      </c>
      <c r="F161" s="130" t="s">
        <v>54</v>
      </c>
      <c r="G161" s="104" t="s">
        <v>1512</v>
      </c>
      <c r="H161" s="130" t="s">
        <v>17807</v>
      </c>
      <c r="I161" s="116" t="s">
        <v>1514</v>
      </c>
      <c r="J161" s="130" t="s">
        <v>1515</v>
      </c>
      <c r="K161" s="47" t="s">
        <v>17808</v>
      </c>
      <c r="L161" s="47" t="s">
        <v>2653</v>
      </c>
      <c r="M161" s="47" t="s">
        <v>2654</v>
      </c>
    </row>
    <row r="162" spans="1:13" ht="14.25" customHeight="1">
      <c r="A162" s="113">
        <v>16</v>
      </c>
      <c r="B162" s="47"/>
      <c r="C162" s="104" t="s">
        <v>1873</v>
      </c>
      <c r="D162" s="104" t="s">
        <v>1874</v>
      </c>
      <c r="E162" s="104" t="s">
        <v>1875</v>
      </c>
      <c r="F162" s="104" t="s">
        <v>42</v>
      </c>
      <c r="G162" s="104" t="s">
        <v>1876</v>
      </c>
      <c r="H162" s="104" t="s">
        <v>17809</v>
      </c>
      <c r="I162" s="116" t="s">
        <v>1878</v>
      </c>
      <c r="J162" s="104" t="s">
        <v>1879</v>
      </c>
      <c r="K162" s="47" t="s">
        <v>17810</v>
      </c>
      <c r="L162" s="47" t="s">
        <v>2663</v>
      </c>
      <c r="M162" s="47" t="s">
        <v>2664</v>
      </c>
    </row>
    <row r="163" spans="1:13" ht="14.25" customHeight="1">
      <c r="A163" s="113">
        <v>17</v>
      </c>
      <c r="B163" s="47"/>
      <c r="C163" s="130" t="s">
        <v>2772</v>
      </c>
      <c r="D163" s="130" t="s">
        <v>2773</v>
      </c>
      <c r="E163" s="130" t="s">
        <v>2774</v>
      </c>
      <c r="F163" s="130" t="s">
        <v>219</v>
      </c>
      <c r="G163" s="104" t="s">
        <v>2775</v>
      </c>
      <c r="H163" s="130" t="s">
        <v>17811</v>
      </c>
      <c r="I163" s="116" t="s">
        <v>2777</v>
      </c>
      <c r="J163" s="130" t="s">
        <v>17812</v>
      </c>
      <c r="K163" s="47" t="s">
        <v>17813</v>
      </c>
      <c r="L163" s="47" t="s">
        <v>2673</v>
      </c>
      <c r="M163" s="47" t="s">
        <v>2674</v>
      </c>
    </row>
    <row r="164" spans="1:13" ht="14.25" customHeight="1">
      <c r="A164" s="146">
        <v>1</v>
      </c>
      <c r="B164" s="88"/>
      <c r="C164" s="148" t="s">
        <v>1168</v>
      </c>
      <c r="D164" s="148" t="s">
        <v>1169</v>
      </c>
      <c r="E164" s="148" t="s">
        <v>1170</v>
      </c>
      <c r="F164" s="148" t="s">
        <v>65</v>
      </c>
      <c r="G164" s="148" t="s">
        <v>1171</v>
      </c>
      <c r="H164" s="148" t="s">
        <v>17814</v>
      </c>
      <c r="I164" s="150" t="s">
        <v>1173</v>
      </c>
      <c r="J164" s="150" t="s">
        <v>17815</v>
      </c>
      <c r="K164" s="88" t="s">
        <v>17816</v>
      </c>
      <c r="L164" s="88" t="s">
        <v>2706</v>
      </c>
      <c r="M164" s="88" t="s">
        <v>2707</v>
      </c>
    </row>
    <row r="165" spans="1:13" ht="14.25" customHeight="1">
      <c r="A165" s="113">
        <v>2</v>
      </c>
      <c r="B165" s="47"/>
      <c r="C165" s="130" t="s">
        <v>3029</v>
      </c>
      <c r="D165" s="130" t="s">
        <v>3030</v>
      </c>
      <c r="E165" s="130" t="s">
        <v>3031</v>
      </c>
      <c r="F165" s="130" t="s">
        <v>65</v>
      </c>
      <c r="G165" s="130" t="s">
        <v>3032</v>
      </c>
      <c r="H165" s="130" t="s">
        <v>17817</v>
      </c>
      <c r="I165" s="116" t="s">
        <v>3034</v>
      </c>
      <c r="J165" s="116" t="s">
        <v>17818</v>
      </c>
      <c r="K165" s="47" t="s">
        <v>17819</v>
      </c>
      <c r="L165" s="47" t="s">
        <v>2716</v>
      </c>
      <c r="M165" s="47" t="s">
        <v>2717</v>
      </c>
    </row>
    <row r="166" spans="1:13" ht="14.25" customHeight="1">
      <c r="A166" s="113">
        <v>3</v>
      </c>
      <c r="B166" s="47"/>
      <c r="C166" s="130" t="s">
        <v>2145</v>
      </c>
      <c r="D166" s="130" t="s">
        <v>2146</v>
      </c>
      <c r="E166" s="130" t="s">
        <v>2147</v>
      </c>
      <c r="F166" s="130" t="s">
        <v>65</v>
      </c>
      <c r="G166" s="130" t="s">
        <v>2148</v>
      </c>
      <c r="H166" s="130" t="s">
        <v>17820</v>
      </c>
      <c r="I166" s="116" t="s">
        <v>2150</v>
      </c>
      <c r="J166" s="116" t="s">
        <v>17821</v>
      </c>
      <c r="K166" s="47" t="s">
        <v>17822</v>
      </c>
      <c r="L166" s="47" t="s">
        <v>2727</v>
      </c>
      <c r="M166" s="47" t="s">
        <v>2728</v>
      </c>
    </row>
    <row r="167" spans="1:13" ht="14.25" customHeight="1">
      <c r="A167" s="113">
        <v>4</v>
      </c>
      <c r="B167" s="47"/>
      <c r="C167" s="130" t="s">
        <v>3009</v>
      </c>
      <c r="D167" s="130" t="s">
        <v>3010</v>
      </c>
      <c r="E167" s="130" t="s">
        <v>3011</v>
      </c>
      <c r="F167" s="130" t="s">
        <v>65</v>
      </c>
      <c r="G167" s="130" t="s">
        <v>3012</v>
      </c>
      <c r="H167" s="104" t="s">
        <v>17823</v>
      </c>
      <c r="I167" s="116" t="s">
        <v>3014</v>
      </c>
      <c r="J167" s="116" t="s">
        <v>3015</v>
      </c>
      <c r="K167" s="47" t="s">
        <v>17824</v>
      </c>
      <c r="L167" s="47" t="s">
        <v>2737</v>
      </c>
      <c r="M167" s="47" t="s">
        <v>2738</v>
      </c>
    </row>
    <row r="168" spans="1:13" ht="12.75" customHeight="1">
      <c r="A168" s="113">
        <v>5</v>
      </c>
      <c r="B168" s="47"/>
      <c r="C168" s="130" t="s">
        <v>2071</v>
      </c>
      <c r="D168" s="130" t="s">
        <v>2072</v>
      </c>
      <c r="E168" s="130" t="s">
        <v>2073</v>
      </c>
      <c r="F168" s="130" t="s">
        <v>65</v>
      </c>
      <c r="G168" s="130" t="s">
        <v>2074</v>
      </c>
      <c r="H168" s="130" t="s">
        <v>17825</v>
      </c>
      <c r="I168" s="116" t="s">
        <v>2076</v>
      </c>
      <c r="J168" s="116" t="s">
        <v>17826</v>
      </c>
      <c r="K168" s="47" t="s">
        <v>17827</v>
      </c>
      <c r="L168" s="47" t="s">
        <v>2747</v>
      </c>
      <c r="M168" s="47" t="s">
        <v>2748</v>
      </c>
    </row>
    <row r="169" spans="1:13" ht="13.5" customHeight="1">
      <c r="A169" s="113">
        <v>6</v>
      </c>
      <c r="B169" s="47"/>
      <c r="C169" s="130" t="s">
        <v>2812</v>
      </c>
      <c r="D169" s="130" t="s">
        <v>2813</v>
      </c>
      <c r="E169" s="130" t="s">
        <v>2814</v>
      </c>
      <c r="F169" s="130" t="s">
        <v>117</v>
      </c>
      <c r="G169" s="130" t="s">
        <v>2815</v>
      </c>
      <c r="H169" s="104" t="s">
        <v>17828</v>
      </c>
      <c r="I169" s="116" t="s">
        <v>2817</v>
      </c>
      <c r="J169" s="116" t="s">
        <v>17829</v>
      </c>
      <c r="K169" s="47" t="s">
        <v>17830</v>
      </c>
      <c r="L169" s="47" t="s">
        <v>2757</v>
      </c>
      <c r="M169" s="47" t="s">
        <v>2758</v>
      </c>
    </row>
    <row r="170" spans="1:13" ht="14.25" customHeight="1">
      <c r="A170" s="113">
        <v>7</v>
      </c>
      <c r="B170" s="47"/>
      <c r="C170" s="130" t="s">
        <v>287</v>
      </c>
      <c r="D170" s="130" t="s">
        <v>288</v>
      </c>
      <c r="E170" s="130" t="s">
        <v>289</v>
      </c>
      <c r="F170" s="130" t="s">
        <v>117</v>
      </c>
      <c r="G170" s="130" t="s">
        <v>290</v>
      </c>
      <c r="H170" s="130" t="s">
        <v>17831</v>
      </c>
      <c r="I170" s="116" t="s">
        <v>292</v>
      </c>
      <c r="J170" s="116" t="s">
        <v>17832</v>
      </c>
      <c r="K170" s="47" t="s">
        <v>17833</v>
      </c>
      <c r="L170" s="47" t="s">
        <v>2760</v>
      </c>
      <c r="M170" s="47" t="s">
        <v>2761</v>
      </c>
    </row>
    <row r="171" spans="1:13" ht="14.25" customHeight="1">
      <c r="A171" s="113">
        <v>8</v>
      </c>
      <c r="B171" s="47"/>
      <c r="C171" s="130" t="s">
        <v>3449</v>
      </c>
      <c r="D171" s="130" t="s">
        <v>3450</v>
      </c>
      <c r="E171" s="130" t="s">
        <v>3451</v>
      </c>
      <c r="F171" s="130" t="s">
        <v>219</v>
      </c>
      <c r="G171" s="130" t="s">
        <v>3452</v>
      </c>
      <c r="H171" s="130" t="s">
        <v>17834</v>
      </c>
      <c r="I171" s="116" t="s">
        <v>3454</v>
      </c>
      <c r="J171" s="116" t="s">
        <v>5231</v>
      </c>
      <c r="K171" s="47" t="s">
        <v>5232</v>
      </c>
      <c r="L171" s="47" t="s">
        <v>2770</v>
      </c>
      <c r="M171" s="47" t="s">
        <v>2771</v>
      </c>
    </row>
    <row r="172" spans="1:13" ht="14.25" customHeight="1">
      <c r="A172" s="113">
        <v>9</v>
      </c>
      <c r="B172" s="47"/>
      <c r="C172" s="130" t="s">
        <v>277</v>
      </c>
      <c r="D172" s="130" t="s">
        <v>278</v>
      </c>
      <c r="E172" s="130" t="s">
        <v>279</v>
      </c>
      <c r="F172" s="130" t="s">
        <v>54</v>
      </c>
      <c r="G172" s="130" t="s">
        <v>17835</v>
      </c>
      <c r="H172" s="130" t="s">
        <v>17836</v>
      </c>
      <c r="I172" s="116" t="s">
        <v>282</v>
      </c>
      <c r="J172" s="116" t="s">
        <v>283</v>
      </c>
      <c r="K172" s="47" t="s">
        <v>17837</v>
      </c>
      <c r="L172" s="47" t="s">
        <v>2780</v>
      </c>
      <c r="M172" s="47" t="s">
        <v>2781</v>
      </c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39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640625" defaultRowHeight="15" customHeight="1"/>
  <cols>
    <col min="1" max="1" width="10.21875" customWidth="1"/>
    <col min="2" max="2" width="14" customWidth="1"/>
    <col min="3" max="3" width="15.109375" customWidth="1"/>
    <col min="4" max="4" width="26" customWidth="1"/>
    <col min="5" max="5" width="14.21875" customWidth="1"/>
    <col min="6" max="6" width="16" customWidth="1"/>
    <col min="7" max="7" width="40.88671875" customWidth="1"/>
    <col min="8" max="9" width="40.77734375" customWidth="1"/>
    <col min="10" max="10" width="49.33203125" customWidth="1"/>
    <col min="11" max="11" width="17.6640625" customWidth="1"/>
    <col min="12" max="12" width="29.88671875" customWidth="1"/>
    <col min="13" max="13" width="19.33203125" customWidth="1"/>
  </cols>
  <sheetData>
    <row r="1" spans="1:13" ht="26.25" customHeight="1">
      <c r="A1" s="145" t="s">
        <v>12039</v>
      </c>
      <c r="B1" s="14" t="s">
        <v>13</v>
      </c>
      <c r="C1" s="15" t="s">
        <v>14</v>
      </c>
      <c r="D1" s="205" t="s">
        <v>3114</v>
      </c>
      <c r="E1" s="14" t="s">
        <v>16</v>
      </c>
      <c r="F1" s="206" t="s">
        <v>17</v>
      </c>
      <c r="G1" s="207" t="s">
        <v>18</v>
      </c>
      <c r="H1" s="208" t="s">
        <v>19</v>
      </c>
      <c r="I1" s="14" t="s">
        <v>20</v>
      </c>
      <c r="J1" s="209" t="s">
        <v>21</v>
      </c>
      <c r="K1" s="17" t="s">
        <v>22</v>
      </c>
      <c r="L1" s="17" t="s">
        <v>23</v>
      </c>
      <c r="M1" s="17" t="s">
        <v>24</v>
      </c>
    </row>
    <row r="2" spans="1:13" ht="14.25" customHeight="1">
      <c r="A2" s="210">
        <v>1</v>
      </c>
      <c r="B2" s="210"/>
      <c r="C2" s="211" t="s">
        <v>17838</v>
      </c>
      <c r="D2" s="212" t="s">
        <v>17839</v>
      </c>
      <c r="E2" s="211" t="s">
        <v>17840</v>
      </c>
      <c r="F2" s="211" t="s">
        <v>117</v>
      </c>
      <c r="G2" s="213" t="s">
        <v>17841</v>
      </c>
      <c r="H2" s="214" t="s">
        <v>17842</v>
      </c>
      <c r="I2" s="214"/>
      <c r="J2" s="212" t="s">
        <v>17843</v>
      </c>
      <c r="K2" s="215" t="s">
        <v>17844</v>
      </c>
      <c r="L2" s="210" t="s">
        <v>17845</v>
      </c>
      <c r="M2" s="210" t="s">
        <v>12048</v>
      </c>
    </row>
    <row r="3" spans="1:13" ht="14.25" customHeight="1">
      <c r="A3" s="113">
        <v>2</v>
      </c>
      <c r="B3" s="113"/>
      <c r="C3" s="216" t="s">
        <v>17846</v>
      </c>
      <c r="D3" s="217" t="s">
        <v>17847</v>
      </c>
      <c r="E3" s="218" t="s">
        <v>17848</v>
      </c>
      <c r="F3" s="219" t="s">
        <v>54</v>
      </c>
      <c r="G3" s="220" t="s">
        <v>17849</v>
      </c>
      <c r="H3" s="221" t="s">
        <v>17850</v>
      </c>
      <c r="I3" s="221"/>
      <c r="J3" s="28" t="s">
        <v>17851</v>
      </c>
      <c r="K3" s="137" t="s">
        <v>17852</v>
      </c>
      <c r="L3" s="136" t="s">
        <v>17853</v>
      </c>
      <c r="M3" s="136" t="s">
        <v>12057</v>
      </c>
    </row>
    <row r="4" spans="1:13" ht="14.25" customHeight="1">
      <c r="A4" s="113">
        <v>3</v>
      </c>
      <c r="B4" s="113"/>
      <c r="C4" s="222" t="s">
        <v>17854</v>
      </c>
      <c r="D4" s="217" t="s">
        <v>17855</v>
      </c>
      <c r="E4" s="218" t="s">
        <v>17856</v>
      </c>
      <c r="F4" s="222" t="s">
        <v>65</v>
      </c>
      <c r="G4" s="220" t="s">
        <v>17857</v>
      </c>
      <c r="H4" s="221" t="s">
        <v>17858</v>
      </c>
      <c r="I4" s="221"/>
      <c r="J4" s="28" t="s">
        <v>17859</v>
      </c>
      <c r="K4" s="137" t="s">
        <v>17860</v>
      </c>
      <c r="L4" s="136" t="s">
        <v>17861</v>
      </c>
      <c r="M4" s="136" t="s">
        <v>12066</v>
      </c>
    </row>
    <row r="5" spans="1:13" ht="14.25" customHeight="1">
      <c r="A5" s="113">
        <v>4</v>
      </c>
      <c r="B5" s="113"/>
      <c r="C5" s="222" t="s">
        <v>17862</v>
      </c>
      <c r="D5" s="223" t="s">
        <v>17863</v>
      </c>
      <c r="E5" s="218" t="s">
        <v>17864</v>
      </c>
      <c r="F5" s="222" t="s">
        <v>117</v>
      </c>
      <c r="G5" s="220" t="s">
        <v>17865</v>
      </c>
      <c r="H5" s="224" t="s">
        <v>17866</v>
      </c>
      <c r="I5" s="224"/>
      <c r="J5" s="223" t="s">
        <v>17867</v>
      </c>
      <c r="K5" s="137" t="s">
        <v>17868</v>
      </c>
      <c r="L5" s="136" t="s">
        <v>17869</v>
      </c>
      <c r="M5" s="136" t="s">
        <v>12075</v>
      </c>
    </row>
    <row r="6" spans="1:13" ht="14.25" customHeight="1">
      <c r="A6" s="113">
        <v>5</v>
      </c>
      <c r="B6" s="113"/>
      <c r="C6" s="222" t="s">
        <v>17032</v>
      </c>
      <c r="D6" s="217" t="s">
        <v>17033</v>
      </c>
      <c r="E6" s="218" t="s">
        <v>17034</v>
      </c>
      <c r="F6" s="222" t="s">
        <v>17870</v>
      </c>
      <c r="G6" s="220" t="s">
        <v>17871</v>
      </c>
      <c r="H6" s="221" t="s">
        <v>17872</v>
      </c>
      <c r="I6" s="221"/>
      <c r="J6" s="28" t="s">
        <v>17873</v>
      </c>
      <c r="K6" s="137" t="s">
        <v>17874</v>
      </c>
      <c r="L6" s="136" t="s">
        <v>17875</v>
      </c>
      <c r="M6" s="136" t="s">
        <v>12084</v>
      </c>
    </row>
    <row r="7" spans="1:13" ht="14.25" customHeight="1">
      <c r="A7" s="113">
        <v>6</v>
      </c>
      <c r="B7" s="113"/>
      <c r="C7" s="216" t="s">
        <v>17876</v>
      </c>
      <c r="D7" s="217" t="s">
        <v>17877</v>
      </c>
      <c r="E7" s="218" t="s">
        <v>17878</v>
      </c>
      <c r="F7" s="219"/>
      <c r="G7" s="225" t="s">
        <v>17879</v>
      </c>
      <c r="H7" s="221" t="s">
        <v>17880</v>
      </c>
      <c r="I7" s="221"/>
      <c r="J7" s="28" t="s">
        <v>17881</v>
      </c>
      <c r="K7" s="137" t="s">
        <v>17882</v>
      </c>
      <c r="L7" s="136" t="s">
        <v>17883</v>
      </c>
      <c r="M7" s="136" t="s">
        <v>12093</v>
      </c>
    </row>
    <row r="8" spans="1:13" ht="14.25" customHeight="1">
      <c r="A8" s="113">
        <v>7</v>
      </c>
      <c r="B8" s="113"/>
      <c r="C8" s="216" t="s">
        <v>17884</v>
      </c>
      <c r="D8" s="217" t="s">
        <v>17885</v>
      </c>
      <c r="E8" s="219" t="s">
        <v>17886</v>
      </c>
      <c r="F8" s="219"/>
      <c r="G8" s="220" t="s">
        <v>17887</v>
      </c>
      <c r="H8" s="221" t="s">
        <v>17888</v>
      </c>
      <c r="I8" s="221"/>
      <c r="J8" s="28" t="s">
        <v>17889</v>
      </c>
      <c r="K8" s="137" t="s">
        <v>17890</v>
      </c>
      <c r="L8" s="136" t="s">
        <v>17891</v>
      </c>
      <c r="M8" s="136" t="s">
        <v>12102</v>
      </c>
    </row>
    <row r="9" spans="1:13" ht="14.25" customHeight="1">
      <c r="A9" s="113">
        <v>8</v>
      </c>
      <c r="B9" s="113"/>
      <c r="C9" s="216" t="s">
        <v>17892</v>
      </c>
      <c r="D9" s="226" t="s">
        <v>17893</v>
      </c>
      <c r="E9" s="218" t="s">
        <v>17894</v>
      </c>
      <c r="F9" s="222" t="s">
        <v>65</v>
      </c>
      <c r="G9" s="220" t="s">
        <v>5358</v>
      </c>
      <c r="H9" s="227" t="s">
        <v>17895</v>
      </c>
      <c r="I9" s="227"/>
      <c r="J9" s="226" t="s">
        <v>17896</v>
      </c>
      <c r="K9" s="137" t="s">
        <v>17897</v>
      </c>
      <c r="L9" s="136" t="s">
        <v>17898</v>
      </c>
      <c r="M9" s="136" t="s">
        <v>12111</v>
      </c>
    </row>
    <row r="10" spans="1:13" ht="14.25" customHeight="1">
      <c r="A10" s="113">
        <v>9</v>
      </c>
      <c r="B10" s="113"/>
      <c r="C10" s="216" t="s">
        <v>17899</v>
      </c>
      <c r="D10" s="217" t="s">
        <v>17900</v>
      </c>
      <c r="E10" s="219" t="s">
        <v>17901</v>
      </c>
      <c r="F10" s="222" t="s">
        <v>117</v>
      </c>
      <c r="G10" s="220" t="s">
        <v>17902</v>
      </c>
      <c r="H10" s="221" t="s">
        <v>17903</v>
      </c>
      <c r="I10" s="221"/>
      <c r="J10" s="28" t="s">
        <v>17904</v>
      </c>
      <c r="K10" s="137" t="s">
        <v>17905</v>
      </c>
      <c r="L10" s="136" t="s">
        <v>17906</v>
      </c>
      <c r="M10" s="136" t="s">
        <v>12120</v>
      </c>
    </row>
    <row r="11" spans="1:13" ht="14.25" customHeight="1">
      <c r="A11" s="113">
        <v>10</v>
      </c>
      <c r="B11" s="113"/>
      <c r="C11" s="222" t="s">
        <v>17907</v>
      </c>
      <c r="D11" s="226" t="s">
        <v>17908</v>
      </c>
      <c r="E11" s="222" t="s">
        <v>17909</v>
      </c>
      <c r="F11" s="222" t="s">
        <v>117</v>
      </c>
      <c r="G11" s="220" t="s">
        <v>17910</v>
      </c>
      <c r="H11" s="227" t="s">
        <v>17911</v>
      </c>
      <c r="I11" s="227"/>
      <c r="J11" s="226" t="s">
        <v>17912</v>
      </c>
      <c r="K11" s="137" t="s">
        <v>17913</v>
      </c>
      <c r="L11" s="136" t="s">
        <v>12125</v>
      </c>
      <c r="M11" s="136" t="s">
        <v>12126</v>
      </c>
    </row>
    <row r="12" spans="1:13" ht="14.25" customHeight="1">
      <c r="A12" s="113">
        <v>11</v>
      </c>
      <c r="B12" s="113"/>
      <c r="C12" s="222" t="s">
        <v>17914</v>
      </c>
      <c r="D12" s="217" t="s">
        <v>17915</v>
      </c>
      <c r="E12" s="222" t="s">
        <v>17916</v>
      </c>
      <c r="F12" s="222"/>
      <c r="G12" s="220" t="s">
        <v>17917</v>
      </c>
      <c r="H12" s="221" t="s">
        <v>17918</v>
      </c>
      <c r="I12" s="221"/>
      <c r="J12" s="28" t="s">
        <v>17919</v>
      </c>
      <c r="K12" s="137" t="s">
        <v>17920</v>
      </c>
      <c r="L12" s="136" t="s">
        <v>12134</v>
      </c>
      <c r="M12" s="136" t="s">
        <v>12135</v>
      </c>
    </row>
    <row r="13" spans="1:13" ht="14.25" customHeight="1">
      <c r="A13" s="113">
        <v>12</v>
      </c>
      <c r="B13" s="113"/>
      <c r="C13" s="222" t="s">
        <v>17921</v>
      </c>
      <c r="D13" s="217" t="s">
        <v>17922</v>
      </c>
      <c r="E13" s="222" t="s">
        <v>17923</v>
      </c>
      <c r="F13" s="222" t="s">
        <v>219</v>
      </c>
      <c r="G13" s="220" t="s">
        <v>17924</v>
      </c>
      <c r="H13" s="221" t="s">
        <v>17925</v>
      </c>
      <c r="I13" s="221"/>
      <c r="J13" s="28" t="s">
        <v>17926</v>
      </c>
      <c r="K13" s="137" t="s">
        <v>17927</v>
      </c>
      <c r="L13" s="136" t="s">
        <v>12143</v>
      </c>
      <c r="M13" s="136" t="s">
        <v>12144</v>
      </c>
    </row>
    <row r="14" spans="1:13" ht="14.25" customHeight="1">
      <c r="A14" s="113">
        <v>13</v>
      </c>
      <c r="B14" s="113"/>
      <c r="C14" s="216" t="s">
        <v>17928</v>
      </c>
      <c r="D14" s="217" t="s">
        <v>17929</v>
      </c>
      <c r="E14" s="222" t="s">
        <v>17930</v>
      </c>
      <c r="F14" s="222" t="s">
        <v>117</v>
      </c>
      <c r="G14" s="220" t="s">
        <v>17931</v>
      </c>
      <c r="H14" s="221" t="s">
        <v>17932</v>
      </c>
      <c r="I14" s="221"/>
      <c r="J14" s="28" t="s">
        <v>17933</v>
      </c>
      <c r="K14" s="137" t="s">
        <v>17934</v>
      </c>
      <c r="L14" s="136" t="s">
        <v>12152</v>
      </c>
      <c r="M14" s="136" t="s">
        <v>12153</v>
      </c>
    </row>
    <row r="15" spans="1:13" ht="14.25" customHeight="1">
      <c r="A15" s="113">
        <v>14</v>
      </c>
      <c r="B15" s="113"/>
      <c r="C15" s="222" t="s">
        <v>17935</v>
      </c>
      <c r="D15" s="217" t="s">
        <v>17936</v>
      </c>
      <c r="E15" s="222" t="s">
        <v>17937</v>
      </c>
      <c r="F15" s="222" t="s">
        <v>117</v>
      </c>
      <c r="G15" s="220" t="s">
        <v>17938</v>
      </c>
      <c r="H15" s="221" t="s">
        <v>17939</v>
      </c>
      <c r="I15" s="221"/>
      <c r="J15" s="28" t="s">
        <v>17940</v>
      </c>
      <c r="K15" s="137" t="s">
        <v>17941</v>
      </c>
      <c r="L15" s="136" t="s">
        <v>12161</v>
      </c>
      <c r="M15" s="136" t="s">
        <v>12162</v>
      </c>
    </row>
    <row r="16" spans="1:13" ht="14.25" customHeight="1">
      <c r="A16" s="113">
        <v>15</v>
      </c>
      <c r="B16" s="113"/>
      <c r="C16" s="222" t="s">
        <v>17942</v>
      </c>
      <c r="D16" s="226" t="s">
        <v>17943</v>
      </c>
      <c r="E16" s="222" t="s">
        <v>1718</v>
      </c>
      <c r="F16" s="222" t="s">
        <v>117</v>
      </c>
      <c r="G16" s="220" t="s">
        <v>17944</v>
      </c>
      <c r="H16" s="227" t="s">
        <v>17945</v>
      </c>
      <c r="I16" s="227"/>
      <c r="J16" s="226" t="s">
        <v>17946</v>
      </c>
      <c r="K16" s="137" t="s">
        <v>17947</v>
      </c>
      <c r="L16" s="136" t="s">
        <v>12170</v>
      </c>
      <c r="M16" s="136" t="s">
        <v>12171</v>
      </c>
    </row>
    <row r="17" spans="1:13" ht="14.25" customHeight="1">
      <c r="A17" s="113">
        <v>16</v>
      </c>
      <c r="B17" s="113"/>
      <c r="C17" s="222" t="s">
        <v>17948</v>
      </c>
      <c r="D17" s="217" t="s">
        <v>17949</v>
      </c>
      <c r="E17" s="222" t="s">
        <v>17950</v>
      </c>
      <c r="F17" s="222" t="s">
        <v>65</v>
      </c>
      <c r="G17" s="220" t="s">
        <v>17951</v>
      </c>
      <c r="H17" s="221" t="s">
        <v>17952</v>
      </c>
      <c r="I17" s="221"/>
      <c r="J17" s="28" t="s">
        <v>17953</v>
      </c>
      <c r="K17" s="137" t="s">
        <v>17954</v>
      </c>
      <c r="L17" s="136" t="s">
        <v>12179</v>
      </c>
      <c r="M17" s="136" t="s">
        <v>12180</v>
      </c>
    </row>
    <row r="18" spans="1:13" ht="14.25" customHeight="1">
      <c r="A18" s="113">
        <v>17</v>
      </c>
      <c r="B18" s="113"/>
      <c r="C18" s="222" t="s">
        <v>17955</v>
      </c>
      <c r="D18" s="217" t="s">
        <v>17956</v>
      </c>
      <c r="E18" s="222" t="s">
        <v>17957</v>
      </c>
      <c r="F18" s="222" t="s">
        <v>117</v>
      </c>
      <c r="G18" s="220" t="s">
        <v>17958</v>
      </c>
      <c r="H18" s="221" t="s">
        <v>17959</v>
      </c>
      <c r="I18" s="221"/>
      <c r="J18" s="28" t="s">
        <v>17960</v>
      </c>
      <c r="K18" s="137" t="s">
        <v>17961</v>
      </c>
      <c r="L18" s="136" t="s">
        <v>12188</v>
      </c>
      <c r="M18" s="136" t="s">
        <v>12189</v>
      </c>
    </row>
    <row r="19" spans="1:13" ht="14.25" customHeight="1">
      <c r="A19" s="113">
        <v>18</v>
      </c>
      <c r="B19" s="113"/>
      <c r="C19" s="216" t="s">
        <v>17962</v>
      </c>
      <c r="D19" s="217" t="s">
        <v>17963</v>
      </c>
      <c r="E19" s="222" t="s">
        <v>17964</v>
      </c>
      <c r="F19" s="222" t="s">
        <v>117</v>
      </c>
      <c r="G19" s="220" t="s">
        <v>17965</v>
      </c>
      <c r="H19" s="221" t="s">
        <v>17966</v>
      </c>
      <c r="I19" s="221"/>
      <c r="J19" s="28" t="s">
        <v>17967</v>
      </c>
      <c r="K19" s="137" t="s">
        <v>17968</v>
      </c>
      <c r="L19" s="136" t="s">
        <v>10945</v>
      </c>
      <c r="M19" s="136" t="s">
        <v>10946</v>
      </c>
    </row>
    <row r="20" spans="1:13" ht="14.25" customHeight="1">
      <c r="A20" s="113">
        <v>19</v>
      </c>
      <c r="B20" s="113"/>
      <c r="C20" s="222" t="s">
        <v>2591</v>
      </c>
      <c r="D20" s="217" t="s">
        <v>2592</v>
      </c>
      <c r="E20" s="222" t="s">
        <v>2593</v>
      </c>
      <c r="F20" s="222" t="s">
        <v>65</v>
      </c>
      <c r="G20" s="220" t="s">
        <v>17969</v>
      </c>
      <c r="H20" s="221" t="s">
        <v>17970</v>
      </c>
      <c r="I20" s="221"/>
      <c r="J20" s="28" t="s">
        <v>17971</v>
      </c>
      <c r="K20" s="137" t="s">
        <v>17972</v>
      </c>
      <c r="L20" s="136" t="s">
        <v>12197</v>
      </c>
      <c r="M20" s="136" t="s">
        <v>12198</v>
      </c>
    </row>
    <row r="21" spans="1:13" ht="14.25" customHeight="1">
      <c r="A21" s="113">
        <v>20</v>
      </c>
      <c r="B21" s="113"/>
      <c r="C21" s="222" t="s">
        <v>17973</v>
      </c>
      <c r="D21" s="217" t="s">
        <v>17974</v>
      </c>
      <c r="E21" s="222" t="s">
        <v>17975</v>
      </c>
      <c r="F21" s="222" t="s">
        <v>42</v>
      </c>
      <c r="G21" s="220" t="s">
        <v>17976</v>
      </c>
      <c r="H21" s="221" t="s">
        <v>17977</v>
      </c>
      <c r="I21" s="221"/>
      <c r="J21" s="28" t="s">
        <v>17978</v>
      </c>
      <c r="K21" s="137" t="s">
        <v>17979</v>
      </c>
      <c r="L21" s="136" t="s">
        <v>12206</v>
      </c>
      <c r="M21" s="136" t="s">
        <v>12207</v>
      </c>
    </row>
    <row r="22" spans="1:13" ht="14.25" customHeight="1">
      <c r="A22" s="113">
        <v>21</v>
      </c>
      <c r="B22" s="113"/>
      <c r="C22" s="216" t="s">
        <v>17980</v>
      </c>
      <c r="D22" s="217" t="s">
        <v>17981</v>
      </c>
      <c r="E22" s="219" t="s">
        <v>17982</v>
      </c>
      <c r="F22" s="222" t="s">
        <v>65</v>
      </c>
      <c r="G22" s="220" t="s">
        <v>17983</v>
      </c>
      <c r="H22" s="221" t="s">
        <v>17984</v>
      </c>
      <c r="I22" s="221"/>
      <c r="J22" s="28" t="s">
        <v>17985</v>
      </c>
      <c r="K22" s="137" t="s">
        <v>17986</v>
      </c>
      <c r="L22" s="136" t="s">
        <v>10903</v>
      </c>
      <c r="M22" s="136" t="s">
        <v>10904</v>
      </c>
    </row>
    <row r="23" spans="1:13" ht="14.25" customHeight="1">
      <c r="A23" s="113">
        <v>22</v>
      </c>
      <c r="B23" s="113"/>
      <c r="C23" s="222" t="s">
        <v>17987</v>
      </c>
      <c r="D23" s="217" t="s">
        <v>17988</v>
      </c>
      <c r="E23" s="222" t="s">
        <v>17989</v>
      </c>
      <c r="F23" s="222" t="s">
        <v>117</v>
      </c>
      <c r="G23" s="220" t="s">
        <v>17990</v>
      </c>
      <c r="H23" s="221" t="s">
        <v>17991</v>
      </c>
      <c r="I23" s="221"/>
      <c r="J23" s="28" t="s">
        <v>17992</v>
      </c>
      <c r="K23" s="137" t="s">
        <v>17993</v>
      </c>
      <c r="L23" s="136" t="s">
        <v>12216</v>
      </c>
      <c r="M23" s="136" t="s">
        <v>12217</v>
      </c>
    </row>
    <row r="24" spans="1:13" ht="14.25" customHeight="1">
      <c r="A24" s="113">
        <v>23</v>
      </c>
      <c r="B24" s="113"/>
      <c r="C24" s="222" t="s">
        <v>17994</v>
      </c>
      <c r="D24" s="217" t="s">
        <v>17995</v>
      </c>
      <c r="E24" s="222" t="s">
        <v>5464</v>
      </c>
      <c r="F24" s="222" t="s">
        <v>563</v>
      </c>
      <c r="G24" s="220" t="s">
        <v>17996</v>
      </c>
      <c r="H24" s="221" t="s">
        <v>17997</v>
      </c>
      <c r="I24" s="221"/>
      <c r="J24" s="28" t="s">
        <v>17998</v>
      </c>
      <c r="K24" s="137" t="s">
        <v>17999</v>
      </c>
      <c r="L24" s="136" t="s">
        <v>12225</v>
      </c>
      <c r="M24" s="136" t="s">
        <v>12226</v>
      </c>
    </row>
    <row r="25" spans="1:13" ht="14.25" customHeight="1">
      <c r="A25" s="113">
        <v>24</v>
      </c>
      <c r="B25" s="113"/>
      <c r="C25" s="222" t="s">
        <v>18000</v>
      </c>
      <c r="D25" s="223" t="s">
        <v>18001</v>
      </c>
      <c r="E25" s="222" t="s">
        <v>18002</v>
      </c>
      <c r="F25" s="222" t="s">
        <v>117</v>
      </c>
      <c r="G25" s="220" t="s">
        <v>18003</v>
      </c>
      <c r="H25" s="224" t="s">
        <v>18004</v>
      </c>
      <c r="I25" s="224"/>
      <c r="J25" s="223" t="s">
        <v>18005</v>
      </c>
      <c r="K25" s="137" t="s">
        <v>18006</v>
      </c>
      <c r="L25" s="136" t="s">
        <v>12234</v>
      </c>
      <c r="M25" s="136" t="s">
        <v>12235</v>
      </c>
    </row>
    <row r="26" spans="1:13" ht="14.25" customHeight="1">
      <c r="A26" s="113">
        <v>25</v>
      </c>
      <c r="B26" s="113"/>
      <c r="C26" s="216" t="s">
        <v>18007</v>
      </c>
      <c r="D26" s="217" t="s">
        <v>18008</v>
      </c>
      <c r="E26" s="222" t="s">
        <v>18009</v>
      </c>
      <c r="F26" s="222" t="s">
        <v>65</v>
      </c>
      <c r="G26" s="220" t="s">
        <v>18010</v>
      </c>
      <c r="H26" s="221" t="s">
        <v>18011</v>
      </c>
      <c r="I26" s="221"/>
      <c r="J26" s="28" t="s">
        <v>18012</v>
      </c>
      <c r="K26" s="137" t="s">
        <v>18013</v>
      </c>
      <c r="L26" s="136" t="s">
        <v>12242</v>
      </c>
      <c r="M26" s="136" t="s">
        <v>12243</v>
      </c>
    </row>
    <row r="27" spans="1:13" ht="14.25" customHeight="1">
      <c r="A27" s="113">
        <v>26</v>
      </c>
      <c r="B27" s="113"/>
      <c r="C27" s="216" t="s">
        <v>18014</v>
      </c>
      <c r="D27" s="217" t="s">
        <v>18015</v>
      </c>
      <c r="E27" s="219" t="s">
        <v>18016</v>
      </c>
      <c r="F27" s="222" t="s">
        <v>219</v>
      </c>
      <c r="G27" s="220" t="s">
        <v>18017</v>
      </c>
      <c r="H27" s="221" t="s">
        <v>18018</v>
      </c>
      <c r="I27" s="221"/>
      <c r="J27" s="28" t="s">
        <v>18019</v>
      </c>
      <c r="K27" s="137" t="s">
        <v>18020</v>
      </c>
      <c r="L27" s="136" t="s">
        <v>12251</v>
      </c>
      <c r="M27" s="136" t="s">
        <v>12252</v>
      </c>
    </row>
    <row r="28" spans="1:13" ht="14.25" customHeight="1">
      <c r="A28" s="113">
        <v>27</v>
      </c>
      <c r="B28" s="113"/>
      <c r="C28" s="216" t="s">
        <v>18021</v>
      </c>
      <c r="D28" s="217" t="s">
        <v>18022</v>
      </c>
      <c r="E28" s="219" t="s">
        <v>18023</v>
      </c>
      <c r="F28" s="222" t="s">
        <v>117</v>
      </c>
      <c r="G28" s="220" t="s">
        <v>18024</v>
      </c>
      <c r="H28" s="221" t="s">
        <v>18025</v>
      </c>
      <c r="I28" s="221"/>
      <c r="J28" s="28" t="s">
        <v>18026</v>
      </c>
      <c r="K28" s="137" t="s">
        <v>18027</v>
      </c>
      <c r="L28" s="136" t="s">
        <v>12260</v>
      </c>
      <c r="M28" s="136" t="s">
        <v>12261</v>
      </c>
    </row>
    <row r="29" spans="1:13" ht="14.25" customHeight="1">
      <c r="A29" s="113">
        <v>28</v>
      </c>
      <c r="B29" s="113"/>
      <c r="C29" s="222" t="s">
        <v>18028</v>
      </c>
      <c r="D29" s="217" t="s">
        <v>18029</v>
      </c>
      <c r="E29" s="222" t="s">
        <v>18030</v>
      </c>
      <c r="F29" s="222" t="s">
        <v>65</v>
      </c>
      <c r="G29" s="220" t="s">
        <v>18031</v>
      </c>
      <c r="H29" s="221" t="s">
        <v>18032</v>
      </c>
      <c r="I29" s="221"/>
      <c r="J29" s="28" t="s">
        <v>18033</v>
      </c>
      <c r="K29" s="137" t="s">
        <v>18034</v>
      </c>
      <c r="L29" s="136" t="s">
        <v>11084</v>
      </c>
      <c r="M29" s="136" t="s">
        <v>11085</v>
      </c>
    </row>
    <row r="30" spans="1:13" ht="14.25" customHeight="1">
      <c r="A30" s="113">
        <v>29</v>
      </c>
      <c r="B30" s="113"/>
      <c r="C30" s="222" t="s">
        <v>18035</v>
      </c>
      <c r="D30" s="217" t="s">
        <v>18036</v>
      </c>
      <c r="E30" s="222" t="s">
        <v>18037</v>
      </c>
      <c r="F30" s="222" t="s">
        <v>65</v>
      </c>
      <c r="G30" s="220" t="s">
        <v>18038</v>
      </c>
      <c r="H30" s="221" t="s">
        <v>18039</v>
      </c>
      <c r="I30" s="221"/>
      <c r="J30" s="28" t="s">
        <v>18040</v>
      </c>
      <c r="K30" s="137" t="s">
        <v>18041</v>
      </c>
      <c r="L30" s="136" t="s">
        <v>12270</v>
      </c>
      <c r="M30" s="136" t="s">
        <v>12271</v>
      </c>
    </row>
    <row r="31" spans="1:13" ht="14.25" customHeight="1">
      <c r="A31" s="113">
        <v>30</v>
      </c>
      <c r="B31" s="113"/>
      <c r="C31" s="222" t="s">
        <v>18042</v>
      </c>
      <c r="D31" s="217" t="s">
        <v>18043</v>
      </c>
      <c r="E31" s="222" t="s">
        <v>12114</v>
      </c>
      <c r="F31" s="222" t="s">
        <v>117</v>
      </c>
      <c r="G31" s="220" t="s">
        <v>18044</v>
      </c>
      <c r="H31" s="221" t="s">
        <v>18045</v>
      </c>
      <c r="I31" s="221"/>
      <c r="J31" s="28" t="s">
        <v>18046</v>
      </c>
      <c r="K31" s="137" t="s">
        <v>18047</v>
      </c>
      <c r="L31" s="136" t="s">
        <v>12279</v>
      </c>
      <c r="M31" s="136" t="s">
        <v>12280</v>
      </c>
    </row>
    <row r="32" spans="1:13" ht="14.25" customHeight="1">
      <c r="A32" s="113">
        <v>31</v>
      </c>
      <c r="B32" s="113"/>
      <c r="C32" s="222" t="s">
        <v>18048</v>
      </c>
      <c r="D32" s="226" t="s">
        <v>18049</v>
      </c>
      <c r="E32" s="222" t="s">
        <v>18050</v>
      </c>
      <c r="F32" s="222" t="s">
        <v>65</v>
      </c>
      <c r="G32" s="220" t="s">
        <v>18051</v>
      </c>
      <c r="H32" s="227" t="s">
        <v>18052</v>
      </c>
      <c r="I32" s="227"/>
      <c r="J32" s="226" t="s">
        <v>18053</v>
      </c>
      <c r="K32" s="137" t="s">
        <v>18054</v>
      </c>
      <c r="L32" s="136" t="s">
        <v>12288</v>
      </c>
      <c r="M32" s="136" t="s">
        <v>12289</v>
      </c>
    </row>
    <row r="33" spans="1:13" ht="14.25" customHeight="1">
      <c r="A33" s="113">
        <v>32</v>
      </c>
      <c r="B33" s="113"/>
      <c r="C33" s="222" t="s">
        <v>18055</v>
      </c>
      <c r="D33" s="217" t="s">
        <v>18056</v>
      </c>
      <c r="E33" s="222" t="s">
        <v>18057</v>
      </c>
      <c r="F33" s="222" t="s">
        <v>65</v>
      </c>
      <c r="G33" s="220" t="s">
        <v>18058</v>
      </c>
      <c r="H33" s="221" t="s">
        <v>18059</v>
      </c>
      <c r="I33" s="221"/>
      <c r="J33" s="28" t="s">
        <v>18060</v>
      </c>
      <c r="K33" s="137" t="s">
        <v>18061</v>
      </c>
      <c r="L33" s="136" t="s">
        <v>12297</v>
      </c>
      <c r="M33" s="136" t="s">
        <v>12298</v>
      </c>
    </row>
    <row r="34" spans="1:13" ht="14.25" customHeight="1">
      <c r="A34" s="113">
        <v>33</v>
      </c>
      <c r="B34" s="113"/>
      <c r="C34" s="222" t="s">
        <v>18062</v>
      </c>
      <c r="D34" s="226" t="s">
        <v>18063</v>
      </c>
      <c r="E34" s="222" t="s">
        <v>18064</v>
      </c>
      <c r="F34" s="222" t="s">
        <v>117</v>
      </c>
      <c r="G34" s="220" t="s">
        <v>18065</v>
      </c>
      <c r="H34" s="227" t="s">
        <v>18066</v>
      </c>
      <c r="I34" s="227"/>
      <c r="J34" s="226" t="s">
        <v>18067</v>
      </c>
      <c r="K34" s="137" t="s">
        <v>18068</v>
      </c>
      <c r="L34" s="136" t="s">
        <v>12306</v>
      </c>
      <c r="M34" s="136" t="s">
        <v>12307</v>
      </c>
    </row>
    <row r="35" spans="1:13" ht="14.25" customHeight="1">
      <c r="A35" s="113">
        <v>34</v>
      </c>
      <c r="B35" s="113"/>
      <c r="C35" s="216" t="s">
        <v>18069</v>
      </c>
      <c r="D35" s="217" t="s">
        <v>18070</v>
      </c>
      <c r="E35" s="219" t="s">
        <v>18071</v>
      </c>
      <c r="F35" s="222" t="s">
        <v>117</v>
      </c>
      <c r="G35" s="220" t="s">
        <v>18072</v>
      </c>
      <c r="H35" s="221" t="s">
        <v>18073</v>
      </c>
      <c r="I35" s="221"/>
      <c r="J35" s="28" t="s">
        <v>18074</v>
      </c>
      <c r="K35" s="137" t="s">
        <v>18075</v>
      </c>
      <c r="L35" s="136" t="s">
        <v>12315</v>
      </c>
      <c r="M35" s="136" t="s">
        <v>12316</v>
      </c>
    </row>
    <row r="36" spans="1:13" ht="14.25" customHeight="1">
      <c r="A36" s="113">
        <v>35</v>
      </c>
      <c r="B36" s="113"/>
      <c r="C36" s="216" t="s">
        <v>18076</v>
      </c>
      <c r="D36" s="226" t="s">
        <v>18077</v>
      </c>
      <c r="E36" s="219" t="s">
        <v>18078</v>
      </c>
      <c r="F36" s="219" t="s">
        <v>54</v>
      </c>
      <c r="G36" s="220" t="s">
        <v>18079</v>
      </c>
      <c r="H36" s="227" t="s">
        <v>18080</v>
      </c>
      <c r="I36" s="227"/>
      <c r="J36" s="226" t="s">
        <v>18081</v>
      </c>
      <c r="K36" s="137" t="s">
        <v>18082</v>
      </c>
      <c r="L36" s="136" t="s">
        <v>12324</v>
      </c>
      <c r="M36" s="136" t="s">
        <v>12325</v>
      </c>
    </row>
    <row r="37" spans="1:13" ht="14.25" customHeight="1">
      <c r="A37" s="113">
        <v>36</v>
      </c>
      <c r="B37" s="113"/>
      <c r="C37" s="216" t="s">
        <v>18083</v>
      </c>
      <c r="D37" s="217" t="s">
        <v>18084</v>
      </c>
      <c r="E37" s="219" t="s">
        <v>18085</v>
      </c>
      <c r="F37" s="222" t="s">
        <v>117</v>
      </c>
      <c r="G37" s="220" t="s">
        <v>18086</v>
      </c>
      <c r="H37" s="221" t="s">
        <v>18087</v>
      </c>
      <c r="I37" s="221"/>
      <c r="J37" s="28" t="s">
        <v>18088</v>
      </c>
      <c r="K37" s="137" t="s">
        <v>18089</v>
      </c>
      <c r="L37" s="136" t="s">
        <v>12333</v>
      </c>
      <c r="M37" s="136" t="s">
        <v>12334</v>
      </c>
    </row>
    <row r="38" spans="1:13" ht="14.25" customHeight="1">
      <c r="A38" s="113">
        <v>37</v>
      </c>
      <c r="B38" s="113"/>
      <c r="C38" s="216" t="s">
        <v>18090</v>
      </c>
      <c r="D38" s="217" t="s">
        <v>18091</v>
      </c>
      <c r="E38" s="219" t="s">
        <v>18092</v>
      </c>
      <c r="F38" s="222" t="s">
        <v>65</v>
      </c>
      <c r="G38" s="220" t="s">
        <v>18093</v>
      </c>
      <c r="H38" s="221" t="s">
        <v>18094</v>
      </c>
      <c r="I38" s="221"/>
      <c r="J38" s="28" t="s">
        <v>18095</v>
      </c>
      <c r="K38" s="137" t="s">
        <v>18096</v>
      </c>
      <c r="L38" s="136" t="s">
        <v>18097</v>
      </c>
      <c r="M38" s="136" t="s">
        <v>18098</v>
      </c>
    </row>
    <row r="39" spans="1:13" ht="14.25" customHeight="1">
      <c r="A39" s="113">
        <v>38</v>
      </c>
      <c r="B39" s="113"/>
      <c r="C39" s="216" t="s">
        <v>18099</v>
      </c>
      <c r="D39" s="217" t="s">
        <v>18100</v>
      </c>
      <c r="E39" s="219" t="s">
        <v>18101</v>
      </c>
      <c r="F39" s="222" t="s">
        <v>117</v>
      </c>
      <c r="G39" s="220" t="s">
        <v>18102</v>
      </c>
      <c r="H39" s="221" t="s">
        <v>18103</v>
      </c>
      <c r="I39" s="221"/>
      <c r="J39" s="28" t="s">
        <v>18104</v>
      </c>
      <c r="K39" s="137" t="s">
        <v>18105</v>
      </c>
      <c r="L39" s="136" t="s">
        <v>18106</v>
      </c>
      <c r="M39" s="136" t="s">
        <v>18107</v>
      </c>
    </row>
    <row r="40" spans="1:13" ht="14.25" customHeight="1">
      <c r="A40" s="210">
        <v>1</v>
      </c>
      <c r="B40" s="210"/>
      <c r="C40" s="211" t="s">
        <v>18108</v>
      </c>
      <c r="D40" s="228" t="s">
        <v>18109</v>
      </c>
      <c r="E40" s="211" t="s">
        <v>18110</v>
      </c>
      <c r="F40" s="211" t="s">
        <v>65</v>
      </c>
      <c r="G40" s="213" t="s">
        <v>18111</v>
      </c>
      <c r="H40" s="229" t="s">
        <v>18112</v>
      </c>
      <c r="I40" s="229"/>
      <c r="J40" s="230" t="s">
        <v>18113</v>
      </c>
      <c r="K40" s="215" t="s">
        <v>18114</v>
      </c>
      <c r="L40" s="210" t="s">
        <v>18115</v>
      </c>
      <c r="M40" s="210" t="s">
        <v>11098</v>
      </c>
    </row>
    <row r="41" spans="1:13" ht="14.25" customHeight="1">
      <c r="A41" s="113">
        <v>2</v>
      </c>
      <c r="B41" s="113"/>
      <c r="C41" s="216" t="s">
        <v>18116</v>
      </c>
      <c r="D41" s="217" t="s">
        <v>18117</v>
      </c>
      <c r="E41" s="219" t="s">
        <v>18118</v>
      </c>
      <c r="F41" s="222" t="s">
        <v>65</v>
      </c>
      <c r="G41" s="220" t="s">
        <v>18119</v>
      </c>
      <c r="H41" s="221" t="s">
        <v>18120</v>
      </c>
      <c r="I41" s="221"/>
      <c r="J41" s="28" t="s">
        <v>18121</v>
      </c>
      <c r="K41" s="137" t="s">
        <v>18122</v>
      </c>
      <c r="L41" s="136" t="s">
        <v>18123</v>
      </c>
      <c r="M41" s="113" t="s">
        <v>10792</v>
      </c>
    </row>
    <row r="42" spans="1:13" ht="14.25" customHeight="1">
      <c r="A42" s="113">
        <v>3</v>
      </c>
      <c r="B42" s="113"/>
      <c r="C42" s="216" t="s">
        <v>18124</v>
      </c>
      <c r="D42" s="217" t="s">
        <v>18125</v>
      </c>
      <c r="E42" s="219" t="s">
        <v>18126</v>
      </c>
      <c r="F42" s="222" t="s">
        <v>65</v>
      </c>
      <c r="G42" s="220" t="s">
        <v>18127</v>
      </c>
      <c r="H42" s="221" t="s">
        <v>18128</v>
      </c>
      <c r="I42" s="221"/>
      <c r="J42" s="28" t="s">
        <v>18129</v>
      </c>
      <c r="K42" s="137" t="s">
        <v>18130</v>
      </c>
      <c r="L42" s="136" t="s">
        <v>18131</v>
      </c>
      <c r="M42" s="113" t="s">
        <v>12345</v>
      </c>
    </row>
    <row r="43" spans="1:13" ht="14.25" customHeight="1">
      <c r="A43" s="113">
        <v>4</v>
      </c>
      <c r="B43" s="113"/>
      <c r="C43" s="222" t="s">
        <v>18132</v>
      </c>
      <c r="D43" s="217" t="s">
        <v>18133</v>
      </c>
      <c r="E43" s="222" t="s">
        <v>18134</v>
      </c>
      <c r="F43" s="222" t="s">
        <v>65</v>
      </c>
      <c r="G43" s="220" t="s">
        <v>18135</v>
      </c>
      <c r="H43" s="221" t="s">
        <v>18136</v>
      </c>
      <c r="I43" s="221"/>
      <c r="J43" s="28" t="s">
        <v>18137</v>
      </c>
      <c r="K43" s="137" t="s">
        <v>18138</v>
      </c>
      <c r="L43" s="136" t="s">
        <v>18139</v>
      </c>
      <c r="M43" s="113" t="s">
        <v>12354</v>
      </c>
    </row>
    <row r="44" spans="1:13" ht="14.25" customHeight="1">
      <c r="A44" s="113">
        <v>5</v>
      </c>
      <c r="B44" s="113"/>
      <c r="C44" s="222" t="s">
        <v>18140</v>
      </c>
      <c r="D44" s="217" t="s">
        <v>18141</v>
      </c>
      <c r="E44" s="222" t="s">
        <v>18142</v>
      </c>
      <c r="F44" s="222" t="s">
        <v>460</v>
      </c>
      <c r="G44" s="231" t="s">
        <v>18143</v>
      </c>
      <c r="H44" s="221" t="s">
        <v>18144</v>
      </c>
      <c r="I44" s="221"/>
      <c r="J44" s="28" t="s">
        <v>18145</v>
      </c>
      <c r="K44" s="137" t="s">
        <v>18146</v>
      </c>
      <c r="L44" s="136" t="s">
        <v>18147</v>
      </c>
      <c r="M44" s="113" t="s">
        <v>12363</v>
      </c>
    </row>
    <row r="45" spans="1:13" ht="14.25" customHeight="1">
      <c r="A45" s="113">
        <v>6</v>
      </c>
      <c r="B45" s="113"/>
      <c r="C45" s="222" t="s">
        <v>18148</v>
      </c>
      <c r="D45" s="217" t="s">
        <v>18149</v>
      </c>
      <c r="E45" s="222" t="s">
        <v>18150</v>
      </c>
      <c r="F45" s="222" t="s">
        <v>18151</v>
      </c>
      <c r="G45" s="220" t="s">
        <v>18152</v>
      </c>
      <c r="H45" s="221" t="s">
        <v>18153</v>
      </c>
      <c r="I45" s="221"/>
      <c r="J45" s="28" t="s">
        <v>18154</v>
      </c>
      <c r="K45" s="137" t="s">
        <v>18155</v>
      </c>
      <c r="L45" s="136" t="s">
        <v>18156</v>
      </c>
      <c r="M45" s="113" t="s">
        <v>12372</v>
      </c>
    </row>
    <row r="46" spans="1:13" ht="14.25" customHeight="1">
      <c r="A46" s="113">
        <v>7</v>
      </c>
      <c r="B46" s="113"/>
      <c r="C46" s="222" t="s">
        <v>18157</v>
      </c>
      <c r="D46" s="118" t="s">
        <v>18158</v>
      </c>
      <c r="E46" s="222" t="s">
        <v>18159</v>
      </c>
      <c r="F46" s="222" t="s">
        <v>117</v>
      </c>
      <c r="G46" s="231" t="s">
        <v>18160</v>
      </c>
      <c r="H46" s="227" t="s">
        <v>18161</v>
      </c>
      <c r="I46" s="227"/>
      <c r="J46" s="118" t="s">
        <v>18162</v>
      </c>
      <c r="K46" s="137" t="s">
        <v>18163</v>
      </c>
      <c r="L46" s="136" t="s">
        <v>18164</v>
      </c>
      <c r="M46" s="113" t="s">
        <v>12382</v>
      </c>
    </row>
    <row r="47" spans="1:13" ht="14.25" customHeight="1">
      <c r="A47" s="113">
        <v>8</v>
      </c>
      <c r="B47" s="113"/>
      <c r="C47" s="222" t="s">
        <v>18165</v>
      </c>
      <c r="D47" s="232" t="s">
        <v>18166</v>
      </c>
      <c r="E47" s="222" t="s">
        <v>18167</v>
      </c>
      <c r="F47" s="222" t="s">
        <v>460</v>
      </c>
      <c r="G47" s="231" t="s">
        <v>18168</v>
      </c>
      <c r="H47" s="233" t="s">
        <v>18169</v>
      </c>
      <c r="I47" s="233"/>
      <c r="J47" s="234" t="s">
        <v>18170</v>
      </c>
      <c r="K47" s="137" t="s">
        <v>18171</v>
      </c>
      <c r="L47" s="136" t="s">
        <v>18172</v>
      </c>
      <c r="M47" s="113" t="s">
        <v>12391</v>
      </c>
    </row>
    <row r="48" spans="1:13" ht="14.25" customHeight="1">
      <c r="A48" s="113">
        <v>9</v>
      </c>
      <c r="B48" s="113"/>
      <c r="C48" s="222" t="s">
        <v>18173</v>
      </c>
      <c r="D48" s="217" t="s">
        <v>18174</v>
      </c>
      <c r="E48" s="222" t="s">
        <v>18175</v>
      </c>
      <c r="F48" s="222" t="s">
        <v>117</v>
      </c>
      <c r="G48" s="220" t="s">
        <v>18176</v>
      </c>
      <c r="H48" s="221" t="s">
        <v>18177</v>
      </c>
      <c r="I48" s="221"/>
      <c r="J48" s="28" t="s">
        <v>18178</v>
      </c>
      <c r="K48" s="137" t="s">
        <v>18179</v>
      </c>
      <c r="L48" s="136" t="s">
        <v>18180</v>
      </c>
      <c r="M48" s="113" t="s">
        <v>5448</v>
      </c>
    </row>
    <row r="49" spans="1:13" ht="14.25" customHeight="1">
      <c r="A49" s="113">
        <v>10</v>
      </c>
      <c r="B49" s="113"/>
      <c r="C49" s="222" t="s">
        <v>18181</v>
      </c>
      <c r="D49" s="217" t="s">
        <v>18182</v>
      </c>
      <c r="E49" s="222" t="s">
        <v>7980</v>
      </c>
      <c r="F49" s="222" t="s">
        <v>65</v>
      </c>
      <c r="G49" s="220" t="s">
        <v>18183</v>
      </c>
      <c r="H49" s="221" t="s">
        <v>18184</v>
      </c>
      <c r="I49" s="221"/>
      <c r="J49" s="28" t="s">
        <v>18185</v>
      </c>
      <c r="K49" s="137" t="s">
        <v>18186</v>
      </c>
      <c r="L49" s="136" t="s">
        <v>18187</v>
      </c>
      <c r="M49" s="113" t="s">
        <v>12401</v>
      </c>
    </row>
    <row r="50" spans="1:13" ht="14.25" customHeight="1">
      <c r="A50" s="113">
        <v>11</v>
      </c>
      <c r="B50" s="113"/>
      <c r="C50" s="222" t="s">
        <v>18188</v>
      </c>
      <c r="D50" s="217" t="s">
        <v>18189</v>
      </c>
      <c r="E50" s="222" t="s">
        <v>18190</v>
      </c>
      <c r="F50" s="222" t="s">
        <v>54</v>
      </c>
      <c r="G50" s="231" t="s">
        <v>18191</v>
      </c>
      <c r="H50" s="221" t="s">
        <v>18192</v>
      </c>
      <c r="I50" s="221"/>
      <c r="J50" s="28" t="s">
        <v>18193</v>
      </c>
      <c r="K50" s="137" t="s">
        <v>18194</v>
      </c>
      <c r="L50" s="136" t="s">
        <v>18195</v>
      </c>
      <c r="M50" s="113" t="s">
        <v>12409</v>
      </c>
    </row>
    <row r="51" spans="1:13" ht="14.25" customHeight="1">
      <c r="A51" s="113">
        <v>12</v>
      </c>
      <c r="B51" s="113"/>
      <c r="C51" s="216" t="s">
        <v>18196</v>
      </c>
      <c r="D51" s="235" t="s">
        <v>18197</v>
      </c>
      <c r="E51" s="216" t="s">
        <v>18198</v>
      </c>
      <c r="F51" s="216" t="s">
        <v>65</v>
      </c>
      <c r="G51" s="220" t="s">
        <v>18199</v>
      </c>
      <c r="H51" s="236" t="s">
        <v>18200</v>
      </c>
      <c r="I51" s="236"/>
      <c r="J51" s="237" t="s">
        <v>18201</v>
      </c>
      <c r="K51" s="137" t="s">
        <v>18202</v>
      </c>
      <c r="L51" s="136" t="s">
        <v>18203</v>
      </c>
      <c r="M51" s="113" t="s">
        <v>12418</v>
      </c>
    </row>
    <row r="52" spans="1:13" ht="14.25" customHeight="1">
      <c r="A52" s="113">
        <v>13</v>
      </c>
      <c r="B52" s="113"/>
      <c r="C52" s="222" t="s">
        <v>18204</v>
      </c>
      <c r="D52" s="232" t="s">
        <v>18205</v>
      </c>
      <c r="E52" s="222" t="s">
        <v>18206</v>
      </c>
      <c r="F52" s="222" t="s">
        <v>65</v>
      </c>
      <c r="G52" s="231" t="s">
        <v>18207</v>
      </c>
      <c r="H52" s="233" t="s">
        <v>18208</v>
      </c>
      <c r="I52" s="233"/>
      <c r="J52" s="234" t="s">
        <v>18209</v>
      </c>
      <c r="K52" s="137" t="s">
        <v>18210</v>
      </c>
      <c r="L52" s="136" t="s">
        <v>18211</v>
      </c>
      <c r="M52" s="113" t="s">
        <v>12427</v>
      </c>
    </row>
    <row r="53" spans="1:13" ht="14.25" customHeight="1">
      <c r="A53" s="113">
        <v>14</v>
      </c>
      <c r="B53" s="113"/>
      <c r="C53" s="222" t="s">
        <v>18212</v>
      </c>
      <c r="D53" s="217" t="s">
        <v>18213</v>
      </c>
      <c r="E53" s="222" t="s">
        <v>18214</v>
      </c>
      <c r="F53" s="222" t="s">
        <v>65</v>
      </c>
      <c r="G53" s="231" t="s">
        <v>18215</v>
      </c>
      <c r="H53" s="221" t="s">
        <v>18216</v>
      </c>
      <c r="I53" s="221"/>
      <c r="J53" s="28" t="s">
        <v>18217</v>
      </c>
      <c r="K53" s="137" t="s">
        <v>18218</v>
      </c>
      <c r="L53" s="136" t="s">
        <v>18219</v>
      </c>
      <c r="M53" s="113" t="s">
        <v>12436</v>
      </c>
    </row>
    <row r="54" spans="1:13" ht="14.25" customHeight="1">
      <c r="A54" s="113">
        <v>15</v>
      </c>
      <c r="B54" s="113"/>
      <c r="C54" s="222" t="s">
        <v>18220</v>
      </c>
      <c r="D54" s="217" t="s">
        <v>18221</v>
      </c>
      <c r="E54" s="222" t="s">
        <v>18222</v>
      </c>
      <c r="F54" s="222" t="s">
        <v>65</v>
      </c>
      <c r="G54" s="220" t="s">
        <v>18223</v>
      </c>
      <c r="H54" s="221" t="s">
        <v>18224</v>
      </c>
      <c r="I54" s="221"/>
      <c r="J54" s="28" t="s">
        <v>18225</v>
      </c>
      <c r="K54" s="137" t="s">
        <v>18226</v>
      </c>
      <c r="L54" s="136" t="s">
        <v>18227</v>
      </c>
      <c r="M54" s="113" t="s">
        <v>12445</v>
      </c>
    </row>
    <row r="55" spans="1:13" ht="14.25" customHeight="1">
      <c r="A55" s="113">
        <v>16</v>
      </c>
      <c r="B55" s="113"/>
      <c r="C55" s="222" t="s">
        <v>18228</v>
      </c>
      <c r="D55" s="217" t="s">
        <v>18229</v>
      </c>
      <c r="E55" s="222" t="s">
        <v>18230</v>
      </c>
      <c r="F55" s="222" t="s">
        <v>65</v>
      </c>
      <c r="G55" s="220" t="s">
        <v>18231</v>
      </c>
      <c r="H55" s="221" t="s">
        <v>18232</v>
      </c>
      <c r="I55" s="221"/>
      <c r="J55" s="28" t="s">
        <v>18233</v>
      </c>
      <c r="K55" s="137" t="s">
        <v>18234</v>
      </c>
      <c r="L55" s="136" t="s">
        <v>18235</v>
      </c>
      <c r="M55" s="113" t="s">
        <v>12455</v>
      </c>
    </row>
    <row r="56" spans="1:13" ht="14.25" customHeight="1">
      <c r="A56" s="113">
        <v>17</v>
      </c>
      <c r="B56" s="113"/>
      <c r="C56" s="222" t="s">
        <v>18236</v>
      </c>
      <c r="D56" s="217" t="s">
        <v>18237</v>
      </c>
      <c r="E56" s="222" t="s">
        <v>18238</v>
      </c>
      <c r="F56" s="222" t="s">
        <v>65</v>
      </c>
      <c r="G56" s="220" t="s">
        <v>18239</v>
      </c>
      <c r="H56" s="221" t="s">
        <v>18240</v>
      </c>
      <c r="I56" s="221"/>
      <c r="J56" s="28" t="s">
        <v>18241</v>
      </c>
      <c r="K56" s="137" t="s">
        <v>18242</v>
      </c>
      <c r="L56" s="136" t="s">
        <v>18243</v>
      </c>
      <c r="M56" s="113" t="s">
        <v>12464</v>
      </c>
    </row>
    <row r="57" spans="1:13" ht="14.25" customHeight="1">
      <c r="A57" s="113">
        <v>18</v>
      </c>
      <c r="B57" s="113"/>
      <c r="C57" s="222" t="s">
        <v>18244</v>
      </c>
      <c r="D57" s="217" t="s">
        <v>18245</v>
      </c>
      <c r="E57" s="222" t="s">
        <v>18246</v>
      </c>
      <c r="F57" s="222" t="s">
        <v>117</v>
      </c>
      <c r="G57" s="220" t="s">
        <v>18247</v>
      </c>
      <c r="H57" s="221" t="s">
        <v>18248</v>
      </c>
      <c r="I57" s="221"/>
      <c r="J57" s="28" t="s">
        <v>18249</v>
      </c>
      <c r="K57" s="137" t="s">
        <v>18250</v>
      </c>
      <c r="L57" s="136" t="s">
        <v>18251</v>
      </c>
      <c r="M57" s="113" t="s">
        <v>10816</v>
      </c>
    </row>
    <row r="58" spans="1:13" ht="14.25" customHeight="1">
      <c r="A58" s="113">
        <v>19</v>
      </c>
      <c r="B58" s="113"/>
      <c r="C58" s="216" t="s">
        <v>18252</v>
      </c>
      <c r="D58" s="217" t="s">
        <v>18253</v>
      </c>
      <c r="E58" s="219" t="s">
        <v>18254</v>
      </c>
      <c r="F58" s="222" t="s">
        <v>117</v>
      </c>
      <c r="G58" s="220" t="s">
        <v>18255</v>
      </c>
      <c r="H58" s="221" t="s">
        <v>18256</v>
      </c>
      <c r="I58" s="221"/>
      <c r="J58" s="28" t="s">
        <v>18257</v>
      </c>
      <c r="K58" s="137" t="s">
        <v>18258</v>
      </c>
      <c r="L58" s="136" t="s">
        <v>18259</v>
      </c>
      <c r="M58" s="113" t="s">
        <v>12474</v>
      </c>
    </row>
    <row r="59" spans="1:13" ht="14.25" customHeight="1">
      <c r="A59" s="113">
        <v>20</v>
      </c>
      <c r="B59" s="113"/>
      <c r="C59" s="216" t="s">
        <v>18260</v>
      </c>
      <c r="D59" s="217" t="s">
        <v>18261</v>
      </c>
      <c r="E59" s="216" t="s">
        <v>18262</v>
      </c>
      <c r="F59" s="216" t="s">
        <v>563</v>
      </c>
      <c r="G59" s="220" t="s">
        <v>18263</v>
      </c>
      <c r="H59" s="221" t="s">
        <v>18264</v>
      </c>
      <c r="I59" s="221"/>
      <c r="J59" s="28" t="s">
        <v>18265</v>
      </c>
      <c r="K59" s="137" t="s">
        <v>18266</v>
      </c>
      <c r="L59" s="136" t="s">
        <v>18267</v>
      </c>
      <c r="M59" s="113" t="s">
        <v>10977</v>
      </c>
    </row>
    <row r="60" spans="1:13" ht="14.25" customHeight="1">
      <c r="A60" s="113">
        <v>21</v>
      </c>
      <c r="B60" s="113"/>
      <c r="C60" s="222" t="s">
        <v>18268</v>
      </c>
      <c r="D60" s="217" t="s">
        <v>18269</v>
      </c>
      <c r="E60" s="222" t="s">
        <v>18270</v>
      </c>
      <c r="F60" s="222" t="s">
        <v>6748</v>
      </c>
      <c r="G60" s="231" t="s">
        <v>18271</v>
      </c>
      <c r="H60" s="221" t="s">
        <v>18272</v>
      </c>
      <c r="I60" s="221"/>
      <c r="J60" s="28" t="s">
        <v>18273</v>
      </c>
      <c r="K60" s="137" t="s">
        <v>18274</v>
      </c>
      <c r="L60" s="136" t="s">
        <v>18275</v>
      </c>
      <c r="M60" s="113" t="s">
        <v>12484</v>
      </c>
    </row>
    <row r="61" spans="1:13" ht="14.25" customHeight="1">
      <c r="A61" s="113">
        <v>22</v>
      </c>
      <c r="B61" s="113"/>
      <c r="C61" s="222" t="s">
        <v>12191</v>
      </c>
      <c r="D61" s="217" t="s">
        <v>12192</v>
      </c>
      <c r="E61" s="222" t="s">
        <v>7007</v>
      </c>
      <c r="F61" s="222" t="s">
        <v>18151</v>
      </c>
      <c r="G61" s="231" t="s">
        <v>18276</v>
      </c>
      <c r="H61" s="221" t="s">
        <v>18277</v>
      </c>
      <c r="I61" s="221"/>
      <c r="J61" s="28" t="s">
        <v>18278</v>
      </c>
      <c r="K61" s="137" t="s">
        <v>18279</v>
      </c>
      <c r="L61" s="136" t="s">
        <v>18280</v>
      </c>
      <c r="M61" s="113" t="s">
        <v>12493</v>
      </c>
    </row>
    <row r="62" spans="1:13" ht="14.25" customHeight="1">
      <c r="A62" s="113">
        <v>23</v>
      </c>
      <c r="B62" s="113"/>
      <c r="C62" s="222" t="s">
        <v>18281</v>
      </c>
      <c r="D62" s="217" t="s">
        <v>18282</v>
      </c>
      <c r="E62" s="222" t="s">
        <v>18283</v>
      </c>
      <c r="F62" s="222" t="s">
        <v>117</v>
      </c>
      <c r="G62" s="231" t="s">
        <v>18284</v>
      </c>
      <c r="H62" s="221" t="s">
        <v>18285</v>
      </c>
      <c r="I62" s="221"/>
      <c r="J62" s="28" t="s">
        <v>18286</v>
      </c>
      <c r="K62" s="137" t="s">
        <v>18287</v>
      </c>
      <c r="L62" s="136" t="s">
        <v>18288</v>
      </c>
      <c r="M62" s="113" t="s">
        <v>12502</v>
      </c>
    </row>
    <row r="63" spans="1:13" ht="14.25" customHeight="1">
      <c r="A63" s="113">
        <v>24</v>
      </c>
      <c r="B63" s="113"/>
      <c r="C63" s="222" t="s">
        <v>18289</v>
      </c>
      <c r="D63" s="232" t="s">
        <v>18290</v>
      </c>
      <c r="E63" s="222" t="s">
        <v>18291</v>
      </c>
      <c r="F63" s="222" t="s">
        <v>54</v>
      </c>
      <c r="G63" s="231" t="s">
        <v>18292</v>
      </c>
      <c r="H63" s="233" t="s">
        <v>18293</v>
      </c>
      <c r="I63" s="233"/>
      <c r="J63" s="234" t="s">
        <v>18294</v>
      </c>
      <c r="K63" s="137" t="s">
        <v>18295</v>
      </c>
      <c r="L63" s="136" t="s">
        <v>18296</v>
      </c>
      <c r="M63" s="113" t="s">
        <v>12511</v>
      </c>
    </row>
    <row r="64" spans="1:13" ht="14.25" customHeight="1">
      <c r="A64" s="113">
        <v>25</v>
      </c>
      <c r="B64" s="113"/>
      <c r="C64" s="222" t="s">
        <v>18297</v>
      </c>
      <c r="D64" s="232" t="s">
        <v>18298</v>
      </c>
      <c r="E64" s="222" t="s">
        <v>18299</v>
      </c>
      <c r="F64" s="222" t="s">
        <v>54</v>
      </c>
      <c r="G64" s="231" t="s">
        <v>18300</v>
      </c>
      <c r="H64" s="233" t="s">
        <v>18301</v>
      </c>
      <c r="I64" s="233"/>
      <c r="J64" s="234" t="s">
        <v>18302</v>
      </c>
      <c r="K64" s="137" t="s">
        <v>18303</v>
      </c>
      <c r="L64" s="136" t="s">
        <v>18304</v>
      </c>
      <c r="M64" s="113" t="s">
        <v>12520</v>
      </c>
    </row>
    <row r="65" spans="1:13" ht="14.25" customHeight="1">
      <c r="A65" s="113">
        <v>26</v>
      </c>
      <c r="B65" s="113"/>
      <c r="C65" s="222" t="s">
        <v>18305</v>
      </c>
      <c r="D65" s="232" t="s">
        <v>18306</v>
      </c>
      <c r="E65" s="222" t="s">
        <v>18307</v>
      </c>
      <c r="F65" s="222" t="s">
        <v>117</v>
      </c>
      <c r="G65" s="231" t="s">
        <v>18308</v>
      </c>
      <c r="H65" s="233" t="s">
        <v>18309</v>
      </c>
      <c r="I65" s="233"/>
      <c r="J65" s="234" t="s">
        <v>18310</v>
      </c>
      <c r="K65" s="137" t="s">
        <v>18311</v>
      </c>
      <c r="L65" s="136" t="s">
        <v>18312</v>
      </c>
      <c r="M65" s="113" t="s">
        <v>12526</v>
      </c>
    </row>
    <row r="66" spans="1:13" ht="14.25" customHeight="1">
      <c r="A66" s="113">
        <v>27</v>
      </c>
      <c r="B66" s="113"/>
      <c r="C66" s="222" t="s">
        <v>18313</v>
      </c>
      <c r="D66" s="118" t="s">
        <v>18314</v>
      </c>
      <c r="E66" s="219" t="s">
        <v>4645</v>
      </c>
      <c r="F66" s="222" t="s">
        <v>117</v>
      </c>
      <c r="G66" s="231" t="s">
        <v>18315</v>
      </c>
      <c r="H66" s="227" t="s">
        <v>18316</v>
      </c>
      <c r="I66" s="227"/>
      <c r="J66" s="118" t="s">
        <v>18317</v>
      </c>
      <c r="K66" s="137" t="s">
        <v>18318</v>
      </c>
      <c r="L66" s="136" t="s">
        <v>18319</v>
      </c>
      <c r="M66" s="113" t="s">
        <v>12535</v>
      </c>
    </row>
    <row r="67" spans="1:13" ht="14.25" customHeight="1">
      <c r="A67" s="113">
        <v>28</v>
      </c>
      <c r="B67" s="113"/>
      <c r="C67" s="222" t="s">
        <v>18320</v>
      </c>
      <c r="D67" s="118" t="s">
        <v>18321</v>
      </c>
      <c r="E67" s="222" t="s">
        <v>9137</v>
      </c>
      <c r="F67" s="222" t="s">
        <v>117</v>
      </c>
      <c r="G67" s="231" t="s">
        <v>18322</v>
      </c>
      <c r="H67" s="227" t="s">
        <v>18323</v>
      </c>
      <c r="I67" s="227"/>
      <c r="J67" s="118" t="s">
        <v>18324</v>
      </c>
      <c r="K67" s="137" t="s">
        <v>18325</v>
      </c>
      <c r="L67" s="136" t="s">
        <v>18326</v>
      </c>
      <c r="M67" s="113" t="s">
        <v>12544</v>
      </c>
    </row>
    <row r="68" spans="1:13" ht="14.25" customHeight="1">
      <c r="A68" s="113">
        <v>29</v>
      </c>
      <c r="B68" s="113"/>
      <c r="C68" s="222" t="s">
        <v>18327</v>
      </c>
      <c r="D68" s="232" t="s">
        <v>18328</v>
      </c>
      <c r="E68" s="222" t="s">
        <v>18329</v>
      </c>
      <c r="F68" s="222" t="s">
        <v>54</v>
      </c>
      <c r="G68" s="231" t="s">
        <v>18330</v>
      </c>
      <c r="H68" s="233" t="s">
        <v>18331</v>
      </c>
      <c r="I68" s="233"/>
      <c r="J68" s="234" t="s">
        <v>18332</v>
      </c>
      <c r="K68" s="137" t="s">
        <v>18333</v>
      </c>
      <c r="L68" s="136" t="s">
        <v>18334</v>
      </c>
      <c r="M68" s="113" t="s">
        <v>12553</v>
      </c>
    </row>
    <row r="69" spans="1:13" ht="14.25" customHeight="1">
      <c r="A69" s="113">
        <v>30</v>
      </c>
      <c r="B69" s="113"/>
      <c r="C69" s="216" t="s">
        <v>18335</v>
      </c>
      <c r="D69" s="217" t="s">
        <v>18336</v>
      </c>
      <c r="E69" s="216" t="s">
        <v>18337</v>
      </c>
      <c r="F69" s="216" t="s">
        <v>501</v>
      </c>
      <c r="G69" s="220" t="s">
        <v>18338</v>
      </c>
      <c r="H69" s="221" t="s">
        <v>18339</v>
      </c>
      <c r="I69" s="221"/>
      <c r="J69" s="28" t="s">
        <v>18340</v>
      </c>
      <c r="K69" s="137" t="s">
        <v>18341</v>
      </c>
      <c r="L69" s="136" t="s">
        <v>18342</v>
      </c>
      <c r="M69" s="113" t="s">
        <v>10918</v>
      </c>
    </row>
    <row r="70" spans="1:13" ht="14.25" customHeight="1">
      <c r="A70" s="113">
        <v>31</v>
      </c>
      <c r="B70" s="113"/>
      <c r="C70" s="222" t="s">
        <v>18343</v>
      </c>
      <c r="D70" s="118" t="s">
        <v>18344</v>
      </c>
      <c r="E70" s="222" t="s">
        <v>18345</v>
      </c>
      <c r="F70" s="222" t="s">
        <v>117</v>
      </c>
      <c r="G70" s="231" t="s">
        <v>18346</v>
      </c>
      <c r="H70" s="227" t="s">
        <v>18347</v>
      </c>
      <c r="I70" s="227"/>
      <c r="J70" s="118" t="s">
        <v>18348</v>
      </c>
      <c r="K70" s="137" t="s">
        <v>18349</v>
      </c>
      <c r="L70" s="136" t="s">
        <v>18350</v>
      </c>
      <c r="M70" s="113" t="s">
        <v>10941</v>
      </c>
    </row>
    <row r="71" spans="1:13" ht="14.25" customHeight="1">
      <c r="A71" s="113">
        <v>32</v>
      </c>
      <c r="B71" s="113"/>
      <c r="C71" s="216" t="s">
        <v>18351</v>
      </c>
      <c r="D71" s="217" t="s">
        <v>18352</v>
      </c>
      <c r="E71" s="216" t="s">
        <v>18353</v>
      </c>
      <c r="F71" s="216" t="s">
        <v>219</v>
      </c>
      <c r="G71" s="220" t="s">
        <v>18354</v>
      </c>
      <c r="H71" s="221" t="s">
        <v>18355</v>
      </c>
      <c r="I71" s="221"/>
      <c r="J71" s="28" t="s">
        <v>18356</v>
      </c>
      <c r="K71" s="137" t="s">
        <v>18357</v>
      </c>
      <c r="L71" s="136" t="s">
        <v>18358</v>
      </c>
      <c r="M71" s="113" t="s">
        <v>10892</v>
      </c>
    </row>
    <row r="72" spans="1:13" ht="14.25" customHeight="1">
      <c r="A72" s="113">
        <v>33</v>
      </c>
      <c r="B72" s="113"/>
      <c r="C72" s="222" t="s">
        <v>18359</v>
      </c>
      <c r="D72" s="217" t="s">
        <v>18360</v>
      </c>
      <c r="E72" s="222" t="s">
        <v>18361</v>
      </c>
      <c r="F72" s="222" t="s">
        <v>65</v>
      </c>
      <c r="G72" s="220" t="s">
        <v>18362</v>
      </c>
      <c r="H72" s="221" t="s">
        <v>18363</v>
      </c>
      <c r="I72" s="221"/>
      <c r="J72" s="28" t="s">
        <v>18364</v>
      </c>
      <c r="K72" s="137" t="s">
        <v>18365</v>
      </c>
      <c r="L72" s="136" t="s">
        <v>18366</v>
      </c>
      <c r="M72" s="113" t="s">
        <v>11019</v>
      </c>
    </row>
    <row r="73" spans="1:13" ht="14.25" customHeight="1">
      <c r="A73" s="113">
        <v>34</v>
      </c>
      <c r="B73" s="113"/>
      <c r="C73" s="222" t="s">
        <v>18367</v>
      </c>
      <c r="D73" s="118" t="s">
        <v>18368</v>
      </c>
      <c r="E73" s="222" t="s">
        <v>18369</v>
      </c>
      <c r="F73" s="222" t="s">
        <v>563</v>
      </c>
      <c r="G73" s="220" t="s">
        <v>18370</v>
      </c>
      <c r="H73" s="227" t="s">
        <v>18371</v>
      </c>
      <c r="I73" s="227"/>
      <c r="J73" s="28" t="s">
        <v>18372</v>
      </c>
      <c r="K73" s="137" t="s">
        <v>18373</v>
      </c>
      <c r="L73" s="136" t="s">
        <v>18374</v>
      </c>
      <c r="M73" s="113" t="s">
        <v>10806</v>
      </c>
    </row>
    <row r="74" spans="1:13" ht="14.25" customHeight="1">
      <c r="A74" s="113">
        <v>35</v>
      </c>
      <c r="B74" s="113"/>
      <c r="C74" s="222" t="s">
        <v>18375</v>
      </c>
      <c r="D74" s="217" t="s">
        <v>18376</v>
      </c>
      <c r="E74" s="222" t="s">
        <v>4763</v>
      </c>
      <c r="F74" s="222" t="s">
        <v>117</v>
      </c>
      <c r="G74" s="220" t="s">
        <v>13085</v>
      </c>
      <c r="H74" s="221" t="s">
        <v>18377</v>
      </c>
      <c r="I74" s="221"/>
      <c r="J74" s="28" t="s">
        <v>18378</v>
      </c>
      <c r="K74" s="137" t="s">
        <v>18379</v>
      </c>
      <c r="L74" s="136" t="s">
        <v>18380</v>
      </c>
      <c r="M74" s="113" t="s">
        <v>18381</v>
      </c>
    </row>
    <row r="75" spans="1:13" ht="14.25" customHeight="1">
      <c r="A75" s="113">
        <v>36</v>
      </c>
      <c r="B75" s="113"/>
      <c r="C75" s="222" t="s">
        <v>18382</v>
      </c>
      <c r="D75" s="217" t="s">
        <v>18383</v>
      </c>
      <c r="E75" s="222" t="s">
        <v>4722</v>
      </c>
      <c r="F75" s="222" t="s">
        <v>117</v>
      </c>
      <c r="G75" s="220" t="s">
        <v>18384</v>
      </c>
      <c r="H75" s="221" t="s">
        <v>18385</v>
      </c>
      <c r="I75" s="221"/>
      <c r="J75" s="28" t="s">
        <v>18386</v>
      </c>
      <c r="K75" s="137" t="s">
        <v>18387</v>
      </c>
      <c r="L75" s="136" t="s">
        <v>18388</v>
      </c>
      <c r="M75" s="113" t="s">
        <v>18389</v>
      </c>
    </row>
    <row r="76" spans="1:13" ht="14.25" customHeight="1">
      <c r="A76" s="113">
        <v>37</v>
      </c>
      <c r="B76" s="113"/>
      <c r="C76" s="216" t="s">
        <v>18390</v>
      </c>
      <c r="D76" s="217" t="s">
        <v>18391</v>
      </c>
      <c r="E76" s="219" t="s">
        <v>18392</v>
      </c>
      <c r="F76" s="222" t="s">
        <v>563</v>
      </c>
      <c r="G76" s="220" t="s">
        <v>18393</v>
      </c>
      <c r="H76" s="221" t="s">
        <v>18394</v>
      </c>
      <c r="I76" s="221"/>
      <c r="J76" s="28" t="s">
        <v>18395</v>
      </c>
      <c r="K76" s="137" t="s">
        <v>18396</v>
      </c>
      <c r="L76" s="136" t="s">
        <v>18397</v>
      </c>
      <c r="M76" s="113" t="s">
        <v>18398</v>
      </c>
    </row>
    <row r="77" spans="1:13" ht="14.25" customHeight="1">
      <c r="A77" s="113">
        <v>38</v>
      </c>
      <c r="B77" s="113"/>
      <c r="C77" s="216" t="s">
        <v>18399</v>
      </c>
      <c r="D77" s="217" t="s">
        <v>18400</v>
      </c>
      <c r="E77" s="219" t="s">
        <v>18401</v>
      </c>
      <c r="F77" s="222" t="s">
        <v>219</v>
      </c>
      <c r="G77" s="220" t="s">
        <v>18402</v>
      </c>
      <c r="H77" s="221" t="s">
        <v>18403</v>
      </c>
      <c r="I77" s="221"/>
      <c r="J77" s="28" t="s">
        <v>18404</v>
      </c>
      <c r="K77" s="137" t="s">
        <v>18405</v>
      </c>
      <c r="L77" s="136" t="s">
        <v>18406</v>
      </c>
      <c r="M77" s="113" t="s">
        <v>18407</v>
      </c>
    </row>
    <row r="78" spans="1:13" ht="14.25" customHeight="1">
      <c r="A78" s="113">
        <v>39</v>
      </c>
      <c r="B78" s="113"/>
      <c r="C78" s="216" t="s">
        <v>18408</v>
      </c>
      <c r="D78" s="118" t="s">
        <v>18409</v>
      </c>
      <c r="E78" s="219" t="s">
        <v>18254</v>
      </c>
      <c r="F78" s="222" t="s">
        <v>117</v>
      </c>
      <c r="G78" s="220" t="s">
        <v>18410</v>
      </c>
      <c r="H78" s="227" t="s">
        <v>18411</v>
      </c>
      <c r="I78" s="227"/>
      <c r="J78" s="118" t="s">
        <v>18412</v>
      </c>
      <c r="K78" s="137" t="s">
        <v>18413</v>
      </c>
      <c r="L78" s="113" t="s">
        <v>18414</v>
      </c>
      <c r="M78" s="113" t="s">
        <v>18415</v>
      </c>
    </row>
    <row r="79" spans="1:13" ht="14.25" customHeight="1">
      <c r="A79" s="210">
        <v>1</v>
      </c>
      <c r="B79" s="210"/>
      <c r="C79" s="211" t="s">
        <v>18416</v>
      </c>
      <c r="D79" s="238" t="s">
        <v>18417</v>
      </c>
      <c r="E79" s="211" t="s">
        <v>18418</v>
      </c>
      <c r="F79" s="211" t="s">
        <v>117</v>
      </c>
      <c r="G79" s="213" t="s">
        <v>18419</v>
      </c>
      <c r="H79" s="239" t="s">
        <v>18420</v>
      </c>
      <c r="I79" s="239"/>
      <c r="J79" s="240" t="s">
        <v>18421</v>
      </c>
      <c r="K79" s="215" t="s">
        <v>18422</v>
      </c>
      <c r="L79" s="210" t="s">
        <v>18423</v>
      </c>
      <c r="M79" s="210" t="s">
        <v>12567</v>
      </c>
    </row>
    <row r="80" spans="1:13" ht="14.25" customHeight="1">
      <c r="A80" s="113">
        <v>2</v>
      </c>
      <c r="B80" s="113"/>
      <c r="C80" s="222" t="s">
        <v>18424</v>
      </c>
      <c r="D80" s="217" t="s">
        <v>18425</v>
      </c>
      <c r="E80" s="222" t="s">
        <v>18426</v>
      </c>
      <c r="F80" s="222" t="s">
        <v>117</v>
      </c>
      <c r="G80" s="231" t="s">
        <v>18427</v>
      </c>
      <c r="H80" s="221" t="s">
        <v>18428</v>
      </c>
      <c r="I80" s="221"/>
      <c r="J80" s="28" t="s">
        <v>18429</v>
      </c>
      <c r="K80" s="137" t="s">
        <v>18430</v>
      </c>
      <c r="L80" s="136" t="s">
        <v>18431</v>
      </c>
      <c r="M80" s="113" t="s">
        <v>12576</v>
      </c>
    </row>
    <row r="81" spans="1:13" ht="14.25" customHeight="1">
      <c r="A81" s="113">
        <v>3</v>
      </c>
      <c r="B81" s="113"/>
      <c r="C81" s="222" t="s">
        <v>18432</v>
      </c>
      <c r="D81" s="217" t="s">
        <v>18433</v>
      </c>
      <c r="E81" s="222" t="s">
        <v>18434</v>
      </c>
      <c r="F81" s="222" t="s">
        <v>65</v>
      </c>
      <c r="G81" s="231" t="s">
        <v>18435</v>
      </c>
      <c r="H81" s="221" t="s">
        <v>18436</v>
      </c>
      <c r="I81" s="221"/>
      <c r="J81" s="28" t="s">
        <v>18437</v>
      </c>
      <c r="K81" s="137" t="s">
        <v>18438</v>
      </c>
      <c r="L81" s="136" t="s">
        <v>18439</v>
      </c>
      <c r="M81" s="113" t="s">
        <v>12585</v>
      </c>
    </row>
    <row r="82" spans="1:13" ht="14.25" customHeight="1">
      <c r="A82" s="113">
        <v>4</v>
      </c>
      <c r="B82" s="113"/>
      <c r="C82" s="222" t="s">
        <v>18440</v>
      </c>
      <c r="D82" s="217" t="s">
        <v>18441</v>
      </c>
      <c r="E82" s="222" t="s">
        <v>18442</v>
      </c>
      <c r="F82" s="222" t="s">
        <v>117</v>
      </c>
      <c r="G82" s="231" t="s">
        <v>18443</v>
      </c>
      <c r="H82" s="221" t="s">
        <v>18444</v>
      </c>
      <c r="I82" s="221"/>
      <c r="J82" s="28" t="s">
        <v>18445</v>
      </c>
      <c r="K82" s="137" t="s">
        <v>18446</v>
      </c>
      <c r="L82" s="136" t="s">
        <v>18447</v>
      </c>
      <c r="M82" s="113" t="s">
        <v>12594</v>
      </c>
    </row>
    <row r="83" spans="1:13" ht="14.25" customHeight="1">
      <c r="A83" s="113">
        <v>5</v>
      </c>
      <c r="B83" s="113"/>
      <c r="C83" s="222" t="s">
        <v>18448</v>
      </c>
      <c r="D83" s="226" t="s">
        <v>18449</v>
      </c>
      <c r="E83" s="222" t="s">
        <v>18450</v>
      </c>
      <c r="F83" s="222" t="s">
        <v>42</v>
      </c>
      <c r="G83" s="231" t="s">
        <v>18451</v>
      </c>
      <c r="H83" s="227" t="s">
        <v>18452</v>
      </c>
      <c r="I83" s="227"/>
      <c r="J83" s="226" t="s">
        <v>18453</v>
      </c>
      <c r="K83" s="137" t="s">
        <v>18454</v>
      </c>
      <c r="L83" s="136" t="s">
        <v>18455</v>
      </c>
      <c r="M83" s="113" t="s">
        <v>12603</v>
      </c>
    </row>
    <row r="84" spans="1:13" ht="14.25" customHeight="1">
      <c r="A84" s="113">
        <v>6</v>
      </c>
      <c r="B84" s="113"/>
      <c r="C84" s="222" t="s">
        <v>18456</v>
      </c>
      <c r="D84" s="217" t="s">
        <v>18457</v>
      </c>
      <c r="E84" s="222" t="s">
        <v>18458</v>
      </c>
      <c r="F84" s="222" t="s">
        <v>65</v>
      </c>
      <c r="G84" s="231" t="s">
        <v>18459</v>
      </c>
      <c r="H84" s="221" t="s">
        <v>18460</v>
      </c>
      <c r="I84" s="221"/>
      <c r="J84" s="217" t="s">
        <v>18461</v>
      </c>
      <c r="K84" s="137" t="s">
        <v>18462</v>
      </c>
      <c r="L84" s="136" t="s">
        <v>18463</v>
      </c>
      <c r="M84" s="113" t="s">
        <v>12611</v>
      </c>
    </row>
    <row r="85" spans="1:13" ht="14.25" customHeight="1">
      <c r="A85" s="113">
        <v>7</v>
      </c>
      <c r="B85" s="113"/>
      <c r="C85" s="222" t="s">
        <v>18464</v>
      </c>
      <c r="D85" s="217" t="s">
        <v>18465</v>
      </c>
      <c r="E85" s="222" t="s">
        <v>18466</v>
      </c>
      <c r="F85" s="222" t="s">
        <v>219</v>
      </c>
      <c r="G85" s="231" t="s">
        <v>18467</v>
      </c>
      <c r="H85" s="221" t="s">
        <v>18468</v>
      </c>
      <c r="I85" s="221"/>
      <c r="J85" s="217" t="s">
        <v>18469</v>
      </c>
      <c r="K85" s="137" t="s">
        <v>18470</v>
      </c>
      <c r="L85" s="136" t="s">
        <v>18471</v>
      </c>
      <c r="M85" s="113" t="s">
        <v>12620</v>
      </c>
    </row>
    <row r="86" spans="1:13" ht="14.25" customHeight="1">
      <c r="A86" s="113">
        <v>8</v>
      </c>
      <c r="B86" s="113"/>
      <c r="C86" s="222" t="s">
        <v>18472</v>
      </c>
      <c r="D86" s="223" t="s">
        <v>18473</v>
      </c>
      <c r="E86" s="222" t="s">
        <v>18474</v>
      </c>
      <c r="F86" s="222" t="s">
        <v>117</v>
      </c>
      <c r="G86" s="241" t="s">
        <v>18475</v>
      </c>
      <c r="H86" s="224" t="s">
        <v>18476</v>
      </c>
      <c r="I86" s="224"/>
      <c r="J86" s="223" t="s">
        <v>18477</v>
      </c>
      <c r="K86" s="137" t="s">
        <v>18478</v>
      </c>
      <c r="L86" s="136" t="s">
        <v>18479</v>
      </c>
      <c r="M86" s="113" t="s">
        <v>12629</v>
      </c>
    </row>
    <row r="87" spans="1:13" ht="14.25" customHeight="1">
      <c r="A87" s="113">
        <v>9</v>
      </c>
      <c r="B87" s="113"/>
      <c r="C87" s="222" t="s">
        <v>18480</v>
      </c>
      <c r="D87" s="217" t="s">
        <v>18481</v>
      </c>
      <c r="E87" s="222" t="s">
        <v>18482</v>
      </c>
      <c r="F87" s="222" t="s">
        <v>5559</v>
      </c>
      <c r="G87" s="231" t="s">
        <v>18483</v>
      </c>
      <c r="H87" s="221" t="s">
        <v>18484</v>
      </c>
      <c r="I87" s="221"/>
      <c r="J87" s="217" t="s">
        <v>18485</v>
      </c>
      <c r="K87" s="137" t="s">
        <v>18486</v>
      </c>
      <c r="L87" s="136" t="s">
        <v>18487</v>
      </c>
      <c r="M87" s="113" t="s">
        <v>12638</v>
      </c>
    </row>
    <row r="88" spans="1:13" ht="14.25" customHeight="1">
      <c r="A88" s="113">
        <v>10</v>
      </c>
      <c r="B88" s="113"/>
      <c r="C88" s="222" t="s">
        <v>18488</v>
      </c>
      <c r="D88" s="226" t="s">
        <v>18489</v>
      </c>
      <c r="E88" s="222" t="s">
        <v>18490</v>
      </c>
      <c r="F88" s="222" t="s">
        <v>5559</v>
      </c>
      <c r="G88" s="231" t="s">
        <v>18491</v>
      </c>
      <c r="H88" s="227" t="s">
        <v>18492</v>
      </c>
      <c r="I88" s="227"/>
      <c r="J88" s="226" t="s">
        <v>18493</v>
      </c>
      <c r="K88" s="137" t="s">
        <v>18494</v>
      </c>
      <c r="L88" s="136" t="s">
        <v>18495</v>
      </c>
      <c r="M88" s="113" t="s">
        <v>12647</v>
      </c>
    </row>
    <row r="89" spans="1:13" ht="14.25" customHeight="1">
      <c r="A89" s="113">
        <v>11</v>
      </c>
      <c r="B89" s="113"/>
      <c r="C89" s="222" t="s">
        <v>18496</v>
      </c>
      <c r="D89" s="217" t="s">
        <v>18497</v>
      </c>
      <c r="E89" s="222" t="s">
        <v>18498</v>
      </c>
      <c r="F89" s="222" t="s">
        <v>117</v>
      </c>
      <c r="G89" s="231" t="s">
        <v>18499</v>
      </c>
      <c r="H89" s="221" t="s">
        <v>18500</v>
      </c>
      <c r="I89" s="221"/>
      <c r="J89" s="217" t="s">
        <v>18501</v>
      </c>
      <c r="K89" s="137" t="s">
        <v>18502</v>
      </c>
      <c r="L89" s="136" t="s">
        <v>18503</v>
      </c>
      <c r="M89" s="113" t="s">
        <v>10822</v>
      </c>
    </row>
    <row r="90" spans="1:13" ht="14.25" customHeight="1">
      <c r="A90" s="113">
        <v>12</v>
      </c>
      <c r="B90" s="113"/>
      <c r="C90" s="222" t="s">
        <v>18504</v>
      </c>
      <c r="D90" s="217" t="s">
        <v>18505</v>
      </c>
      <c r="E90" s="222" t="s">
        <v>18506</v>
      </c>
      <c r="F90" s="222" t="s">
        <v>65</v>
      </c>
      <c r="G90" s="231" t="s">
        <v>14688</v>
      </c>
      <c r="H90" s="221" t="s">
        <v>18507</v>
      </c>
      <c r="I90" s="221"/>
      <c r="J90" s="217" t="s">
        <v>18508</v>
      </c>
      <c r="K90" s="137" t="s">
        <v>18509</v>
      </c>
      <c r="L90" s="136" t="s">
        <v>18510</v>
      </c>
      <c r="M90" s="113" t="s">
        <v>12657</v>
      </c>
    </row>
    <row r="91" spans="1:13" ht="14.25" customHeight="1">
      <c r="A91" s="113">
        <v>13</v>
      </c>
      <c r="B91" s="113"/>
      <c r="C91" s="222" t="s">
        <v>18511</v>
      </c>
      <c r="D91" s="217" t="s">
        <v>18512</v>
      </c>
      <c r="E91" s="222" t="s">
        <v>18513</v>
      </c>
      <c r="F91" s="222" t="s">
        <v>65</v>
      </c>
      <c r="G91" s="231" t="s">
        <v>18514</v>
      </c>
      <c r="H91" s="221" t="s">
        <v>18515</v>
      </c>
      <c r="I91" s="221"/>
      <c r="J91" s="217" t="s">
        <v>18516</v>
      </c>
      <c r="K91" s="137" t="s">
        <v>18517</v>
      </c>
      <c r="L91" s="136" t="s">
        <v>18518</v>
      </c>
      <c r="M91" s="113" t="s">
        <v>12666</v>
      </c>
    </row>
    <row r="92" spans="1:13" ht="14.25" customHeight="1">
      <c r="A92" s="113">
        <v>14</v>
      </c>
      <c r="B92" s="113"/>
      <c r="C92" s="222" t="s">
        <v>18519</v>
      </c>
      <c r="D92" s="217" t="s">
        <v>18520</v>
      </c>
      <c r="E92" s="222" t="s">
        <v>13865</v>
      </c>
      <c r="F92" s="222" t="s">
        <v>117</v>
      </c>
      <c r="G92" s="231" t="s">
        <v>18521</v>
      </c>
      <c r="H92" s="221" t="s">
        <v>18522</v>
      </c>
      <c r="I92" s="221"/>
      <c r="J92" s="217" t="s">
        <v>18523</v>
      </c>
      <c r="K92" s="137" t="s">
        <v>18524</v>
      </c>
      <c r="L92" s="136" t="s">
        <v>18525</v>
      </c>
      <c r="M92" s="113" t="s">
        <v>12675</v>
      </c>
    </row>
    <row r="93" spans="1:13" ht="14.25" customHeight="1">
      <c r="A93" s="113">
        <v>15</v>
      </c>
      <c r="B93" s="113"/>
      <c r="C93" s="222" t="s">
        <v>18526</v>
      </c>
      <c r="D93" s="217" t="s">
        <v>18527</v>
      </c>
      <c r="E93" s="222" t="s">
        <v>18528</v>
      </c>
      <c r="F93" s="222" t="s">
        <v>5791</v>
      </c>
      <c r="G93" s="231" t="s">
        <v>18529</v>
      </c>
      <c r="H93" s="221" t="s">
        <v>18530</v>
      </c>
      <c r="I93" s="221"/>
      <c r="J93" s="217" t="s">
        <v>18531</v>
      </c>
      <c r="K93" s="137" t="s">
        <v>18532</v>
      </c>
      <c r="L93" s="136" t="s">
        <v>18533</v>
      </c>
      <c r="M93" s="113" t="s">
        <v>12684</v>
      </c>
    </row>
    <row r="94" spans="1:13" ht="14.25" customHeight="1">
      <c r="A94" s="113">
        <v>16</v>
      </c>
      <c r="B94" s="113"/>
      <c r="C94" s="222" t="s">
        <v>18534</v>
      </c>
      <c r="D94" s="217" t="s">
        <v>18535</v>
      </c>
      <c r="E94" s="222" t="s">
        <v>6660</v>
      </c>
      <c r="F94" s="222" t="s">
        <v>117</v>
      </c>
      <c r="G94" s="231" t="s">
        <v>18536</v>
      </c>
      <c r="H94" s="221" t="s">
        <v>18537</v>
      </c>
      <c r="I94" s="221"/>
      <c r="J94" s="217" t="s">
        <v>18538</v>
      </c>
      <c r="K94" s="137" t="s">
        <v>18539</v>
      </c>
      <c r="L94" s="136" t="s">
        <v>18540</v>
      </c>
      <c r="M94" s="113" t="s">
        <v>12693</v>
      </c>
    </row>
    <row r="95" spans="1:13" ht="14.25" customHeight="1">
      <c r="A95" s="113">
        <v>17</v>
      </c>
      <c r="B95" s="113"/>
      <c r="C95" s="222" t="s">
        <v>18541</v>
      </c>
      <c r="D95" s="226" t="s">
        <v>18542</v>
      </c>
      <c r="E95" s="222" t="s">
        <v>18543</v>
      </c>
      <c r="F95" s="222" t="s">
        <v>117</v>
      </c>
      <c r="G95" s="231" t="s">
        <v>18544</v>
      </c>
      <c r="H95" s="227" t="s">
        <v>18545</v>
      </c>
      <c r="I95" s="227"/>
      <c r="J95" s="226" t="s">
        <v>18546</v>
      </c>
      <c r="K95" s="137" t="s">
        <v>18547</v>
      </c>
      <c r="L95" s="136" t="s">
        <v>18548</v>
      </c>
      <c r="M95" s="113" t="s">
        <v>12702</v>
      </c>
    </row>
    <row r="96" spans="1:13" ht="14.25" customHeight="1">
      <c r="A96" s="113">
        <v>18</v>
      </c>
      <c r="B96" s="113"/>
      <c r="C96" s="222" t="s">
        <v>18549</v>
      </c>
      <c r="D96" s="217" t="s">
        <v>18550</v>
      </c>
      <c r="E96" s="222" t="s">
        <v>18551</v>
      </c>
      <c r="F96" s="222" t="s">
        <v>65</v>
      </c>
      <c r="G96" s="231" t="s">
        <v>18552</v>
      </c>
      <c r="H96" s="221" t="s">
        <v>18553</v>
      </c>
      <c r="I96" s="221"/>
      <c r="J96" s="217" t="s">
        <v>18554</v>
      </c>
      <c r="K96" s="137" t="s">
        <v>18555</v>
      </c>
      <c r="L96" s="136" t="s">
        <v>18556</v>
      </c>
      <c r="M96" s="113" t="s">
        <v>12711</v>
      </c>
    </row>
    <row r="97" spans="1:13" ht="14.25" customHeight="1">
      <c r="A97" s="113">
        <v>19</v>
      </c>
      <c r="B97" s="113"/>
      <c r="C97" s="216" t="s">
        <v>18557</v>
      </c>
      <c r="D97" s="217" t="s">
        <v>18558</v>
      </c>
      <c r="E97" s="219" t="s">
        <v>18559</v>
      </c>
      <c r="F97" s="219" t="s">
        <v>219</v>
      </c>
      <c r="G97" s="220" t="s">
        <v>18560</v>
      </c>
      <c r="H97" s="221" t="s">
        <v>18561</v>
      </c>
      <c r="I97" s="221"/>
      <c r="J97" s="217" t="s">
        <v>18562</v>
      </c>
      <c r="K97" s="137" t="s">
        <v>18563</v>
      </c>
      <c r="L97" s="136" t="s">
        <v>18564</v>
      </c>
      <c r="M97" s="113" t="s">
        <v>12720</v>
      </c>
    </row>
    <row r="98" spans="1:13" ht="14.25" customHeight="1">
      <c r="A98" s="113">
        <v>20</v>
      </c>
      <c r="B98" s="113"/>
      <c r="C98" s="216" t="s">
        <v>18565</v>
      </c>
      <c r="D98" s="217" t="s">
        <v>18566</v>
      </c>
      <c r="E98" s="219" t="s">
        <v>18567</v>
      </c>
      <c r="F98" s="219" t="s">
        <v>5559</v>
      </c>
      <c r="G98" s="220" t="s">
        <v>18568</v>
      </c>
      <c r="H98" s="221" t="s">
        <v>18569</v>
      </c>
      <c r="I98" s="221"/>
      <c r="J98" s="217" t="s">
        <v>18570</v>
      </c>
      <c r="K98" s="137" t="s">
        <v>18571</v>
      </c>
      <c r="L98" s="136" t="s">
        <v>18572</v>
      </c>
      <c r="M98" s="113" t="s">
        <v>12729</v>
      </c>
    </row>
    <row r="99" spans="1:13" ht="14.25" customHeight="1">
      <c r="A99" s="113">
        <v>21</v>
      </c>
      <c r="B99" s="113"/>
      <c r="C99" s="222" t="s">
        <v>18573</v>
      </c>
      <c r="D99" s="217" t="s">
        <v>18574</v>
      </c>
      <c r="E99" s="222" t="s">
        <v>18575</v>
      </c>
      <c r="F99" s="222" t="s">
        <v>117</v>
      </c>
      <c r="G99" s="231" t="s">
        <v>18576</v>
      </c>
      <c r="H99" s="221" t="s">
        <v>18577</v>
      </c>
      <c r="I99" s="221"/>
      <c r="J99" s="217" t="s">
        <v>18578</v>
      </c>
      <c r="K99" s="137" t="s">
        <v>18579</v>
      </c>
      <c r="L99" s="136" t="s">
        <v>18580</v>
      </c>
      <c r="M99" s="113" t="s">
        <v>10673</v>
      </c>
    </row>
    <row r="100" spans="1:13" ht="14.25" customHeight="1">
      <c r="A100" s="113">
        <v>22</v>
      </c>
      <c r="B100" s="113"/>
      <c r="C100" s="222" t="s">
        <v>18581</v>
      </c>
      <c r="D100" s="217" t="s">
        <v>18582</v>
      </c>
      <c r="E100" s="222" t="s">
        <v>18583</v>
      </c>
      <c r="F100" s="222" t="s">
        <v>5559</v>
      </c>
      <c r="G100" s="231" t="s">
        <v>18584</v>
      </c>
      <c r="H100" s="221" t="s">
        <v>18585</v>
      </c>
      <c r="I100" s="221"/>
      <c r="J100" s="217" t="s">
        <v>18586</v>
      </c>
      <c r="K100" s="137" t="s">
        <v>18587</v>
      </c>
      <c r="L100" s="136" t="s">
        <v>18588</v>
      </c>
      <c r="M100" s="113" t="s">
        <v>12739</v>
      </c>
    </row>
    <row r="101" spans="1:13" ht="14.25" customHeight="1">
      <c r="A101" s="113">
        <v>23</v>
      </c>
      <c r="B101" s="113"/>
      <c r="C101" s="216" t="s">
        <v>11177</v>
      </c>
      <c r="D101" s="217" t="s">
        <v>11178</v>
      </c>
      <c r="E101" s="219" t="s">
        <v>11179</v>
      </c>
      <c r="F101" s="219" t="s">
        <v>65</v>
      </c>
      <c r="G101" s="220" t="s">
        <v>5358</v>
      </c>
      <c r="H101" s="221" t="s">
        <v>18589</v>
      </c>
      <c r="I101" s="221"/>
      <c r="J101" s="217" t="s">
        <v>18590</v>
      </c>
      <c r="K101" s="137" t="s">
        <v>18591</v>
      </c>
      <c r="L101" s="136" t="s">
        <v>18592</v>
      </c>
      <c r="M101" s="113" t="s">
        <v>12748</v>
      </c>
    </row>
    <row r="102" spans="1:13" ht="14.25" customHeight="1">
      <c r="A102" s="113">
        <v>24</v>
      </c>
      <c r="B102" s="113"/>
      <c r="C102" s="218" t="s">
        <v>18593</v>
      </c>
      <c r="D102" s="226" t="s">
        <v>18594</v>
      </c>
      <c r="E102" s="222" t="s">
        <v>18595</v>
      </c>
      <c r="F102" s="222" t="s">
        <v>65</v>
      </c>
      <c r="G102" s="231" t="s">
        <v>18596</v>
      </c>
      <c r="H102" s="227" t="s">
        <v>18597</v>
      </c>
      <c r="I102" s="227"/>
      <c r="J102" s="226" t="s">
        <v>18598</v>
      </c>
      <c r="K102" s="137" t="s">
        <v>18599</v>
      </c>
      <c r="L102" s="136" t="s">
        <v>18600</v>
      </c>
      <c r="M102" s="113" t="s">
        <v>12757</v>
      </c>
    </row>
    <row r="103" spans="1:13" ht="14.25" customHeight="1">
      <c r="A103" s="113">
        <v>25</v>
      </c>
      <c r="B103" s="113"/>
      <c r="C103" s="222" t="s">
        <v>18601</v>
      </c>
      <c r="D103" s="217" t="s">
        <v>18602</v>
      </c>
      <c r="E103" s="222" t="s">
        <v>18603</v>
      </c>
      <c r="F103" s="222" t="s">
        <v>65</v>
      </c>
      <c r="G103" s="231" t="s">
        <v>18604</v>
      </c>
      <c r="H103" s="221" t="s">
        <v>18605</v>
      </c>
      <c r="I103" s="221"/>
      <c r="J103" s="28" t="s">
        <v>18606</v>
      </c>
      <c r="K103" s="137" t="s">
        <v>18607</v>
      </c>
      <c r="L103" s="136" t="s">
        <v>18608</v>
      </c>
      <c r="M103" s="113" t="s">
        <v>12766</v>
      </c>
    </row>
    <row r="104" spans="1:13" ht="14.25" customHeight="1">
      <c r="A104" s="113">
        <v>26</v>
      </c>
      <c r="B104" s="113"/>
      <c r="C104" s="222" t="s">
        <v>18609</v>
      </c>
      <c r="D104" s="217" t="s">
        <v>18610</v>
      </c>
      <c r="E104" s="222" t="s">
        <v>18611</v>
      </c>
      <c r="F104" s="222" t="s">
        <v>65</v>
      </c>
      <c r="G104" s="231" t="s">
        <v>18612</v>
      </c>
      <c r="H104" s="221" t="s">
        <v>18613</v>
      </c>
      <c r="I104" s="221"/>
      <c r="J104" s="28" t="s">
        <v>18614</v>
      </c>
      <c r="K104" s="137" t="s">
        <v>18615</v>
      </c>
      <c r="L104" s="136" t="s">
        <v>18616</v>
      </c>
      <c r="M104" s="113" t="s">
        <v>12775</v>
      </c>
    </row>
    <row r="105" spans="1:13" ht="14.25" customHeight="1">
      <c r="A105" s="113">
        <v>27</v>
      </c>
      <c r="B105" s="113"/>
      <c r="C105" s="222" t="s">
        <v>18617</v>
      </c>
      <c r="D105" s="217" t="s">
        <v>18618</v>
      </c>
      <c r="E105" s="222" t="s">
        <v>18619</v>
      </c>
      <c r="F105" s="222" t="s">
        <v>117</v>
      </c>
      <c r="G105" s="231" t="s">
        <v>18620</v>
      </c>
      <c r="H105" s="221" t="s">
        <v>18621</v>
      </c>
      <c r="I105" s="221"/>
      <c r="J105" s="217" t="s">
        <v>18622</v>
      </c>
      <c r="K105" s="137" t="s">
        <v>18623</v>
      </c>
      <c r="L105" s="136" t="s">
        <v>18624</v>
      </c>
      <c r="M105" s="113" t="s">
        <v>12784</v>
      </c>
    </row>
    <row r="106" spans="1:13" ht="14.25" customHeight="1">
      <c r="A106" s="113">
        <v>28</v>
      </c>
      <c r="B106" s="113"/>
      <c r="C106" s="222" t="s">
        <v>18625</v>
      </c>
      <c r="D106" s="217" t="s">
        <v>18626</v>
      </c>
      <c r="E106" s="222" t="s">
        <v>18627</v>
      </c>
      <c r="F106" s="222" t="s">
        <v>117</v>
      </c>
      <c r="G106" s="231" t="s">
        <v>18628</v>
      </c>
      <c r="H106" s="221" t="s">
        <v>18629</v>
      </c>
      <c r="I106" s="221"/>
      <c r="J106" s="217" t="s">
        <v>18630</v>
      </c>
      <c r="K106" s="137" t="s">
        <v>18631</v>
      </c>
      <c r="L106" s="136" t="s">
        <v>18632</v>
      </c>
      <c r="M106" s="113" t="s">
        <v>12792</v>
      </c>
    </row>
    <row r="107" spans="1:13" ht="14.25" customHeight="1">
      <c r="A107" s="113">
        <v>29</v>
      </c>
      <c r="B107" s="113"/>
      <c r="C107" s="222" t="s">
        <v>18633</v>
      </c>
      <c r="D107" s="226" t="s">
        <v>18634</v>
      </c>
      <c r="E107" s="222" t="s">
        <v>18635</v>
      </c>
      <c r="F107" s="222" t="s">
        <v>117</v>
      </c>
      <c r="G107" s="225" t="s">
        <v>18636</v>
      </c>
      <c r="H107" s="227" t="s">
        <v>18637</v>
      </c>
      <c r="I107" s="227"/>
      <c r="J107" s="226" t="s">
        <v>18638</v>
      </c>
      <c r="K107" s="137" t="s">
        <v>18639</v>
      </c>
      <c r="L107" s="136" t="s">
        <v>18640</v>
      </c>
      <c r="M107" s="113" t="s">
        <v>12801</v>
      </c>
    </row>
    <row r="108" spans="1:13" ht="15.6">
      <c r="A108" s="113">
        <v>30</v>
      </c>
      <c r="B108" s="113"/>
      <c r="C108" s="222" t="s">
        <v>18641</v>
      </c>
      <c r="D108" s="226" t="s">
        <v>18642</v>
      </c>
      <c r="E108" s="219" t="s">
        <v>18643</v>
      </c>
      <c r="F108" s="219" t="s">
        <v>5791</v>
      </c>
      <c r="G108" s="231" t="s">
        <v>18644</v>
      </c>
      <c r="H108" s="227" t="s">
        <v>18645</v>
      </c>
      <c r="I108" s="227"/>
      <c r="J108" s="226" t="s">
        <v>18646</v>
      </c>
      <c r="K108" s="137" t="s">
        <v>18647</v>
      </c>
      <c r="L108" s="136" t="s">
        <v>18648</v>
      </c>
      <c r="M108" s="113" t="s">
        <v>10668</v>
      </c>
    </row>
    <row r="109" spans="1:13" ht="14.25" customHeight="1">
      <c r="A109" s="113">
        <v>31</v>
      </c>
      <c r="B109" s="113"/>
      <c r="C109" s="216" t="s">
        <v>18649</v>
      </c>
      <c r="D109" s="217" t="s">
        <v>18650</v>
      </c>
      <c r="E109" s="219" t="s">
        <v>18651</v>
      </c>
      <c r="F109" s="219" t="s">
        <v>65</v>
      </c>
      <c r="G109" s="220" t="s">
        <v>18652</v>
      </c>
      <c r="H109" s="221" t="s">
        <v>18653</v>
      </c>
      <c r="I109" s="221"/>
      <c r="J109" s="217" t="s">
        <v>18654</v>
      </c>
      <c r="K109" s="137" t="s">
        <v>18655</v>
      </c>
      <c r="L109" s="136" t="s">
        <v>18656</v>
      </c>
      <c r="M109" s="113" t="s">
        <v>12811</v>
      </c>
    </row>
    <row r="110" spans="1:13" ht="14.25" customHeight="1">
      <c r="A110" s="113">
        <v>32</v>
      </c>
      <c r="B110" s="113"/>
      <c r="C110" s="216" t="s">
        <v>18657</v>
      </c>
      <c r="D110" s="226" t="s">
        <v>18658</v>
      </c>
      <c r="E110" s="219" t="s">
        <v>18659</v>
      </c>
      <c r="F110" s="219" t="s">
        <v>5791</v>
      </c>
      <c r="G110" s="220" t="s">
        <v>18660</v>
      </c>
      <c r="H110" s="227" t="s">
        <v>18661</v>
      </c>
      <c r="I110" s="227"/>
      <c r="J110" s="226" t="s">
        <v>18662</v>
      </c>
      <c r="K110" s="137" t="s">
        <v>18663</v>
      </c>
      <c r="L110" s="136" t="s">
        <v>18664</v>
      </c>
      <c r="M110" s="113" t="s">
        <v>12819</v>
      </c>
    </row>
    <row r="111" spans="1:13" ht="14.25" customHeight="1">
      <c r="A111" s="113">
        <v>33</v>
      </c>
      <c r="B111" s="113"/>
      <c r="C111" s="216" t="s">
        <v>18665</v>
      </c>
      <c r="D111" s="217" t="s">
        <v>18666</v>
      </c>
      <c r="E111" s="219" t="s">
        <v>18667</v>
      </c>
      <c r="F111" s="219" t="s">
        <v>117</v>
      </c>
      <c r="G111" s="220" t="s">
        <v>18668</v>
      </c>
      <c r="H111" s="221" t="s">
        <v>18669</v>
      </c>
      <c r="I111" s="221"/>
      <c r="J111" s="217" t="s">
        <v>18670</v>
      </c>
      <c r="K111" s="137" t="s">
        <v>18671</v>
      </c>
      <c r="L111" s="136" t="s">
        <v>18672</v>
      </c>
      <c r="M111" s="113" t="s">
        <v>12828</v>
      </c>
    </row>
    <row r="112" spans="1:13" ht="14.25" customHeight="1">
      <c r="A112" s="113">
        <v>34</v>
      </c>
      <c r="B112" s="113"/>
      <c r="C112" s="222" t="s">
        <v>18673</v>
      </c>
      <c r="D112" s="217" t="s">
        <v>18674</v>
      </c>
      <c r="E112" s="222" t="s">
        <v>18675</v>
      </c>
      <c r="F112" s="222" t="s">
        <v>65</v>
      </c>
      <c r="G112" s="241" t="s">
        <v>18676</v>
      </c>
      <c r="H112" s="221" t="s">
        <v>18677</v>
      </c>
      <c r="I112" s="221"/>
      <c r="J112" s="217" t="s">
        <v>18678</v>
      </c>
      <c r="K112" s="137" t="s">
        <v>18679</v>
      </c>
      <c r="L112" s="136" t="s">
        <v>18680</v>
      </c>
      <c r="M112" s="113" t="s">
        <v>10764</v>
      </c>
    </row>
    <row r="113" spans="1:13" ht="14.25" customHeight="1">
      <c r="A113" s="113">
        <v>35</v>
      </c>
      <c r="B113" s="113"/>
      <c r="C113" s="216" t="s">
        <v>18681</v>
      </c>
      <c r="D113" s="126" t="s">
        <v>18682</v>
      </c>
      <c r="E113" s="219" t="s">
        <v>18683</v>
      </c>
      <c r="F113" s="219" t="s">
        <v>6748</v>
      </c>
      <c r="G113" s="220" t="s">
        <v>18684</v>
      </c>
      <c r="H113" s="224" t="s">
        <v>18685</v>
      </c>
      <c r="I113" s="224"/>
      <c r="J113" s="28" t="s">
        <v>18686</v>
      </c>
      <c r="K113" s="137" t="s">
        <v>18687</v>
      </c>
      <c r="L113" s="136" t="s">
        <v>18688</v>
      </c>
      <c r="M113" s="113" t="s">
        <v>18689</v>
      </c>
    </row>
    <row r="114" spans="1:13" ht="14.25" customHeight="1">
      <c r="A114" s="113">
        <v>36</v>
      </c>
      <c r="B114" s="113"/>
      <c r="C114" s="242" t="s">
        <v>18690</v>
      </c>
      <c r="D114" s="243" t="s">
        <v>18691</v>
      </c>
      <c r="E114" s="242" t="s">
        <v>18692</v>
      </c>
      <c r="F114" s="242" t="s">
        <v>65</v>
      </c>
      <c r="G114" s="244" t="s">
        <v>18693</v>
      </c>
      <c r="H114" s="245" t="s">
        <v>18694</v>
      </c>
      <c r="I114" s="245"/>
      <c r="J114" s="246" t="s">
        <v>18695</v>
      </c>
      <c r="K114" s="137" t="s">
        <v>18696</v>
      </c>
      <c r="L114" s="136" t="s">
        <v>18697</v>
      </c>
      <c r="M114" s="113" t="s">
        <v>18698</v>
      </c>
    </row>
    <row r="115" spans="1:13" ht="14.25" customHeight="1">
      <c r="A115" s="113">
        <v>37</v>
      </c>
      <c r="B115" s="113"/>
      <c r="C115" s="222" t="s">
        <v>18699</v>
      </c>
      <c r="D115" s="217" t="s">
        <v>18700</v>
      </c>
      <c r="E115" s="222" t="s">
        <v>18701</v>
      </c>
      <c r="F115" s="222" t="s">
        <v>65</v>
      </c>
      <c r="G115" s="231" t="s">
        <v>18702</v>
      </c>
      <c r="H115" s="221" t="s">
        <v>18703</v>
      </c>
      <c r="I115" s="221"/>
      <c r="J115" s="28" t="s">
        <v>18704</v>
      </c>
      <c r="K115" s="137" t="s">
        <v>18705</v>
      </c>
      <c r="L115" s="136" t="s">
        <v>18706</v>
      </c>
      <c r="M115" s="113" t="s">
        <v>18707</v>
      </c>
    </row>
    <row r="116" spans="1:13" ht="14.25" customHeight="1">
      <c r="A116" s="113">
        <v>38</v>
      </c>
      <c r="B116" s="113"/>
      <c r="C116" s="222" t="s">
        <v>18708</v>
      </c>
      <c r="D116" s="226" t="s">
        <v>18709</v>
      </c>
      <c r="E116" s="222" t="s">
        <v>18710</v>
      </c>
      <c r="F116" s="222" t="s">
        <v>65</v>
      </c>
      <c r="G116" s="231" t="s">
        <v>18711</v>
      </c>
      <c r="H116" s="227" t="s">
        <v>18712</v>
      </c>
      <c r="I116" s="227"/>
      <c r="J116" s="226" t="s">
        <v>18713</v>
      </c>
      <c r="K116" s="137" t="s">
        <v>18714</v>
      </c>
      <c r="L116" s="136" t="s">
        <v>18715</v>
      </c>
      <c r="M116" s="113" t="s">
        <v>18716</v>
      </c>
    </row>
    <row r="117" spans="1:13" ht="14.25" customHeight="1">
      <c r="A117" s="113">
        <v>39</v>
      </c>
      <c r="B117" s="113"/>
      <c r="C117" s="216" t="s">
        <v>18717</v>
      </c>
      <c r="D117" s="217" t="s">
        <v>18718</v>
      </c>
      <c r="E117" s="219" t="s">
        <v>18719</v>
      </c>
      <c r="F117" s="219" t="s">
        <v>65</v>
      </c>
      <c r="G117" s="220" t="s">
        <v>18720</v>
      </c>
      <c r="H117" s="221" t="s">
        <v>18721</v>
      </c>
      <c r="I117" s="221"/>
      <c r="J117" s="28" t="s">
        <v>18722</v>
      </c>
      <c r="K117" s="137" t="s">
        <v>18723</v>
      </c>
      <c r="L117" s="113" t="s">
        <v>18724</v>
      </c>
      <c r="M117" s="113" t="s">
        <v>18725</v>
      </c>
    </row>
    <row r="118" spans="1:13" ht="14.25" customHeight="1">
      <c r="A118" s="113">
        <v>40</v>
      </c>
      <c r="B118" s="113"/>
      <c r="C118" s="222" t="s">
        <v>18726</v>
      </c>
      <c r="D118" s="217" t="s">
        <v>18727</v>
      </c>
      <c r="E118" s="222" t="s">
        <v>18728</v>
      </c>
      <c r="F118" s="222" t="s">
        <v>117</v>
      </c>
      <c r="G118" s="231" t="s">
        <v>18729</v>
      </c>
      <c r="H118" s="221" t="s">
        <v>18730</v>
      </c>
      <c r="I118" s="221"/>
      <c r="J118" s="28" t="s">
        <v>18731</v>
      </c>
      <c r="K118" s="137" t="s">
        <v>18732</v>
      </c>
      <c r="L118" s="113" t="s">
        <v>18733</v>
      </c>
      <c r="M118" s="113" t="s">
        <v>18734</v>
      </c>
    </row>
    <row r="119" spans="1:13" ht="14.25" customHeight="1">
      <c r="A119" s="113">
        <v>41</v>
      </c>
      <c r="B119" s="113"/>
      <c r="C119" s="222" t="s">
        <v>18735</v>
      </c>
      <c r="D119" s="226" t="s">
        <v>18736</v>
      </c>
      <c r="E119" s="222" t="s">
        <v>5877</v>
      </c>
      <c r="F119" s="222" t="s">
        <v>117</v>
      </c>
      <c r="G119" s="231" t="s">
        <v>18737</v>
      </c>
      <c r="H119" s="227" t="s">
        <v>18738</v>
      </c>
      <c r="I119" s="227"/>
      <c r="J119" s="226" t="s">
        <v>18739</v>
      </c>
      <c r="K119" s="137" t="s">
        <v>18740</v>
      </c>
      <c r="L119" s="136" t="s">
        <v>18741</v>
      </c>
      <c r="M119" s="113" t="s">
        <v>18742</v>
      </c>
    </row>
    <row r="120" spans="1:13" ht="18" customHeight="1">
      <c r="A120" s="247">
        <v>1</v>
      </c>
      <c r="B120" s="247"/>
      <c r="C120" s="213" t="s">
        <v>18743</v>
      </c>
      <c r="D120" s="248" t="s">
        <v>18744</v>
      </c>
      <c r="E120" s="213" t="s">
        <v>2626</v>
      </c>
      <c r="F120" s="213" t="s">
        <v>117</v>
      </c>
      <c r="G120" s="249" t="s">
        <v>18745</v>
      </c>
      <c r="H120" s="250" t="s">
        <v>18746</v>
      </c>
      <c r="I120" s="250"/>
      <c r="J120" s="251" t="s">
        <v>18747</v>
      </c>
      <c r="K120" s="215" t="s">
        <v>18748</v>
      </c>
      <c r="L120" s="210" t="s">
        <v>18749</v>
      </c>
      <c r="M120" s="247" t="s">
        <v>12838</v>
      </c>
    </row>
    <row r="121" spans="1:13" ht="14.25" customHeight="1">
      <c r="A121" s="113">
        <v>2</v>
      </c>
      <c r="B121" s="113"/>
      <c r="C121" s="222" t="s">
        <v>18750</v>
      </c>
      <c r="D121" s="217" t="s">
        <v>18751</v>
      </c>
      <c r="E121" s="222" t="s">
        <v>18752</v>
      </c>
      <c r="F121" s="222" t="s">
        <v>65</v>
      </c>
      <c r="G121" s="241" t="s">
        <v>18753</v>
      </c>
      <c r="H121" s="221" t="s">
        <v>18754</v>
      </c>
      <c r="I121" s="221"/>
      <c r="J121" s="28" t="s">
        <v>18755</v>
      </c>
      <c r="K121" s="137" t="s">
        <v>18756</v>
      </c>
      <c r="L121" s="136" t="s">
        <v>18757</v>
      </c>
      <c r="M121" s="136" t="s">
        <v>12847</v>
      </c>
    </row>
    <row r="122" spans="1:13" ht="15.6">
      <c r="A122" s="26">
        <v>3</v>
      </c>
      <c r="B122" s="26"/>
      <c r="C122" s="231" t="s">
        <v>18758</v>
      </c>
      <c r="D122" s="252" t="s">
        <v>18759</v>
      </c>
      <c r="E122" s="231" t="s">
        <v>18760</v>
      </c>
      <c r="F122" s="231" t="s">
        <v>65</v>
      </c>
      <c r="G122" s="241" t="s">
        <v>18761</v>
      </c>
      <c r="H122" s="253" t="s">
        <v>18762</v>
      </c>
      <c r="I122" s="253"/>
      <c r="J122" s="30" t="s">
        <v>18763</v>
      </c>
      <c r="K122" s="137" t="s">
        <v>18764</v>
      </c>
      <c r="L122" s="136" t="s">
        <v>18765</v>
      </c>
      <c r="M122" s="136" t="s">
        <v>12856</v>
      </c>
    </row>
    <row r="123" spans="1:13" ht="14.25" customHeight="1">
      <c r="A123" s="113">
        <v>4</v>
      </c>
      <c r="B123" s="113"/>
      <c r="C123" s="222" t="s">
        <v>18766</v>
      </c>
      <c r="D123" s="217" t="s">
        <v>18767</v>
      </c>
      <c r="E123" s="222" t="s">
        <v>18768</v>
      </c>
      <c r="F123" s="222" t="s">
        <v>5559</v>
      </c>
      <c r="G123" s="241" t="s">
        <v>18769</v>
      </c>
      <c r="H123" s="221" t="s">
        <v>18770</v>
      </c>
      <c r="I123" s="221"/>
      <c r="J123" s="226" t="s">
        <v>18771</v>
      </c>
      <c r="K123" s="137" t="s">
        <v>18772</v>
      </c>
      <c r="L123" s="136" t="s">
        <v>18773</v>
      </c>
      <c r="M123" s="136" t="s">
        <v>12865</v>
      </c>
    </row>
    <row r="124" spans="1:13" ht="14.25" customHeight="1">
      <c r="A124" s="113">
        <v>5</v>
      </c>
      <c r="B124" s="113"/>
      <c r="C124" s="222" t="s">
        <v>18774</v>
      </c>
      <c r="D124" s="217" t="s">
        <v>18775</v>
      </c>
      <c r="E124" s="222" t="s">
        <v>18776</v>
      </c>
      <c r="F124" s="222" t="s">
        <v>65</v>
      </c>
      <c r="G124" s="241" t="s">
        <v>18777</v>
      </c>
      <c r="H124" s="221" t="s">
        <v>18778</v>
      </c>
      <c r="I124" s="221"/>
      <c r="J124" s="28" t="s">
        <v>18779</v>
      </c>
      <c r="K124" s="137" t="s">
        <v>18780</v>
      </c>
      <c r="L124" s="136" t="s">
        <v>18781</v>
      </c>
      <c r="M124" s="136" t="s">
        <v>12874</v>
      </c>
    </row>
    <row r="125" spans="1:13" ht="14.25" customHeight="1">
      <c r="A125" s="113">
        <v>6</v>
      </c>
      <c r="B125" s="113"/>
      <c r="C125" s="222" t="s">
        <v>18782</v>
      </c>
      <c r="D125" s="217" t="s">
        <v>18783</v>
      </c>
      <c r="E125" s="219" t="s">
        <v>18784</v>
      </c>
      <c r="F125" s="222" t="s">
        <v>5559</v>
      </c>
      <c r="G125" s="241" t="s">
        <v>18785</v>
      </c>
      <c r="H125" s="221" t="s">
        <v>18786</v>
      </c>
      <c r="I125" s="221"/>
      <c r="J125" s="126" t="s">
        <v>18787</v>
      </c>
      <c r="K125" s="137" t="s">
        <v>18788</v>
      </c>
      <c r="L125" s="136" t="s">
        <v>18789</v>
      </c>
      <c r="M125" s="136" t="s">
        <v>12883</v>
      </c>
    </row>
    <row r="126" spans="1:13" ht="14.25" customHeight="1">
      <c r="A126" s="113">
        <v>7</v>
      </c>
      <c r="B126" s="113"/>
      <c r="C126" s="222" t="s">
        <v>18790</v>
      </c>
      <c r="D126" s="254" t="s">
        <v>18791</v>
      </c>
      <c r="E126" s="218" t="s">
        <v>18792</v>
      </c>
      <c r="F126" s="222" t="s">
        <v>65</v>
      </c>
      <c r="G126" s="241" t="s">
        <v>18793</v>
      </c>
      <c r="H126" s="255" t="s">
        <v>18794</v>
      </c>
      <c r="I126" s="255"/>
      <c r="J126" s="193" t="s">
        <v>18795</v>
      </c>
      <c r="K126" s="137" t="s">
        <v>18796</v>
      </c>
      <c r="L126" s="136" t="s">
        <v>18797</v>
      </c>
      <c r="M126" s="136" t="s">
        <v>10801</v>
      </c>
    </row>
    <row r="127" spans="1:13" ht="14.25" customHeight="1">
      <c r="A127" s="113">
        <v>8</v>
      </c>
      <c r="B127" s="113"/>
      <c r="C127" s="222" t="s">
        <v>18798</v>
      </c>
      <c r="D127" s="254" t="s">
        <v>18799</v>
      </c>
      <c r="E127" s="222" t="s">
        <v>18800</v>
      </c>
      <c r="F127" s="222" t="s">
        <v>5559</v>
      </c>
      <c r="G127" s="241" t="s">
        <v>18801</v>
      </c>
      <c r="H127" s="255" t="s">
        <v>18802</v>
      </c>
      <c r="I127" s="255"/>
      <c r="J127" s="193" t="s">
        <v>18803</v>
      </c>
      <c r="K127" s="137" t="s">
        <v>18804</v>
      </c>
      <c r="L127" s="136" t="s">
        <v>18805</v>
      </c>
      <c r="M127" s="136" t="s">
        <v>12894</v>
      </c>
    </row>
    <row r="128" spans="1:13" ht="27" customHeight="1">
      <c r="A128" s="113">
        <v>9</v>
      </c>
      <c r="B128" s="113"/>
      <c r="C128" s="222" t="s">
        <v>18806</v>
      </c>
      <c r="D128" s="217" t="s">
        <v>18807</v>
      </c>
      <c r="E128" s="222" t="s">
        <v>18808</v>
      </c>
      <c r="F128" s="222" t="s">
        <v>117</v>
      </c>
      <c r="G128" s="241" t="s">
        <v>18809</v>
      </c>
      <c r="H128" s="221" t="s">
        <v>18810</v>
      </c>
      <c r="I128" s="221"/>
      <c r="J128" s="28" t="s">
        <v>18811</v>
      </c>
      <c r="K128" s="137" t="s">
        <v>18812</v>
      </c>
      <c r="L128" s="136" t="s">
        <v>18813</v>
      </c>
      <c r="M128" s="136" t="s">
        <v>12903</v>
      </c>
    </row>
    <row r="129" spans="1:13" ht="28.5" customHeight="1">
      <c r="A129" s="113">
        <v>10</v>
      </c>
      <c r="B129" s="113"/>
      <c r="C129" s="222" t="s">
        <v>18814</v>
      </c>
      <c r="D129" s="217" t="s">
        <v>18815</v>
      </c>
      <c r="E129" s="222" t="s">
        <v>18816</v>
      </c>
      <c r="F129" s="222" t="s">
        <v>65</v>
      </c>
      <c r="G129" s="241" t="s">
        <v>18817</v>
      </c>
      <c r="H129" s="221" t="s">
        <v>18818</v>
      </c>
      <c r="I129" s="221"/>
      <c r="J129" s="28" t="s">
        <v>18819</v>
      </c>
      <c r="K129" s="137" t="s">
        <v>18820</v>
      </c>
      <c r="L129" s="136" t="s">
        <v>18821</v>
      </c>
      <c r="M129" s="136" t="s">
        <v>12912</v>
      </c>
    </row>
    <row r="130" spans="1:13" ht="28.5" customHeight="1">
      <c r="A130" s="113">
        <v>11</v>
      </c>
      <c r="B130" s="113"/>
      <c r="C130" s="222" t="s">
        <v>18822</v>
      </c>
      <c r="D130" s="217" t="s">
        <v>18823</v>
      </c>
      <c r="E130" s="219" t="s">
        <v>18824</v>
      </c>
      <c r="F130" s="222" t="s">
        <v>117</v>
      </c>
      <c r="G130" s="241" t="s">
        <v>18825</v>
      </c>
      <c r="H130" s="221" t="s">
        <v>18826</v>
      </c>
      <c r="I130" s="221"/>
      <c r="J130" s="28" t="s">
        <v>18827</v>
      </c>
      <c r="K130" s="137" t="s">
        <v>18828</v>
      </c>
      <c r="L130" s="136" t="s">
        <v>18829</v>
      </c>
      <c r="M130" s="136" t="s">
        <v>12921</v>
      </c>
    </row>
    <row r="131" spans="1:13" ht="14.25" customHeight="1">
      <c r="A131" s="113">
        <v>12</v>
      </c>
      <c r="B131" s="113"/>
      <c r="C131" s="222" t="s">
        <v>18830</v>
      </c>
      <c r="D131" s="217" t="s">
        <v>18831</v>
      </c>
      <c r="E131" s="222" t="s">
        <v>18832</v>
      </c>
      <c r="F131" s="222" t="s">
        <v>18833</v>
      </c>
      <c r="G131" s="241" t="s">
        <v>18834</v>
      </c>
      <c r="H131" s="221" t="s">
        <v>18835</v>
      </c>
      <c r="I131" s="221"/>
      <c r="J131" s="28" t="s">
        <v>18836</v>
      </c>
      <c r="K131" s="137" t="s">
        <v>18837</v>
      </c>
      <c r="L131" s="136" t="s">
        <v>18838</v>
      </c>
      <c r="M131" s="136" t="s">
        <v>12931</v>
      </c>
    </row>
    <row r="132" spans="1:13" ht="14.25" customHeight="1">
      <c r="A132" s="113">
        <v>13</v>
      </c>
      <c r="B132" s="113"/>
      <c r="C132" s="222" t="s">
        <v>18839</v>
      </c>
      <c r="D132" s="217" t="s">
        <v>18840</v>
      </c>
      <c r="E132" s="222" t="s">
        <v>18841</v>
      </c>
      <c r="F132" s="222" t="s">
        <v>65</v>
      </c>
      <c r="G132" s="241" t="s">
        <v>18842</v>
      </c>
      <c r="H132" s="221" t="s">
        <v>18843</v>
      </c>
      <c r="I132" s="221"/>
      <c r="J132" s="28" t="s">
        <v>18844</v>
      </c>
      <c r="K132" s="137" t="s">
        <v>18845</v>
      </c>
      <c r="L132" s="136" t="s">
        <v>18846</v>
      </c>
      <c r="M132" s="136" t="s">
        <v>12940</v>
      </c>
    </row>
    <row r="133" spans="1:13" ht="14.25" customHeight="1">
      <c r="A133" s="113">
        <v>14</v>
      </c>
      <c r="B133" s="113"/>
      <c r="C133" s="222" t="s">
        <v>18847</v>
      </c>
      <c r="D133" s="217" t="s">
        <v>18848</v>
      </c>
      <c r="E133" s="222" t="s">
        <v>18849</v>
      </c>
      <c r="F133" s="222" t="s">
        <v>5559</v>
      </c>
      <c r="G133" s="241" t="s">
        <v>18850</v>
      </c>
      <c r="H133" s="221" t="s">
        <v>18851</v>
      </c>
      <c r="I133" s="221"/>
      <c r="J133" s="28" t="s">
        <v>18852</v>
      </c>
      <c r="K133" s="137" t="s">
        <v>18853</v>
      </c>
      <c r="L133" s="136" t="s">
        <v>18854</v>
      </c>
      <c r="M133" s="136" t="s">
        <v>12949</v>
      </c>
    </row>
    <row r="134" spans="1:13" ht="14.25" customHeight="1">
      <c r="A134" s="113">
        <v>15</v>
      </c>
      <c r="B134" s="113"/>
      <c r="C134" s="256" t="s">
        <v>18855</v>
      </c>
      <c r="D134" s="217" t="s">
        <v>18856</v>
      </c>
      <c r="E134" s="222" t="s">
        <v>18857</v>
      </c>
      <c r="F134" s="222" t="s">
        <v>219</v>
      </c>
      <c r="G134" s="241" t="s">
        <v>15316</v>
      </c>
      <c r="H134" s="221" t="s">
        <v>18858</v>
      </c>
      <c r="I134" s="221"/>
      <c r="J134" s="226" t="s">
        <v>18859</v>
      </c>
      <c r="K134" s="137" t="s">
        <v>18860</v>
      </c>
      <c r="L134" s="136" t="s">
        <v>18861</v>
      </c>
      <c r="M134" s="136" t="s">
        <v>12958</v>
      </c>
    </row>
    <row r="135" spans="1:13" ht="30" customHeight="1">
      <c r="A135" s="113">
        <v>16</v>
      </c>
      <c r="B135" s="113"/>
      <c r="C135" s="222" t="s">
        <v>18862</v>
      </c>
      <c r="D135" s="217" t="s">
        <v>18863</v>
      </c>
      <c r="E135" s="222" t="s">
        <v>18864</v>
      </c>
      <c r="F135" s="222" t="s">
        <v>65</v>
      </c>
      <c r="G135" s="241" t="s">
        <v>18865</v>
      </c>
      <c r="H135" s="221" t="s">
        <v>18866</v>
      </c>
      <c r="I135" s="221"/>
      <c r="J135" s="28" t="s">
        <v>18867</v>
      </c>
      <c r="K135" s="137" t="s">
        <v>18868</v>
      </c>
      <c r="L135" s="136" t="s">
        <v>18869</v>
      </c>
      <c r="M135" s="136" t="s">
        <v>12967</v>
      </c>
    </row>
    <row r="136" spans="1:13" ht="28.5" customHeight="1">
      <c r="A136" s="113">
        <v>17</v>
      </c>
      <c r="B136" s="113"/>
      <c r="C136" s="222" t="s">
        <v>18870</v>
      </c>
      <c r="D136" s="217" t="s">
        <v>18871</v>
      </c>
      <c r="E136" s="222" t="s">
        <v>6071</v>
      </c>
      <c r="F136" s="222" t="s">
        <v>65</v>
      </c>
      <c r="G136" s="241" t="s">
        <v>18872</v>
      </c>
      <c r="H136" s="221" t="s">
        <v>18873</v>
      </c>
      <c r="I136" s="221"/>
      <c r="J136" s="28" t="s">
        <v>18874</v>
      </c>
      <c r="K136" s="137" t="s">
        <v>18875</v>
      </c>
      <c r="L136" s="136" t="s">
        <v>18876</v>
      </c>
      <c r="M136" s="136" t="s">
        <v>12976</v>
      </c>
    </row>
    <row r="137" spans="1:13" ht="27" customHeight="1">
      <c r="A137" s="113">
        <v>18</v>
      </c>
      <c r="B137" s="113"/>
      <c r="C137" s="222" t="s">
        <v>18877</v>
      </c>
      <c r="D137" s="217" t="s">
        <v>18878</v>
      </c>
      <c r="E137" s="219" t="s">
        <v>18369</v>
      </c>
      <c r="F137" s="222" t="s">
        <v>65</v>
      </c>
      <c r="G137" s="241" t="s">
        <v>18879</v>
      </c>
      <c r="H137" s="221" t="s">
        <v>18880</v>
      </c>
      <c r="I137" s="221"/>
      <c r="J137" s="28" t="s">
        <v>18881</v>
      </c>
      <c r="K137" s="137" t="s">
        <v>18882</v>
      </c>
      <c r="L137" s="136" t="s">
        <v>18883</v>
      </c>
      <c r="M137" s="136" t="s">
        <v>12985</v>
      </c>
    </row>
    <row r="138" spans="1:13" ht="31.5" customHeight="1">
      <c r="A138" s="113">
        <v>19</v>
      </c>
      <c r="B138" s="113"/>
      <c r="C138" s="222" t="s">
        <v>18884</v>
      </c>
      <c r="D138" s="226" t="s">
        <v>18885</v>
      </c>
      <c r="E138" s="219" t="s">
        <v>18886</v>
      </c>
      <c r="F138" s="222" t="s">
        <v>117</v>
      </c>
      <c r="G138" s="241" t="s">
        <v>18887</v>
      </c>
      <c r="H138" s="227" t="s">
        <v>18888</v>
      </c>
      <c r="I138" s="227"/>
      <c r="J138" s="28" t="s">
        <v>18889</v>
      </c>
      <c r="K138" s="137" t="s">
        <v>18890</v>
      </c>
      <c r="L138" s="136" t="s">
        <v>18891</v>
      </c>
      <c r="M138" s="136" t="s">
        <v>12994</v>
      </c>
    </row>
    <row r="139" spans="1:13" ht="33" customHeight="1">
      <c r="A139" s="113">
        <v>20</v>
      </c>
      <c r="B139" s="113"/>
      <c r="C139" s="222" t="s">
        <v>18892</v>
      </c>
      <c r="D139" s="217" t="s">
        <v>18893</v>
      </c>
      <c r="E139" s="219" t="s">
        <v>18894</v>
      </c>
      <c r="F139" s="222" t="s">
        <v>65</v>
      </c>
      <c r="G139" s="241" t="s">
        <v>18895</v>
      </c>
      <c r="H139" s="221" t="s">
        <v>18896</v>
      </c>
      <c r="I139" s="221"/>
      <c r="J139" s="28" t="s">
        <v>18897</v>
      </c>
      <c r="K139" s="137" t="s">
        <v>18898</v>
      </c>
      <c r="L139" s="136" t="s">
        <v>18899</v>
      </c>
      <c r="M139" s="136" t="s">
        <v>13002</v>
      </c>
    </row>
    <row r="140" spans="1:13" ht="14.25" customHeight="1">
      <c r="A140" s="113">
        <v>21</v>
      </c>
      <c r="B140" s="113"/>
      <c r="C140" s="222" t="s">
        <v>18900</v>
      </c>
      <c r="D140" s="217" t="s">
        <v>18901</v>
      </c>
      <c r="E140" s="219" t="s">
        <v>18902</v>
      </c>
      <c r="F140" s="222" t="s">
        <v>460</v>
      </c>
      <c r="G140" s="241" t="s">
        <v>18903</v>
      </c>
      <c r="H140" s="221" t="s">
        <v>18904</v>
      </c>
      <c r="I140" s="221"/>
      <c r="J140" s="28" t="s">
        <v>18905</v>
      </c>
      <c r="K140" s="137" t="s">
        <v>18906</v>
      </c>
      <c r="L140" s="136" t="s">
        <v>18907</v>
      </c>
      <c r="M140" s="136" t="s">
        <v>13011</v>
      </c>
    </row>
    <row r="141" spans="1:13" ht="14.25" customHeight="1">
      <c r="A141" s="113">
        <v>22</v>
      </c>
      <c r="B141" s="113"/>
      <c r="C141" s="222" t="s">
        <v>18908</v>
      </c>
      <c r="D141" s="118" t="s">
        <v>18909</v>
      </c>
      <c r="E141" s="222" t="s">
        <v>18910</v>
      </c>
      <c r="F141" s="222" t="s">
        <v>65</v>
      </c>
      <c r="G141" s="241" t="s">
        <v>18911</v>
      </c>
      <c r="H141" s="227" t="s">
        <v>18912</v>
      </c>
      <c r="I141" s="227"/>
      <c r="J141" s="28" t="s">
        <v>18913</v>
      </c>
      <c r="K141" s="137" t="s">
        <v>18914</v>
      </c>
      <c r="L141" s="136" t="s">
        <v>18915</v>
      </c>
      <c r="M141" s="136" t="s">
        <v>13020</v>
      </c>
    </row>
    <row r="142" spans="1:13" ht="14.25" customHeight="1">
      <c r="A142" s="113">
        <v>23</v>
      </c>
      <c r="B142" s="113"/>
      <c r="C142" s="222" t="s">
        <v>18916</v>
      </c>
      <c r="D142" s="254" t="s">
        <v>18917</v>
      </c>
      <c r="E142" s="222" t="s">
        <v>18918</v>
      </c>
      <c r="F142" s="222" t="s">
        <v>117</v>
      </c>
      <c r="G142" s="241" t="s">
        <v>18919</v>
      </c>
      <c r="H142" s="255" t="s">
        <v>18920</v>
      </c>
      <c r="I142" s="255"/>
      <c r="J142" s="193" t="s">
        <v>18921</v>
      </c>
      <c r="K142" s="137" t="s">
        <v>18922</v>
      </c>
      <c r="L142" s="136" t="s">
        <v>18923</v>
      </c>
      <c r="M142" s="136" t="s">
        <v>13029</v>
      </c>
    </row>
    <row r="143" spans="1:13" ht="14.25" customHeight="1">
      <c r="A143" s="113">
        <v>24</v>
      </c>
      <c r="B143" s="113"/>
      <c r="C143" s="218" t="s">
        <v>18924</v>
      </c>
      <c r="D143" s="217" t="s">
        <v>18925</v>
      </c>
      <c r="E143" s="222" t="s">
        <v>18926</v>
      </c>
      <c r="F143" s="222" t="s">
        <v>65</v>
      </c>
      <c r="G143" s="241" t="s">
        <v>18927</v>
      </c>
      <c r="H143" s="221" t="s">
        <v>18928</v>
      </c>
      <c r="I143" s="221"/>
      <c r="J143" s="28" t="s">
        <v>18929</v>
      </c>
      <c r="K143" s="137" t="s">
        <v>18930</v>
      </c>
      <c r="L143" s="136" t="s">
        <v>18931</v>
      </c>
      <c r="M143" s="136" t="s">
        <v>13038</v>
      </c>
    </row>
    <row r="144" spans="1:13" ht="14.25" customHeight="1">
      <c r="A144" s="113">
        <v>25</v>
      </c>
      <c r="B144" s="113"/>
      <c r="C144" s="256" t="s">
        <v>18932</v>
      </c>
      <c r="D144" s="254" t="s">
        <v>18933</v>
      </c>
      <c r="E144" s="222" t="s">
        <v>18934</v>
      </c>
      <c r="F144" s="222" t="s">
        <v>117</v>
      </c>
      <c r="G144" s="241" t="s">
        <v>18935</v>
      </c>
      <c r="H144" s="255" t="s">
        <v>18936</v>
      </c>
      <c r="I144" s="255"/>
      <c r="J144" s="193" t="s">
        <v>18937</v>
      </c>
      <c r="K144" s="137" t="s">
        <v>18938</v>
      </c>
      <c r="L144" s="136" t="s">
        <v>18939</v>
      </c>
      <c r="M144" s="136" t="s">
        <v>13047</v>
      </c>
    </row>
    <row r="145" spans="1:13" ht="14.25" customHeight="1">
      <c r="A145" s="113">
        <v>26</v>
      </c>
      <c r="B145" s="113"/>
      <c r="C145" s="222" t="s">
        <v>18940</v>
      </c>
      <c r="D145" s="217" t="s">
        <v>18941</v>
      </c>
      <c r="E145" s="219" t="s">
        <v>18942</v>
      </c>
      <c r="F145" s="222" t="s">
        <v>117</v>
      </c>
      <c r="G145" s="241" t="s">
        <v>18943</v>
      </c>
      <c r="H145" s="221" t="s">
        <v>18944</v>
      </c>
      <c r="I145" s="221"/>
      <c r="J145" s="28" t="s">
        <v>18945</v>
      </c>
      <c r="K145" s="137" t="s">
        <v>18946</v>
      </c>
      <c r="L145" s="136" t="s">
        <v>18947</v>
      </c>
      <c r="M145" s="136" t="s">
        <v>13054</v>
      </c>
    </row>
    <row r="146" spans="1:13" ht="30" customHeight="1">
      <c r="A146" s="113">
        <v>27</v>
      </c>
      <c r="B146" s="113"/>
      <c r="C146" s="256" t="s">
        <v>18948</v>
      </c>
      <c r="D146" s="254" t="s">
        <v>18949</v>
      </c>
      <c r="E146" s="222" t="s">
        <v>18950</v>
      </c>
      <c r="F146" s="222" t="s">
        <v>117</v>
      </c>
      <c r="G146" s="241" t="s">
        <v>18951</v>
      </c>
      <c r="H146" s="255" t="s">
        <v>18952</v>
      </c>
      <c r="I146" s="255"/>
      <c r="J146" s="193" t="s">
        <v>18953</v>
      </c>
      <c r="K146" s="137" t="s">
        <v>18954</v>
      </c>
      <c r="L146" s="136" t="s">
        <v>18955</v>
      </c>
      <c r="M146" s="136" t="s">
        <v>13063</v>
      </c>
    </row>
    <row r="147" spans="1:13" ht="18.75" customHeight="1">
      <c r="A147" s="113">
        <v>28</v>
      </c>
      <c r="B147" s="113"/>
      <c r="C147" s="222" t="s">
        <v>18956</v>
      </c>
      <c r="D147" s="217" t="s">
        <v>18957</v>
      </c>
      <c r="E147" s="222" t="s">
        <v>18958</v>
      </c>
      <c r="F147" s="222" t="s">
        <v>117</v>
      </c>
      <c r="G147" s="241" t="s">
        <v>18959</v>
      </c>
      <c r="H147" s="221" t="s">
        <v>18960</v>
      </c>
      <c r="I147" s="221"/>
      <c r="J147" s="28" t="s">
        <v>18961</v>
      </c>
      <c r="K147" s="137" t="s">
        <v>18962</v>
      </c>
      <c r="L147" s="136" t="s">
        <v>18963</v>
      </c>
      <c r="M147" s="136" t="s">
        <v>13072</v>
      </c>
    </row>
    <row r="148" spans="1:13" ht="14.25" customHeight="1">
      <c r="A148" s="113">
        <v>29</v>
      </c>
      <c r="B148" s="113"/>
      <c r="C148" s="216" t="s">
        <v>18964</v>
      </c>
      <c r="D148" s="118" t="s">
        <v>18965</v>
      </c>
      <c r="E148" s="216" t="s">
        <v>18966</v>
      </c>
      <c r="F148" s="216" t="s">
        <v>117</v>
      </c>
      <c r="G148" s="225" t="s">
        <v>18967</v>
      </c>
      <c r="H148" s="227" t="s">
        <v>18968</v>
      </c>
      <c r="I148" s="227"/>
      <c r="J148" s="118" t="s">
        <v>18969</v>
      </c>
      <c r="K148" s="137" t="s">
        <v>18970</v>
      </c>
      <c r="L148" s="136" t="s">
        <v>18971</v>
      </c>
      <c r="M148" s="136" t="s">
        <v>13081</v>
      </c>
    </row>
    <row r="149" spans="1:13" ht="14.25" customHeight="1">
      <c r="A149" s="113">
        <v>30</v>
      </c>
      <c r="B149" s="113"/>
      <c r="C149" s="222" t="s">
        <v>18972</v>
      </c>
      <c r="D149" s="226" t="s">
        <v>18973</v>
      </c>
      <c r="E149" s="219" t="s">
        <v>18974</v>
      </c>
      <c r="F149" s="222" t="s">
        <v>65</v>
      </c>
      <c r="G149" s="241" t="s">
        <v>18975</v>
      </c>
      <c r="H149" s="227" t="s">
        <v>18976</v>
      </c>
      <c r="I149" s="227"/>
      <c r="J149" s="28" t="s">
        <v>18977</v>
      </c>
      <c r="K149" s="137" t="s">
        <v>18978</v>
      </c>
      <c r="L149" s="136" t="s">
        <v>18979</v>
      </c>
      <c r="M149" s="136" t="s">
        <v>13090</v>
      </c>
    </row>
    <row r="150" spans="1:13" ht="14.25" customHeight="1">
      <c r="A150" s="113">
        <v>31</v>
      </c>
      <c r="B150" s="113"/>
      <c r="C150" s="222" t="s">
        <v>18980</v>
      </c>
      <c r="D150" s="217" t="s">
        <v>18981</v>
      </c>
      <c r="E150" s="222" t="s">
        <v>18982</v>
      </c>
      <c r="F150" s="222" t="s">
        <v>18983</v>
      </c>
      <c r="G150" s="241" t="s">
        <v>18984</v>
      </c>
      <c r="H150" s="221" t="s">
        <v>18985</v>
      </c>
      <c r="I150" s="221"/>
      <c r="J150" s="28" t="s">
        <v>18986</v>
      </c>
      <c r="K150" s="137" t="s">
        <v>18987</v>
      </c>
      <c r="L150" s="136" t="s">
        <v>18988</v>
      </c>
      <c r="M150" s="136" t="s">
        <v>13098</v>
      </c>
    </row>
    <row r="151" spans="1:13" ht="14.25" customHeight="1">
      <c r="A151" s="113">
        <v>32</v>
      </c>
      <c r="B151" s="113"/>
      <c r="C151" s="222" t="s">
        <v>18989</v>
      </c>
      <c r="D151" s="257" t="s">
        <v>18990</v>
      </c>
      <c r="E151" s="222" t="s">
        <v>18991</v>
      </c>
      <c r="F151" s="222" t="s">
        <v>65</v>
      </c>
      <c r="G151" s="241" t="s">
        <v>18992</v>
      </c>
      <c r="H151" s="258" t="s">
        <v>18993</v>
      </c>
      <c r="I151" s="258"/>
      <c r="J151" s="28" t="s">
        <v>18994</v>
      </c>
      <c r="K151" s="137" t="s">
        <v>18995</v>
      </c>
      <c r="L151" s="136" t="s">
        <v>18996</v>
      </c>
      <c r="M151" s="136" t="s">
        <v>13107</v>
      </c>
    </row>
    <row r="152" spans="1:13" ht="14.25" customHeight="1">
      <c r="A152" s="113">
        <v>33</v>
      </c>
      <c r="B152" s="113"/>
      <c r="C152" s="218" t="s">
        <v>18997</v>
      </c>
      <c r="D152" s="254" t="s">
        <v>18998</v>
      </c>
      <c r="E152" s="222" t="s">
        <v>18999</v>
      </c>
      <c r="F152" s="222" t="s">
        <v>5559</v>
      </c>
      <c r="G152" s="241" t="s">
        <v>19000</v>
      </c>
      <c r="H152" s="255" t="s">
        <v>19001</v>
      </c>
      <c r="I152" s="255"/>
      <c r="J152" s="193" t="s">
        <v>19002</v>
      </c>
      <c r="K152" s="137" t="s">
        <v>19003</v>
      </c>
      <c r="L152" s="136" t="s">
        <v>19004</v>
      </c>
      <c r="M152" s="136" t="s">
        <v>13116</v>
      </c>
    </row>
    <row r="153" spans="1:13" ht="14.25" customHeight="1">
      <c r="A153" s="113">
        <v>34</v>
      </c>
      <c r="B153" s="113"/>
      <c r="C153" s="218" t="s">
        <v>19005</v>
      </c>
      <c r="D153" s="217" t="s">
        <v>19006</v>
      </c>
      <c r="E153" s="219" t="s">
        <v>19007</v>
      </c>
      <c r="F153" s="222" t="s">
        <v>117</v>
      </c>
      <c r="G153" s="241" t="s">
        <v>19008</v>
      </c>
      <c r="H153" s="221" t="s">
        <v>19009</v>
      </c>
      <c r="I153" s="221"/>
      <c r="J153" s="28" t="s">
        <v>19010</v>
      </c>
      <c r="K153" s="137" t="s">
        <v>19011</v>
      </c>
      <c r="L153" s="136" t="s">
        <v>19012</v>
      </c>
      <c r="M153" s="136" t="s">
        <v>19013</v>
      </c>
    </row>
    <row r="154" spans="1:13" ht="14.25" customHeight="1">
      <c r="A154" s="113">
        <v>35</v>
      </c>
      <c r="B154" s="113"/>
      <c r="C154" s="222" t="s">
        <v>19014</v>
      </c>
      <c r="D154" s="217" t="s">
        <v>19015</v>
      </c>
      <c r="E154" s="222" t="s">
        <v>19016</v>
      </c>
      <c r="F154" s="222" t="s">
        <v>65</v>
      </c>
      <c r="G154" s="241" t="s">
        <v>19017</v>
      </c>
      <c r="H154" s="221" t="s">
        <v>19018</v>
      </c>
      <c r="I154" s="221"/>
      <c r="J154" s="259" t="s">
        <v>19019</v>
      </c>
      <c r="K154" s="137" t="s">
        <v>19020</v>
      </c>
      <c r="L154" s="136" t="s">
        <v>19021</v>
      </c>
      <c r="M154" s="136" t="s">
        <v>19022</v>
      </c>
    </row>
    <row r="155" spans="1:13" ht="14.25" customHeight="1">
      <c r="A155" s="113">
        <v>36</v>
      </c>
      <c r="B155" s="113"/>
      <c r="C155" s="222" t="s">
        <v>19023</v>
      </c>
      <c r="D155" s="217" t="s">
        <v>19024</v>
      </c>
      <c r="E155" s="222" t="s">
        <v>19025</v>
      </c>
      <c r="F155" s="222" t="s">
        <v>65</v>
      </c>
      <c r="G155" s="241" t="s">
        <v>19026</v>
      </c>
      <c r="H155" s="221" t="s">
        <v>19027</v>
      </c>
      <c r="I155" s="221"/>
      <c r="J155" s="28" t="s">
        <v>19028</v>
      </c>
      <c r="K155" s="137" t="s">
        <v>19029</v>
      </c>
      <c r="L155" s="136" t="s">
        <v>19030</v>
      </c>
      <c r="M155" s="136" t="s">
        <v>19031</v>
      </c>
    </row>
    <row r="156" spans="1:13" ht="14.25" customHeight="1">
      <c r="A156" s="113">
        <v>37</v>
      </c>
      <c r="B156" s="113"/>
      <c r="C156" s="222" t="s">
        <v>19032</v>
      </c>
      <c r="D156" s="217" t="s">
        <v>19033</v>
      </c>
      <c r="E156" s="222" t="s">
        <v>19034</v>
      </c>
      <c r="F156" s="222" t="s">
        <v>18833</v>
      </c>
      <c r="G156" s="241" t="s">
        <v>19035</v>
      </c>
      <c r="H156" s="221" t="s">
        <v>19036</v>
      </c>
      <c r="I156" s="221"/>
      <c r="J156" s="226" t="s">
        <v>19037</v>
      </c>
      <c r="K156" s="137" t="s">
        <v>19038</v>
      </c>
      <c r="L156" s="136" t="s">
        <v>19039</v>
      </c>
      <c r="M156" s="136" t="s">
        <v>19040</v>
      </c>
    </row>
    <row r="157" spans="1:13" ht="14.25" customHeight="1">
      <c r="A157" s="113">
        <v>38</v>
      </c>
      <c r="B157" s="113"/>
      <c r="C157" s="218" t="s">
        <v>19041</v>
      </c>
      <c r="D157" s="217" t="s">
        <v>19042</v>
      </c>
      <c r="E157" s="222" t="s">
        <v>19043</v>
      </c>
      <c r="F157" s="222" t="s">
        <v>65</v>
      </c>
      <c r="G157" s="241" t="s">
        <v>19044</v>
      </c>
      <c r="H157" s="221" t="s">
        <v>19045</v>
      </c>
      <c r="I157" s="221"/>
      <c r="J157" s="28" t="s">
        <v>19046</v>
      </c>
      <c r="K157" s="137" t="s">
        <v>19047</v>
      </c>
      <c r="L157" s="136" t="s">
        <v>19048</v>
      </c>
      <c r="M157" s="136" t="s">
        <v>19049</v>
      </c>
    </row>
    <row r="158" spans="1:13" ht="14.25" customHeight="1">
      <c r="A158" s="113">
        <v>39</v>
      </c>
      <c r="B158" s="113"/>
      <c r="C158" s="222" t="s">
        <v>19050</v>
      </c>
      <c r="D158" s="217" t="s">
        <v>19051</v>
      </c>
      <c r="E158" s="222" t="s">
        <v>4822</v>
      </c>
      <c r="F158" s="222" t="s">
        <v>117</v>
      </c>
      <c r="G158" s="241" t="s">
        <v>19052</v>
      </c>
      <c r="H158" s="221" t="s">
        <v>19053</v>
      </c>
      <c r="I158" s="221"/>
      <c r="J158" s="28" t="s">
        <v>19054</v>
      </c>
      <c r="K158" s="137" t="s">
        <v>19055</v>
      </c>
      <c r="L158" s="113" t="s">
        <v>19056</v>
      </c>
      <c r="M158" s="136" t="s">
        <v>19057</v>
      </c>
    </row>
    <row r="159" spans="1:13" ht="14.25" customHeight="1">
      <c r="A159" s="113">
        <v>40</v>
      </c>
      <c r="B159" s="113"/>
      <c r="C159" s="256" t="s">
        <v>19058</v>
      </c>
      <c r="D159" s="226" t="s">
        <v>19059</v>
      </c>
      <c r="E159" s="222" t="s">
        <v>19060</v>
      </c>
      <c r="F159" s="222" t="s">
        <v>219</v>
      </c>
      <c r="G159" s="241" t="s">
        <v>19061</v>
      </c>
      <c r="H159" s="227" t="s">
        <v>19062</v>
      </c>
      <c r="I159" s="227"/>
      <c r="J159" s="28" t="s">
        <v>19063</v>
      </c>
      <c r="K159" s="137" t="s">
        <v>19064</v>
      </c>
      <c r="L159" s="113" t="s">
        <v>19065</v>
      </c>
      <c r="M159" s="136" t="s">
        <v>19066</v>
      </c>
    </row>
    <row r="160" spans="1:13" ht="14.25" customHeight="1">
      <c r="A160" s="210">
        <v>1</v>
      </c>
      <c r="B160" s="210"/>
      <c r="C160" s="211" t="s">
        <v>19067</v>
      </c>
      <c r="D160" s="215" t="s">
        <v>19068</v>
      </c>
      <c r="E160" s="211" t="s">
        <v>19069</v>
      </c>
      <c r="F160" s="211" t="s">
        <v>65</v>
      </c>
      <c r="G160" s="213" t="s">
        <v>19070</v>
      </c>
      <c r="H160" s="214" t="s">
        <v>19071</v>
      </c>
      <c r="I160" s="214"/>
      <c r="J160" s="215" t="s">
        <v>19072</v>
      </c>
      <c r="K160" s="215" t="s">
        <v>19073</v>
      </c>
      <c r="L160" s="210" t="s">
        <v>19074</v>
      </c>
      <c r="M160" s="247" t="s">
        <v>13125</v>
      </c>
    </row>
    <row r="161" spans="1:13" ht="14.25" customHeight="1">
      <c r="A161" s="113">
        <v>2</v>
      </c>
      <c r="B161" s="113"/>
      <c r="C161" s="216" t="s">
        <v>19075</v>
      </c>
      <c r="D161" s="126" t="s">
        <v>19076</v>
      </c>
      <c r="E161" s="216" t="s">
        <v>19077</v>
      </c>
      <c r="F161" s="216" t="s">
        <v>117</v>
      </c>
      <c r="G161" s="220" t="s">
        <v>19078</v>
      </c>
      <c r="H161" s="224" t="s">
        <v>19079</v>
      </c>
      <c r="I161" s="224"/>
      <c r="J161" s="126" t="s">
        <v>19080</v>
      </c>
      <c r="K161" s="137" t="s">
        <v>19081</v>
      </c>
      <c r="L161" s="136" t="s">
        <v>19082</v>
      </c>
      <c r="M161" s="136" t="s">
        <v>13134</v>
      </c>
    </row>
    <row r="162" spans="1:13" ht="14.25" customHeight="1">
      <c r="A162" s="113">
        <v>3</v>
      </c>
      <c r="B162" s="113"/>
      <c r="C162" s="216" t="s">
        <v>19083</v>
      </c>
      <c r="D162" s="137" t="s">
        <v>19084</v>
      </c>
      <c r="E162" s="216" t="s">
        <v>19085</v>
      </c>
      <c r="F162" s="216" t="s">
        <v>117</v>
      </c>
      <c r="G162" s="220" t="s">
        <v>19086</v>
      </c>
      <c r="H162" s="260" t="s">
        <v>19087</v>
      </c>
      <c r="I162" s="260"/>
      <c r="J162" s="137" t="s">
        <v>19088</v>
      </c>
      <c r="K162" s="137" t="s">
        <v>19089</v>
      </c>
      <c r="L162" s="136" t="s">
        <v>19090</v>
      </c>
      <c r="M162" s="136" t="s">
        <v>13143</v>
      </c>
    </row>
    <row r="163" spans="1:13" ht="14.25" customHeight="1">
      <c r="A163" s="113">
        <v>4</v>
      </c>
      <c r="B163" s="113"/>
      <c r="C163" s="222" t="s">
        <v>19091</v>
      </c>
      <c r="D163" s="118" t="s">
        <v>19092</v>
      </c>
      <c r="E163" s="222" t="s">
        <v>19093</v>
      </c>
      <c r="F163" s="222" t="s">
        <v>117</v>
      </c>
      <c r="G163" s="231" t="s">
        <v>19094</v>
      </c>
      <c r="H163" s="227" t="s">
        <v>19095</v>
      </c>
      <c r="I163" s="227"/>
      <c r="J163" s="118" t="s">
        <v>19096</v>
      </c>
      <c r="K163" s="137" t="s">
        <v>19097</v>
      </c>
      <c r="L163" s="136" t="s">
        <v>19098</v>
      </c>
      <c r="M163" s="136" t="s">
        <v>13152</v>
      </c>
    </row>
    <row r="164" spans="1:13" ht="14.25" customHeight="1">
      <c r="A164" s="113">
        <v>5</v>
      </c>
      <c r="B164" s="113"/>
      <c r="C164" s="222" t="s">
        <v>19099</v>
      </c>
      <c r="D164" s="118" t="s">
        <v>19100</v>
      </c>
      <c r="E164" s="222" t="s">
        <v>19101</v>
      </c>
      <c r="F164" s="222" t="s">
        <v>19102</v>
      </c>
      <c r="G164" s="231" t="s">
        <v>14241</v>
      </c>
      <c r="H164" s="227" t="s">
        <v>19103</v>
      </c>
      <c r="I164" s="227"/>
      <c r="J164" s="118" t="s">
        <v>19104</v>
      </c>
      <c r="K164" s="137" t="s">
        <v>19105</v>
      </c>
      <c r="L164" s="136" t="s">
        <v>19106</v>
      </c>
      <c r="M164" s="136" t="s">
        <v>13161</v>
      </c>
    </row>
    <row r="165" spans="1:13" ht="14.25" customHeight="1">
      <c r="A165" s="113">
        <v>6</v>
      </c>
      <c r="B165" s="113"/>
      <c r="C165" s="216" t="s">
        <v>19107</v>
      </c>
      <c r="D165" s="137" t="s">
        <v>19108</v>
      </c>
      <c r="E165" s="216" t="s">
        <v>19109</v>
      </c>
      <c r="F165" s="216" t="s">
        <v>5559</v>
      </c>
      <c r="G165" s="220" t="s">
        <v>12548</v>
      </c>
      <c r="H165" s="260" t="s">
        <v>19110</v>
      </c>
      <c r="I165" s="260"/>
      <c r="J165" s="28" t="s">
        <v>19111</v>
      </c>
      <c r="K165" s="137" t="s">
        <v>19112</v>
      </c>
      <c r="L165" s="136" t="s">
        <v>19113</v>
      </c>
      <c r="M165" s="136" t="s">
        <v>13170</v>
      </c>
    </row>
    <row r="166" spans="1:13" ht="14.25" customHeight="1">
      <c r="A166" s="113">
        <v>7</v>
      </c>
      <c r="B166" s="113"/>
      <c r="C166" s="222" t="s">
        <v>19114</v>
      </c>
      <c r="D166" s="118" t="s">
        <v>19115</v>
      </c>
      <c r="E166" s="222" t="s">
        <v>19116</v>
      </c>
      <c r="F166" s="222" t="s">
        <v>117</v>
      </c>
      <c r="G166" s="220" t="s">
        <v>19117</v>
      </c>
      <c r="H166" s="227" t="s">
        <v>19118</v>
      </c>
      <c r="I166" s="227"/>
      <c r="J166" s="137" t="s">
        <v>19119</v>
      </c>
      <c r="K166" s="137" t="s">
        <v>19120</v>
      </c>
      <c r="L166" s="136" t="s">
        <v>19121</v>
      </c>
      <c r="M166" s="136" t="s">
        <v>13179</v>
      </c>
    </row>
    <row r="167" spans="1:13" ht="14.25" customHeight="1">
      <c r="A167" s="113">
        <v>8</v>
      </c>
      <c r="B167" s="113"/>
      <c r="C167" s="218" t="s">
        <v>19122</v>
      </c>
      <c r="D167" s="126" t="s">
        <v>19123</v>
      </c>
      <c r="E167" s="218" t="s">
        <v>3117</v>
      </c>
      <c r="F167" s="222" t="s">
        <v>117</v>
      </c>
      <c r="G167" s="231" t="s">
        <v>19124</v>
      </c>
      <c r="H167" s="224" t="s">
        <v>19125</v>
      </c>
      <c r="I167" s="224"/>
      <c r="J167" s="126" t="s">
        <v>19126</v>
      </c>
      <c r="K167" s="137" t="s">
        <v>19127</v>
      </c>
      <c r="L167" s="136" t="s">
        <v>19128</v>
      </c>
      <c r="M167" s="136" t="s">
        <v>10734</v>
      </c>
    </row>
    <row r="168" spans="1:13" ht="14.25" customHeight="1">
      <c r="A168" s="113">
        <v>9</v>
      </c>
      <c r="B168" s="113"/>
      <c r="C168" s="219" t="s">
        <v>19129</v>
      </c>
      <c r="D168" s="137" t="s">
        <v>19130</v>
      </c>
      <c r="E168" s="219" t="s">
        <v>19131</v>
      </c>
      <c r="F168" s="219" t="s">
        <v>65</v>
      </c>
      <c r="G168" s="220" t="s">
        <v>19132</v>
      </c>
      <c r="H168" s="260" t="s">
        <v>19133</v>
      </c>
      <c r="I168" s="260"/>
      <c r="J168" s="137" t="s">
        <v>19134</v>
      </c>
      <c r="K168" s="137" t="s">
        <v>19135</v>
      </c>
      <c r="L168" s="136" t="s">
        <v>19136</v>
      </c>
      <c r="M168" s="136" t="s">
        <v>13189</v>
      </c>
    </row>
    <row r="169" spans="1:13" ht="14.25" customHeight="1">
      <c r="A169" s="113">
        <v>10</v>
      </c>
      <c r="B169" s="113"/>
      <c r="C169" s="222" t="s">
        <v>19137</v>
      </c>
      <c r="D169" s="126" t="s">
        <v>19138</v>
      </c>
      <c r="E169" s="222" t="s">
        <v>19139</v>
      </c>
      <c r="F169" s="222" t="s">
        <v>117</v>
      </c>
      <c r="G169" s="231" t="s">
        <v>19140</v>
      </c>
      <c r="H169" s="224" t="s">
        <v>19141</v>
      </c>
      <c r="I169" s="224"/>
      <c r="J169" s="126" t="s">
        <v>19142</v>
      </c>
      <c r="K169" s="137" t="s">
        <v>19143</v>
      </c>
      <c r="L169" s="136" t="s">
        <v>19144</v>
      </c>
      <c r="M169" s="136" t="s">
        <v>13198</v>
      </c>
    </row>
    <row r="170" spans="1:13" ht="12.75" customHeight="1">
      <c r="A170" s="113">
        <v>11</v>
      </c>
      <c r="B170" s="113"/>
      <c r="C170" s="218" t="s">
        <v>19145</v>
      </c>
      <c r="D170" s="118" t="s">
        <v>19146</v>
      </c>
      <c r="E170" s="218" t="s">
        <v>19147</v>
      </c>
      <c r="F170" s="218" t="s">
        <v>5559</v>
      </c>
      <c r="G170" s="231" t="s">
        <v>19148</v>
      </c>
      <c r="H170" s="227" t="s">
        <v>19149</v>
      </c>
      <c r="I170" s="227"/>
      <c r="J170" s="118" t="s">
        <v>19150</v>
      </c>
      <c r="K170" s="137" t="s">
        <v>19151</v>
      </c>
      <c r="L170" s="136" t="s">
        <v>19152</v>
      </c>
      <c r="M170" s="136" t="s">
        <v>13207</v>
      </c>
    </row>
    <row r="171" spans="1:13" ht="14.25" customHeight="1">
      <c r="A171" s="113">
        <v>12</v>
      </c>
      <c r="B171" s="113"/>
      <c r="C171" s="222" t="s">
        <v>8333</v>
      </c>
      <c r="D171" s="126" t="s">
        <v>19153</v>
      </c>
      <c r="E171" s="222" t="s">
        <v>19154</v>
      </c>
      <c r="F171" s="222" t="s">
        <v>117</v>
      </c>
      <c r="G171" s="231" t="s">
        <v>14018</v>
      </c>
      <c r="H171" s="224" t="s">
        <v>19155</v>
      </c>
      <c r="I171" s="224"/>
      <c r="J171" s="193" t="s">
        <v>19156</v>
      </c>
      <c r="K171" s="137" t="s">
        <v>19157</v>
      </c>
      <c r="L171" s="136" t="s">
        <v>19158</v>
      </c>
      <c r="M171" s="136" t="s">
        <v>5254</v>
      </c>
    </row>
    <row r="172" spans="1:13" ht="14.25" customHeight="1">
      <c r="A172" s="113">
        <v>13</v>
      </c>
      <c r="B172" s="113"/>
      <c r="C172" s="216" t="s">
        <v>19159</v>
      </c>
      <c r="D172" s="137" t="s">
        <v>19160</v>
      </c>
      <c r="E172" s="216" t="s">
        <v>3994</v>
      </c>
      <c r="F172" s="216" t="s">
        <v>19161</v>
      </c>
      <c r="G172" s="220" t="s">
        <v>19162</v>
      </c>
      <c r="H172" s="260" t="s">
        <v>19163</v>
      </c>
      <c r="I172" s="260"/>
      <c r="J172" s="137" t="s">
        <v>19164</v>
      </c>
      <c r="K172" s="137" t="s">
        <v>19165</v>
      </c>
      <c r="L172" s="136" t="s">
        <v>19166</v>
      </c>
      <c r="M172" s="136" t="s">
        <v>13217</v>
      </c>
    </row>
    <row r="173" spans="1:13" ht="14.25" customHeight="1">
      <c r="A173" s="113">
        <v>14</v>
      </c>
      <c r="B173" s="113"/>
      <c r="C173" s="222" t="s">
        <v>19167</v>
      </c>
      <c r="D173" s="118" t="s">
        <v>19168</v>
      </c>
      <c r="E173" s="222" t="s">
        <v>19169</v>
      </c>
      <c r="F173" s="222" t="s">
        <v>117</v>
      </c>
      <c r="G173" s="231" t="s">
        <v>19170</v>
      </c>
      <c r="H173" s="227" t="s">
        <v>19171</v>
      </c>
      <c r="I173" s="227"/>
      <c r="J173" s="118" t="s">
        <v>19172</v>
      </c>
      <c r="K173" s="137" t="s">
        <v>19173</v>
      </c>
      <c r="L173" s="136" t="s">
        <v>19174</v>
      </c>
      <c r="M173" s="136" t="s">
        <v>13226</v>
      </c>
    </row>
    <row r="174" spans="1:13" ht="14.25" customHeight="1">
      <c r="A174" s="113">
        <v>15</v>
      </c>
      <c r="B174" s="113"/>
      <c r="C174" s="222" t="s">
        <v>19175</v>
      </c>
      <c r="D174" s="118" t="s">
        <v>19176</v>
      </c>
      <c r="E174" s="222" t="s">
        <v>19177</v>
      </c>
      <c r="F174" s="222" t="s">
        <v>117</v>
      </c>
      <c r="G174" s="231" t="s">
        <v>19178</v>
      </c>
      <c r="H174" s="227" t="s">
        <v>19179</v>
      </c>
      <c r="I174" s="227"/>
      <c r="J174" s="118" t="s">
        <v>19180</v>
      </c>
      <c r="K174" s="137" t="s">
        <v>19181</v>
      </c>
      <c r="L174" s="136" t="s">
        <v>19182</v>
      </c>
      <c r="M174" s="136" t="s">
        <v>13235</v>
      </c>
    </row>
    <row r="175" spans="1:13" ht="14.25" customHeight="1">
      <c r="A175" s="113">
        <v>16</v>
      </c>
      <c r="B175" s="113"/>
      <c r="C175" s="216" t="s">
        <v>19183</v>
      </c>
      <c r="D175" s="137" t="s">
        <v>19184</v>
      </c>
      <c r="E175" s="216" t="s">
        <v>19185</v>
      </c>
      <c r="F175" s="216" t="s">
        <v>117</v>
      </c>
      <c r="G175" s="220" t="s">
        <v>19186</v>
      </c>
      <c r="H175" s="260" t="s">
        <v>19187</v>
      </c>
      <c r="I175" s="260"/>
      <c r="J175" s="137" t="s">
        <v>19188</v>
      </c>
      <c r="K175" s="137" t="s">
        <v>19189</v>
      </c>
      <c r="L175" s="136" t="s">
        <v>19190</v>
      </c>
      <c r="M175" s="136" t="s">
        <v>13244</v>
      </c>
    </row>
    <row r="176" spans="1:13" ht="14.25" customHeight="1">
      <c r="A176" s="113">
        <v>17</v>
      </c>
      <c r="B176" s="113"/>
      <c r="C176" s="222" t="s">
        <v>19191</v>
      </c>
      <c r="D176" s="126" t="s">
        <v>19192</v>
      </c>
      <c r="E176" s="222" t="s">
        <v>19193</v>
      </c>
      <c r="F176" s="222" t="s">
        <v>117</v>
      </c>
      <c r="G176" s="220" t="s">
        <v>19194</v>
      </c>
      <c r="H176" s="224" t="s">
        <v>19195</v>
      </c>
      <c r="I176" s="224"/>
      <c r="J176" s="126" t="s">
        <v>19196</v>
      </c>
      <c r="K176" s="137" t="s">
        <v>19197</v>
      </c>
      <c r="L176" s="136" t="s">
        <v>19198</v>
      </c>
      <c r="M176" s="136" t="s">
        <v>13253</v>
      </c>
    </row>
    <row r="177" spans="1:13" ht="14.25" customHeight="1">
      <c r="A177" s="113">
        <v>18</v>
      </c>
      <c r="B177" s="113"/>
      <c r="C177" s="222" t="s">
        <v>19199</v>
      </c>
      <c r="D177" s="118" t="s">
        <v>19200</v>
      </c>
      <c r="E177" s="222" t="s">
        <v>19201</v>
      </c>
      <c r="F177" s="222" t="s">
        <v>65</v>
      </c>
      <c r="G177" s="220" t="s">
        <v>19202</v>
      </c>
      <c r="H177" s="227" t="s">
        <v>19203</v>
      </c>
      <c r="I177" s="227"/>
      <c r="J177" s="118" t="s">
        <v>19204</v>
      </c>
      <c r="K177" s="137" t="s">
        <v>19205</v>
      </c>
      <c r="L177" s="136" t="s">
        <v>19206</v>
      </c>
      <c r="M177" s="136" t="s">
        <v>13262</v>
      </c>
    </row>
    <row r="178" spans="1:13" ht="14.25" customHeight="1">
      <c r="A178" s="113">
        <v>19</v>
      </c>
      <c r="B178" s="113"/>
      <c r="C178" s="218" t="s">
        <v>19207</v>
      </c>
      <c r="D178" s="118" t="s">
        <v>19208</v>
      </c>
      <c r="E178" s="218" t="s">
        <v>19209</v>
      </c>
      <c r="F178" s="218" t="s">
        <v>65</v>
      </c>
      <c r="G178" s="231" t="s">
        <v>19210</v>
      </c>
      <c r="H178" s="227" t="s">
        <v>19211</v>
      </c>
      <c r="I178" s="227"/>
      <c r="J178" s="118" t="s">
        <v>19212</v>
      </c>
      <c r="K178" s="137" t="s">
        <v>19213</v>
      </c>
      <c r="L178" s="136" t="s">
        <v>19214</v>
      </c>
      <c r="M178" s="136" t="s">
        <v>13271</v>
      </c>
    </row>
    <row r="179" spans="1:13" ht="14.25" customHeight="1">
      <c r="A179" s="113">
        <v>20</v>
      </c>
      <c r="B179" s="113"/>
      <c r="C179" s="222" t="s">
        <v>19215</v>
      </c>
      <c r="D179" s="118" t="s">
        <v>19216</v>
      </c>
      <c r="E179" s="222" t="s">
        <v>19217</v>
      </c>
      <c r="F179" s="222" t="s">
        <v>117</v>
      </c>
      <c r="G179" s="220" t="s">
        <v>19218</v>
      </c>
      <c r="H179" s="227" t="s">
        <v>19219</v>
      </c>
      <c r="I179" s="227"/>
      <c r="J179" s="118" t="s">
        <v>19220</v>
      </c>
      <c r="K179" s="137" t="s">
        <v>19221</v>
      </c>
      <c r="L179" s="136" t="s">
        <v>19222</v>
      </c>
      <c r="M179" s="136" t="s">
        <v>13280</v>
      </c>
    </row>
    <row r="180" spans="1:13" ht="14.25" customHeight="1">
      <c r="A180" s="113">
        <v>21</v>
      </c>
      <c r="B180" s="113"/>
      <c r="C180" s="222" t="s">
        <v>19223</v>
      </c>
      <c r="D180" s="118" t="s">
        <v>19224</v>
      </c>
      <c r="E180" s="222" t="s">
        <v>19225</v>
      </c>
      <c r="F180" s="222" t="s">
        <v>5559</v>
      </c>
      <c r="G180" s="220" t="s">
        <v>19226</v>
      </c>
      <c r="H180" s="227" t="s">
        <v>19227</v>
      </c>
      <c r="I180" s="227"/>
      <c r="J180" s="118" t="s">
        <v>19228</v>
      </c>
      <c r="K180" s="137" t="s">
        <v>19229</v>
      </c>
      <c r="L180" s="136" t="s">
        <v>19230</v>
      </c>
      <c r="M180" s="136" t="s">
        <v>10826</v>
      </c>
    </row>
    <row r="181" spans="1:13" ht="14.25" customHeight="1">
      <c r="A181" s="113">
        <v>22</v>
      </c>
      <c r="B181" s="113"/>
      <c r="C181" s="219" t="s">
        <v>19231</v>
      </c>
      <c r="D181" s="137" t="s">
        <v>19232</v>
      </c>
      <c r="E181" s="219" t="s">
        <v>19233</v>
      </c>
      <c r="F181" s="219" t="s">
        <v>65</v>
      </c>
      <c r="G181" s="220" t="s">
        <v>19234</v>
      </c>
      <c r="H181" s="260" t="s">
        <v>19235</v>
      </c>
      <c r="I181" s="260"/>
      <c r="J181" s="137" t="s">
        <v>19236</v>
      </c>
      <c r="K181" s="137" t="s">
        <v>19237</v>
      </c>
      <c r="L181" s="136" t="s">
        <v>19238</v>
      </c>
      <c r="M181" s="136" t="s">
        <v>13290</v>
      </c>
    </row>
    <row r="182" spans="1:13" ht="14.25" customHeight="1">
      <c r="A182" s="113">
        <v>23</v>
      </c>
      <c r="B182" s="113"/>
      <c r="C182" s="218" t="s">
        <v>19239</v>
      </c>
      <c r="D182" s="126" t="s">
        <v>19240</v>
      </c>
      <c r="E182" s="218" t="s">
        <v>19241</v>
      </c>
      <c r="F182" s="218" t="s">
        <v>117</v>
      </c>
      <c r="G182" s="231" t="s">
        <v>19242</v>
      </c>
      <c r="H182" s="224" t="s">
        <v>19243</v>
      </c>
      <c r="I182" s="224"/>
      <c r="J182" s="118" t="s">
        <v>19244</v>
      </c>
      <c r="K182" s="137" t="s">
        <v>19245</v>
      </c>
      <c r="L182" s="136" t="s">
        <v>19246</v>
      </c>
      <c r="M182" s="136" t="s">
        <v>10926</v>
      </c>
    </row>
    <row r="183" spans="1:13" ht="14.25" customHeight="1">
      <c r="A183" s="113">
        <v>24</v>
      </c>
      <c r="B183" s="113"/>
      <c r="C183" s="222" t="s">
        <v>19247</v>
      </c>
      <c r="D183" s="126" t="s">
        <v>19248</v>
      </c>
      <c r="E183" s="222" t="s">
        <v>19249</v>
      </c>
      <c r="F183" s="222" t="s">
        <v>117</v>
      </c>
      <c r="G183" s="231" t="s">
        <v>19250</v>
      </c>
      <c r="H183" s="224" t="s">
        <v>19251</v>
      </c>
      <c r="I183" s="224"/>
      <c r="J183" s="126" t="s">
        <v>19252</v>
      </c>
      <c r="K183" s="137" t="s">
        <v>19253</v>
      </c>
      <c r="L183" s="136" t="s">
        <v>19254</v>
      </c>
      <c r="M183" s="136" t="s">
        <v>13300</v>
      </c>
    </row>
    <row r="184" spans="1:13" ht="14.25" customHeight="1">
      <c r="A184" s="113">
        <v>25</v>
      </c>
      <c r="B184" s="113"/>
      <c r="C184" s="219" t="s">
        <v>19255</v>
      </c>
      <c r="D184" s="124" t="s">
        <v>19256</v>
      </c>
      <c r="E184" s="219" t="s">
        <v>19257</v>
      </c>
      <c r="F184" s="219" t="s">
        <v>65</v>
      </c>
      <c r="G184" s="220" t="s">
        <v>19258</v>
      </c>
      <c r="H184" s="261" t="s">
        <v>19259</v>
      </c>
      <c r="I184" s="261"/>
      <c r="J184" s="124" t="s">
        <v>19260</v>
      </c>
      <c r="K184" s="137" t="s">
        <v>19261</v>
      </c>
      <c r="L184" s="136" t="s">
        <v>19262</v>
      </c>
      <c r="M184" s="136" t="s">
        <v>13309</v>
      </c>
    </row>
    <row r="185" spans="1:13" ht="14.25" customHeight="1">
      <c r="A185" s="113">
        <v>26</v>
      </c>
      <c r="B185" s="113"/>
      <c r="C185" s="218" t="s">
        <v>19263</v>
      </c>
      <c r="D185" s="118" t="s">
        <v>19264</v>
      </c>
      <c r="E185" s="218" t="s">
        <v>19265</v>
      </c>
      <c r="F185" s="218" t="s">
        <v>5559</v>
      </c>
      <c r="G185" s="231" t="s">
        <v>19266</v>
      </c>
      <c r="H185" s="227" t="s">
        <v>19267</v>
      </c>
      <c r="I185" s="227"/>
      <c r="J185" s="118" t="s">
        <v>19268</v>
      </c>
      <c r="K185" s="137" t="s">
        <v>19269</v>
      </c>
      <c r="L185" s="136" t="s">
        <v>19270</v>
      </c>
      <c r="M185" s="136" t="s">
        <v>13318</v>
      </c>
    </row>
    <row r="186" spans="1:13" ht="14.25" customHeight="1">
      <c r="A186" s="113">
        <v>27</v>
      </c>
      <c r="B186" s="113"/>
      <c r="C186" s="222" t="s">
        <v>19271</v>
      </c>
      <c r="D186" s="126" t="s">
        <v>19272</v>
      </c>
      <c r="E186" s="222" t="s">
        <v>6532</v>
      </c>
      <c r="F186" s="222" t="s">
        <v>5559</v>
      </c>
      <c r="G186" s="231" t="s">
        <v>19273</v>
      </c>
      <c r="H186" s="224" t="s">
        <v>19274</v>
      </c>
      <c r="I186" s="224"/>
      <c r="J186" s="126" t="s">
        <v>19275</v>
      </c>
      <c r="K186" s="137" t="s">
        <v>19276</v>
      </c>
      <c r="L186" s="136" t="s">
        <v>19277</v>
      </c>
      <c r="M186" s="136" t="s">
        <v>13327</v>
      </c>
    </row>
    <row r="187" spans="1:13" ht="14.25" customHeight="1">
      <c r="A187" s="113">
        <v>28</v>
      </c>
      <c r="B187" s="113"/>
      <c r="C187" s="222" t="s">
        <v>19278</v>
      </c>
      <c r="D187" s="118" t="s">
        <v>19279</v>
      </c>
      <c r="E187" s="222" t="s">
        <v>19280</v>
      </c>
      <c r="F187" s="222" t="s">
        <v>117</v>
      </c>
      <c r="G187" s="231" t="s">
        <v>19281</v>
      </c>
      <c r="H187" s="227" t="s">
        <v>19282</v>
      </c>
      <c r="I187" s="227"/>
      <c r="J187" s="118" t="s">
        <v>19283</v>
      </c>
      <c r="K187" s="137" t="s">
        <v>19284</v>
      </c>
      <c r="L187" s="136" t="s">
        <v>19285</v>
      </c>
      <c r="M187" s="136" t="s">
        <v>13336</v>
      </c>
    </row>
    <row r="188" spans="1:13" ht="14.25" customHeight="1">
      <c r="A188" s="113">
        <v>29</v>
      </c>
      <c r="B188" s="113"/>
      <c r="C188" s="216" t="s">
        <v>19286</v>
      </c>
      <c r="D188" s="137" t="s">
        <v>19287</v>
      </c>
      <c r="E188" s="216" t="s">
        <v>19288</v>
      </c>
      <c r="F188" s="216" t="s">
        <v>65</v>
      </c>
      <c r="G188" s="220" t="s">
        <v>19289</v>
      </c>
      <c r="H188" s="260" t="s">
        <v>19290</v>
      </c>
      <c r="I188" s="260"/>
      <c r="J188" s="137" t="s">
        <v>19291</v>
      </c>
      <c r="K188" s="137" t="s">
        <v>19292</v>
      </c>
      <c r="L188" s="136" t="s">
        <v>19293</v>
      </c>
      <c r="M188" s="136" t="s">
        <v>13345</v>
      </c>
    </row>
    <row r="189" spans="1:13" ht="14.25" customHeight="1">
      <c r="A189" s="113">
        <v>30</v>
      </c>
      <c r="B189" s="113"/>
      <c r="C189" s="219" t="s">
        <v>19294</v>
      </c>
      <c r="D189" s="137" t="s">
        <v>19295</v>
      </c>
      <c r="E189" s="219" t="s">
        <v>19296</v>
      </c>
      <c r="F189" s="219" t="s">
        <v>65</v>
      </c>
      <c r="G189" s="220" t="s">
        <v>19297</v>
      </c>
      <c r="H189" s="260" t="s">
        <v>19298</v>
      </c>
      <c r="I189" s="260"/>
      <c r="J189" s="137" t="s">
        <v>19299</v>
      </c>
      <c r="K189" s="137" t="s">
        <v>19300</v>
      </c>
      <c r="L189" s="136" t="s">
        <v>19301</v>
      </c>
      <c r="M189" s="136" t="s">
        <v>13354</v>
      </c>
    </row>
    <row r="190" spans="1:13" ht="14.25" customHeight="1">
      <c r="A190" s="113">
        <v>31</v>
      </c>
      <c r="B190" s="113"/>
      <c r="C190" s="218" t="s">
        <v>19302</v>
      </c>
      <c r="D190" s="126" t="s">
        <v>19303</v>
      </c>
      <c r="E190" s="218" t="s">
        <v>19304</v>
      </c>
      <c r="F190" s="218" t="s">
        <v>65</v>
      </c>
      <c r="G190" s="231" t="s">
        <v>19305</v>
      </c>
      <c r="H190" s="224" t="s">
        <v>19306</v>
      </c>
      <c r="I190" s="224"/>
      <c r="J190" s="126" t="s">
        <v>19307</v>
      </c>
      <c r="K190" s="137" t="s">
        <v>19308</v>
      </c>
      <c r="L190" s="136" t="s">
        <v>19309</v>
      </c>
      <c r="M190" s="136" t="s">
        <v>13364</v>
      </c>
    </row>
    <row r="191" spans="1:13" ht="14.25" customHeight="1">
      <c r="A191" s="113">
        <v>32</v>
      </c>
      <c r="B191" s="113"/>
      <c r="C191" s="218" t="s">
        <v>19310</v>
      </c>
      <c r="D191" s="118" t="s">
        <v>19311</v>
      </c>
      <c r="E191" s="218" t="s">
        <v>19312</v>
      </c>
      <c r="F191" s="218" t="s">
        <v>65</v>
      </c>
      <c r="G191" s="231" t="s">
        <v>19313</v>
      </c>
      <c r="H191" s="227" t="s">
        <v>19314</v>
      </c>
      <c r="I191" s="227"/>
      <c r="J191" s="118" t="s">
        <v>19315</v>
      </c>
      <c r="K191" s="137" t="s">
        <v>19316</v>
      </c>
      <c r="L191" s="136" t="s">
        <v>19317</v>
      </c>
      <c r="M191" s="136" t="s">
        <v>13373</v>
      </c>
    </row>
    <row r="192" spans="1:13" ht="14.25" customHeight="1">
      <c r="A192" s="113">
        <v>33</v>
      </c>
      <c r="B192" s="113"/>
      <c r="C192" s="222" t="s">
        <v>19318</v>
      </c>
      <c r="D192" s="262" t="s">
        <v>19319</v>
      </c>
      <c r="E192" s="222" t="s">
        <v>19320</v>
      </c>
      <c r="F192" s="222" t="s">
        <v>65</v>
      </c>
      <c r="G192" s="220" t="s">
        <v>19321</v>
      </c>
      <c r="H192" s="221" t="s">
        <v>19322</v>
      </c>
      <c r="I192" s="221"/>
      <c r="J192" s="262" t="s">
        <v>19323</v>
      </c>
      <c r="K192" s="137" t="s">
        <v>19324</v>
      </c>
      <c r="L192" s="136" t="s">
        <v>19325</v>
      </c>
      <c r="M192" s="136" t="s">
        <v>13382</v>
      </c>
    </row>
    <row r="193" spans="1:13" ht="14.25" customHeight="1">
      <c r="A193" s="113">
        <v>34</v>
      </c>
      <c r="B193" s="113"/>
      <c r="C193" s="222" t="s">
        <v>19326</v>
      </c>
      <c r="D193" s="118" t="s">
        <v>19327</v>
      </c>
      <c r="E193" s="222" t="s">
        <v>19328</v>
      </c>
      <c r="F193" s="222" t="s">
        <v>117</v>
      </c>
      <c r="G193" s="220" t="s">
        <v>19329</v>
      </c>
      <c r="H193" s="227" t="s">
        <v>19330</v>
      </c>
      <c r="I193" s="227"/>
      <c r="J193" s="118" t="s">
        <v>19331</v>
      </c>
      <c r="K193" s="137" t="s">
        <v>19332</v>
      </c>
      <c r="L193" s="136" t="s">
        <v>19333</v>
      </c>
      <c r="M193" s="136" t="s">
        <v>13391</v>
      </c>
    </row>
    <row r="194" spans="1:13" ht="14.25" customHeight="1">
      <c r="A194" s="113">
        <v>35</v>
      </c>
      <c r="B194" s="113"/>
      <c r="C194" s="222" t="s">
        <v>19334</v>
      </c>
      <c r="D194" s="126" t="s">
        <v>19335</v>
      </c>
      <c r="E194" s="222" t="s">
        <v>19336</v>
      </c>
      <c r="F194" s="222" t="s">
        <v>65</v>
      </c>
      <c r="G194" s="220" t="s">
        <v>19337</v>
      </c>
      <c r="H194" s="224" t="s">
        <v>19338</v>
      </c>
      <c r="I194" s="224"/>
      <c r="J194" s="126" t="s">
        <v>19339</v>
      </c>
      <c r="K194" s="137" t="s">
        <v>19340</v>
      </c>
      <c r="L194" s="136" t="s">
        <v>19341</v>
      </c>
      <c r="M194" s="136" t="s">
        <v>13400</v>
      </c>
    </row>
    <row r="195" spans="1:13" ht="14.25" customHeight="1">
      <c r="A195" s="113">
        <v>36</v>
      </c>
      <c r="B195" s="113"/>
      <c r="C195" s="222" t="s">
        <v>19342</v>
      </c>
      <c r="D195" s="118" t="s">
        <v>19343</v>
      </c>
      <c r="E195" s="222" t="s">
        <v>19344</v>
      </c>
      <c r="F195" s="222" t="s">
        <v>65</v>
      </c>
      <c r="G195" s="220" t="s">
        <v>19345</v>
      </c>
      <c r="H195" s="227" t="s">
        <v>19346</v>
      </c>
      <c r="I195" s="227"/>
      <c r="J195" s="118" t="s">
        <v>19347</v>
      </c>
      <c r="K195" s="137" t="s">
        <v>19348</v>
      </c>
      <c r="L195" s="136" t="s">
        <v>19349</v>
      </c>
      <c r="M195" s="136" t="s">
        <v>19350</v>
      </c>
    </row>
    <row r="196" spans="1:13" ht="14.25" customHeight="1">
      <c r="A196" s="113">
        <v>37</v>
      </c>
      <c r="B196" s="113"/>
      <c r="C196" s="222" t="s">
        <v>19351</v>
      </c>
      <c r="D196" s="118" t="s">
        <v>19352</v>
      </c>
      <c r="E196" s="222" t="s">
        <v>19353</v>
      </c>
      <c r="F196" s="222" t="s">
        <v>117</v>
      </c>
      <c r="G196" s="231" t="s">
        <v>19354</v>
      </c>
      <c r="H196" s="227" t="s">
        <v>19355</v>
      </c>
      <c r="I196" s="227"/>
      <c r="J196" s="118" t="s">
        <v>19356</v>
      </c>
      <c r="K196" s="137" t="s">
        <v>19357</v>
      </c>
      <c r="L196" s="136" t="s">
        <v>19358</v>
      </c>
      <c r="M196" s="136" t="s">
        <v>19359</v>
      </c>
    </row>
    <row r="197" spans="1:13" ht="14.25" customHeight="1">
      <c r="A197" s="113">
        <v>38</v>
      </c>
      <c r="B197" s="113"/>
      <c r="C197" s="222" t="s">
        <v>19360</v>
      </c>
      <c r="D197" s="217" t="s">
        <v>19361</v>
      </c>
      <c r="E197" s="222" t="s">
        <v>19362</v>
      </c>
      <c r="F197" s="222" t="s">
        <v>65</v>
      </c>
      <c r="G197" s="220" t="s">
        <v>19363</v>
      </c>
      <c r="H197" s="221" t="s">
        <v>19364</v>
      </c>
      <c r="I197" s="221"/>
      <c r="J197" s="126" t="s">
        <v>19365</v>
      </c>
      <c r="K197" s="137" t="s">
        <v>19366</v>
      </c>
      <c r="L197" s="136" t="s">
        <v>19367</v>
      </c>
      <c r="M197" s="136" t="s">
        <v>19368</v>
      </c>
    </row>
    <row r="198" spans="1:13" ht="14.25" customHeight="1">
      <c r="A198" s="113">
        <v>39</v>
      </c>
      <c r="B198" s="113"/>
      <c r="C198" s="216" t="s">
        <v>19369</v>
      </c>
      <c r="D198" s="137" t="s">
        <v>19370</v>
      </c>
      <c r="E198" s="216" t="s">
        <v>19371</v>
      </c>
      <c r="F198" s="216" t="s">
        <v>117</v>
      </c>
      <c r="G198" s="220" t="s">
        <v>19372</v>
      </c>
      <c r="H198" s="260" t="s">
        <v>19373</v>
      </c>
      <c r="I198" s="260"/>
      <c r="J198" s="137" t="s">
        <v>19374</v>
      </c>
      <c r="K198" s="137" t="s">
        <v>19375</v>
      </c>
      <c r="L198" s="113" t="s">
        <v>19376</v>
      </c>
      <c r="M198" s="136" t="s">
        <v>19377</v>
      </c>
    </row>
    <row r="199" spans="1:13" ht="14.25" customHeight="1">
      <c r="A199" s="113">
        <v>40</v>
      </c>
      <c r="B199" s="113"/>
      <c r="C199" s="222" t="s">
        <v>19378</v>
      </c>
      <c r="D199" s="118" t="s">
        <v>19379</v>
      </c>
      <c r="E199" s="222" t="s">
        <v>19380</v>
      </c>
      <c r="F199" s="222" t="s">
        <v>65</v>
      </c>
      <c r="G199" s="231" t="s">
        <v>19381</v>
      </c>
      <c r="H199" s="227" t="s">
        <v>19382</v>
      </c>
      <c r="I199" s="227"/>
      <c r="J199" s="118" t="s">
        <v>19383</v>
      </c>
      <c r="K199" s="137" t="s">
        <v>19384</v>
      </c>
      <c r="L199" s="113" t="s">
        <v>19385</v>
      </c>
      <c r="M199" s="136" t="s">
        <v>19386</v>
      </c>
    </row>
    <row r="200" spans="1:13" ht="14.25" customHeight="1">
      <c r="A200" s="113">
        <v>41</v>
      </c>
      <c r="B200" s="113"/>
      <c r="C200" s="222" t="s">
        <v>19387</v>
      </c>
      <c r="D200" s="126" t="s">
        <v>19388</v>
      </c>
      <c r="E200" s="222" t="s">
        <v>19389</v>
      </c>
      <c r="F200" s="222" t="s">
        <v>65</v>
      </c>
      <c r="G200" s="231" t="s">
        <v>19390</v>
      </c>
      <c r="H200" s="224" t="s">
        <v>19391</v>
      </c>
      <c r="I200" s="224"/>
      <c r="J200" s="126" t="s">
        <v>19392</v>
      </c>
      <c r="K200" s="137" t="s">
        <v>19393</v>
      </c>
      <c r="L200" s="113" t="s">
        <v>19394</v>
      </c>
      <c r="M200" s="136" t="s">
        <v>19395</v>
      </c>
    </row>
    <row r="201" spans="1:13" ht="14.25" customHeight="1">
      <c r="A201" s="113">
        <v>42</v>
      </c>
      <c r="B201" s="113"/>
      <c r="C201" s="222" t="s">
        <v>19396</v>
      </c>
      <c r="D201" s="118" t="s">
        <v>19397</v>
      </c>
      <c r="E201" s="222" t="s">
        <v>19398</v>
      </c>
      <c r="F201" s="222" t="s">
        <v>65</v>
      </c>
      <c r="G201" s="231" t="s">
        <v>19399</v>
      </c>
      <c r="H201" s="227" t="s">
        <v>19400</v>
      </c>
      <c r="I201" s="227"/>
      <c r="J201" s="137" t="s">
        <v>19401</v>
      </c>
      <c r="K201" s="137" t="s">
        <v>19402</v>
      </c>
      <c r="L201" s="113" t="s">
        <v>19403</v>
      </c>
      <c r="M201" s="136" t="s">
        <v>19404</v>
      </c>
    </row>
    <row r="202" spans="1:13" ht="14.25" customHeight="1">
      <c r="A202" s="113">
        <v>43</v>
      </c>
      <c r="B202" s="113"/>
      <c r="C202" s="222" t="s">
        <v>19405</v>
      </c>
      <c r="D202" s="217" t="s">
        <v>19406</v>
      </c>
      <c r="E202" s="222" t="s">
        <v>19407</v>
      </c>
      <c r="F202" s="222" t="s">
        <v>19408</v>
      </c>
      <c r="G202" s="231" t="s">
        <v>19409</v>
      </c>
      <c r="H202" s="221" t="s">
        <v>19410</v>
      </c>
      <c r="I202" s="221"/>
      <c r="J202" s="126" t="s">
        <v>19411</v>
      </c>
      <c r="K202" s="137" t="s">
        <v>19412</v>
      </c>
      <c r="L202" s="113" t="s">
        <v>19413</v>
      </c>
      <c r="M202" s="136" t="s">
        <v>19414</v>
      </c>
    </row>
    <row r="203" spans="1:13" ht="14.25" customHeight="1">
      <c r="A203" s="113">
        <v>44</v>
      </c>
      <c r="B203" s="113"/>
      <c r="C203" s="222" t="s">
        <v>19415</v>
      </c>
      <c r="D203" s="118" t="s">
        <v>19416</v>
      </c>
      <c r="E203" s="222" t="s">
        <v>19417</v>
      </c>
      <c r="F203" s="222" t="s">
        <v>5559</v>
      </c>
      <c r="G203" s="231" t="s">
        <v>19418</v>
      </c>
      <c r="H203" s="227" t="s">
        <v>19419</v>
      </c>
      <c r="I203" s="227"/>
      <c r="J203" s="118" t="s">
        <v>19420</v>
      </c>
      <c r="K203" s="137" t="s">
        <v>19421</v>
      </c>
      <c r="L203" s="113" t="s">
        <v>19422</v>
      </c>
      <c r="M203" s="136" t="s">
        <v>19423</v>
      </c>
    </row>
    <row r="204" spans="1:13" ht="14.25" customHeight="1">
      <c r="A204" s="113">
        <v>45</v>
      </c>
      <c r="B204" s="113"/>
      <c r="C204" s="216" t="s">
        <v>19424</v>
      </c>
      <c r="D204" s="137" t="s">
        <v>19425</v>
      </c>
      <c r="E204" s="216" t="s">
        <v>19426</v>
      </c>
      <c r="F204" s="216" t="s">
        <v>5559</v>
      </c>
      <c r="G204" s="220" t="s">
        <v>19427</v>
      </c>
      <c r="H204" s="260" t="s">
        <v>19428</v>
      </c>
      <c r="I204" s="260"/>
      <c r="J204" s="137" t="s">
        <v>19429</v>
      </c>
      <c r="K204" s="137" t="s">
        <v>19430</v>
      </c>
      <c r="L204" s="113" t="s">
        <v>19431</v>
      </c>
      <c r="M204" s="136" t="s">
        <v>19432</v>
      </c>
    </row>
    <row r="205" spans="1:13" ht="14.25" customHeight="1">
      <c r="A205" s="113">
        <v>46</v>
      </c>
      <c r="B205" s="113"/>
      <c r="C205" s="216" t="s">
        <v>19433</v>
      </c>
      <c r="D205" s="137" t="s">
        <v>19434</v>
      </c>
      <c r="E205" s="216" t="s">
        <v>19435</v>
      </c>
      <c r="F205" s="216" t="s">
        <v>117</v>
      </c>
      <c r="G205" s="220" t="s">
        <v>19436</v>
      </c>
      <c r="H205" s="260" t="s">
        <v>19437</v>
      </c>
      <c r="I205" s="260"/>
      <c r="J205" s="137" t="s">
        <v>19438</v>
      </c>
      <c r="K205" s="137" t="s">
        <v>19439</v>
      </c>
      <c r="L205" s="113" t="s">
        <v>19440</v>
      </c>
      <c r="M205" s="136" t="s">
        <v>19441</v>
      </c>
    </row>
    <row r="206" spans="1:13" ht="14.25" customHeight="1">
      <c r="A206" s="210">
        <v>1</v>
      </c>
      <c r="B206" s="210"/>
      <c r="C206" s="211" t="s">
        <v>19442</v>
      </c>
      <c r="D206" s="238" t="s">
        <v>19443</v>
      </c>
      <c r="E206" s="211" t="s">
        <v>19444</v>
      </c>
      <c r="F206" s="211" t="s">
        <v>117</v>
      </c>
      <c r="G206" s="213" t="s">
        <v>19445</v>
      </c>
      <c r="H206" s="239" t="s">
        <v>19446</v>
      </c>
      <c r="I206" s="239"/>
      <c r="J206" s="263" t="s">
        <v>19447</v>
      </c>
      <c r="K206" s="215" t="s">
        <v>19448</v>
      </c>
      <c r="L206" s="210" t="s">
        <v>19449</v>
      </c>
      <c r="M206" s="247" t="s">
        <v>13409</v>
      </c>
    </row>
    <row r="207" spans="1:13" ht="14.25" customHeight="1">
      <c r="A207" s="113">
        <v>2</v>
      </c>
      <c r="B207" s="113"/>
      <c r="C207" s="216" t="s">
        <v>19450</v>
      </c>
      <c r="D207" s="217" t="s">
        <v>19451</v>
      </c>
      <c r="E207" s="222" t="s">
        <v>19452</v>
      </c>
      <c r="F207" s="222" t="s">
        <v>65</v>
      </c>
      <c r="G207" s="231" t="s">
        <v>19453</v>
      </c>
      <c r="H207" s="221" t="s">
        <v>19454</v>
      </c>
      <c r="I207" s="221"/>
      <c r="J207" s="118" t="s">
        <v>19455</v>
      </c>
      <c r="K207" s="137" t="s">
        <v>19456</v>
      </c>
      <c r="L207" s="136" t="s">
        <v>19457</v>
      </c>
      <c r="M207" s="136" t="s">
        <v>13416</v>
      </c>
    </row>
    <row r="208" spans="1:13" ht="14.25" customHeight="1">
      <c r="A208" s="113">
        <v>3</v>
      </c>
      <c r="B208" s="113"/>
      <c r="C208" s="216" t="s">
        <v>19458</v>
      </c>
      <c r="D208" s="118" t="s">
        <v>19459</v>
      </c>
      <c r="E208" s="222" t="s">
        <v>19460</v>
      </c>
      <c r="F208" s="222" t="s">
        <v>117</v>
      </c>
      <c r="G208" s="231" t="s">
        <v>19461</v>
      </c>
      <c r="H208" s="227" t="s">
        <v>19462</v>
      </c>
      <c r="I208" s="227"/>
      <c r="J208" s="28" t="s">
        <v>19463</v>
      </c>
      <c r="K208" s="137" t="s">
        <v>19464</v>
      </c>
      <c r="L208" s="136" t="s">
        <v>19465</v>
      </c>
      <c r="M208" s="136" t="s">
        <v>10658</v>
      </c>
    </row>
    <row r="209" spans="1:13" ht="14.25" customHeight="1">
      <c r="A209" s="113">
        <v>4</v>
      </c>
      <c r="B209" s="113"/>
      <c r="C209" s="216" t="s">
        <v>19466</v>
      </c>
      <c r="D209" s="217" t="s">
        <v>19467</v>
      </c>
      <c r="E209" s="222" t="s">
        <v>19468</v>
      </c>
      <c r="F209" s="222" t="s">
        <v>65</v>
      </c>
      <c r="G209" s="231" t="s">
        <v>19469</v>
      </c>
      <c r="H209" s="221" t="s">
        <v>19470</v>
      </c>
      <c r="I209" s="221"/>
      <c r="J209" s="28" t="s">
        <v>19471</v>
      </c>
      <c r="K209" s="137" t="s">
        <v>19472</v>
      </c>
      <c r="L209" s="136" t="s">
        <v>19473</v>
      </c>
      <c r="M209" s="136" t="s">
        <v>13426</v>
      </c>
    </row>
    <row r="210" spans="1:13" ht="14.25" customHeight="1">
      <c r="A210" s="113">
        <v>5</v>
      </c>
      <c r="B210" s="113"/>
      <c r="C210" s="264" t="s">
        <v>19474</v>
      </c>
      <c r="D210" s="118" t="s">
        <v>19475</v>
      </c>
      <c r="E210" s="222" t="s">
        <v>19476</v>
      </c>
      <c r="F210" s="222" t="s">
        <v>19477</v>
      </c>
      <c r="G210" s="231" t="s">
        <v>19478</v>
      </c>
      <c r="H210" s="227" t="s">
        <v>19479</v>
      </c>
      <c r="I210" s="227"/>
      <c r="J210" s="28" t="s">
        <v>19480</v>
      </c>
      <c r="K210" s="137" t="s">
        <v>19481</v>
      </c>
      <c r="L210" s="136" t="s">
        <v>19482</v>
      </c>
      <c r="M210" s="136" t="s">
        <v>13434</v>
      </c>
    </row>
    <row r="211" spans="1:13" ht="14.25" customHeight="1">
      <c r="A211" s="113">
        <v>6</v>
      </c>
      <c r="B211" s="113"/>
      <c r="C211" s="216" t="s">
        <v>19483</v>
      </c>
      <c r="D211" s="118" t="s">
        <v>19484</v>
      </c>
      <c r="E211" s="222" t="s">
        <v>19485</v>
      </c>
      <c r="F211" s="222" t="s">
        <v>65</v>
      </c>
      <c r="G211" s="231" t="s">
        <v>19486</v>
      </c>
      <c r="H211" s="227" t="s">
        <v>19487</v>
      </c>
      <c r="I211" s="227"/>
      <c r="J211" s="28" t="s">
        <v>19488</v>
      </c>
      <c r="K211" s="137" t="s">
        <v>19489</v>
      </c>
      <c r="L211" s="136" t="s">
        <v>19490</v>
      </c>
      <c r="M211" s="136" t="s">
        <v>13443</v>
      </c>
    </row>
    <row r="212" spans="1:13" ht="14.25" customHeight="1">
      <c r="A212" s="113">
        <v>7</v>
      </c>
      <c r="B212" s="113"/>
      <c r="C212" s="216" t="s">
        <v>19491</v>
      </c>
      <c r="D212" s="217" t="s">
        <v>19492</v>
      </c>
      <c r="E212" s="222" t="s">
        <v>19493</v>
      </c>
      <c r="F212" s="222" t="s">
        <v>219</v>
      </c>
      <c r="G212" s="231" t="s">
        <v>19494</v>
      </c>
      <c r="H212" s="221" t="s">
        <v>19495</v>
      </c>
      <c r="I212" s="221"/>
      <c r="J212" s="118" t="s">
        <v>19496</v>
      </c>
      <c r="K212" s="137" t="s">
        <v>19497</v>
      </c>
      <c r="L212" s="136" t="s">
        <v>19498</v>
      </c>
      <c r="M212" s="136" t="s">
        <v>13451</v>
      </c>
    </row>
    <row r="213" spans="1:13" ht="14.25" customHeight="1">
      <c r="A213" s="113">
        <v>8</v>
      </c>
      <c r="B213" s="113"/>
      <c r="C213" s="216" t="s">
        <v>19499</v>
      </c>
      <c r="D213" s="217" t="s">
        <v>19500</v>
      </c>
      <c r="E213" s="222" t="s">
        <v>19501</v>
      </c>
      <c r="F213" s="222" t="s">
        <v>117</v>
      </c>
      <c r="G213" s="231" t="s">
        <v>19502</v>
      </c>
      <c r="H213" s="221" t="s">
        <v>19503</v>
      </c>
      <c r="I213" s="221"/>
      <c r="J213" s="28" t="s">
        <v>19504</v>
      </c>
      <c r="K213" s="137" t="s">
        <v>19505</v>
      </c>
      <c r="L213" s="136" t="s">
        <v>19506</v>
      </c>
      <c r="M213" s="136" t="s">
        <v>13459</v>
      </c>
    </row>
    <row r="214" spans="1:13" ht="14.25" customHeight="1">
      <c r="A214" s="113">
        <v>9</v>
      </c>
      <c r="B214" s="113"/>
      <c r="C214" s="216" t="s">
        <v>19507</v>
      </c>
      <c r="D214" s="118" t="s">
        <v>19508</v>
      </c>
      <c r="E214" s="222" t="s">
        <v>19509</v>
      </c>
      <c r="F214" s="222" t="s">
        <v>117</v>
      </c>
      <c r="G214" s="231" t="s">
        <v>19510</v>
      </c>
      <c r="H214" s="227" t="s">
        <v>19511</v>
      </c>
      <c r="I214" s="227"/>
      <c r="J214" s="118" t="s">
        <v>19512</v>
      </c>
      <c r="K214" s="137" t="s">
        <v>19513</v>
      </c>
      <c r="L214" s="136" t="s">
        <v>19514</v>
      </c>
      <c r="M214" s="136" t="s">
        <v>13468</v>
      </c>
    </row>
    <row r="215" spans="1:13" ht="14.25" customHeight="1">
      <c r="A215" s="113">
        <v>10</v>
      </c>
      <c r="B215" s="113"/>
      <c r="C215" s="216" t="s">
        <v>19515</v>
      </c>
      <c r="D215" s="118" t="s">
        <v>19516</v>
      </c>
      <c r="E215" s="222" t="s">
        <v>19517</v>
      </c>
      <c r="F215" s="222" t="s">
        <v>117</v>
      </c>
      <c r="G215" s="231" t="s">
        <v>19518</v>
      </c>
      <c r="H215" s="227" t="s">
        <v>19519</v>
      </c>
      <c r="I215" s="227"/>
      <c r="J215" s="126" t="s">
        <v>19520</v>
      </c>
      <c r="K215" s="137" t="s">
        <v>19521</v>
      </c>
      <c r="L215" s="136" t="s">
        <v>19522</v>
      </c>
      <c r="M215" s="136" t="s">
        <v>13477</v>
      </c>
    </row>
    <row r="216" spans="1:13" ht="14.25" customHeight="1">
      <c r="A216" s="113">
        <v>11</v>
      </c>
      <c r="B216" s="113"/>
      <c r="C216" s="216" t="s">
        <v>19523</v>
      </c>
      <c r="D216" s="118" t="s">
        <v>19524</v>
      </c>
      <c r="E216" s="222" t="s">
        <v>19525</v>
      </c>
      <c r="F216" s="222" t="s">
        <v>117</v>
      </c>
      <c r="G216" s="231" t="s">
        <v>19526</v>
      </c>
      <c r="H216" s="227" t="s">
        <v>19527</v>
      </c>
      <c r="I216" s="227"/>
      <c r="J216" s="28" t="s">
        <v>19528</v>
      </c>
      <c r="K216" s="137" t="s">
        <v>19529</v>
      </c>
      <c r="L216" s="136" t="s">
        <v>19530</v>
      </c>
      <c r="M216" s="136" t="s">
        <v>13485</v>
      </c>
    </row>
    <row r="217" spans="1:13" ht="14.25" customHeight="1">
      <c r="A217" s="113">
        <v>12</v>
      </c>
      <c r="B217" s="113"/>
      <c r="C217" s="216" t="s">
        <v>19531</v>
      </c>
      <c r="D217" s="118" t="s">
        <v>19532</v>
      </c>
      <c r="E217" s="222" t="s">
        <v>19533</v>
      </c>
      <c r="F217" s="222" t="s">
        <v>117</v>
      </c>
      <c r="G217" s="231" t="s">
        <v>19534</v>
      </c>
      <c r="H217" s="227" t="s">
        <v>19535</v>
      </c>
      <c r="I217" s="227"/>
      <c r="J217" s="28" t="s">
        <v>19536</v>
      </c>
      <c r="K217" s="137" t="s">
        <v>19537</v>
      </c>
      <c r="L217" s="136" t="s">
        <v>19538</v>
      </c>
      <c r="M217" s="136" t="s">
        <v>13494</v>
      </c>
    </row>
    <row r="218" spans="1:13" ht="14.25" customHeight="1">
      <c r="A218" s="113">
        <v>13</v>
      </c>
      <c r="B218" s="113"/>
      <c r="C218" s="216" t="s">
        <v>19539</v>
      </c>
      <c r="D218" s="118" t="s">
        <v>19540</v>
      </c>
      <c r="E218" s="222" t="s">
        <v>19541</v>
      </c>
      <c r="F218" s="222" t="s">
        <v>117</v>
      </c>
      <c r="G218" s="231" t="s">
        <v>19542</v>
      </c>
      <c r="H218" s="227" t="s">
        <v>19543</v>
      </c>
      <c r="I218" s="227"/>
      <c r="J218" s="28" t="s">
        <v>19544</v>
      </c>
      <c r="K218" s="137" t="s">
        <v>19545</v>
      </c>
      <c r="L218" s="136" t="s">
        <v>19546</v>
      </c>
      <c r="M218" s="136" t="s">
        <v>13503</v>
      </c>
    </row>
    <row r="219" spans="1:13" ht="14.25" customHeight="1">
      <c r="A219" s="113">
        <v>14</v>
      </c>
      <c r="B219" s="113"/>
      <c r="C219" s="216" t="s">
        <v>19547</v>
      </c>
      <c r="D219" s="217" t="s">
        <v>19548</v>
      </c>
      <c r="E219" s="222" t="s">
        <v>19549</v>
      </c>
      <c r="F219" s="222" t="s">
        <v>117</v>
      </c>
      <c r="G219" s="231" t="s">
        <v>19550</v>
      </c>
      <c r="H219" s="221" t="s">
        <v>19551</v>
      </c>
      <c r="I219" s="221"/>
      <c r="J219" s="28" t="s">
        <v>19552</v>
      </c>
      <c r="K219" s="137" t="s">
        <v>19553</v>
      </c>
      <c r="L219" s="136" t="s">
        <v>19554</v>
      </c>
      <c r="M219" s="136" t="s">
        <v>13509</v>
      </c>
    </row>
    <row r="220" spans="1:13" ht="14.25" customHeight="1">
      <c r="A220" s="113">
        <v>15</v>
      </c>
      <c r="B220" s="113"/>
      <c r="C220" s="216" t="s">
        <v>19555</v>
      </c>
      <c r="D220" s="217" t="s">
        <v>19556</v>
      </c>
      <c r="E220" s="219" t="s">
        <v>19557</v>
      </c>
      <c r="F220" s="216" t="s">
        <v>65</v>
      </c>
      <c r="G220" s="220" t="s">
        <v>19558</v>
      </c>
      <c r="H220" s="221" t="s">
        <v>19559</v>
      </c>
      <c r="I220" s="221"/>
      <c r="J220" s="28" t="s">
        <v>19560</v>
      </c>
      <c r="K220" s="137" t="s">
        <v>19561</v>
      </c>
      <c r="L220" s="136" t="s">
        <v>19562</v>
      </c>
      <c r="M220" s="136" t="s">
        <v>13518</v>
      </c>
    </row>
    <row r="221" spans="1:13" ht="14.25" customHeight="1">
      <c r="A221" s="113">
        <v>16</v>
      </c>
      <c r="B221" s="113"/>
      <c r="C221" s="216" t="s">
        <v>19563</v>
      </c>
      <c r="D221" s="118" t="s">
        <v>19564</v>
      </c>
      <c r="E221" s="222" t="s">
        <v>19565</v>
      </c>
      <c r="F221" s="222" t="s">
        <v>664</v>
      </c>
      <c r="G221" s="231" t="s">
        <v>19566</v>
      </c>
      <c r="H221" s="227" t="s">
        <v>19567</v>
      </c>
      <c r="I221" s="227"/>
      <c r="J221" s="28" t="s">
        <v>19568</v>
      </c>
      <c r="K221" s="137" t="s">
        <v>19569</v>
      </c>
      <c r="L221" s="136" t="s">
        <v>19570</v>
      </c>
      <c r="M221" s="136" t="s">
        <v>13527</v>
      </c>
    </row>
    <row r="222" spans="1:13" ht="14.25" customHeight="1">
      <c r="A222" s="113">
        <v>17</v>
      </c>
      <c r="B222" s="113"/>
      <c r="C222" s="216" t="s">
        <v>19571</v>
      </c>
      <c r="D222" s="118" t="s">
        <v>19572</v>
      </c>
      <c r="E222" s="222" t="s">
        <v>19573</v>
      </c>
      <c r="F222" s="222" t="s">
        <v>65</v>
      </c>
      <c r="G222" s="231" t="s">
        <v>19574</v>
      </c>
      <c r="H222" s="227" t="s">
        <v>19575</v>
      </c>
      <c r="I222" s="227"/>
      <c r="J222" s="28" t="s">
        <v>19576</v>
      </c>
      <c r="K222" s="137" t="s">
        <v>19577</v>
      </c>
      <c r="L222" s="136" t="s">
        <v>19578</v>
      </c>
      <c r="M222" s="136" t="s">
        <v>13536</v>
      </c>
    </row>
    <row r="223" spans="1:13" ht="14.25" customHeight="1">
      <c r="A223" s="113">
        <v>18</v>
      </c>
      <c r="B223" s="113"/>
      <c r="C223" s="216" t="s">
        <v>19579</v>
      </c>
      <c r="D223" s="118" t="s">
        <v>19580</v>
      </c>
      <c r="E223" s="222" t="s">
        <v>19581</v>
      </c>
      <c r="F223" s="222" t="s">
        <v>65</v>
      </c>
      <c r="G223" s="231" t="s">
        <v>19582</v>
      </c>
      <c r="H223" s="227" t="s">
        <v>19583</v>
      </c>
      <c r="I223" s="227"/>
      <c r="J223" s="28" t="s">
        <v>19584</v>
      </c>
      <c r="K223" s="137" t="s">
        <v>19585</v>
      </c>
      <c r="L223" s="136" t="s">
        <v>19586</v>
      </c>
      <c r="M223" s="136" t="s">
        <v>13545</v>
      </c>
    </row>
    <row r="224" spans="1:13" ht="14.25" customHeight="1">
      <c r="A224" s="113">
        <v>19</v>
      </c>
      <c r="B224" s="113"/>
      <c r="C224" s="216" t="s">
        <v>19587</v>
      </c>
      <c r="D224" s="126" t="s">
        <v>19588</v>
      </c>
      <c r="E224" s="222" t="s">
        <v>19589</v>
      </c>
      <c r="F224" s="222" t="s">
        <v>65</v>
      </c>
      <c r="G224" s="231" t="s">
        <v>19590</v>
      </c>
      <c r="H224" s="224" t="s">
        <v>19591</v>
      </c>
      <c r="I224" s="224"/>
      <c r="J224" s="28" t="s">
        <v>19592</v>
      </c>
      <c r="K224" s="137" t="s">
        <v>19593</v>
      </c>
      <c r="L224" s="136" t="s">
        <v>19594</v>
      </c>
      <c r="M224" s="136" t="s">
        <v>13554</v>
      </c>
    </row>
    <row r="225" spans="1:13" ht="14.25" customHeight="1">
      <c r="A225" s="113">
        <v>20</v>
      </c>
      <c r="B225" s="113"/>
      <c r="C225" s="216" t="s">
        <v>19595</v>
      </c>
      <c r="D225" s="217" t="s">
        <v>19596</v>
      </c>
      <c r="E225" s="222" t="s">
        <v>19597</v>
      </c>
      <c r="F225" s="222" t="s">
        <v>65</v>
      </c>
      <c r="G225" s="231" t="s">
        <v>19598</v>
      </c>
      <c r="H225" s="221" t="s">
        <v>19599</v>
      </c>
      <c r="I225" s="221"/>
      <c r="J225" s="28" t="s">
        <v>19600</v>
      </c>
      <c r="K225" s="137" t="s">
        <v>19601</v>
      </c>
      <c r="L225" s="136" t="s">
        <v>19602</v>
      </c>
      <c r="M225" s="136" t="s">
        <v>13563</v>
      </c>
    </row>
    <row r="226" spans="1:13" ht="14.25" customHeight="1">
      <c r="A226" s="113">
        <v>21</v>
      </c>
      <c r="B226" s="113"/>
      <c r="C226" s="216" t="s">
        <v>19603</v>
      </c>
      <c r="D226" s="118" t="s">
        <v>19604</v>
      </c>
      <c r="E226" s="222" t="s">
        <v>19605</v>
      </c>
      <c r="F226" s="222" t="s">
        <v>65</v>
      </c>
      <c r="G226" s="231" t="s">
        <v>19606</v>
      </c>
      <c r="H226" s="227" t="s">
        <v>19607</v>
      </c>
      <c r="I226" s="227"/>
      <c r="J226" s="28" t="s">
        <v>19608</v>
      </c>
      <c r="K226" s="137" t="s">
        <v>19609</v>
      </c>
      <c r="L226" s="136" t="s">
        <v>19610</v>
      </c>
      <c r="M226" s="136" t="s">
        <v>13572</v>
      </c>
    </row>
    <row r="227" spans="1:13" ht="14.25" customHeight="1">
      <c r="A227" s="113">
        <v>22</v>
      </c>
      <c r="B227" s="113"/>
      <c r="C227" s="216" t="s">
        <v>19611</v>
      </c>
      <c r="D227" s="118" t="s">
        <v>19612</v>
      </c>
      <c r="E227" s="222" t="s">
        <v>19613</v>
      </c>
      <c r="F227" s="222" t="s">
        <v>65</v>
      </c>
      <c r="G227" s="231" t="s">
        <v>19614</v>
      </c>
      <c r="H227" s="227" t="s">
        <v>19615</v>
      </c>
      <c r="I227" s="227"/>
      <c r="J227" s="28" t="s">
        <v>19616</v>
      </c>
      <c r="K227" s="137" t="s">
        <v>19617</v>
      </c>
      <c r="L227" s="136" t="s">
        <v>19618</v>
      </c>
      <c r="M227" s="136" t="s">
        <v>13581</v>
      </c>
    </row>
    <row r="228" spans="1:13" ht="14.25" customHeight="1">
      <c r="A228" s="113">
        <v>23</v>
      </c>
      <c r="B228" s="113"/>
      <c r="C228" s="216" t="s">
        <v>19619</v>
      </c>
      <c r="D228" s="118" t="s">
        <v>19620</v>
      </c>
      <c r="E228" s="222" t="s">
        <v>19621</v>
      </c>
      <c r="F228" s="222" t="s">
        <v>5559</v>
      </c>
      <c r="G228" s="231" t="s">
        <v>19622</v>
      </c>
      <c r="H228" s="227" t="s">
        <v>19623</v>
      </c>
      <c r="I228" s="227"/>
      <c r="J228" s="28" t="s">
        <v>19624</v>
      </c>
      <c r="K228" s="137" t="s">
        <v>19625</v>
      </c>
      <c r="L228" s="136" t="s">
        <v>19626</v>
      </c>
      <c r="M228" s="136" t="s">
        <v>13587</v>
      </c>
    </row>
    <row r="229" spans="1:13" ht="14.25" customHeight="1">
      <c r="A229" s="113">
        <v>24</v>
      </c>
      <c r="B229" s="113"/>
      <c r="C229" s="216" t="s">
        <v>19627</v>
      </c>
      <c r="D229" s="118" t="s">
        <v>19628</v>
      </c>
      <c r="E229" s="219" t="s">
        <v>19629</v>
      </c>
      <c r="F229" s="222" t="s">
        <v>65</v>
      </c>
      <c r="G229" s="220" t="s">
        <v>19630</v>
      </c>
      <c r="H229" s="227" t="s">
        <v>19631</v>
      </c>
      <c r="I229" s="227"/>
      <c r="J229" s="28" t="s">
        <v>19632</v>
      </c>
      <c r="K229" s="137" t="s">
        <v>19633</v>
      </c>
      <c r="L229" s="136" t="s">
        <v>19634</v>
      </c>
      <c r="M229" s="136" t="s">
        <v>13596</v>
      </c>
    </row>
    <row r="230" spans="1:13" ht="14.25" customHeight="1">
      <c r="A230" s="113">
        <v>25</v>
      </c>
      <c r="B230" s="113"/>
      <c r="C230" s="216" t="s">
        <v>19635</v>
      </c>
      <c r="D230" s="118" t="s">
        <v>19636</v>
      </c>
      <c r="E230" s="219" t="s">
        <v>19637</v>
      </c>
      <c r="F230" s="222" t="s">
        <v>65</v>
      </c>
      <c r="G230" s="220" t="s">
        <v>19638</v>
      </c>
      <c r="H230" s="227" t="s">
        <v>19639</v>
      </c>
      <c r="I230" s="227"/>
      <c r="J230" s="28" t="s">
        <v>19640</v>
      </c>
      <c r="K230" s="137" t="s">
        <v>19641</v>
      </c>
      <c r="L230" s="136" t="s">
        <v>19642</v>
      </c>
      <c r="M230" s="136" t="s">
        <v>13605</v>
      </c>
    </row>
    <row r="231" spans="1:13" ht="14.25" customHeight="1">
      <c r="A231" s="113">
        <v>26</v>
      </c>
      <c r="B231" s="113"/>
      <c r="C231" s="216" t="s">
        <v>19643</v>
      </c>
      <c r="D231" s="126" t="s">
        <v>19644</v>
      </c>
      <c r="E231" s="219" t="s">
        <v>1252</v>
      </c>
      <c r="F231" s="222" t="s">
        <v>65</v>
      </c>
      <c r="G231" s="220" t="s">
        <v>19645</v>
      </c>
      <c r="H231" s="224" t="s">
        <v>19646</v>
      </c>
      <c r="I231" s="224"/>
      <c r="J231" s="126" t="s">
        <v>19647</v>
      </c>
      <c r="K231" s="137" t="s">
        <v>19648</v>
      </c>
      <c r="L231" s="136" t="s">
        <v>19649</v>
      </c>
      <c r="M231" s="136" t="s">
        <v>13614</v>
      </c>
    </row>
    <row r="232" spans="1:13" ht="14.25" customHeight="1">
      <c r="A232" s="113">
        <v>27</v>
      </c>
      <c r="B232" s="113"/>
      <c r="C232" s="216" t="s">
        <v>19650</v>
      </c>
      <c r="D232" s="118" t="s">
        <v>19651</v>
      </c>
      <c r="E232" s="222" t="s">
        <v>19652</v>
      </c>
      <c r="F232" s="222" t="s">
        <v>65</v>
      </c>
      <c r="G232" s="231" t="s">
        <v>19653</v>
      </c>
      <c r="H232" s="227" t="s">
        <v>19654</v>
      </c>
      <c r="I232" s="227"/>
      <c r="J232" s="28" t="s">
        <v>19655</v>
      </c>
      <c r="K232" s="137" t="s">
        <v>19656</v>
      </c>
      <c r="L232" s="136" t="s">
        <v>19657</v>
      </c>
      <c r="M232" s="136" t="s">
        <v>13623</v>
      </c>
    </row>
    <row r="233" spans="1:13" ht="14.25" customHeight="1">
      <c r="A233" s="113">
        <v>28</v>
      </c>
      <c r="B233" s="113"/>
      <c r="C233" s="216" t="s">
        <v>19658</v>
      </c>
      <c r="D233" s="118" t="s">
        <v>19659</v>
      </c>
      <c r="E233" s="222" t="s">
        <v>19660</v>
      </c>
      <c r="F233" s="222" t="s">
        <v>117</v>
      </c>
      <c r="G233" s="231" t="s">
        <v>19661</v>
      </c>
      <c r="H233" s="227" t="s">
        <v>19662</v>
      </c>
      <c r="I233" s="227"/>
      <c r="J233" s="28" t="s">
        <v>19663</v>
      </c>
      <c r="K233" s="137" t="s">
        <v>19664</v>
      </c>
      <c r="L233" s="136" t="s">
        <v>19665</v>
      </c>
      <c r="M233" s="136" t="s">
        <v>13632</v>
      </c>
    </row>
    <row r="234" spans="1:13" ht="14.25" customHeight="1">
      <c r="A234" s="113">
        <v>29</v>
      </c>
      <c r="B234" s="113"/>
      <c r="C234" s="216" t="s">
        <v>19666</v>
      </c>
      <c r="D234" s="118" t="s">
        <v>19667</v>
      </c>
      <c r="E234" s="222" t="s">
        <v>19668</v>
      </c>
      <c r="F234" s="222" t="s">
        <v>65</v>
      </c>
      <c r="G234" s="231" t="s">
        <v>19669</v>
      </c>
      <c r="H234" s="227" t="s">
        <v>19670</v>
      </c>
      <c r="I234" s="227"/>
      <c r="J234" s="28" t="s">
        <v>19671</v>
      </c>
      <c r="K234" s="137" t="s">
        <v>19672</v>
      </c>
      <c r="L234" s="136" t="s">
        <v>19673</v>
      </c>
      <c r="M234" s="136" t="s">
        <v>13641</v>
      </c>
    </row>
    <row r="235" spans="1:13" ht="14.25" customHeight="1">
      <c r="A235" s="113">
        <v>30</v>
      </c>
      <c r="B235" s="113"/>
      <c r="C235" s="216" t="s">
        <v>19674</v>
      </c>
      <c r="D235" s="118" t="s">
        <v>19675</v>
      </c>
      <c r="E235" s="222" t="s">
        <v>19676</v>
      </c>
      <c r="F235" s="222" t="s">
        <v>219</v>
      </c>
      <c r="G235" s="231" t="s">
        <v>19677</v>
      </c>
      <c r="H235" s="227" t="s">
        <v>19678</v>
      </c>
      <c r="I235" s="227"/>
      <c r="J235" s="28" t="s">
        <v>19679</v>
      </c>
      <c r="K235" s="137" t="s">
        <v>19680</v>
      </c>
      <c r="L235" s="136" t="s">
        <v>19681</v>
      </c>
      <c r="M235" s="136" t="s">
        <v>13650</v>
      </c>
    </row>
    <row r="236" spans="1:13" ht="14.25" customHeight="1">
      <c r="A236" s="113">
        <v>31</v>
      </c>
      <c r="B236" s="113"/>
      <c r="C236" s="216" t="s">
        <v>19682</v>
      </c>
      <c r="D236" s="118" t="s">
        <v>19683</v>
      </c>
      <c r="E236" s="222" t="s">
        <v>19684</v>
      </c>
      <c r="F236" s="222" t="s">
        <v>117</v>
      </c>
      <c r="G236" s="231" t="s">
        <v>19685</v>
      </c>
      <c r="H236" s="227" t="s">
        <v>19686</v>
      </c>
      <c r="I236" s="227"/>
      <c r="J236" s="118" t="s">
        <v>19687</v>
      </c>
      <c r="K236" s="137" t="s">
        <v>19688</v>
      </c>
      <c r="L236" s="136" t="s">
        <v>19689</v>
      </c>
      <c r="M236" s="136" t="s">
        <v>13659</v>
      </c>
    </row>
    <row r="237" spans="1:13" ht="14.25" customHeight="1">
      <c r="A237" s="113">
        <v>32</v>
      </c>
      <c r="B237" s="113"/>
      <c r="C237" s="222" t="s">
        <v>19690</v>
      </c>
      <c r="D237" s="118" t="s">
        <v>19691</v>
      </c>
      <c r="E237" s="222" t="s">
        <v>19692</v>
      </c>
      <c r="F237" s="222" t="s">
        <v>117</v>
      </c>
      <c r="G237" s="231" t="s">
        <v>19693</v>
      </c>
      <c r="H237" s="227" t="s">
        <v>19694</v>
      </c>
      <c r="I237" s="227"/>
      <c r="J237" s="28" t="s">
        <v>19695</v>
      </c>
      <c r="K237" s="137" t="s">
        <v>19696</v>
      </c>
      <c r="L237" s="136" t="s">
        <v>19697</v>
      </c>
      <c r="M237" s="136" t="s">
        <v>13665</v>
      </c>
    </row>
    <row r="238" spans="1:13" ht="14.25" customHeight="1">
      <c r="A238" s="113">
        <v>33</v>
      </c>
      <c r="B238" s="113"/>
      <c r="C238" s="256" t="s">
        <v>19698</v>
      </c>
      <c r="D238" s="217" t="s">
        <v>19699</v>
      </c>
      <c r="E238" s="222" t="s">
        <v>19700</v>
      </c>
      <c r="F238" s="222" t="s">
        <v>19701</v>
      </c>
      <c r="G238" s="231" t="s">
        <v>19702</v>
      </c>
      <c r="H238" s="221" t="s">
        <v>19703</v>
      </c>
      <c r="I238" s="221"/>
      <c r="J238" s="28" t="s">
        <v>19704</v>
      </c>
      <c r="K238" s="137" t="s">
        <v>19705</v>
      </c>
      <c r="L238" s="136" t="s">
        <v>19706</v>
      </c>
      <c r="M238" s="136" t="s">
        <v>13674</v>
      </c>
    </row>
    <row r="239" spans="1:13" ht="14.25" customHeight="1">
      <c r="A239" s="113">
        <v>34</v>
      </c>
      <c r="B239" s="113"/>
      <c r="C239" s="256" t="s">
        <v>19707</v>
      </c>
      <c r="D239" s="118" t="s">
        <v>19708</v>
      </c>
      <c r="E239" s="222" t="s">
        <v>19709</v>
      </c>
      <c r="F239" s="222" t="s">
        <v>219</v>
      </c>
      <c r="G239" s="231" t="s">
        <v>19710</v>
      </c>
      <c r="H239" s="227" t="s">
        <v>19711</v>
      </c>
      <c r="I239" s="227"/>
      <c r="J239" s="28" t="s">
        <v>19712</v>
      </c>
      <c r="K239" s="137" t="s">
        <v>19713</v>
      </c>
      <c r="L239" s="136" t="s">
        <v>19714</v>
      </c>
      <c r="M239" s="136" t="s">
        <v>13683</v>
      </c>
    </row>
    <row r="240" spans="1:13" ht="14.25" customHeight="1">
      <c r="A240" s="113">
        <v>35</v>
      </c>
      <c r="B240" s="113"/>
      <c r="C240" s="222" t="s">
        <v>19715</v>
      </c>
      <c r="D240" s="118" t="s">
        <v>19716</v>
      </c>
      <c r="E240" s="222" t="s">
        <v>19717</v>
      </c>
      <c r="F240" s="222" t="s">
        <v>5559</v>
      </c>
      <c r="G240" s="231" t="s">
        <v>19718</v>
      </c>
      <c r="H240" s="227" t="s">
        <v>19719</v>
      </c>
      <c r="I240" s="227"/>
      <c r="J240" s="28" t="s">
        <v>19720</v>
      </c>
      <c r="K240" s="137" t="s">
        <v>19721</v>
      </c>
      <c r="L240" s="136" t="s">
        <v>19722</v>
      </c>
      <c r="M240" s="136" t="s">
        <v>13692</v>
      </c>
    </row>
    <row r="241" spans="1:13" ht="14.25" customHeight="1">
      <c r="A241" s="136">
        <v>36</v>
      </c>
      <c r="B241" s="136"/>
      <c r="C241" s="222" t="s">
        <v>19723</v>
      </c>
      <c r="D241" s="118" t="s">
        <v>19724</v>
      </c>
      <c r="E241" s="222" t="s">
        <v>19725</v>
      </c>
      <c r="F241" s="222" t="s">
        <v>117</v>
      </c>
      <c r="G241" s="231" t="s">
        <v>19726</v>
      </c>
      <c r="H241" s="227" t="s">
        <v>19727</v>
      </c>
      <c r="I241" s="227"/>
      <c r="J241" s="193" t="s">
        <v>19728</v>
      </c>
      <c r="K241" s="118" t="s">
        <v>19729</v>
      </c>
      <c r="L241" s="136" t="s">
        <v>19730</v>
      </c>
      <c r="M241" s="136" t="s">
        <v>13701</v>
      </c>
    </row>
    <row r="242" spans="1:13" ht="14.25" customHeight="1">
      <c r="A242" s="113">
        <v>37</v>
      </c>
      <c r="B242" s="113"/>
      <c r="C242" s="222" t="s">
        <v>19731</v>
      </c>
      <c r="D242" s="118" t="s">
        <v>19732</v>
      </c>
      <c r="E242" s="222" t="s">
        <v>1501</v>
      </c>
      <c r="F242" s="222" t="s">
        <v>117</v>
      </c>
      <c r="G242" s="231" t="s">
        <v>19733</v>
      </c>
      <c r="H242" s="227" t="s">
        <v>19734</v>
      </c>
      <c r="I242" s="227"/>
      <c r="J242" s="28" t="s">
        <v>19735</v>
      </c>
      <c r="K242" s="137" t="s">
        <v>19736</v>
      </c>
      <c r="L242" s="136" t="s">
        <v>19737</v>
      </c>
      <c r="M242" s="136" t="s">
        <v>19738</v>
      </c>
    </row>
    <row r="243" spans="1:13" ht="14.25" customHeight="1">
      <c r="A243" s="113">
        <v>38</v>
      </c>
      <c r="B243" s="113"/>
      <c r="C243" s="222" t="s">
        <v>19739</v>
      </c>
      <c r="D243" s="118" t="s">
        <v>19740</v>
      </c>
      <c r="E243" s="222" t="s">
        <v>19741</v>
      </c>
      <c r="F243" s="222" t="s">
        <v>117</v>
      </c>
      <c r="G243" s="231" t="s">
        <v>19742</v>
      </c>
      <c r="H243" s="227" t="s">
        <v>19743</v>
      </c>
      <c r="I243" s="227"/>
      <c r="J243" s="28" t="s">
        <v>19744</v>
      </c>
      <c r="K243" s="137" t="s">
        <v>19745</v>
      </c>
      <c r="L243" s="136" t="s">
        <v>19746</v>
      </c>
      <c r="M243" s="136" t="s">
        <v>19747</v>
      </c>
    </row>
    <row r="244" spans="1:13" ht="14.25" customHeight="1">
      <c r="A244" s="113">
        <v>39</v>
      </c>
      <c r="B244" s="113"/>
      <c r="C244" s="222" t="s">
        <v>19748</v>
      </c>
      <c r="D244" s="118" t="s">
        <v>19749</v>
      </c>
      <c r="E244" s="222" t="s">
        <v>19750</v>
      </c>
      <c r="F244" s="222" t="s">
        <v>117</v>
      </c>
      <c r="G244" s="231" t="s">
        <v>19751</v>
      </c>
      <c r="H244" s="227" t="s">
        <v>19752</v>
      </c>
      <c r="I244" s="227"/>
      <c r="J244" s="28" t="s">
        <v>19753</v>
      </c>
      <c r="K244" s="137" t="s">
        <v>19754</v>
      </c>
      <c r="L244" s="113" t="s">
        <v>19755</v>
      </c>
      <c r="M244" s="136" t="s">
        <v>19756</v>
      </c>
    </row>
    <row r="245" spans="1:13" ht="14.25" customHeight="1">
      <c r="A245" s="113">
        <v>40</v>
      </c>
      <c r="B245" s="113"/>
      <c r="C245" s="222" t="s">
        <v>19757</v>
      </c>
      <c r="D245" s="217" t="s">
        <v>19758</v>
      </c>
      <c r="E245" s="222" t="s">
        <v>19759</v>
      </c>
      <c r="F245" s="222" t="s">
        <v>65</v>
      </c>
      <c r="G245" s="231" t="s">
        <v>19760</v>
      </c>
      <c r="H245" s="221" t="s">
        <v>19761</v>
      </c>
      <c r="I245" s="221"/>
      <c r="J245" s="28" t="s">
        <v>19762</v>
      </c>
      <c r="K245" s="137" t="s">
        <v>19763</v>
      </c>
      <c r="L245" s="113" t="s">
        <v>19764</v>
      </c>
      <c r="M245" s="136" t="s">
        <v>19765</v>
      </c>
    </row>
    <row r="246" spans="1:13" ht="14.25" customHeight="1">
      <c r="A246" s="113">
        <v>41</v>
      </c>
      <c r="B246" s="113"/>
      <c r="C246" s="222" t="s">
        <v>19766</v>
      </c>
      <c r="D246" s="118" t="s">
        <v>19767</v>
      </c>
      <c r="E246" s="222" t="s">
        <v>19768</v>
      </c>
      <c r="F246" s="222" t="s">
        <v>5559</v>
      </c>
      <c r="G246" s="231" t="s">
        <v>19769</v>
      </c>
      <c r="H246" s="227" t="s">
        <v>19770</v>
      </c>
      <c r="I246" s="227"/>
      <c r="J246" s="28" t="s">
        <v>19771</v>
      </c>
      <c r="K246" s="137" t="s">
        <v>19772</v>
      </c>
      <c r="L246" s="113" t="s">
        <v>19773</v>
      </c>
      <c r="M246" s="136" t="s">
        <v>19774</v>
      </c>
    </row>
    <row r="247" spans="1:13" ht="14.25" customHeight="1">
      <c r="A247" s="210">
        <v>1</v>
      </c>
      <c r="B247" s="210"/>
      <c r="C247" s="211" t="s">
        <v>19775</v>
      </c>
      <c r="D247" s="215" t="s">
        <v>19776</v>
      </c>
      <c r="E247" s="211" t="s">
        <v>19777</v>
      </c>
      <c r="F247" s="265"/>
      <c r="G247" s="213" t="s">
        <v>19778</v>
      </c>
      <c r="H247" s="214" t="s">
        <v>19779</v>
      </c>
      <c r="I247" s="214"/>
      <c r="J247" s="263" t="s">
        <v>19780</v>
      </c>
      <c r="K247" s="215" t="s">
        <v>19781</v>
      </c>
      <c r="L247" s="210" t="s">
        <v>13709</v>
      </c>
      <c r="M247" s="247" t="s">
        <v>13710</v>
      </c>
    </row>
    <row r="248" spans="1:13" ht="14.25" customHeight="1">
      <c r="A248" s="113">
        <v>2</v>
      </c>
      <c r="B248" s="113"/>
      <c r="C248" s="216" t="s">
        <v>19782</v>
      </c>
      <c r="D248" s="217" t="s">
        <v>19783</v>
      </c>
      <c r="E248" s="216" t="s">
        <v>3883</v>
      </c>
      <c r="F248" s="216" t="s">
        <v>19784</v>
      </c>
      <c r="G248" s="220" t="s">
        <v>19785</v>
      </c>
      <c r="H248" s="221" t="s">
        <v>19786</v>
      </c>
      <c r="I248" s="221"/>
      <c r="J248" s="28" t="s">
        <v>19787</v>
      </c>
      <c r="K248" s="137" t="s">
        <v>19788</v>
      </c>
      <c r="L248" s="136" t="s">
        <v>13718</v>
      </c>
      <c r="M248" s="136" t="s">
        <v>13719</v>
      </c>
    </row>
    <row r="249" spans="1:13" ht="14.25" customHeight="1">
      <c r="A249" s="113">
        <v>3</v>
      </c>
      <c r="B249" s="113"/>
      <c r="C249" s="216" t="s">
        <v>19789</v>
      </c>
      <c r="D249" s="217" t="s">
        <v>19790</v>
      </c>
      <c r="E249" s="216" t="s">
        <v>19791</v>
      </c>
      <c r="F249" s="216" t="s">
        <v>219</v>
      </c>
      <c r="G249" s="220" t="s">
        <v>19792</v>
      </c>
      <c r="H249" s="221" t="s">
        <v>19793</v>
      </c>
      <c r="I249" s="221"/>
      <c r="J249" s="118" t="s">
        <v>19794</v>
      </c>
      <c r="K249" s="137" t="s">
        <v>19795</v>
      </c>
      <c r="L249" s="136" t="s">
        <v>13727</v>
      </c>
      <c r="M249" s="136" t="s">
        <v>13728</v>
      </c>
    </row>
    <row r="250" spans="1:13" ht="14.25" customHeight="1">
      <c r="A250" s="113">
        <v>4</v>
      </c>
      <c r="B250" s="113"/>
      <c r="C250" s="216" t="s">
        <v>19796</v>
      </c>
      <c r="D250" s="217" t="s">
        <v>19797</v>
      </c>
      <c r="E250" s="216" t="s">
        <v>19798</v>
      </c>
      <c r="F250" s="216" t="s">
        <v>117</v>
      </c>
      <c r="G250" s="220" t="s">
        <v>19799</v>
      </c>
      <c r="H250" s="221" t="s">
        <v>19800</v>
      </c>
      <c r="I250" s="221"/>
      <c r="J250" s="126" t="s">
        <v>19801</v>
      </c>
      <c r="K250" s="137" t="s">
        <v>19802</v>
      </c>
      <c r="L250" s="136" t="s">
        <v>13736</v>
      </c>
      <c r="M250" s="136" t="s">
        <v>13737</v>
      </c>
    </row>
    <row r="251" spans="1:13" ht="14.25" customHeight="1">
      <c r="A251" s="113">
        <v>5</v>
      </c>
      <c r="B251" s="113"/>
      <c r="C251" s="216" t="s">
        <v>19803</v>
      </c>
      <c r="D251" s="217" t="s">
        <v>19804</v>
      </c>
      <c r="E251" s="216" t="s">
        <v>19805</v>
      </c>
      <c r="F251" s="216" t="s">
        <v>5559</v>
      </c>
      <c r="G251" s="220" t="s">
        <v>19806</v>
      </c>
      <c r="H251" s="221" t="s">
        <v>19807</v>
      </c>
      <c r="I251" s="221"/>
      <c r="J251" s="28" t="s">
        <v>19808</v>
      </c>
      <c r="K251" s="13" t="s">
        <v>19809</v>
      </c>
      <c r="L251" s="136" t="s">
        <v>13745</v>
      </c>
      <c r="M251" s="136" t="s">
        <v>13746</v>
      </c>
    </row>
    <row r="252" spans="1:13" ht="14.25" customHeight="1">
      <c r="A252" s="113">
        <v>6</v>
      </c>
      <c r="B252" s="113"/>
      <c r="C252" s="216" t="s">
        <v>19810</v>
      </c>
      <c r="D252" s="217" t="s">
        <v>19811</v>
      </c>
      <c r="E252" s="216" t="s">
        <v>19812</v>
      </c>
      <c r="F252" s="216" t="s">
        <v>5559</v>
      </c>
      <c r="G252" s="220" t="s">
        <v>19813</v>
      </c>
      <c r="H252" s="221" t="s">
        <v>19814</v>
      </c>
      <c r="I252" s="221"/>
      <c r="J252" s="28" t="s">
        <v>19815</v>
      </c>
      <c r="K252" s="137" t="s">
        <v>19816</v>
      </c>
      <c r="L252" s="136" t="s">
        <v>13754</v>
      </c>
      <c r="M252" s="136" t="s">
        <v>13755</v>
      </c>
    </row>
    <row r="253" spans="1:13" ht="14.25" customHeight="1">
      <c r="A253" s="113">
        <v>7</v>
      </c>
      <c r="B253" s="113"/>
      <c r="C253" s="216" t="s">
        <v>19817</v>
      </c>
      <c r="D253" s="217" t="s">
        <v>19818</v>
      </c>
      <c r="E253" s="216" t="s">
        <v>19819</v>
      </c>
      <c r="F253" s="216" t="s">
        <v>117</v>
      </c>
      <c r="G253" s="220" t="s">
        <v>19820</v>
      </c>
      <c r="H253" s="221" t="s">
        <v>19821</v>
      </c>
      <c r="I253" s="221"/>
      <c r="J253" s="28" t="s">
        <v>19822</v>
      </c>
      <c r="K253" s="137" t="s">
        <v>19823</v>
      </c>
      <c r="L253" s="136" t="s">
        <v>13763</v>
      </c>
      <c r="M253" s="136" t="s">
        <v>13764</v>
      </c>
    </row>
    <row r="254" spans="1:13" ht="14.25" customHeight="1">
      <c r="A254" s="113">
        <v>8</v>
      </c>
      <c r="B254" s="113"/>
      <c r="C254" s="264" t="s">
        <v>19824</v>
      </c>
      <c r="D254" s="217" t="s">
        <v>19825</v>
      </c>
      <c r="E254" s="216" t="s">
        <v>19826</v>
      </c>
      <c r="F254" s="216" t="s">
        <v>19827</v>
      </c>
      <c r="G254" s="220" t="s">
        <v>19828</v>
      </c>
      <c r="H254" s="221" t="s">
        <v>19829</v>
      </c>
      <c r="I254" s="221"/>
      <c r="J254" s="126" t="s">
        <v>19830</v>
      </c>
      <c r="K254" s="137" t="s">
        <v>19831</v>
      </c>
      <c r="L254" s="136" t="s">
        <v>13772</v>
      </c>
      <c r="M254" s="136" t="s">
        <v>13773</v>
      </c>
    </row>
    <row r="255" spans="1:13" ht="14.25" customHeight="1">
      <c r="A255" s="113">
        <v>9</v>
      </c>
      <c r="B255" s="113"/>
      <c r="C255" s="216" t="s">
        <v>19832</v>
      </c>
      <c r="D255" s="217" t="s">
        <v>19833</v>
      </c>
      <c r="E255" s="216" t="s">
        <v>19834</v>
      </c>
      <c r="F255" s="216" t="s">
        <v>5559</v>
      </c>
      <c r="G255" s="220" t="s">
        <v>19835</v>
      </c>
      <c r="H255" s="221" t="s">
        <v>19836</v>
      </c>
      <c r="I255" s="221"/>
      <c r="J255" s="126" t="s">
        <v>19837</v>
      </c>
      <c r="K255" s="137" t="s">
        <v>19838</v>
      </c>
      <c r="L255" s="136" t="s">
        <v>13781</v>
      </c>
      <c r="M255" s="136" t="s">
        <v>13782</v>
      </c>
    </row>
    <row r="256" spans="1:13" ht="14.25" customHeight="1">
      <c r="A256" s="113">
        <v>10</v>
      </c>
      <c r="B256" s="113"/>
      <c r="C256" s="216" t="s">
        <v>19839</v>
      </c>
      <c r="D256" s="126" t="s">
        <v>19840</v>
      </c>
      <c r="E256" s="216" t="s">
        <v>19841</v>
      </c>
      <c r="F256" s="216" t="s">
        <v>5791</v>
      </c>
      <c r="G256" s="220" t="s">
        <v>19842</v>
      </c>
      <c r="H256" s="224" t="s">
        <v>19843</v>
      </c>
      <c r="I256" s="224"/>
      <c r="J256" s="126" t="s">
        <v>19844</v>
      </c>
      <c r="K256" s="137" t="s">
        <v>19845</v>
      </c>
      <c r="L256" s="136" t="s">
        <v>13790</v>
      </c>
      <c r="M256" s="136" t="s">
        <v>13791</v>
      </c>
    </row>
    <row r="257" spans="1:13" ht="14.25" customHeight="1">
      <c r="A257" s="113">
        <v>11</v>
      </c>
      <c r="B257" s="113"/>
      <c r="C257" s="216" t="s">
        <v>19846</v>
      </c>
      <c r="D257" s="217" t="s">
        <v>19847</v>
      </c>
      <c r="E257" s="216" t="s">
        <v>19848</v>
      </c>
      <c r="F257" s="216" t="s">
        <v>65</v>
      </c>
      <c r="G257" s="220" t="s">
        <v>19849</v>
      </c>
      <c r="H257" s="221" t="s">
        <v>19850</v>
      </c>
      <c r="I257" s="221"/>
      <c r="J257" s="126" t="s">
        <v>19851</v>
      </c>
      <c r="K257" s="137" t="s">
        <v>19852</v>
      </c>
      <c r="L257" s="136" t="s">
        <v>13799</v>
      </c>
      <c r="M257" s="136" t="s">
        <v>13800</v>
      </c>
    </row>
    <row r="258" spans="1:13" ht="14.25" customHeight="1">
      <c r="A258" s="113">
        <v>12</v>
      </c>
      <c r="B258" s="113"/>
      <c r="C258" s="216" t="s">
        <v>19853</v>
      </c>
      <c r="D258" s="217" t="s">
        <v>19854</v>
      </c>
      <c r="E258" s="216" t="s">
        <v>19855</v>
      </c>
      <c r="F258" s="216" t="s">
        <v>65</v>
      </c>
      <c r="G258" s="220" t="s">
        <v>19856</v>
      </c>
      <c r="H258" s="221" t="s">
        <v>19857</v>
      </c>
      <c r="I258" s="221"/>
      <c r="J258" s="28" t="s">
        <v>19858</v>
      </c>
      <c r="K258" s="137" t="s">
        <v>19859</v>
      </c>
      <c r="L258" s="136" t="s">
        <v>13808</v>
      </c>
      <c r="M258" s="136" t="s">
        <v>13809</v>
      </c>
    </row>
    <row r="259" spans="1:13" ht="14.25" customHeight="1">
      <c r="A259" s="113">
        <v>13</v>
      </c>
      <c r="B259" s="113"/>
      <c r="C259" s="216" t="s">
        <v>19860</v>
      </c>
      <c r="D259" s="217" t="s">
        <v>19861</v>
      </c>
      <c r="E259" s="216" t="s">
        <v>19862</v>
      </c>
      <c r="F259" s="216" t="s">
        <v>65</v>
      </c>
      <c r="G259" s="220" t="s">
        <v>19863</v>
      </c>
      <c r="H259" s="221" t="s">
        <v>19864</v>
      </c>
      <c r="I259" s="221"/>
      <c r="J259" s="28" t="s">
        <v>19865</v>
      </c>
      <c r="K259" s="137" t="s">
        <v>19866</v>
      </c>
      <c r="L259" s="136" t="s">
        <v>13817</v>
      </c>
      <c r="M259" s="136" t="s">
        <v>13818</v>
      </c>
    </row>
    <row r="260" spans="1:13" ht="14.25" customHeight="1">
      <c r="A260" s="113">
        <v>14</v>
      </c>
      <c r="B260" s="113"/>
      <c r="C260" s="216" t="s">
        <v>19867</v>
      </c>
      <c r="D260" s="217" t="s">
        <v>19868</v>
      </c>
      <c r="E260" s="216" t="s">
        <v>19869</v>
      </c>
      <c r="F260" s="216"/>
      <c r="G260" s="220" t="s">
        <v>19870</v>
      </c>
      <c r="H260" s="221" t="s">
        <v>19871</v>
      </c>
      <c r="I260" s="221"/>
      <c r="J260" s="28" t="s">
        <v>19872</v>
      </c>
      <c r="K260" s="137" t="s">
        <v>19873</v>
      </c>
      <c r="L260" s="136" t="s">
        <v>13826</v>
      </c>
      <c r="M260" s="136" t="s">
        <v>13827</v>
      </c>
    </row>
    <row r="261" spans="1:13" ht="14.25" customHeight="1">
      <c r="A261" s="113">
        <v>15</v>
      </c>
      <c r="B261" s="113"/>
      <c r="C261" s="216" t="s">
        <v>19874</v>
      </c>
      <c r="D261" s="118" t="s">
        <v>19875</v>
      </c>
      <c r="E261" s="216" t="s">
        <v>19876</v>
      </c>
      <c r="F261" s="216" t="s">
        <v>19877</v>
      </c>
      <c r="G261" s="220" t="s">
        <v>19878</v>
      </c>
      <c r="H261" s="227" t="s">
        <v>19879</v>
      </c>
      <c r="I261" s="227"/>
      <c r="J261" s="118" t="s">
        <v>19880</v>
      </c>
      <c r="K261" s="137" t="s">
        <v>19881</v>
      </c>
      <c r="L261" s="136" t="s">
        <v>10689</v>
      </c>
      <c r="M261" s="136" t="s">
        <v>10690</v>
      </c>
    </row>
    <row r="262" spans="1:13" ht="14.25" customHeight="1">
      <c r="A262" s="113">
        <v>16</v>
      </c>
      <c r="B262" s="113"/>
      <c r="C262" s="216" t="s">
        <v>19882</v>
      </c>
      <c r="D262" s="217" t="s">
        <v>19883</v>
      </c>
      <c r="E262" s="216" t="s">
        <v>2967</v>
      </c>
      <c r="F262" s="216" t="s">
        <v>19884</v>
      </c>
      <c r="G262" s="220" t="s">
        <v>19885</v>
      </c>
      <c r="H262" s="221" t="s">
        <v>19886</v>
      </c>
      <c r="I262" s="221"/>
      <c r="J262" s="28" t="s">
        <v>19887</v>
      </c>
      <c r="K262" s="137" t="s">
        <v>19888</v>
      </c>
      <c r="L262" s="136" t="s">
        <v>13836</v>
      </c>
      <c r="M262" s="136" t="s">
        <v>13837</v>
      </c>
    </row>
    <row r="263" spans="1:13" ht="14.25" customHeight="1">
      <c r="A263" s="113">
        <v>17</v>
      </c>
      <c r="B263" s="113"/>
      <c r="C263" s="216" t="s">
        <v>19889</v>
      </c>
      <c r="D263" s="217" t="s">
        <v>19890</v>
      </c>
      <c r="E263" s="216" t="s">
        <v>10595</v>
      </c>
      <c r="F263" s="216" t="s">
        <v>117</v>
      </c>
      <c r="G263" s="220" t="s">
        <v>19891</v>
      </c>
      <c r="H263" s="221" t="s">
        <v>19892</v>
      </c>
      <c r="I263" s="221"/>
      <c r="J263" s="28" t="s">
        <v>19893</v>
      </c>
      <c r="K263" s="137" t="s">
        <v>19894</v>
      </c>
      <c r="L263" s="136" t="s">
        <v>13845</v>
      </c>
      <c r="M263" s="136" t="s">
        <v>13846</v>
      </c>
    </row>
    <row r="264" spans="1:13" ht="14.25" customHeight="1">
      <c r="A264" s="113">
        <v>18</v>
      </c>
      <c r="B264" s="113"/>
      <c r="C264" s="264" t="s">
        <v>19895</v>
      </c>
      <c r="D264" s="217" t="s">
        <v>19896</v>
      </c>
      <c r="E264" s="216" t="s">
        <v>7871</v>
      </c>
      <c r="F264" s="216" t="s">
        <v>219</v>
      </c>
      <c r="G264" s="220" t="s">
        <v>19897</v>
      </c>
      <c r="H264" s="221" t="s">
        <v>19898</v>
      </c>
      <c r="I264" s="221"/>
      <c r="J264" s="126" t="s">
        <v>19899</v>
      </c>
      <c r="K264" s="137" t="s">
        <v>19900</v>
      </c>
      <c r="L264" s="136" t="s">
        <v>13853</v>
      </c>
      <c r="M264" s="136" t="s">
        <v>13854</v>
      </c>
    </row>
    <row r="265" spans="1:13" ht="14.25" customHeight="1">
      <c r="A265" s="113">
        <v>19</v>
      </c>
      <c r="B265" s="113"/>
      <c r="C265" s="216" t="s">
        <v>19901</v>
      </c>
      <c r="D265" s="217" t="s">
        <v>19902</v>
      </c>
      <c r="E265" s="216" t="s">
        <v>19903</v>
      </c>
      <c r="F265" s="216" t="s">
        <v>117</v>
      </c>
      <c r="G265" s="220" t="s">
        <v>19904</v>
      </c>
      <c r="H265" s="221" t="s">
        <v>19905</v>
      </c>
      <c r="I265" s="221"/>
      <c r="J265" s="28" t="s">
        <v>19906</v>
      </c>
      <c r="K265" s="137" t="s">
        <v>19907</v>
      </c>
      <c r="L265" s="136" t="s">
        <v>13861</v>
      </c>
      <c r="M265" s="136" t="s">
        <v>13862</v>
      </c>
    </row>
    <row r="266" spans="1:13" ht="14.25" customHeight="1">
      <c r="A266" s="113">
        <v>20</v>
      </c>
      <c r="B266" s="113"/>
      <c r="C266" s="216" t="s">
        <v>19908</v>
      </c>
      <c r="D266" s="217" t="s">
        <v>19909</v>
      </c>
      <c r="E266" s="216" t="s">
        <v>19910</v>
      </c>
      <c r="F266" s="216" t="s">
        <v>117</v>
      </c>
      <c r="G266" s="220" t="s">
        <v>19911</v>
      </c>
      <c r="H266" s="221" t="s">
        <v>19912</v>
      </c>
      <c r="I266" s="221"/>
      <c r="J266" s="28" t="s">
        <v>19913</v>
      </c>
      <c r="K266" s="137" t="s">
        <v>19914</v>
      </c>
      <c r="L266" s="136" t="s">
        <v>13870</v>
      </c>
      <c r="M266" s="136" t="s">
        <v>13871</v>
      </c>
    </row>
    <row r="267" spans="1:13" ht="14.25" customHeight="1">
      <c r="A267" s="113">
        <v>21</v>
      </c>
      <c r="B267" s="113"/>
      <c r="C267" s="216" t="s">
        <v>19915</v>
      </c>
      <c r="D267" s="217" t="s">
        <v>19916</v>
      </c>
      <c r="E267" s="216" t="s">
        <v>19328</v>
      </c>
      <c r="F267" s="216" t="s">
        <v>460</v>
      </c>
      <c r="G267" s="220" t="s">
        <v>19917</v>
      </c>
      <c r="H267" s="221" t="s">
        <v>19918</v>
      </c>
      <c r="I267" s="221"/>
      <c r="J267" s="28" t="s">
        <v>19919</v>
      </c>
      <c r="K267" s="137" t="s">
        <v>19920</v>
      </c>
      <c r="L267" s="136" t="s">
        <v>13879</v>
      </c>
      <c r="M267" s="136" t="s">
        <v>13880</v>
      </c>
    </row>
    <row r="268" spans="1:13" ht="14.25" customHeight="1">
      <c r="A268" s="113">
        <v>22</v>
      </c>
      <c r="B268" s="113"/>
      <c r="C268" s="216" t="s">
        <v>19921</v>
      </c>
      <c r="D268" s="217" t="s">
        <v>19922</v>
      </c>
      <c r="E268" s="216" t="s">
        <v>19923</v>
      </c>
      <c r="F268" s="216" t="s">
        <v>117</v>
      </c>
      <c r="G268" s="220" t="s">
        <v>19924</v>
      </c>
      <c r="H268" s="221" t="s">
        <v>19925</v>
      </c>
      <c r="I268" s="221"/>
      <c r="J268" s="28" t="s">
        <v>19926</v>
      </c>
      <c r="K268" s="137" t="s">
        <v>19927</v>
      </c>
      <c r="L268" s="136" t="s">
        <v>13888</v>
      </c>
      <c r="M268" s="136" t="s">
        <v>13889</v>
      </c>
    </row>
    <row r="269" spans="1:13" ht="14.25" customHeight="1">
      <c r="A269" s="113">
        <v>23</v>
      </c>
      <c r="B269" s="113"/>
      <c r="C269" s="216" t="s">
        <v>19928</v>
      </c>
      <c r="D269" s="217" t="s">
        <v>19929</v>
      </c>
      <c r="E269" s="216" t="s">
        <v>19930</v>
      </c>
      <c r="F269" s="216" t="s">
        <v>117</v>
      </c>
      <c r="G269" s="220" t="s">
        <v>19931</v>
      </c>
      <c r="H269" s="221" t="s">
        <v>19932</v>
      </c>
      <c r="I269" s="221"/>
      <c r="J269" s="28" t="s">
        <v>19933</v>
      </c>
      <c r="K269" s="137" t="s">
        <v>19934</v>
      </c>
      <c r="L269" s="136" t="s">
        <v>13897</v>
      </c>
      <c r="M269" s="136" t="s">
        <v>13898</v>
      </c>
    </row>
    <row r="270" spans="1:13" ht="14.25" customHeight="1">
      <c r="A270" s="113">
        <v>24</v>
      </c>
      <c r="B270" s="113"/>
      <c r="C270" s="216" t="s">
        <v>19935</v>
      </c>
      <c r="D270" s="217" t="s">
        <v>19936</v>
      </c>
      <c r="E270" s="216" t="s">
        <v>19937</v>
      </c>
      <c r="F270" s="216" t="s">
        <v>117</v>
      </c>
      <c r="G270" s="220" t="s">
        <v>19938</v>
      </c>
      <c r="H270" s="221" t="s">
        <v>19939</v>
      </c>
      <c r="I270" s="221"/>
      <c r="J270" s="28" t="s">
        <v>19940</v>
      </c>
      <c r="K270" s="137" t="s">
        <v>19941</v>
      </c>
      <c r="L270" s="136" t="s">
        <v>13906</v>
      </c>
      <c r="M270" s="136" t="s">
        <v>13907</v>
      </c>
    </row>
    <row r="271" spans="1:13" ht="14.25" customHeight="1">
      <c r="A271" s="113">
        <v>25</v>
      </c>
      <c r="B271" s="113"/>
      <c r="C271" s="222" t="s">
        <v>19942</v>
      </c>
      <c r="D271" s="254" t="s">
        <v>19943</v>
      </c>
      <c r="E271" s="222" t="s">
        <v>19944</v>
      </c>
      <c r="F271" s="222" t="s">
        <v>117</v>
      </c>
      <c r="G271" s="231" t="s">
        <v>19945</v>
      </c>
      <c r="H271" s="255" t="s">
        <v>19946</v>
      </c>
      <c r="I271" s="255"/>
      <c r="J271" s="193" t="s">
        <v>19947</v>
      </c>
      <c r="K271" s="118" t="s">
        <v>19948</v>
      </c>
      <c r="L271" s="136" t="s">
        <v>13915</v>
      </c>
      <c r="M271" s="136" t="s">
        <v>13916</v>
      </c>
    </row>
    <row r="272" spans="1:13" ht="14.25" customHeight="1">
      <c r="A272" s="113">
        <v>26</v>
      </c>
      <c r="B272" s="113"/>
      <c r="C272" s="216" t="s">
        <v>19949</v>
      </c>
      <c r="D272" s="217" t="s">
        <v>19950</v>
      </c>
      <c r="E272" s="216" t="s">
        <v>704</v>
      </c>
      <c r="F272" s="216" t="s">
        <v>18833</v>
      </c>
      <c r="G272" s="220" t="s">
        <v>19951</v>
      </c>
      <c r="H272" s="221" t="s">
        <v>19952</v>
      </c>
      <c r="I272" s="221"/>
      <c r="J272" s="126" t="s">
        <v>19953</v>
      </c>
      <c r="K272" s="137" t="s">
        <v>19954</v>
      </c>
      <c r="L272" s="136" t="s">
        <v>13924</v>
      </c>
      <c r="M272" s="136" t="s">
        <v>13925</v>
      </c>
    </row>
    <row r="273" spans="1:13" ht="14.25" customHeight="1">
      <c r="A273" s="113">
        <v>27</v>
      </c>
      <c r="B273" s="113"/>
      <c r="C273" s="216" t="s">
        <v>19955</v>
      </c>
      <c r="D273" s="217" t="s">
        <v>19956</v>
      </c>
      <c r="E273" s="216" t="s">
        <v>19957</v>
      </c>
      <c r="F273" s="216" t="s">
        <v>117</v>
      </c>
      <c r="G273" s="220" t="s">
        <v>2105</v>
      </c>
      <c r="H273" s="221" t="s">
        <v>19958</v>
      </c>
      <c r="I273" s="221"/>
      <c r="J273" s="28" t="s">
        <v>19959</v>
      </c>
      <c r="K273" s="137" t="s">
        <v>19960</v>
      </c>
      <c r="L273" s="136" t="s">
        <v>13933</v>
      </c>
      <c r="M273" s="136" t="s">
        <v>13934</v>
      </c>
    </row>
    <row r="274" spans="1:13" ht="14.25" customHeight="1">
      <c r="A274" s="113">
        <v>28</v>
      </c>
      <c r="B274" s="113"/>
      <c r="C274" s="216" t="s">
        <v>19961</v>
      </c>
      <c r="D274" s="217" t="s">
        <v>19962</v>
      </c>
      <c r="E274" s="216" t="s">
        <v>19963</v>
      </c>
      <c r="F274" s="216" t="s">
        <v>117</v>
      </c>
      <c r="G274" s="220" t="s">
        <v>19964</v>
      </c>
      <c r="H274" s="221" t="s">
        <v>19965</v>
      </c>
      <c r="I274" s="221"/>
      <c r="J274" s="28" t="s">
        <v>19966</v>
      </c>
      <c r="K274" s="137" t="s">
        <v>19967</v>
      </c>
      <c r="L274" s="136" t="s">
        <v>13942</v>
      </c>
      <c r="M274" s="136" t="s">
        <v>13943</v>
      </c>
    </row>
    <row r="275" spans="1:13" ht="14.25" customHeight="1">
      <c r="A275" s="113">
        <v>29</v>
      </c>
      <c r="B275" s="113"/>
      <c r="C275" s="216" t="s">
        <v>19968</v>
      </c>
      <c r="D275" s="217" t="s">
        <v>19969</v>
      </c>
      <c r="E275" s="216" t="s">
        <v>19970</v>
      </c>
      <c r="F275" s="216" t="s">
        <v>117</v>
      </c>
      <c r="G275" s="220" t="s">
        <v>19971</v>
      </c>
      <c r="H275" s="221" t="s">
        <v>19972</v>
      </c>
      <c r="I275" s="221"/>
      <c r="J275" s="28" t="s">
        <v>19973</v>
      </c>
      <c r="K275" s="137" t="s">
        <v>19974</v>
      </c>
      <c r="L275" s="136" t="s">
        <v>13951</v>
      </c>
      <c r="M275" s="136" t="s">
        <v>13952</v>
      </c>
    </row>
    <row r="276" spans="1:13" ht="14.25" customHeight="1">
      <c r="A276" s="113">
        <v>30</v>
      </c>
      <c r="B276" s="113"/>
      <c r="C276" s="216" t="s">
        <v>19975</v>
      </c>
      <c r="D276" s="126" t="s">
        <v>19976</v>
      </c>
      <c r="E276" s="216" t="s">
        <v>19977</v>
      </c>
      <c r="F276" s="216"/>
      <c r="G276" s="220" t="s">
        <v>19978</v>
      </c>
      <c r="H276" s="224" t="s">
        <v>19979</v>
      </c>
      <c r="I276" s="224"/>
      <c r="J276" s="28" t="s">
        <v>19980</v>
      </c>
      <c r="K276" s="137" t="s">
        <v>19981</v>
      </c>
      <c r="L276" s="136" t="s">
        <v>13960</v>
      </c>
      <c r="M276" s="136" t="s">
        <v>13961</v>
      </c>
    </row>
    <row r="277" spans="1:13" ht="14.25" customHeight="1">
      <c r="A277" s="113">
        <v>31</v>
      </c>
      <c r="B277" s="113"/>
      <c r="C277" s="216" t="s">
        <v>19982</v>
      </c>
      <c r="D277" s="217" t="s">
        <v>19983</v>
      </c>
      <c r="E277" s="216" t="s">
        <v>19984</v>
      </c>
      <c r="F277" s="216" t="s">
        <v>65</v>
      </c>
      <c r="G277" s="220" t="s">
        <v>19985</v>
      </c>
      <c r="H277" s="221" t="s">
        <v>19986</v>
      </c>
      <c r="I277" s="221"/>
      <c r="J277" s="28" t="s">
        <v>19987</v>
      </c>
      <c r="K277" s="137" t="s">
        <v>19988</v>
      </c>
      <c r="L277" s="136" t="s">
        <v>13969</v>
      </c>
      <c r="M277" s="136" t="s">
        <v>13970</v>
      </c>
    </row>
    <row r="278" spans="1:13" ht="14.25" customHeight="1">
      <c r="A278" s="113">
        <v>32</v>
      </c>
      <c r="B278" s="113"/>
      <c r="C278" s="264" t="s">
        <v>19989</v>
      </c>
      <c r="D278" s="118" t="s">
        <v>19990</v>
      </c>
      <c r="E278" s="216" t="s">
        <v>19991</v>
      </c>
      <c r="F278" s="216" t="s">
        <v>219</v>
      </c>
      <c r="G278" s="220" t="s">
        <v>19992</v>
      </c>
      <c r="H278" s="227" t="s">
        <v>19993</v>
      </c>
      <c r="I278" s="227"/>
      <c r="J278" s="28" t="s">
        <v>19994</v>
      </c>
      <c r="K278" s="137" t="s">
        <v>19995</v>
      </c>
      <c r="L278" s="136" t="s">
        <v>13978</v>
      </c>
      <c r="M278" s="136" t="s">
        <v>13979</v>
      </c>
    </row>
    <row r="279" spans="1:13" ht="14.25" customHeight="1">
      <c r="A279" s="113">
        <v>33</v>
      </c>
      <c r="B279" s="113"/>
      <c r="C279" s="216" t="s">
        <v>19996</v>
      </c>
      <c r="D279" s="217" t="s">
        <v>19997</v>
      </c>
      <c r="E279" s="216" t="s">
        <v>19998</v>
      </c>
      <c r="F279" s="216" t="s">
        <v>65</v>
      </c>
      <c r="G279" s="220" t="s">
        <v>19999</v>
      </c>
      <c r="H279" s="221" t="s">
        <v>20000</v>
      </c>
      <c r="I279" s="221"/>
      <c r="J279" s="28" t="s">
        <v>20001</v>
      </c>
      <c r="K279" s="137" t="s">
        <v>20002</v>
      </c>
      <c r="L279" s="136" t="s">
        <v>13986</v>
      </c>
      <c r="M279" s="136" t="s">
        <v>13987</v>
      </c>
    </row>
    <row r="280" spans="1:13" ht="14.25" customHeight="1">
      <c r="A280" s="113">
        <v>34</v>
      </c>
      <c r="B280" s="113"/>
      <c r="C280" s="216" t="s">
        <v>20003</v>
      </c>
      <c r="D280" s="217" t="s">
        <v>20004</v>
      </c>
      <c r="E280" s="216" t="s">
        <v>20005</v>
      </c>
      <c r="F280" s="216" t="s">
        <v>65</v>
      </c>
      <c r="G280" s="220" t="s">
        <v>20006</v>
      </c>
      <c r="H280" s="221" t="s">
        <v>20007</v>
      </c>
      <c r="I280" s="221"/>
      <c r="J280" s="28" t="s">
        <v>20008</v>
      </c>
      <c r="K280" s="137" t="s">
        <v>20009</v>
      </c>
      <c r="L280" s="136" t="s">
        <v>13995</v>
      </c>
      <c r="M280" s="136" t="s">
        <v>13996</v>
      </c>
    </row>
    <row r="281" spans="1:13" ht="14.25" customHeight="1">
      <c r="A281" s="113">
        <v>35</v>
      </c>
      <c r="B281" s="113"/>
      <c r="C281" s="216" t="s">
        <v>20010</v>
      </c>
      <c r="D281" s="217" t="s">
        <v>20011</v>
      </c>
      <c r="E281" s="216" t="s">
        <v>20012</v>
      </c>
      <c r="F281" s="216" t="s">
        <v>65</v>
      </c>
      <c r="G281" s="220" t="s">
        <v>20013</v>
      </c>
      <c r="H281" s="221" t="s">
        <v>20014</v>
      </c>
      <c r="I281" s="221"/>
      <c r="J281" s="126" t="s">
        <v>20015</v>
      </c>
      <c r="K281" s="137" t="s">
        <v>20016</v>
      </c>
      <c r="L281" s="136" t="s">
        <v>10921</v>
      </c>
      <c r="M281" s="136" t="s">
        <v>10922</v>
      </c>
    </row>
    <row r="282" spans="1:13" ht="14.25" customHeight="1">
      <c r="A282" s="113">
        <v>36</v>
      </c>
      <c r="B282" s="113"/>
      <c r="C282" s="216" t="s">
        <v>20017</v>
      </c>
      <c r="D282" s="217" t="s">
        <v>20018</v>
      </c>
      <c r="E282" s="216" t="s">
        <v>20019</v>
      </c>
      <c r="F282" s="216" t="s">
        <v>65</v>
      </c>
      <c r="G282" s="220" t="s">
        <v>20020</v>
      </c>
      <c r="H282" s="221" t="s">
        <v>20021</v>
      </c>
      <c r="I282" s="221"/>
      <c r="J282" s="28" t="s">
        <v>20022</v>
      </c>
      <c r="K282" s="137" t="s">
        <v>20023</v>
      </c>
      <c r="L282" s="136" t="s">
        <v>14004</v>
      </c>
      <c r="M282" s="136" t="s">
        <v>14005</v>
      </c>
    </row>
    <row r="283" spans="1:13" ht="14.25" customHeight="1">
      <c r="A283" s="113">
        <v>37</v>
      </c>
      <c r="B283" s="113"/>
      <c r="C283" s="216" t="s">
        <v>20024</v>
      </c>
      <c r="D283" s="217" t="s">
        <v>20025</v>
      </c>
      <c r="E283" s="216" t="s">
        <v>20026</v>
      </c>
      <c r="F283" s="216" t="s">
        <v>65</v>
      </c>
      <c r="G283" s="220" t="s">
        <v>20027</v>
      </c>
      <c r="H283" s="221" t="s">
        <v>20028</v>
      </c>
      <c r="I283" s="221"/>
      <c r="J283" s="28" t="s">
        <v>20029</v>
      </c>
      <c r="K283" s="137" t="s">
        <v>20030</v>
      </c>
      <c r="L283" s="136" t="s">
        <v>14013</v>
      </c>
      <c r="M283" s="136" t="s">
        <v>14014</v>
      </c>
    </row>
    <row r="284" spans="1:13" ht="14.25" customHeight="1">
      <c r="A284" s="113">
        <v>38</v>
      </c>
      <c r="B284" s="113"/>
      <c r="C284" s="216" t="s">
        <v>20031</v>
      </c>
      <c r="D284" s="217" t="s">
        <v>20032</v>
      </c>
      <c r="E284" s="216" t="s">
        <v>20033</v>
      </c>
      <c r="F284" s="216" t="s">
        <v>65</v>
      </c>
      <c r="G284" s="220" t="s">
        <v>20034</v>
      </c>
      <c r="H284" s="221" t="s">
        <v>20035</v>
      </c>
      <c r="I284" s="221"/>
      <c r="J284" s="28" t="s">
        <v>20036</v>
      </c>
      <c r="K284" s="137" t="s">
        <v>20037</v>
      </c>
      <c r="L284" s="136" t="s">
        <v>20038</v>
      </c>
      <c r="M284" s="136" t="s">
        <v>20039</v>
      </c>
    </row>
    <row r="285" spans="1:13" ht="14.25" customHeight="1">
      <c r="A285" s="113">
        <v>39</v>
      </c>
      <c r="B285" s="113"/>
      <c r="C285" s="216" t="s">
        <v>20040</v>
      </c>
      <c r="D285" s="217" t="s">
        <v>20041</v>
      </c>
      <c r="E285" s="216" t="s">
        <v>20042</v>
      </c>
      <c r="F285" s="216" t="s">
        <v>65</v>
      </c>
      <c r="G285" s="220" t="s">
        <v>20043</v>
      </c>
      <c r="H285" s="221" t="s">
        <v>20044</v>
      </c>
      <c r="I285" s="221"/>
      <c r="J285" s="28" t="s">
        <v>20045</v>
      </c>
      <c r="K285" s="137" t="s">
        <v>20046</v>
      </c>
      <c r="L285" s="113" t="s">
        <v>20047</v>
      </c>
      <c r="M285" s="136" t="s">
        <v>20048</v>
      </c>
    </row>
    <row r="286" spans="1:13" ht="14.25" customHeight="1">
      <c r="A286" s="113">
        <v>40</v>
      </c>
      <c r="B286" s="113"/>
      <c r="C286" s="216" t="s">
        <v>20049</v>
      </c>
      <c r="D286" s="217" t="s">
        <v>20050</v>
      </c>
      <c r="E286" s="216" t="s">
        <v>20051</v>
      </c>
      <c r="F286" s="216" t="s">
        <v>65</v>
      </c>
      <c r="G286" s="220" t="s">
        <v>20052</v>
      </c>
      <c r="H286" s="221" t="s">
        <v>20053</v>
      </c>
      <c r="I286" s="221"/>
      <c r="J286" s="28" t="s">
        <v>20054</v>
      </c>
      <c r="K286" s="137" t="s">
        <v>20055</v>
      </c>
      <c r="L286" s="113" t="s">
        <v>20056</v>
      </c>
      <c r="M286" s="136" t="s">
        <v>20057</v>
      </c>
    </row>
    <row r="287" spans="1:13" ht="14.25" customHeight="1">
      <c r="A287" s="113">
        <v>41</v>
      </c>
      <c r="B287" s="113"/>
      <c r="C287" s="216" t="s">
        <v>20058</v>
      </c>
      <c r="D287" s="217" t="s">
        <v>20059</v>
      </c>
      <c r="E287" s="216" t="s">
        <v>20060</v>
      </c>
      <c r="F287" s="216" t="s">
        <v>65</v>
      </c>
      <c r="G287" s="220" t="s">
        <v>20061</v>
      </c>
      <c r="H287" s="221" t="s">
        <v>20062</v>
      </c>
      <c r="I287" s="221"/>
      <c r="J287" s="28" t="s">
        <v>20063</v>
      </c>
      <c r="K287" s="137" t="s">
        <v>20064</v>
      </c>
      <c r="L287" s="113" t="s">
        <v>20065</v>
      </c>
      <c r="M287" s="136" t="s">
        <v>20066</v>
      </c>
    </row>
    <row r="288" spans="1:13" ht="14.25" customHeight="1">
      <c r="A288" s="113">
        <v>42</v>
      </c>
      <c r="B288" s="113"/>
      <c r="C288" s="216" t="s">
        <v>20067</v>
      </c>
      <c r="D288" s="217" t="s">
        <v>20068</v>
      </c>
      <c r="E288" s="216" t="s">
        <v>20069</v>
      </c>
      <c r="F288" s="216" t="s">
        <v>65</v>
      </c>
      <c r="G288" s="220" t="s">
        <v>20070</v>
      </c>
      <c r="H288" s="221" t="s">
        <v>20071</v>
      </c>
      <c r="I288" s="221"/>
      <c r="J288" s="28" t="s">
        <v>20072</v>
      </c>
      <c r="K288" s="137" t="s">
        <v>20073</v>
      </c>
      <c r="L288" s="113" t="s">
        <v>20074</v>
      </c>
      <c r="M288" s="136" t="s">
        <v>20075</v>
      </c>
    </row>
    <row r="289" spans="1:13" ht="14.25" customHeight="1">
      <c r="A289" s="113">
        <v>43</v>
      </c>
      <c r="B289" s="113"/>
      <c r="C289" s="216" t="s">
        <v>20076</v>
      </c>
      <c r="D289" s="217" t="s">
        <v>20077</v>
      </c>
      <c r="E289" s="216" t="s">
        <v>11902</v>
      </c>
      <c r="F289" s="216" t="s">
        <v>5791</v>
      </c>
      <c r="G289" s="220" t="s">
        <v>20078</v>
      </c>
      <c r="H289" s="221" t="s">
        <v>20079</v>
      </c>
      <c r="I289" s="221"/>
      <c r="J289" s="28" t="s">
        <v>20080</v>
      </c>
      <c r="K289" s="137" t="s">
        <v>20081</v>
      </c>
      <c r="L289" s="113" t="s">
        <v>20082</v>
      </c>
      <c r="M289" s="136" t="s">
        <v>20083</v>
      </c>
    </row>
    <row r="290" spans="1:13" ht="14.25" customHeight="1">
      <c r="A290" s="113">
        <v>44</v>
      </c>
      <c r="B290" s="113"/>
      <c r="C290" s="216" t="s">
        <v>20084</v>
      </c>
      <c r="D290" s="217" t="s">
        <v>20085</v>
      </c>
      <c r="E290" s="216" t="s">
        <v>20086</v>
      </c>
      <c r="F290" s="216" t="s">
        <v>65</v>
      </c>
      <c r="G290" s="220" t="s">
        <v>20087</v>
      </c>
      <c r="H290" s="221" t="s">
        <v>20088</v>
      </c>
      <c r="I290" s="221"/>
      <c r="J290" s="28" t="s">
        <v>20089</v>
      </c>
      <c r="K290" s="137" t="s">
        <v>20090</v>
      </c>
      <c r="L290" s="113" t="s">
        <v>20091</v>
      </c>
      <c r="M290" s="136" t="s">
        <v>20092</v>
      </c>
    </row>
    <row r="291" spans="1:13" ht="14.25" customHeight="1">
      <c r="A291" s="113">
        <v>45</v>
      </c>
      <c r="B291" s="113"/>
      <c r="C291" s="216" t="s">
        <v>20093</v>
      </c>
      <c r="D291" s="217" t="s">
        <v>20094</v>
      </c>
      <c r="E291" s="216" t="s">
        <v>15977</v>
      </c>
      <c r="F291" s="216" t="s">
        <v>65</v>
      </c>
      <c r="G291" s="220" t="s">
        <v>20095</v>
      </c>
      <c r="H291" s="221" t="s">
        <v>20096</v>
      </c>
      <c r="I291" s="221"/>
      <c r="J291" s="28" t="s">
        <v>20097</v>
      </c>
      <c r="K291" s="137" t="s">
        <v>20098</v>
      </c>
      <c r="L291" s="113" t="s">
        <v>20099</v>
      </c>
      <c r="M291" s="136" t="s">
        <v>20100</v>
      </c>
    </row>
    <row r="292" spans="1:13" ht="14.25" customHeight="1">
      <c r="A292" s="210">
        <v>1</v>
      </c>
      <c r="B292" s="210"/>
      <c r="C292" s="211" t="s">
        <v>20101</v>
      </c>
      <c r="D292" s="212" t="s">
        <v>20102</v>
      </c>
      <c r="E292" s="211" t="s">
        <v>20103</v>
      </c>
      <c r="F292" s="211" t="s">
        <v>65</v>
      </c>
      <c r="G292" s="213" t="s">
        <v>20104</v>
      </c>
      <c r="H292" s="214" t="s">
        <v>20105</v>
      </c>
      <c r="I292" s="214"/>
      <c r="J292" s="212" t="s">
        <v>20106</v>
      </c>
      <c r="K292" s="215" t="s">
        <v>20107</v>
      </c>
      <c r="L292" s="210" t="s">
        <v>14022</v>
      </c>
      <c r="M292" s="247" t="s">
        <v>14023</v>
      </c>
    </row>
    <row r="293" spans="1:13" ht="14.25" customHeight="1">
      <c r="A293" s="113">
        <v>2</v>
      </c>
      <c r="B293" s="113"/>
      <c r="C293" s="222" t="s">
        <v>20108</v>
      </c>
      <c r="D293" s="226" t="s">
        <v>20109</v>
      </c>
      <c r="E293" s="222" t="s">
        <v>20110</v>
      </c>
      <c r="F293" s="222" t="s">
        <v>117</v>
      </c>
      <c r="G293" s="231" t="s">
        <v>20111</v>
      </c>
      <c r="H293" s="227" t="s">
        <v>20112</v>
      </c>
      <c r="I293" s="227"/>
      <c r="J293" s="226" t="s">
        <v>20113</v>
      </c>
      <c r="K293" s="137" t="s">
        <v>20114</v>
      </c>
      <c r="L293" s="136" t="s">
        <v>14031</v>
      </c>
      <c r="M293" s="136" t="s">
        <v>14032</v>
      </c>
    </row>
    <row r="294" spans="1:13" ht="14.25" customHeight="1">
      <c r="A294" s="113">
        <v>3</v>
      </c>
      <c r="B294" s="113"/>
      <c r="C294" s="222" t="s">
        <v>16519</v>
      </c>
      <c r="D294" s="226" t="s">
        <v>16520</v>
      </c>
      <c r="E294" s="222" t="s">
        <v>1564</v>
      </c>
      <c r="F294" s="222" t="s">
        <v>219</v>
      </c>
      <c r="G294" s="231" t="s">
        <v>20115</v>
      </c>
      <c r="H294" s="227" t="s">
        <v>20116</v>
      </c>
      <c r="I294" s="227"/>
      <c r="J294" s="226" t="s">
        <v>20117</v>
      </c>
      <c r="K294" s="137" t="s">
        <v>20118</v>
      </c>
      <c r="L294" s="136" t="s">
        <v>11028</v>
      </c>
      <c r="M294" s="136" t="s">
        <v>11029</v>
      </c>
    </row>
    <row r="295" spans="1:13" ht="14.25" customHeight="1">
      <c r="A295" s="113">
        <v>4</v>
      </c>
      <c r="B295" s="113"/>
      <c r="C295" s="222" t="s">
        <v>20119</v>
      </c>
      <c r="D295" s="226" t="s">
        <v>20120</v>
      </c>
      <c r="E295" s="222" t="s">
        <v>20121</v>
      </c>
      <c r="F295" s="222" t="s">
        <v>18983</v>
      </c>
      <c r="G295" s="231" t="s">
        <v>20122</v>
      </c>
      <c r="H295" s="227" t="s">
        <v>20123</v>
      </c>
      <c r="I295" s="227"/>
      <c r="J295" s="226" t="s">
        <v>20124</v>
      </c>
      <c r="K295" s="137" t="s">
        <v>20125</v>
      </c>
      <c r="L295" s="136" t="s">
        <v>14041</v>
      </c>
      <c r="M295" s="136" t="s">
        <v>14042</v>
      </c>
    </row>
    <row r="296" spans="1:13" ht="14.25" customHeight="1">
      <c r="A296" s="113">
        <v>5</v>
      </c>
      <c r="B296" s="113"/>
      <c r="C296" s="222" t="s">
        <v>20126</v>
      </c>
      <c r="D296" s="226" t="s">
        <v>20127</v>
      </c>
      <c r="E296" s="222" t="s">
        <v>20128</v>
      </c>
      <c r="F296" s="222" t="s">
        <v>65</v>
      </c>
      <c r="G296" s="231" t="s">
        <v>20129</v>
      </c>
      <c r="H296" s="227" t="s">
        <v>20130</v>
      </c>
      <c r="I296" s="227"/>
      <c r="J296" s="226" t="s">
        <v>20131</v>
      </c>
      <c r="K296" s="137" t="s">
        <v>20132</v>
      </c>
      <c r="L296" s="136" t="s">
        <v>14050</v>
      </c>
      <c r="M296" s="136" t="s">
        <v>14051</v>
      </c>
    </row>
    <row r="297" spans="1:13" ht="14.25" customHeight="1">
      <c r="A297" s="113">
        <v>6</v>
      </c>
      <c r="B297" s="113"/>
      <c r="C297" s="222" t="s">
        <v>20133</v>
      </c>
      <c r="D297" s="226" t="s">
        <v>20134</v>
      </c>
      <c r="E297" s="222" t="s">
        <v>20135</v>
      </c>
      <c r="F297" s="222" t="s">
        <v>117</v>
      </c>
      <c r="G297" s="231" t="s">
        <v>20136</v>
      </c>
      <c r="H297" s="227" t="s">
        <v>20137</v>
      </c>
      <c r="I297" s="227"/>
      <c r="J297" s="226" t="s">
        <v>20138</v>
      </c>
      <c r="K297" s="137" t="s">
        <v>20139</v>
      </c>
      <c r="L297" s="136" t="s">
        <v>14059</v>
      </c>
      <c r="M297" s="136" t="s">
        <v>14060</v>
      </c>
    </row>
    <row r="298" spans="1:13" ht="14.25" customHeight="1">
      <c r="A298" s="113">
        <v>7</v>
      </c>
      <c r="B298" s="113"/>
      <c r="C298" s="222" t="s">
        <v>20140</v>
      </c>
      <c r="D298" s="226" t="s">
        <v>20141</v>
      </c>
      <c r="E298" s="222" t="s">
        <v>20142</v>
      </c>
      <c r="F298" s="222" t="s">
        <v>65</v>
      </c>
      <c r="G298" s="231" t="s">
        <v>20143</v>
      </c>
      <c r="H298" s="227" t="s">
        <v>20144</v>
      </c>
      <c r="I298" s="227"/>
      <c r="J298" s="226" t="s">
        <v>20145</v>
      </c>
      <c r="K298" s="137" t="s">
        <v>20146</v>
      </c>
      <c r="L298" s="136" t="s">
        <v>11081</v>
      </c>
      <c r="M298" s="136" t="s">
        <v>11082</v>
      </c>
    </row>
    <row r="299" spans="1:13" ht="14.25" customHeight="1">
      <c r="A299" s="113">
        <v>8</v>
      </c>
      <c r="B299" s="113"/>
      <c r="C299" s="222" t="s">
        <v>20147</v>
      </c>
      <c r="D299" s="226" t="s">
        <v>20148</v>
      </c>
      <c r="E299" s="222" t="s">
        <v>20149</v>
      </c>
      <c r="F299" s="222" t="s">
        <v>65</v>
      </c>
      <c r="G299" s="231" t="s">
        <v>20150</v>
      </c>
      <c r="H299" s="227" t="s">
        <v>20151</v>
      </c>
      <c r="I299" s="227"/>
      <c r="J299" s="226" t="s">
        <v>20152</v>
      </c>
      <c r="K299" s="137" t="s">
        <v>20153</v>
      </c>
      <c r="L299" s="136" t="s">
        <v>14069</v>
      </c>
      <c r="M299" s="136" t="s">
        <v>14070</v>
      </c>
    </row>
    <row r="300" spans="1:13" ht="14.25" customHeight="1">
      <c r="A300" s="113">
        <v>9</v>
      </c>
      <c r="B300" s="113"/>
      <c r="C300" s="222" t="s">
        <v>20154</v>
      </c>
      <c r="D300" s="226" t="s">
        <v>20155</v>
      </c>
      <c r="E300" s="222" t="s">
        <v>20156</v>
      </c>
      <c r="F300" s="222" t="s">
        <v>65</v>
      </c>
      <c r="G300" s="231" t="s">
        <v>20157</v>
      </c>
      <c r="H300" s="227" t="s">
        <v>20158</v>
      </c>
      <c r="I300" s="227"/>
      <c r="J300" s="226" t="s">
        <v>20159</v>
      </c>
      <c r="K300" s="137" t="s">
        <v>20160</v>
      </c>
      <c r="L300" s="136" t="s">
        <v>14078</v>
      </c>
      <c r="M300" s="136" t="s">
        <v>14079</v>
      </c>
    </row>
    <row r="301" spans="1:13" ht="14.25" customHeight="1">
      <c r="A301" s="113">
        <v>10</v>
      </c>
      <c r="B301" s="113"/>
      <c r="C301" s="222" t="s">
        <v>20161</v>
      </c>
      <c r="D301" s="226" t="s">
        <v>20162</v>
      </c>
      <c r="E301" s="222" t="s">
        <v>20163</v>
      </c>
      <c r="F301" s="222" t="s">
        <v>65</v>
      </c>
      <c r="G301" s="231" t="s">
        <v>20164</v>
      </c>
      <c r="H301" s="227" t="s">
        <v>20165</v>
      </c>
      <c r="I301" s="227"/>
      <c r="J301" s="226" t="s">
        <v>20166</v>
      </c>
      <c r="K301" s="137" t="s">
        <v>20167</v>
      </c>
      <c r="L301" s="136" t="s">
        <v>14087</v>
      </c>
      <c r="M301" s="136" t="s">
        <v>14088</v>
      </c>
    </row>
    <row r="302" spans="1:13" ht="14.25" customHeight="1">
      <c r="A302" s="113">
        <v>11</v>
      </c>
      <c r="B302" s="113"/>
      <c r="C302" s="216" t="s">
        <v>20168</v>
      </c>
      <c r="D302" s="226" t="s">
        <v>20169</v>
      </c>
      <c r="E302" s="222" t="s">
        <v>20170</v>
      </c>
      <c r="F302" s="222" t="s">
        <v>117</v>
      </c>
      <c r="G302" s="231" t="s">
        <v>20171</v>
      </c>
      <c r="H302" s="227" t="s">
        <v>20172</v>
      </c>
      <c r="I302" s="227"/>
      <c r="J302" s="226" t="s">
        <v>20173</v>
      </c>
      <c r="K302" s="137" t="s">
        <v>20174</v>
      </c>
      <c r="L302" s="136" t="s">
        <v>14096</v>
      </c>
      <c r="M302" s="136" t="s">
        <v>14097</v>
      </c>
    </row>
    <row r="303" spans="1:13" ht="14.25" customHeight="1">
      <c r="A303" s="113">
        <v>12</v>
      </c>
      <c r="B303" s="113"/>
      <c r="C303" s="216" t="s">
        <v>20175</v>
      </c>
      <c r="D303" s="226" t="s">
        <v>20176</v>
      </c>
      <c r="E303" s="222" t="s">
        <v>20177</v>
      </c>
      <c r="F303" s="222" t="s">
        <v>117</v>
      </c>
      <c r="G303" s="231" t="s">
        <v>20178</v>
      </c>
      <c r="H303" s="227" t="s">
        <v>20179</v>
      </c>
      <c r="I303" s="227"/>
      <c r="J303" s="226" t="s">
        <v>20180</v>
      </c>
      <c r="K303" s="137" t="s">
        <v>20181</v>
      </c>
      <c r="L303" s="136" t="s">
        <v>14105</v>
      </c>
      <c r="M303" s="136" t="s">
        <v>14106</v>
      </c>
    </row>
    <row r="304" spans="1:13" ht="14.25" customHeight="1">
      <c r="A304" s="113">
        <v>13</v>
      </c>
      <c r="B304" s="113"/>
      <c r="C304" s="216" t="s">
        <v>20182</v>
      </c>
      <c r="D304" s="226" t="s">
        <v>20183</v>
      </c>
      <c r="E304" s="222" t="s">
        <v>20184</v>
      </c>
      <c r="F304" s="222" t="s">
        <v>65</v>
      </c>
      <c r="G304" s="231" t="s">
        <v>20185</v>
      </c>
      <c r="H304" s="227" t="s">
        <v>20186</v>
      </c>
      <c r="I304" s="227"/>
      <c r="J304" s="226" t="s">
        <v>20187</v>
      </c>
      <c r="K304" s="137" t="s">
        <v>20188</v>
      </c>
      <c r="L304" s="136" t="s">
        <v>14114</v>
      </c>
      <c r="M304" s="136" t="s">
        <v>14115</v>
      </c>
    </row>
    <row r="305" spans="1:13" ht="14.25" customHeight="1">
      <c r="A305" s="113">
        <v>14</v>
      </c>
      <c r="B305" s="113"/>
      <c r="C305" s="216" t="s">
        <v>20189</v>
      </c>
      <c r="D305" s="217" t="s">
        <v>20190</v>
      </c>
      <c r="E305" s="222" t="s">
        <v>20191</v>
      </c>
      <c r="F305" s="222" t="s">
        <v>117</v>
      </c>
      <c r="G305" s="231" t="s">
        <v>20192</v>
      </c>
      <c r="H305" s="221" t="s">
        <v>20193</v>
      </c>
      <c r="I305" s="221"/>
      <c r="J305" s="28" t="s">
        <v>20194</v>
      </c>
      <c r="K305" s="137" t="s">
        <v>20195</v>
      </c>
      <c r="L305" s="136" t="s">
        <v>14123</v>
      </c>
      <c r="M305" s="136" t="s">
        <v>14124</v>
      </c>
    </row>
    <row r="306" spans="1:13" ht="13.5" customHeight="1">
      <c r="A306" s="26">
        <v>15</v>
      </c>
      <c r="B306" s="26"/>
      <c r="C306" s="216" t="s">
        <v>20196</v>
      </c>
      <c r="D306" s="217" t="s">
        <v>20197</v>
      </c>
      <c r="E306" s="222" t="s">
        <v>20198</v>
      </c>
      <c r="F306" s="222" t="s">
        <v>65</v>
      </c>
      <c r="G306" s="231" t="s">
        <v>20199</v>
      </c>
      <c r="H306" s="221" t="s">
        <v>20200</v>
      </c>
      <c r="I306" s="221"/>
      <c r="J306" s="28" t="s">
        <v>20201</v>
      </c>
      <c r="K306" s="137" t="s">
        <v>20202</v>
      </c>
      <c r="L306" s="136" t="s">
        <v>14132</v>
      </c>
      <c r="M306" s="136" t="s">
        <v>14133</v>
      </c>
    </row>
    <row r="307" spans="1:13" ht="14.25" customHeight="1">
      <c r="A307" s="113">
        <v>16</v>
      </c>
      <c r="B307" s="113"/>
      <c r="C307" s="216" t="s">
        <v>20203</v>
      </c>
      <c r="D307" s="217" t="s">
        <v>20204</v>
      </c>
      <c r="E307" s="222" t="s">
        <v>17284</v>
      </c>
      <c r="F307" s="222" t="s">
        <v>5791</v>
      </c>
      <c r="G307" s="231" t="s">
        <v>20205</v>
      </c>
      <c r="H307" s="221" t="s">
        <v>20206</v>
      </c>
      <c r="I307" s="221"/>
      <c r="J307" s="28" t="s">
        <v>20207</v>
      </c>
      <c r="K307" s="137" t="s">
        <v>20208</v>
      </c>
      <c r="L307" s="136" t="s">
        <v>14141</v>
      </c>
      <c r="M307" s="136" t="s">
        <v>14142</v>
      </c>
    </row>
    <row r="308" spans="1:13" ht="14.25" customHeight="1">
      <c r="A308" s="113">
        <v>17</v>
      </c>
      <c r="B308" s="113"/>
      <c r="C308" s="216" t="s">
        <v>20209</v>
      </c>
      <c r="D308" s="259" t="s">
        <v>20210</v>
      </c>
      <c r="E308" s="216" t="s">
        <v>20211</v>
      </c>
      <c r="F308" s="216" t="s">
        <v>117</v>
      </c>
      <c r="G308" s="220" t="s">
        <v>20212</v>
      </c>
      <c r="H308" s="260" t="s">
        <v>20213</v>
      </c>
      <c r="I308" s="260"/>
      <c r="J308" s="259" t="s">
        <v>20214</v>
      </c>
      <c r="K308" s="137" t="s">
        <v>20215</v>
      </c>
      <c r="L308" s="136" t="s">
        <v>14147</v>
      </c>
      <c r="M308" s="136" t="s">
        <v>14148</v>
      </c>
    </row>
    <row r="309" spans="1:13" ht="14.25" customHeight="1">
      <c r="A309" s="113">
        <v>18</v>
      </c>
      <c r="B309" s="113"/>
      <c r="C309" s="216" t="s">
        <v>20216</v>
      </c>
      <c r="D309" s="226" t="s">
        <v>20217</v>
      </c>
      <c r="E309" s="222" t="s">
        <v>20218</v>
      </c>
      <c r="F309" s="222" t="s">
        <v>65</v>
      </c>
      <c r="G309" s="231" t="s">
        <v>20219</v>
      </c>
      <c r="H309" s="227" t="s">
        <v>20220</v>
      </c>
      <c r="I309" s="227"/>
      <c r="J309" s="226" t="s">
        <v>20221</v>
      </c>
      <c r="K309" s="137" t="s">
        <v>20222</v>
      </c>
      <c r="L309" s="136" t="s">
        <v>14156</v>
      </c>
      <c r="M309" s="136" t="s">
        <v>14157</v>
      </c>
    </row>
    <row r="310" spans="1:13" ht="14.25" customHeight="1">
      <c r="A310" s="113">
        <v>19</v>
      </c>
      <c r="B310" s="113"/>
      <c r="C310" s="216" t="s">
        <v>20223</v>
      </c>
      <c r="D310" s="226" t="s">
        <v>20224</v>
      </c>
      <c r="E310" s="222" t="s">
        <v>20225</v>
      </c>
      <c r="F310" s="222" t="s">
        <v>65</v>
      </c>
      <c r="G310" s="231" t="s">
        <v>20226</v>
      </c>
      <c r="H310" s="227" t="s">
        <v>20227</v>
      </c>
      <c r="I310" s="227"/>
      <c r="J310" s="226" t="s">
        <v>20228</v>
      </c>
      <c r="K310" s="137" t="s">
        <v>20229</v>
      </c>
      <c r="L310" s="136" t="s">
        <v>14165</v>
      </c>
      <c r="M310" s="136" t="s">
        <v>14166</v>
      </c>
    </row>
    <row r="311" spans="1:13" ht="14.25" customHeight="1">
      <c r="A311" s="113">
        <v>20</v>
      </c>
      <c r="B311" s="113"/>
      <c r="C311" s="216" t="s">
        <v>20230</v>
      </c>
      <c r="D311" s="226" t="s">
        <v>20231</v>
      </c>
      <c r="E311" s="222" t="s">
        <v>20232</v>
      </c>
      <c r="F311" s="222" t="s">
        <v>65</v>
      </c>
      <c r="G311" s="231" t="s">
        <v>20233</v>
      </c>
      <c r="H311" s="227" t="s">
        <v>20234</v>
      </c>
      <c r="I311" s="227"/>
      <c r="J311" s="226" t="s">
        <v>20235</v>
      </c>
      <c r="K311" s="137" t="s">
        <v>20236</v>
      </c>
      <c r="L311" s="136" t="s">
        <v>14174</v>
      </c>
      <c r="M311" s="136" t="s">
        <v>14175</v>
      </c>
    </row>
    <row r="312" spans="1:13" ht="14.25" customHeight="1">
      <c r="A312" s="113">
        <v>21</v>
      </c>
      <c r="B312" s="113"/>
      <c r="C312" s="216" t="s">
        <v>16788</v>
      </c>
      <c r="D312" s="226" t="s">
        <v>16789</v>
      </c>
      <c r="E312" s="222" t="s">
        <v>16790</v>
      </c>
      <c r="F312" s="222" t="s">
        <v>65</v>
      </c>
      <c r="G312" s="231" t="s">
        <v>16791</v>
      </c>
      <c r="H312" s="227" t="s">
        <v>20237</v>
      </c>
      <c r="I312" s="227"/>
      <c r="J312" s="226" t="s">
        <v>20238</v>
      </c>
      <c r="K312" s="137" t="s">
        <v>20239</v>
      </c>
      <c r="L312" s="136" t="s">
        <v>14183</v>
      </c>
      <c r="M312" s="136" t="s">
        <v>14184</v>
      </c>
    </row>
    <row r="313" spans="1:13" ht="14.25" customHeight="1">
      <c r="A313" s="113">
        <v>22</v>
      </c>
      <c r="B313" s="113"/>
      <c r="C313" s="216" t="s">
        <v>20240</v>
      </c>
      <c r="D313" s="226" t="s">
        <v>20241</v>
      </c>
      <c r="E313" s="222" t="s">
        <v>20242</v>
      </c>
      <c r="F313" s="222" t="s">
        <v>219</v>
      </c>
      <c r="G313" s="231" t="s">
        <v>20243</v>
      </c>
      <c r="H313" s="227" t="s">
        <v>20244</v>
      </c>
      <c r="I313" s="227"/>
      <c r="J313" s="226" t="s">
        <v>20245</v>
      </c>
      <c r="K313" s="137" t="s">
        <v>20246</v>
      </c>
      <c r="L313" s="136" t="s">
        <v>14192</v>
      </c>
      <c r="M313" s="136" t="s">
        <v>14193</v>
      </c>
    </row>
    <row r="314" spans="1:13" ht="14.25" customHeight="1">
      <c r="A314" s="113">
        <v>23</v>
      </c>
      <c r="B314" s="113"/>
      <c r="C314" s="220" t="s">
        <v>20247</v>
      </c>
      <c r="D314" s="53" t="s">
        <v>20248</v>
      </c>
      <c r="E314" s="231" t="s">
        <v>20249</v>
      </c>
      <c r="F314" s="231" t="s">
        <v>20250</v>
      </c>
      <c r="G314" s="231" t="s">
        <v>20251</v>
      </c>
      <c r="H314" s="266" t="s">
        <v>20252</v>
      </c>
      <c r="I314" s="266"/>
      <c r="J314" s="53" t="s">
        <v>20253</v>
      </c>
      <c r="K314" s="137" t="s">
        <v>20254</v>
      </c>
      <c r="L314" s="136" t="s">
        <v>14201</v>
      </c>
      <c r="M314" s="136" t="s">
        <v>14202</v>
      </c>
    </row>
    <row r="315" spans="1:13" ht="14.25" customHeight="1">
      <c r="A315" s="113">
        <v>24</v>
      </c>
      <c r="B315" s="113"/>
      <c r="C315" s="216" t="s">
        <v>20255</v>
      </c>
      <c r="D315" s="226" t="s">
        <v>20256</v>
      </c>
      <c r="E315" s="222" t="s">
        <v>20257</v>
      </c>
      <c r="F315" s="222" t="s">
        <v>65</v>
      </c>
      <c r="G315" s="231" t="s">
        <v>20258</v>
      </c>
      <c r="H315" s="227" t="s">
        <v>20259</v>
      </c>
      <c r="I315" s="227"/>
      <c r="J315" s="226" t="s">
        <v>20260</v>
      </c>
      <c r="K315" s="137" t="s">
        <v>20261</v>
      </c>
      <c r="L315" s="136" t="s">
        <v>14210</v>
      </c>
      <c r="M315" s="136" t="s">
        <v>14211</v>
      </c>
    </row>
    <row r="316" spans="1:13" ht="14.25" customHeight="1">
      <c r="A316" s="113">
        <v>25</v>
      </c>
      <c r="B316" s="113"/>
      <c r="C316" s="216" t="s">
        <v>20262</v>
      </c>
      <c r="D316" s="226" t="s">
        <v>20263</v>
      </c>
      <c r="E316" s="222" t="s">
        <v>20264</v>
      </c>
      <c r="F316" s="222" t="s">
        <v>219</v>
      </c>
      <c r="G316" s="231" t="s">
        <v>20265</v>
      </c>
      <c r="H316" s="227" t="s">
        <v>20266</v>
      </c>
      <c r="I316" s="227"/>
      <c r="J316" s="226" t="s">
        <v>20267</v>
      </c>
      <c r="K316" s="137" t="s">
        <v>20268</v>
      </c>
      <c r="L316" s="136" t="s">
        <v>14219</v>
      </c>
      <c r="M316" s="136" t="s">
        <v>14220</v>
      </c>
    </row>
    <row r="317" spans="1:13" ht="14.25" customHeight="1">
      <c r="A317" s="113">
        <v>26</v>
      </c>
      <c r="B317" s="113"/>
      <c r="C317" s="216" t="s">
        <v>20269</v>
      </c>
      <c r="D317" s="226" t="s">
        <v>20270</v>
      </c>
      <c r="E317" s="222" t="s">
        <v>20271</v>
      </c>
      <c r="F317" s="222" t="s">
        <v>117</v>
      </c>
      <c r="G317" s="231" t="s">
        <v>20272</v>
      </c>
      <c r="H317" s="227" t="s">
        <v>20273</v>
      </c>
      <c r="I317" s="227"/>
      <c r="J317" s="226" t="s">
        <v>20274</v>
      </c>
      <c r="K317" s="137" t="s">
        <v>20275</v>
      </c>
      <c r="L317" s="136" t="s">
        <v>14227</v>
      </c>
      <c r="M317" s="136" t="s">
        <v>14228</v>
      </c>
    </row>
    <row r="318" spans="1:13" ht="14.25" customHeight="1">
      <c r="A318" s="113">
        <v>27</v>
      </c>
      <c r="B318" s="113"/>
      <c r="C318" s="216" t="s">
        <v>20276</v>
      </c>
      <c r="D318" s="226" t="s">
        <v>20277</v>
      </c>
      <c r="E318" s="222" t="s">
        <v>20278</v>
      </c>
      <c r="F318" s="222" t="s">
        <v>117</v>
      </c>
      <c r="G318" s="231" t="s">
        <v>20279</v>
      </c>
      <c r="H318" s="227" t="s">
        <v>20280</v>
      </c>
      <c r="I318" s="227"/>
      <c r="J318" s="226" t="s">
        <v>20281</v>
      </c>
      <c r="K318" s="137" t="s">
        <v>20282</v>
      </c>
      <c r="L318" s="136" t="s">
        <v>14236</v>
      </c>
      <c r="M318" s="136" t="s">
        <v>14237</v>
      </c>
    </row>
    <row r="319" spans="1:13" ht="14.25" customHeight="1">
      <c r="A319" s="113">
        <v>28</v>
      </c>
      <c r="B319" s="113"/>
      <c r="C319" s="216" t="s">
        <v>20283</v>
      </c>
      <c r="D319" s="226" t="s">
        <v>20284</v>
      </c>
      <c r="E319" s="222" t="s">
        <v>20285</v>
      </c>
      <c r="F319" s="222" t="s">
        <v>19102</v>
      </c>
      <c r="G319" s="231" t="s">
        <v>20286</v>
      </c>
      <c r="H319" s="227" t="s">
        <v>20287</v>
      </c>
      <c r="I319" s="227"/>
      <c r="J319" s="226" t="s">
        <v>20288</v>
      </c>
      <c r="K319" s="137" t="s">
        <v>20289</v>
      </c>
      <c r="L319" s="136" t="s">
        <v>14245</v>
      </c>
      <c r="M319" s="136" t="s">
        <v>14246</v>
      </c>
    </row>
    <row r="320" spans="1:13" ht="14.25" customHeight="1">
      <c r="A320" s="113">
        <v>29</v>
      </c>
      <c r="B320" s="113"/>
      <c r="C320" s="216" t="s">
        <v>20290</v>
      </c>
      <c r="D320" s="226" t="s">
        <v>20291</v>
      </c>
      <c r="E320" s="222" t="s">
        <v>20292</v>
      </c>
      <c r="F320" s="222" t="s">
        <v>20293</v>
      </c>
      <c r="G320" s="231" t="s">
        <v>20294</v>
      </c>
      <c r="H320" s="227" t="s">
        <v>20295</v>
      </c>
      <c r="I320" s="227"/>
      <c r="J320" s="226" t="s">
        <v>20296</v>
      </c>
      <c r="K320" s="137" t="s">
        <v>20297</v>
      </c>
      <c r="L320" s="136" t="s">
        <v>14254</v>
      </c>
      <c r="M320" s="136" t="s">
        <v>14255</v>
      </c>
    </row>
    <row r="321" spans="1:13" ht="14.25" customHeight="1">
      <c r="A321" s="113">
        <v>30</v>
      </c>
      <c r="B321" s="113"/>
      <c r="C321" s="216" t="s">
        <v>20298</v>
      </c>
      <c r="D321" s="226" t="s">
        <v>20299</v>
      </c>
      <c r="E321" s="222" t="s">
        <v>20300</v>
      </c>
      <c r="F321" s="222" t="s">
        <v>65</v>
      </c>
      <c r="G321" s="231" t="s">
        <v>20301</v>
      </c>
      <c r="H321" s="227" t="s">
        <v>20302</v>
      </c>
      <c r="I321" s="227"/>
      <c r="J321" s="226" t="s">
        <v>20303</v>
      </c>
      <c r="K321" s="137" t="s">
        <v>20304</v>
      </c>
      <c r="L321" s="136" t="s">
        <v>14263</v>
      </c>
      <c r="M321" s="136" t="s">
        <v>14264</v>
      </c>
    </row>
    <row r="322" spans="1:13" ht="14.25" customHeight="1">
      <c r="A322" s="113">
        <v>31</v>
      </c>
      <c r="B322" s="113"/>
      <c r="C322" s="216" t="s">
        <v>20305</v>
      </c>
      <c r="D322" s="226" t="s">
        <v>20306</v>
      </c>
      <c r="E322" s="222" t="s">
        <v>20307</v>
      </c>
      <c r="F322" s="222" t="s">
        <v>65</v>
      </c>
      <c r="G322" s="231" t="s">
        <v>20308</v>
      </c>
      <c r="H322" s="227" t="s">
        <v>20309</v>
      </c>
      <c r="I322" s="227"/>
      <c r="J322" s="226" t="s">
        <v>20310</v>
      </c>
      <c r="K322" s="137" t="s">
        <v>20311</v>
      </c>
      <c r="L322" s="136" t="s">
        <v>11088</v>
      </c>
      <c r="M322" s="136" t="s">
        <v>11089</v>
      </c>
    </row>
    <row r="323" spans="1:13" ht="14.25" customHeight="1">
      <c r="A323" s="113">
        <v>32</v>
      </c>
      <c r="B323" s="113"/>
      <c r="C323" s="222" t="s">
        <v>20312</v>
      </c>
      <c r="D323" s="226" t="s">
        <v>20313</v>
      </c>
      <c r="E323" s="222" t="s">
        <v>20314</v>
      </c>
      <c r="F323" s="222" t="s">
        <v>65</v>
      </c>
      <c r="G323" s="231" t="s">
        <v>20315</v>
      </c>
      <c r="H323" s="227" t="s">
        <v>20316</v>
      </c>
      <c r="I323" s="227"/>
      <c r="J323" s="226" t="s">
        <v>20317</v>
      </c>
      <c r="K323" s="137" t="s">
        <v>20318</v>
      </c>
      <c r="L323" s="136" t="s">
        <v>14273</v>
      </c>
      <c r="M323" s="136" t="s">
        <v>14274</v>
      </c>
    </row>
    <row r="324" spans="1:13" ht="14.25" customHeight="1">
      <c r="A324" s="113">
        <v>33</v>
      </c>
      <c r="B324" s="113"/>
      <c r="C324" s="222" t="s">
        <v>20319</v>
      </c>
      <c r="D324" s="226" t="s">
        <v>20320</v>
      </c>
      <c r="E324" s="222" t="s">
        <v>20321</v>
      </c>
      <c r="F324" s="222" t="s">
        <v>4392</v>
      </c>
      <c r="G324" s="231" t="s">
        <v>20322</v>
      </c>
      <c r="H324" s="227" t="s">
        <v>20323</v>
      </c>
      <c r="I324" s="227"/>
      <c r="J324" s="226" t="s">
        <v>20324</v>
      </c>
      <c r="K324" s="137" t="s">
        <v>20325</v>
      </c>
      <c r="L324" s="136" t="s">
        <v>10831</v>
      </c>
      <c r="M324" s="136" t="s">
        <v>10832</v>
      </c>
    </row>
    <row r="325" spans="1:13" ht="14.25" customHeight="1">
      <c r="A325" s="113">
        <v>34</v>
      </c>
      <c r="B325" s="113"/>
      <c r="C325" s="222" t="s">
        <v>20326</v>
      </c>
      <c r="D325" s="226" t="s">
        <v>20327</v>
      </c>
      <c r="E325" s="222" t="s">
        <v>20328</v>
      </c>
      <c r="F325" s="222" t="s">
        <v>5791</v>
      </c>
      <c r="G325" s="231" t="s">
        <v>20329</v>
      </c>
      <c r="H325" s="227" t="s">
        <v>20330</v>
      </c>
      <c r="I325" s="227"/>
      <c r="J325" s="226" t="s">
        <v>20331</v>
      </c>
      <c r="K325" s="137" t="s">
        <v>20332</v>
      </c>
      <c r="L325" s="136" t="s">
        <v>14282</v>
      </c>
      <c r="M325" s="136" t="s">
        <v>14283</v>
      </c>
    </row>
    <row r="326" spans="1:13" ht="14.25" customHeight="1">
      <c r="A326" s="113">
        <v>35</v>
      </c>
      <c r="B326" s="113"/>
      <c r="C326" s="222" t="s">
        <v>20333</v>
      </c>
      <c r="D326" s="226" t="s">
        <v>20334</v>
      </c>
      <c r="E326" s="222" t="s">
        <v>20335</v>
      </c>
      <c r="F326" s="222" t="s">
        <v>5559</v>
      </c>
      <c r="G326" s="231" t="s">
        <v>20336</v>
      </c>
      <c r="H326" s="227" t="s">
        <v>20337</v>
      </c>
      <c r="I326" s="227"/>
      <c r="J326" s="226" t="s">
        <v>20338</v>
      </c>
      <c r="K326" s="137" t="s">
        <v>20339</v>
      </c>
      <c r="L326" s="136" t="s">
        <v>14291</v>
      </c>
      <c r="M326" s="136" t="s">
        <v>14292</v>
      </c>
    </row>
    <row r="327" spans="1:13" ht="14.25" customHeight="1">
      <c r="A327" s="113">
        <v>36</v>
      </c>
      <c r="B327" s="113"/>
      <c r="C327" s="222" t="s">
        <v>20340</v>
      </c>
      <c r="D327" s="226" t="s">
        <v>20341</v>
      </c>
      <c r="E327" s="222" t="s">
        <v>20342</v>
      </c>
      <c r="F327" s="222" t="s">
        <v>5559</v>
      </c>
      <c r="G327" s="231" t="s">
        <v>20343</v>
      </c>
      <c r="H327" s="227" t="s">
        <v>20344</v>
      </c>
      <c r="I327" s="227"/>
      <c r="J327" s="226" t="s">
        <v>20345</v>
      </c>
      <c r="K327" s="137" t="s">
        <v>20346</v>
      </c>
      <c r="L327" s="136" t="s">
        <v>11037</v>
      </c>
      <c r="M327" s="136" t="s">
        <v>11038</v>
      </c>
    </row>
    <row r="328" spans="1:13" ht="14.25" customHeight="1">
      <c r="A328" s="113">
        <v>37</v>
      </c>
      <c r="B328" s="113"/>
      <c r="C328" s="222" t="s">
        <v>20347</v>
      </c>
      <c r="D328" s="226" t="s">
        <v>20348</v>
      </c>
      <c r="E328" s="222" t="s">
        <v>20349</v>
      </c>
      <c r="F328" s="222" t="s">
        <v>5559</v>
      </c>
      <c r="G328" s="231" t="s">
        <v>20350</v>
      </c>
      <c r="H328" s="227" t="s">
        <v>20351</v>
      </c>
      <c r="I328" s="227"/>
      <c r="J328" s="226" t="s">
        <v>20352</v>
      </c>
      <c r="K328" s="137" t="s">
        <v>20353</v>
      </c>
      <c r="L328" s="136" t="s">
        <v>20354</v>
      </c>
      <c r="M328" s="136" t="s">
        <v>20355</v>
      </c>
    </row>
    <row r="329" spans="1:13" ht="14.25" customHeight="1">
      <c r="A329" s="113">
        <v>38</v>
      </c>
      <c r="B329" s="113"/>
      <c r="C329" s="222" t="s">
        <v>20356</v>
      </c>
      <c r="D329" s="226" t="s">
        <v>20357</v>
      </c>
      <c r="E329" s="222" t="s">
        <v>20358</v>
      </c>
      <c r="F329" s="222" t="s">
        <v>65</v>
      </c>
      <c r="G329" s="231" t="s">
        <v>20359</v>
      </c>
      <c r="H329" s="227" t="s">
        <v>20360</v>
      </c>
      <c r="I329" s="227"/>
      <c r="J329" s="226" t="s">
        <v>20361</v>
      </c>
      <c r="K329" s="137" t="s">
        <v>20362</v>
      </c>
      <c r="L329" s="136" t="s">
        <v>20363</v>
      </c>
      <c r="M329" s="136" t="s">
        <v>20364</v>
      </c>
    </row>
    <row r="330" spans="1:13" ht="14.25" customHeight="1">
      <c r="A330" s="113">
        <v>39</v>
      </c>
      <c r="B330" s="113"/>
      <c r="C330" s="222" t="s">
        <v>20365</v>
      </c>
      <c r="D330" s="226" t="s">
        <v>20366</v>
      </c>
      <c r="E330" s="222" t="s">
        <v>20367</v>
      </c>
      <c r="F330" s="222" t="s">
        <v>4392</v>
      </c>
      <c r="G330" s="231" t="s">
        <v>20368</v>
      </c>
      <c r="H330" s="227" t="s">
        <v>20369</v>
      </c>
      <c r="I330" s="227"/>
      <c r="J330" s="226" t="s">
        <v>20370</v>
      </c>
      <c r="K330" s="137" t="s">
        <v>20371</v>
      </c>
      <c r="L330" s="113" t="s">
        <v>20372</v>
      </c>
      <c r="M330" s="136" t="s">
        <v>20373</v>
      </c>
    </row>
    <row r="331" spans="1:13" ht="14.25" customHeight="1">
      <c r="A331" s="113">
        <v>40</v>
      </c>
      <c r="B331" s="113"/>
      <c r="C331" s="222" t="s">
        <v>20374</v>
      </c>
      <c r="D331" s="226" t="s">
        <v>20375</v>
      </c>
      <c r="E331" s="222" t="s">
        <v>20376</v>
      </c>
      <c r="F331" s="222" t="s">
        <v>18833</v>
      </c>
      <c r="G331" s="231" t="s">
        <v>20377</v>
      </c>
      <c r="H331" s="227" t="s">
        <v>20378</v>
      </c>
      <c r="I331" s="227"/>
      <c r="J331" s="226" t="s">
        <v>20379</v>
      </c>
      <c r="K331" s="137" t="s">
        <v>20380</v>
      </c>
      <c r="L331" s="113" t="s">
        <v>20381</v>
      </c>
      <c r="M331" s="136" t="s">
        <v>20382</v>
      </c>
    </row>
    <row r="332" spans="1:13" ht="14.25" customHeight="1">
      <c r="A332" s="113">
        <v>41</v>
      </c>
      <c r="B332" s="113"/>
      <c r="C332" s="222" t="s">
        <v>20383</v>
      </c>
      <c r="D332" s="217" t="s">
        <v>20384</v>
      </c>
      <c r="E332" s="222" t="s">
        <v>20385</v>
      </c>
      <c r="F332" s="222"/>
      <c r="G332" s="231" t="s">
        <v>20386</v>
      </c>
      <c r="H332" s="221" t="s">
        <v>20387</v>
      </c>
      <c r="I332" s="221"/>
      <c r="J332" s="28" t="s">
        <v>20388</v>
      </c>
      <c r="K332" s="137" t="s">
        <v>20389</v>
      </c>
      <c r="L332" s="113" t="s">
        <v>20390</v>
      </c>
      <c r="M332" s="136" t="s">
        <v>20391</v>
      </c>
    </row>
    <row r="333" spans="1:13" ht="14.25" customHeight="1">
      <c r="A333" s="113">
        <v>42</v>
      </c>
      <c r="B333" s="113"/>
      <c r="C333" s="222" t="s">
        <v>20392</v>
      </c>
      <c r="D333" s="217" t="s">
        <v>20393</v>
      </c>
      <c r="E333" s="222" t="s">
        <v>20394</v>
      </c>
      <c r="F333" s="222" t="s">
        <v>65</v>
      </c>
      <c r="G333" s="231" t="s">
        <v>20395</v>
      </c>
      <c r="H333" s="221" t="s">
        <v>20396</v>
      </c>
      <c r="I333" s="221"/>
      <c r="J333" s="28" t="s">
        <v>20397</v>
      </c>
      <c r="K333" s="137" t="s">
        <v>20398</v>
      </c>
      <c r="L333" s="113" t="s">
        <v>20399</v>
      </c>
      <c r="M333" s="136" t="s">
        <v>20400</v>
      </c>
    </row>
    <row r="334" spans="1:13" ht="14.25" customHeight="1">
      <c r="A334" s="113">
        <v>43</v>
      </c>
      <c r="B334" s="113"/>
      <c r="C334" s="222" t="s">
        <v>20401</v>
      </c>
      <c r="D334" s="217" t="s">
        <v>20402</v>
      </c>
      <c r="E334" s="222" t="s">
        <v>20403</v>
      </c>
      <c r="F334" s="222" t="s">
        <v>65</v>
      </c>
      <c r="G334" s="231" t="s">
        <v>20404</v>
      </c>
      <c r="H334" s="221" t="s">
        <v>20405</v>
      </c>
      <c r="I334" s="221"/>
      <c r="J334" s="28" t="s">
        <v>20406</v>
      </c>
      <c r="K334" s="137" t="s">
        <v>20407</v>
      </c>
      <c r="L334" s="113" t="s">
        <v>20408</v>
      </c>
      <c r="M334" s="136" t="s">
        <v>20409</v>
      </c>
    </row>
    <row r="335" spans="1:13" ht="14.25" customHeight="1">
      <c r="A335" s="210">
        <v>1</v>
      </c>
      <c r="B335" s="210"/>
      <c r="C335" s="211" t="s">
        <v>20410</v>
      </c>
      <c r="D335" s="238" t="s">
        <v>20411</v>
      </c>
      <c r="E335" s="211" t="s">
        <v>20412</v>
      </c>
      <c r="F335" s="211" t="s">
        <v>117</v>
      </c>
      <c r="G335" s="213" t="s">
        <v>20413</v>
      </c>
      <c r="H335" s="239" t="s">
        <v>20414</v>
      </c>
      <c r="I335" s="239"/>
      <c r="J335" s="215" t="s">
        <v>20415</v>
      </c>
      <c r="K335" s="215" t="s">
        <v>20416</v>
      </c>
      <c r="L335" s="210" t="s">
        <v>14301</v>
      </c>
      <c r="M335" s="247" t="s">
        <v>14302</v>
      </c>
    </row>
    <row r="336" spans="1:13" ht="14.25" customHeight="1">
      <c r="A336" s="113">
        <v>2</v>
      </c>
      <c r="B336" s="113"/>
      <c r="C336" s="216" t="s">
        <v>20417</v>
      </c>
      <c r="D336" s="217" t="s">
        <v>20418</v>
      </c>
      <c r="E336" s="216" t="s">
        <v>20419</v>
      </c>
      <c r="F336" s="216" t="s">
        <v>460</v>
      </c>
      <c r="G336" s="220" t="s">
        <v>20420</v>
      </c>
      <c r="H336" s="221" t="s">
        <v>20421</v>
      </c>
      <c r="I336" s="221"/>
      <c r="J336" s="28" t="s">
        <v>20422</v>
      </c>
      <c r="K336" s="137" t="s">
        <v>20423</v>
      </c>
      <c r="L336" s="136" t="s">
        <v>14310</v>
      </c>
      <c r="M336" s="136" t="s">
        <v>14311</v>
      </c>
    </row>
    <row r="337" spans="1:13" ht="14.25" customHeight="1">
      <c r="A337" s="113">
        <v>3</v>
      </c>
      <c r="B337" s="113"/>
      <c r="C337" s="216" t="s">
        <v>20424</v>
      </c>
      <c r="D337" s="118" t="s">
        <v>20425</v>
      </c>
      <c r="E337" s="216" t="s">
        <v>20426</v>
      </c>
      <c r="F337" s="216" t="s">
        <v>5559</v>
      </c>
      <c r="G337" s="220" t="s">
        <v>20427</v>
      </c>
      <c r="H337" s="227" t="s">
        <v>20428</v>
      </c>
      <c r="I337" s="227"/>
      <c r="J337" s="118" t="s">
        <v>20429</v>
      </c>
      <c r="K337" s="137" t="s">
        <v>20430</v>
      </c>
      <c r="L337" s="136" t="s">
        <v>14319</v>
      </c>
      <c r="M337" s="136" t="s">
        <v>14320</v>
      </c>
    </row>
    <row r="338" spans="1:13" ht="14.25" customHeight="1">
      <c r="A338" s="113">
        <v>4</v>
      </c>
      <c r="B338" s="113"/>
      <c r="C338" s="222" t="s">
        <v>20431</v>
      </c>
      <c r="D338" s="217" t="s">
        <v>20432</v>
      </c>
      <c r="E338" s="222" t="s">
        <v>20433</v>
      </c>
      <c r="F338" s="222" t="s">
        <v>65</v>
      </c>
      <c r="G338" s="231" t="s">
        <v>20434</v>
      </c>
      <c r="H338" s="221" t="s">
        <v>20435</v>
      </c>
      <c r="I338" s="221"/>
      <c r="J338" s="28" t="s">
        <v>20436</v>
      </c>
      <c r="K338" s="137" t="s">
        <v>20437</v>
      </c>
      <c r="L338" s="136" t="s">
        <v>14328</v>
      </c>
      <c r="M338" s="136" t="s">
        <v>14329</v>
      </c>
    </row>
    <row r="339" spans="1:13" ht="14.25" customHeight="1">
      <c r="A339" s="113">
        <v>5</v>
      </c>
      <c r="B339" s="113"/>
      <c r="C339" s="222" t="s">
        <v>20438</v>
      </c>
      <c r="D339" s="217" t="s">
        <v>20439</v>
      </c>
      <c r="E339" s="222" t="s">
        <v>20440</v>
      </c>
      <c r="F339" s="222" t="s">
        <v>18833</v>
      </c>
      <c r="G339" s="231" t="s">
        <v>20441</v>
      </c>
      <c r="H339" s="221" t="s">
        <v>20442</v>
      </c>
      <c r="I339" s="221"/>
      <c r="J339" s="28" t="s">
        <v>20443</v>
      </c>
      <c r="K339" s="137" t="s">
        <v>20444</v>
      </c>
      <c r="L339" s="136" t="s">
        <v>11105</v>
      </c>
      <c r="M339" s="136" t="s">
        <v>11106</v>
      </c>
    </row>
    <row r="340" spans="1:13" ht="14.25" customHeight="1">
      <c r="A340" s="113">
        <v>6</v>
      </c>
      <c r="B340" s="113"/>
      <c r="C340" s="222" t="s">
        <v>20445</v>
      </c>
      <c r="D340" s="217" t="s">
        <v>20446</v>
      </c>
      <c r="E340" s="222" t="s">
        <v>8457</v>
      </c>
      <c r="F340" s="222" t="s">
        <v>117</v>
      </c>
      <c r="G340" s="231" t="s">
        <v>20447</v>
      </c>
      <c r="H340" s="221" t="s">
        <v>20448</v>
      </c>
      <c r="I340" s="221"/>
      <c r="J340" s="28" t="s">
        <v>20449</v>
      </c>
      <c r="K340" s="137" t="s">
        <v>20450</v>
      </c>
      <c r="L340" s="136" t="s">
        <v>14338</v>
      </c>
      <c r="M340" s="136" t="s">
        <v>14339</v>
      </c>
    </row>
    <row r="341" spans="1:13" ht="14.25" customHeight="1">
      <c r="A341" s="113">
        <v>7</v>
      </c>
      <c r="B341" s="113"/>
      <c r="C341" s="222" t="s">
        <v>20451</v>
      </c>
      <c r="D341" s="217" t="s">
        <v>20452</v>
      </c>
      <c r="E341" s="222" t="s">
        <v>20453</v>
      </c>
      <c r="F341" s="222" t="s">
        <v>219</v>
      </c>
      <c r="G341" s="231" t="s">
        <v>20454</v>
      </c>
      <c r="H341" s="221" t="s">
        <v>20455</v>
      </c>
      <c r="I341" s="221"/>
      <c r="J341" s="28" t="s">
        <v>20456</v>
      </c>
      <c r="K341" s="137" t="s">
        <v>20457</v>
      </c>
      <c r="L341" s="136" t="s">
        <v>14347</v>
      </c>
      <c r="M341" s="136" t="s">
        <v>14348</v>
      </c>
    </row>
    <row r="342" spans="1:13" ht="14.25" customHeight="1">
      <c r="A342" s="113">
        <v>8</v>
      </c>
      <c r="B342" s="113"/>
      <c r="C342" s="222" t="s">
        <v>20458</v>
      </c>
      <c r="D342" s="217" t="s">
        <v>20459</v>
      </c>
      <c r="E342" s="222" t="s">
        <v>438</v>
      </c>
      <c r="F342" s="222" t="s">
        <v>4392</v>
      </c>
      <c r="G342" s="231" t="s">
        <v>20460</v>
      </c>
      <c r="H342" s="221" t="s">
        <v>20461</v>
      </c>
      <c r="I342" s="221"/>
      <c r="J342" s="28" t="s">
        <v>20462</v>
      </c>
      <c r="K342" s="137" t="s">
        <v>20463</v>
      </c>
      <c r="L342" s="136" t="s">
        <v>14356</v>
      </c>
      <c r="M342" s="136" t="s">
        <v>14357</v>
      </c>
    </row>
    <row r="343" spans="1:13" ht="14.25" customHeight="1">
      <c r="A343" s="113">
        <v>9</v>
      </c>
      <c r="B343" s="113"/>
      <c r="C343" s="222" t="s">
        <v>20464</v>
      </c>
      <c r="D343" s="217" t="s">
        <v>20465</v>
      </c>
      <c r="E343" s="222" t="s">
        <v>20466</v>
      </c>
      <c r="F343" s="222" t="s">
        <v>65</v>
      </c>
      <c r="G343" s="231" t="s">
        <v>20467</v>
      </c>
      <c r="H343" s="221" t="s">
        <v>20468</v>
      </c>
      <c r="I343" s="221"/>
      <c r="J343" s="28" t="s">
        <v>20469</v>
      </c>
      <c r="K343" s="137" t="s">
        <v>20470</v>
      </c>
      <c r="L343" s="136" t="s">
        <v>14365</v>
      </c>
      <c r="M343" s="136" t="s">
        <v>14366</v>
      </c>
    </row>
    <row r="344" spans="1:13" ht="14.25" customHeight="1">
      <c r="A344" s="113">
        <v>10</v>
      </c>
      <c r="B344" s="113"/>
      <c r="C344" s="222" t="s">
        <v>20471</v>
      </c>
      <c r="D344" s="217" t="s">
        <v>20472</v>
      </c>
      <c r="E344" s="222" t="s">
        <v>20473</v>
      </c>
      <c r="F344" s="222" t="s">
        <v>117</v>
      </c>
      <c r="G344" s="231" t="s">
        <v>20474</v>
      </c>
      <c r="H344" s="221" t="s">
        <v>20475</v>
      </c>
      <c r="I344" s="221"/>
      <c r="J344" s="28" t="s">
        <v>20476</v>
      </c>
      <c r="K344" s="137" t="s">
        <v>20477</v>
      </c>
      <c r="L344" s="136" t="s">
        <v>14374</v>
      </c>
      <c r="M344" s="136" t="s">
        <v>14375</v>
      </c>
    </row>
    <row r="345" spans="1:13" ht="14.25" customHeight="1">
      <c r="A345" s="113">
        <v>11</v>
      </c>
      <c r="B345" s="113"/>
      <c r="C345" s="222" t="s">
        <v>20478</v>
      </c>
      <c r="D345" s="217" t="s">
        <v>20479</v>
      </c>
      <c r="E345" s="222" t="s">
        <v>20480</v>
      </c>
      <c r="F345" s="222" t="s">
        <v>4392</v>
      </c>
      <c r="G345" s="231" t="s">
        <v>20481</v>
      </c>
      <c r="H345" s="221" t="s">
        <v>20482</v>
      </c>
      <c r="I345" s="221"/>
      <c r="J345" s="28" t="s">
        <v>20483</v>
      </c>
      <c r="K345" s="137" t="s">
        <v>20484</v>
      </c>
      <c r="L345" s="136" t="s">
        <v>14383</v>
      </c>
      <c r="M345" s="136" t="s">
        <v>14384</v>
      </c>
    </row>
    <row r="346" spans="1:13" ht="14.25" customHeight="1">
      <c r="A346" s="267">
        <v>12</v>
      </c>
      <c r="B346" s="267"/>
      <c r="C346" s="222" t="s">
        <v>20485</v>
      </c>
      <c r="D346" s="217" t="s">
        <v>20486</v>
      </c>
      <c r="E346" s="222" t="s">
        <v>20487</v>
      </c>
      <c r="F346" s="222" t="s">
        <v>4392</v>
      </c>
      <c r="G346" s="231" t="s">
        <v>20488</v>
      </c>
      <c r="H346" s="221" t="s">
        <v>20489</v>
      </c>
      <c r="I346" s="221"/>
      <c r="J346" s="28" t="s">
        <v>20490</v>
      </c>
      <c r="K346" s="137" t="s">
        <v>20491</v>
      </c>
      <c r="L346" s="136" t="s">
        <v>10983</v>
      </c>
      <c r="M346" s="136" t="s">
        <v>10984</v>
      </c>
    </row>
    <row r="347" spans="1:13" ht="14.25" customHeight="1">
      <c r="A347" s="267">
        <v>13</v>
      </c>
      <c r="B347" s="267"/>
      <c r="C347" s="222" t="s">
        <v>20492</v>
      </c>
      <c r="D347" s="217" t="s">
        <v>20493</v>
      </c>
      <c r="E347" s="222" t="s">
        <v>20494</v>
      </c>
      <c r="F347" s="222" t="s">
        <v>117</v>
      </c>
      <c r="G347" s="231" t="s">
        <v>20495</v>
      </c>
      <c r="H347" s="221" t="s">
        <v>20496</v>
      </c>
      <c r="I347" s="221"/>
      <c r="J347" s="28" t="s">
        <v>20497</v>
      </c>
      <c r="K347" s="137" t="s">
        <v>20498</v>
      </c>
      <c r="L347" s="136" t="s">
        <v>14393</v>
      </c>
      <c r="M347" s="136" t="s">
        <v>14394</v>
      </c>
    </row>
    <row r="348" spans="1:13" ht="14.25" customHeight="1">
      <c r="A348" s="113">
        <v>14</v>
      </c>
      <c r="B348" s="113"/>
      <c r="C348" s="222" t="s">
        <v>20499</v>
      </c>
      <c r="D348" s="217" t="s">
        <v>20500</v>
      </c>
      <c r="E348" s="222" t="s">
        <v>20501</v>
      </c>
      <c r="F348" s="222" t="s">
        <v>65</v>
      </c>
      <c r="G348" s="231" t="s">
        <v>20502</v>
      </c>
      <c r="H348" s="221" t="s">
        <v>20503</v>
      </c>
      <c r="I348" s="221"/>
      <c r="J348" s="28" t="s">
        <v>20504</v>
      </c>
      <c r="K348" s="137" t="s">
        <v>20505</v>
      </c>
      <c r="L348" s="136" t="s">
        <v>14402</v>
      </c>
      <c r="M348" s="136" t="s">
        <v>14403</v>
      </c>
    </row>
    <row r="349" spans="1:13" ht="14.25" customHeight="1">
      <c r="A349" s="113">
        <v>15</v>
      </c>
      <c r="B349" s="113"/>
      <c r="C349" s="222" t="s">
        <v>20506</v>
      </c>
      <c r="D349" s="217" t="s">
        <v>20507</v>
      </c>
      <c r="E349" s="222" t="s">
        <v>20508</v>
      </c>
      <c r="F349" s="222" t="s">
        <v>65</v>
      </c>
      <c r="G349" s="231" t="s">
        <v>20509</v>
      </c>
      <c r="H349" s="221" t="s">
        <v>20510</v>
      </c>
      <c r="I349" s="221"/>
      <c r="J349" s="28" t="s">
        <v>20511</v>
      </c>
      <c r="K349" s="137" t="s">
        <v>20512</v>
      </c>
      <c r="L349" s="136" t="s">
        <v>14411</v>
      </c>
      <c r="M349" s="136" t="s">
        <v>14412</v>
      </c>
    </row>
    <row r="350" spans="1:13" ht="14.25" customHeight="1">
      <c r="A350" s="267">
        <v>16</v>
      </c>
      <c r="B350" s="267"/>
      <c r="C350" s="222" t="s">
        <v>20513</v>
      </c>
      <c r="D350" s="217" t="s">
        <v>20514</v>
      </c>
      <c r="E350" s="222" t="s">
        <v>3501</v>
      </c>
      <c r="F350" s="222" t="s">
        <v>19784</v>
      </c>
      <c r="G350" s="231" t="s">
        <v>20515</v>
      </c>
      <c r="H350" s="221" t="s">
        <v>20516</v>
      </c>
      <c r="I350" s="221"/>
      <c r="J350" s="28" t="s">
        <v>20517</v>
      </c>
      <c r="K350" s="137" t="s">
        <v>20518</v>
      </c>
      <c r="L350" s="136" t="s">
        <v>14420</v>
      </c>
      <c r="M350" s="136" t="s">
        <v>14421</v>
      </c>
    </row>
    <row r="351" spans="1:13" ht="14.25" customHeight="1">
      <c r="A351" s="113">
        <v>17</v>
      </c>
      <c r="B351" s="113"/>
      <c r="C351" s="216" t="s">
        <v>20519</v>
      </c>
      <c r="D351" s="217" t="s">
        <v>20520</v>
      </c>
      <c r="E351" s="216" t="s">
        <v>20521</v>
      </c>
      <c r="F351" s="216" t="s">
        <v>117</v>
      </c>
      <c r="G351" s="220" t="s">
        <v>20522</v>
      </c>
      <c r="H351" s="221" t="s">
        <v>20523</v>
      </c>
      <c r="I351" s="221"/>
      <c r="J351" s="28" t="s">
        <v>20524</v>
      </c>
      <c r="K351" s="137" t="s">
        <v>20525</v>
      </c>
      <c r="L351" s="136" t="s">
        <v>14429</v>
      </c>
      <c r="M351" s="136" t="s">
        <v>14430</v>
      </c>
    </row>
    <row r="352" spans="1:13" ht="14.25" customHeight="1">
      <c r="A352" s="113">
        <v>18</v>
      </c>
      <c r="B352" s="113"/>
      <c r="C352" s="222" t="s">
        <v>20526</v>
      </c>
      <c r="D352" s="217" t="s">
        <v>20527</v>
      </c>
      <c r="E352" s="222" t="s">
        <v>20528</v>
      </c>
      <c r="F352" s="222" t="s">
        <v>65</v>
      </c>
      <c r="G352" s="231" t="s">
        <v>14352</v>
      </c>
      <c r="H352" s="221" t="s">
        <v>20529</v>
      </c>
      <c r="I352" s="221"/>
      <c r="J352" s="28" t="s">
        <v>20530</v>
      </c>
      <c r="K352" s="137" t="s">
        <v>20531</v>
      </c>
      <c r="L352" s="136" t="s">
        <v>14438</v>
      </c>
      <c r="M352" s="136" t="s">
        <v>14439</v>
      </c>
    </row>
    <row r="353" spans="1:13" ht="14.25" customHeight="1">
      <c r="A353" s="113">
        <v>19</v>
      </c>
      <c r="B353" s="113"/>
      <c r="C353" s="222" t="s">
        <v>20532</v>
      </c>
      <c r="D353" s="217" t="s">
        <v>20533</v>
      </c>
      <c r="E353" s="222" t="s">
        <v>20534</v>
      </c>
      <c r="F353" s="222" t="s">
        <v>117</v>
      </c>
      <c r="G353" s="231" t="s">
        <v>20535</v>
      </c>
      <c r="H353" s="221" t="s">
        <v>20536</v>
      </c>
      <c r="I353" s="221"/>
      <c r="J353" s="28" t="s">
        <v>20537</v>
      </c>
      <c r="K353" s="137" t="s">
        <v>20538</v>
      </c>
      <c r="L353" s="136" t="s">
        <v>10811</v>
      </c>
      <c r="M353" s="136" t="s">
        <v>10812</v>
      </c>
    </row>
    <row r="354" spans="1:13" ht="14.25" customHeight="1">
      <c r="A354" s="113">
        <v>20</v>
      </c>
      <c r="B354" s="113"/>
      <c r="C354" s="216" t="s">
        <v>20539</v>
      </c>
      <c r="D354" s="217" t="s">
        <v>20540</v>
      </c>
      <c r="E354" s="216" t="s">
        <v>20541</v>
      </c>
      <c r="F354" s="216" t="s">
        <v>117</v>
      </c>
      <c r="G354" s="220" t="s">
        <v>20542</v>
      </c>
      <c r="H354" s="221" t="s">
        <v>20543</v>
      </c>
      <c r="I354" s="221"/>
      <c r="J354" s="137" t="s">
        <v>20544</v>
      </c>
      <c r="K354" s="137" t="s">
        <v>20545</v>
      </c>
      <c r="L354" s="136" t="s">
        <v>14448</v>
      </c>
      <c r="M354" s="136" t="s">
        <v>14449</v>
      </c>
    </row>
    <row r="355" spans="1:13" ht="14.25" customHeight="1">
      <c r="A355" s="136">
        <v>21</v>
      </c>
      <c r="B355" s="136"/>
      <c r="C355" s="222" t="s">
        <v>20546</v>
      </c>
      <c r="D355" s="254" t="s">
        <v>20547</v>
      </c>
      <c r="E355" s="222" t="s">
        <v>20548</v>
      </c>
      <c r="F355" s="222" t="s">
        <v>5559</v>
      </c>
      <c r="G355" s="231" t="s">
        <v>20549</v>
      </c>
      <c r="H355" s="255" t="s">
        <v>20550</v>
      </c>
      <c r="I355" s="255"/>
      <c r="J355" s="193" t="s">
        <v>20551</v>
      </c>
      <c r="K355" s="118" t="s">
        <v>20552</v>
      </c>
      <c r="L355" s="136" t="s">
        <v>14457</v>
      </c>
      <c r="M355" s="136" t="s">
        <v>14458</v>
      </c>
    </row>
    <row r="356" spans="1:13" ht="14.25" customHeight="1">
      <c r="A356" s="113">
        <v>22</v>
      </c>
      <c r="B356" s="113"/>
      <c r="C356" s="222" t="s">
        <v>20553</v>
      </c>
      <c r="D356" s="217" t="s">
        <v>20554</v>
      </c>
      <c r="E356" s="222" t="s">
        <v>20555</v>
      </c>
      <c r="F356" s="222" t="s">
        <v>65</v>
      </c>
      <c r="G356" s="231" t="s">
        <v>20556</v>
      </c>
      <c r="H356" s="221" t="s">
        <v>20557</v>
      </c>
      <c r="I356" s="221"/>
      <c r="J356" s="28" t="s">
        <v>20558</v>
      </c>
      <c r="K356" s="137" t="s">
        <v>20559</v>
      </c>
      <c r="L356" s="136" t="s">
        <v>14466</v>
      </c>
      <c r="M356" s="136" t="s">
        <v>14467</v>
      </c>
    </row>
    <row r="357" spans="1:13" ht="14.25" customHeight="1">
      <c r="A357" s="113">
        <v>23</v>
      </c>
      <c r="B357" s="113"/>
      <c r="C357" s="222" t="s">
        <v>20560</v>
      </c>
      <c r="D357" s="217" t="s">
        <v>20561</v>
      </c>
      <c r="E357" s="222" t="s">
        <v>20562</v>
      </c>
      <c r="F357" s="222" t="s">
        <v>4392</v>
      </c>
      <c r="G357" s="231" t="s">
        <v>20563</v>
      </c>
      <c r="H357" s="221" t="s">
        <v>20564</v>
      </c>
      <c r="I357" s="221"/>
      <c r="J357" s="28" t="s">
        <v>20565</v>
      </c>
      <c r="K357" s="137" t="s">
        <v>20566</v>
      </c>
      <c r="L357" s="136" t="s">
        <v>14475</v>
      </c>
      <c r="M357" s="136" t="s">
        <v>14476</v>
      </c>
    </row>
    <row r="358" spans="1:13" ht="14.25" customHeight="1">
      <c r="A358" s="113">
        <v>24</v>
      </c>
      <c r="B358" s="113"/>
      <c r="C358" s="216" t="s">
        <v>20567</v>
      </c>
      <c r="D358" s="124" t="s">
        <v>20568</v>
      </c>
      <c r="E358" s="216" t="s">
        <v>20569</v>
      </c>
      <c r="F358" s="216" t="s">
        <v>4392</v>
      </c>
      <c r="G358" s="220" t="s">
        <v>20570</v>
      </c>
      <c r="H358" s="261" t="s">
        <v>20571</v>
      </c>
      <c r="I358" s="261"/>
      <c r="J358" s="126" t="s">
        <v>20572</v>
      </c>
      <c r="K358" s="137" t="s">
        <v>20573</v>
      </c>
      <c r="L358" s="136" t="s">
        <v>14484</v>
      </c>
      <c r="M358" s="136" t="s">
        <v>14485</v>
      </c>
    </row>
    <row r="359" spans="1:13" ht="14.25" customHeight="1">
      <c r="A359" s="267">
        <v>25</v>
      </c>
      <c r="B359" s="267"/>
      <c r="C359" s="222" t="s">
        <v>20574</v>
      </c>
      <c r="D359" s="217" t="s">
        <v>20575</v>
      </c>
      <c r="E359" s="222" t="s">
        <v>20576</v>
      </c>
      <c r="F359" s="222" t="s">
        <v>5559</v>
      </c>
      <c r="G359" s="231" t="s">
        <v>20577</v>
      </c>
      <c r="H359" s="221" t="s">
        <v>20578</v>
      </c>
      <c r="I359" s="221"/>
      <c r="J359" s="28" t="s">
        <v>20579</v>
      </c>
      <c r="K359" s="137" t="s">
        <v>20580</v>
      </c>
      <c r="L359" s="136" t="s">
        <v>14492</v>
      </c>
      <c r="M359" s="136" t="s">
        <v>14493</v>
      </c>
    </row>
    <row r="360" spans="1:13" ht="14.25" customHeight="1">
      <c r="A360" s="113">
        <v>26</v>
      </c>
      <c r="B360" s="113"/>
      <c r="C360" s="222" t="s">
        <v>20581</v>
      </c>
      <c r="D360" s="217" t="s">
        <v>20582</v>
      </c>
      <c r="E360" s="222" t="s">
        <v>20583</v>
      </c>
      <c r="F360" s="222" t="s">
        <v>5559</v>
      </c>
      <c r="G360" s="231" t="s">
        <v>20584</v>
      </c>
      <c r="H360" s="221" t="s">
        <v>20585</v>
      </c>
      <c r="I360" s="221"/>
      <c r="J360" s="28" t="s">
        <v>20586</v>
      </c>
      <c r="K360" s="137" t="s">
        <v>20587</v>
      </c>
      <c r="L360" s="136" t="s">
        <v>14501</v>
      </c>
      <c r="M360" s="136" t="s">
        <v>14502</v>
      </c>
    </row>
    <row r="361" spans="1:13" ht="14.25" customHeight="1">
      <c r="A361" s="113">
        <v>27</v>
      </c>
      <c r="B361" s="113"/>
      <c r="C361" s="222" t="s">
        <v>20588</v>
      </c>
      <c r="D361" s="217" t="s">
        <v>20589</v>
      </c>
      <c r="E361" s="222" t="s">
        <v>20590</v>
      </c>
      <c r="F361" s="222" t="s">
        <v>219</v>
      </c>
      <c r="G361" s="231" t="s">
        <v>20591</v>
      </c>
      <c r="H361" s="221" t="s">
        <v>20592</v>
      </c>
      <c r="I361" s="221"/>
      <c r="J361" s="28" t="s">
        <v>20593</v>
      </c>
      <c r="K361" s="137" t="s">
        <v>20594</v>
      </c>
      <c r="L361" s="136" t="s">
        <v>14510</v>
      </c>
      <c r="M361" s="136" t="s">
        <v>14511</v>
      </c>
    </row>
    <row r="362" spans="1:13" ht="14.25" customHeight="1">
      <c r="A362" s="113">
        <v>28</v>
      </c>
      <c r="B362" s="113"/>
      <c r="C362" s="222" t="s">
        <v>20595</v>
      </c>
      <c r="D362" s="217" t="s">
        <v>20596</v>
      </c>
      <c r="E362" s="222" t="s">
        <v>20597</v>
      </c>
      <c r="F362" s="222" t="s">
        <v>5559</v>
      </c>
      <c r="G362" s="231" t="s">
        <v>20598</v>
      </c>
      <c r="H362" s="221" t="s">
        <v>20599</v>
      </c>
      <c r="I362" s="221"/>
      <c r="J362" s="28" t="s">
        <v>20600</v>
      </c>
      <c r="K362" s="137" t="s">
        <v>20601</v>
      </c>
      <c r="L362" s="136" t="s">
        <v>14519</v>
      </c>
      <c r="M362" s="136" t="s">
        <v>14520</v>
      </c>
    </row>
    <row r="363" spans="1:13" ht="14.25" customHeight="1">
      <c r="A363" s="113">
        <v>29</v>
      </c>
      <c r="B363" s="113"/>
      <c r="C363" s="222" t="s">
        <v>20602</v>
      </c>
      <c r="D363" s="217" t="s">
        <v>20603</v>
      </c>
      <c r="E363" s="222" t="s">
        <v>20604</v>
      </c>
      <c r="F363" s="222" t="s">
        <v>5559</v>
      </c>
      <c r="G363" s="231" t="s">
        <v>20605</v>
      </c>
      <c r="H363" s="221" t="s">
        <v>20606</v>
      </c>
      <c r="I363" s="221"/>
      <c r="J363" s="28" t="s">
        <v>20607</v>
      </c>
      <c r="K363" s="137" t="s">
        <v>20608</v>
      </c>
      <c r="L363" s="136" t="s">
        <v>14528</v>
      </c>
      <c r="M363" s="136" t="s">
        <v>14529</v>
      </c>
    </row>
    <row r="364" spans="1:13" ht="14.25" customHeight="1">
      <c r="A364" s="113">
        <v>30</v>
      </c>
      <c r="B364" s="113"/>
      <c r="C364" s="222" t="s">
        <v>20609</v>
      </c>
      <c r="D364" s="217" t="s">
        <v>20610</v>
      </c>
      <c r="E364" s="222" t="s">
        <v>20611</v>
      </c>
      <c r="F364" s="222" t="s">
        <v>5559</v>
      </c>
      <c r="G364" s="231" t="s">
        <v>20612</v>
      </c>
      <c r="H364" s="221" t="s">
        <v>20613</v>
      </c>
      <c r="I364" s="221"/>
      <c r="J364" s="28" t="s">
        <v>20614</v>
      </c>
      <c r="K364" s="137" t="s">
        <v>20615</v>
      </c>
      <c r="L364" s="136" t="s">
        <v>14537</v>
      </c>
      <c r="M364" s="136" t="s">
        <v>14538</v>
      </c>
    </row>
    <row r="365" spans="1:13" ht="14.25" customHeight="1">
      <c r="A365" s="113">
        <v>31</v>
      </c>
      <c r="B365" s="113"/>
      <c r="C365" s="222" t="s">
        <v>20616</v>
      </c>
      <c r="D365" s="217" t="s">
        <v>20617</v>
      </c>
      <c r="E365" s="222" t="s">
        <v>20618</v>
      </c>
      <c r="F365" s="222" t="s">
        <v>117</v>
      </c>
      <c r="G365" s="231" t="s">
        <v>20619</v>
      </c>
      <c r="H365" s="221" t="s">
        <v>20620</v>
      </c>
      <c r="I365" s="221"/>
      <c r="J365" s="28" t="s">
        <v>20621</v>
      </c>
      <c r="K365" s="137" t="s">
        <v>20622</v>
      </c>
      <c r="L365" s="136" t="s">
        <v>10694</v>
      </c>
      <c r="M365" s="136" t="s">
        <v>10695</v>
      </c>
    </row>
    <row r="366" spans="1:13" ht="14.25" customHeight="1">
      <c r="A366" s="113">
        <v>32</v>
      </c>
      <c r="B366" s="113"/>
      <c r="C366" s="222" t="s">
        <v>20623</v>
      </c>
      <c r="D366" s="217" t="s">
        <v>20624</v>
      </c>
      <c r="E366" s="222" t="s">
        <v>20625</v>
      </c>
      <c r="F366" s="222"/>
      <c r="G366" s="231" t="s">
        <v>20626</v>
      </c>
      <c r="H366" s="221" t="s">
        <v>20627</v>
      </c>
      <c r="I366" s="221"/>
      <c r="J366" s="28" t="s">
        <v>20628</v>
      </c>
      <c r="K366" s="137" t="s">
        <v>20629</v>
      </c>
      <c r="L366" s="136" t="s">
        <v>14547</v>
      </c>
      <c r="M366" s="136" t="s">
        <v>14548</v>
      </c>
    </row>
    <row r="367" spans="1:13" ht="14.25" customHeight="1">
      <c r="A367" s="113">
        <v>33</v>
      </c>
      <c r="B367" s="113"/>
      <c r="C367" s="222" t="s">
        <v>20630</v>
      </c>
      <c r="D367" s="217" t="s">
        <v>20631</v>
      </c>
      <c r="E367" s="222" t="s">
        <v>20632</v>
      </c>
      <c r="F367" s="222" t="s">
        <v>65</v>
      </c>
      <c r="G367" s="231" t="s">
        <v>20633</v>
      </c>
      <c r="H367" s="221" t="s">
        <v>20634</v>
      </c>
      <c r="I367" s="221"/>
      <c r="J367" s="28" t="s">
        <v>20635</v>
      </c>
      <c r="K367" s="137" t="s">
        <v>20636</v>
      </c>
      <c r="L367" s="136" t="s">
        <v>14556</v>
      </c>
      <c r="M367" s="136" t="s">
        <v>14557</v>
      </c>
    </row>
    <row r="368" spans="1:13" ht="14.25" customHeight="1">
      <c r="A368" s="113">
        <v>34</v>
      </c>
      <c r="B368" s="113"/>
      <c r="C368" s="222" t="s">
        <v>20637</v>
      </c>
      <c r="D368" s="217" t="s">
        <v>20638</v>
      </c>
      <c r="E368" s="222" t="s">
        <v>20639</v>
      </c>
      <c r="F368" s="222" t="s">
        <v>219</v>
      </c>
      <c r="G368" s="231" t="s">
        <v>20640</v>
      </c>
      <c r="H368" s="221" t="s">
        <v>20641</v>
      </c>
      <c r="I368" s="221"/>
      <c r="J368" s="28" t="s">
        <v>20642</v>
      </c>
      <c r="K368" s="137" t="s">
        <v>20643</v>
      </c>
      <c r="L368" s="136" t="s">
        <v>14565</v>
      </c>
      <c r="M368" s="136" t="s">
        <v>14566</v>
      </c>
    </row>
    <row r="369" spans="1:13" ht="14.25" customHeight="1">
      <c r="A369" s="113">
        <v>35</v>
      </c>
      <c r="B369" s="113"/>
      <c r="C369" s="222" t="s">
        <v>20644</v>
      </c>
      <c r="D369" s="217" t="s">
        <v>20645</v>
      </c>
      <c r="E369" s="222" t="s">
        <v>20646</v>
      </c>
      <c r="F369" s="222" t="s">
        <v>117</v>
      </c>
      <c r="G369" s="231" t="s">
        <v>20647</v>
      </c>
      <c r="H369" s="221" t="s">
        <v>20648</v>
      </c>
      <c r="I369" s="221"/>
      <c r="J369" s="28" t="s">
        <v>20649</v>
      </c>
      <c r="K369" s="137" t="s">
        <v>20650</v>
      </c>
      <c r="L369" s="136" t="s">
        <v>20651</v>
      </c>
      <c r="M369" s="136" t="s">
        <v>20652</v>
      </c>
    </row>
    <row r="370" spans="1:13" ht="14.25" customHeight="1">
      <c r="A370" s="113">
        <v>36</v>
      </c>
      <c r="B370" s="113"/>
      <c r="C370" s="222" t="s">
        <v>20653</v>
      </c>
      <c r="D370" s="217" t="s">
        <v>20654</v>
      </c>
      <c r="E370" s="222" t="s">
        <v>20655</v>
      </c>
      <c r="F370" s="222" t="s">
        <v>117</v>
      </c>
      <c r="G370" s="231" t="s">
        <v>20656</v>
      </c>
      <c r="H370" s="221" t="s">
        <v>20657</v>
      </c>
      <c r="I370" s="221"/>
      <c r="J370" s="28" t="s">
        <v>20658</v>
      </c>
      <c r="K370" s="13" t="s">
        <v>20659</v>
      </c>
      <c r="L370" s="136" t="s">
        <v>20660</v>
      </c>
      <c r="M370" s="136" t="s">
        <v>20661</v>
      </c>
    </row>
    <row r="371" spans="1:13" ht="14.25" customHeight="1">
      <c r="A371" s="113">
        <v>37</v>
      </c>
      <c r="B371" s="113"/>
      <c r="C371" s="222" t="s">
        <v>20662</v>
      </c>
      <c r="D371" s="217" t="s">
        <v>20663</v>
      </c>
      <c r="E371" s="222" t="s">
        <v>20664</v>
      </c>
      <c r="F371" s="222" t="s">
        <v>5559</v>
      </c>
      <c r="G371" s="231" t="s">
        <v>20665</v>
      </c>
      <c r="H371" s="221" t="s">
        <v>20666</v>
      </c>
      <c r="I371" s="221"/>
      <c r="J371" s="28" t="s">
        <v>20667</v>
      </c>
      <c r="K371" s="137" t="s">
        <v>20668</v>
      </c>
      <c r="L371" s="136" t="s">
        <v>20669</v>
      </c>
      <c r="M371" s="136" t="s">
        <v>20670</v>
      </c>
    </row>
    <row r="372" spans="1:13" ht="14.25" customHeight="1">
      <c r="A372" s="113">
        <v>38</v>
      </c>
      <c r="B372" s="113"/>
      <c r="C372" s="222" t="s">
        <v>20671</v>
      </c>
      <c r="D372" s="217" t="s">
        <v>20672</v>
      </c>
      <c r="E372" s="222" t="s">
        <v>20673</v>
      </c>
      <c r="F372" s="222" t="s">
        <v>20674</v>
      </c>
      <c r="G372" s="231" t="s">
        <v>20675</v>
      </c>
      <c r="H372" s="221" t="s">
        <v>20676</v>
      </c>
      <c r="I372" s="221"/>
      <c r="J372" s="28" t="s">
        <v>20677</v>
      </c>
      <c r="K372" s="137" t="s">
        <v>20678</v>
      </c>
      <c r="L372" s="136" t="s">
        <v>20679</v>
      </c>
      <c r="M372" s="136" t="s">
        <v>20680</v>
      </c>
    </row>
    <row r="373" spans="1:13" ht="14.25" customHeight="1">
      <c r="A373" s="210">
        <v>1</v>
      </c>
      <c r="B373" s="210"/>
      <c r="C373" s="211" t="s">
        <v>20681</v>
      </c>
      <c r="D373" s="238" t="s">
        <v>20682</v>
      </c>
      <c r="E373" s="211" t="s">
        <v>20683</v>
      </c>
      <c r="F373" s="211" t="s">
        <v>65</v>
      </c>
      <c r="G373" s="213" t="s">
        <v>20684</v>
      </c>
      <c r="H373" s="239" t="s">
        <v>20685</v>
      </c>
      <c r="I373" s="239"/>
      <c r="J373" s="263" t="s">
        <v>20686</v>
      </c>
      <c r="K373" s="215" t="s">
        <v>20687</v>
      </c>
      <c r="L373" s="210" t="s">
        <v>11043</v>
      </c>
      <c r="M373" s="247" t="s">
        <v>11044</v>
      </c>
    </row>
    <row r="374" spans="1:13" ht="14.25" customHeight="1">
      <c r="A374" s="113">
        <v>2</v>
      </c>
      <c r="B374" s="113"/>
      <c r="C374" s="222" t="s">
        <v>20688</v>
      </c>
      <c r="D374" s="217" t="s">
        <v>20689</v>
      </c>
      <c r="E374" s="222" t="s">
        <v>20690</v>
      </c>
      <c r="F374" s="222" t="s">
        <v>65</v>
      </c>
      <c r="G374" s="231" t="s">
        <v>20691</v>
      </c>
      <c r="H374" s="221" t="s">
        <v>20692</v>
      </c>
      <c r="I374" s="221"/>
      <c r="J374" s="28" t="s">
        <v>20693</v>
      </c>
      <c r="K374" s="137" t="s">
        <v>20694</v>
      </c>
      <c r="L374" s="136" t="s">
        <v>14575</v>
      </c>
      <c r="M374" s="136" t="s">
        <v>14576</v>
      </c>
    </row>
    <row r="375" spans="1:13" ht="14.25" customHeight="1">
      <c r="A375" s="113">
        <v>3</v>
      </c>
      <c r="B375" s="113"/>
      <c r="C375" s="222" t="s">
        <v>20695</v>
      </c>
      <c r="D375" s="217" t="s">
        <v>20696</v>
      </c>
      <c r="E375" s="222" t="s">
        <v>20697</v>
      </c>
      <c r="F375" s="222" t="s">
        <v>117</v>
      </c>
      <c r="G375" s="231" t="s">
        <v>20698</v>
      </c>
      <c r="H375" s="221" t="s">
        <v>20699</v>
      </c>
      <c r="I375" s="221"/>
      <c r="J375" s="28" t="s">
        <v>20700</v>
      </c>
      <c r="K375" s="137" t="s">
        <v>20701</v>
      </c>
      <c r="L375" s="136" t="s">
        <v>14584</v>
      </c>
      <c r="M375" s="136" t="s">
        <v>14585</v>
      </c>
    </row>
    <row r="376" spans="1:13" ht="14.25" customHeight="1">
      <c r="A376" s="113">
        <v>4</v>
      </c>
      <c r="B376" s="113"/>
      <c r="C376" s="222" t="s">
        <v>20702</v>
      </c>
      <c r="D376" s="217" t="s">
        <v>20703</v>
      </c>
      <c r="E376" s="222" t="s">
        <v>20704</v>
      </c>
      <c r="F376" s="222" t="s">
        <v>5559</v>
      </c>
      <c r="G376" s="231" t="s">
        <v>20705</v>
      </c>
      <c r="H376" s="221" t="s">
        <v>20706</v>
      </c>
      <c r="I376" s="221"/>
      <c r="J376" s="28" t="s">
        <v>20707</v>
      </c>
      <c r="K376" s="137" t="s">
        <v>20708</v>
      </c>
      <c r="L376" s="136" t="s">
        <v>14590</v>
      </c>
      <c r="M376" s="136" t="s">
        <v>14591</v>
      </c>
    </row>
    <row r="377" spans="1:13" ht="14.25" customHeight="1">
      <c r="A377" s="113">
        <v>5</v>
      </c>
      <c r="B377" s="113"/>
      <c r="C377" s="222" t="s">
        <v>20709</v>
      </c>
      <c r="D377" s="217" t="s">
        <v>20710</v>
      </c>
      <c r="E377" s="222" t="s">
        <v>20711</v>
      </c>
      <c r="F377" s="222" t="s">
        <v>219</v>
      </c>
      <c r="G377" s="231" t="s">
        <v>20712</v>
      </c>
      <c r="H377" s="221" t="s">
        <v>20713</v>
      </c>
      <c r="I377" s="221"/>
      <c r="J377" s="28" t="s">
        <v>20714</v>
      </c>
      <c r="K377" s="137" t="s">
        <v>20715</v>
      </c>
      <c r="L377" s="136" t="s">
        <v>10780</v>
      </c>
      <c r="M377" s="136" t="s">
        <v>10781</v>
      </c>
    </row>
    <row r="378" spans="1:13" ht="14.25" customHeight="1">
      <c r="A378" s="113">
        <v>6</v>
      </c>
      <c r="B378" s="113"/>
      <c r="C378" s="222" t="s">
        <v>20716</v>
      </c>
      <c r="D378" s="217" t="s">
        <v>20717</v>
      </c>
      <c r="E378" s="222" t="s">
        <v>20718</v>
      </c>
      <c r="F378" s="222" t="s">
        <v>4823</v>
      </c>
      <c r="G378" s="231" t="s">
        <v>20719</v>
      </c>
      <c r="H378" s="221" t="s">
        <v>20720</v>
      </c>
      <c r="I378" s="221"/>
      <c r="J378" s="28" t="s">
        <v>20721</v>
      </c>
      <c r="K378" s="137" t="s">
        <v>20722</v>
      </c>
      <c r="L378" s="136" t="s">
        <v>11114</v>
      </c>
      <c r="M378" s="136" t="s">
        <v>11115</v>
      </c>
    </row>
    <row r="379" spans="1:13" ht="14.25" customHeight="1">
      <c r="A379" s="113">
        <v>7</v>
      </c>
      <c r="B379" s="113"/>
      <c r="C379" s="216" t="s">
        <v>20723</v>
      </c>
      <c r="D379" s="217" t="s">
        <v>20724</v>
      </c>
      <c r="E379" s="216" t="s">
        <v>20725</v>
      </c>
      <c r="F379" s="216" t="s">
        <v>65</v>
      </c>
      <c r="G379" s="220" t="s">
        <v>20726</v>
      </c>
      <c r="H379" s="221" t="s">
        <v>20727</v>
      </c>
      <c r="I379" s="221"/>
      <c r="J379" s="28" t="s">
        <v>20728</v>
      </c>
      <c r="K379" s="137" t="s">
        <v>20729</v>
      </c>
      <c r="L379" s="136" t="s">
        <v>14601</v>
      </c>
      <c r="M379" s="136" t="s">
        <v>14602</v>
      </c>
    </row>
    <row r="380" spans="1:13" ht="14.25" customHeight="1">
      <c r="A380" s="113">
        <v>8</v>
      </c>
      <c r="B380" s="113"/>
      <c r="C380" s="222" t="s">
        <v>20730</v>
      </c>
      <c r="D380" s="217" t="s">
        <v>20731</v>
      </c>
      <c r="E380" s="222" t="s">
        <v>20732</v>
      </c>
      <c r="F380" s="222" t="s">
        <v>117</v>
      </c>
      <c r="G380" s="231" t="s">
        <v>20733</v>
      </c>
      <c r="H380" s="221" t="s">
        <v>20734</v>
      </c>
      <c r="I380" s="221"/>
      <c r="J380" s="28" t="s">
        <v>20735</v>
      </c>
      <c r="K380" s="137" t="s">
        <v>20736</v>
      </c>
      <c r="L380" s="136" t="s">
        <v>14610</v>
      </c>
      <c r="M380" s="136" t="s">
        <v>14611</v>
      </c>
    </row>
    <row r="381" spans="1:13" ht="14.25" customHeight="1">
      <c r="A381" s="113">
        <v>9</v>
      </c>
      <c r="B381" s="113"/>
      <c r="C381" s="222" t="s">
        <v>20737</v>
      </c>
      <c r="D381" s="217" t="s">
        <v>20738</v>
      </c>
      <c r="E381" s="222" t="s">
        <v>20739</v>
      </c>
      <c r="F381" s="222" t="s">
        <v>219</v>
      </c>
      <c r="G381" s="231" t="s">
        <v>20740</v>
      </c>
      <c r="H381" s="221" t="s">
        <v>20741</v>
      </c>
      <c r="I381" s="221"/>
      <c r="J381" s="28" t="s">
        <v>20742</v>
      </c>
      <c r="K381" s="137" t="s">
        <v>20743</v>
      </c>
      <c r="L381" s="136" t="s">
        <v>14619</v>
      </c>
      <c r="M381" s="136" t="s">
        <v>14620</v>
      </c>
    </row>
    <row r="382" spans="1:13" ht="14.25" customHeight="1">
      <c r="A382" s="113">
        <v>10</v>
      </c>
      <c r="B382" s="113"/>
      <c r="C382" s="222" t="s">
        <v>20744</v>
      </c>
      <c r="D382" s="217" t="s">
        <v>20745</v>
      </c>
      <c r="E382" s="222" t="s">
        <v>20746</v>
      </c>
      <c r="F382" s="222" t="s">
        <v>117</v>
      </c>
      <c r="G382" s="231" t="s">
        <v>20747</v>
      </c>
      <c r="H382" s="221" t="s">
        <v>20748</v>
      </c>
      <c r="I382" s="221"/>
      <c r="J382" s="28" t="s">
        <v>20749</v>
      </c>
      <c r="K382" s="137" t="s">
        <v>20750</v>
      </c>
      <c r="L382" s="136" t="s">
        <v>14628</v>
      </c>
      <c r="M382" s="136" t="s">
        <v>14629</v>
      </c>
    </row>
    <row r="383" spans="1:13" ht="14.25" customHeight="1">
      <c r="A383" s="113">
        <v>11</v>
      </c>
      <c r="B383" s="113"/>
      <c r="C383" s="222" t="s">
        <v>20751</v>
      </c>
      <c r="D383" s="217" t="s">
        <v>20752</v>
      </c>
      <c r="E383" s="222" t="s">
        <v>20753</v>
      </c>
      <c r="F383" s="222" t="s">
        <v>20754</v>
      </c>
      <c r="G383" s="231" t="s">
        <v>20755</v>
      </c>
      <c r="H383" s="221" t="s">
        <v>20756</v>
      </c>
      <c r="I383" s="221"/>
      <c r="J383" s="28" t="s">
        <v>20757</v>
      </c>
      <c r="K383" s="137" t="s">
        <v>20758</v>
      </c>
      <c r="L383" s="136" t="s">
        <v>14637</v>
      </c>
      <c r="M383" s="136" t="s">
        <v>14638</v>
      </c>
    </row>
    <row r="384" spans="1:13" ht="14.25" customHeight="1">
      <c r="A384" s="113">
        <v>12</v>
      </c>
      <c r="B384" s="113"/>
      <c r="C384" s="222" t="s">
        <v>20759</v>
      </c>
      <c r="D384" s="217" t="s">
        <v>20760</v>
      </c>
      <c r="E384" s="222" t="s">
        <v>20761</v>
      </c>
      <c r="F384" s="222" t="s">
        <v>65</v>
      </c>
      <c r="G384" s="231" t="s">
        <v>20762</v>
      </c>
      <c r="H384" s="221" t="s">
        <v>20763</v>
      </c>
      <c r="I384" s="221"/>
      <c r="J384" s="28" t="s">
        <v>20764</v>
      </c>
      <c r="K384" s="137" t="s">
        <v>20765</v>
      </c>
      <c r="L384" s="136" t="s">
        <v>14646</v>
      </c>
      <c r="M384" s="136" t="s">
        <v>14647</v>
      </c>
    </row>
    <row r="385" spans="1:13" ht="14.25" customHeight="1">
      <c r="A385" s="113">
        <v>13</v>
      </c>
      <c r="B385" s="113"/>
      <c r="C385" s="222" t="s">
        <v>20766</v>
      </c>
      <c r="D385" s="217" t="s">
        <v>20767</v>
      </c>
      <c r="E385" s="222" t="s">
        <v>9127</v>
      </c>
      <c r="F385" s="222" t="s">
        <v>117</v>
      </c>
      <c r="G385" s="231" t="s">
        <v>19194</v>
      </c>
      <c r="H385" s="221" t="s">
        <v>20768</v>
      </c>
      <c r="I385" s="221"/>
      <c r="J385" s="28" t="s">
        <v>20769</v>
      </c>
      <c r="K385" s="137" t="s">
        <v>20770</v>
      </c>
      <c r="L385" s="136" t="s">
        <v>14655</v>
      </c>
      <c r="M385" s="136" t="s">
        <v>14656</v>
      </c>
    </row>
    <row r="386" spans="1:13" ht="14.25" customHeight="1">
      <c r="A386" s="113">
        <v>14</v>
      </c>
      <c r="B386" s="113"/>
      <c r="C386" s="211" t="s">
        <v>20771</v>
      </c>
      <c r="D386" s="217" t="s">
        <v>20772</v>
      </c>
      <c r="E386" s="216" t="s">
        <v>4645</v>
      </c>
      <c r="F386" s="216" t="s">
        <v>4392</v>
      </c>
      <c r="G386" s="220" t="s">
        <v>20773</v>
      </c>
      <c r="H386" s="221" t="s">
        <v>20774</v>
      </c>
      <c r="I386" s="221"/>
      <c r="J386" s="28" t="s">
        <v>20775</v>
      </c>
      <c r="K386" s="137" t="s">
        <v>20776</v>
      </c>
      <c r="L386" s="136" t="s">
        <v>14664</v>
      </c>
      <c r="M386" s="136" t="s">
        <v>14665</v>
      </c>
    </row>
    <row r="387" spans="1:13" ht="14.25" customHeight="1">
      <c r="A387" s="113">
        <v>15</v>
      </c>
      <c r="B387" s="113"/>
      <c r="C387" s="222" t="s">
        <v>20777</v>
      </c>
      <c r="D387" s="217" t="s">
        <v>20778</v>
      </c>
      <c r="E387" s="222" t="s">
        <v>20779</v>
      </c>
      <c r="F387" s="222" t="s">
        <v>117</v>
      </c>
      <c r="G387" s="231" t="s">
        <v>20780</v>
      </c>
      <c r="H387" s="221" t="s">
        <v>20781</v>
      </c>
      <c r="I387" s="221"/>
      <c r="J387" s="28" t="s">
        <v>20782</v>
      </c>
      <c r="K387" s="137" t="s">
        <v>20783</v>
      </c>
      <c r="L387" s="136" t="s">
        <v>11050</v>
      </c>
      <c r="M387" s="136" t="s">
        <v>11051</v>
      </c>
    </row>
    <row r="388" spans="1:13" ht="14.25" customHeight="1">
      <c r="A388" s="113">
        <v>16</v>
      </c>
      <c r="B388" s="113"/>
      <c r="C388" s="222" t="s">
        <v>20784</v>
      </c>
      <c r="D388" s="217" t="s">
        <v>20785</v>
      </c>
      <c r="E388" s="222" t="s">
        <v>5857</v>
      </c>
      <c r="F388" s="222" t="s">
        <v>117</v>
      </c>
      <c r="G388" s="231" t="s">
        <v>20786</v>
      </c>
      <c r="H388" s="221" t="s">
        <v>20787</v>
      </c>
      <c r="I388" s="221"/>
      <c r="J388" s="28" t="s">
        <v>20788</v>
      </c>
      <c r="K388" s="137" t="s">
        <v>20789</v>
      </c>
      <c r="L388" s="136" t="s">
        <v>14674</v>
      </c>
      <c r="M388" s="136" t="s">
        <v>14675</v>
      </c>
    </row>
    <row r="389" spans="1:13" ht="14.25" customHeight="1">
      <c r="A389" s="113">
        <v>17</v>
      </c>
      <c r="B389" s="113"/>
      <c r="C389" s="222" t="s">
        <v>20790</v>
      </c>
      <c r="D389" s="217" t="s">
        <v>20791</v>
      </c>
      <c r="E389" s="222" t="s">
        <v>20792</v>
      </c>
      <c r="F389" s="222" t="s">
        <v>65</v>
      </c>
      <c r="G389" s="231" t="s">
        <v>20793</v>
      </c>
      <c r="H389" s="221" t="s">
        <v>20794</v>
      </c>
      <c r="I389" s="221"/>
      <c r="J389" s="28" t="s">
        <v>20795</v>
      </c>
      <c r="K389" s="137" t="s">
        <v>20796</v>
      </c>
      <c r="L389" s="136" t="s">
        <v>14683</v>
      </c>
      <c r="M389" s="136" t="s">
        <v>14684</v>
      </c>
    </row>
    <row r="390" spans="1:13" ht="14.25" customHeight="1">
      <c r="A390" s="113">
        <v>18</v>
      </c>
      <c r="B390" s="113"/>
      <c r="C390" s="222" t="s">
        <v>20797</v>
      </c>
      <c r="D390" s="217" t="s">
        <v>20798</v>
      </c>
      <c r="E390" s="222" t="s">
        <v>20799</v>
      </c>
      <c r="F390" s="222" t="s">
        <v>117</v>
      </c>
      <c r="G390" s="231" t="s">
        <v>20800</v>
      </c>
      <c r="H390" s="221" t="s">
        <v>20801</v>
      </c>
      <c r="I390" s="221"/>
      <c r="J390" s="28" t="s">
        <v>20802</v>
      </c>
      <c r="K390" s="137" t="s">
        <v>20803</v>
      </c>
      <c r="L390" s="136" t="s">
        <v>14692</v>
      </c>
      <c r="M390" s="136" t="s">
        <v>14693</v>
      </c>
    </row>
    <row r="391" spans="1:13" ht="14.25" customHeight="1">
      <c r="A391" s="113">
        <v>19</v>
      </c>
      <c r="B391" s="113"/>
      <c r="C391" s="222" t="s">
        <v>20804</v>
      </c>
      <c r="D391" s="217" t="s">
        <v>20805</v>
      </c>
      <c r="E391" s="222" t="s">
        <v>20806</v>
      </c>
      <c r="F391" s="222" t="s">
        <v>65</v>
      </c>
      <c r="G391" s="231" t="s">
        <v>20807</v>
      </c>
      <c r="H391" s="221" t="s">
        <v>20808</v>
      </c>
      <c r="I391" s="221"/>
      <c r="J391" s="28" t="s">
        <v>20809</v>
      </c>
      <c r="K391" s="137" t="s">
        <v>20810</v>
      </c>
      <c r="L391" s="136" t="s">
        <v>14701</v>
      </c>
      <c r="M391" s="136" t="s">
        <v>14702</v>
      </c>
    </row>
    <row r="392" spans="1:13" ht="14.25" customHeight="1">
      <c r="A392" s="113">
        <v>20</v>
      </c>
      <c r="B392" s="113"/>
      <c r="C392" s="222" t="s">
        <v>20811</v>
      </c>
      <c r="D392" s="217" t="s">
        <v>20812</v>
      </c>
      <c r="E392" s="222" t="s">
        <v>20813</v>
      </c>
      <c r="F392" s="222" t="s">
        <v>65</v>
      </c>
      <c r="G392" s="231" t="s">
        <v>20814</v>
      </c>
      <c r="H392" s="221" t="s">
        <v>20815</v>
      </c>
      <c r="I392" s="221"/>
      <c r="J392" s="28" t="s">
        <v>20816</v>
      </c>
      <c r="K392" s="137" t="s">
        <v>20817</v>
      </c>
      <c r="L392" s="136" t="s">
        <v>14710</v>
      </c>
      <c r="M392" s="136" t="s">
        <v>14711</v>
      </c>
    </row>
    <row r="393" spans="1:13" ht="14.25" customHeight="1">
      <c r="A393" s="113">
        <v>21</v>
      </c>
      <c r="B393" s="113"/>
      <c r="C393" s="222" t="s">
        <v>20818</v>
      </c>
      <c r="D393" s="217" t="s">
        <v>20819</v>
      </c>
      <c r="E393" s="222" t="s">
        <v>20820</v>
      </c>
      <c r="F393" s="222" t="s">
        <v>6748</v>
      </c>
      <c r="G393" s="231" t="s">
        <v>20821</v>
      </c>
      <c r="H393" s="221" t="s">
        <v>20822</v>
      </c>
      <c r="I393" s="221"/>
      <c r="J393" s="28" t="s">
        <v>20823</v>
      </c>
      <c r="K393" s="137" t="s">
        <v>20824</v>
      </c>
      <c r="L393" s="136" t="s">
        <v>14719</v>
      </c>
      <c r="M393" s="136" t="s">
        <v>14720</v>
      </c>
    </row>
    <row r="394" spans="1:13" ht="14.25" customHeight="1">
      <c r="A394" s="113">
        <v>22</v>
      </c>
      <c r="B394" s="113"/>
      <c r="C394" s="222" t="s">
        <v>20825</v>
      </c>
      <c r="D394" s="118" t="s">
        <v>20826</v>
      </c>
      <c r="E394" s="218" t="s">
        <v>20827</v>
      </c>
      <c r="F394" s="222" t="s">
        <v>65</v>
      </c>
      <c r="G394" s="231" t="s">
        <v>20828</v>
      </c>
      <c r="H394" s="227" t="s">
        <v>20829</v>
      </c>
      <c r="I394" s="227"/>
      <c r="J394" s="28" t="s">
        <v>20830</v>
      </c>
      <c r="K394" s="137" t="s">
        <v>20831</v>
      </c>
      <c r="L394" s="136" t="s">
        <v>14728</v>
      </c>
      <c r="M394" s="136" t="s">
        <v>14729</v>
      </c>
    </row>
    <row r="395" spans="1:13" ht="14.25" customHeight="1">
      <c r="A395" s="113">
        <v>23</v>
      </c>
      <c r="B395" s="113"/>
      <c r="C395" s="222" t="s">
        <v>20832</v>
      </c>
      <c r="D395" s="217" t="s">
        <v>20833</v>
      </c>
      <c r="E395" s="222" t="s">
        <v>20834</v>
      </c>
      <c r="F395" s="222" t="s">
        <v>6748</v>
      </c>
      <c r="G395" s="231" t="s">
        <v>20835</v>
      </c>
      <c r="H395" s="221" t="s">
        <v>20836</v>
      </c>
      <c r="I395" s="221"/>
      <c r="J395" s="28" t="s">
        <v>20837</v>
      </c>
      <c r="K395" s="137" t="s">
        <v>20838</v>
      </c>
      <c r="L395" s="136" t="s">
        <v>14737</v>
      </c>
      <c r="M395" s="136" t="s">
        <v>14738</v>
      </c>
    </row>
    <row r="396" spans="1:13" ht="14.25" customHeight="1">
      <c r="A396" s="113">
        <v>24</v>
      </c>
      <c r="B396" s="113"/>
      <c r="C396" s="222" t="s">
        <v>20839</v>
      </c>
      <c r="D396" s="217" t="s">
        <v>20840</v>
      </c>
      <c r="E396" s="222" t="s">
        <v>20841</v>
      </c>
      <c r="F396" s="222" t="s">
        <v>65</v>
      </c>
      <c r="G396" s="231" t="s">
        <v>20842</v>
      </c>
      <c r="H396" s="221" t="s">
        <v>20843</v>
      </c>
      <c r="I396" s="221"/>
      <c r="J396" s="28" t="s">
        <v>20844</v>
      </c>
      <c r="K396" s="137" t="s">
        <v>20845</v>
      </c>
      <c r="L396" s="136" t="s">
        <v>14746</v>
      </c>
      <c r="M396" s="136" t="s">
        <v>14747</v>
      </c>
    </row>
    <row r="397" spans="1:13" ht="14.25" customHeight="1">
      <c r="A397" s="113">
        <v>25</v>
      </c>
      <c r="B397" s="113"/>
      <c r="C397" s="222" t="s">
        <v>20846</v>
      </c>
      <c r="D397" s="217" t="s">
        <v>20847</v>
      </c>
      <c r="E397" s="222" t="s">
        <v>20848</v>
      </c>
      <c r="F397" s="222" t="s">
        <v>5791</v>
      </c>
      <c r="G397" s="231" t="s">
        <v>20849</v>
      </c>
      <c r="H397" s="221" t="s">
        <v>20850</v>
      </c>
      <c r="I397" s="221"/>
      <c r="J397" s="28" t="s">
        <v>11944</v>
      </c>
      <c r="K397" s="137" t="s">
        <v>20851</v>
      </c>
      <c r="L397" s="136" t="s">
        <v>14755</v>
      </c>
      <c r="M397" s="136" t="s">
        <v>14756</v>
      </c>
    </row>
    <row r="398" spans="1:13" ht="14.25" customHeight="1">
      <c r="A398" s="113">
        <v>26</v>
      </c>
      <c r="B398" s="113"/>
      <c r="C398" s="211" t="s">
        <v>20852</v>
      </c>
      <c r="D398" s="217" t="s">
        <v>20853</v>
      </c>
      <c r="E398" s="216" t="s">
        <v>20854</v>
      </c>
      <c r="F398" s="216" t="s">
        <v>219</v>
      </c>
      <c r="G398" s="220" t="s">
        <v>20855</v>
      </c>
      <c r="H398" s="221" t="s">
        <v>20856</v>
      </c>
      <c r="I398" s="221"/>
      <c r="J398" s="28" t="s">
        <v>20857</v>
      </c>
      <c r="K398" s="137" t="s">
        <v>20858</v>
      </c>
      <c r="L398" s="136" t="s">
        <v>14764</v>
      </c>
      <c r="M398" s="136" t="s">
        <v>14765</v>
      </c>
    </row>
    <row r="399" spans="1:13" ht="14.25" customHeight="1">
      <c r="A399" s="113">
        <v>27</v>
      </c>
      <c r="B399" s="113"/>
      <c r="C399" s="222" t="s">
        <v>20859</v>
      </c>
      <c r="D399" s="217" t="s">
        <v>20860</v>
      </c>
      <c r="E399" s="222" t="s">
        <v>20861</v>
      </c>
      <c r="F399" s="222" t="s">
        <v>117</v>
      </c>
      <c r="G399" s="231" t="s">
        <v>20862</v>
      </c>
      <c r="H399" s="221" t="s">
        <v>20863</v>
      </c>
      <c r="I399" s="221"/>
      <c r="J399" s="217" t="s">
        <v>20864</v>
      </c>
      <c r="K399" s="137" t="s">
        <v>20865</v>
      </c>
      <c r="L399" s="136" t="s">
        <v>14773</v>
      </c>
      <c r="M399" s="136" t="s">
        <v>14774</v>
      </c>
    </row>
    <row r="400" spans="1:13" ht="14.25" customHeight="1">
      <c r="A400" s="113">
        <v>28</v>
      </c>
      <c r="B400" s="113"/>
      <c r="C400" s="216" t="s">
        <v>20866</v>
      </c>
      <c r="D400" s="217" t="s">
        <v>20867</v>
      </c>
      <c r="E400" s="216" t="s">
        <v>20868</v>
      </c>
      <c r="F400" s="216" t="s">
        <v>18833</v>
      </c>
      <c r="G400" s="220" t="s">
        <v>20869</v>
      </c>
      <c r="H400" s="221" t="s">
        <v>20870</v>
      </c>
      <c r="I400" s="221"/>
      <c r="J400" s="28" t="s">
        <v>20871</v>
      </c>
      <c r="K400" s="137" t="s">
        <v>20872</v>
      </c>
      <c r="L400" s="136" t="s">
        <v>14782</v>
      </c>
      <c r="M400" s="136" t="s">
        <v>14783</v>
      </c>
    </row>
    <row r="401" spans="1:13" ht="14.25" customHeight="1">
      <c r="A401" s="113">
        <v>29</v>
      </c>
      <c r="B401" s="113"/>
      <c r="C401" s="222" t="s">
        <v>20873</v>
      </c>
      <c r="D401" s="217" t="s">
        <v>20874</v>
      </c>
      <c r="E401" s="222" t="s">
        <v>20875</v>
      </c>
      <c r="F401" s="222" t="s">
        <v>6748</v>
      </c>
      <c r="G401" s="231" t="s">
        <v>20876</v>
      </c>
      <c r="H401" s="221" t="s">
        <v>20877</v>
      </c>
      <c r="I401" s="221"/>
      <c r="J401" s="28" t="s">
        <v>20878</v>
      </c>
      <c r="K401" s="137" t="s">
        <v>20879</v>
      </c>
      <c r="L401" s="136" t="s">
        <v>14791</v>
      </c>
      <c r="M401" s="136" t="s">
        <v>14792</v>
      </c>
    </row>
    <row r="402" spans="1:13" ht="14.25" customHeight="1">
      <c r="A402" s="113">
        <v>30</v>
      </c>
      <c r="B402" s="113"/>
      <c r="C402" s="222" t="s">
        <v>20880</v>
      </c>
      <c r="D402" s="217" t="s">
        <v>20881</v>
      </c>
      <c r="E402" s="222" t="s">
        <v>20882</v>
      </c>
      <c r="F402" s="222" t="s">
        <v>219</v>
      </c>
      <c r="G402" s="231" t="s">
        <v>19710</v>
      </c>
      <c r="H402" s="221" t="s">
        <v>20883</v>
      </c>
      <c r="I402" s="221"/>
      <c r="J402" s="28" t="s">
        <v>20884</v>
      </c>
      <c r="K402" s="137" t="s">
        <v>20885</v>
      </c>
      <c r="L402" s="136" t="s">
        <v>14800</v>
      </c>
      <c r="M402" s="136" t="s">
        <v>14801</v>
      </c>
    </row>
    <row r="403" spans="1:13" ht="14.25" customHeight="1">
      <c r="A403" s="113">
        <v>31</v>
      </c>
      <c r="B403" s="113"/>
      <c r="C403" s="222" t="s">
        <v>20886</v>
      </c>
      <c r="D403" s="217" t="s">
        <v>20887</v>
      </c>
      <c r="E403" s="222" t="s">
        <v>20888</v>
      </c>
      <c r="F403" s="222" t="s">
        <v>117</v>
      </c>
      <c r="G403" s="231" t="s">
        <v>20889</v>
      </c>
      <c r="H403" s="221" t="s">
        <v>20890</v>
      </c>
      <c r="I403" s="221"/>
      <c r="J403" s="28" t="s">
        <v>20891</v>
      </c>
      <c r="K403" s="137" t="s">
        <v>20892</v>
      </c>
      <c r="L403" s="136" t="s">
        <v>20893</v>
      </c>
      <c r="M403" s="136" t="s">
        <v>20894</v>
      </c>
    </row>
    <row r="404" spans="1:13" ht="14.25" customHeight="1">
      <c r="A404" s="113">
        <v>32</v>
      </c>
      <c r="B404" s="113"/>
      <c r="C404" s="222" t="s">
        <v>20895</v>
      </c>
      <c r="D404" s="217" t="s">
        <v>20896</v>
      </c>
      <c r="E404" s="222" t="s">
        <v>20897</v>
      </c>
      <c r="F404" s="222" t="s">
        <v>460</v>
      </c>
      <c r="G404" s="231" t="s">
        <v>20898</v>
      </c>
      <c r="H404" s="221" t="s">
        <v>20899</v>
      </c>
      <c r="I404" s="221"/>
      <c r="J404" s="28" t="s">
        <v>20900</v>
      </c>
      <c r="K404" s="137" t="s">
        <v>20901</v>
      </c>
      <c r="L404" s="136" t="s">
        <v>20902</v>
      </c>
      <c r="M404" s="136" t="s">
        <v>20903</v>
      </c>
    </row>
    <row r="405" spans="1:13" ht="14.25" customHeight="1">
      <c r="A405" s="113">
        <v>33</v>
      </c>
      <c r="B405" s="113"/>
      <c r="C405" s="222" t="s">
        <v>20904</v>
      </c>
      <c r="D405" s="217" t="s">
        <v>20905</v>
      </c>
      <c r="E405" s="222" t="s">
        <v>20906</v>
      </c>
      <c r="F405" s="222" t="s">
        <v>65</v>
      </c>
      <c r="G405" s="231" t="s">
        <v>20907</v>
      </c>
      <c r="H405" s="221" t="s">
        <v>20908</v>
      </c>
      <c r="I405" s="221"/>
      <c r="J405" s="28" t="s">
        <v>20909</v>
      </c>
      <c r="K405" s="137" t="s">
        <v>20910</v>
      </c>
      <c r="L405" s="136" t="s">
        <v>20911</v>
      </c>
      <c r="M405" s="136" t="s">
        <v>20912</v>
      </c>
    </row>
    <row r="406" spans="1:13" ht="14.25" customHeight="1">
      <c r="A406" s="113">
        <v>34</v>
      </c>
      <c r="B406" s="113"/>
      <c r="C406" s="222" t="s">
        <v>20913</v>
      </c>
      <c r="D406" s="217" t="s">
        <v>20914</v>
      </c>
      <c r="E406" s="222" t="s">
        <v>20915</v>
      </c>
      <c r="F406" s="222" t="s">
        <v>117</v>
      </c>
      <c r="G406" s="231" t="s">
        <v>20916</v>
      </c>
      <c r="H406" s="221" t="s">
        <v>20917</v>
      </c>
      <c r="I406" s="221"/>
      <c r="J406" s="28" t="s">
        <v>20918</v>
      </c>
      <c r="K406" s="137" t="s">
        <v>20919</v>
      </c>
      <c r="L406" s="136" t="s">
        <v>20920</v>
      </c>
      <c r="M406" s="136" t="s">
        <v>20921</v>
      </c>
    </row>
    <row r="407" spans="1:13" ht="14.25" customHeight="1">
      <c r="A407" s="113">
        <v>35</v>
      </c>
      <c r="B407" s="113"/>
      <c r="C407" s="222" t="s">
        <v>20922</v>
      </c>
      <c r="D407" s="217" t="s">
        <v>20923</v>
      </c>
      <c r="E407" s="222" t="s">
        <v>20924</v>
      </c>
      <c r="F407" s="222" t="s">
        <v>5559</v>
      </c>
      <c r="G407" s="231" t="s">
        <v>20925</v>
      </c>
      <c r="H407" s="221" t="s">
        <v>20926</v>
      </c>
      <c r="I407" s="221"/>
      <c r="J407" s="28" t="s">
        <v>20927</v>
      </c>
      <c r="K407" s="13" t="s">
        <v>20928</v>
      </c>
      <c r="L407" s="136" t="s">
        <v>20929</v>
      </c>
      <c r="M407" s="136" t="s">
        <v>20930</v>
      </c>
    </row>
    <row r="408" spans="1:13" ht="14.25" customHeight="1">
      <c r="A408" s="113">
        <v>36</v>
      </c>
      <c r="B408" s="113"/>
      <c r="C408" s="222" t="s">
        <v>20931</v>
      </c>
      <c r="D408" s="217" t="s">
        <v>20932</v>
      </c>
      <c r="E408" s="222" t="s">
        <v>20933</v>
      </c>
      <c r="F408" s="222" t="s">
        <v>117</v>
      </c>
      <c r="G408" s="231" t="s">
        <v>20934</v>
      </c>
      <c r="H408" s="221" t="s">
        <v>20935</v>
      </c>
      <c r="I408" s="221"/>
      <c r="J408" s="28" t="s">
        <v>20936</v>
      </c>
      <c r="K408" s="137" t="s">
        <v>20937</v>
      </c>
      <c r="L408" s="136" t="s">
        <v>20938</v>
      </c>
      <c r="M408" s="136" t="s">
        <v>20939</v>
      </c>
    </row>
    <row r="409" spans="1:13" ht="14.25" customHeight="1">
      <c r="A409" s="113">
        <v>37</v>
      </c>
      <c r="B409" s="113"/>
      <c r="C409" s="222" t="s">
        <v>20940</v>
      </c>
      <c r="D409" s="217" t="s">
        <v>20941</v>
      </c>
      <c r="E409" s="222" t="s">
        <v>20942</v>
      </c>
      <c r="F409" s="222" t="s">
        <v>117</v>
      </c>
      <c r="G409" s="231" t="s">
        <v>20943</v>
      </c>
      <c r="H409" s="221" t="s">
        <v>20944</v>
      </c>
      <c r="I409" s="221"/>
      <c r="J409" s="28" t="s">
        <v>20945</v>
      </c>
      <c r="K409" s="137" t="s">
        <v>20946</v>
      </c>
      <c r="L409" s="136" t="s">
        <v>20947</v>
      </c>
      <c r="M409" s="136" t="s">
        <v>20948</v>
      </c>
    </row>
    <row r="410" spans="1:13" ht="14.25" customHeight="1">
      <c r="A410" s="210">
        <v>1</v>
      </c>
      <c r="B410" s="210"/>
      <c r="C410" s="268" t="s">
        <v>20949</v>
      </c>
      <c r="D410" s="238" t="s">
        <v>20950</v>
      </c>
      <c r="E410" s="211" t="s">
        <v>20951</v>
      </c>
      <c r="F410" s="268" t="s">
        <v>54</v>
      </c>
      <c r="G410" s="211" t="s">
        <v>20952</v>
      </c>
      <c r="H410" s="239" t="s">
        <v>20953</v>
      </c>
      <c r="I410" s="239"/>
      <c r="J410" s="263" t="s">
        <v>20954</v>
      </c>
      <c r="K410" s="215" t="s">
        <v>20955</v>
      </c>
      <c r="L410" s="210" t="s">
        <v>14809</v>
      </c>
      <c r="M410" s="247" t="s">
        <v>14810</v>
      </c>
    </row>
    <row r="411" spans="1:13" ht="15.6">
      <c r="A411" s="136">
        <v>2</v>
      </c>
      <c r="B411" s="136"/>
      <c r="C411" s="269" t="s">
        <v>20956</v>
      </c>
      <c r="D411" s="217" t="s">
        <v>20957</v>
      </c>
      <c r="E411" s="222" t="s">
        <v>20958</v>
      </c>
      <c r="F411" s="269" t="s">
        <v>4823</v>
      </c>
      <c r="G411" s="222" t="s">
        <v>20959</v>
      </c>
      <c r="H411" s="221" t="s">
        <v>20960</v>
      </c>
      <c r="I411" s="221"/>
      <c r="J411" s="28" t="s">
        <v>20961</v>
      </c>
      <c r="K411" s="137" t="s">
        <v>20962</v>
      </c>
      <c r="L411" s="136" t="s">
        <v>14818</v>
      </c>
      <c r="M411" s="136" t="s">
        <v>14819</v>
      </c>
    </row>
    <row r="412" spans="1:13" ht="14.25" customHeight="1">
      <c r="A412" s="113">
        <v>3</v>
      </c>
      <c r="B412" s="113"/>
      <c r="C412" s="269" t="s">
        <v>20963</v>
      </c>
      <c r="D412" s="217" t="s">
        <v>20964</v>
      </c>
      <c r="E412" s="222" t="s">
        <v>20965</v>
      </c>
      <c r="F412" s="269" t="s">
        <v>54</v>
      </c>
      <c r="G412" s="222" t="s">
        <v>20966</v>
      </c>
      <c r="H412" s="221" t="s">
        <v>20967</v>
      </c>
      <c r="I412" s="221"/>
      <c r="J412" s="28" t="s">
        <v>20968</v>
      </c>
      <c r="K412" s="137" t="s">
        <v>20969</v>
      </c>
      <c r="L412" s="136" t="s">
        <v>14827</v>
      </c>
      <c r="M412" s="136" t="s">
        <v>14828</v>
      </c>
    </row>
    <row r="413" spans="1:13" ht="14.25" customHeight="1">
      <c r="A413" s="113">
        <v>4</v>
      </c>
      <c r="B413" s="113"/>
      <c r="C413" s="269" t="s">
        <v>20970</v>
      </c>
      <c r="D413" s="217" t="s">
        <v>20971</v>
      </c>
      <c r="E413" s="222" t="s">
        <v>20972</v>
      </c>
      <c r="F413" s="269" t="s">
        <v>13358</v>
      </c>
      <c r="G413" s="222" t="s">
        <v>20973</v>
      </c>
      <c r="H413" s="221" t="s">
        <v>20974</v>
      </c>
      <c r="I413" s="221"/>
      <c r="J413" s="28" t="s">
        <v>20975</v>
      </c>
      <c r="K413" s="137" t="s">
        <v>20976</v>
      </c>
      <c r="L413" s="136" t="s">
        <v>14836</v>
      </c>
      <c r="M413" s="136" t="s">
        <v>14837</v>
      </c>
    </row>
    <row r="414" spans="1:13" ht="14.25" customHeight="1">
      <c r="A414" s="113">
        <v>5</v>
      </c>
      <c r="B414" s="113"/>
      <c r="C414" s="269" t="s">
        <v>20977</v>
      </c>
      <c r="D414" s="217" t="s">
        <v>20978</v>
      </c>
      <c r="E414" s="222" t="s">
        <v>20979</v>
      </c>
      <c r="F414" s="269" t="s">
        <v>4823</v>
      </c>
      <c r="G414" s="222" t="s">
        <v>20980</v>
      </c>
      <c r="H414" s="221" t="s">
        <v>20981</v>
      </c>
      <c r="I414" s="221"/>
      <c r="J414" s="28" t="s">
        <v>20982</v>
      </c>
      <c r="K414" s="137" t="s">
        <v>20983</v>
      </c>
      <c r="L414" s="136" t="s">
        <v>14845</v>
      </c>
      <c r="M414" s="136" t="s">
        <v>14846</v>
      </c>
    </row>
    <row r="415" spans="1:13" ht="14.25" customHeight="1">
      <c r="A415" s="113">
        <v>6</v>
      </c>
      <c r="B415" s="113"/>
      <c r="C415" s="269" t="s">
        <v>20984</v>
      </c>
      <c r="D415" s="217" t="s">
        <v>20985</v>
      </c>
      <c r="E415" s="222" t="s">
        <v>20986</v>
      </c>
      <c r="F415" s="269" t="s">
        <v>54</v>
      </c>
      <c r="G415" s="222" t="s">
        <v>20987</v>
      </c>
      <c r="H415" s="221" t="s">
        <v>20988</v>
      </c>
      <c r="I415" s="221"/>
      <c r="J415" s="28" t="s">
        <v>20989</v>
      </c>
      <c r="K415" s="137" t="s">
        <v>20990</v>
      </c>
      <c r="L415" s="136" t="s">
        <v>14854</v>
      </c>
      <c r="M415" s="136" t="s">
        <v>14855</v>
      </c>
    </row>
    <row r="416" spans="1:13" ht="14.25" customHeight="1">
      <c r="A416" s="113">
        <v>7</v>
      </c>
      <c r="B416" s="113"/>
      <c r="C416" s="269" t="s">
        <v>20991</v>
      </c>
      <c r="D416" s="217" t="s">
        <v>20992</v>
      </c>
      <c r="E416" s="222" t="s">
        <v>20993</v>
      </c>
      <c r="F416" s="269" t="s">
        <v>4823</v>
      </c>
      <c r="G416" s="222" t="s">
        <v>20994</v>
      </c>
      <c r="H416" s="221" t="s">
        <v>20995</v>
      </c>
      <c r="I416" s="221"/>
      <c r="J416" s="28" t="s">
        <v>20996</v>
      </c>
      <c r="K416" s="137" t="s">
        <v>20997</v>
      </c>
      <c r="L416" s="136" t="s">
        <v>14863</v>
      </c>
      <c r="M416" s="136" t="s">
        <v>14864</v>
      </c>
    </row>
    <row r="417" spans="1:13" ht="14.25" customHeight="1">
      <c r="A417" s="113">
        <v>8</v>
      </c>
      <c r="B417" s="113"/>
      <c r="C417" s="269" t="s">
        <v>20998</v>
      </c>
      <c r="D417" s="217" t="s">
        <v>20999</v>
      </c>
      <c r="E417" s="222" t="s">
        <v>21000</v>
      </c>
      <c r="F417" s="269" t="s">
        <v>65</v>
      </c>
      <c r="G417" s="222" t="s">
        <v>21001</v>
      </c>
      <c r="H417" s="221" t="s">
        <v>21002</v>
      </c>
      <c r="I417" s="221"/>
      <c r="J417" s="28" t="s">
        <v>21003</v>
      </c>
      <c r="K417" s="137" t="s">
        <v>21004</v>
      </c>
      <c r="L417" s="136" t="s">
        <v>14871</v>
      </c>
      <c r="M417" s="136" t="s">
        <v>14872</v>
      </c>
    </row>
    <row r="418" spans="1:13" ht="14.25" customHeight="1">
      <c r="A418" s="113">
        <v>9</v>
      </c>
      <c r="B418" s="113"/>
      <c r="C418" s="222" t="s">
        <v>21005</v>
      </c>
      <c r="D418" s="217" t="s">
        <v>21006</v>
      </c>
      <c r="E418" s="218" t="s">
        <v>21007</v>
      </c>
      <c r="F418" s="222" t="s">
        <v>65</v>
      </c>
      <c r="G418" s="231" t="s">
        <v>21008</v>
      </c>
      <c r="H418" s="221" t="s">
        <v>21009</v>
      </c>
      <c r="I418" s="221"/>
      <c r="J418" s="28" t="s">
        <v>21010</v>
      </c>
      <c r="K418" s="137" t="s">
        <v>21011</v>
      </c>
      <c r="L418" s="136" t="s">
        <v>14880</v>
      </c>
      <c r="M418" s="136" t="s">
        <v>14881</v>
      </c>
    </row>
    <row r="419" spans="1:13" ht="14.25" customHeight="1">
      <c r="A419" s="113">
        <v>10</v>
      </c>
      <c r="B419" s="113"/>
      <c r="C419" s="222" t="s">
        <v>21012</v>
      </c>
      <c r="D419" s="217" t="s">
        <v>21013</v>
      </c>
      <c r="E419" s="218" t="s">
        <v>21014</v>
      </c>
      <c r="F419" s="222" t="s">
        <v>65</v>
      </c>
      <c r="G419" s="231" t="s">
        <v>21015</v>
      </c>
      <c r="H419" s="221" t="s">
        <v>21016</v>
      </c>
      <c r="I419" s="221"/>
      <c r="J419" s="28" t="s">
        <v>21017</v>
      </c>
      <c r="K419" s="137" t="s">
        <v>21018</v>
      </c>
      <c r="L419" s="136" t="s">
        <v>14888</v>
      </c>
      <c r="M419" s="136" t="s">
        <v>14889</v>
      </c>
    </row>
    <row r="420" spans="1:13" ht="14.25" customHeight="1">
      <c r="A420" s="113">
        <v>11</v>
      </c>
      <c r="B420" s="113"/>
      <c r="C420" s="269" t="s">
        <v>21019</v>
      </c>
      <c r="D420" s="217" t="s">
        <v>21020</v>
      </c>
      <c r="E420" s="222" t="s">
        <v>21021</v>
      </c>
      <c r="F420" s="269" t="s">
        <v>54</v>
      </c>
      <c r="G420" s="222" t="s">
        <v>21022</v>
      </c>
      <c r="H420" s="221" t="s">
        <v>21023</v>
      </c>
      <c r="I420" s="221"/>
      <c r="J420" s="28" t="s">
        <v>21024</v>
      </c>
      <c r="K420" s="137" t="s">
        <v>21025</v>
      </c>
      <c r="L420" s="136" t="s">
        <v>14897</v>
      </c>
      <c r="M420" s="136" t="s">
        <v>14898</v>
      </c>
    </row>
    <row r="421" spans="1:13" ht="14.25" customHeight="1">
      <c r="A421" s="113">
        <v>12</v>
      </c>
      <c r="B421" s="113"/>
      <c r="C421" s="269" t="s">
        <v>21026</v>
      </c>
      <c r="D421" s="217" t="s">
        <v>21027</v>
      </c>
      <c r="E421" s="222" t="s">
        <v>21028</v>
      </c>
      <c r="F421" s="269" t="s">
        <v>4823</v>
      </c>
      <c r="G421" s="222" t="s">
        <v>21029</v>
      </c>
      <c r="H421" s="221" t="s">
        <v>21030</v>
      </c>
      <c r="I421" s="221"/>
      <c r="J421" s="28" t="s">
        <v>21031</v>
      </c>
      <c r="K421" s="137" t="s">
        <v>21032</v>
      </c>
      <c r="L421" s="136" t="s">
        <v>14906</v>
      </c>
      <c r="M421" s="136" t="s">
        <v>14907</v>
      </c>
    </row>
    <row r="422" spans="1:13" ht="14.25" customHeight="1">
      <c r="A422" s="113">
        <v>13</v>
      </c>
      <c r="B422" s="113"/>
      <c r="C422" s="269" t="s">
        <v>21033</v>
      </c>
      <c r="D422" s="217" t="s">
        <v>21034</v>
      </c>
      <c r="E422" s="222" t="s">
        <v>21035</v>
      </c>
      <c r="F422" s="269" t="s">
        <v>65</v>
      </c>
      <c r="G422" s="222" t="s">
        <v>21036</v>
      </c>
      <c r="H422" s="221" t="s">
        <v>21037</v>
      </c>
      <c r="I422" s="221"/>
      <c r="J422" s="28" t="s">
        <v>21038</v>
      </c>
      <c r="K422" s="137" t="s">
        <v>21039</v>
      </c>
      <c r="L422" s="136" t="s">
        <v>14915</v>
      </c>
      <c r="M422" s="136" t="s">
        <v>14916</v>
      </c>
    </row>
    <row r="423" spans="1:13" ht="14.25" customHeight="1">
      <c r="A423" s="113">
        <v>14</v>
      </c>
      <c r="B423" s="113"/>
      <c r="C423" s="269" t="s">
        <v>21040</v>
      </c>
      <c r="D423" s="217" t="s">
        <v>21041</v>
      </c>
      <c r="E423" s="222" t="s">
        <v>21042</v>
      </c>
      <c r="F423" s="269" t="s">
        <v>4823</v>
      </c>
      <c r="G423" s="222" t="s">
        <v>21043</v>
      </c>
      <c r="H423" s="221" t="s">
        <v>21044</v>
      </c>
      <c r="I423" s="221"/>
      <c r="J423" s="28" t="s">
        <v>21045</v>
      </c>
      <c r="K423" s="137" t="s">
        <v>21046</v>
      </c>
      <c r="L423" s="136" t="s">
        <v>14924</v>
      </c>
      <c r="M423" s="136" t="s">
        <v>14925</v>
      </c>
    </row>
    <row r="424" spans="1:13" ht="14.25" customHeight="1">
      <c r="A424" s="113">
        <v>15</v>
      </c>
      <c r="B424" s="113"/>
      <c r="C424" s="269" t="s">
        <v>21047</v>
      </c>
      <c r="D424" s="217" t="s">
        <v>21048</v>
      </c>
      <c r="E424" s="222" t="s">
        <v>21049</v>
      </c>
      <c r="F424" s="269" t="s">
        <v>21050</v>
      </c>
      <c r="G424" s="222" t="s">
        <v>21051</v>
      </c>
      <c r="H424" s="221" t="s">
        <v>21052</v>
      </c>
      <c r="I424" s="221"/>
      <c r="J424" s="28" t="s">
        <v>21053</v>
      </c>
      <c r="K424" s="137" t="s">
        <v>21054</v>
      </c>
      <c r="L424" s="136" t="s">
        <v>14933</v>
      </c>
      <c r="M424" s="136" t="s">
        <v>14934</v>
      </c>
    </row>
    <row r="425" spans="1:13" ht="14.25" customHeight="1">
      <c r="A425" s="113">
        <v>16</v>
      </c>
      <c r="B425" s="113"/>
      <c r="C425" s="269" t="s">
        <v>21055</v>
      </c>
      <c r="D425" s="217" t="s">
        <v>21056</v>
      </c>
      <c r="E425" s="222" t="s">
        <v>10518</v>
      </c>
      <c r="F425" s="269" t="s">
        <v>65</v>
      </c>
      <c r="G425" s="222" t="s">
        <v>21057</v>
      </c>
      <c r="H425" s="221" t="s">
        <v>21058</v>
      </c>
      <c r="I425" s="221"/>
      <c r="J425" s="28" t="s">
        <v>21059</v>
      </c>
      <c r="K425" s="137" t="s">
        <v>21060</v>
      </c>
      <c r="L425" s="136" t="s">
        <v>14942</v>
      </c>
      <c r="M425" s="136" t="s">
        <v>14943</v>
      </c>
    </row>
    <row r="426" spans="1:13" ht="14.25" customHeight="1">
      <c r="A426" s="113">
        <v>17</v>
      </c>
      <c r="B426" s="113"/>
      <c r="C426" s="269" t="s">
        <v>21061</v>
      </c>
      <c r="D426" s="217" t="s">
        <v>21062</v>
      </c>
      <c r="E426" s="222" t="s">
        <v>21063</v>
      </c>
      <c r="F426" s="269" t="s">
        <v>4823</v>
      </c>
      <c r="G426" s="222" t="s">
        <v>21064</v>
      </c>
      <c r="H426" s="221" t="s">
        <v>21065</v>
      </c>
      <c r="I426" s="221"/>
      <c r="J426" s="28" t="s">
        <v>21066</v>
      </c>
      <c r="K426" s="137" t="s">
        <v>21067</v>
      </c>
      <c r="L426" s="136" t="s">
        <v>14951</v>
      </c>
      <c r="M426" s="136" t="s">
        <v>14952</v>
      </c>
    </row>
    <row r="427" spans="1:13" ht="14.25" customHeight="1">
      <c r="A427" s="113">
        <v>18</v>
      </c>
      <c r="B427" s="113"/>
      <c r="C427" s="269" t="s">
        <v>15952</v>
      </c>
      <c r="D427" s="217" t="s">
        <v>15953</v>
      </c>
      <c r="E427" s="222" t="s">
        <v>15954</v>
      </c>
      <c r="F427" s="269" t="s">
        <v>65</v>
      </c>
      <c r="G427" s="222" t="s">
        <v>15955</v>
      </c>
      <c r="H427" s="221" t="s">
        <v>21068</v>
      </c>
      <c r="I427" s="221"/>
      <c r="J427" s="28" t="s">
        <v>21069</v>
      </c>
      <c r="K427" s="137" t="s">
        <v>21070</v>
      </c>
      <c r="L427" s="136" t="s">
        <v>14960</v>
      </c>
      <c r="M427" s="136" t="s">
        <v>14961</v>
      </c>
    </row>
    <row r="428" spans="1:13" ht="14.25" customHeight="1">
      <c r="A428" s="136">
        <v>19</v>
      </c>
      <c r="B428" s="136"/>
      <c r="C428" s="269" t="s">
        <v>21071</v>
      </c>
      <c r="D428" s="217" t="s">
        <v>21072</v>
      </c>
      <c r="E428" s="222" t="s">
        <v>21073</v>
      </c>
      <c r="F428" s="269" t="s">
        <v>65</v>
      </c>
      <c r="G428" s="222" t="s">
        <v>21074</v>
      </c>
      <c r="H428" s="221" t="s">
        <v>21075</v>
      </c>
      <c r="I428" s="221"/>
      <c r="J428" s="28" t="s">
        <v>21076</v>
      </c>
      <c r="K428" s="137" t="s">
        <v>21077</v>
      </c>
      <c r="L428" s="136" t="s">
        <v>14969</v>
      </c>
      <c r="M428" s="136" t="s">
        <v>14970</v>
      </c>
    </row>
    <row r="429" spans="1:13" ht="14.25" customHeight="1">
      <c r="A429" s="136">
        <v>20</v>
      </c>
      <c r="B429" s="136"/>
      <c r="C429" s="269" t="s">
        <v>21078</v>
      </c>
      <c r="D429" s="217" t="s">
        <v>21079</v>
      </c>
      <c r="E429" s="222" t="s">
        <v>6621</v>
      </c>
      <c r="F429" s="269" t="s">
        <v>885</v>
      </c>
      <c r="G429" s="222" t="s">
        <v>21080</v>
      </c>
      <c r="H429" s="221" t="s">
        <v>21081</v>
      </c>
      <c r="I429" s="221"/>
      <c r="J429" s="28" t="s">
        <v>21082</v>
      </c>
      <c r="K429" s="137" t="s">
        <v>21083</v>
      </c>
      <c r="L429" s="136" t="s">
        <v>14978</v>
      </c>
      <c r="M429" s="136" t="s">
        <v>14979</v>
      </c>
    </row>
    <row r="430" spans="1:13" ht="14.25" customHeight="1">
      <c r="A430" s="136">
        <v>21</v>
      </c>
      <c r="B430" s="136"/>
      <c r="C430" s="269" t="s">
        <v>21084</v>
      </c>
      <c r="D430" s="217" t="s">
        <v>21085</v>
      </c>
      <c r="E430" s="222" t="s">
        <v>18270</v>
      </c>
      <c r="F430" s="269" t="s">
        <v>20754</v>
      </c>
      <c r="G430" s="222" t="s">
        <v>21086</v>
      </c>
      <c r="H430" s="221" t="s">
        <v>21087</v>
      </c>
      <c r="I430" s="221"/>
      <c r="J430" s="118" t="s">
        <v>21088</v>
      </c>
      <c r="K430" s="137" t="s">
        <v>21089</v>
      </c>
      <c r="L430" s="136" t="s">
        <v>14984</v>
      </c>
      <c r="M430" s="136" t="s">
        <v>14985</v>
      </c>
    </row>
    <row r="431" spans="1:13" ht="14.25" customHeight="1">
      <c r="A431" s="136">
        <v>22</v>
      </c>
      <c r="B431" s="136"/>
      <c r="C431" s="269" t="s">
        <v>21090</v>
      </c>
      <c r="D431" s="217" t="s">
        <v>21091</v>
      </c>
      <c r="E431" s="222" t="s">
        <v>21092</v>
      </c>
      <c r="F431" s="269" t="s">
        <v>13358</v>
      </c>
      <c r="G431" s="222" t="s">
        <v>21093</v>
      </c>
      <c r="H431" s="221" t="s">
        <v>21094</v>
      </c>
      <c r="I431" s="221"/>
      <c r="J431" s="28" t="s">
        <v>21095</v>
      </c>
      <c r="K431" s="137" t="s">
        <v>21096</v>
      </c>
      <c r="L431" s="136" t="s">
        <v>14993</v>
      </c>
      <c r="M431" s="136" t="s">
        <v>14994</v>
      </c>
    </row>
    <row r="432" spans="1:13" ht="14.25" customHeight="1">
      <c r="A432" s="136">
        <v>23</v>
      </c>
      <c r="B432" s="136"/>
      <c r="C432" s="269" t="s">
        <v>21097</v>
      </c>
      <c r="D432" s="217" t="s">
        <v>21098</v>
      </c>
      <c r="E432" s="222" t="s">
        <v>21099</v>
      </c>
      <c r="F432" s="269" t="s">
        <v>4823</v>
      </c>
      <c r="G432" s="222" t="s">
        <v>21100</v>
      </c>
      <c r="H432" s="221" t="s">
        <v>21101</v>
      </c>
      <c r="I432" s="221"/>
      <c r="J432" s="28" t="s">
        <v>21102</v>
      </c>
      <c r="K432" s="137" t="s">
        <v>21103</v>
      </c>
      <c r="L432" s="136" t="s">
        <v>15002</v>
      </c>
      <c r="M432" s="136" t="s">
        <v>15003</v>
      </c>
    </row>
    <row r="433" spans="1:13" ht="14.25" customHeight="1">
      <c r="A433" s="136">
        <v>24</v>
      </c>
      <c r="B433" s="136"/>
      <c r="C433" s="269" t="s">
        <v>21104</v>
      </c>
      <c r="D433" s="217" t="s">
        <v>21105</v>
      </c>
      <c r="E433" s="222" t="s">
        <v>21106</v>
      </c>
      <c r="F433" s="269" t="s">
        <v>65</v>
      </c>
      <c r="G433" s="222" t="s">
        <v>21107</v>
      </c>
      <c r="H433" s="221" t="s">
        <v>21108</v>
      </c>
      <c r="I433" s="221"/>
      <c r="J433" s="28" t="s">
        <v>21109</v>
      </c>
      <c r="K433" s="137" t="s">
        <v>21110</v>
      </c>
      <c r="L433" s="136" t="s">
        <v>15011</v>
      </c>
      <c r="M433" s="136" t="s">
        <v>15012</v>
      </c>
    </row>
    <row r="434" spans="1:13" ht="14.25" customHeight="1">
      <c r="A434" s="136">
        <v>25</v>
      </c>
      <c r="B434" s="136"/>
      <c r="C434" s="269" t="s">
        <v>21111</v>
      </c>
      <c r="D434" s="217" t="s">
        <v>21112</v>
      </c>
      <c r="E434" s="222" t="s">
        <v>21113</v>
      </c>
      <c r="F434" s="269" t="s">
        <v>65</v>
      </c>
      <c r="G434" s="222" t="s">
        <v>21114</v>
      </c>
      <c r="H434" s="221" t="s">
        <v>21115</v>
      </c>
      <c r="I434" s="221"/>
      <c r="J434" s="28" t="s">
        <v>21116</v>
      </c>
      <c r="K434" s="137" t="s">
        <v>21117</v>
      </c>
      <c r="L434" s="136" t="s">
        <v>15020</v>
      </c>
      <c r="M434" s="136" t="s">
        <v>15021</v>
      </c>
    </row>
    <row r="435" spans="1:13" ht="14.25" customHeight="1">
      <c r="A435" s="136">
        <v>26</v>
      </c>
      <c r="B435" s="136"/>
      <c r="C435" s="269" t="s">
        <v>21118</v>
      </c>
      <c r="D435" s="217" t="s">
        <v>21119</v>
      </c>
      <c r="E435" s="222" t="s">
        <v>21120</v>
      </c>
      <c r="F435" s="269" t="s">
        <v>4823</v>
      </c>
      <c r="G435" s="222" t="s">
        <v>21121</v>
      </c>
      <c r="H435" s="221" t="s">
        <v>21122</v>
      </c>
      <c r="I435" s="221"/>
      <c r="J435" s="28" t="s">
        <v>21123</v>
      </c>
      <c r="K435" s="137" t="s">
        <v>21124</v>
      </c>
      <c r="L435" s="136" t="s">
        <v>15029</v>
      </c>
      <c r="M435" s="136" t="s">
        <v>15030</v>
      </c>
    </row>
    <row r="436" spans="1:13" ht="14.25" customHeight="1">
      <c r="A436" s="136">
        <v>27</v>
      </c>
      <c r="B436" s="136"/>
      <c r="C436" s="269" t="s">
        <v>21125</v>
      </c>
      <c r="D436" s="217" t="s">
        <v>21126</v>
      </c>
      <c r="E436" s="222" t="s">
        <v>21127</v>
      </c>
      <c r="F436" s="269" t="s">
        <v>13358</v>
      </c>
      <c r="G436" s="222" t="s">
        <v>21128</v>
      </c>
      <c r="H436" s="221" t="s">
        <v>21129</v>
      </c>
      <c r="I436" s="221"/>
      <c r="J436" s="28" t="s">
        <v>21130</v>
      </c>
      <c r="K436" s="137" t="s">
        <v>21131</v>
      </c>
      <c r="L436" s="136" t="s">
        <v>15038</v>
      </c>
      <c r="M436" s="136" t="s">
        <v>15039</v>
      </c>
    </row>
    <row r="437" spans="1:13" ht="14.25" customHeight="1">
      <c r="A437" s="136">
        <v>28</v>
      </c>
      <c r="B437" s="136"/>
      <c r="C437" s="269" t="s">
        <v>21132</v>
      </c>
      <c r="D437" s="217" t="s">
        <v>21133</v>
      </c>
      <c r="E437" s="222" t="s">
        <v>21134</v>
      </c>
      <c r="F437" s="269" t="s">
        <v>65</v>
      </c>
      <c r="G437" s="222" t="s">
        <v>21135</v>
      </c>
      <c r="H437" s="221" t="s">
        <v>21136</v>
      </c>
      <c r="I437" s="221"/>
      <c r="J437" s="28" t="s">
        <v>21137</v>
      </c>
      <c r="K437" s="137" t="s">
        <v>21138</v>
      </c>
      <c r="L437" s="136" t="s">
        <v>10856</v>
      </c>
      <c r="M437" s="136" t="s">
        <v>10857</v>
      </c>
    </row>
    <row r="438" spans="1:13" ht="14.25" customHeight="1">
      <c r="A438" s="136">
        <v>29</v>
      </c>
      <c r="B438" s="136"/>
      <c r="C438" s="269" t="s">
        <v>21139</v>
      </c>
      <c r="D438" s="217" t="s">
        <v>21140</v>
      </c>
      <c r="E438" s="222" t="s">
        <v>21141</v>
      </c>
      <c r="F438" s="269" t="s">
        <v>4823</v>
      </c>
      <c r="G438" s="222" t="s">
        <v>21142</v>
      </c>
      <c r="H438" s="221" t="s">
        <v>21143</v>
      </c>
      <c r="I438" s="221"/>
      <c r="J438" s="28" t="s">
        <v>21144</v>
      </c>
      <c r="K438" s="137" t="s">
        <v>21145</v>
      </c>
      <c r="L438" s="136" t="s">
        <v>15048</v>
      </c>
      <c r="M438" s="136" t="s">
        <v>15049</v>
      </c>
    </row>
    <row r="439" spans="1:13" ht="14.25" customHeight="1">
      <c r="A439" s="136">
        <v>30</v>
      </c>
      <c r="B439" s="136"/>
      <c r="C439" s="269" t="s">
        <v>21146</v>
      </c>
      <c r="D439" s="217" t="s">
        <v>21147</v>
      </c>
      <c r="E439" s="222" t="s">
        <v>21148</v>
      </c>
      <c r="F439" s="269" t="s">
        <v>65</v>
      </c>
      <c r="G439" s="222" t="s">
        <v>21149</v>
      </c>
      <c r="H439" s="221" t="s">
        <v>21150</v>
      </c>
      <c r="I439" s="221"/>
      <c r="J439" s="118" t="s">
        <v>21151</v>
      </c>
      <c r="K439" s="137" t="s">
        <v>21152</v>
      </c>
      <c r="L439" s="136" t="s">
        <v>15057</v>
      </c>
      <c r="M439" s="136" t="s">
        <v>15058</v>
      </c>
    </row>
    <row r="440" spans="1:13" ht="14.25" customHeight="1">
      <c r="A440" s="136">
        <v>31</v>
      </c>
      <c r="B440" s="136"/>
      <c r="C440" s="269" t="s">
        <v>21153</v>
      </c>
      <c r="D440" s="217" t="s">
        <v>21154</v>
      </c>
      <c r="E440" s="222" t="s">
        <v>21155</v>
      </c>
      <c r="F440" s="269" t="s">
        <v>65</v>
      </c>
      <c r="G440" s="222" t="s">
        <v>21156</v>
      </c>
      <c r="H440" s="221" t="s">
        <v>21157</v>
      </c>
      <c r="I440" s="221"/>
      <c r="J440" s="28" t="s">
        <v>21158</v>
      </c>
      <c r="K440" s="137" t="s">
        <v>21159</v>
      </c>
      <c r="L440" s="136" t="s">
        <v>21160</v>
      </c>
      <c r="M440" s="136" t="s">
        <v>21161</v>
      </c>
    </row>
    <row r="441" spans="1:13" ht="14.25" customHeight="1">
      <c r="A441" s="136">
        <v>32</v>
      </c>
      <c r="B441" s="136"/>
      <c r="C441" s="269" t="s">
        <v>21162</v>
      </c>
      <c r="D441" s="217" t="s">
        <v>21163</v>
      </c>
      <c r="E441" s="222" t="s">
        <v>21164</v>
      </c>
      <c r="F441" s="269" t="s">
        <v>65</v>
      </c>
      <c r="G441" s="222" t="s">
        <v>21165</v>
      </c>
      <c r="H441" s="221" t="s">
        <v>21166</v>
      </c>
      <c r="I441" s="221"/>
      <c r="J441" s="28" t="s">
        <v>21167</v>
      </c>
      <c r="K441" s="137" t="s">
        <v>21168</v>
      </c>
      <c r="L441" s="136" t="s">
        <v>21169</v>
      </c>
      <c r="M441" s="136" t="s">
        <v>21170</v>
      </c>
    </row>
    <row r="442" spans="1:13" ht="14.25" customHeight="1">
      <c r="A442" s="136">
        <v>33</v>
      </c>
      <c r="B442" s="136"/>
      <c r="C442" s="269" t="s">
        <v>21171</v>
      </c>
      <c r="D442" s="217" t="s">
        <v>21172</v>
      </c>
      <c r="E442" s="222" t="s">
        <v>21173</v>
      </c>
      <c r="F442" s="269" t="s">
        <v>21050</v>
      </c>
      <c r="G442" s="222" t="s">
        <v>21174</v>
      </c>
      <c r="H442" s="221" t="s">
        <v>21175</v>
      </c>
      <c r="I442" s="221"/>
      <c r="J442" s="28" t="s">
        <v>21176</v>
      </c>
      <c r="K442" s="137" t="s">
        <v>21177</v>
      </c>
      <c r="L442" s="136" t="s">
        <v>21178</v>
      </c>
      <c r="M442" s="136" t="s">
        <v>21179</v>
      </c>
    </row>
    <row r="443" spans="1:13" ht="14.25" customHeight="1">
      <c r="A443" s="136">
        <v>34</v>
      </c>
      <c r="B443" s="136"/>
      <c r="C443" s="269" t="s">
        <v>21180</v>
      </c>
      <c r="D443" s="217" t="s">
        <v>21181</v>
      </c>
      <c r="E443" s="222" t="s">
        <v>21182</v>
      </c>
      <c r="F443" s="269" t="s">
        <v>4823</v>
      </c>
      <c r="G443" s="222" t="s">
        <v>21183</v>
      </c>
      <c r="H443" s="221" t="s">
        <v>21184</v>
      </c>
      <c r="I443" s="221"/>
      <c r="J443" s="28" t="s">
        <v>21185</v>
      </c>
      <c r="K443" s="137" t="s">
        <v>21186</v>
      </c>
      <c r="L443" s="136" t="s">
        <v>21187</v>
      </c>
      <c r="M443" s="136" t="s">
        <v>21188</v>
      </c>
    </row>
    <row r="444" spans="1:13" ht="14.25" customHeight="1">
      <c r="A444" s="136">
        <v>35</v>
      </c>
      <c r="B444" s="136"/>
      <c r="C444" s="269" t="s">
        <v>21189</v>
      </c>
      <c r="D444" s="217" t="s">
        <v>21190</v>
      </c>
      <c r="E444" s="222" t="s">
        <v>21191</v>
      </c>
      <c r="F444" s="269" t="s">
        <v>117</v>
      </c>
      <c r="G444" s="222" t="s">
        <v>21192</v>
      </c>
      <c r="H444" s="221" t="s">
        <v>21193</v>
      </c>
      <c r="I444" s="221"/>
      <c r="J444" s="28" t="s">
        <v>21194</v>
      </c>
      <c r="K444" s="137" t="s">
        <v>21195</v>
      </c>
      <c r="L444" s="136" t="s">
        <v>21196</v>
      </c>
      <c r="M444" s="136" t="s">
        <v>21197</v>
      </c>
    </row>
    <row r="445" spans="1:13" ht="14.25" customHeight="1">
      <c r="A445" s="136">
        <v>36</v>
      </c>
      <c r="B445" s="136"/>
      <c r="C445" s="269" t="s">
        <v>21198</v>
      </c>
      <c r="D445" s="217" t="s">
        <v>21199</v>
      </c>
      <c r="E445" s="222" t="s">
        <v>21200</v>
      </c>
      <c r="F445" s="269" t="s">
        <v>65</v>
      </c>
      <c r="G445" s="222" t="s">
        <v>21201</v>
      </c>
      <c r="H445" s="221" t="s">
        <v>21202</v>
      </c>
      <c r="I445" s="221"/>
      <c r="J445" s="28" t="s">
        <v>21203</v>
      </c>
      <c r="K445" s="13" t="s">
        <v>21204</v>
      </c>
      <c r="L445" s="136" t="s">
        <v>21205</v>
      </c>
      <c r="M445" s="136" t="s">
        <v>21206</v>
      </c>
    </row>
    <row r="446" spans="1:13" ht="14.25" customHeight="1">
      <c r="A446" s="136">
        <v>37</v>
      </c>
      <c r="B446" s="136"/>
      <c r="C446" s="269" t="s">
        <v>21207</v>
      </c>
      <c r="D446" s="217" t="s">
        <v>21208</v>
      </c>
      <c r="E446" s="222" t="s">
        <v>21209</v>
      </c>
      <c r="F446" s="269" t="s">
        <v>65</v>
      </c>
      <c r="G446" s="222" t="s">
        <v>21210</v>
      </c>
      <c r="H446" s="221" t="s">
        <v>21211</v>
      </c>
      <c r="I446" s="221"/>
      <c r="J446" s="28" t="s">
        <v>21212</v>
      </c>
      <c r="K446" s="137" t="s">
        <v>21213</v>
      </c>
      <c r="L446" s="136" t="s">
        <v>21214</v>
      </c>
      <c r="M446" s="136" t="s">
        <v>21215</v>
      </c>
    </row>
    <row r="447" spans="1:13" ht="14.25" customHeight="1">
      <c r="A447" s="136">
        <v>38</v>
      </c>
      <c r="B447" s="136"/>
      <c r="C447" s="222" t="s">
        <v>21216</v>
      </c>
      <c r="D447" s="217" t="s">
        <v>21217</v>
      </c>
      <c r="E447" s="218" t="s">
        <v>21218</v>
      </c>
      <c r="F447" s="222" t="s">
        <v>54</v>
      </c>
      <c r="G447" s="231" t="s">
        <v>21219</v>
      </c>
      <c r="H447" s="221" t="s">
        <v>21220</v>
      </c>
      <c r="I447" s="221"/>
      <c r="J447" s="28" t="s">
        <v>21221</v>
      </c>
      <c r="K447" s="137" t="s">
        <v>21222</v>
      </c>
      <c r="L447" s="113" t="s">
        <v>21223</v>
      </c>
      <c r="M447" s="136" t="s">
        <v>21224</v>
      </c>
    </row>
    <row r="448" spans="1:13" ht="14.25" customHeight="1">
      <c r="A448" s="136">
        <v>39</v>
      </c>
      <c r="B448" s="136"/>
      <c r="C448" s="222" t="s">
        <v>21225</v>
      </c>
      <c r="D448" s="217" t="s">
        <v>21226</v>
      </c>
      <c r="E448" s="218" t="s">
        <v>21227</v>
      </c>
      <c r="F448" s="222" t="s">
        <v>18983</v>
      </c>
      <c r="G448" s="231" t="s">
        <v>21228</v>
      </c>
      <c r="H448" s="221" t="s">
        <v>21229</v>
      </c>
      <c r="I448" s="221"/>
      <c r="J448" s="28" t="s">
        <v>21230</v>
      </c>
      <c r="K448" s="137" t="s">
        <v>21231</v>
      </c>
      <c r="L448" s="136" t="s">
        <v>21232</v>
      </c>
      <c r="M448" s="136" t="s">
        <v>21233</v>
      </c>
    </row>
    <row r="449" spans="1:13" ht="14.25" customHeight="1">
      <c r="A449" s="136">
        <v>40</v>
      </c>
      <c r="B449" s="136"/>
      <c r="C449" s="222" t="s">
        <v>13783</v>
      </c>
      <c r="D449" s="217" t="s">
        <v>13784</v>
      </c>
      <c r="E449" s="218" t="s">
        <v>13785</v>
      </c>
      <c r="F449" s="222" t="s">
        <v>21234</v>
      </c>
      <c r="G449" s="231" t="s">
        <v>21235</v>
      </c>
      <c r="H449" s="221" t="s">
        <v>21236</v>
      </c>
      <c r="I449" s="221"/>
      <c r="J449" s="28" t="s">
        <v>21237</v>
      </c>
      <c r="K449" s="137" t="s">
        <v>21238</v>
      </c>
      <c r="L449" s="136" t="s">
        <v>21239</v>
      </c>
      <c r="M449" s="136" t="s">
        <v>21240</v>
      </c>
    </row>
    <row r="450" spans="1:13" ht="14.25" customHeight="1">
      <c r="A450" s="136">
        <v>41</v>
      </c>
      <c r="B450" s="136"/>
      <c r="C450" s="222" t="s">
        <v>21241</v>
      </c>
      <c r="D450" s="217" t="s">
        <v>21242</v>
      </c>
      <c r="E450" s="218" t="s">
        <v>21243</v>
      </c>
      <c r="F450" s="222" t="s">
        <v>4823</v>
      </c>
      <c r="G450" s="231" t="s">
        <v>21244</v>
      </c>
      <c r="H450" s="221" t="s">
        <v>21245</v>
      </c>
      <c r="I450" s="221"/>
      <c r="J450" s="28" t="s">
        <v>21246</v>
      </c>
      <c r="K450" s="137" t="s">
        <v>21247</v>
      </c>
      <c r="L450" s="136" t="s">
        <v>21248</v>
      </c>
      <c r="M450" s="136" t="s">
        <v>21249</v>
      </c>
    </row>
    <row r="451" spans="1:13" ht="14.25" customHeight="1">
      <c r="A451" s="210">
        <v>1</v>
      </c>
      <c r="B451" s="210"/>
      <c r="C451" s="268" t="s">
        <v>21250</v>
      </c>
      <c r="D451" s="212" t="s">
        <v>21251</v>
      </c>
      <c r="E451" s="211" t="s">
        <v>21252</v>
      </c>
      <c r="F451" s="268" t="s">
        <v>65</v>
      </c>
      <c r="G451" s="211" t="s">
        <v>21253</v>
      </c>
      <c r="H451" s="214" t="s">
        <v>21254</v>
      </c>
      <c r="I451" s="214"/>
      <c r="J451" s="212" t="s">
        <v>21255</v>
      </c>
      <c r="K451" s="215" t="s">
        <v>21256</v>
      </c>
      <c r="L451" s="210" t="s">
        <v>15066</v>
      </c>
      <c r="M451" s="247" t="s">
        <v>15067</v>
      </c>
    </row>
    <row r="452" spans="1:13" ht="14.25" customHeight="1">
      <c r="A452" s="136">
        <v>2</v>
      </c>
      <c r="B452" s="136"/>
      <c r="C452" s="269" t="s">
        <v>21257</v>
      </c>
      <c r="D452" s="226" t="s">
        <v>21258</v>
      </c>
      <c r="E452" s="222" t="s">
        <v>21259</v>
      </c>
      <c r="F452" s="269" t="s">
        <v>65</v>
      </c>
      <c r="G452" s="222" t="s">
        <v>21260</v>
      </c>
      <c r="H452" s="227" t="s">
        <v>21261</v>
      </c>
      <c r="I452" s="227"/>
      <c r="J452" s="226" t="s">
        <v>21262</v>
      </c>
      <c r="K452" s="118" t="s">
        <v>21263</v>
      </c>
      <c r="L452" s="136" t="s">
        <v>15075</v>
      </c>
      <c r="M452" s="136" t="s">
        <v>15076</v>
      </c>
    </row>
    <row r="453" spans="1:13" ht="14.25" customHeight="1">
      <c r="A453" s="136">
        <v>3</v>
      </c>
      <c r="B453" s="136"/>
      <c r="C453" s="269" t="s">
        <v>21264</v>
      </c>
      <c r="D453" s="226" t="s">
        <v>21265</v>
      </c>
      <c r="E453" s="219" t="s">
        <v>21266</v>
      </c>
      <c r="F453" s="269" t="s">
        <v>65</v>
      </c>
      <c r="G453" s="222" t="s">
        <v>21267</v>
      </c>
      <c r="H453" s="227" t="s">
        <v>21268</v>
      </c>
      <c r="I453" s="227"/>
      <c r="J453" s="226" t="s">
        <v>21269</v>
      </c>
      <c r="K453" s="118" t="s">
        <v>21270</v>
      </c>
      <c r="L453" s="136" t="s">
        <v>15084</v>
      </c>
      <c r="M453" s="136" t="s">
        <v>15085</v>
      </c>
    </row>
    <row r="454" spans="1:13" ht="14.25" customHeight="1">
      <c r="A454" s="136">
        <v>4</v>
      </c>
      <c r="B454" s="136"/>
      <c r="C454" s="269" t="s">
        <v>21271</v>
      </c>
      <c r="D454" s="226" t="s">
        <v>21272</v>
      </c>
      <c r="E454" s="222" t="s">
        <v>21273</v>
      </c>
      <c r="F454" s="269" t="s">
        <v>54</v>
      </c>
      <c r="G454" s="222" t="s">
        <v>21274</v>
      </c>
      <c r="H454" s="227" t="s">
        <v>21275</v>
      </c>
      <c r="I454" s="227"/>
      <c r="J454" s="226" t="s">
        <v>21276</v>
      </c>
      <c r="K454" s="118" t="s">
        <v>21277</v>
      </c>
      <c r="L454" s="136" t="s">
        <v>15093</v>
      </c>
      <c r="M454" s="136" t="s">
        <v>15094</v>
      </c>
    </row>
    <row r="455" spans="1:13" ht="14.25" customHeight="1">
      <c r="A455" s="136">
        <v>5</v>
      </c>
      <c r="B455" s="136"/>
      <c r="C455" s="269" t="s">
        <v>21278</v>
      </c>
      <c r="D455" s="226" t="s">
        <v>21279</v>
      </c>
      <c r="E455" s="222" t="s">
        <v>21280</v>
      </c>
      <c r="F455" s="269" t="s">
        <v>65</v>
      </c>
      <c r="G455" s="222" t="s">
        <v>21281</v>
      </c>
      <c r="H455" s="227" t="s">
        <v>21282</v>
      </c>
      <c r="I455" s="227"/>
      <c r="J455" s="226" t="s">
        <v>21283</v>
      </c>
      <c r="K455" s="118" t="s">
        <v>21284</v>
      </c>
      <c r="L455" s="136" t="s">
        <v>15102</v>
      </c>
      <c r="M455" s="136" t="s">
        <v>15103</v>
      </c>
    </row>
    <row r="456" spans="1:13" ht="14.25" customHeight="1">
      <c r="A456" s="113">
        <v>6</v>
      </c>
      <c r="B456" s="113"/>
      <c r="C456" s="270" t="s">
        <v>21285</v>
      </c>
      <c r="D456" s="259" t="s">
        <v>21286</v>
      </c>
      <c r="E456" s="216" t="s">
        <v>21287</v>
      </c>
      <c r="F456" s="270" t="s">
        <v>4823</v>
      </c>
      <c r="G456" s="216" t="s">
        <v>21288</v>
      </c>
      <c r="H456" s="260" t="s">
        <v>21289</v>
      </c>
      <c r="I456" s="260"/>
      <c r="J456" s="259" t="s">
        <v>21290</v>
      </c>
      <c r="K456" s="137" t="s">
        <v>21291</v>
      </c>
      <c r="L456" s="136" t="s">
        <v>15111</v>
      </c>
      <c r="M456" s="136" t="s">
        <v>15112</v>
      </c>
    </row>
    <row r="457" spans="1:13" ht="14.25" customHeight="1">
      <c r="A457" s="113">
        <v>7</v>
      </c>
      <c r="B457" s="113"/>
      <c r="C457" s="270" t="s">
        <v>21292</v>
      </c>
      <c r="D457" s="259" t="s">
        <v>21293</v>
      </c>
      <c r="E457" s="216" t="s">
        <v>21294</v>
      </c>
      <c r="F457" s="270" t="s">
        <v>4823</v>
      </c>
      <c r="G457" s="216" t="s">
        <v>21295</v>
      </c>
      <c r="H457" s="260" t="s">
        <v>21296</v>
      </c>
      <c r="I457" s="260"/>
      <c r="J457" s="259" t="s">
        <v>21297</v>
      </c>
      <c r="K457" s="137" t="s">
        <v>21298</v>
      </c>
      <c r="L457" s="136" t="s">
        <v>15120</v>
      </c>
      <c r="M457" s="136" t="s">
        <v>15121</v>
      </c>
    </row>
    <row r="458" spans="1:13" ht="14.25" customHeight="1">
      <c r="A458" s="113">
        <v>8</v>
      </c>
      <c r="B458" s="113"/>
      <c r="C458" s="270" t="s">
        <v>21299</v>
      </c>
      <c r="D458" s="259" t="s">
        <v>21300</v>
      </c>
      <c r="E458" s="216" t="s">
        <v>21301</v>
      </c>
      <c r="F458" s="270" t="s">
        <v>65</v>
      </c>
      <c r="G458" s="216" t="s">
        <v>21302</v>
      </c>
      <c r="H458" s="260" t="s">
        <v>21303</v>
      </c>
      <c r="I458" s="260"/>
      <c r="J458" s="259" t="s">
        <v>21304</v>
      </c>
      <c r="K458" s="137" t="s">
        <v>21305</v>
      </c>
      <c r="L458" s="136" t="s">
        <v>15129</v>
      </c>
      <c r="M458" s="136" t="s">
        <v>15130</v>
      </c>
    </row>
    <row r="459" spans="1:13" ht="14.25" customHeight="1">
      <c r="A459" s="113">
        <v>9</v>
      </c>
      <c r="B459" s="113"/>
      <c r="C459" s="270" t="s">
        <v>21306</v>
      </c>
      <c r="D459" s="259" t="s">
        <v>21307</v>
      </c>
      <c r="E459" s="216" t="s">
        <v>21308</v>
      </c>
      <c r="F459" s="270" t="s">
        <v>21309</v>
      </c>
      <c r="G459" s="216" t="s">
        <v>21310</v>
      </c>
      <c r="H459" s="260" t="s">
        <v>21311</v>
      </c>
      <c r="I459" s="260"/>
      <c r="J459" s="259" t="s">
        <v>21312</v>
      </c>
      <c r="K459" s="137" t="s">
        <v>21313</v>
      </c>
      <c r="L459" s="136" t="s">
        <v>15138</v>
      </c>
      <c r="M459" s="136" t="s">
        <v>15139</v>
      </c>
    </row>
    <row r="460" spans="1:13" ht="14.25" customHeight="1">
      <c r="A460" s="113">
        <v>10</v>
      </c>
      <c r="B460" s="113"/>
      <c r="C460" s="270" t="s">
        <v>21314</v>
      </c>
      <c r="D460" s="259" t="s">
        <v>21315</v>
      </c>
      <c r="E460" s="216" t="s">
        <v>21316</v>
      </c>
      <c r="F460" s="270" t="s">
        <v>4823</v>
      </c>
      <c r="G460" s="216" t="s">
        <v>21317</v>
      </c>
      <c r="H460" s="260" t="s">
        <v>21318</v>
      </c>
      <c r="I460" s="260"/>
      <c r="J460" s="259" t="s">
        <v>21319</v>
      </c>
      <c r="K460" s="137" t="s">
        <v>21320</v>
      </c>
      <c r="L460" s="136" t="s">
        <v>15147</v>
      </c>
      <c r="M460" s="136" t="s">
        <v>15148</v>
      </c>
    </row>
    <row r="461" spans="1:13" ht="14.25" customHeight="1">
      <c r="A461" s="113">
        <v>11</v>
      </c>
      <c r="B461" s="113"/>
      <c r="C461" s="270" t="s">
        <v>21321</v>
      </c>
      <c r="D461" s="259" t="s">
        <v>21322</v>
      </c>
      <c r="E461" s="216" t="s">
        <v>21323</v>
      </c>
      <c r="F461" s="270" t="s">
        <v>4823</v>
      </c>
      <c r="G461" s="216" t="s">
        <v>21324</v>
      </c>
      <c r="H461" s="260" t="s">
        <v>21325</v>
      </c>
      <c r="I461" s="260"/>
      <c r="J461" s="259" t="s">
        <v>21326</v>
      </c>
      <c r="K461" s="137" t="s">
        <v>21327</v>
      </c>
      <c r="L461" s="136" t="s">
        <v>15156</v>
      </c>
      <c r="M461" s="136" t="s">
        <v>15157</v>
      </c>
    </row>
    <row r="462" spans="1:13" ht="14.25" customHeight="1">
      <c r="A462" s="113">
        <v>12</v>
      </c>
      <c r="B462" s="113"/>
      <c r="C462" s="270" t="s">
        <v>21328</v>
      </c>
      <c r="D462" s="259" t="s">
        <v>21329</v>
      </c>
      <c r="E462" s="216" t="s">
        <v>21330</v>
      </c>
      <c r="F462" s="270" t="s">
        <v>65</v>
      </c>
      <c r="G462" s="216" t="s">
        <v>21331</v>
      </c>
      <c r="H462" s="260" t="s">
        <v>21332</v>
      </c>
      <c r="I462" s="260"/>
      <c r="J462" s="259" t="s">
        <v>21333</v>
      </c>
      <c r="K462" s="137" t="s">
        <v>21334</v>
      </c>
      <c r="L462" s="136" t="s">
        <v>15165</v>
      </c>
      <c r="M462" s="136" t="s">
        <v>15166</v>
      </c>
    </row>
    <row r="463" spans="1:13" ht="14.25" customHeight="1">
      <c r="A463" s="113">
        <v>13</v>
      </c>
      <c r="B463" s="113"/>
      <c r="C463" s="270" t="s">
        <v>21335</v>
      </c>
      <c r="D463" s="259" t="s">
        <v>21336</v>
      </c>
      <c r="E463" s="216" t="s">
        <v>21337</v>
      </c>
      <c r="F463" s="270" t="s">
        <v>4823</v>
      </c>
      <c r="G463" s="216" t="s">
        <v>21338</v>
      </c>
      <c r="H463" s="260" t="s">
        <v>21339</v>
      </c>
      <c r="I463" s="260"/>
      <c r="J463" s="259" t="s">
        <v>21340</v>
      </c>
      <c r="K463" s="137" t="s">
        <v>21341</v>
      </c>
      <c r="L463" s="136" t="s">
        <v>15174</v>
      </c>
      <c r="M463" s="136" t="s">
        <v>15175</v>
      </c>
    </row>
    <row r="464" spans="1:13" ht="14.25" customHeight="1">
      <c r="A464" s="113">
        <v>14</v>
      </c>
      <c r="B464" s="113"/>
      <c r="C464" s="270" t="s">
        <v>21342</v>
      </c>
      <c r="D464" s="259" t="s">
        <v>21343</v>
      </c>
      <c r="E464" s="216" t="s">
        <v>21344</v>
      </c>
      <c r="F464" s="270" t="s">
        <v>4823</v>
      </c>
      <c r="G464" s="216" t="s">
        <v>21345</v>
      </c>
      <c r="H464" s="260" t="s">
        <v>21346</v>
      </c>
      <c r="I464" s="260"/>
      <c r="J464" s="259" t="s">
        <v>21347</v>
      </c>
      <c r="K464" s="137" t="s">
        <v>21348</v>
      </c>
      <c r="L464" s="136" t="s">
        <v>15183</v>
      </c>
      <c r="M464" s="136" t="s">
        <v>15184</v>
      </c>
    </row>
    <row r="465" spans="1:13" ht="14.25" customHeight="1">
      <c r="A465" s="113">
        <v>15</v>
      </c>
      <c r="B465" s="113"/>
      <c r="C465" s="270" t="s">
        <v>21349</v>
      </c>
      <c r="D465" s="259" t="s">
        <v>21350</v>
      </c>
      <c r="E465" s="216" t="s">
        <v>21351</v>
      </c>
      <c r="F465" s="270" t="s">
        <v>4823</v>
      </c>
      <c r="G465" s="216" t="s">
        <v>21352</v>
      </c>
      <c r="H465" s="260" t="s">
        <v>21353</v>
      </c>
      <c r="I465" s="260"/>
      <c r="J465" s="259" t="s">
        <v>21354</v>
      </c>
      <c r="K465" s="137" t="s">
        <v>21355</v>
      </c>
      <c r="L465" s="136" t="s">
        <v>15192</v>
      </c>
      <c r="M465" s="136" t="s">
        <v>15193</v>
      </c>
    </row>
    <row r="466" spans="1:13" ht="14.25" customHeight="1">
      <c r="A466" s="113">
        <v>16</v>
      </c>
      <c r="B466" s="113"/>
      <c r="C466" s="270" t="s">
        <v>21356</v>
      </c>
      <c r="D466" s="259" t="s">
        <v>21357</v>
      </c>
      <c r="E466" s="216" t="s">
        <v>21358</v>
      </c>
      <c r="F466" s="270" t="s">
        <v>65</v>
      </c>
      <c r="G466" s="216" t="s">
        <v>21359</v>
      </c>
      <c r="H466" s="260" t="s">
        <v>21360</v>
      </c>
      <c r="I466" s="260"/>
      <c r="J466" s="259" t="s">
        <v>21361</v>
      </c>
      <c r="K466" s="137" t="s">
        <v>21362</v>
      </c>
      <c r="L466" s="136" t="s">
        <v>15201</v>
      </c>
      <c r="M466" s="136" t="s">
        <v>15202</v>
      </c>
    </row>
    <row r="467" spans="1:13" ht="14.25" customHeight="1">
      <c r="A467" s="113">
        <v>17</v>
      </c>
      <c r="B467" s="113"/>
      <c r="C467" s="271" t="s">
        <v>21363</v>
      </c>
      <c r="D467" s="259" t="s">
        <v>21364</v>
      </c>
      <c r="E467" s="219" t="s">
        <v>21365</v>
      </c>
      <c r="F467" s="270" t="s">
        <v>4823</v>
      </c>
      <c r="G467" s="219" t="s">
        <v>21366</v>
      </c>
      <c r="H467" s="260" t="s">
        <v>21367</v>
      </c>
      <c r="I467" s="260"/>
      <c r="J467" s="118" t="s">
        <v>21368</v>
      </c>
      <c r="K467" s="137" t="s">
        <v>21369</v>
      </c>
      <c r="L467" s="136" t="s">
        <v>15210</v>
      </c>
      <c r="M467" s="136" t="s">
        <v>15211</v>
      </c>
    </row>
    <row r="468" spans="1:13" ht="14.25" customHeight="1">
      <c r="A468" s="136">
        <v>18</v>
      </c>
      <c r="B468" s="136"/>
      <c r="C468" s="272" t="s">
        <v>21370</v>
      </c>
      <c r="D468" s="226" t="s">
        <v>21371</v>
      </c>
      <c r="E468" s="218" t="s">
        <v>21372</v>
      </c>
      <c r="F468" s="269" t="s">
        <v>21309</v>
      </c>
      <c r="G468" s="218" t="s">
        <v>21373</v>
      </c>
      <c r="H468" s="227" t="s">
        <v>21374</v>
      </c>
      <c r="I468" s="227"/>
      <c r="J468" s="118" t="s">
        <v>21375</v>
      </c>
      <c r="K468" s="118" t="s">
        <v>21376</v>
      </c>
      <c r="L468" s="136" t="s">
        <v>15219</v>
      </c>
      <c r="M468" s="136" t="s">
        <v>15220</v>
      </c>
    </row>
    <row r="469" spans="1:13" ht="14.25" customHeight="1">
      <c r="A469" s="136">
        <v>19</v>
      </c>
      <c r="B469" s="136"/>
      <c r="C469" s="272" t="s">
        <v>21377</v>
      </c>
      <c r="D469" s="226" t="s">
        <v>21378</v>
      </c>
      <c r="E469" s="218" t="s">
        <v>21379</v>
      </c>
      <c r="F469" s="269" t="s">
        <v>4823</v>
      </c>
      <c r="G469" s="218" t="s">
        <v>21380</v>
      </c>
      <c r="H469" s="227" t="s">
        <v>21381</v>
      </c>
      <c r="I469" s="227"/>
      <c r="J469" s="226" t="s">
        <v>21382</v>
      </c>
      <c r="K469" s="118" t="s">
        <v>21383</v>
      </c>
      <c r="L469" s="136" t="s">
        <v>15228</v>
      </c>
      <c r="M469" s="136" t="s">
        <v>15229</v>
      </c>
    </row>
    <row r="470" spans="1:13" ht="14.25" customHeight="1">
      <c r="A470" s="113">
        <v>20</v>
      </c>
      <c r="B470" s="113"/>
      <c r="C470" s="270" t="s">
        <v>21384</v>
      </c>
      <c r="D470" s="259" t="s">
        <v>21385</v>
      </c>
      <c r="E470" s="216" t="s">
        <v>21386</v>
      </c>
      <c r="F470" s="270" t="s">
        <v>54</v>
      </c>
      <c r="G470" s="216" t="s">
        <v>11112</v>
      </c>
      <c r="H470" s="260" t="s">
        <v>21387</v>
      </c>
      <c r="I470" s="260"/>
      <c r="J470" s="226" t="s">
        <v>21388</v>
      </c>
      <c r="K470" s="13" t="s">
        <v>21389</v>
      </c>
      <c r="L470" s="136" t="s">
        <v>10913</v>
      </c>
      <c r="M470" s="136" t="s">
        <v>10914</v>
      </c>
    </row>
    <row r="471" spans="1:13" ht="14.25" customHeight="1">
      <c r="A471" s="113">
        <v>21</v>
      </c>
      <c r="B471" s="113"/>
      <c r="C471" s="270" t="s">
        <v>21390</v>
      </c>
      <c r="D471" s="259" t="s">
        <v>21391</v>
      </c>
      <c r="E471" s="216" t="s">
        <v>21392</v>
      </c>
      <c r="F471" s="270" t="s">
        <v>4823</v>
      </c>
      <c r="G471" s="216" t="s">
        <v>21393</v>
      </c>
      <c r="H471" s="260" t="s">
        <v>21394</v>
      </c>
      <c r="I471" s="260"/>
      <c r="J471" s="226" t="s">
        <v>21395</v>
      </c>
      <c r="K471" s="137" t="s">
        <v>21396</v>
      </c>
      <c r="L471" s="136" t="s">
        <v>15238</v>
      </c>
      <c r="M471" s="136" t="s">
        <v>15239</v>
      </c>
    </row>
    <row r="472" spans="1:13" ht="14.25" customHeight="1">
      <c r="A472" s="113">
        <v>22</v>
      </c>
      <c r="B472" s="113"/>
      <c r="C472" s="270" t="s">
        <v>21397</v>
      </c>
      <c r="D472" s="259" t="s">
        <v>21398</v>
      </c>
      <c r="E472" s="219" t="s">
        <v>21399</v>
      </c>
      <c r="F472" s="270" t="s">
        <v>65</v>
      </c>
      <c r="G472" s="216" t="s">
        <v>21400</v>
      </c>
      <c r="H472" s="260" t="s">
        <v>21401</v>
      </c>
      <c r="I472" s="260"/>
      <c r="J472" s="226" t="s">
        <v>21402</v>
      </c>
      <c r="K472" s="137" t="s">
        <v>21403</v>
      </c>
      <c r="L472" s="136" t="s">
        <v>15247</v>
      </c>
      <c r="M472" s="136" t="s">
        <v>15248</v>
      </c>
    </row>
    <row r="473" spans="1:13" ht="14.25" customHeight="1">
      <c r="A473" s="113">
        <v>23</v>
      </c>
      <c r="B473" s="113"/>
      <c r="C473" s="270" t="s">
        <v>21404</v>
      </c>
      <c r="D473" s="259" t="s">
        <v>21405</v>
      </c>
      <c r="E473" s="216" t="s">
        <v>21406</v>
      </c>
      <c r="F473" s="270" t="s">
        <v>4823</v>
      </c>
      <c r="G473" s="216" t="s">
        <v>21407</v>
      </c>
      <c r="H473" s="260" t="s">
        <v>21408</v>
      </c>
      <c r="I473" s="260"/>
      <c r="J473" s="226" t="s">
        <v>21409</v>
      </c>
      <c r="K473" s="137" t="s">
        <v>21410</v>
      </c>
      <c r="L473" s="136" t="s">
        <v>10948</v>
      </c>
      <c r="M473" s="136" t="s">
        <v>10949</v>
      </c>
    </row>
    <row r="474" spans="1:13" ht="14.25" customHeight="1">
      <c r="A474" s="113">
        <v>24</v>
      </c>
      <c r="B474" s="113"/>
      <c r="C474" s="270" t="s">
        <v>21411</v>
      </c>
      <c r="D474" s="259" t="s">
        <v>21412</v>
      </c>
      <c r="E474" s="216" t="s">
        <v>21413</v>
      </c>
      <c r="F474" s="270" t="s">
        <v>4823</v>
      </c>
      <c r="G474" s="216" t="s">
        <v>21414</v>
      </c>
      <c r="H474" s="260" t="s">
        <v>21415</v>
      </c>
      <c r="I474" s="260"/>
      <c r="J474" s="226" t="s">
        <v>21416</v>
      </c>
      <c r="K474" s="137" t="s">
        <v>21417</v>
      </c>
      <c r="L474" s="136" t="s">
        <v>15257</v>
      </c>
      <c r="M474" s="136" t="s">
        <v>15258</v>
      </c>
    </row>
    <row r="475" spans="1:13" ht="14.25" customHeight="1">
      <c r="A475" s="113">
        <v>25</v>
      </c>
      <c r="B475" s="113"/>
      <c r="C475" s="270" t="s">
        <v>21418</v>
      </c>
      <c r="D475" s="259" t="s">
        <v>21419</v>
      </c>
      <c r="E475" s="216" t="s">
        <v>21420</v>
      </c>
      <c r="F475" s="270" t="s">
        <v>4823</v>
      </c>
      <c r="G475" s="216" t="s">
        <v>21421</v>
      </c>
      <c r="H475" s="260" t="s">
        <v>21422</v>
      </c>
      <c r="I475" s="260"/>
      <c r="J475" s="226" t="s">
        <v>21423</v>
      </c>
      <c r="K475" s="137" t="s">
        <v>21424</v>
      </c>
      <c r="L475" s="136" t="s">
        <v>15266</v>
      </c>
      <c r="M475" s="136" t="s">
        <v>15267</v>
      </c>
    </row>
    <row r="476" spans="1:13" ht="14.25" customHeight="1">
      <c r="A476" s="113">
        <v>26</v>
      </c>
      <c r="B476" s="113"/>
      <c r="C476" s="270" t="s">
        <v>21425</v>
      </c>
      <c r="D476" s="259" t="s">
        <v>21426</v>
      </c>
      <c r="E476" s="216" t="s">
        <v>21427</v>
      </c>
      <c r="F476" s="270" t="s">
        <v>4823</v>
      </c>
      <c r="G476" s="216" t="s">
        <v>21428</v>
      </c>
      <c r="H476" s="260" t="s">
        <v>21429</v>
      </c>
      <c r="I476" s="260"/>
      <c r="J476" s="226" t="s">
        <v>21430</v>
      </c>
      <c r="K476" s="137" t="s">
        <v>21431</v>
      </c>
      <c r="L476" s="136" t="s">
        <v>15275</v>
      </c>
      <c r="M476" s="136" t="s">
        <v>15276</v>
      </c>
    </row>
    <row r="477" spans="1:13" ht="14.25" customHeight="1">
      <c r="A477" s="136">
        <v>27</v>
      </c>
      <c r="B477" s="136"/>
      <c r="C477" s="269" t="s">
        <v>21432</v>
      </c>
      <c r="D477" s="226" t="s">
        <v>21433</v>
      </c>
      <c r="E477" s="222" t="s">
        <v>21434</v>
      </c>
      <c r="F477" s="269" t="s">
        <v>65</v>
      </c>
      <c r="G477" s="222" t="s">
        <v>21435</v>
      </c>
      <c r="H477" s="227" t="s">
        <v>21436</v>
      </c>
      <c r="I477" s="227"/>
      <c r="J477" s="226" t="s">
        <v>21437</v>
      </c>
      <c r="K477" s="118" t="s">
        <v>21438</v>
      </c>
      <c r="L477" s="136" t="s">
        <v>15284</v>
      </c>
      <c r="M477" s="136" t="s">
        <v>15285</v>
      </c>
    </row>
    <row r="478" spans="1:13" ht="14.25" customHeight="1">
      <c r="A478" s="136">
        <v>28</v>
      </c>
      <c r="B478" s="136"/>
      <c r="C478" s="272" t="s">
        <v>21439</v>
      </c>
      <c r="D478" s="226" t="s">
        <v>21440</v>
      </c>
      <c r="E478" s="219" t="s">
        <v>21441</v>
      </c>
      <c r="F478" s="269" t="s">
        <v>4823</v>
      </c>
      <c r="G478" s="218" t="s">
        <v>21442</v>
      </c>
      <c r="H478" s="227" t="s">
        <v>21443</v>
      </c>
      <c r="I478" s="227"/>
      <c r="J478" s="226" t="s">
        <v>21444</v>
      </c>
      <c r="K478" s="118" t="s">
        <v>21445</v>
      </c>
      <c r="L478" s="136" t="s">
        <v>15293</v>
      </c>
      <c r="M478" s="136" t="s">
        <v>15294</v>
      </c>
    </row>
    <row r="479" spans="1:13" ht="14.25" customHeight="1">
      <c r="A479" s="136">
        <v>29</v>
      </c>
      <c r="B479" s="136"/>
      <c r="C479" s="272" t="s">
        <v>21446</v>
      </c>
      <c r="D479" s="226" t="s">
        <v>21447</v>
      </c>
      <c r="E479" s="219" t="s">
        <v>21448</v>
      </c>
      <c r="F479" s="269" t="s">
        <v>4823</v>
      </c>
      <c r="G479" s="218" t="s">
        <v>21449</v>
      </c>
      <c r="H479" s="227" t="s">
        <v>21450</v>
      </c>
      <c r="I479" s="227"/>
      <c r="J479" s="226" t="s">
        <v>21451</v>
      </c>
      <c r="K479" s="118" t="s">
        <v>21452</v>
      </c>
      <c r="L479" s="136" t="s">
        <v>15302</v>
      </c>
      <c r="M479" s="136" t="s">
        <v>15303</v>
      </c>
    </row>
    <row r="480" spans="1:13" ht="14.25" customHeight="1">
      <c r="A480" s="136">
        <v>30</v>
      </c>
      <c r="B480" s="136"/>
      <c r="C480" s="272" t="s">
        <v>21453</v>
      </c>
      <c r="D480" s="226" t="s">
        <v>21454</v>
      </c>
      <c r="E480" s="218" t="s">
        <v>21455</v>
      </c>
      <c r="F480" s="269" t="s">
        <v>4823</v>
      </c>
      <c r="G480" s="218" t="s">
        <v>21456</v>
      </c>
      <c r="H480" s="227" t="s">
        <v>21457</v>
      </c>
      <c r="I480" s="227"/>
      <c r="J480" s="118" t="s">
        <v>21458</v>
      </c>
      <c r="K480" s="118" t="s">
        <v>21459</v>
      </c>
      <c r="L480" s="136" t="s">
        <v>15311</v>
      </c>
      <c r="M480" s="136" t="s">
        <v>15312</v>
      </c>
    </row>
    <row r="481" spans="1:13" ht="14.25" customHeight="1">
      <c r="A481" s="113">
        <v>31</v>
      </c>
      <c r="B481" s="113"/>
      <c r="C481" s="270" t="s">
        <v>21460</v>
      </c>
      <c r="D481" s="259" t="s">
        <v>21461</v>
      </c>
      <c r="E481" s="216" t="s">
        <v>21462</v>
      </c>
      <c r="F481" s="270" t="s">
        <v>65</v>
      </c>
      <c r="G481" s="216" t="s">
        <v>21463</v>
      </c>
      <c r="H481" s="260" t="s">
        <v>21464</v>
      </c>
      <c r="I481" s="260"/>
      <c r="J481" s="118" t="s">
        <v>21465</v>
      </c>
      <c r="K481" s="137" t="s">
        <v>21466</v>
      </c>
      <c r="L481" s="136" t="s">
        <v>15320</v>
      </c>
      <c r="M481" s="136" t="s">
        <v>15321</v>
      </c>
    </row>
    <row r="482" spans="1:13" ht="14.25" customHeight="1">
      <c r="A482" s="136">
        <v>32</v>
      </c>
      <c r="B482" s="136"/>
      <c r="C482" s="269" t="s">
        <v>21467</v>
      </c>
      <c r="D482" s="226" t="s">
        <v>21468</v>
      </c>
      <c r="E482" s="219" t="s">
        <v>21469</v>
      </c>
      <c r="F482" s="269" t="s">
        <v>65</v>
      </c>
      <c r="G482" s="222" t="s">
        <v>21470</v>
      </c>
      <c r="H482" s="227" t="s">
        <v>21471</v>
      </c>
      <c r="I482" s="227"/>
      <c r="J482" s="118" t="s">
        <v>21472</v>
      </c>
      <c r="K482" s="118" t="s">
        <v>21473</v>
      </c>
      <c r="L482" s="136" t="s">
        <v>15329</v>
      </c>
      <c r="M482" s="136" t="s">
        <v>15330</v>
      </c>
    </row>
    <row r="483" spans="1:13" ht="14.25" customHeight="1">
      <c r="A483" s="136">
        <v>33</v>
      </c>
      <c r="B483" s="136"/>
      <c r="C483" s="269" t="s">
        <v>21474</v>
      </c>
      <c r="D483" s="226" t="s">
        <v>21475</v>
      </c>
      <c r="E483" s="222" t="s">
        <v>21476</v>
      </c>
      <c r="F483" s="269" t="s">
        <v>4823</v>
      </c>
      <c r="G483" s="222" t="s">
        <v>21477</v>
      </c>
      <c r="H483" s="227" t="s">
        <v>21478</v>
      </c>
      <c r="I483" s="227"/>
      <c r="J483" s="226" t="s">
        <v>21479</v>
      </c>
      <c r="K483" s="118" t="s">
        <v>21480</v>
      </c>
      <c r="L483" s="136" t="s">
        <v>15338</v>
      </c>
      <c r="M483" s="136" t="s">
        <v>15339</v>
      </c>
    </row>
    <row r="484" spans="1:13" ht="14.25" customHeight="1">
      <c r="A484" s="113">
        <v>34</v>
      </c>
      <c r="B484" s="113"/>
      <c r="C484" s="270" t="s">
        <v>21481</v>
      </c>
      <c r="D484" s="259" t="s">
        <v>21482</v>
      </c>
      <c r="E484" s="216" t="s">
        <v>21483</v>
      </c>
      <c r="F484" s="270" t="s">
        <v>65</v>
      </c>
      <c r="G484" s="216" t="s">
        <v>21484</v>
      </c>
      <c r="H484" s="260" t="s">
        <v>21485</v>
      </c>
      <c r="I484" s="260"/>
      <c r="J484" s="118" t="s">
        <v>21486</v>
      </c>
      <c r="K484" s="137" t="s">
        <v>21487</v>
      </c>
      <c r="L484" s="136" t="s">
        <v>21488</v>
      </c>
      <c r="M484" s="136" t="s">
        <v>21489</v>
      </c>
    </row>
    <row r="485" spans="1:13" ht="14.25" customHeight="1">
      <c r="A485" s="136">
        <v>35</v>
      </c>
      <c r="B485" s="136"/>
      <c r="C485" s="269" t="s">
        <v>21490</v>
      </c>
      <c r="D485" s="226" t="s">
        <v>21491</v>
      </c>
      <c r="E485" s="222" t="s">
        <v>21492</v>
      </c>
      <c r="F485" s="269" t="s">
        <v>65</v>
      </c>
      <c r="G485" s="222" t="s">
        <v>21493</v>
      </c>
      <c r="H485" s="227" t="s">
        <v>21494</v>
      </c>
      <c r="I485" s="227"/>
      <c r="J485" s="118" t="s">
        <v>21495</v>
      </c>
      <c r="K485" s="118" t="s">
        <v>21496</v>
      </c>
      <c r="L485" s="136" t="s">
        <v>21497</v>
      </c>
      <c r="M485" s="136" t="s">
        <v>21498</v>
      </c>
    </row>
    <row r="486" spans="1:13" ht="14.25" customHeight="1">
      <c r="A486" s="136">
        <v>36</v>
      </c>
      <c r="B486" s="136"/>
      <c r="C486" s="269" t="s">
        <v>21499</v>
      </c>
      <c r="D486" s="226" t="s">
        <v>21500</v>
      </c>
      <c r="E486" s="222" t="s">
        <v>21501</v>
      </c>
      <c r="F486" s="269" t="s">
        <v>65</v>
      </c>
      <c r="G486" s="222" t="s">
        <v>21502</v>
      </c>
      <c r="H486" s="227" t="s">
        <v>21503</v>
      </c>
      <c r="I486" s="227"/>
      <c r="J486" s="118" t="s">
        <v>21504</v>
      </c>
      <c r="K486" s="118" t="s">
        <v>21505</v>
      </c>
      <c r="L486" s="136" t="s">
        <v>21506</v>
      </c>
      <c r="M486" s="136" t="s">
        <v>21507</v>
      </c>
    </row>
    <row r="487" spans="1:13" ht="14.25" customHeight="1">
      <c r="A487" s="136">
        <v>37</v>
      </c>
      <c r="B487" s="136"/>
      <c r="C487" s="269" t="s">
        <v>21508</v>
      </c>
      <c r="D487" s="226" t="s">
        <v>21509</v>
      </c>
      <c r="E487" s="219" t="s">
        <v>21510</v>
      </c>
      <c r="F487" s="269" t="s">
        <v>65</v>
      </c>
      <c r="G487" s="222" t="s">
        <v>21511</v>
      </c>
      <c r="H487" s="227" t="s">
        <v>21512</v>
      </c>
      <c r="I487" s="227"/>
      <c r="J487" s="118" t="s">
        <v>21513</v>
      </c>
      <c r="K487" s="118" t="s">
        <v>21514</v>
      </c>
      <c r="L487" s="136" t="s">
        <v>21515</v>
      </c>
      <c r="M487" s="136" t="s">
        <v>21516</v>
      </c>
    </row>
    <row r="488" spans="1:13" ht="14.25" customHeight="1">
      <c r="A488" s="136">
        <v>38</v>
      </c>
      <c r="B488" s="136"/>
      <c r="C488" s="269" t="s">
        <v>21517</v>
      </c>
      <c r="D488" s="226" t="s">
        <v>21518</v>
      </c>
      <c r="E488" s="222" t="s">
        <v>21519</v>
      </c>
      <c r="F488" s="269" t="s">
        <v>65</v>
      </c>
      <c r="G488" s="222" t="s">
        <v>21520</v>
      </c>
      <c r="H488" s="227" t="s">
        <v>21521</v>
      </c>
      <c r="I488" s="227"/>
      <c r="J488" s="118" t="s">
        <v>21522</v>
      </c>
      <c r="K488" s="118" t="s">
        <v>21523</v>
      </c>
      <c r="L488" s="113" t="s">
        <v>21524</v>
      </c>
      <c r="M488" s="136" t="s">
        <v>21525</v>
      </c>
    </row>
    <row r="489" spans="1:13" ht="14.25" customHeight="1">
      <c r="A489" s="113">
        <v>39</v>
      </c>
      <c r="B489" s="113"/>
      <c r="C489" s="270" t="s">
        <v>21526</v>
      </c>
      <c r="D489" s="259" t="s">
        <v>21527</v>
      </c>
      <c r="E489" s="219" t="s">
        <v>21528</v>
      </c>
      <c r="F489" s="270" t="s">
        <v>664</v>
      </c>
      <c r="G489" s="216" t="s">
        <v>21529</v>
      </c>
      <c r="H489" s="260" t="s">
        <v>21530</v>
      </c>
      <c r="I489" s="260"/>
      <c r="J489" s="118" t="s">
        <v>21531</v>
      </c>
      <c r="K489" s="137" t="s">
        <v>21532</v>
      </c>
      <c r="L489" s="136" t="s">
        <v>21533</v>
      </c>
      <c r="M489" s="136" t="s">
        <v>21534</v>
      </c>
    </row>
    <row r="490" spans="1:13" ht="14.25" customHeight="1">
      <c r="A490" s="136">
        <v>40</v>
      </c>
      <c r="B490" s="136"/>
      <c r="C490" s="269" t="s">
        <v>21535</v>
      </c>
      <c r="D490" s="226" t="s">
        <v>21536</v>
      </c>
      <c r="E490" s="222" t="s">
        <v>21537</v>
      </c>
      <c r="F490" s="269" t="s">
        <v>65</v>
      </c>
      <c r="G490" s="222" t="s">
        <v>21538</v>
      </c>
      <c r="H490" s="227" t="s">
        <v>21539</v>
      </c>
      <c r="I490" s="227"/>
      <c r="J490" s="118" t="s">
        <v>21540</v>
      </c>
      <c r="K490" s="118" t="s">
        <v>21541</v>
      </c>
      <c r="L490" s="136" t="s">
        <v>21542</v>
      </c>
      <c r="M490" s="136" t="s">
        <v>21543</v>
      </c>
    </row>
    <row r="491" spans="1:13" ht="14.25" customHeight="1">
      <c r="A491" s="136">
        <v>41</v>
      </c>
      <c r="B491" s="136"/>
      <c r="C491" s="269" t="s">
        <v>21544</v>
      </c>
      <c r="D491" s="226" t="s">
        <v>21545</v>
      </c>
      <c r="E491" s="219" t="s">
        <v>21546</v>
      </c>
      <c r="F491" s="269" t="s">
        <v>65</v>
      </c>
      <c r="G491" s="222" t="s">
        <v>21547</v>
      </c>
      <c r="H491" s="227" t="s">
        <v>21548</v>
      </c>
      <c r="I491" s="227"/>
      <c r="J491" s="226" t="s">
        <v>21549</v>
      </c>
      <c r="K491" s="118" t="s">
        <v>21550</v>
      </c>
      <c r="L491" s="136" t="s">
        <v>21551</v>
      </c>
      <c r="M491" s="136" t="s">
        <v>21552</v>
      </c>
    </row>
    <row r="492" spans="1:13" ht="14.25" customHeight="1">
      <c r="A492" s="136">
        <v>42</v>
      </c>
      <c r="B492" s="136"/>
      <c r="C492" s="272" t="s">
        <v>21553</v>
      </c>
      <c r="D492" s="226" t="s">
        <v>21554</v>
      </c>
      <c r="E492" s="219" t="s">
        <v>14596</v>
      </c>
      <c r="F492" s="269" t="s">
        <v>54</v>
      </c>
      <c r="G492" s="218" t="s">
        <v>21555</v>
      </c>
      <c r="H492" s="227" t="s">
        <v>21556</v>
      </c>
      <c r="I492" s="227"/>
      <c r="J492" s="226" t="s">
        <v>21557</v>
      </c>
      <c r="K492" s="118" t="s">
        <v>21558</v>
      </c>
      <c r="L492" s="113" t="s">
        <v>21559</v>
      </c>
      <c r="M492" s="136" t="s">
        <v>21560</v>
      </c>
    </row>
    <row r="493" spans="1:13" ht="14.25" customHeight="1">
      <c r="A493" s="136">
        <v>43</v>
      </c>
      <c r="B493" s="136"/>
      <c r="C493" s="272" t="s">
        <v>21561</v>
      </c>
      <c r="D493" s="226" t="s">
        <v>21562</v>
      </c>
      <c r="E493" s="218" t="s">
        <v>21563</v>
      </c>
      <c r="F493" s="269" t="s">
        <v>4823</v>
      </c>
      <c r="G493" s="218" t="s">
        <v>21564</v>
      </c>
      <c r="H493" s="227" t="s">
        <v>21565</v>
      </c>
      <c r="I493" s="227"/>
      <c r="J493" s="226" t="s">
        <v>21566</v>
      </c>
      <c r="K493" s="118" t="s">
        <v>21567</v>
      </c>
      <c r="L493" s="136" t="s">
        <v>21568</v>
      </c>
      <c r="M493" s="136" t="s">
        <v>21569</v>
      </c>
    </row>
    <row r="494" spans="1:13" ht="14.25" customHeight="1">
      <c r="A494" s="273">
        <v>1</v>
      </c>
      <c r="B494" s="273"/>
      <c r="C494" s="211" t="s">
        <v>21570</v>
      </c>
      <c r="D494" s="214" t="s">
        <v>21571</v>
      </c>
      <c r="E494" s="211" t="s">
        <v>21572</v>
      </c>
      <c r="F494" s="211" t="s">
        <v>4823</v>
      </c>
      <c r="G494" s="211" t="s">
        <v>21573</v>
      </c>
      <c r="H494" s="214" t="s">
        <v>21574</v>
      </c>
      <c r="I494" s="214"/>
      <c r="J494" s="212" t="s">
        <v>21575</v>
      </c>
      <c r="K494" s="215" t="s">
        <v>21576</v>
      </c>
      <c r="L494" s="210" t="s">
        <v>15347</v>
      </c>
      <c r="M494" s="247" t="s">
        <v>15348</v>
      </c>
    </row>
    <row r="495" spans="1:13" ht="14.25" customHeight="1">
      <c r="A495" s="183">
        <v>2</v>
      </c>
      <c r="B495" s="183"/>
      <c r="C495" s="222" t="s">
        <v>21577</v>
      </c>
      <c r="D495" s="227" t="s">
        <v>21578</v>
      </c>
      <c r="E495" s="219" t="s">
        <v>21579</v>
      </c>
      <c r="F495" s="222" t="s">
        <v>65</v>
      </c>
      <c r="G495" s="222" t="s">
        <v>21580</v>
      </c>
      <c r="H495" s="227" t="s">
        <v>21581</v>
      </c>
      <c r="I495" s="227"/>
      <c r="J495" s="226" t="s">
        <v>21582</v>
      </c>
      <c r="K495" s="118" t="s">
        <v>21583</v>
      </c>
      <c r="L495" s="136" t="s">
        <v>15356</v>
      </c>
      <c r="M495" s="136" t="s">
        <v>15357</v>
      </c>
    </row>
    <row r="496" spans="1:13" ht="14.25" customHeight="1">
      <c r="A496" s="183">
        <v>3</v>
      </c>
      <c r="B496" s="183"/>
      <c r="C496" s="222" t="s">
        <v>21584</v>
      </c>
      <c r="D496" s="227" t="s">
        <v>21585</v>
      </c>
      <c r="E496" s="222" t="s">
        <v>21586</v>
      </c>
      <c r="F496" s="222" t="s">
        <v>65</v>
      </c>
      <c r="G496" s="222" t="s">
        <v>21587</v>
      </c>
      <c r="H496" s="227" t="s">
        <v>21588</v>
      </c>
      <c r="I496" s="227"/>
      <c r="J496" s="226" t="s">
        <v>21589</v>
      </c>
      <c r="K496" s="118" t="s">
        <v>21590</v>
      </c>
      <c r="L496" s="136" t="s">
        <v>15365</v>
      </c>
      <c r="M496" s="136" t="s">
        <v>15366</v>
      </c>
    </row>
    <row r="497" spans="1:13" ht="14.25" customHeight="1">
      <c r="A497" s="183">
        <v>4</v>
      </c>
      <c r="B497" s="183"/>
      <c r="C497" s="222" t="s">
        <v>21591</v>
      </c>
      <c r="D497" s="227" t="s">
        <v>21592</v>
      </c>
      <c r="E497" s="219" t="s">
        <v>21593</v>
      </c>
      <c r="F497" s="222" t="s">
        <v>65</v>
      </c>
      <c r="G497" s="222" t="s">
        <v>21594</v>
      </c>
      <c r="H497" s="227" t="s">
        <v>21595</v>
      </c>
      <c r="I497" s="227"/>
      <c r="J497" s="226" t="s">
        <v>21596</v>
      </c>
      <c r="K497" s="118" t="s">
        <v>21597</v>
      </c>
      <c r="L497" s="136" t="s">
        <v>15374</v>
      </c>
      <c r="M497" s="136" t="s">
        <v>15375</v>
      </c>
    </row>
    <row r="498" spans="1:13" ht="14.25" customHeight="1">
      <c r="A498" s="183">
        <v>5</v>
      </c>
      <c r="B498" s="183"/>
      <c r="C498" s="222" t="s">
        <v>21598</v>
      </c>
      <c r="D498" s="227" t="s">
        <v>21599</v>
      </c>
      <c r="E498" s="222" t="s">
        <v>21600</v>
      </c>
      <c r="F498" s="222" t="s">
        <v>65</v>
      </c>
      <c r="G498" s="222" t="s">
        <v>21601</v>
      </c>
      <c r="H498" s="227" t="s">
        <v>21602</v>
      </c>
      <c r="I498" s="227"/>
      <c r="J498" s="226" t="s">
        <v>21603</v>
      </c>
      <c r="K498" s="118" t="s">
        <v>21604</v>
      </c>
      <c r="L498" s="136" t="s">
        <v>10960</v>
      </c>
      <c r="M498" s="136" t="s">
        <v>10961</v>
      </c>
    </row>
    <row r="499" spans="1:13" ht="14.25" customHeight="1">
      <c r="A499" s="183">
        <v>6</v>
      </c>
      <c r="B499" s="183"/>
      <c r="C499" s="222" t="s">
        <v>21605</v>
      </c>
      <c r="D499" s="227" t="s">
        <v>21606</v>
      </c>
      <c r="E499" s="222" t="s">
        <v>21607</v>
      </c>
      <c r="F499" s="222" t="s">
        <v>4823</v>
      </c>
      <c r="G499" s="222" t="s">
        <v>21608</v>
      </c>
      <c r="H499" s="227" t="s">
        <v>21609</v>
      </c>
      <c r="I499" s="227"/>
      <c r="J499" s="226" t="s">
        <v>21610</v>
      </c>
      <c r="K499" s="118" t="s">
        <v>21611</v>
      </c>
      <c r="L499" s="136" t="s">
        <v>15384</v>
      </c>
      <c r="M499" s="136" t="s">
        <v>15385</v>
      </c>
    </row>
    <row r="500" spans="1:13" ht="14.25" customHeight="1">
      <c r="A500" s="183">
        <v>7</v>
      </c>
      <c r="B500" s="183"/>
      <c r="C500" s="222" t="s">
        <v>21612</v>
      </c>
      <c r="D500" s="227" t="s">
        <v>21613</v>
      </c>
      <c r="E500" s="222" t="s">
        <v>21614</v>
      </c>
      <c r="F500" s="222" t="s">
        <v>4823</v>
      </c>
      <c r="G500" s="222" t="s">
        <v>21615</v>
      </c>
      <c r="H500" s="227" t="s">
        <v>21616</v>
      </c>
      <c r="I500" s="227"/>
      <c r="J500" s="226" t="s">
        <v>21617</v>
      </c>
      <c r="K500" s="118" t="s">
        <v>21618</v>
      </c>
      <c r="L500" s="136" t="s">
        <v>15393</v>
      </c>
      <c r="M500" s="136" t="s">
        <v>15394</v>
      </c>
    </row>
    <row r="501" spans="1:13" ht="14.25" customHeight="1">
      <c r="A501" s="183">
        <v>8</v>
      </c>
      <c r="B501" s="183"/>
      <c r="C501" s="272" t="s">
        <v>21619</v>
      </c>
      <c r="D501" s="227" t="s">
        <v>21620</v>
      </c>
      <c r="E501" s="219" t="s">
        <v>8030</v>
      </c>
      <c r="F501" s="272" t="s">
        <v>21050</v>
      </c>
      <c r="G501" s="218" t="s">
        <v>21621</v>
      </c>
      <c r="H501" s="227" t="s">
        <v>21622</v>
      </c>
      <c r="I501" s="227"/>
      <c r="J501" s="226" t="s">
        <v>21623</v>
      </c>
      <c r="K501" s="118" t="s">
        <v>21624</v>
      </c>
      <c r="L501" s="136" t="s">
        <v>10794</v>
      </c>
      <c r="M501" s="136" t="s">
        <v>10795</v>
      </c>
    </row>
    <row r="502" spans="1:13" ht="14.25" customHeight="1">
      <c r="A502" s="183">
        <v>9</v>
      </c>
      <c r="B502" s="183"/>
      <c r="C502" s="272" t="s">
        <v>21625</v>
      </c>
      <c r="D502" s="227" t="s">
        <v>21626</v>
      </c>
      <c r="E502" s="218" t="s">
        <v>21627</v>
      </c>
      <c r="F502" s="222" t="s">
        <v>65</v>
      </c>
      <c r="G502" s="218" t="s">
        <v>21628</v>
      </c>
      <c r="H502" s="227" t="s">
        <v>21629</v>
      </c>
      <c r="I502" s="227"/>
      <c r="J502" s="226" t="s">
        <v>21630</v>
      </c>
      <c r="K502" s="118" t="s">
        <v>21631</v>
      </c>
      <c r="L502" s="136" t="s">
        <v>15402</v>
      </c>
      <c r="M502" s="136" t="s">
        <v>15403</v>
      </c>
    </row>
    <row r="503" spans="1:13" ht="14.25" customHeight="1">
      <c r="A503" s="183">
        <v>10</v>
      </c>
      <c r="B503" s="183"/>
      <c r="C503" s="272" t="s">
        <v>21632</v>
      </c>
      <c r="D503" s="227" t="s">
        <v>21633</v>
      </c>
      <c r="E503" s="218" t="s">
        <v>21634</v>
      </c>
      <c r="F503" s="272" t="s">
        <v>21309</v>
      </c>
      <c r="G503" s="218" t="s">
        <v>21635</v>
      </c>
      <c r="H503" s="227" t="s">
        <v>21636</v>
      </c>
      <c r="I503" s="227"/>
      <c r="J503" s="226" t="s">
        <v>21637</v>
      </c>
      <c r="K503" s="118" t="s">
        <v>21638</v>
      </c>
      <c r="L503" s="136" t="s">
        <v>11058</v>
      </c>
      <c r="M503" s="136" t="s">
        <v>11059</v>
      </c>
    </row>
    <row r="504" spans="1:13" ht="14.25" customHeight="1">
      <c r="A504" s="183">
        <v>11</v>
      </c>
      <c r="B504" s="183"/>
      <c r="C504" s="271" t="s">
        <v>21639</v>
      </c>
      <c r="D504" s="227" t="s">
        <v>21640</v>
      </c>
      <c r="E504" s="219" t="s">
        <v>21641</v>
      </c>
      <c r="F504" s="222" t="s">
        <v>4823</v>
      </c>
      <c r="G504" s="218" t="s">
        <v>21642</v>
      </c>
      <c r="H504" s="227" t="s">
        <v>21643</v>
      </c>
      <c r="I504" s="227"/>
      <c r="J504" s="226" t="s">
        <v>21644</v>
      </c>
      <c r="K504" s="118" t="s">
        <v>21645</v>
      </c>
      <c r="L504" s="136" t="s">
        <v>10934</v>
      </c>
      <c r="M504" s="136" t="s">
        <v>10935</v>
      </c>
    </row>
    <row r="505" spans="1:13" ht="14.25" customHeight="1">
      <c r="A505" s="183">
        <v>12</v>
      </c>
      <c r="B505" s="183"/>
      <c r="C505" s="222" t="s">
        <v>21646</v>
      </c>
      <c r="D505" s="227" t="s">
        <v>21647</v>
      </c>
      <c r="E505" s="222" t="s">
        <v>21648</v>
      </c>
      <c r="F505" s="222" t="s">
        <v>4823</v>
      </c>
      <c r="G505" s="222" t="s">
        <v>21649</v>
      </c>
      <c r="H505" s="227" t="s">
        <v>21650</v>
      </c>
      <c r="I505" s="227"/>
      <c r="J505" s="226" t="s">
        <v>21651</v>
      </c>
      <c r="K505" s="118" t="s">
        <v>21652</v>
      </c>
      <c r="L505" s="136" t="s">
        <v>10843</v>
      </c>
      <c r="M505" s="136" t="s">
        <v>10844</v>
      </c>
    </row>
    <row r="506" spans="1:13" ht="14.25" customHeight="1">
      <c r="A506" s="183">
        <v>13</v>
      </c>
      <c r="B506" s="183"/>
      <c r="C506" s="222" t="s">
        <v>21653</v>
      </c>
      <c r="D506" s="227" t="s">
        <v>21654</v>
      </c>
      <c r="E506" s="222" t="s">
        <v>21655</v>
      </c>
      <c r="F506" s="222" t="s">
        <v>4823</v>
      </c>
      <c r="G506" s="222" t="s">
        <v>21656</v>
      </c>
      <c r="H506" s="227" t="s">
        <v>21657</v>
      </c>
      <c r="I506" s="227"/>
      <c r="J506" s="226" t="s">
        <v>21658</v>
      </c>
      <c r="K506" s="118" t="s">
        <v>21659</v>
      </c>
      <c r="L506" s="136" t="s">
        <v>15414</v>
      </c>
      <c r="M506" s="136" t="s">
        <v>15415</v>
      </c>
    </row>
    <row r="507" spans="1:13" ht="14.25" customHeight="1">
      <c r="A507" s="183">
        <v>14</v>
      </c>
      <c r="B507" s="183"/>
      <c r="C507" s="222" t="s">
        <v>21660</v>
      </c>
      <c r="D507" s="227" t="s">
        <v>21661</v>
      </c>
      <c r="E507" s="219" t="s">
        <v>21662</v>
      </c>
      <c r="F507" s="222" t="s">
        <v>54</v>
      </c>
      <c r="G507" s="222" t="s">
        <v>21663</v>
      </c>
      <c r="H507" s="227" t="s">
        <v>21664</v>
      </c>
      <c r="I507" s="227"/>
      <c r="J507" s="226" t="s">
        <v>21665</v>
      </c>
      <c r="K507" s="118" t="s">
        <v>21666</v>
      </c>
      <c r="L507" s="136" t="s">
        <v>15423</v>
      </c>
      <c r="M507" s="136" t="s">
        <v>15424</v>
      </c>
    </row>
    <row r="508" spans="1:13" ht="14.25" customHeight="1">
      <c r="A508" s="183">
        <v>15</v>
      </c>
      <c r="B508" s="183"/>
      <c r="C508" s="222" t="s">
        <v>21667</v>
      </c>
      <c r="D508" s="227" t="s">
        <v>21668</v>
      </c>
      <c r="E508" s="222" t="s">
        <v>21669</v>
      </c>
      <c r="F508" s="222" t="s">
        <v>65</v>
      </c>
      <c r="G508" s="222" t="s">
        <v>21670</v>
      </c>
      <c r="H508" s="227" t="s">
        <v>21671</v>
      </c>
      <c r="I508" s="227"/>
      <c r="J508" s="118" t="s">
        <v>21672</v>
      </c>
      <c r="K508" s="118" t="s">
        <v>21673</v>
      </c>
      <c r="L508" s="136" t="s">
        <v>15432</v>
      </c>
      <c r="M508" s="136" t="s">
        <v>15433</v>
      </c>
    </row>
    <row r="509" spans="1:13" ht="14.25" customHeight="1">
      <c r="A509" s="183">
        <v>16</v>
      </c>
      <c r="B509" s="183"/>
      <c r="C509" s="222" t="s">
        <v>21674</v>
      </c>
      <c r="D509" s="227" t="s">
        <v>21675</v>
      </c>
      <c r="E509" s="222" t="s">
        <v>16644</v>
      </c>
      <c r="F509" s="222" t="s">
        <v>4823</v>
      </c>
      <c r="G509" s="222" t="s">
        <v>21676</v>
      </c>
      <c r="H509" s="227" t="s">
        <v>21677</v>
      </c>
      <c r="I509" s="227"/>
      <c r="J509" s="226" t="s">
        <v>21678</v>
      </c>
      <c r="K509" s="118" t="s">
        <v>21679</v>
      </c>
      <c r="L509" s="136" t="s">
        <v>15441</v>
      </c>
      <c r="M509" s="136" t="s">
        <v>15442</v>
      </c>
    </row>
    <row r="510" spans="1:13" ht="14.25" customHeight="1">
      <c r="A510" s="183">
        <v>17</v>
      </c>
      <c r="B510" s="183"/>
      <c r="C510" s="222" t="s">
        <v>21680</v>
      </c>
      <c r="D510" s="227" t="s">
        <v>21681</v>
      </c>
      <c r="E510" s="222" t="s">
        <v>21682</v>
      </c>
      <c r="F510" s="222" t="s">
        <v>65</v>
      </c>
      <c r="G510" s="222" t="s">
        <v>21683</v>
      </c>
      <c r="H510" s="227" t="s">
        <v>21684</v>
      </c>
      <c r="I510" s="227"/>
      <c r="J510" s="226" t="s">
        <v>21685</v>
      </c>
      <c r="K510" s="118" t="s">
        <v>21686</v>
      </c>
      <c r="L510" s="136" t="s">
        <v>15450</v>
      </c>
      <c r="M510" s="136" t="s">
        <v>15451</v>
      </c>
    </row>
    <row r="511" spans="1:13" ht="14.25" customHeight="1">
      <c r="A511" s="183">
        <v>18</v>
      </c>
      <c r="B511" s="183"/>
      <c r="C511" s="222" t="s">
        <v>21687</v>
      </c>
      <c r="D511" s="227" t="s">
        <v>21688</v>
      </c>
      <c r="E511" s="222" t="s">
        <v>21689</v>
      </c>
      <c r="F511" s="222" t="s">
        <v>4823</v>
      </c>
      <c r="G511" s="222" t="s">
        <v>21690</v>
      </c>
      <c r="H511" s="227" t="s">
        <v>21691</v>
      </c>
      <c r="I511" s="227"/>
      <c r="J511" s="226" t="s">
        <v>21692</v>
      </c>
      <c r="K511" s="118" t="s">
        <v>21693</v>
      </c>
      <c r="L511" s="136" t="s">
        <v>15459</v>
      </c>
      <c r="M511" s="136" t="s">
        <v>15460</v>
      </c>
    </row>
    <row r="512" spans="1:13" ht="14.25" customHeight="1">
      <c r="A512" s="183">
        <v>19</v>
      </c>
      <c r="B512" s="183"/>
      <c r="C512" s="222" t="s">
        <v>21694</v>
      </c>
      <c r="D512" s="227" t="s">
        <v>21695</v>
      </c>
      <c r="E512" s="222" t="s">
        <v>21696</v>
      </c>
      <c r="F512" s="222" t="s">
        <v>4823</v>
      </c>
      <c r="G512" s="222" t="s">
        <v>21697</v>
      </c>
      <c r="H512" s="227" t="s">
        <v>21698</v>
      </c>
      <c r="I512" s="227"/>
      <c r="J512" s="226" t="s">
        <v>21699</v>
      </c>
      <c r="K512" s="118" t="s">
        <v>21700</v>
      </c>
      <c r="L512" s="136" t="s">
        <v>15468</v>
      </c>
      <c r="M512" s="136" t="s">
        <v>15469</v>
      </c>
    </row>
    <row r="513" spans="1:13" ht="14.25" customHeight="1">
      <c r="A513" s="183">
        <v>20</v>
      </c>
      <c r="B513" s="183"/>
      <c r="C513" s="222" t="s">
        <v>21701</v>
      </c>
      <c r="D513" s="227" t="s">
        <v>21702</v>
      </c>
      <c r="E513" s="219" t="s">
        <v>21703</v>
      </c>
      <c r="F513" s="222" t="s">
        <v>4823</v>
      </c>
      <c r="G513" s="222" t="s">
        <v>21704</v>
      </c>
      <c r="H513" s="227" t="s">
        <v>21705</v>
      </c>
      <c r="I513" s="227"/>
      <c r="J513" s="226" t="s">
        <v>21706</v>
      </c>
      <c r="K513" s="118" t="s">
        <v>21707</v>
      </c>
      <c r="L513" s="136" t="s">
        <v>15477</v>
      </c>
      <c r="M513" s="136" t="s">
        <v>15478</v>
      </c>
    </row>
    <row r="514" spans="1:13" ht="14.25" customHeight="1">
      <c r="A514" s="183">
        <v>21</v>
      </c>
      <c r="B514" s="183"/>
      <c r="C514" s="222" t="s">
        <v>21708</v>
      </c>
      <c r="D514" s="227" t="s">
        <v>21709</v>
      </c>
      <c r="E514" s="222" t="s">
        <v>15636</v>
      </c>
      <c r="F514" s="222" t="s">
        <v>65</v>
      </c>
      <c r="G514" s="222" t="s">
        <v>21710</v>
      </c>
      <c r="H514" s="227" t="s">
        <v>21711</v>
      </c>
      <c r="I514" s="227"/>
      <c r="J514" s="118" t="s">
        <v>21712</v>
      </c>
      <c r="K514" s="118" t="s">
        <v>21713</v>
      </c>
      <c r="L514" s="136" t="s">
        <v>15486</v>
      </c>
      <c r="M514" s="136" t="s">
        <v>15487</v>
      </c>
    </row>
    <row r="515" spans="1:13" ht="14.25" customHeight="1">
      <c r="A515" s="183">
        <v>22</v>
      </c>
      <c r="B515" s="183"/>
      <c r="C515" s="272" t="s">
        <v>21714</v>
      </c>
      <c r="D515" s="227" t="s">
        <v>21715</v>
      </c>
      <c r="E515" s="219" t="s">
        <v>21716</v>
      </c>
      <c r="F515" s="222" t="s">
        <v>54</v>
      </c>
      <c r="G515" s="218" t="s">
        <v>21717</v>
      </c>
      <c r="H515" s="227" t="s">
        <v>21718</v>
      </c>
      <c r="I515" s="227"/>
      <c r="J515" s="226" t="s">
        <v>21719</v>
      </c>
      <c r="K515" s="118" t="s">
        <v>21720</v>
      </c>
      <c r="L515" s="136" t="s">
        <v>15494</v>
      </c>
      <c r="M515" s="136" t="s">
        <v>15495</v>
      </c>
    </row>
    <row r="516" spans="1:13" ht="14.25" customHeight="1">
      <c r="A516" s="183">
        <v>23</v>
      </c>
      <c r="B516" s="183"/>
      <c r="C516" s="272" t="s">
        <v>21721</v>
      </c>
      <c r="D516" s="224" t="s">
        <v>21722</v>
      </c>
      <c r="E516" s="218" t="s">
        <v>21723</v>
      </c>
      <c r="F516" s="222" t="s">
        <v>4823</v>
      </c>
      <c r="G516" s="218" t="s">
        <v>21724</v>
      </c>
      <c r="H516" s="224" t="s">
        <v>21725</v>
      </c>
      <c r="I516" s="224"/>
      <c r="J516" s="226" t="s">
        <v>21726</v>
      </c>
      <c r="K516" s="118" t="s">
        <v>21727</v>
      </c>
      <c r="L516" s="136" t="s">
        <v>15503</v>
      </c>
      <c r="M516" s="136" t="s">
        <v>15504</v>
      </c>
    </row>
    <row r="517" spans="1:13" ht="14.25" customHeight="1">
      <c r="A517" s="183">
        <v>24</v>
      </c>
      <c r="B517" s="183"/>
      <c r="C517" s="222" t="s">
        <v>21728</v>
      </c>
      <c r="D517" s="227" t="s">
        <v>21729</v>
      </c>
      <c r="E517" s="222" t="s">
        <v>21730</v>
      </c>
      <c r="F517" s="222" t="s">
        <v>21731</v>
      </c>
      <c r="G517" s="222" t="s">
        <v>21732</v>
      </c>
      <c r="H517" s="227" t="s">
        <v>21733</v>
      </c>
      <c r="I517" s="227"/>
      <c r="J517" s="226" t="s">
        <v>21734</v>
      </c>
      <c r="K517" s="118" t="s">
        <v>21735</v>
      </c>
      <c r="L517" s="136" t="s">
        <v>15512</v>
      </c>
      <c r="M517" s="136" t="s">
        <v>15513</v>
      </c>
    </row>
    <row r="518" spans="1:13" ht="14.25" customHeight="1">
      <c r="A518" s="183">
        <v>25</v>
      </c>
      <c r="B518" s="183"/>
      <c r="C518" s="222" t="s">
        <v>21736</v>
      </c>
      <c r="D518" s="227" t="s">
        <v>21737</v>
      </c>
      <c r="E518" s="222" t="s">
        <v>21738</v>
      </c>
      <c r="F518" s="222" t="s">
        <v>54</v>
      </c>
      <c r="G518" s="222" t="s">
        <v>21739</v>
      </c>
      <c r="H518" s="227" t="s">
        <v>21740</v>
      </c>
      <c r="I518" s="227"/>
      <c r="J518" s="226" t="s">
        <v>21741</v>
      </c>
      <c r="K518" s="118" t="s">
        <v>21742</v>
      </c>
      <c r="L518" s="136" t="s">
        <v>15521</v>
      </c>
      <c r="M518" s="136" t="s">
        <v>15522</v>
      </c>
    </row>
    <row r="519" spans="1:13" ht="14.25" customHeight="1">
      <c r="A519" s="183">
        <v>26</v>
      </c>
      <c r="B519" s="183"/>
      <c r="C519" s="222" t="s">
        <v>21743</v>
      </c>
      <c r="D519" s="227" t="s">
        <v>21744</v>
      </c>
      <c r="E519" s="222" t="s">
        <v>21745</v>
      </c>
      <c r="F519" s="222" t="s">
        <v>4823</v>
      </c>
      <c r="G519" s="222" t="s">
        <v>21746</v>
      </c>
      <c r="H519" s="227" t="s">
        <v>21747</v>
      </c>
      <c r="I519" s="227"/>
      <c r="J519" s="226" t="s">
        <v>21748</v>
      </c>
      <c r="K519" s="118" t="s">
        <v>21749</v>
      </c>
      <c r="L519" s="136" t="s">
        <v>11032</v>
      </c>
      <c r="M519" s="136" t="s">
        <v>11033</v>
      </c>
    </row>
    <row r="520" spans="1:13" ht="14.25" customHeight="1">
      <c r="A520" s="183">
        <v>27</v>
      </c>
      <c r="B520" s="183"/>
      <c r="C520" s="222" t="s">
        <v>21750</v>
      </c>
      <c r="D520" s="227" t="s">
        <v>21751</v>
      </c>
      <c r="E520" s="222" t="s">
        <v>21752</v>
      </c>
      <c r="F520" s="222" t="s">
        <v>21753</v>
      </c>
      <c r="G520" s="222" t="s">
        <v>21754</v>
      </c>
      <c r="H520" s="227" t="s">
        <v>21755</v>
      </c>
      <c r="I520" s="227"/>
      <c r="J520" s="226" t="s">
        <v>21756</v>
      </c>
      <c r="K520" s="118" t="s">
        <v>21757</v>
      </c>
      <c r="L520" s="136" t="s">
        <v>15530</v>
      </c>
      <c r="M520" s="136" t="s">
        <v>15531</v>
      </c>
    </row>
    <row r="521" spans="1:13" ht="14.25" customHeight="1">
      <c r="A521" s="183">
        <v>28</v>
      </c>
      <c r="B521" s="183"/>
      <c r="C521" s="222" t="s">
        <v>21758</v>
      </c>
      <c r="D521" s="227" t="s">
        <v>21759</v>
      </c>
      <c r="E521" s="222" t="s">
        <v>21760</v>
      </c>
      <c r="F521" s="222" t="s">
        <v>54</v>
      </c>
      <c r="G521" s="222" t="s">
        <v>21761</v>
      </c>
      <c r="H521" s="227" t="s">
        <v>21762</v>
      </c>
      <c r="I521" s="227"/>
      <c r="J521" s="226" t="s">
        <v>21763</v>
      </c>
      <c r="K521" s="118" t="s">
        <v>21764</v>
      </c>
      <c r="L521" s="136" t="s">
        <v>15539</v>
      </c>
      <c r="M521" s="136" t="s">
        <v>15540</v>
      </c>
    </row>
    <row r="522" spans="1:13" ht="14.25" customHeight="1">
      <c r="A522" s="183">
        <v>29</v>
      </c>
      <c r="B522" s="183"/>
      <c r="C522" s="222" t="s">
        <v>21765</v>
      </c>
      <c r="D522" s="227" t="s">
        <v>21766</v>
      </c>
      <c r="E522" s="222" t="s">
        <v>21767</v>
      </c>
      <c r="F522" s="222" t="s">
        <v>219</v>
      </c>
      <c r="G522" s="222" t="s">
        <v>21768</v>
      </c>
      <c r="H522" s="227" t="s">
        <v>21769</v>
      </c>
      <c r="I522" s="227"/>
      <c r="J522" s="226" t="s">
        <v>21770</v>
      </c>
      <c r="K522" s="118" t="s">
        <v>21771</v>
      </c>
      <c r="L522" s="136" t="s">
        <v>15548</v>
      </c>
      <c r="M522" s="136" t="s">
        <v>15549</v>
      </c>
    </row>
    <row r="523" spans="1:13" ht="14.25" customHeight="1">
      <c r="A523" s="183">
        <v>30</v>
      </c>
      <c r="B523" s="183"/>
      <c r="C523" s="222" t="s">
        <v>21772</v>
      </c>
      <c r="D523" s="227" t="s">
        <v>21773</v>
      </c>
      <c r="E523" s="222" t="s">
        <v>21774</v>
      </c>
      <c r="F523" s="222" t="s">
        <v>664</v>
      </c>
      <c r="G523" s="222" t="s">
        <v>21775</v>
      </c>
      <c r="H523" s="227" t="s">
        <v>21776</v>
      </c>
      <c r="I523" s="227"/>
      <c r="J523" s="226" t="s">
        <v>21777</v>
      </c>
      <c r="K523" s="118" t="s">
        <v>21778</v>
      </c>
      <c r="L523" s="136" t="s">
        <v>15557</v>
      </c>
      <c r="M523" s="136" t="s">
        <v>15558</v>
      </c>
    </row>
    <row r="524" spans="1:13" ht="14.25" customHeight="1">
      <c r="A524" s="183">
        <v>31</v>
      </c>
      <c r="B524" s="183"/>
      <c r="C524" s="222" t="s">
        <v>21779</v>
      </c>
      <c r="D524" s="227" t="s">
        <v>21780</v>
      </c>
      <c r="E524" s="222" t="s">
        <v>21781</v>
      </c>
      <c r="F524" s="222" t="s">
        <v>219</v>
      </c>
      <c r="G524" s="222" t="s">
        <v>19494</v>
      </c>
      <c r="H524" s="227" t="s">
        <v>21782</v>
      </c>
      <c r="I524" s="227"/>
      <c r="J524" s="226" t="s">
        <v>21783</v>
      </c>
      <c r="K524" s="118" t="s">
        <v>21784</v>
      </c>
      <c r="L524" s="136" t="s">
        <v>15566</v>
      </c>
      <c r="M524" s="136" t="s">
        <v>15567</v>
      </c>
    </row>
    <row r="525" spans="1:13" ht="14.25" customHeight="1">
      <c r="A525" s="183">
        <v>32</v>
      </c>
      <c r="B525" s="183"/>
      <c r="C525" s="222" t="s">
        <v>21785</v>
      </c>
      <c r="D525" s="227" t="s">
        <v>21786</v>
      </c>
      <c r="E525" s="222" t="s">
        <v>21787</v>
      </c>
      <c r="F525" s="222" t="s">
        <v>4823</v>
      </c>
      <c r="G525" s="222" t="s">
        <v>21788</v>
      </c>
      <c r="H525" s="227" t="s">
        <v>21789</v>
      </c>
      <c r="I525" s="227"/>
      <c r="J525" s="226" t="s">
        <v>21790</v>
      </c>
      <c r="K525" s="118" t="s">
        <v>21791</v>
      </c>
      <c r="L525" s="136" t="s">
        <v>15575</v>
      </c>
      <c r="M525" s="136" t="s">
        <v>15576</v>
      </c>
    </row>
    <row r="526" spans="1:13" ht="14.25" customHeight="1">
      <c r="A526" s="183">
        <v>33</v>
      </c>
      <c r="B526" s="183"/>
      <c r="C526" s="222" t="s">
        <v>21792</v>
      </c>
      <c r="D526" s="227" t="s">
        <v>21793</v>
      </c>
      <c r="E526" s="222" t="s">
        <v>21794</v>
      </c>
      <c r="F526" s="222" t="s">
        <v>65</v>
      </c>
      <c r="G526" s="222" t="s">
        <v>21795</v>
      </c>
      <c r="H526" s="227" t="s">
        <v>21796</v>
      </c>
      <c r="I526" s="227"/>
      <c r="J526" s="226" t="s">
        <v>21797</v>
      </c>
      <c r="K526" s="118" t="s">
        <v>21798</v>
      </c>
      <c r="L526" s="136" t="s">
        <v>15584</v>
      </c>
      <c r="M526" s="136" t="s">
        <v>15585</v>
      </c>
    </row>
    <row r="527" spans="1:13" ht="14.25" customHeight="1">
      <c r="A527" s="183">
        <v>34</v>
      </c>
      <c r="B527" s="183"/>
      <c r="C527" s="222" t="s">
        <v>21799</v>
      </c>
      <c r="D527" s="227" t="s">
        <v>21800</v>
      </c>
      <c r="E527" s="222" t="s">
        <v>21801</v>
      </c>
      <c r="F527" s="222" t="s">
        <v>219</v>
      </c>
      <c r="G527" s="222" t="s">
        <v>21802</v>
      </c>
      <c r="H527" s="227" t="s">
        <v>21803</v>
      </c>
      <c r="I527" s="227"/>
      <c r="J527" s="226" t="s">
        <v>21804</v>
      </c>
      <c r="K527" s="118" t="s">
        <v>21805</v>
      </c>
      <c r="L527" s="136" t="s">
        <v>21806</v>
      </c>
      <c r="M527" s="136" t="s">
        <v>21807</v>
      </c>
    </row>
    <row r="528" spans="1:13" ht="14.25" customHeight="1">
      <c r="A528" s="183">
        <v>35</v>
      </c>
      <c r="B528" s="183"/>
      <c r="C528" s="222" t="s">
        <v>21808</v>
      </c>
      <c r="D528" s="227" t="s">
        <v>21809</v>
      </c>
      <c r="E528" s="219" t="s">
        <v>21810</v>
      </c>
      <c r="F528" s="222" t="s">
        <v>65</v>
      </c>
      <c r="G528" s="222" t="s">
        <v>21811</v>
      </c>
      <c r="H528" s="227" t="s">
        <v>21812</v>
      </c>
      <c r="I528" s="227"/>
      <c r="J528" s="226" t="s">
        <v>21813</v>
      </c>
      <c r="K528" s="118" t="s">
        <v>21814</v>
      </c>
      <c r="L528" s="136" t="s">
        <v>21815</v>
      </c>
      <c r="M528" s="136" t="s">
        <v>21816</v>
      </c>
    </row>
    <row r="529" spans="1:13" ht="14.25" customHeight="1">
      <c r="A529" s="183">
        <v>36</v>
      </c>
      <c r="B529" s="183"/>
      <c r="C529" s="272" t="s">
        <v>21817</v>
      </c>
      <c r="D529" s="227" t="s">
        <v>21818</v>
      </c>
      <c r="E529" s="219" t="s">
        <v>21819</v>
      </c>
      <c r="F529" s="272" t="s">
        <v>65</v>
      </c>
      <c r="G529" s="218" t="s">
        <v>21820</v>
      </c>
      <c r="H529" s="227" t="s">
        <v>21821</v>
      </c>
      <c r="I529" s="227"/>
      <c r="J529" s="226" t="s">
        <v>21822</v>
      </c>
      <c r="K529" s="118" t="s">
        <v>21823</v>
      </c>
      <c r="L529" s="136" t="s">
        <v>21824</v>
      </c>
      <c r="M529" s="136" t="s">
        <v>21825</v>
      </c>
    </row>
    <row r="530" spans="1:13" ht="14.25" customHeight="1">
      <c r="A530" s="183">
        <v>37</v>
      </c>
      <c r="B530" s="183"/>
      <c r="C530" s="222" t="s">
        <v>21826</v>
      </c>
      <c r="D530" s="227" t="s">
        <v>21827</v>
      </c>
      <c r="E530" s="222" t="s">
        <v>19525</v>
      </c>
      <c r="F530" s="222" t="s">
        <v>65</v>
      </c>
      <c r="G530" s="222" t="s">
        <v>21828</v>
      </c>
      <c r="H530" s="227" t="s">
        <v>21829</v>
      </c>
      <c r="I530" s="227"/>
      <c r="J530" s="226" t="s">
        <v>21830</v>
      </c>
      <c r="K530" s="118" t="s">
        <v>21831</v>
      </c>
      <c r="L530" s="136" t="s">
        <v>21832</v>
      </c>
      <c r="M530" s="136" t="s">
        <v>21833</v>
      </c>
    </row>
    <row r="531" spans="1:13" ht="14.25" customHeight="1">
      <c r="A531" s="210">
        <v>1</v>
      </c>
      <c r="B531" s="210"/>
      <c r="C531" s="211" t="s">
        <v>21834</v>
      </c>
      <c r="D531" s="212" t="s">
        <v>21835</v>
      </c>
      <c r="E531" s="211" t="s">
        <v>21836</v>
      </c>
      <c r="F531" s="211" t="s">
        <v>54</v>
      </c>
      <c r="G531" s="249" t="s">
        <v>21837</v>
      </c>
      <c r="H531" s="214" t="s">
        <v>21838</v>
      </c>
      <c r="I531" s="214"/>
      <c r="J531" s="212" t="s">
        <v>21839</v>
      </c>
      <c r="K531" s="215" t="s">
        <v>21840</v>
      </c>
      <c r="L531" s="210" t="s">
        <v>15593</v>
      </c>
      <c r="M531" s="247" t="s">
        <v>15594</v>
      </c>
    </row>
    <row r="532" spans="1:13" ht="14.25" customHeight="1">
      <c r="A532" s="113">
        <v>2</v>
      </c>
      <c r="B532" s="113"/>
      <c r="C532" s="222" t="s">
        <v>21841</v>
      </c>
      <c r="D532" s="226" t="s">
        <v>21842</v>
      </c>
      <c r="E532" s="222" t="s">
        <v>21843</v>
      </c>
      <c r="F532" s="222" t="s">
        <v>65</v>
      </c>
      <c r="G532" s="241" t="s">
        <v>21844</v>
      </c>
      <c r="H532" s="227" t="s">
        <v>21845</v>
      </c>
      <c r="I532" s="227"/>
      <c r="J532" s="28" t="s">
        <v>21846</v>
      </c>
      <c r="K532" s="137" t="s">
        <v>21847</v>
      </c>
      <c r="L532" s="136" t="s">
        <v>15602</v>
      </c>
      <c r="M532" s="136" t="s">
        <v>15603</v>
      </c>
    </row>
    <row r="533" spans="1:13" ht="14.25" customHeight="1">
      <c r="A533" s="113">
        <v>3</v>
      </c>
      <c r="B533" s="113"/>
      <c r="C533" s="222" t="s">
        <v>21848</v>
      </c>
      <c r="D533" s="226" t="s">
        <v>21849</v>
      </c>
      <c r="E533" s="222" t="s">
        <v>21850</v>
      </c>
      <c r="F533" s="222" t="s">
        <v>54</v>
      </c>
      <c r="G533" s="241" t="s">
        <v>21851</v>
      </c>
      <c r="H533" s="227" t="s">
        <v>21852</v>
      </c>
      <c r="I533" s="227"/>
      <c r="J533" s="226" t="s">
        <v>21853</v>
      </c>
      <c r="K533" s="137" t="s">
        <v>21854</v>
      </c>
      <c r="L533" s="136" t="s">
        <v>15611</v>
      </c>
      <c r="M533" s="136" t="s">
        <v>15612</v>
      </c>
    </row>
    <row r="534" spans="1:13" ht="14.25" customHeight="1">
      <c r="A534" s="113">
        <v>4</v>
      </c>
      <c r="B534" s="113"/>
      <c r="C534" s="222" t="s">
        <v>21855</v>
      </c>
      <c r="D534" s="226" t="s">
        <v>21856</v>
      </c>
      <c r="E534" s="222" t="s">
        <v>21857</v>
      </c>
      <c r="F534" s="222" t="s">
        <v>65</v>
      </c>
      <c r="G534" s="241" t="s">
        <v>21858</v>
      </c>
      <c r="H534" s="227" t="s">
        <v>21859</v>
      </c>
      <c r="I534" s="227"/>
      <c r="J534" s="226" t="s">
        <v>21860</v>
      </c>
      <c r="K534" s="137" t="s">
        <v>21861</v>
      </c>
      <c r="L534" s="136" t="s">
        <v>15620</v>
      </c>
      <c r="M534" s="136" t="s">
        <v>15621</v>
      </c>
    </row>
    <row r="535" spans="1:13" ht="14.25" customHeight="1">
      <c r="A535" s="113">
        <v>5</v>
      </c>
      <c r="B535" s="113"/>
      <c r="C535" s="222" t="s">
        <v>9491</v>
      </c>
      <c r="D535" s="223" t="s">
        <v>9492</v>
      </c>
      <c r="E535" s="222" t="s">
        <v>9493</v>
      </c>
      <c r="F535" s="222" t="s">
        <v>65</v>
      </c>
      <c r="G535" s="241" t="s">
        <v>11009</v>
      </c>
      <c r="H535" s="224" t="s">
        <v>21862</v>
      </c>
      <c r="I535" s="224"/>
      <c r="J535" s="223" t="s">
        <v>9497</v>
      </c>
      <c r="K535" s="137" t="s">
        <v>11010</v>
      </c>
      <c r="L535" s="136" t="s">
        <v>11011</v>
      </c>
      <c r="M535" s="136" t="s">
        <v>11012</v>
      </c>
    </row>
    <row r="536" spans="1:13" ht="14.25" customHeight="1">
      <c r="A536" s="113">
        <v>6</v>
      </c>
      <c r="B536" s="113"/>
      <c r="C536" s="222" t="s">
        <v>21863</v>
      </c>
      <c r="D536" s="226" t="s">
        <v>21864</v>
      </c>
      <c r="E536" s="222" t="s">
        <v>21865</v>
      </c>
      <c r="F536" s="222" t="s">
        <v>117</v>
      </c>
      <c r="G536" s="241" t="s">
        <v>21866</v>
      </c>
      <c r="H536" s="227" t="s">
        <v>21867</v>
      </c>
      <c r="I536" s="227"/>
      <c r="J536" s="226" t="s">
        <v>21868</v>
      </c>
      <c r="K536" s="137" t="s">
        <v>21869</v>
      </c>
      <c r="L536" s="136" t="s">
        <v>15632</v>
      </c>
      <c r="M536" s="136" t="s">
        <v>15633</v>
      </c>
    </row>
    <row r="537" spans="1:13" ht="14.25" customHeight="1">
      <c r="A537" s="113">
        <v>7</v>
      </c>
      <c r="B537" s="113"/>
      <c r="C537" s="222" t="s">
        <v>21870</v>
      </c>
      <c r="D537" s="226" t="s">
        <v>21871</v>
      </c>
      <c r="E537" s="222" t="s">
        <v>21872</v>
      </c>
      <c r="F537" s="222" t="s">
        <v>460</v>
      </c>
      <c r="G537" s="241" t="s">
        <v>21873</v>
      </c>
      <c r="H537" s="227" t="s">
        <v>21874</v>
      </c>
      <c r="I537" s="227"/>
      <c r="J537" s="226" t="s">
        <v>21875</v>
      </c>
      <c r="K537" s="137" t="s">
        <v>21876</v>
      </c>
      <c r="L537" s="136" t="s">
        <v>15641</v>
      </c>
      <c r="M537" s="136" t="s">
        <v>15642</v>
      </c>
    </row>
    <row r="538" spans="1:13" ht="14.25" customHeight="1">
      <c r="A538" s="113">
        <v>8</v>
      </c>
      <c r="B538" s="113"/>
      <c r="C538" s="216" t="s">
        <v>21877</v>
      </c>
      <c r="D538" s="226" t="s">
        <v>21878</v>
      </c>
      <c r="E538" s="219" t="s">
        <v>21879</v>
      </c>
      <c r="F538" s="222" t="s">
        <v>65</v>
      </c>
      <c r="G538" s="241" t="s">
        <v>21880</v>
      </c>
      <c r="H538" s="227" t="s">
        <v>21881</v>
      </c>
      <c r="I538" s="227"/>
      <c r="J538" s="226" t="s">
        <v>21882</v>
      </c>
      <c r="K538" s="137" t="s">
        <v>21883</v>
      </c>
      <c r="L538" s="136" t="s">
        <v>15650</v>
      </c>
      <c r="M538" s="136" t="s">
        <v>15651</v>
      </c>
    </row>
    <row r="539" spans="1:13" ht="14.25" customHeight="1">
      <c r="A539" s="113">
        <v>9</v>
      </c>
      <c r="B539" s="113"/>
      <c r="C539" s="216" t="s">
        <v>21884</v>
      </c>
      <c r="D539" s="226" t="s">
        <v>21885</v>
      </c>
      <c r="E539" s="219" t="s">
        <v>21886</v>
      </c>
      <c r="F539" s="222" t="s">
        <v>65</v>
      </c>
      <c r="G539" s="241" t="s">
        <v>21887</v>
      </c>
      <c r="H539" s="227" t="s">
        <v>21888</v>
      </c>
      <c r="I539" s="227"/>
      <c r="J539" s="226" t="s">
        <v>21889</v>
      </c>
      <c r="K539" s="137" t="s">
        <v>21890</v>
      </c>
      <c r="L539" s="136" t="s">
        <v>15659</v>
      </c>
      <c r="M539" s="136" t="s">
        <v>15660</v>
      </c>
    </row>
    <row r="540" spans="1:13" ht="14.25" customHeight="1">
      <c r="A540" s="113">
        <v>10</v>
      </c>
      <c r="B540" s="113"/>
      <c r="C540" s="216" t="s">
        <v>21891</v>
      </c>
      <c r="D540" s="226" t="s">
        <v>21892</v>
      </c>
      <c r="E540" s="219" t="s">
        <v>21893</v>
      </c>
      <c r="F540" s="222" t="s">
        <v>117</v>
      </c>
      <c r="G540" s="241" t="s">
        <v>21894</v>
      </c>
      <c r="H540" s="227" t="s">
        <v>21895</v>
      </c>
      <c r="I540" s="227"/>
      <c r="J540" s="226" t="s">
        <v>21896</v>
      </c>
      <c r="K540" s="137" t="s">
        <v>21897</v>
      </c>
      <c r="L540" s="136" t="s">
        <v>15668</v>
      </c>
      <c r="M540" s="136" t="s">
        <v>15669</v>
      </c>
    </row>
    <row r="541" spans="1:13" ht="14.25" customHeight="1">
      <c r="A541" s="113">
        <v>11</v>
      </c>
      <c r="B541" s="113"/>
      <c r="C541" s="216" t="s">
        <v>21898</v>
      </c>
      <c r="D541" s="226" t="s">
        <v>21899</v>
      </c>
      <c r="E541" s="219" t="s">
        <v>21900</v>
      </c>
      <c r="F541" s="222" t="s">
        <v>117</v>
      </c>
      <c r="G541" s="241" t="s">
        <v>21901</v>
      </c>
      <c r="H541" s="227" t="s">
        <v>21902</v>
      </c>
      <c r="I541" s="227"/>
      <c r="J541" s="226" t="s">
        <v>21903</v>
      </c>
      <c r="K541" s="137" t="s">
        <v>21904</v>
      </c>
      <c r="L541" s="136" t="s">
        <v>15677</v>
      </c>
      <c r="M541" s="136" t="s">
        <v>15678</v>
      </c>
    </row>
    <row r="542" spans="1:13" ht="14.25" customHeight="1">
      <c r="A542" s="113">
        <v>12</v>
      </c>
      <c r="B542" s="113"/>
      <c r="C542" s="216" t="s">
        <v>21905</v>
      </c>
      <c r="D542" s="226" t="s">
        <v>21906</v>
      </c>
      <c r="E542" s="219" t="s">
        <v>21907</v>
      </c>
      <c r="F542" s="222" t="s">
        <v>65</v>
      </c>
      <c r="G542" s="241" t="s">
        <v>21908</v>
      </c>
      <c r="H542" s="227" t="s">
        <v>21909</v>
      </c>
      <c r="I542" s="227"/>
      <c r="J542" s="226" t="s">
        <v>21910</v>
      </c>
      <c r="K542" s="137" t="s">
        <v>21911</v>
      </c>
      <c r="L542" s="136" t="s">
        <v>15686</v>
      </c>
      <c r="M542" s="136" t="s">
        <v>15687</v>
      </c>
    </row>
    <row r="543" spans="1:13" ht="14.25" customHeight="1">
      <c r="A543" s="113">
        <v>13</v>
      </c>
      <c r="B543" s="113"/>
      <c r="C543" s="216" t="s">
        <v>21912</v>
      </c>
      <c r="D543" s="226" t="s">
        <v>21913</v>
      </c>
      <c r="E543" s="219" t="s">
        <v>21914</v>
      </c>
      <c r="F543" s="222" t="s">
        <v>65</v>
      </c>
      <c r="G543" s="241" t="s">
        <v>21915</v>
      </c>
      <c r="H543" s="227" t="s">
        <v>21916</v>
      </c>
      <c r="I543" s="227"/>
      <c r="J543" s="226" t="s">
        <v>21917</v>
      </c>
      <c r="K543" s="137" t="s">
        <v>21918</v>
      </c>
      <c r="L543" s="136" t="s">
        <v>15693</v>
      </c>
      <c r="M543" s="136" t="s">
        <v>15694</v>
      </c>
    </row>
    <row r="544" spans="1:13" ht="14.25" customHeight="1">
      <c r="A544" s="113">
        <v>14</v>
      </c>
      <c r="B544" s="113"/>
      <c r="C544" s="216" t="s">
        <v>21919</v>
      </c>
      <c r="D544" s="226" t="s">
        <v>21920</v>
      </c>
      <c r="E544" s="219" t="s">
        <v>21921</v>
      </c>
      <c r="F544" s="222" t="s">
        <v>117</v>
      </c>
      <c r="G544" s="241" t="s">
        <v>21922</v>
      </c>
      <c r="H544" s="227" t="s">
        <v>21923</v>
      </c>
      <c r="I544" s="227"/>
      <c r="J544" s="226" t="s">
        <v>21924</v>
      </c>
      <c r="K544" s="137" t="s">
        <v>21925</v>
      </c>
      <c r="L544" s="136" t="s">
        <v>15702</v>
      </c>
      <c r="M544" s="136" t="s">
        <v>15703</v>
      </c>
    </row>
    <row r="545" spans="1:13" ht="14.25" customHeight="1">
      <c r="A545" s="113">
        <v>15</v>
      </c>
      <c r="B545" s="113"/>
      <c r="C545" s="216" t="s">
        <v>21926</v>
      </c>
      <c r="D545" s="226" t="s">
        <v>21927</v>
      </c>
      <c r="E545" s="219" t="s">
        <v>21928</v>
      </c>
      <c r="F545" s="222" t="s">
        <v>65</v>
      </c>
      <c r="G545" s="241" t="s">
        <v>21929</v>
      </c>
      <c r="H545" s="227" t="s">
        <v>21930</v>
      </c>
      <c r="I545" s="227"/>
      <c r="J545" s="226" t="s">
        <v>21931</v>
      </c>
      <c r="K545" s="137" t="s">
        <v>21932</v>
      </c>
      <c r="L545" s="136" t="s">
        <v>15711</v>
      </c>
      <c r="M545" s="136" t="s">
        <v>15712</v>
      </c>
    </row>
    <row r="546" spans="1:13" ht="14.25" customHeight="1">
      <c r="A546" s="113">
        <v>16</v>
      </c>
      <c r="B546" s="113"/>
      <c r="C546" s="216" t="s">
        <v>7488</v>
      </c>
      <c r="D546" s="226" t="s">
        <v>21933</v>
      </c>
      <c r="E546" s="219" t="s">
        <v>15681</v>
      </c>
      <c r="F546" s="222" t="s">
        <v>117</v>
      </c>
      <c r="G546" s="241" t="s">
        <v>21934</v>
      </c>
      <c r="H546" s="227" t="s">
        <v>21935</v>
      </c>
      <c r="I546" s="227"/>
      <c r="J546" s="226" t="s">
        <v>21936</v>
      </c>
      <c r="K546" s="137" t="s">
        <v>21937</v>
      </c>
      <c r="L546" s="136" t="s">
        <v>15720</v>
      </c>
      <c r="M546" s="136" t="s">
        <v>15721</v>
      </c>
    </row>
    <row r="547" spans="1:13" ht="14.25" customHeight="1">
      <c r="A547" s="113">
        <v>17</v>
      </c>
      <c r="B547" s="113"/>
      <c r="C547" s="222" t="s">
        <v>21938</v>
      </c>
      <c r="D547" s="226" t="s">
        <v>21939</v>
      </c>
      <c r="E547" s="222" t="s">
        <v>21940</v>
      </c>
      <c r="F547" s="222" t="s">
        <v>117</v>
      </c>
      <c r="G547" s="241" t="s">
        <v>21941</v>
      </c>
      <c r="H547" s="227" t="s">
        <v>21942</v>
      </c>
      <c r="I547" s="227"/>
      <c r="J547" s="226" t="s">
        <v>21943</v>
      </c>
      <c r="K547" s="137" t="s">
        <v>21944</v>
      </c>
      <c r="L547" s="136" t="s">
        <v>15729</v>
      </c>
      <c r="M547" s="136" t="s">
        <v>15730</v>
      </c>
    </row>
    <row r="548" spans="1:13" ht="14.25" customHeight="1">
      <c r="A548" s="113">
        <v>18</v>
      </c>
      <c r="B548" s="113"/>
      <c r="C548" s="222" t="s">
        <v>21945</v>
      </c>
      <c r="D548" s="226" t="s">
        <v>21946</v>
      </c>
      <c r="E548" s="222" t="s">
        <v>21947</v>
      </c>
      <c r="F548" s="222" t="s">
        <v>117</v>
      </c>
      <c r="G548" s="241" t="s">
        <v>21948</v>
      </c>
      <c r="H548" s="227" t="s">
        <v>21949</v>
      </c>
      <c r="I548" s="227"/>
      <c r="J548" s="226" t="s">
        <v>21950</v>
      </c>
      <c r="K548" s="137" t="s">
        <v>21951</v>
      </c>
      <c r="L548" s="136" t="s">
        <v>15738</v>
      </c>
      <c r="M548" s="136" t="s">
        <v>15739</v>
      </c>
    </row>
    <row r="549" spans="1:13" ht="14.25" customHeight="1">
      <c r="A549" s="113">
        <v>19</v>
      </c>
      <c r="B549" s="113"/>
      <c r="C549" s="222" t="s">
        <v>21952</v>
      </c>
      <c r="D549" s="226" t="s">
        <v>21953</v>
      </c>
      <c r="E549" s="222" t="s">
        <v>21954</v>
      </c>
      <c r="F549" s="222" t="s">
        <v>117</v>
      </c>
      <c r="G549" s="241" t="s">
        <v>21955</v>
      </c>
      <c r="H549" s="227" t="s">
        <v>21956</v>
      </c>
      <c r="I549" s="227"/>
      <c r="J549" s="226" t="s">
        <v>21957</v>
      </c>
      <c r="K549" s="118" t="s">
        <v>21958</v>
      </c>
      <c r="L549" s="136" t="s">
        <v>15747</v>
      </c>
      <c r="M549" s="136" t="s">
        <v>15748</v>
      </c>
    </row>
    <row r="550" spans="1:13" ht="14.25" customHeight="1">
      <c r="A550" s="113">
        <v>20</v>
      </c>
      <c r="B550" s="113"/>
      <c r="C550" s="216" t="s">
        <v>21959</v>
      </c>
      <c r="D550" s="259" t="s">
        <v>21960</v>
      </c>
      <c r="E550" s="216" t="s">
        <v>21961</v>
      </c>
      <c r="F550" s="216" t="s">
        <v>13358</v>
      </c>
      <c r="G550" s="225" t="s">
        <v>21962</v>
      </c>
      <c r="H550" s="260" t="s">
        <v>21963</v>
      </c>
      <c r="I550" s="260"/>
      <c r="J550" s="259" t="s">
        <v>21964</v>
      </c>
      <c r="K550" s="137" t="s">
        <v>21965</v>
      </c>
      <c r="L550" s="136" t="s">
        <v>10623</v>
      </c>
      <c r="M550" s="136" t="s">
        <v>10624</v>
      </c>
    </row>
    <row r="551" spans="1:13" ht="14.25" customHeight="1">
      <c r="A551" s="113">
        <v>21</v>
      </c>
      <c r="B551" s="113"/>
      <c r="C551" s="216" t="s">
        <v>21966</v>
      </c>
      <c r="D551" s="259" t="s">
        <v>21967</v>
      </c>
      <c r="E551" s="216" t="s">
        <v>21968</v>
      </c>
      <c r="F551" s="216" t="s">
        <v>54</v>
      </c>
      <c r="G551" s="225" t="s">
        <v>21969</v>
      </c>
      <c r="H551" s="260" t="s">
        <v>21970</v>
      </c>
      <c r="I551" s="260"/>
      <c r="J551" s="259" t="s">
        <v>21971</v>
      </c>
      <c r="K551" s="137" t="s">
        <v>21972</v>
      </c>
      <c r="L551" s="136" t="s">
        <v>15756</v>
      </c>
      <c r="M551" s="136" t="s">
        <v>15757</v>
      </c>
    </row>
    <row r="552" spans="1:13" ht="14.25" customHeight="1">
      <c r="A552" s="113">
        <v>22</v>
      </c>
      <c r="B552" s="113"/>
      <c r="C552" s="216" t="s">
        <v>21973</v>
      </c>
      <c r="D552" s="259" t="s">
        <v>21974</v>
      </c>
      <c r="E552" s="216" t="s">
        <v>21975</v>
      </c>
      <c r="F552" s="216" t="s">
        <v>54</v>
      </c>
      <c r="G552" s="225" t="s">
        <v>21976</v>
      </c>
      <c r="H552" s="260" t="s">
        <v>21977</v>
      </c>
      <c r="I552" s="260"/>
      <c r="J552" s="259" t="s">
        <v>21978</v>
      </c>
      <c r="K552" s="137" t="s">
        <v>21979</v>
      </c>
      <c r="L552" s="136" t="s">
        <v>15765</v>
      </c>
      <c r="M552" s="136" t="s">
        <v>15766</v>
      </c>
    </row>
    <row r="553" spans="1:13" ht="14.25" customHeight="1">
      <c r="A553" s="113">
        <v>23</v>
      </c>
      <c r="B553" s="113"/>
      <c r="C553" s="216" t="s">
        <v>21980</v>
      </c>
      <c r="D553" s="259" t="s">
        <v>21981</v>
      </c>
      <c r="E553" s="216" t="s">
        <v>21982</v>
      </c>
      <c r="F553" s="216" t="s">
        <v>65</v>
      </c>
      <c r="G553" s="225" t="s">
        <v>21983</v>
      </c>
      <c r="H553" s="260" t="s">
        <v>21984</v>
      </c>
      <c r="I553" s="260"/>
      <c r="J553" s="259" t="s">
        <v>21985</v>
      </c>
      <c r="K553" s="137" t="s">
        <v>21986</v>
      </c>
      <c r="L553" s="136" t="s">
        <v>10679</v>
      </c>
      <c r="M553" s="136" t="s">
        <v>10680</v>
      </c>
    </row>
    <row r="554" spans="1:13" ht="14.25" customHeight="1">
      <c r="A554" s="113">
        <v>24</v>
      </c>
      <c r="B554" s="113"/>
      <c r="C554" s="216" t="s">
        <v>21987</v>
      </c>
      <c r="D554" s="259" t="s">
        <v>21988</v>
      </c>
      <c r="E554" s="216" t="s">
        <v>21989</v>
      </c>
      <c r="F554" s="216" t="s">
        <v>54</v>
      </c>
      <c r="G554" s="225" t="s">
        <v>21990</v>
      </c>
      <c r="H554" s="260" t="s">
        <v>21991</v>
      </c>
      <c r="I554" s="260"/>
      <c r="J554" s="259" t="s">
        <v>21992</v>
      </c>
      <c r="K554" s="137" t="s">
        <v>21993</v>
      </c>
      <c r="L554" s="136" t="s">
        <v>10999</v>
      </c>
      <c r="M554" s="136" t="s">
        <v>11000</v>
      </c>
    </row>
    <row r="555" spans="1:13" ht="14.25" customHeight="1">
      <c r="A555" s="113">
        <v>25</v>
      </c>
      <c r="B555" s="113"/>
      <c r="C555" s="216" t="s">
        <v>21994</v>
      </c>
      <c r="D555" s="259" t="s">
        <v>21995</v>
      </c>
      <c r="E555" s="216" t="s">
        <v>21996</v>
      </c>
      <c r="F555" s="216" t="s">
        <v>5711</v>
      </c>
      <c r="G555" s="225" t="s">
        <v>21997</v>
      </c>
      <c r="H555" s="260" t="s">
        <v>21998</v>
      </c>
      <c r="I555" s="260"/>
      <c r="J555" s="259" t="s">
        <v>21999</v>
      </c>
      <c r="K555" s="137" t="s">
        <v>22000</v>
      </c>
      <c r="L555" s="136" t="s">
        <v>15776</v>
      </c>
      <c r="M555" s="136" t="s">
        <v>15777</v>
      </c>
    </row>
    <row r="556" spans="1:13" ht="14.25" customHeight="1">
      <c r="A556" s="113">
        <v>26</v>
      </c>
      <c r="B556" s="113"/>
      <c r="C556" s="216" t="s">
        <v>8333</v>
      </c>
      <c r="D556" s="259" t="s">
        <v>19153</v>
      </c>
      <c r="E556" s="216" t="s">
        <v>19154</v>
      </c>
      <c r="F556" s="216" t="s">
        <v>501</v>
      </c>
      <c r="G556" s="225" t="s">
        <v>22001</v>
      </c>
      <c r="H556" s="260" t="s">
        <v>22002</v>
      </c>
      <c r="I556" s="260"/>
      <c r="J556" s="259" t="s">
        <v>22003</v>
      </c>
      <c r="K556" s="137" t="s">
        <v>22004</v>
      </c>
      <c r="L556" s="136" t="s">
        <v>15785</v>
      </c>
      <c r="M556" s="136" t="s">
        <v>15786</v>
      </c>
    </row>
    <row r="557" spans="1:13" ht="14.25" customHeight="1">
      <c r="A557" s="113">
        <v>27</v>
      </c>
      <c r="B557" s="113"/>
      <c r="C557" s="216" t="s">
        <v>22005</v>
      </c>
      <c r="D557" s="259" t="s">
        <v>22006</v>
      </c>
      <c r="E557" s="216" t="s">
        <v>22007</v>
      </c>
      <c r="F557" s="216" t="s">
        <v>65</v>
      </c>
      <c r="G557" s="225" t="s">
        <v>22008</v>
      </c>
      <c r="H557" s="260" t="s">
        <v>22009</v>
      </c>
      <c r="I557" s="260"/>
      <c r="J557" s="259" t="s">
        <v>22010</v>
      </c>
      <c r="K557" s="137" t="s">
        <v>22011</v>
      </c>
      <c r="L557" s="136" t="s">
        <v>15794</v>
      </c>
      <c r="M557" s="136" t="s">
        <v>15795</v>
      </c>
    </row>
    <row r="558" spans="1:13" ht="14.25" customHeight="1">
      <c r="A558" s="113">
        <v>28</v>
      </c>
      <c r="B558" s="113"/>
      <c r="C558" s="216" t="s">
        <v>22012</v>
      </c>
      <c r="D558" s="259" t="s">
        <v>22013</v>
      </c>
      <c r="E558" s="216" t="s">
        <v>22014</v>
      </c>
      <c r="F558" s="216" t="s">
        <v>65</v>
      </c>
      <c r="G558" s="225" t="s">
        <v>22015</v>
      </c>
      <c r="H558" s="260" t="s">
        <v>22016</v>
      </c>
      <c r="I558" s="260"/>
      <c r="J558" s="274" t="s">
        <v>22017</v>
      </c>
      <c r="K558" s="137" t="s">
        <v>22018</v>
      </c>
      <c r="L558" s="136" t="s">
        <v>15803</v>
      </c>
      <c r="M558" s="136" t="s">
        <v>10744</v>
      </c>
    </row>
    <row r="559" spans="1:13" ht="14.25" customHeight="1">
      <c r="A559" s="113">
        <v>29</v>
      </c>
      <c r="B559" s="113"/>
      <c r="C559" s="216" t="s">
        <v>22019</v>
      </c>
      <c r="D559" s="259" t="s">
        <v>22020</v>
      </c>
      <c r="E559" s="219" t="s">
        <v>22021</v>
      </c>
      <c r="F559" s="216" t="s">
        <v>6748</v>
      </c>
      <c r="G559" s="225" t="s">
        <v>22022</v>
      </c>
      <c r="H559" s="260" t="s">
        <v>22023</v>
      </c>
      <c r="I559" s="260"/>
      <c r="J559" s="259" t="s">
        <v>22024</v>
      </c>
      <c r="K559" s="137" t="s">
        <v>22025</v>
      </c>
      <c r="L559" s="136" t="s">
        <v>15811</v>
      </c>
      <c r="M559" s="136" t="s">
        <v>15812</v>
      </c>
    </row>
    <row r="560" spans="1:13" ht="14.25" customHeight="1">
      <c r="A560" s="113">
        <v>30</v>
      </c>
      <c r="B560" s="113"/>
      <c r="C560" s="216" t="s">
        <v>22026</v>
      </c>
      <c r="D560" s="259" t="s">
        <v>22027</v>
      </c>
      <c r="E560" s="219" t="s">
        <v>22028</v>
      </c>
      <c r="F560" s="216" t="s">
        <v>65</v>
      </c>
      <c r="G560" s="225" t="s">
        <v>22029</v>
      </c>
      <c r="H560" s="260" t="s">
        <v>22030</v>
      </c>
      <c r="I560" s="260"/>
      <c r="J560" s="259" t="s">
        <v>22031</v>
      </c>
      <c r="K560" s="137" t="s">
        <v>22032</v>
      </c>
      <c r="L560" s="136" t="s">
        <v>15820</v>
      </c>
      <c r="M560" s="136" t="s">
        <v>15821</v>
      </c>
    </row>
    <row r="561" spans="1:13" ht="14.25" customHeight="1">
      <c r="A561" s="113">
        <v>31</v>
      </c>
      <c r="B561" s="113"/>
      <c r="C561" s="216" t="s">
        <v>22033</v>
      </c>
      <c r="D561" s="259" t="s">
        <v>22034</v>
      </c>
      <c r="E561" s="216" t="s">
        <v>22035</v>
      </c>
      <c r="F561" s="216" t="s">
        <v>117</v>
      </c>
      <c r="G561" s="225" t="s">
        <v>22036</v>
      </c>
      <c r="H561" s="260" t="s">
        <v>22037</v>
      </c>
      <c r="I561" s="260"/>
      <c r="J561" s="28" t="s">
        <v>22038</v>
      </c>
      <c r="K561" s="137" t="s">
        <v>22039</v>
      </c>
      <c r="L561" s="136" t="s">
        <v>15829</v>
      </c>
      <c r="M561" s="136" t="s">
        <v>15830</v>
      </c>
    </row>
    <row r="562" spans="1:13" ht="14.25" customHeight="1">
      <c r="A562" s="113">
        <v>32</v>
      </c>
      <c r="B562" s="113"/>
      <c r="C562" s="216" t="s">
        <v>16115</v>
      </c>
      <c r="D562" s="259" t="s">
        <v>16116</v>
      </c>
      <c r="E562" s="216" t="s">
        <v>16117</v>
      </c>
      <c r="F562" s="216" t="s">
        <v>6748</v>
      </c>
      <c r="G562" s="225" t="s">
        <v>22040</v>
      </c>
      <c r="H562" s="260" t="s">
        <v>22041</v>
      </c>
      <c r="I562" s="260"/>
      <c r="J562" s="259" t="s">
        <v>22042</v>
      </c>
      <c r="K562" s="137" t="s">
        <v>22043</v>
      </c>
      <c r="L562" s="136" t="s">
        <v>15838</v>
      </c>
      <c r="M562" s="136" t="s">
        <v>15839</v>
      </c>
    </row>
    <row r="563" spans="1:13" ht="14.25" customHeight="1">
      <c r="A563" s="113">
        <v>33</v>
      </c>
      <c r="B563" s="113"/>
      <c r="C563" s="216" t="s">
        <v>22044</v>
      </c>
      <c r="D563" s="259" t="s">
        <v>22045</v>
      </c>
      <c r="E563" s="216" t="s">
        <v>22046</v>
      </c>
      <c r="F563" s="216" t="s">
        <v>117</v>
      </c>
      <c r="G563" s="225" t="s">
        <v>22047</v>
      </c>
      <c r="H563" s="260" t="s">
        <v>22048</v>
      </c>
      <c r="I563" s="260"/>
      <c r="J563" s="28" t="s">
        <v>22049</v>
      </c>
      <c r="K563" s="137" t="s">
        <v>22050</v>
      </c>
      <c r="L563" s="136" t="s">
        <v>22051</v>
      </c>
      <c r="M563" s="136" t="s">
        <v>22052</v>
      </c>
    </row>
    <row r="564" spans="1:13" ht="14.25" customHeight="1">
      <c r="A564" s="113">
        <v>34</v>
      </c>
      <c r="B564" s="113"/>
      <c r="C564" s="216" t="s">
        <v>22053</v>
      </c>
      <c r="D564" s="259" t="s">
        <v>22054</v>
      </c>
      <c r="E564" s="216" t="s">
        <v>22055</v>
      </c>
      <c r="F564" s="216" t="s">
        <v>54</v>
      </c>
      <c r="G564" s="225" t="s">
        <v>22056</v>
      </c>
      <c r="H564" s="260" t="s">
        <v>22057</v>
      </c>
      <c r="I564" s="260"/>
      <c r="J564" s="259" t="s">
        <v>22058</v>
      </c>
      <c r="K564" s="137" t="s">
        <v>22059</v>
      </c>
      <c r="L564" s="136" t="s">
        <v>22060</v>
      </c>
      <c r="M564" s="136" t="s">
        <v>22061</v>
      </c>
    </row>
    <row r="565" spans="1:13" ht="14.25" customHeight="1">
      <c r="A565" s="113">
        <v>35</v>
      </c>
      <c r="B565" s="113"/>
      <c r="C565" s="216" t="s">
        <v>22062</v>
      </c>
      <c r="D565" s="259" t="s">
        <v>22063</v>
      </c>
      <c r="E565" s="219" t="s">
        <v>22064</v>
      </c>
      <c r="F565" s="216" t="s">
        <v>65</v>
      </c>
      <c r="G565" s="225" t="s">
        <v>22065</v>
      </c>
      <c r="H565" s="260" t="s">
        <v>22066</v>
      </c>
      <c r="I565" s="260"/>
      <c r="J565" s="259" t="s">
        <v>22067</v>
      </c>
      <c r="K565" s="137" t="s">
        <v>22068</v>
      </c>
      <c r="L565" s="136" t="s">
        <v>22069</v>
      </c>
      <c r="M565" s="136" t="s">
        <v>22070</v>
      </c>
    </row>
    <row r="566" spans="1:13" ht="14.25" customHeight="1">
      <c r="A566" s="113">
        <v>36</v>
      </c>
      <c r="B566" s="113"/>
      <c r="C566" s="216" t="s">
        <v>22071</v>
      </c>
      <c r="D566" s="259" t="s">
        <v>22072</v>
      </c>
      <c r="E566" s="216" t="s">
        <v>22073</v>
      </c>
      <c r="F566" s="216" t="s">
        <v>65</v>
      </c>
      <c r="G566" s="225" t="s">
        <v>22074</v>
      </c>
      <c r="H566" s="260" t="s">
        <v>22075</v>
      </c>
      <c r="I566" s="260"/>
      <c r="J566" s="259" t="s">
        <v>22076</v>
      </c>
      <c r="K566" s="137" t="s">
        <v>22077</v>
      </c>
      <c r="L566" s="136" t="s">
        <v>22078</v>
      </c>
      <c r="M566" s="136" t="s">
        <v>22079</v>
      </c>
    </row>
    <row r="567" spans="1:13" ht="14.25" customHeight="1">
      <c r="A567" s="136">
        <v>37</v>
      </c>
      <c r="B567" s="136"/>
      <c r="C567" s="222" t="s">
        <v>22080</v>
      </c>
      <c r="D567" s="226" t="s">
        <v>22081</v>
      </c>
      <c r="E567" s="218" t="s">
        <v>22082</v>
      </c>
      <c r="F567" s="222" t="s">
        <v>65</v>
      </c>
      <c r="G567" s="241" t="s">
        <v>22083</v>
      </c>
      <c r="H567" s="227" t="s">
        <v>22084</v>
      </c>
      <c r="I567" s="227"/>
      <c r="J567" s="226" t="s">
        <v>22085</v>
      </c>
      <c r="K567" s="118" t="s">
        <v>22086</v>
      </c>
      <c r="L567" s="136" t="s">
        <v>22087</v>
      </c>
      <c r="M567" s="136" t="s">
        <v>22088</v>
      </c>
    </row>
    <row r="568" spans="1:13" ht="14.25" customHeight="1">
      <c r="A568" s="113">
        <v>38</v>
      </c>
      <c r="B568" s="113"/>
      <c r="C568" s="216" t="s">
        <v>22089</v>
      </c>
      <c r="D568" s="259" t="s">
        <v>22090</v>
      </c>
      <c r="E568" s="216" t="s">
        <v>22091</v>
      </c>
      <c r="F568" s="216" t="s">
        <v>664</v>
      </c>
      <c r="G568" s="225" t="s">
        <v>22092</v>
      </c>
      <c r="H568" s="260" t="s">
        <v>22093</v>
      </c>
      <c r="I568" s="260"/>
      <c r="J568" s="259" t="s">
        <v>22094</v>
      </c>
      <c r="K568" s="137" t="s">
        <v>22095</v>
      </c>
      <c r="L568" s="113" t="s">
        <v>22096</v>
      </c>
      <c r="M568" s="136" t="s">
        <v>22097</v>
      </c>
    </row>
    <row r="569" spans="1:13" ht="14.25" customHeight="1">
      <c r="A569" s="113">
        <v>39</v>
      </c>
      <c r="B569" s="113"/>
      <c r="C569" s="216" t="s">
        <v>19839</v>
      </c>
      <c r="D569" s="259" t="s">
        <v>19840</v>
      </c>
      <c r="E569" s="216" t="s">
        <v>19841</v>
      </c>
      <c r="F569" s="216" t="s">
        <v>664</v>
      </c>
      <c r="G569" s="225" t="s">
        <v>22098</v>
      </c>
      <c r="H569" s="260" t="s">
        <v>22099</v>
      </c>
      <c r="I569" s="260"/>
      <c r="J569" s="259" t="s">
        <v>22100</v>
      </c>
      <c r="K569" s="137" t="s">
        <v>22101</v>
      </c>
      <c r="L569" s="136" t="s">
        <v>22102</v>
      </c>
      <c r="M569" s="136" t="s">
        <v>22103</v>
      </c>
    </row>
    <row r="570" spans="1:13" ht="14.25" customHeight="1">
      <c r="A570" s="113">
        <v>40</v>
      </c>
      <c r="B570" s="113"/>
      <c r="C570" s="216" t="s">
        <v>22104</v>
      </c>
      <c r="D570" s="274" t="s">
        <v>22105</v>
      </c>
      <c r="E570" s="216" t="s">
        <v>22106</v>
      </c>
      <c r="F570" s="216" t="s">
        <v>54</v>
      </c>
      <c r="G570" s="225" t="s">
        <v>22107</v>
      </c>
      <c r="H570" s="261" t="s">
        <v>22108</v>
      </c>
      <c r="I570" s="261"/>
      <c r="J570" s="274" t="s">
        <v>22109</v>
      </c>
      <c r="K570" s="137" t="s">
        <v>22110</v>
      </c>
      <c r="L570" s="136" t="s">
        <v>22111</v>
      </c>
      <c r="M570" s="136" t="s">
        <v>22112</v>
      </c>
    </row>
    <row r="571" spans="1:13" ht="14.25" customHeight="1">
      <c r="A571" s="113">
        <v>41</v>
      </c>
      <c r="B571" s="113"/>
      <c r="C571" s="216" t="s">
        <v>22113</v>
      </c>
      <c r="D571" s="259" t="s">
        <v>22114</v>
      </c>
      <c r="E571" s="216" t="s">
        <v>22115</v>
      </c>
      <c r="F571" s="216" t="s">
        <v>65</v>
      </c>
      <c r="G571" s="225" t="s">
        <v>22116</v>
      </c>
      <c r="H571" s="260" t="s">
        <v>22117</v>
      </c>
      <c r="I571" s="260"/>
      <c r="J571" s="226" t="s">
        <v>22118</v>
      </c>
      <c r="K571" s="137" t="s">
        <v>22119</v>
      </c>
      <c r="L571" s="136" t="s">
        <v>22120</v>
      </c>
      <c r="M571" s="136" t="s">
        <v>22121</v>
      </c>
    </row>
    <row r="572" spans="1:13" ht="15.6">
      <c r="A572" s="275">
        <v>1</v>
      </c>
      <c r="B572" s="275"/>
      <c r="C572" s="268" t="s">
        <v>22122</v>
      </c>
      <c r="D572" s="276" t="s">
        <v>22123</v>
      </c>
      <c r="E572" s="277" t="s">
        <v>22124</v>
      </c>
      <c r="F572" s="268" t="s">
        <v>65</v>
      </c>
      <c r="G572" s="211" t="s">
        <v>22125</v>
      </c>
      <c r="H572" s="214" t="s">
        <v>22126</v>
      </c>
      <c r="I572" s="214"/>
      <c r="J572" s="212" t="s">
        <v>22127</v>
      </c>
      <c r="K572" s="215" t="s">
        <v>22128</v>
      </c>
      <c r="L572" s="210" t="s">
        <v>15847</v>
      </c>
      <c r="M572" s="247" t="s">
        <v>22129</v>
      </c>
    </row>
    <row r="573" spans="1:13" ht="15.6">
      <c r="A573" s="61">
        <v>2</v>
      </c>
      <c r="B573" s="61"/>
      <c r="C573" s="269" t="s">
        <v>22130</v>
      </c>
      <c r="D573" s="130" t="s">
        <v>22131</v>
      </c>
      <c r="E573" s="218" t="s">
        <v>22132</v>
      </c>
      <c r="F573" s="269" t="s">
        <v>460</v>
      </c>
      <c r="G573" s="222" t="s">
        <v>22133</v>
      </c>
      <c r="H573" s="227" t="s">
        <v>22134</v>
      </c>
      <c r="I573" s="227"/>
      <c r="J573" s="226" t="s">
        <v>22135</v>
      </c>
      <c r="K573" s="137" t="s">
        <v>22136</v>
      </c>
      <c r="L573" s="136" t="s">
        <v>15855</v>
      </c>
      <c r="M573" s="136" t="s">
        <v>22137</v>
      </c>
    </row>
    <row r="574" spans="1:13" ht="15.6">
      <c r="A574" s="61">
        <v>3</v>
      </c>
      <c r="B574" s="61"/>
      <c r="C574" s="269" t="s">
        <v>22138</v>
      </c>
      <c r="D574" s="130" t="s">
        <v>22139</v>
      </c>
      <c r="E574" s="218" t="s">
        <v>22140</v>
      </c>
      <c r="F574" s="269" t="s">
        <v>117</v>
      </c>
      <c r="G574" s="222" t="s">
        <v>22141</v>
      </c>
      <c r="H574" s="227" t="s">
        <v>22142</v>
      </c>
      <c r="I574" s="227"/>
      <c r="J574" s="226" t="s">
        <v>22143</v>
      </c>
      <c r="K574" s="137" t="s">
        <v>22144</v>
      </c>
      <c r="L574" s="136" t="s">
        <v>15863</v>
      </c>
      <c r="M574" s="136" t="s">
        <v>22145</v>
      </c>
    </row>
    <row r="575" spans="1:13" ht="15.6">
      <c r="A575" s="61">
        <v>4</v>
      </c>
      <c r="B575" s="61"/>
      <c r="C575" s="269" t="s">
        <v>22146</v>
      </c>
      <c r="D575" s="130" t="s">
        <v>22147</v>
      </c>
      <c r="E575" s="218" t="s">
        <v>22148</v>
      </c>
      <c r="F575" s="269" t="s">
        <v>117</v>
      </c>
      <c r="G575" s="222" t="s">
        <v>22149</v>
      </c>
      <c r="H575" s="227" t="s">
        <v>22150</v>
      </c>
      <c r="I575" s="227"/>
      <c r="J575" s="226" t="s">
        <v>22151</v>
      </c>
      <c r="K575" s="137" t="s">
        <v>22152</v>
      </c>
      <c r="L575" s="136" t="s">
        <v>15871</v>
      </c>
      <c r="M575" s="136" t="s">
        <v>22153</v>
      </c>
    </row>
    <row r="576" spans="1:13" ht="15.6">
      <c r="A576" s="185">
        <v>5</v>
      </c>
      <c r="B576" s="185"/>
      <c r="C576" s="271" t="s">
        <v>22154</v>
      </c>
      <c r="D576" s="104" t="s">
        <v>22155</v>
      </c>
      <c r="E576" s="219" t="s">
        <v>22156</v>
      </c>
      <c r="F576" s="271"/>
      <c r="G576" s="225" t="s">
        <v>22157</v>
      </c>
      <c r="H576" s="260" t="s">
        <v>22158</v>
      </c>
      <c r="I576" s="260"/>
      <c r="J576" s="259" t="s">
        <v>22159</v>
      </c>
      <c r="K576" s="137" t="s">
        <v>22160</v>
      </c>
      <c r="L576" s="136" t="s">
        <v>15879</v>
      </c>
      <c r="M576" s="136" t="s">
        <v>22161</v>
      </c>
    </row>
    <row r="577" spans="1:13" ht="15.6">
      <c r="A577" s="61">
        <v>6</v>
      </c>
      <c r="B577" s="61"/>
      <c r="C577" s="222" t="s">
        <v>22162</v>
      </c>
      <c r="D577" s="130" t="s">
        <v>22163</v>
      </c>
      <c r="E577" s="218" t="s">
        <v>22164</v>
      </c>
      <c r="F577" s="222" t="s">
        <v>65</v>
      </c>
      <c r="G577" s="241" t="s">
        <v>22165</v>
      </c>
      <c r="H577" s="118" t="s">
        <v>22166</v>
      </c>
      <c r="I577" s="118"/>
      <c r="J577" s="227" t="s">
        <v>22167</v>
      </c>
      <c r="K577" s="137" t="s">
        <v>22168</v>
      </c>
      <c r="L577" s="136" t="s">
        <v>15887</v>
      </c>
      <c r="M577" s="136" t="s">
        <v>22169</v>
      </c>
    </row>
    <row r="578" spans="1:13" ht="15.6">
      <c r="A578" s="61">
        <v>7</v>
      </c>
      <c r="B578" s="61"/>
      <c r="C578" s="272" t="s">
        <v>22170</v>
      </c>
      <c r="D578" s="130" t="s">
        <v>22171</v>
      </c>
      <c r="E578" s="218" t="s">
        <v>22172</v>
      </c>
      <c r="F578" s="272" t="s">
        <v>65</v>
      </c>
      <c r="G578" s="241" t="s">
        <v>22173</v>
      </c>
      <c r="H578" s="118" t="s">
        <v>22174</v>
      </c>
      <c r="I578" s="118"/>
      <c r="J578" s="227" t="s">
        <v>22175</v>
      </c>
      <c r="K578" s="137" t="s">
        <v>22176</v>
      </c>
      <c r="L578" s="136" t="s">
        <v>15895</v>
      </c>
      <c r="M578" s="136" t="s">
        <v>22177</v>
      </c>
    </row>
    <row r="579" spans="1:13" ht="15.6">
      <c r="A579" s="61">
        <v>8</v>
      </c>
      <c r="B579" s="61"/>
      <c r="C579" s="272" t="s">
        <v>22178</v>
      </c>
      <c r="D579" s="130" t="s">
        <v>22179</v>
      </c>
      <c r="E579" s="218" t="s">
        <v>3501</v>
      </c>
      <c r="F579" s="272" t="s">
        <v>117</v>
      </c>
      <c r="G579" s="241" t="s">
        <v>22180</v>
      </c>
      <c r="H579" s="118" t="s">
        <v>22181</v>
      </c>
      <c r="I579" s="118"/>
      <c r="J579" s="227" t="s">
        <v>22182</v>
      </c>
      <c r="K579" s="137" t="s">
        <v>22183</v>
      </c>
      <c r="L579" s="136" t="s">
        <v>15903</v>
      </c>
      <c r="M579" s="136" t="s">
        <v>22184</v>
      </c>
    </row>
    <row r="580" spans="1:13" ht="15.6">
      <c r="A580" s="61">
        <v>9</v>
      </c>
      <c r="B580" s="61"/>
      <c r="C580" s="272" t="s">
        <v>22185</v>
      </c>
      <c r="D580" s="130" t="s">
        <v>22186</v>
      </c>
      <c r="E580" s="218" t="s">
        <v>22187</v>
      </c>
      <c r="F580" s="272" t="s">
        <v>65</v>
      </c>
      <c r="G580" s="241" t="s">
        <v>22188</v>
      </c>
      <c r="H580" s="118" t="s">
        <v>22189</v>
      </c>
      <c r="I580" s="118"/>
      <c r="J580" s="227" t="s">
        <v>22190</v>
      </c>
      <c r="K580" s="137" t="s">
        <v>22191</v>
      </c>
      <c r="L580" s="136" t="s">
        <v>15911</v>
      </c>
      <c r="M580" s="136" t="s">
        <v>22192</v>
      </c>
    </row>
    <row r="581" spans="1:13" ht="15.6">
      <c r="A581" s="61">
        <v>10</v>
      </c>
      <c r="B581" s="61"/>
      <c r="C581" s="272" t="s">
        <v>22193</v>
      </c>
      <c r="D581" s="130" t="s">
        <v>22194</v>
      </c>
      <c r="E581" s="218" t="s">
        <v>22195</v>
      </c>
      <c r="F581" s="272" t="s">
        <v>54</v>
      </c>
      <c r="G581" s="241" t="s">
        <v>22196</v>
      </c>
      <c r="H581" s="118" t="s">
        <v>22197</v>
      </c>
      <c r="I581" s="118"/>
      <c r="J581" s="227" t="s">
        <v>22198</v>
      </c>
      <c r="K581" s="137" t="s">
        <v>22199</v>
      </c>
      <c r="L581" s="136" t="s">
        <v>15919</v>
      </c>
      <c r="M581" s="136" t="s">
        <v>22200</v>
      </c>
    </row>
    <row r="582" spans="1:13" ht="15.6">
      <c r="A582" s="61">
        <v>11</v>
      </c>
      <c r="B582" s="61"/>
      <c r="C582" s="272" t="s">
        <v>22201</v>
      </c>
      <c r="D582" s="130" t="s">
        <v>22202</v>
      </c>
      <c r="E582" s="218" t="s">
        <v>22203</v>
      </c>
      <c r="F582" s="272" t="s">
        <v>117</v>
      </c>
      <c r="G582" s="241" t="s">
        <v>22204</v>
      </c>
      <c r="H582" s="227" t="s">
        <v>22205</v>
      </c>
      <c r="I582" s="227"/>
      <c r="J582" s="226" t="s">
        <v>22206</v>
      </c>
      <c r="K582" s="137" t="s">
        <v>22207</v>
      </c>
      <c r="L582" s="136" t="s">
        <v>15927</v>
      </c>
      <c r="M582" s="136" t="s">
        <v>22208</v>
      </c>
    </row>
    <row r="583" spans="1:13" ht="15.6">
      <c r="A583" s="61">
        <v>12</v>
      </c>
      <c r="B583" s="61"/>
      <c r="C583" s="272" t="s">
        <v>22209</v>
      </c>
      <c r="D583" s="130" t="s">
        <v>22210</v>
      </c>
      <c r="E583" s="218" t="s">
        <v>22211</v>
      </c>
      <c r="F583" s="272" t="s">
        <v>117</v>
      </c>
      <c r="G583" s="241" t="s">
        <v>22212</v>
      </c>
      <c r="H583" s="227" t="s">
        <v>22213</v>
      </c>
      <c r="I583" s="227"/>
      <c r="J583" s="226" t="s">
        <v>22214</v>
      </c>
      <c r="K583" s="137" t="s">
        <v>22215</v>
      </c>
      <c r="L583" s="136" t="s">
        <v>15935</v>
      </c>
      <c r="M583" s="136" t="s">
        <v>22216</v>
      </c>
    </row>
    <row r="584" spans="1:13" ht="15.6">
      <c r="A584" s="61">
        <v>13</v>
      </c>
      <c r="B584" s="61"/>
      <c r="C584" s="272" t="s">
        <v>22217</v>
      </c>
      <c r="D584" s="130" t="s">
        <v>22218</v>
      </c>
      <c r="E584" s="218" t="s">
        <v>22219</v>
      </c>
      <c r="F584" s="272" t="s">
        <v>117</v>
      </c>
      <c r="G584" s="225" t="s">
        <v>22220</v>
      </c>
      <c r="H584" s="227" t="s">
        <v>22221</v>
      </c>
      <c r="I584" s="227"/>
      <c r="J584" s="226" t="s">
        <v>22222</v>
      </c>
      <c r="K584" s="137" t="s">
        <v>22223</v>
      </c>
      <c r="L584" s="136" t="s">
        <v>15943</v>
      </c>
      <c r="M584" s="136" t="s">
        <v>22224</v>
      </c>
    </row>
    <row r="585" spans="1:13" ht="15.6">
      <c r="A585" s="185">
        <v>14</v>
      </c>
      <c r="B585" s="185"/>
      <c r="C585" s="269" t="s">
        <v>22225</v>
      </c>
      <c r="D585" s="130" t="s">
        <v>22226</v>
      </c>
      <c r="E585" s="218" t="s">
        <v>22227</v>
      </c>
      <c r="F585" s="269" t="s">
        <v>65</v>
      </c>
      <c r="G585" s="222" t="s">
        <v>22228</v>
      </c>
      <c r="H585" s="227" t="s">
        <v>22229</v>
      </c>
      <c r="I585" s="227"/>
      <c r="J585" s="226" t="s">
        <v>22230</v>
      </c>
      <c r="K585" s="137" t="s">
        <v>22231</v>
      </c>
      <c r="L585" s="136" t="s">
        <v>15951</v>
      </c>
      <c r="M585" s="136" t="s">
        <v>22232</v>
      </c>
    </row>
    <row r="586" spans="1:13" ht="15.6">
      <c r="A586" s="61">
        <v>15</v>
      </c>
      <c r="B586" s="61"/>
      <c r="C586" s="269" t="s">
        <v>22233</v>
      </c>
      <c r="D586" s="130" t="s">
        <v>22234</v>
      </c>
      <c r="E586" s="218" t="s">
        <v>22235</v>
      </c>
      <c r="F586" s="269" t="s">
        <v>117</v>
      </c>
      <c r="G586" s="222" t="s">
        <v>22236</v>
      </c>
      <c r="H586" s="227" t="s">
        <v>22237</v>
      </c>
      <c r="I586" s="227"/>
      <c r="J586" s="226" t="s">
        <v>22238</v>
      </c>
      <c r="K586" s="137" t="s">
        <v>22239</v>
      </c>
      <c r="L586" s="136" t="s">
        <v>15959</v>
      </c>
      <c r="M586" s="136" t="s">
        <v>22240</v>
      </c>
    </row>
    <row r="587" spans="1:13" ht="15.6">
      <c r="A587" s="61">
        <v>16</v>
      </c>
      <c r="B587" s="61"/>
      <c r="C587" s="269" t="s">
        <v>22241</v>
      </c>
      <c r="D587" s="130" t="s">
        <v>22242</v>
      </c>
      <c r="E587" s="218" t="s">
        <v>22243</v>
      </c>
      <c r="F587" s="269" t="s">
        <v>54</v>
      </c>
      <c r="G587" s="222" t="s">
        <v>22244</v>
      </c>
      <c r="H587" s="227" t="s">
        <v>22245</v>
      </c>
      <c r="I587" s="227"/>
      <c r="J587" s="226" t="s">
        <v>22246</v>
      </c>
      <c r="K587" s="118" t="s">
        <v>22247</v>
      </c>
      <c r="L587" s="136" t="s">
        <v>15966</v>
      </c>
      <c r="M587" s="136" t="s">
        <v>22248</v>
      </c>
    </row>
    <row r="588" spans="1:13" ht="15.6">
      <c r="A588" s="61">
        <v>17</v>
      </c>
      <c r="B588" s="61"/>
      <c r="C588" s="269" t="s">
        <v>22249</v>
      </c>
      <c r="D588" s="130" t="s">
        <v>22250</v>
      </c>
      <c r="E588" s="218" t="s">
        <v>22251</v>
      </c>
      <c r="F588" s="269" t="s">
        <v>54</v>
      </c>
      <c r="G588" s="222" t="s">
        <v>22252</v>
      </c>
      <c r="H588" s="227" t="s">
        <v>22253</v>
      </c>
      <c r="I588" s="227"/>
      <c r="J588" s="226" t="s">
        <v>22254</v>
      </c>
      <c r="K588" s="137" t="s">
        <v>22255</v>
      </c>
      <c r="L588" s="136" t="s">
        <v>15974</v>
      </c>
      <c r="M588" s="136" t="s">
        <v>22256</v>
      </c>
    </row>
    <row r="589" spans="1:13" ht="15.6">
      <c r="A589" s="61">
        <v>18</v>
      </c>
      <c r="B589" s="61"/>
      <c r="C589" s="269" t="s">
        <v>22257</v>
      </c>
      <c r="D589" s="130" t="s">
        <v>22258</v>
      </c>
      <c r="E589" s="218" t="s">
        <v>22259</v>
      </c>
      <c r="F589" s="269" t="s">
        <v>117</v>
      </c>
      <c r="G589" s="222" t="s">
        <v>22260</v>
      </c>
      <c r="H589" s="227" t="s">
        <v>22261</v>
      </c>
      <c r="I589" s="227"/>
      <c r="J589" s="226" t="s">
        <v>22262</v>
      </c>
      <c r="K589" s="137" t="s">
        <v>22263</v>
      </c>
      <c r="L589" s="136" t="s">
        <v>15982</v>
      </c>
      <c r="M589" s="136" t="s">
        <v>22264</v>
      </c>
    </row>
    <row r="590" spans="1:13" ht="15.6">
      <c r="A590" s="61">
        <v>19</v>
      </c>
      <c r="B590" s="61"/>
      <c r="C590" s="269" t="s">
        <v>22265</v>
      </c>
      <c r="D590" s="130" t="s">
        <v>22266</v>
      </c>
      <c r="E590" s="218" t="s">
        <v>22267</v>
      </c>
      <c r="F590" s="269" t="s">
        <v>65</v>
      </c>
      <c r="G590" s="222" t="s">
        <v>22268</v>
      </c>
      <c r="H590" s="227" t="s">
        <v>22269</v>
      </c>
      <c r="I590" s="227"/>
      <c r="J590" s="226" t="s">
        <v>22270</v>
      </c>
      <c r="K590" s="137" t="s">
        <v>22271</v>
      </c>
      <c r="L590" s="136" t="s">
        <v>15989</v>
      </c>
      <c r="M590" s="136" t="s">
        <v>22272</v>
      </c>
    </row>
    <row r="591" spans="1:13" ht="15.6">
      <c r="A591" s="61">
        <v>20</v>
      </c>
      <c r="B591" s="61"/>
      <c r="C591" s="269" t="s">
        <v>22273</v>
      </c>
      <c r="D591" s="130" t="s">
        <v>22274</v>
      </c>
      <c r="E591" s="218" t="s">
        <v>22275</v>
      </c>
      <c r="F591" s="269" t="s">
        <v>117</v>
      </c>
      <c r="G591" s="222" t="s">
        <v>22276</v>
      </c>
      <c r="H591" s="227" t="s">
        <v>22277</v>
      </c>
      <c r="I591" s="227"/>
      <c r="J591" s="226" t="s">
        <v>22278</v>
      </c>
      <c r="K591" s="137" t="s">
        <v>22279</v>
      </c>
      <c r="L591" s="136" t="s">
        <v>15997</v>
      </c>
      <c r="M591" s="136" t="s">
        <v>22280</v>
      </c>
    </row>
    <row r="592" spans="1:13" ht="15.6">
      <c r="A592" s="61">
        <v>21</v>
      </c>
      <c r="B592" s="61"/>
      <c r="C592" s="269" t="s">
        <v>22281</v>
      </c>
      <c r="D592" s="130" t="s">
        <v>22282</v>
      </c>
      <c r="E592" s="218" t="s">
        <v>22283</v>
      </c>
      <c r="F592" s="269" t="s">
        <v>54</v>
      </c>
      <c r="G592" s="222" t="s">
        <v>22284</v>
      </c>
      <c r="H592" s="227" t="s">
        <v>22285</v>
      </c>
      <c r="I592" s="227"/>
      <c r="J592" s="226" t="s">
        <v>22286</v>
      </c>
      <c r="K592" s="137" t="s">
        <v>22287</v>
      </c>
      <c r="L592" s="136" t="s">
        <v>16005</v>
      </c>
      <c r="M592" s="136" t="s">
        <v>22288</v>
      </c>
    </row>
    <row r="593" spans="1:13" ht="15.6">
      <c r="A593" s="61">
        <v>22</v>
      </c>
      <c r="B593" s="61"/>
      <c r="C593" s="269" t="s">
        <v>22289</v>
      </c>
      <c r="D593" s="130" t="s">
        <v>22290</v>
      </c>
      <c r="E593" s="218" t="s">
        <v>22291</v>
      </c>
      <c r="F593" s="269" t="s">
        <v>117</v>
      </c>
      <c r="G593" s="222" t="s">
        <v>22292</v>
      </c>
      <c r="H593" s="227" t="s">
        <v>22293</v>
      </c>
      <c r="I593" s="227"/>
      <c r="J593" s="226" t="s">
        <v>22294</v>
      </c>
      <c r="K593" s="137" t="s">
        <v>22295</v>
      </c>
      <c r="L593" s="136" t="s">
        <v>16013</v>
      </c>
      <c r="M593" s="136" t="s">
        <v>22296</v>
      </c>
    </row>
    <row r="594" spans="1:13" ht="15.6">
      <c r="A594" s="61">
        <v>23</v>
      </c>
      <c r="B594" s="61"/>
      <c r="C594" s="269" t="s">
        <v>22297</v>
      </c>
      <c r="D594" s="130" t="s">
        <v>22298</v>
      </c>
      <c r="E594" s="218" t="s">
        <v>22299</v>
      </c>
      <c r="F594" s="269" t="s">
        <v>54</v>
      </c>
      <c r="G594" s="222" t="s">
        <v>22300</v>
      </c>
      <c r="H594" s="227" t="s">
        <v>22301</v>
      </c>
      <c r="I594" s="227"/>
      <c r="J594" s="226" t="s">
        <v>22302</v>
      </c>
      <c r="K594" s="137" t="s">
        <v>22303</v>
      </c>
      <c r="L594" s="136" t="s">
        <v>16021</v>
      </c>
      <c r="M594" s="136" t="s">
        <v>22304</v>
      </c>
    </row>
    <row r="595" spans="1:13" ht="15.6">
      <c r="A595" s="61">
        <v>24</v>
      </c>
      <c r="B595" s="61"/>
      <c r="C595" s="269" t="s">
        <v>22305</v>
      </c>
      <c r="D595" s="130" t="s">
        <v>22306</v>
      </c>
      <c r="E595" s="218" t="s">
        <v>22307</v>
      </c>
      <c r="F595" s="269" t="s">
        <v>65</v>
      </c>
      <c r="G595" s="222" t="s">
        <v>22308</v>
      </c>
      <c r="H595" s="227" t="s">
        <v>22309</v>
      </c>
      <c r="I595" s="227"/>
      <c r="J595" s="226" t="s">
        <v>22310</v>
      </c>
      <c r="K595" s="118" t="s">
        <v>22311</v>
      </c>
      <c r="L595" s="136" t="s">
        <v>16029</v>
      </c>
      <c r="M595" s="136" t="s">
        <v>22312</v>
      </c>
    </row>
    <row r="596" spans="1:13" ht="15.6">
      <c r="A596" s="61">
        <v>25</v>
      </c>
      <c r="B596" s="61"/>
      <c r="C596" s="272" t="s">
        <v>22313</v>
      </c>
      <c r="D596" s="130" t="s">
        <v>22314</v>
      </c>
      <c r="E596" s="218" t="s">
        <v>22315</v>
      </c>
      <c r="F596" s="272" t="s">
        <v>54</v>
      </c>
      <c r="G596" s="241" t="s">
        <v>22316</v>
      </c>
      <c r="H596" s="227" t="s">
        <v>22317</v>
      </c>
      <c r="I596" s="227"/>
      <c r="J596" s="226" t="s">
        <v>22318</v>
      </c>
      <c r="K596" s="137" t="s">
        <v>22319</v>
      </c>
      <c r="L596" s="136" t="s">
        <v>16037</v>
      </c>
      <c r="M596" s="136" t="s">
        <v>22320</v>
      </c>
    </row>
    <row r="597" spans="1:13" ht="15.6">
      <c r="A597" s="61">
        <v>26</v>
      </c>
      <c r="B597" s="61"/>
      <c r="C597" s="269" t="s">
        <v>22321</v>
      </c>
      <c r="D597" s="130" t="s">
        <v>22322</v>
      </c>
      <c r="E597" s="218" t="s">
        <v>22323</v>
      </c>
      <c r="F597" s="269" t="s">
        <v>54</v>
      </c>
      <c r="G597" s="222" t="s">
        <v>22324</v>
      </c>
      <c r="H597" s="227" t="s">
        <v>22325</v>
      </c>
      <c r="I597" s="227"/>
      <c r="J597" s="226" t="s">
        <v>22326</v>
      </c>
      <c r="K597" s="118" t="s">
        <v>22327</v>
      </c>
      <c r="L597" s="136" t="s">
        <v>16045</v>
      </c>
      <c r="M597" s="136" t="s">
        <v>22328</v>
      </c>
    </row>
    <row r="598" spans="1:13" ht="15.6">
      <c r="A598" s="61">
        <v>27</v>
      </c>
      <c r="B598" s="61"/>
      <c r="C598" s="269" t="s">
        <v>22329</v>
      </c>
      <c r="D598" s="130" t="s">
        <v>22330</v>
      </c>
      <c r="E598" s="218" t="s">
        <v>22331</v>
      </c>
      <c r="F598" s="269" t="s">
        <v>219</v>
      </c>
      <c r="G598" s="222" t="s">
        <v>22332</v>
      </c>
      <c r="H598" s="227" t="s">
        <v>22333</v>
      </c>
      <c r="I598" s="227"/>
      <c r="J598" s="226" t="s">
        <v>22334</v>
      </c>
      <c r="K598" s="118" t="s">
        <v>22335</v>
      </c>
      <c r="L598" s="136" t="s">
        <v>16053</v>
      </c>
      <c r="M598" s="136" t="s">
        <v>22336</v>
      </c>
    </row>
    <row r="599" spans="1:13" ht="15.6">
      <c r="A599" s="61">
        <v>28</v>
      </c>
      <c r="B599" s="61"/>
      <c r="C599" s="269" t="s">
        <v>22337</v>
      </c>
      <c r="D599" s="130" t="s">
        <v>22338</v>
      </c>
      <c r="E599" s="218" t="s">
        <v>22339</v>
      </c>
      <c r="F599" s="269" t="s">
        <v>65</v>
      </c>
      <c r="G599" s="222" t="s">
        <v>22340</v>
      </c>
      <c r="H599" s="227" t="s">
        <v>22341</v>
      </c>
      <c r="I599" s="227"/>
      <c r="J599" s="226" t="s">
        <v>22342</v>
      </c>
      <c r="K599" s="137" t="s">
        <v>22343</v>
      </c>
      <c r="L599" s="136" t="s">
        <v>10743</v>
      </c>
      <c r="M599" s="136" t="s">
        <v>22344</v>
      </c>
    </row>
    <row r="600" spans="1:13" ht="15.6">
      <c r="A600" s="61">
        <v>29</v>
      </c>
      <c r="B600" s="61"/>
      <c r="C600" s="269" t="s">
        <v>22345</v>
      </c>
      <c r="D600" s="130" t="s">
        <v>22346</v>
      </c>
      <c r="E600" s="218" t="s">
        <v>22347</v>
      </c>
      <c r="F600" s="269" t="s">
        <v>117</v>
      </c>
      <c r="G600" s="222" t="s">
        <v>22348</v>
      </c>
      <c r="H600" s="227" t="s">
        <v>22349</v>
      </c>
      <c r="I600" s="227"/>
      <c r="J600" s="226" t="s">
        <v>22350</v>
      </c>
      <c r="K600" s="118" t="s">
        <v>22351</v>
      </c>
      <c r="L600" s="136" t="s">
        <v>16062</v>
      </c>
      <c r="M600" s="136" t="s">
        <v>22352</v>
      </c>
    </row>
    <row r="601" spans="1:13" ht="15.6">
      <c r="A601" s="61">
        <v>30</v>
      </c>
      <c r="B601" s="61"/>
      <c r="C601" s="269" t="s">
        <v>22353</v>
      </c>
      <c r="D601" s="130" t="s">
        <v>22354</v>
      </c>
      <c r="E601" s="218" t="s">
        <v>22355</v>
      </c>
      <c r="F601" s="269" t="s">
        <v>65</v>
      </c>
      <c r="G601" s="222" t="s">
        <v>22356</v>
      </c>
      <c r="H601" s="227" t="s">
        <v>22357</v>
      </c>
      <c r="I601" s="227"/>
      <c r="J601" s="226" t="s">
        <v>22358</v>
      </c>
      <c r="K601" s="137" t="s">
        <v>22359</v>
      </c>
      <c r="L601" s="136" t="s">
        <v>16070</v>
      </c>
      <c r="M601" s="136" t="s">
        <v>22360</v>
      </c>
    </row>
    <row r="602" spans="1:13" ht="15.6">
      <c r="A602" s="61">
        <v>31</v>
      </c>
      <c r="B602" s="61"/>
      <c r="C602" s="269" t="s">
        <v>22361</v>
      </c>
      <c r="D602" s="130" t="s">
        <v>22362</v>
      </c>
      <c r="E602" s="218" t="s">
        <v>22363</v>
      </c>
      <c r="F602" s="269" t="s">
        <v>65</v>
      </c>
      <c r="G602" s="222" t="s">
        <v>22364</v>
      </c>
      <c r="H602" s="227" t="s">
        <v>22365</v>
      </c>
      <c r="I602" s="227"/>
      <c r="J602" s="226" t="s">
        <v>22366</v>
      </c>
      <c r="K602" s="118" t="s">
        <v>22367</v>
      </c>
      <c r="L602" s="136" t="s">
        <v>16078</v>
      </c>
      <c r="M602" s="136" t="s">
        <v>22368</v>
      </c>
    </row>
    <row r="603" spans="1:13" ht="15.6">
      <c r="A603" s="61">
        <v>32</v>
      </c>
      <c r="B603" s="61"/>
      <c r="C603" s="269" t="s">
        <v>22369</v>
      </c>
      <c r="D603" s="130" t="s">
        <v>22370</v>
      </c>
      <c r="E603" s="218" t="s">
        <v>22371</v>
      </c>
      <c r="F603" s="269" t="s">
        <v>117</v>
      </c>
      <c r="G603" s="222" t="s">
        <v>22372</v>
      </c>
      <c r="H603" s="227" t="s">
        <v>22373</v>
      </c>
      <c r="I603" s="227"/>
      <c r="J603" s="226" t="s">
        <v>22374</v>
      </c>
      <c r="K603" s="137" t="s">
        <v>22375</v>
      </c>
      <c r="L603" s="136" t="s">
        <v>22376</v>
      </c>
      <c r="M603" s="136" t="s">
        <v>22377</v>
      </c>
    </row>
    <row r="604" spans="1:13" ht="15.6">
      <c r="A604" s="61">
        <v>33</v>
      </c>
      <c r="B604" s="61"/>
      <c r="C604" s="269" t="s">
        <v>22378</v>
      </c>
      <c r="D604" s="130" t="s">
        <v>22379</v>
      </c>
      <c r="E604" s="218" t="s">
        <v>22380</v>
      </c>
      <c r="F604" s="269" t="s">
        <v>460</v>
      </c>
      <c r="G604" s="222" t="s">
        <v>22381</v>
      </c>
      <c r="H604" s="227" t="s">
        <v>22382</v>
      </c>
      <c r="I604" s="227"/>
      <c r="J604" s="226" t="s">
        <v>22383</v>
      </c>
      <c r="K604" s="137" t="s">
        <v>22384</v>
      </c>
      <c r="L604" s="136" t="s">
        <v>22385</v>
      </c>
      <c r="M604" s="136" t="s">
        <v>22386</v>
      </c>
    </row>
    <row r="605" spans="1:13" ht="15.6">
      <c r="A605" s="61">
        <v>34</v>
      </c>
      <c r="B605" s="61"/>
      <c r="C605" s="269" t="s">
        <v>22387</v>
      </c>
      <c r="D605" s="130" t="s">
        <v>22388</v>
      </c>
      <c r="E605" s="218" t="s">
        <v>22007</v>
      </c>
      <c r="F605" s="269" t="s">
        <v>65</v>
      </c>
      <c r="G605" s="222" t="s">
        <v>22389</v>
      </c>
      <c r="H605" s="227" t="s">
        <v>22390</v>
      </c>
      <c r="I605" s="227"/>
      <c r="J605" s="226" t="s">
        <v>22391</v>
      </c>
      <c r="K605" s="137" t="s">
        <v>22392</v>
      </c>
      <c r="L605" s="136" t="s">
        <v>22393</v>
      </c>
      <c r="M605" s="136" t="s">
        <v>22394</v>
      </c>
    </row>
    <row r="606" spans="1:13" ht="15.6">
      <c r="A606" s="61">
        <v>35</v>
      </c>
      <c r="B606" s="61"/>
      <c r="C606" s="269" t="s">
        <v>22395</v>
      </c>
      <c r="D606" s="130" t="s">
        <v>22396</v>
      </c>
      <c r="E606" s="218" t="s">
        <v>22397</v>
      </c>
      <c r="F606" s="269" t="s">
        <v>219</v>
      </c>
      <c r="G606" s="222" t="s">
        <v>21802</v>
      </c>
      <c r="H606" s="227" t="s">
        <v>22398</v>
      </c>
      <c r="I606" s="227"/>
      <c r="J606" s="226" t="s">
        <v>22399</v>
      </c>
      <c r="K606" s="137" t="s">
        <v>22400</v>
      </c>
      <c r="L606" s="136" t="s">
        <v>22401</v>
      </c>
      <c r="M606" s="136" t="s">
        <v>22402</v>
      </c>
    </row>
    <row r="607" spans="1:13" ht="15.6">
      <c r="A607" s="61">
        <v>36</v>
      </c>
      <c r="B607" s="61"/>
      <c r="C607" s="269" t="s">
        <v>22403</v>
      </c>
      <c r="D607" s="130" t="s">
        <v>22404</v>
      </c>
      <c r="E607" s="218" t="s">
        <v>22405</v>
      </c>
      <c r="F607" s="269" t="s">
        <v>117</v>
      </c>
      <c r="G607" s="222" t="s">
        <v>22406</v>
      </c>
      <c r="H607" s="227" t="s">
        <v>22407</v>
      </c>
      <c r="I607" s="227"/>
      <c r="J607" s="226" t="s">
        <v>22408</v>
      </c>
      <c r="K607" s="118" t="s">
        <v>22409</v>
      </c>
      <c r="L607" s="136" t="s">
        <v>22410</v>
      </c>
      <c r="M607" s="136" t="s">
        <v>22411</v>
      </c>
    </row>
    <row r="608" spans="1:13" ht="15.6">
      <c r="A608" s="61">
        <v>37</v>
      </c>
      <c r="B608" s="61"/>
      <c r="C608" s="272" t="s">
        <v>22412</v>
      </c>
      <c r="D608" s="130" t="s">
        <v>22413</v>
      </c>
      <c r="E608" s="218" t="s">
        <v>22414</v>
      </c>
      <c r="F608" s="272" t="s">
        <v>4392</v>
      </c>
      <c r="G608" s="241" t="s">
        <v>22415</v>
      </c>
      <c r="H608" s="227" t="s">
        <v>22416</v>
      </c>
      <c r="I608" s="227"/>
      <c r="J608" s="226" t="s">
        <v>22417</v>
      </c>
      <c r="K608" s="137" t="s">
        <v>22418</v>
      </c>
      <c r="L608" s="136" t="s">
        <v>22419</v>
      </c>
      <c r="M608" s="136" t="s">
        <v>22420</v>
      </c>
    </row>
    <row r="609" spans="1:13" ht="15.6">
      <c r="A609" s="61">
        <v>38</v>
      </c>
      <c r="B609" s="61"/>
      <c r="C609" s="272" t="s">
        <v>22421</v>
      </c>
      <c r="D609" s="130" t="s">
        <v>22422</v>
      </c>
      <c r="E609" s="218" t="s">
        <v>22423</v>
      </c>
      <c r="F609" s="272" t="s">
        <v>117</v>
      </c>
      <c r="G609" s="241" t="s">
        <v>22424</v>
      </c>
      <c r="H609" s="227" t="s">
        <v>22425</v>
      </c>
      <c r="I609" s="227"/>
      <c r="J609" s="226" t="s">
        <v>22426</v>
      </c>
      <c r="K609" s="118" t="s">
        <v>22427</v>
      </c>
      <c r="L609" s="113" t="s">
        <v>22428</v>
      </c>
      <c r="M609" s="136" t="s">
        <v>22429</v>
      </c>
    </row>
    <row r="610" spans="1:13" ht="15.6">
      <c r="A610" s="61">
        <v>39</v>
      </c>
      <c r="B610" s="61"/>
      <c r="C610" s="272" t="s">
        <v>22430</v>
      </c>
      <c r="D610" s="130" t="s">
        <v>22431</v>
      </c>
      <c r="E610" s="218" t="s">
        <v>22432</v>
      </c>
      <c r="F610" s="272" t="s">
        <v>65</v>
      </c>
      <c r="G610" s="241" t="s">
        <v>22433</v>
      </c>
      <c r="H610" s="227" t="s">
        <v>22434</v>
      </c>
      <c r="I610" s="227"/>
      <c r="J610" s="226" t="s">
        <v>22435</v>
      </c>
      <c r="K610" s="118" t="s">
        <v>22436</v>
      </c>
      <c r="L610" s="136" t="s">
        <v>22437</v>
      </c>
      <c r="M610" s="136" t="s">
        <v>22438</v>
      </c>
    </row>
    <row r="611" spans="1:13" ht="15.6">
      <c r="A611" s="275">
        <v>1</v>
      </c>
      <c r="B611" s="275"/>
      <c r="C611" s="211" t="s">
        <v>22439</v>
      </c>
      <c r="D611" s="278" t="s">
        <v>22440</v>
      </c>
      <c r="E611" s="211" t="s">
        <v>22441</v>
      </c>
      <c r="F611" s="211" t="s">
        <v>117</v>
      </c>
      <c r="G611" s="211" t="s">
        <v>22442</v>
      </c>
      <c r="H611" s="278" t="s">
        <v>22443</v>
      </c>
      <c r="I611" s="278"/>
      <c r="J611" s="263" t="s">
        <v>22444</v>
      </c>
      <c r="K611" s="215" t="s">
        <v>22445</v>
      </c>
      <c r="L611" s="210" t="s">
        <v>16086</v>
      </c>
      <c r="M611" s="247" t="s">
        <v>16087</v>
      </c>
    </row>
    <row r="612" spans="1:13" ht="15.6">
      <c r="A612" s="61">
        <v>2</v>
      </c>
      <c r="B612" s="61"/>
      <c r="C612" s="222" t="s">
        <v>22446</v>
      </c>
      <c r="D612" s="279" t="s">
        <v>22447</v>
      </c>
      <c r="E612" s="222" t="s">
        <v>22448</v>
      </c>
      <c r="F612" s="222" t="s">
        <v>117</v>
      </c>
      <c r="G612" s="222" t="s">
        <v>22449</v>
      </c>
      <c r="H612" s="279" t="s">
        <v>22450</v>
      </c>
      <c r="I612" s="279"/>
      <c r="J612" s="193" t="s">
        <v>22451</v>
      </c>
      <c r="K612" s="137" t="s">
        <v>22452</v>
      </c>
      <c r="L612" s="136" t="s">
        <v>16095</v>
      </c>
      <c r="M612" s="136" t="s">
        <v>16096</v>
      </c>
    </row>
    <row r="613" spans="1:13" ht="14.25" customHeight="1">
      <c r="A613" s="136">
        <v>3</v>
      </c>
      <c r="B613" s="136"/>
      <c r="C613" s="222" t="s">
        <v>22453</v>
      </c>
      <c r="D613" s="224" t="s">
        <v>22454</v>
      </c>
      <c r="E613" s="219" t="s">
        <v>22455</v>
      </c>
      <c r="F613" s="222" t="s">
        <v>65</v>
      </c>
      <c r="G613" s="222" t="s">
        <v>22456</v>
      </c>
      <c r="H613" s="224" t="s">
        <v>22457</v>
      </c>
      <c r="I613" s="224"/>
      <c r="J613" s="130" t="s">
        <v>22458</v>
      </c>
      <c r="K613" s="137" t="s">
        <v>22459</v>
      </c>
      <c r="L613" s="136" t="s">
        <v>16104</v>
      </c>
      <c r="M613" s="136" t="s">
        <v>16105</v>
      </c>
    </row>
    <row r="614" spans="1:13" ht="14.25" customHeight="1">
      <c r="A614" s="136">
        <v>4</v>
      </c>
      <c r="B614" s="136"/>
      <c r="C614" s="222" t="s">
        <v>22460</v>
      </c>
      <c r="D614" s="279" t="s">
        <v>22461</v>
      </c>
      <c r="E614" s="219" t="s">
        <v>22462</v>
      </c>
      <c r="F614" s="222" t="s">
        <v>65</v>
      </c>
      <c r="G614" s="222" t="s">
        <v>22463</v>
      </c>
      <c r="H614" s="279" t="s">
        <v>22464</v>
      </c>
      <c r="I614" s="279"/>
      <c r="J614" s="193" t="s">
        <v>22465</v>
      </c>
      <c r="K614" s="137" t="s">
        <v>22466</v>
      </c>
      <c r="L614" s="136" t="s">
        <v>16113</v>
      </c>
      <c r="M614" s="136" t="s">
        <v>16114</v>
      </c>
    </row>
    <row r="615" spans="1:13" ht="14.25" customHeight="1">
      <c r="A615" s="61">
        <v>5</v>
      </c>
      <c r="B615" s="61"/>
      <c r="C615" s="222" t="s">
        <v>15331</v>
      </c>
      <c r="D615" s="224" t="s">
        <v>22467</v>
      </c>
      <c r="E615" s="222" t="s">
        <v>22468</v>
      </c>
      <c r="F615" s="222" t="s">
        <v>117</v>
      </c>
      <c r="G615" s="222" t="s">
        <v>22469</v>
      </c>
      <c r="H615" s="224" t="s">
        <v>22470</v>
      </c>
      <c r="I615" s="224"/>
      <c r="J615" s="126" t="s">
        <v>22471</v>
      </c>
      <c r="K615" s="137" t="s">
        <v>22472</v>
      </c>
      <c r="L615" s="136" t="s">
        <v>16122</v>
      </c>
      <c r="M615" s="136" t="s">
        <v>16123</v>
      </c>
    </row>
    <row r="616" spans="1:13" ht="14.25" customHeight="1">
      <c r="A616" s="136">
        <v>6</v>
      </c>
      <c r="B616" s="136"/>
      <c r="C616" s="222" t="s">
        <v>22473</v>
      </c>
      <c r="D616" s="227" t="s">
        <v>22474</v>
      </c>
      <c r="E616" s="222" t="s">
        <v>5164</v>
      </c>
      <c r="F616" s="222" t="s">
        <v>117</v>
      </c>
      <c r="G616" s="222" t="s">
        <v>22475</v>
      </c>
      <c r="H616" s="227" t="s">
        <v>22476</v>
      </c>
      <c r="I616" s="227"/>
      <c r="J616" s="193" t="s">
        <v>22477</v>
      </c>
      <c r="K616" s="137" t="s">
        <v>22478</v>
      </c>
      <c r="L616" s="136" t="s">
        <v>16131</v>
      </c>
      <c r="M616" s="136" t="s">
        <v>16132</v>
      </c>
    </row>
    <row r="617" spans="1:13" ht="14.25" customHeight="1">
      <c r="A617" s="136">
        <v>7</v>
      </c>
      <c r="B617" s="136"/>
      <c r="C617" s="222" t="s">
        <v>22479</v>
      </c>
      <c r="D617" s="227" t="s">
        <v>22480</v>
      </c>
      <c r="E617" s="222" t="s">
        <v>22481</v>
      </c>
      <c r="F617" s="222" t="s">
        <v>54</v>
      </c>
      <c r="G617" s="222" t="s">
        <v>22482</v>
      </c>
      <c r="H617" s="227" t="s">
        <v>22483</v>
      </c>
      <c r="I617" s="227"/>
      <c r="J617" s="118" t="s">
        <v>22484</v>
      </c>
      <c r="K617" s="137" t="s">
        <v>22485</v>
      </c>
      <c r="L617" s="136" t="s">
        <v>16140</v>
      </c>
      <c r="M617" s="136" t="s">
        <v>16141</v>
      </c>
    </row>
    <row r="618" spans="1:13" ht="14.25" customHeight="1">
      <c r="A618" s="61">
        <v>8</v>
      </c>
      <c r="B618" s="61"/>
      <c r="C618" s="222" t="s">
        <v>22486</v>
      </c>
      <c r="D618" s="227" t="s">
        <v>22487</v>
      </c>
      <c r="E618" s="222" t="s">
        <v>6827</v>
      </c>
      <c r="F618" s="222" t="s">
        <v>19827</v>
      </c>
      <c r="G618" s="222" t="s">
        <v>22488</v>
      </c>
      <c r="H618" s="227" t="s">
        <v>22489</v>
      </c>
      <c r="I618" s="227"/>
      <c r="J618" s="118" t="s">
        <v>22490</v>
      </c>
      <c r="K618" s="137" t="s">
        <v>22491</v>
      </c>
      <c r="L618" s="136" t="s">
        <v>16149</v>
      </c>
      <c r="M618" s="136" t="s">
        <v>16150</v>
      </c>
    </row>
    <row r="619" spans="1:13" ht="14.25" customHeight="1">
      <c r="A619" s="136">
        <v>9</v>
      </c>
      <c r="B619" s="136"/>
      <c r="C619" s="222" t="s">
        <v>22492</v>
      </c>
      <c r="D619" s="279" t="s">
        <v>22493</v>
      </c>
      <c r="E619" s="222" t="s">
        <v>22494</v>
      </c>
      <c r="F619" s="222" t="s">
        <v>6748</v>
      </c>
      <c r="G619" s="222" t="s">
        <v>22495</v>
      </c>
      <c r="H619" s="279" t="s">
        <v>22496</v>
      </c>
      <c r="I619" s="279"/>
      <c r="J619" s="193" t="s">
        <v>22497</v>
      </c>
      <c r="K619" s="137" t="s">
        <v>22498</v>
      </c>
      <c r="L619" s="136" t="s">
        <v>16158</v>
      </c>
      <c r="M619" s="136" t="s">
        <v>16159</v>
      </c>
    </row>
    <row r="620" spans="1:13" ht="14.25" customHeight="1">
      <c r="A620" s="136">
        <v>10</v>
      </c>
      <c r="B620" s="136"/>
      <c r="C620" s="222" t="s">
        <v>22499</v>
      </c>
      <c r="D620" s="279" t="s">
        <v>22500</v>
      </c>
      <c r="E620" s="222" t="s">
        <v>22501</v>
      </c>
      <c r="F620" s="222" t="s">
        <v>17870</v>
      </c>
      <c r="G620" s="222" t="s">
        <v>22502</v>
      </c>
      <c r="H620" s="279" t="s">
        <v>22503</v>
      </c>
      <c r="I620" s="279"/>
      <c r="J620" s="193" t="s">
        <v>22504</v>
      </c>
      <c r="K620" s="137" t="s">
        <v>22505</v>
      </c>
      <c r="L620" s="136" t="s">
        <v>16167</v>
      </c>
      <c r="M620" s="136" t="s">
        <v>16168</v>
      </c>
    </row>
    <row r="621" spans="1:13" ht="14.25" customHeight="1">
      <c r="A621" s="61">
        <v>11</v>
      </c>
      <c r="B621" s="61"/>
      <c r="C621" s="222" t="s">
        <v>22506</v>
      </c>
      <c r="D621" s="227" t="s">
        <v>22507</v>
      </c>
      <c r="E621" s="222" t="s">
        <v>22508</v>
      </c>
      <c r="F621" s="222" t="s">
        <v>22509</v>
      </c>
      <c r="G621" s="222" t="s">
        <v>22510</v>
      </c>
      <c r="H621" s="227" t="s">
        <v>22511</v>
      </c>
      <c r="I621" s="227"/>
      <c r="J621" s="118" t="s">
        <v>22512</v>
      </c>
      <c r="K621" s="137" t="s">
        <v>22513</v>
      </c>
      <c r="L621" s="136" t="s">
        <v>10627</v>
      </c>
      <c r="M621" s="136" t="s">
        <v>10628</v>
      </c>
    </row>
    <row r="622" spans="1:13" ht="14.25" customHeight="1">
      <c r="A622" s="113">
        <v>12</v>
      </c>
      <c r="B622" s="113"/>
      <c r="C622" s="222" t="s">
        <v>22514</v>
      </c>
      <c r="D622" s="279" t="s">
        <v>22515</v>
      </c>
      <c r="E622" s="222" t="s">
        <v>22516</v>
      </c>
      <c r="F622" s="222" t="s">
        <v>65</v>
      </c>
      <c r="G622" s="222" t="s">
        <v>22517</v>
      </c>
      <c r="H622" s="279" t="s">
        <v>22518</v>
      </c>
      <c r="I622" s="279"/>
      <c r="J622" s="193" t="s">
        <v>22519</v>
      </c>
      <c r="K622" s="137" t="s">
        <v>22520</v>
      </c>
      <c r="L622" s="136" t="s">
        <v>16177</v>
      </c>
      <c r="M622" s="136" t="s">
        <v>16178</v>
      </c>
    </row>
    <row r="623" spans="1:13" ht="14.25" customHeight="1">
      <c r="A623" s="136">
        <v>13</v>
      </c>
      <c r="B623" s="136"/>
      <c r="C623" s="222" t="s">
        <v>22521</v>
      </c>
      <c r="D623" s="227" t="s">
        <v>22522</v>
      </c>
      <c r="E623" s="219" t="s">
        <v>22523</v>
      </c>
      <c r="F623" s="222" t="s">
        <v>22524</v>
      </c>
      <c r="G623" s="222" t="s">
        <v>22525</v>
      </c>
      <c r="H623" s="227" t="s">
        <v>22526</v>
      </c>
      <c r="I623" s="227"/>
      <c r="J623" s="193" t="s">
        <v>22527</v>
      </c>
      <c r="K623" s="137" t="s">
        <v>22528</v>
      </c>
      <c r="L623" s="136" t="s">
        <v>16186</v>
      </c>
      <c r="M623" s="136" t="s">
        <v>16187</v>
      </c>
    </row>
    <row r="624" spans="1:13" ht="14.25" customHeight="1">
      <c r="A624" s="61">
        <v>14</v>
      </c>
      <c r="B624" s="61"/>
      <c r="C624" s="222" t="s">
        <v>22529</v>
      </c>
      <c r="D624" s="279" t="s">
        <v>22530</v>
      </c>
      <c r="E624" s="222" t="s">
        <v>22531</v>
      </c>
      <c r="F624" s="222" t="s">
        <v>65</v>
      </c>
      <c r="G624" s="222" t="s">
        <v>22532</v>
      </c>
      <c r="H624" s="279" t="s">
        <v>22533</v>
      </c>
      <c r="I624" s="279"/>
      <c r="J624" s="193" t="s">
        <v>22534</v>
      </c>
      <c r="K624" s="137" t="s">
        <v>22535</v>
      </c>
      <c r="L624" s="136" t="s">
        <v>16195</v>
      </c>
      <c r="M624" s="136" t="s">
        <v>16196</v>
      </c>
    </row>
    <row r="625" spans="1:13" ht="14.25" customHeight="1">
      <c r="A625" s="136">
        <v>15</v>
      </c>
      <c r="B625" s="136"/>
      <c r="C625" s="222" t="s">
        <v>22536</v>
      </c>
      <c r="D625" s="227" t="s">
        <v>22537</v>
      </c>
      <c r="E625" s="222" t="s">
        <v>22538</v>
      </c>
      <c r="F625" s="222" t="s">
        <v>219</v>
      </c>
      <c r="G625" s="222" t="s">
        <v>22539</v>
      </c>
      <c r="H625" s="227" t="s">
        <v>22540</v>
      </c>
      <c r="I625" s="227"/>
      <c r="J625" s="118" t="s">
        <v>22541</v>
      </c>
      <c r="K625" s="137" t="s">
        <v>22542</v>
      </c>
      <c r="L625" s="136" t="s">
        <v>16204</v>
      </c>
      <c r="M625" s="136" t="s">
        <v>16205</v>
      </c>
    </row>
    <row r="626" spans="1:13" ht="14.25" customHeight="1">
      <c r="A626" s="136">
        <v>16</v>
      </c>
      <c r="B626" s="136"/>
      <c r="C626" s="280" t="s">
        <v>22543</v>
      </c>
      <c r="D626" s="227" t="s">
        <v>22544</v>
      </c>
      <c r="E626" s="219" t="s">
        <v>22545</v>
      </c>
      <c r="F626" s="222" t="s">
        <v>219</v>
      </c>
      <c r="G626" s="31" t="s">
        <v>22546</v>
      </c>
      <c r="H626" s="227" t="s">
        <v>22547</v>
      </c>
      <c r="I626" s="227"/>
      <c r="J626" s="118" t="s">
        <v>22548</v>
      </c>
      <c r="K626" s="137" t="s">
        <v>22549</v>
      </c>
      <c r="L626" s="136" t="s">
        <v>16213</v>
      </c>
      <c r="M626" s="136" t="s">
        <v>16214</v>
      </c>
    </row>
    <row r="627" spans="1:13" ht="14.25" customHeight="1">
      <c r="A627" s="185">
        <v>17</v>
      </c>
      <c r="B627" s="185"/>
      <c r="C627" s="216" t="s">
        <v>22550</v>
      </c>
      <c r="D627" s="260" t="s">
        <v>22551</v>
      </c>
      <c r="E627" s="216" t="s">
        <v>22552</v>
      </c>
      <c r="F627" s="216" t="s">
        <v>6748</v>
      </c>
      <c r="G627" s="216" t="s">
        <v>22553</v>
      </c>
      <c r="H627" s="260" t="s">
        <v>22554</v>
      </c>
      <c r="I627" s="260"/>
      <c r="J627" s="259" t="s">
        <v>22555</v>
      </c>
      <c r="K627" s="137" t="s">
        <v>22556</v>
      </c>
      <c r="L627" s="136" t="s">
        <v>16222</v>
      </c>
      <c r="M627" s="136" t="s">
        <v>16223</v>
      </c>
    </row>
    <row r="628" spans="1:13" ht="14.25" customHeight="1">
      <c r="A628" s="136">
        <v>18</v>
      </c>
      <c r="B628" s="136"/>
      <c r="C628" s="222" t="s">
        <v>22557</v>
      </c>
      <c r="D628" s="227" t="s">
        <v>22558</v>
      </c>
      <c r="E628" s="222" t="s">
        <v>22559</v>
      </c>
      <c r="F628" s="222" t="s">
        <v>117</v>
      </c>
      <c r="G628" s="222" t="s">
        <v>22560</v>
      </c>
      <c r="H628" s="227" t="s">
        <v>22561</v>
      </c>
      <c r="I628" s="227"/>
      <c r="J628" s="226" t="s">
        <v>22562</v>
      </c>
      <c r="K628" s="137" t="s">
        <v>22563</v>
      </c>
      <c r="L628" s="136" t="s">
        <v>16231</v>
      </c>
      <c r="M628" s="136" t="s">
        <v>16232</v>
      </c>
    </row>
    <row r="629" spans="1:13" ht="14.25" customHeight="1">
      <c r="A629" s="136">
        <v>19</v>
      </c>
      <c r="B629" s="136"/>
      <c r="C629" s="222" t="s">
        <v>22564</v>
      </c>
      <c r="D629" s="279" t="s">
        <v>22565</v>
      </c>
      <c r="E629" s="222" t="s">
        <v>22566</v>
      </c>
      <c r="F629" s="222" t="s">
        <v>65</v>
      </c>
      <c r="G629" s="222" t="s">
        <v>22567</v>
      </c>
      <c r="H629" s="279" t="s">
        <v>22568</v>
      </c>
      <c r="I629" s="279"/>
      <c r="J629" s="193" t="s">
        <v>22569</v>
      </c>
      <c r="K629" s="118" t="s">
        <v>22570</v>
      </c>
      <c r="L629" s="136" t="s">
        <v>16240</v>
      </c>
      <c r="M629" s="136" t="s">
        <v>16241</v>
      </c>
    </row>
    <row r="630" spans="1:13" ht="14.25" customHeight="1">
      <c r="A630" s="61">
        <v>20</v>
      </c>
      <c r="B630" s="61"/>
      <c r="C630" s="222" t="s">
        <v>22571</v>
      </c>
      <c r="D630" s="279" t="s">
        <v>22572</v>
      </c>
      <c r="E630" s="222" t="s">
        <v>22573</v>
      </c>
      <c r="F630" s="222" t="s">
        <v>117</v>
      </c>
      <c r="G630" s="222" t="s">
        <v>22574</v>
      </c>
      <c r="H630" s="279" t="s">
        <v>22575</v>
      </c>
      <c r="I630" s="279"/>
      <c r="J630" s="193" t="s">
        <v>22576</v>
      </c>
      <c r="K630" s="137" t="s">
        <v>22577</v>
      </c>
      <c r="L630" s="136" t="s">
        <v>16249</v>
      </c>
      <c r="M630" s="136" t="s">
        <v>16250</v>
      </c>
    </row>
    <row r="631" spans="1:13" ht="14.25" customHeight="1">
      <c r="A631" s="136">
        <v>21</v>
      </c>
      <c r="B631" s="136"/>
      <c r="C631" s="222" t="s">
        <v>22578</v>
      </c>
      <c r="D631" s="279" t="s">
        <v>22579</v>
      </c>
      <c r="E631" s="222" t="s">
        <v>22580</v>
      </c>
      <c r="F631" s="222" t="s">
        <v>117</v>
      </c>
      <c r="G631" s="222" t="s">
        <v>22581</v>
      </c>
      <c r="H631" s="279" t="s">
        <v>22582</v>
      </c>
      <c r="I631" s="279"/>
      <c r="J631" s="193" t="s">
        <v>22583</v>
      </c>
      <c r="K631" s="137" t="s">
        <v>22584</v>
      </c>
      <c r="L631" s="136" t="s">
        <v>16258</v>
      </c>
      <c r="M631" s="136" t="s">
        <v>16259</v>
      </c>
    </row>
    <row r="632" spans="1:13" ht="14.25" customHeight="1">
      <c r="A632" s="136">
        <v>22</v>
      </c>
      <c r="B632" s="136"/>
      <c r="C632" s="222" t="s">
        <v>22585</v>
      </c>
      <c r="D632" s="279" t="s">
        <v>22586</v>
      </c>
      <c r="E632" s="222" t="s">
        <v>22587</v>
      </c>
      <c r="F632" s="222" t="s">
        <v>65</v>
      </c>
      <c r="G632" s="222" t="s">
        <v>22588</v>
      </c>
      <c r="H632" s="279" t="s">
        <v>22589</v>
      </c>
      <c r="I632" s="279"/>
      <c r="J632" s="193" t="s">
        <v>22590</v>
      </c>
      <c r="K632" s="137" t="s">
        <v>22591</v>
      </c>
      <c r="L632" s="136" t="s">
        <v>16267</v>
      </c>
      <c r="M632" s="136" t="s">
        <v>16268</v>
      </c>
    </row>
    <row r="633" spans="1:13" ht="14.25" customHeight="1">
      <c r="A633" s="61">
        <v>23</v>
      </c>
      <c r="B633" s="61"/>
      <c r="C633" s="272" t="s">
        <v>22592</v>
      </c>
      <c r="D633" s="279" t="s">
        <v>22593</v>
      </c>
      <c r="E633" s="219" t="s">
        <v>22594</v>
      </c>
      <c r="F633" s="121" t="s">
        <v>65</v>
      </c>
      <c r="G633" s="31" t="s">
        <v>22595</v>
      </c>
      <c r="H633" s="279" t="s">
        <v>22596</v>
      </c>
      <c r="I633" s="279"/>
      <c r="J633" s="193" t="s">
        <v>22597</v>
      </c>
      <c r="K633" s="137" t="s">
        <v>22598</v>
      </c>
      <c r="L633" s="136" t="s">
        <v>16276</v>
      </c>
      <c r="M633" s="136" t="s">
        <v>16277</v>
      </c>
    </row>
    <row r="634" spans="1:13" ht="14.25" customHeight="1">
      <c r="A634" s="136">
        <v>24</v>
      </c>
      <c r="B634" s="136"/>
      <c r="C634" s="272" t="s">
        <v>22599</v>
      </c>
      <c r="D634" s="279" t="s">
        <v>22600</v>
      </c>
      <c r="E634" s="219" t="s">
        <v>22601</v>
      </c>
      <c r="F634" s="222" t="s">
        <v>54</v>
      </c>
      <c r="G634" s="31" t="s">
        <v>22602</v>
      </c>
      <c r="H634" s="279" t="s">
        <v>22603</v>
      </c>
      <c r="I634" s="279"/>
      <c r="J634" s="193" t="s">
        <v>22604</v>
      </c>
      <c r="K634" s="137" t="s">
        <v>22605</v>
      </c>
      <c r="L634" s="136" t="s">
        <v>16285</v>
      </c>
      <c r="M634" s="136" t="s">
        <v>16286</v>
      </c>
    </row>
    <row r="635" spans="1:13" ht="14.25" customHeight="1">
      <c r="A635" s="136">
        <v>25</v>
      </c>
      <c r="B635" s="136"/>
      <c r="C635" s="272" t="s">
        <v>22606</v>
      </c>
      <c r="D635" s="279" t="s">
        <v>22607</v>
      </c>
      <c r="E635" s="219" t="s">
        <v>22608</v>
      </c>
      <c r="F635" s="222" t="s">
        <v>117</v>
      </c>
      <c r="G635" s="31" t="s">
        <v>22609</v>
      </c>
      <c r="H635" s="279" t="s">
        <v>22610</v>
      </c>
      <c r="I635" s="279"/>
      <c r="J635" s="193" t="s">
        <v>22611</v>
      </c>
      <c r="K635" s="137" t="s">
        <v>22612</v>
      </c>
      <c r="L635" s="136" t="s">
        <v>16294</v>
      </c>
      <c r="M635" s="136" t="s">
        <v>16295</v>
      </c>
    </row>
    <row r="636" spans="1:13" ht="14.25" customHeight="1">
      <c r="A636" s="185">
        <v>26</v>
      </c>
      <c r="B636" s="185"/>
      <c r="C636" s="222" t="s">
        <v>22613</v>
      </c>
      <c r="D636" s="279" t="s">
        <v>22614</v>
      </c>
      <c r="E636" s="219" t="s">
        <v>22615</v>
      </c>
      <c r="F636" s="222" t="s">
        <v>117</v>
      </c>
      <c r="G636" s="31" t="s">
        <v>22616</v>
      </c>
      <c r="H636" s="279" t="s">
        <v>22617</v>
      </c>
      <c r="I636" s="279"/>
      <c r="J636" s="193" t="s">
        <v>22618</v>
      </c>
      <c r="K636" s="137" t="s">
        <v>22619</v>
      </c>
      <c r="L636" s="136" t="s">
        <v>16303</v>
      </c>
      <c r="M636" s="136" t="s">
        <v>16304</v>
      </c>
    </row>
    <row r="637" spans="1:13" ht="14.25" customHeight="1">
      <c r="A637" s="113">
        <v>27</v>
      </c>
      <c r="B637" s="113"/>
      <c r="C637" s="222" t="s">
        <v>22620</v>
      </c>
      <c r="D637" s="279" t="s">
        <v>22621</v>
      </c>
      <c r="E637" s="222" t="s">
        <v>22622</v>
      </c>
      <c r="F637" s="222" t="s">
        <v>54</v>
      </c>
      <c r="G637" s="222" t="s">
        <v>22623</v>
      </c>
      <c r="H637" s="279" t="s">
        <v>22624</v>
      </c>
      <c r="I637" s="279"/>
      <c r="J637" s="193" t="s">
        <v>22625</v>
      </c>
      <c r="K637" s="137" t="s">
        <v>22626</v>
      </c>
      <c r="L637" s="136" t="s">
        <v>16312</v>
      </c>
      <c r="M637" s="136" t="s">
        <v>16313</v>
      </c>
    </row>
    <row r="638" spans="1:13" ht="14.25" customHeight="1">
      <c r="A638" s="113">
        <v>28</v>
      </c>
      <c r="B638" s="113"/>
      <c r="C638" s="222" t="s">
        <v>22627</v>
      </c>
      <c r="D638" s="279" t="s">
        <v>22628</v>
      </c>
      <c r="E638" s="219" t="s">
        <v>22629</v>
      </c>
      <c r="F638" s="222" t="s">
        <v>65</v>
      </c>
      <c r="G638" s="222" t="s">
        <v>22630</v>
      </c>
      <c r="H638" s="279" t="s">
        <v>22631</v>
      </c>
      <c r="I638" s="279"/>
      <c r="J638" s="193" t="s">
        <v>22632</v>
      </c>
      <c r="K638" s="137" t="s">
        <v>22633</v>
      </c>
      <c r="L638" s="136" t="s">
        <v>16321</v>
      </c>
      <c r="M638" s="136" t="s">
        <v>16322</v>
      </c>
    </row>
    <row r="639" spans="1:13" ht="14.25" customHeight="1">
      <c r="A639" s="185">
        <v>29</v>
      </c>
      <c r="B639" s="185"/>
      <c r="C639" s="222" t="s">
        <v>22634</v>
      </c>
      <c r="D639" s="279" t="s">
        <v>22635</v>
      </c>
      <c r="E639" s="222" t="s">
        <v>7242</v>
      </c>
      <c r="F639" s="222" t="s">
        <v>117</v>
      </c>
      <c r="G639" s="222" t="s">
        <v>22636</v>
      </c>
      <c r="H639" s="279" t="s">
        <v>22637</v>
      </c>
      <c r="I639" s="279"/>
      <c r="J639" s="193" t="s">
        <v>22638</v>
      </c>
      <c r="K639" s="137" t="s">
        <v>22639</v>
      </c>
      <c r="L639" s="136" t="s">
        <v>16329</v>
      </c>
      <c r="M639" s="136" t="s">
        <v>16330</v>
      </c>
    </row>
    <row r="640" spans="1:13" ht="14.25" customHeight="1">
      <c r="A640" s="113">
        <v>30</v>
      </c>
      <c r="B640" s="113"/>
      <c r="C640" s="211" t="s">
        <v>22640</v>
      </c>
      <c r="D640" s="279" t="s">
        <v>22641</v>
      </c>
      <c r="E640" s="222" t="s">
        <v>22642</v>
      </c>
      <c r="F640" s="222" t="s">
        <v>54</v>
      </c>
      <c r="G640" s="222" t="s">
        <v>22643</v>
      </c>
      <c r="H640" s="279" t="s">
        <v>22644</v>
      </c>
      <c r="I640" s="279"/>
      <c r="J640" s="193" t="s">
        <v>22645</v>
      </c>
      <c r="K640" s="137" t="s">
        <v>22646</v>
      </c>
      <c r="L640" s="136" t="s">
        <v>16337</v>
      </c>
      <c r="M640" s="136" t="s">
        <v>16338</v>
      </c>
    </row>
    <row r="641" spans="1:13" ht="14.25" customHeight="1">
      <c r="A641" s="61">
        <v>31</v>
      </c>
      <c r="B641" s="61"/>
      <c r="C641" s="222" t="s">
        <v>22647</v>
      </c>
      <c r="D641" s="279" t="s">
        <v>22648</v>
      </c>
      <c r="E641" s="222" t="s">
        <v>22649</v>
      </c>
      <c r="F641" s="222" t="s">
        <v>117</v>
      </c>
      <c r="G641" s="222" t="s">
        <v>22650</v>
      </c>
      <c r="H641" s="279" t="s">
        <v>22651</v>
      </c>
      <c r="I641" s="279"/>
      <c r="J641" s="193" t="s">
        <v>22652</v>
      </c>
      <c r="K641" s="137" t="s">
        <v>22653</v>
      </c>
      <c r="L641" s="136" t="s">
        <v>16346</v>
      </c>
      <c r="M641" s="136" t="s">
        <v>16347</v>
      </c>
    </row>
    <row r="642" spans="1:13" ht="14.25" customHeight="1">
      <c r="A642" s="136">
        <v>32</v>
      </c>
      <c r="B642" s="136"/>
      <c r="C642" s="222" t="s">
        <v>22654</v>
      </c>
      <c r="D642" s="279" t="s">
        <v>22655</v>
      </c>
      <c r="E642" s="222" t="s">
        <v>22656</v>
      </c>
      <c r="F642" s="222" t="s">
        <v>54</v>
      </c>
      <c r="G642" s="222" t="s">
        <v>22657</v>
      </c>
      <c r="H642" s="279" t="s">
        <v>22658</v>
      </c>
      <c r="I642" s="279"/>
      <c r="J642" s="193" t="s">
        <v>22659</v>
      </c>
      <c r="K642" s="137" t="s">
        <v>22660</v>
      </c>
      <c r="L642" s="136" t="s">
        <v>22661</v>
      </c>
      <c r="M642" s="136" t="s">
        <v>22662</v>
      </c>
    </row>
    <row r="643" spans="1:13" ht="14.25" customHeight="1">
      <c r="A643" s="61">
        <v>33</v>
      </c>
      <c r="B643" s="61"/>
      <c r="C643" s="222" t="s">
        <v>22663</v>
      </c>
      <c r="D643" s="279" t="s">
        <v>22664</v>
      </c>
      <c r="E643" s="222" t="s">
        <v>22665</v>
      </c>
      <c r="F643" s="222" t="s">
        <v>65</v>
      </c>
      <c r="G643" s="222" t="s">
        <v>22666</v>
      </c>
      <c r="H643" s="279" t="s">
        <v>22667</v>
      </c>
      <c r="I643" s="279"/>
      <c r="J643" s="193" t="s">
        <v>22668</v>
      </c>
      <c r="K643" s="137" t="s">
        <v>22669</v>
      </c>
      <c r="L643" s="136" t="s">
        <v>22670</v>
      </c>
      <c r="M643" s="136" t="s">
        <v>22671</v>
      </c>
    </row>
    <row r="644" spans="1:13" ht="14.25" customHeight="1">
      <c r="A644" s="136">
        <v>34</v>
      </c>
      <c r="B644" s="136"/>
      <c r="C644" s="272" t="s">
        <v>22672</v>
      </c>
      <c r="D644" s="279" t="s">
        <v>22673</v>
      </c>
      <c r="E644" s="219" t="s">
        <v>22674</v>
      </c>
      <c r="F644" s="222" t="s">
        <v>117</v>
      </c>
      <c r="G644" s="31" t="s">
        <v>22675</v>
      </c>
      <c r="H644" s="279" t="s">
        <v>22676</v>
      </c>
      <c r="I644" s="279"/>
      <c r="J644" s="193" t="s">
        <v>22677</v>
      </c>
      <c r="K644" s="137" t="s">
        <v>22678</v>
      </c>
      <c r="L644" s="136" t="s">
        <v>22679</v>
      </c>
      <c r="M644" s="136" t="s">
        <v>22680</v>
      </c>
    </row>
    <row r="645" spans="1:13" ht="14.25" customHeight="1">
      <c r="A645" s="136">
        <v>35</v>
      </c>
      <c r="B645" s="136"/>
      <c r="C645" s="272" t="s">
        <v>22681</v>
      </c>
      <c r="D645" s="279" t="s">
        <v>22682</v>
      </c>
      <c r="E645" s="219" t="s">
        <v>22683</v>
      </c>
      <c r="F645" s="222" t="s">
        <v>117</v>
      </c>
      <c r="G645" s="31" t="s">
        <v>22684</v>
      </c>
      <c r="H645" s="279" t="s">
        <v>22685</v>
      </c>
      <c r="I645" s="279"/>
      <c r="J645" s="193" t="s">
        <v>22686</v>
      </c>
      <c r="K645" s="137" t="s">
        <v>22687</v>
      </c>
      <c r="L645" s="136" t="s">
        <v>22688</v>
      </c>
      <c r="M645" s="136" t="s">
        <v>22689</v>
      </c>
    </row>
    <row r="646" spans="1:13" ht="14.25" customHeight="1">
      <c r="A646" s="61">
        <v>36</v>
      </c>
      <c r="B646" s="61"/>
      <c r="C646" s="272" t="s">
        <v>22690</v>
      </c>
      <c r="D646" s="279" t="s">
        <v>22691</v>
      </c>
      <c r="E646" s="219" t="s">
        <v>22692</v>
      </c>
      <c r="F646" s="121" t="s">
        <v>65</v>
      </c>
      <c r="G646" s="31" t="s">
        <v>22693</v>
      </c>
      <c r="H646" s="279" t="s">
        <v>22694</v>
      </c>
      <c r="I646" s="279"/>
      <c r="J646" s="193" t="s">
        <v>22695</v>
      </c>
      <c r="K646" s="137" t="s">
        <v>22696</v>
      </c>
      <c r="L646" s="136" t="s">
        <v>22697</v>
      </c>
      <c r="M646" s="136" t="s">
        <v>22698</v>
      </c>
    </row>
    <row r="647" spans="1:13" ht="14.25" customHeight="1">
      <c r="A647" s="136">
        <v>37</v>
      </c>
      <c r="B647" s="136"/>
      <c r="C647" s="272" t="s">
        <v>22699</v>
      </c>
      <c r="D647" s="224" t="s">
        <v>22700</v>
      </c>
      <c r="E647" s="219" t="s">
        <v>22701</v>
      </c>
      <c r="F647" s="222" t="s">
        <v>54</v>
      </c>
      <c r="G647" s="31" t="s">
        <v>22702</v>
      </c>
      <c r="H647" s="224" t="s">
        <v>22703</v>
      </c>
      <c r="I647" s="224"/>
      <c r="J647" s="193" t="s">
        <v>22704</v>
      </c>
      <c r="K647" s="137" t="s">
        <v>22705</v>
      </c>
      <c r="L647" s="136" t="s">
        <v>22706</v>
      </c>
      <c r="M647" s="136" t="s">
        <v>22707</v>
      </c>
    </row>
    <row r="648" spans="1:13" ht="14.25" customHeight="1">
      <c r="A648" s="136">
        <v>38</v>
      </c>
      <c r="B648" s="136"/>
      <c r="C648" s="272" t="s">
        <v>22708</v>
      </c>
      <c r="D648" s="279" t="s">
        <v>22709</v>
      </c>
      <c r="E648" s="219" t="s">
        <v>22710</v>
      </c>
      <c r="F648" s="222" t="s">
        <v>117</v>
      </c>
      <c r="G648" s="31" t="s">
        <v>22711</v>
      </c>
      <c r="H648" s="279" t="s">
        <v>22712</v>
      </c>
      <c r="I648" s="279"/>
      <c r="J648" s="193" t="s">
        <v>22713</v>
      </c>
      <c r="K648" s="137" t="s">
        <v>22714</v>
      </c>
      <c r="L648" s="113" t="s">
        <v>22715</v>
      </c>
      <c r="M648" s="136" t="s">
        <v>22716</v>
      </c>
    </row>
    <row r="649" spans="1:13" ht="14.25" customHeight="1">
      <c r="A649" s="61">
        <v>39</v>
      </c>
      <c r="B649" s="61"/>
      <c r="C649" s="272" t="s">
        <v>22717</v>
      </c>
      <c r="D649" s="279" t="s">
        <v>22718</v>
      </c>
      <c r="E649" s="219" t="s">
        <v>22719</v>
      </c>
      <c r="F649" s="222" t="s">
        <v>117</v>
      </c>
      <c r="G649" s="31" t="s">
        <v>22720</v>
      </c>
      <c r="H649" s="279" t="s">
        <v>22721</v>
      </c>
      <c r="I649" s="279"/>
      <c r="J649" s="193" t="s">
        <v>22722</v>
      </c>
      <c r="K649" s="137" t="s">
        <v>22723</v>
      </c>
      <c r="L649" s="136" t="s">
        <v>22724</v>
      </c>
      <c r="M649" s="136" t="s">
        <v>22725</v>
      </c>
    </row>
    <row r="650" spans="1:13" ht="14.25" customHeight="1">
      <c r="A650" s="136">
        <v>40</v>
      </c>
      <c r="B650" s="136"/>
      <c r="C650" s="272" t="s">
        <v>22726</v>
      </c>
      <c r="D650" s="279" t="s">
        <v>22727</v>
      </c>
      <c r="E650" s="219" t="s">
        <v>22728</v>
      </c>
      <c r="F650" s="222" t="s">
        <v>117</v>
      </c>
      <c r="G650" s="31" t="s">
        <v>22729</v>
      </c>
      <c r="H650" s="279" t="s">
        <v>22730</v>
      </c>
      <c r="I650" s="279"/>
      <c r="J650" s="193" t="s">
        <v>22731</v>
      </c>
      <c r="K650" s="137" t="s">
        <v>22732</v>
      </c>
      <c r="L650" s="136" t="s">
        <v>22733</v>
      </c>
      <c r="M650" s="136" t="s">
        <v>22734</v>
      </c>
    </row>
    <row r="651" spans="1:13" ht="14.25" customHeight="1">
      <c r="A651" s="136">
        <v>41</v>
      </c>
      <c r="B651" s="136"/>
      <c r="C651" s="222" t="s">
        <v>19901</v>
      </c>
      <c r="D651" s="279" t="s">
        <v>19902</v>
      </c>
      <c r="E651" s="222" t="s">
        <v>19903</v>
      </c>
      <c r="F651" s="222" t="s">
        <v>117</v>
      </c>
      <c r="G651" s="222" t="s">
        <v>22735</v>
      </c>
      <c r="H651" s="279" t="s">
        <v>22736</v>
      </c>
      <c r="I651" s="279"/>
      <c r="J651" s="193" t="s">
        <v>22737</v>
      </c>
      <c r="K651" s="137" t="s">
        <v>22738</v>
      </c>
      <c r="L651" s="136" t="s">
        <v>22739</v>
      </c>
      <c r="M651" s="136" t="s">
        <v>22740</v>
      </c>
    </row>
    <row r="652" spans="1:13" ht="15.6">
      <c r="A652" s="275">
        <v>1</v>
      </c>
      <c r="B652" s="275"/>
      <c r="C652" s="211" t="s">
        <v>22741</v>
      </c>
      <c r="D652" s="214" t="s">
        <v>22742</v>
      </c>
      <c r="E652" s="211" t="s">
        <v>22743</v>
      </c>
      <c r="F652" s="211" t="s">
        <v>65</v>
      </c>
      <c r="G652" s="211" t="s">
        <v>22744</v>
      </c>
      <c r="H652" s="214" t="s">
        <v>22745</v>
      </c>
      <c r="I652" s="214"/>
      <c r="J652" s="212" t="s">
        <v>22746</v>
      </c>
      <c r="K652" s="215" t="s">
        <v>22747</v>
      </c>
      <c r="L652" s="210" t="s">
        <v>10909</v>
      </c>
      <c r="M652" s="247" t="s">
        <v>10910</v>
      </c>
    </row>
    <row r="653" spans="1:13" ht="14.25" customHeight="1">
      <c r="A653" s="136">
        <v>2</v>
      </c>
      <c r="B653" s="136"/>
      <c r="C653" s="222" t="s">
        <v>22748</v>
      </c>
      <c r="D653" s="227" t="s">
        <v>22749</v>
      </c>
      <c r="E653" s="222" t="s">
        <v>22750</v>
      </c>
      <c r="F653" s="222" t="s">
        <v>65</v>
      </c>
      <c r="G653" s="222" t="s">
        <v>22751</v>
      </c>
      <c r="H653" s="227" t="s">
        <v>22752</v>
      </c>
      <c r="I653" s="227"/>
      <c r="J653" s="193" t="s">
        <v>22753</v>
      </c>
      <c r="K653" s="137" t="s">
        <v>22754</v>
      </c>
      <c r="L653" s="136" t="s">
        <v>16356</v>
      </c>
      <c r="M653" s="136" t="s">
        <v>16357</v>
      </c>
    </row>
    <row r="654" spans="1:13" ht="14.25" customHeight="1">
      <c r="A654" s="113">
        <v>3</v>
      </c>
      <c r="B654" s="113"/>
      <c r="C654" s="222" t="s">
        <v>22755</v>
      </c>
      <c r="D654" s="227" t="s">
        <v>22756</v>
      </c>
      <c r="E654" s="222" t="s">
        <v>22757</v>
      </c>
      <c r="F654" s="222" t="s">
        <v>65</v>
      </c>
      <c r="G654" s="222" t="s">
        <v>22758</v>
      </c>
      <c r="H654" s="227" t="s">
        <v>22759</v>
      </c>
      <c r="I654" s="227"/>
      <c r="J654" s="28" t="s">
        <v>22760</v>
      </c>
      <c r="K654" s="137" t="s">
        <v>22761</v>
      </c>
      <c r="L654" s="136" t="s">
        <v>16365</v>
      </c>
      <c r="M654" s="136" t="s">
        <v>16366</v>
      </c>
    </row>
    <row r="655" spans="1:13" ht="14.25" customHeight="1">
      <c r="A655" s="136">
        <v>4</v>
      </c>
      <c r="B655" s="136"/>
      <c r="C655" s="222" t="s">
        <v>22762</v>
      </c>
      <c r="D655" s="227" t="s">
        <v>22763</v>
      </c>
      <c r="E655" s="219" t="s">
        <v>22764</v>
      </c>
      <c r="F655" s="222" t="s">
        <v>65</v>
      </c>
      <c r="G655" s="222" t="s">
        <v>22765</v>
      </c>
      <c r="H655" s="227" t="s">
        <v>22766</v>
      </c>
      <c r="I655" s="227"/>
      <c r="J655" s="28" t="s">
        <v>22767</v>
      </c>
      <c r="K655" s="137" t="s">
        <v>22768</v>
      </c>
      <c r="L655" s="136" t="s">
        <v>16374</v>
      </c>
      <c r="M655" s="136" t="s">
        <v>16375</v>
      </c>
    </row>
    <row r="656" spans="1:13" ht="14.25" customHeight="1">
      <c r="A656" s="113">
        <v>5</v>
      </c>
      <c r="B656" s="113"/>
      <c r="C656" s="222" t="s">
        <v>22769</v>
      </c>
      <c r="D656" s="227" t="s">
        <v>22770</v>
      </c>
      <c r="E656" s="222" t="s">
        <v>22771</v>
      </c>
      <c r="F656" s="222" t="s">
        <v>460</v>
      </c>
      <c r="G656" s="222" t="s">
        <v>22772</v>
      </c>
      <c r="H656" s="227" t="s">
        <v>22773</v>
      </c>
      <c r="I656" s="227"/>
      <c r="J656" s="28" t="s">
        <v>22774</v>
      </c>
      <c r="K656" s="137" t="s">
        <v>22775</v>
      </c>
      <c r="L656" s="136" t="s">
        <v>16383</v>
      </c>
      <c r="M656" s="136" t="s">
        <v>16384</v>
      </c>
    </row>
    <row r="657" spans="1:13" ht="14.25" customHeight="1">
      <c r="A657" s="136">
        <v>6</v>
      </c>
      <c r="B657" s="136"/>
      <c r="C657" s="222" t="s">
        <v>22776</v>
      </c>
      <c r="D657" s="227" t="s">
        <v>22777</v>
      </c>
      <c r="E657" s="222" t="s">
        <v>22778</v>
      </c>
      <c r="F657" s="222" t="s">
        <v>65</v>
      </c>
      <c r="G657" s="222" t="s">
        <v>22779</v>
      </c>
      <c r="H657" s="227" t="s">
        <v>22780</v>
      </c>
      <c r="I657" s="227"/>
      <c r="J657" s="28" t="s">
        <v>22781</v>
      </c>
      <c r="K657" s="137" t="s">
        <v>22782</v>
      </c>
      <c r="L657" s="136" t="s">
        <v>16392</v>
      </c>
      <c r="M657" s="136" t="s">
        <v>16393</v>
      </c>
    </row>
    <row r="658" spans="1:13" ht="14.25" customHeight="1">
      <c r="A658" s="113">
        <v>7</v>
      </c>
      <c r="B658" s="113"/>
      <c r="C658" s="222" t="s">
        <v>22783</v>
      </c>
      <c r="D658" s="227" t="s">
        <v>22784</v>
      </c>
      <c r="E658" s="222" t="s">
        <v>22785</v>
      </c>
      <c r="F658" s="222" t="s">
        <v>460</v>
      </c>
      <c r="G658" s="222" t="s">
        <v>22786</v>
      </c>
      <c r="H658" s="227" t="s">
        <v>22787</v>
      </c>
      <c r="I658" s="227"/>
      <c r="J658" s="28" t="s">
        <v>22788</v>
      </c>
      <c r="K658" s="137" t="s">
        <v>22789</v>
      </c>
      <c r="L658" s="136" t="s">
        <v>16401</v>
      </c>
      <c r="M658" s="136" t="s">
        <v>16402</v>
      </c>
    </row>
    <row r="659" spans="1:13" ht="14.25" customHeight="1">
      <c r="A659" s="136">
        <v>8</v>
      </c>
      <c r="B659" s="136"/>
      <c r="C659" s="272" t="s">
        <v>22790</v>
      </c>
      <c r="D659" s="227" t="s">
        <v>22791</v>
      </c>
      <c r="E659" s="219" t="s">
        <v>22792</v>
      </c>
      <c r="F659" s="222" t="s">
        <v>65</v>
      </c>
      <c r="G659" s="218" t="s">
        <v>22793</v>
      </c>
      <c r="H659" s="227" t="s">
        <v>22794</v>
      </c>
      <c r="I659" s="227"/>
      <c r="J659" s="28" t="s">
        <v>22795</v>
      </c>
      <c r="K659" s="137" t="s">
        <v>22796</v>
      </c>
      <c r="L659" s="136" t="s">
        <v>16410</v>
      </c>
      <c r="M659" s="136" t="s">
        <v>16411</v>
      </c>
    </row>
    <row r="660" spans="1:13" ht="14.25" customHeight="1">
      <c r="A660" s="113">
        <v>9</v>
      </c>
      <c r="B660" s="113"/>
      <c r="C660" s="272" t="s">
        <v>22797</v>
      </c>
      <c r="D660" s="227" t="s">
        <v>22798</v>
      </c>
      <c r="E660" s="31" t="s">
        <v>22799</v>
      </c>
      <c r="F660" s="222" t="s">
        <v>117</v>
      </c>
      <c r="G660" s="219" t="s">
        <v>22800</v>
      </c>
      <c r="H660" s="227" t="s">
        <v>22801</v>
      </c>
      <c r="I660" s="227"/>
      <c r="J660" s="28" t="s">
        <v>22802</v>
      </c>
      <c r="K660" s="137" t="s">
        <v>22803</v>
      </c>
      <c r="L660" s="136" t="s">
        <v>16419</v>
      </c>
      <c r="M660" s="136" t="s">
        <v>16420</v>
      </c>
    </row>
    <row r="661" spans="1:13" ht="14.25" customHeight="1">
      <c r="A661" s="136">
        <v>10</v>
      </c>
      <c r="B661" s="136"/>
      <c r="C661" s="272" t="s">
        <v>22804</v>
      </c>
      <c r="D661" s="227" t="s">
        <v>22805</v>
      </c>
      <c r="E661" s="219" t="s">
        <v>22806</v>
      </c>
      <c r="F661" s="222" t="s">
        <v>65</v>
      </c>
      <c r="G661" s="219" t="s">
        <v>22807</v>
      </c>
      <c r="H661" s="227" t="s">
        <v>22808</v>
      </c>
      <c r="I661" s="227"/>
      <c r="J661" s="28" t="s">
        <v>22809</v>
      </c>
      <c r="K661" s="137" t="s">
        <v>22810</v>
      </c>
      <c r="L661" s="136" t="s">
        <v>16428</v>
      </c>
      <c r="M661" s="136" t="s">
        <v>16429</v>
      </c>
    </row>
    <row r="662" spans="1:13" ht="14.25" customHeight="1">
      <c r="A662" s="113">
        <v>11</v>
      </c>
      <c r="B662" s="113"/>
      <c r="C662" s="271" t="s">
        <v>22811</v>
      </c>
      <c r="D662" s="227" t="s">
        <v>22812</v>
      </c>
      <c r="E662" s="219" t="s">
        <v>22813</v>
      </c>
      <c r="F662" s="281" t="s">
        <v>460</v>
      </c>
      <c r="G662" s="220" t="s">
        <v>22814</v>
      </c>
      <c r="H662" s="227" t="s">
        <v>22815</v>
      </c>
      <c r="I662" s="227"/>
      <c r="J662" s="28" t="s">
        <v>22816</v>
      </c>
      <c r="K662" s="137" t="s">
        <v>22817</v>
      </c>
      <c r="L662" s="136" t="s">
        <v>16437</v>
      </c>
      <c r="M662" s="136" t="s">
        <v>16438</v>
      </c>
    </row>
    <row r="663" spans="1:13" ht="14.25" customHeight="1">
      <c r="A663" s="113">
        <v>12</v>
      </c>
      <c r="B663" s="113"/>
      <c r="C663" s="216" t="s">
        <v>22818</v>
      </c>
      <c r="D663" s="224" t="s">
        <v>22819</v>
      </c>
      <c r="E663" s="216" t="s">
        <v>22820</v>
      </c>
      <c r="F663" s="216" t="s">
        <v>117</v>
      </c>
      <c r="G663" s="216" t="s">
        <v>22821</v>
      </c>
      <c r="H663" s="224" t="s">
        <v>22822</v>
      </c>
      <c r="I663" s="224"/>
      <c r="J663" s="28" t="s">
        <v>22823</v>
      </c>
      <c r="K663" s="137" t="s">
        <v>22824</v>
      </c>
      <c r="L663" s="136" t="s">
        <v>16446</v>
      </c>
      <c r="M663" s="136" t="s">
        <v>16447</v>
      </c>
    </row>
    <row r="664" spans="1:13" ht="14.25" customHeight="1">
      <c r="A664" s="113">
        <v>13</v>
      </c>
      <c r="B664" s="113"/>
      <c r="C664" s="222" t="s">
        <v>22825</v>
      </c>
      <c r="D664" s="227" t="s">
        <v>22826</v>
      </c>
      <c r="E664" s="222" t="s">
        <v>22827</v>
      </c>
      <c r="F664" s="222" t="s">
        <v>117</v>
      </c>
      <c r="G664" s="222" t="s">
        <v>22828</v>
      </c>
      <c r="H664" s="227" t="s">
        <v>22829</v>
      </c>
      <c r="I664" s="227"/>
      <c r="J664" s="28" t="s">
        <v>22830</v>
      </c>
      <c r="K664" s="137" t="s">
        <v>22831</v>
      </c>
      <c r="L664" s="136" t="s">
        <v>16455</v>
      </c>
      <c r="M664" s="136" t="s">
        <v>16456</v>
      </c>
    </row>
    <row r="665" spans="1:13" ht="14.25" customHeight="1">
      <c r="A665" s="136">
        <v>14</v>
      </c>
      <c r="B665" s="136"/>
      <c r="C665" s="222" t="s">
        <v>22832</v>
      </c>
      <c r="D665" s="227" t="s">
        <v>22833</v>
      </c>
      <c r="E665" s="222" t="s">
        <v>22834</v>
      </c>
      <c r="F665" s="222" t="s">
        <v>17870</v>
      </c>
      <c r="G665" s="222" t="s">
        <v>22835</v>
      </c>
      <c r="H665" s="227" t="s">
        <v>22836</v>
      </c>
      <c r="I665" s="227"/>
      <c r="J665" s="28" t="s">
        <v>22837</v>
      </c>
      <c r="K665" s="137" t="s">
        <v>22838</v>
      </c>
      <c r="L665" s="136" t="s">
        <v>16464</v>
      </c>
      <c r="M665" s="136" t="s">
        <v>16465</v>
      </c>
    </row>
    <row r="666" spans="1:13" ht="14.25" customHeight="1">
      <c r="A666" s="113">
        <v>15</v>
      </c>
      <c r="B666" s="113"/>
      <c r="C666" s="222" t="s">
        <v>22839</v>
      </c>
      <c r="D666" s="224" t="s">
        <v>22840</v>
      </c>
      <c r="E666" s="222" t="s">
        <v>22841</v>
      </c>
      <c r="F666" s="222" t="s">
        <v>54</v>
      </c>
      <c r="G666" s="222" t="s">
        <v>22842</v>
      </c>
      <c r="H666" s="224" t="s">
        <v>22843</v>
      </c>
      <c r="I666" s="224"/>
      <c r="J666" s="126" t="s">
        <v>22844</v>
      </c>
      <c r="K666" s="137" t="s">
        <v>22845</v>
      </c>
      <c r="L666" s="136" t="s">
        <v>16473</v>
      </c>
      <c r="M666" s="136" t="s">
        <v>16474</v>
      </c>
    </row>
    <row r="667" spans="1:13" ht="14.25" customHeight="1">
      <c r="A667" s="136">
        <v>16</v>
      </c>
      <c r="B667" s="136"/>
      <c r="C667" s="222" t="s">
        <v>22846</v>
      </c>
      <c r="D667" s="227" t="s">
        <v>22847</v>
      </c>
      <c r="E667" s="222" t="s">
        <v>22848</v>
      </c>
      <c r="F667" s="222" t="s">
        <v>22524</v>
      </c>
      <c r="G667" s="222" t="s">
        <v>22849</v>
      </c>
      <c r="H667" s="227" t="s">
        <v>22850</v>
      </c>
      <c r="I667" s="227"/>
      <c r="J667" s="118" t="s">
        <v>22851</v>
      </c>
      <c r="K667" s="137" t="s">
        <v>22852</v>
      </c>
      <c r="L667" s="136" t="s">
        <v>16482</v>
      </c>
      <c r="M667" s="136" t="s">
        <v>16483</v>
      </c>
    </row>
    <row r="668" spans="1:13" ht="14.25" customHeight="1">
      <c r="A668" s="113">
        <v>17</v>
      </c>
      <c r="B668" s="113"/>
      <c r="C668" s="222" t="s">
        <v>22853</v>
      </c>
      <c r="D668" s="227" t="s">
        <v>22854</v>
      </c>
      <c r="E668" s="222" t="s">
        <v>22855</v>
      </c>
      <c r="F668" s="222" t="s">
        <v>54</v>
      </c>
      <c r="G668" s="222" t="s">
        <v>22856</v>
      </c>
      <c r="H668" s="227" t="s">
        <v>22857</v>
      </c>
      <c r="I668" s="227"/>
      <c r="J668" s="28" t="s">
        <v>22858</v>
      </c>
      <c r="K668" s="137" t="s">
        <v>22859</v>
      </c>
      <c r="L668" s="136" t="s">
        <v>16491</v>
      </c>
      <c r="M668" s="136" t="s">
        <v>16492</v>
      </c>
    </row>
    <row r="669" spans="1:13" ht="14.25" customHeight="1">
      <c r="A669" s="113">
        <v>18</v>
      </c>
      <c r="B669" s="113"/>
      <c r="C669" s="216" t="s">
        <v>22860</v>
      </c>
      <c r="D669" s="137" t="s">
        <v>22861</v>
      </c>
      <c r="E669" s="216" t="s">
        <v>22862</v>
      </c>
      <c r="F669" s="216" t="s">
        <v>460</v>
      </c>
      <c r="G669" s="216" t="s">
        <v>22863</v>
      </c>
      <c r="H669" s="137" t="s">
        <v>22864</v>
      </c>
      <c r="I669" s="137"/>
      <c r="J669" s="28" t="s">
        <v>22865</v>
      </c>
      <c r="K669" s="137" t="s">
        <v>22866</v>
      </c>
      <c r="L669" s="136" t="s">
        <v>16500</v>
      </c>
      <c r="M669" s="136" t="s">
        <v>16501</v>
      </c>
    </row>
    <row r="670" spans="1:13" ht="14.25" customHeight="1">
      <c r="A670" s="113">
        <v>19</v>
      </c>
      <c r="B670" s="113"/>
      <c r="C670" s="222" t="s">
        <v>22867</v>
      </c>
      <c r="D670" s="227" t="s">
        <v>22868</v>
      </c>
      <c r="E670" s="222" t="s">
        <v>22869</v>
      </c>
      <c r="F670" s="222" t="s">
        <v>54</v>
      </c>
      <c r="G670" s="222" t="s">
        <v>22870</v>
      </c>
      <c r="H670" s="227" t="s">
        <v>22871</v>
      </c>
      <c r="I670" s="227"/>
      <c r="J670" s="130" t="s">
        <v>22872</v>
      </c>
      <c r="K670" s="137" t="s">
        <v>22873</v>
      </c>
      <c r="L670" s="136" t="s">
        <v>16508</v>
      </c>
      <c r="M670" s="136" t="s">
        <v>16509</v>
      </c>
    </row>
    <row r="671" spans="1:13" ht="14.25" customHeight="1">
      <c r="A671" s="113">
        <v>20</v>
      </c>
      <c r="B671" s="113"/>
      <c r="C671" s="222" t="s">
        <v>22874</v>
      </c>
      <c r="D671" s="118" t="s">
        <v>22875</v>
      </c>
      <c r="E671" s="222" t="s">
        <v>22876</v>
      </c>
      <c r="F671" s="222" t="s">
        <v>219</v>
      </c>
      <c r="G671" s="222" t="s">
        <v>22877</v>
      </c>
      <c r="H671" s="118" t="s">
        <v>22878</v>
      </c>
      <c r="I671" s="118"/>
      <c r="J671" s="130" t="s">
        <v>22879</v>
      </c>
      <c r="K671" s="137" t="s">
        <v>22880</v>
      </c>
      <c r="L671" s="136" t="s">
        <v>16517</v>
      </c>
      <c r="M671" s="136" t="s">
        <v>16518</v>
      </c>
    </row>
    <row r="672" spans="1:13" ht="14.25" customHeight="1">
      <c r="A672" s="136">
        <v>21</v>
      </c>
      <c r="B672" s="136"/>
      <c r="C672" s="222" t="s">
        <v>22881</v>
      </c>
      <c r="D672" s="227" t="s">
        <v>22882</v>
      </c>
      <c r="E672" s="222" t="s">
        <v>22883</v>
      </c>
      <c r="F672" s="222" t="s">
        <v>54</v>
      </c>
      <c r="G672" s="222" t="s">
        <v>22884</v>
      </c>
      <c r="H672" s="227" t="s">
        <v>22885</v>
      </c>
      <c r="I672" s="227"/>
      <c r="J672" s="28" t="s">
        <v>22886</v>
      </c>
      <c r="K672" s="137" t="s">
        <v>22887</v>
      </c>
      <c r="L672" s="136" t="s">
        <v>16525</v>
      </c>
      <c r="M672" s="136" t="s">
        <v>16526</v>
      </c>
    </row>
    <row r="673" spans="1:13" ht="14.25" customHeight="1">
      <c r="A673" s="113">
        <v>22</v>
      </c>
      <c r="B673" s="113"/>
      <c r="C673" s="271" t="s">
        <v>22888</v>
      </c>
      <c r="D673" s="227" t="s">
        <v>22889</v>
      </c>
      <c r="E673" s="31" t="s">
        <v>22890</v>
      </c>
      <c r="F673" s="222" t="s">
        <v>54</v>
      </c>
      <c r="G673" s="218" t="s">
        <v>22891</v>
      </c>
      <c r="H673" s="227" t="s">
        <v>22892</v>
      </c>
      <c r="I673" s="227"/>
      <c r="J673" s="28" t="s">
        <v>22893</v>
      </c>
      <c r="K673" s="137" t="s">
        <v>22894</v>
      </c>
      <c r="L673" s="136" t="s">
        <v>10753</v>
      </c>
      <c r="M673" s="136" t="s">
        <v>10754</v>
      </c>
    </row>
    <row r="674" spans="1:13" ht="14.25" customHeight="1">
      <c r="A674" s="113">
        <v>23</v>
      </c>
      <c r="B674" s="113"/>
      <c r="C674" s="222" t="s">
        <v>22895</v>
      </c>
      <c r="D674" s="279" t="s">
        <v>22896</v>
      </c>
      <c r="E674" s="222" t="s">
        <v>22897</v>
      </c>
      <c r="F674" s="222" t="s">
        <v>117</v>
      </c>
      <c r="G674" s="222" t="s">
        <v>14379</v>
      </c>
      <c r="H674" s="279" t="s">
        <v>22898</v>
      </c>
      <c r="I674" s="279"/>
      <c r="J674" s="28" t="s">
        <v>22899</v>
      </c>
      <c r="K674" s="137" t="s">
        <v>22900</v>
      </c>
      <c r="L674" s="136" t="s">
        <v>16535</v>
      </c>
      <c r="M674" s="136" t="s">
        <v>16536</v>
      </c>
    </row>
    <row r="675" spans="1:13" ht="14.25" customHeight="1">
      <c r="A675" s="136">
        <v>24</v>
      </c>
      <c r="B675" s="136"/>
      <c r="C675" s="222" t="s">
        <v>22901</v>
      </c>
      <c r="D675" s="221" t="s">
        <v>22902</v>
      </c>
      <c r="E675" s="222" t="s">
        <v>22903</v>
      </c>
      <c r="F675" s="222" t="s">
        <v>117</v>
      </c>
      <c r="G675" s="222" t="s">
        <v>22904</v>
      </c>
      <c r="H675" s="221" t="s">
        <v>22905</v>
      </c>
      <c r="I675" s="221"/>
      <c r="J675" s="28" t="s">
        <v>22906</v>
      </c>
      <c r="K675" s="137" t="s">
        <v>22907</v>
      </c>
      <c r="L675" s="136" t="s">
        <v>16542</v>
      </c>
      <c r="M675" s="136" t="s">
        <v>16543</v>
      </c>
    </row>
    <row r="676" spans="1:13" ht="14.25" customHeight="1">
      <c r="A676" s="113">
        <v>25</v>
      </c>
      <c r="B676" s="113"/>
      <c r="C676" s="222" t="s">
        <v>22908</v>
      </c>
      <c r="D676" s="118" t="s">
        <v>22909</v>
      </c>
      <c r="E676" s="219" t="s">
        <v>22910</v>
      </c>
      <c r="F676" s="222" t="s">
        <v>5711</v>
      </c>
      <c r="G676" s="222" t="s">
        <v>22911</v>
      </c>
      <c r="H676" s="118" t="s">
        <v>22912</v>
      </c>
      <c r="I676" s="118"/>
      <c r="J676" s="28" t="s">
        <v>22913</v>
      </c>
      <c r="K676" s="137" t="s">
        <v>22914</v>
      </c>
      <c r="L676" s="136" t="s">
        <v>16551</v>
      </c>
      <c r="M676" s="136" t="s">
        <v>16552</v>
      </c>
    </row>
    <row r="677" spans="1:13" ht="14.25" customHeight="1">
      <c r="A677" s="113">
        <v>26</v>
      </c>
      <c r="B677" s="113"/>
      <c r="C677" s="222" t="s">
        <v>22915</v>
      </c>
      <c r="D677" s="221" t="s">
        <v>22916</v>
      </c>
      <c r="E677" s="219" t="s">
        <v>22917</v>
      </c>
      <c r="F677" s="222" t="s">
        <v>65</v>
      </c>
      <c r="G677" s="222" t="s">
        <v>22918</v>
      </c>
      <c r="H677" s="221" t="s">
        <v>22919</v>
      </c>
      <c r="I677" s="221"/>
      <c r="J677" s="28" t="s">
        <v>22920</v>
      </c>
      <c r="K677" s="137" t="s">
        <v>22921</v>
      </c>
      <c r="L677" s="136" t="s">
        <v>16560</v>
      </c>
      <c r="M677" s="136" t="s">
        <v>16561</v>
      </c>
    </row>
    <row r="678" spans="1:13" ht="14.25" customHeight="1">
      <c r="A678" s="136">
        <v>27</v>
      </c>
      <c r="B678" s="136"/>
      <c r="C678" s="222" t="s">
        <v>22922</v>
      </c>
      <c r="D678" s="118" t="s">
        <v>22923</v>
      </c>
      <c r="E678" s="222" t="s">
        <v>22924</v>
      </c>
      <c r="F678" s="222" t="s">
        <v>22925</v>
      </c>
      <c r="G678" s="222" t="s">
        <v>22926</v>
      </c>
      <c r="H678" s="118" t="s">
        <v>22927</v>
      </c>
      <c r="I678" s="118"/>
      <c r="J678" s="118" t="s">
        <v>22928</v>
      </c>
      <c r="K678" s="137" t="s">
        <v>22929</v>
      </c>
      <c r="L678" s="136" t="s">
        <v>16569</v>
      </c>
      <c r="M678" s="136" t="s">
        <v>16570</v>
      </c>
    </row>
    <row r="679" spans="1:13" ht="14.25" customHeight="1">
      <c r="A679" s="113">
        <v>28</v>
      </c>
      <c r="B679" s="113"/>
      <c r="C679" s="222" t="s">
        <v>22930</v>
      </c>
      <c r="D679" s="221" t="s">
        <v>22931</v>
      </c>
      <c r="E679" s="222" t="s">
        <v>22932</v>
      </c>
      <c r="F679" s="222" t="s">
        <v>117</v>
      </c>
      <c r="G679" s="222" t="s">
        <v>22933</v>
      </c>
      <c r="H679" s="221" t="s">
        <v>22934</v>
      </c>
      <c r="I679" s="221"/>
      <c r="J679" s="28" t="s">
        <v>22935</v>
      </c>
      <c r="K679" s="137" t="s">
        <v>22936</v>
      </c>
      <c r="L679" s="136" t="s">
        <v>16578</v>
      </c>
      <c r="M679" s="136" t="s">
        <v>16579</v>
      </c>
    </row>
    <row r="680" spans="1:13" ht="14.25" customHeight="1">
      <c r="A680" s="113">
        <v>29</v>
      </c>
      <c r="B680" s="113"/>
      <c r="C680" s="222" t="s">
        <v>15634</v>
      </c>
      <c r="D680" s="221" t="s">
        <v>15635</v>
      </c>
      <c r="E680" s="222" t="s">
        <v>15636</v>
      </c>
      <c r="F680" s="222" t="s">
        <v>19102</v>
      </c>
      <c r="G680" s="222" t="s">
        <v>22937</v>
      </c>
      <c r="H680" s="221" t="s">
        <v>22938</v>
      </c>
      <c r="I680" s="221"/>
      <c r="J680" s="28" t="s">
        <v>22939</v>
      </c>
      <c r="K680" s="137" t="s">
        <v>22940</v>
      </c>
      <c r="L680" s="136" t="s">
        <v>16587</v>
      </c>
      <c r="M680" s="136" t="s">
        <v>16588</v>
      </c>
    </row>
    <row r="681" spans="1:13" ht="14.25" customHeight="1">
      <c r="A681" s="136">
        <v>30</v>
      </c>
      <c r="B681" s="136"/>
      <c r="C681" s="222" t="s">
        <v>22941</v>
      </c>
      <c r="D681" s="118" t="s">
        <v>22942</v>
      </c>
      <c r="E681" s="222" t="s">
        <v>22943</v>
      </c>
      <c r="F681" s="222" t="s">
        <v>117</v>
      </c>
      <c r="G681" s="222" t="s">
        <v>22944</v>
      </c>
      <c r="H681" s="118" t="s">
        <v>22945</v>
      </c>
      <c r="I681" s="118"/>
      <c r="J681" s="118" t="s">
        <v>22946</v>
      </c>
      <c r="K681" s="137" t="s">
        <v>22947</v>
      </c>
      <c r="L681" s="136" t="s">
        <v>22948</v>
      </c>
      <c r="M681" s="136" t="s">
        <v>22949</v>
      </c>
    </row>
    <row r="682" spans="1:13" ht="14.25" customHeight="1">
      <c r="A682" s="113">
        <v>31</v>
      </c>
      <c r="B682" s="113"/>
      <c r="C682" s="222" t="s">
        <v>22950</v>
      </c>
      <c r="D682" s="118" t="s">
        <v>22951</v>
      </c>
      <c r="E682" s="222" t="s">
        <v>22952</v>
      </c>
      <c r="F682" s="222" t="s">
        <v>117</v>
      </c>
      <c r="G682" s="222" t="s">
        <v>22953</v>
      </c>
      <c r="H682" s="118" t="s">
        <v>22954</v>
      </c>
      <c r="I682" s="118"/>
      <c r="J682" s="118" t="s">
        <v>22955</v>
      </c>
      <c r="K682" s="137" t="s">
        <v>22956</v>
      </c>
      <c r="L682" s="136" t="s">
        <v>22957</v>
      </c>
      <c r="M682" s="136" t="s">
        <v>22958</v>
      </c>
    </row>
    <row r="683" spans="1:13" ht="14.25" customHeight="1">
      <c r="A683" s="113">
        <v>32</v>
      </c>
      <c r="B683" s="113"/>
      <c r="C683" s="272" t="s">
        <v>22959</v>
      </c>
      <c r="D683" s="118" t="s">
        <v>22960</v>
      </c>
      <c r="E683" s="219" t="s">
        <v>22961</v>
      </c>
      <c r="F683" s="222" t="s">
        <v>65</v>
      </c>
      <c r="G683" s="218" t="s">
        <v>22962</v>
      </c>
      <c r="H683" s="118" t="s">
        <v>22963</v>
      </c>
      <c r="I683" s="118"/>
      <c r="J683" s="118" t="s">
        <v>22964</v>
      </c>
      <c r="K683" s="137" t="s">
        <v>22965</v>
      </c>
      <c r="L683" s="136" t="s">
        <v>22966</v>
      </c>
      <c r="M683" s="136" t="s">
        <v>22967</v>
      </c>
    </row>
    <row r="684" spans="1:13" ht="14.25" customHeight="1">
      <c r="A684" s="113">
        <v>33</v>
      </c>
      <c r="B684" s="113"/>
      <c r="C684" s="272" t="s">
        <v>22968</v>
      </c>
      <c r="D684" s="221" t="s">
        <v>22969</v>
      </c>
      <c r="E684" s="31" t="s">
        <v>22970</v>
      </c>
      <c r="F684" s="130"/>
      <c r="G684" s="218" t="s">
        <v>22971</v>
      </c>
      <c r="H684" s="221" t="s">
        <v>22972</v>
      </c>
      <c r="I684" s="221"/>
      <c r="J684" s="118" t="s">
        <v>22973</v>
      </c>
      <c r="K684" s="137" t="s">
        <v>22974</v>
      </c>
      <c r="L684" s="136" t="s">
        <v>22975</v>
      </c>
      <c r="M684" s="136" t="s">
        <v>22976</v>
      </c>
    </row>
    <row r="685" spans="1:13" ht="14.25" customHeight="1">
      <c r="A685" s="210">
        <v>1</v>
      </c>
      <c r="B685" s="210"/>
      <c r="C685" s="211" t="s">
        <v>22977</v>
      </c>
      <c r="D685" s="239" t="s">
        <v>22978</v>
      </c>
      <c r="E685" s="211" t="s">
        <v>218</v>
      </c>
      <c r="F685" s="211" t="s">
        <v>65</v>
      </c>
      <c r="G685" s="211" t="s">
        <v>22979</v>
      </c>
      <c r="H685" s="239" t="s">
        <v>22980</v>
      </c>
      <c r="I685" s="239"/>
      <c r="J685" s="263" t="s">
        <v>22981</v>
      </c>
      <c r="K685" s="215" t="s">
        <v>22982</v>
      </c>
      <c r="L685" s="210" t="s">
        <v>16596</v>
      </c>
      <c r="M685" s="247" t="s">
        <v>16597</v>
      </c>
    </row>
    <row r="686" spans="1:13" ht="14.25" customHeight="1">
      <c r="A686" s="113">
        <v>2</v>
      </c>
      <c r="B686" s="113"/>
      <c r="C686" s="222" t="s">
        <v>22983</v>
      </c>
      <c r="D686" s="221" t="s">
        <v>22984</v>
      </c>
      <c r="E686" s="222" t="s">
        <v>22985</v>
      </c>
      <c r="F686" s="222" t="s">
        <v>21731</v>
      </c>
      <c r="G686" s="222" t="s">
        <v>22986</v>
      </c>
      <c r="H686" s="221" t="s">
        <v>22987</v>
      </c>
      <c r="I686" s="221"/>
      <c r="J686" s="28" t="s">
        <v>22988</v>
      </c>
      <c r="K686" s="137" t="s">
        <v>22989</v>
      </c>
      <c r="L686" s="136" t="s">
        <v>16605</v>
      </c>
      <c r="M686" s="136" t="s">
        <v>16606</v>
      </c>
    </row>
    <row r="687" spans="1:13" ht="14.25" customHeight="1">
      <c r="A687" s="113">
        <v>3</v>
      </c>
      <c r="B687" s="113"/>
      <c r="C687" s="222" t="s">
        <v>22990</v>
      </c>
      <c r="D687" s="221" t="s">
        <v>22991</v>
      </c>
      <c r="E687" s="222" t="s">
        <v>18966</v>
      </c>
      <c r="F687" s="222" t="s">
        <v>5791</v>
      </c>
      <c r="G687" s="222" t="s">
        <v>22992</v>
      </c>
      <c r="H687" s="221" t="s">
        <v>22993</v>
      </c>
      <c r="I687" s="221"/>
      <c r="J687" s="28" t="s">
        <v>22994</v>
      </c>
      <c r="K687" s="137" t="s">
        <v>22995</v>
      </c>
      <c r="L687" s="136" t="s">
        <v>16614</v>
      </c>
      <c r="M687" s="136" t="s">
        <v>16615</v>
      </c>
    </row>
    <row r="688" spans="1:13" ht="14.25" customHeight="1">
      <c r="A688" s="113">
        <v>4</v>
      </c>
      <c r="B688" s="113"/>
      <c r="C688" s="222" t="s">
        <v>22996</v>
      </c>
      <c r="D688" s="221" t="s">
        <v>22997</v>
      </c>
      <c r="E688" s="222" t="s">
        <v>22998</v>
      </c>
      <c r="F688" s="222" t="s">
        <v>54</v>
      </c>
      <c r="G688" s="222" t="s">
        <v>22999</v>
      </c>
      <c r="H688" s="221" t="s">
        <v>23000</v>
      </c>
      <c r="I688" s="221"/>
      <c r="J688" s="28" t="s">
        <v>23001</v>
      </c>
      <c r="K688" s="137" t="s">
        <v>23002</v>
      </c>
      <c r="L688" s="136" t="s">
        <v>16623</v>
      </c>
      <c r="M688" s="136" t="s">
        <v>16624</v>
      </c>
    </row>
    <row r="689" spans="1:13" ht="14.25" customHeight="1">
      <c r="A689" s="113">
        <v>5</v>
      </c>
      <c r="B689" s="113"/>
      <c r="C689" s="222" t="s">
        <v>23003</v>
      </c>
      <c r="D689" s="118" t="s">
        <v>23004</v>
      </c>
      <c r="E689" s="222" t="s">
        <v>23005</v>
      </c>
      <c r="F689" s="222" t="s">
        <v>117</v>
      </c>
      <c r="G689" s="222" t="s">
        <v>23006</v>
      </c>
      <c r="H689" s="118" t="s">
        <v>23007</v>
      </c>
      <c r="I689" s="118"/>
      <c r="J689" s="118" t="s">
        <v>23008</v>
      </c>
      <c r="K689" s="137" t="s">
        <v>23009</v>
      </c>
      <c r="L689" s="136" t="s">
        <v>16632</v>
      </c>
      <c r="M689" s="136" t="s">
        <v>16633</v>
      </c>
    </row>
    <row r="690" spans="1:13" ht="14.25" customHeight="1">
      <c r="A690" s="113">
        <v>6</v>
      </c>
      <c r="B690" s="113"/>
      <c r="C690" s="222" t="s">
        <v>23010</v>
      </c>
      <c r="D690" s="221" t="s">
        <v>23011</v>
      </c>
      <c r="E690" s="222" t="s">
        <v>23012</v>
      </c>
      <c r="F690" s="222" t="s">
        <v>6828</v>
      </c>
      <c r="G690" s="222" t="s">
        <v>23013</v>
      </c>
      <c r="H690" s="221" t="s">
        <v>23014</v>
      </c>
      <c r="I690" s="221"/>
      <c r="J690" s="28" t="s">
        <v>23015</v>
      </c>
      <c r="K690" s="137" t="s">
        <v>23016</v>
      </c>
      <c r="L690" s="136" t="s">
        <v>16640</v>
      </c>
      <c r="M690" s="136" t="s">
        <v>16641</v>
      </c>
    </row>
    <row r="691" spans="1:13" ht="14.25" customHeight="1">
      <c r="A691" s="113">
        <v>7</v>
      </c>
      <c r="B691" s="113"/>
      <c r="C691" s="222" t="s">
        <v>23017</v>
      </c>
      <c r="D691" s="118" t="s">
        <v>23018</v>
      </c>
      <c r="E691" s="222" t="s">
        <v>23019</v>
      </c>
      <c r="F691" s="222" t="s">
        <v>5711</v>
      </c>
      <c r="G691" s="222" t="s">
        <v>23020</v>
      </c>
      <c r="H691" s="118" t="s">
        <v>23021</v>
      </c>
      <c r="I691" s="118"/>
      <c r="J691" s="28" t="s">
        <v>23022</v>
      </c>
      <c r="K691" s="137" t="s">
        <v>23023</v>
      </c>
      <c r="L691" s="136" t="s">
        <v>16649</v>
      </c>
      <c r="M691" s="136" t="s">
        <v>16650</v>
      </c>
    </row>
    <row r="692" spans="1:13" ht="14.25" customHeight="1">
      <c r="A692" s="113">
        <v>8</v>
      </c>
      <c r="B692" s="113"/>
      <c r="C692" s="222" t="s">
        <v>23024</v>
      </c>
      <c r="D692" s="118" t="s">
        <v>23025</v>
      </c>
      <c r="E692" s="222" t="s">
        <v>23026</v>
      </c>
      <c r="F692" s="222" t="s">
        <v>117</v>
      </c>
      <c r="G692" s="222" t="s">
        <v>23027</v>
      </c>
      <c r="H692" s="118" t="s">
        <v>23028</v>
      </c>
      <c r="I692" s="118"/>
      <c r="J692" s="118" t="s">
        <v>23029</v>
      </c>
      <c r="K692" s="137" t="s">
        <v>23030</v>
      </c>
      <c r="L692" s="136" t="s">
        <v>16658</v>
      </c>
      <c r="M692" s="136" t="s">
        <v>16659</v>
      </c>
    </row>
    <row r="693" spans="1:13" ht="14.25" customHeight="1">
      <c r="A693" s="113">
        <v>9</v>
      </c>
      <c r="B693" s="113"/>
      <c r="C693" s="222" t="s">
        <v>23031</v>
      </c>
      <c r="D693" s="221" t="s">
        <v>23032</v>
      </c>
      <c r="E693" s="222" t="s">
        <v>23033</v>
      </c>
      <c r="F693" s="222" t="s">
        <v>460</v>
      </c>
      <c r="G693" s="222" t="s">
        <v>23034</v>
      </c>
      <c r="H693" s="221" t="s">
        <v>23035</v>
      </c>
      <c r="I693" s="221"/>
      <c r="J693" s="28" t="s">
        <v>23036</v>
      </c>
      <c r="K693" s="137" t="s">
        <v>23037</v>
      </c>
      <c r="L693" s="136" t="s">
        <v>16667</v>
      </c>
      <c r="M693" s="136" t="s">
        <v>16668</v>
      </c>
    </row>
    <row r="694" spans="1:13" ht="14.25" customHeight="1">
      <c r="A694" s="113">
        <v>10</v>
      </c>
      <c r="B694" s="113"/>
      <c r="C694" s="222" t="s">
        <v>23038</v>
      </c>
      <c r="D694" s="221" t="s">
        <v>23039</v>
      </c>
      <c r="E694" s="222" t="s">
        <v>23040</v>
      </c>
      <c r="F694" s="222" t="s">
        <v>117</v>
      </c>
      <c r="G694" s="222" t="s">
        <v>23041</v>
      </c>
      <c r="H694" s="221" t="s">
        <v>23042</v>
      </c>
      <c r="I694" s="221"/>
      <c r="J694" s="28" t="s">
        <v>23043</v>
      </c>
      <c r="K694" s="137" t="s">
        <v>23044</v>
      </c>
      <c r="L694" s="136" t="s">
        <v>16676</v>
      </c>
      <c r="M694" s="136" t="s">
        <v>16677</v>
      </c>
    </row>
    <row r="695" spans="1:13" ht="14.25" customHeight="1">
      <c r="A695" s="113">
        <v>11</v>
      </c>
      <c r="B695" s="113"/>
      <c r="C695" s="222" t="s">
        <v>23045</v>
      </c>
      <c r="D695" s="221" t="s">
        <v>23046</v>
      </c>
      <c r="E695" s="222" t="s">
        <v>23047</v>
      </c>
      <c r="F695" s="222" t="s">
        <v>65</v>
      </c>
      <c r="G695" s="222" t="s">
        <v>23048</v>
      </c>
      <c r="H695" s="221" t="s">
        <v>23049</v>
      </c>
      <c r="I695" s="221"/>
      <c r="J695" s="28" t="s">
        <v>23050</v>
      </c>
      <c r="K695" s="137" t="s">
        <v>23051</v>
      </c>
      <c r="L695" s="136" t="s">
        <v>16685</v>
      </c>
      <c r="M695" s="136" t="s">
        <v>16686</v>
      </c>
    </row>
    <row r="696" spans="1:13" ht="14.25" customHeight="1">
      <c r="A696" s="113">
        <v>12</v>
      </c>
      <c r="B696" s="113"/>
      <c r="C696" s="121" t="s">
        <v>23052</v>
      </c>
      <c r="D696" s="221" t="s">
        <v>23053</v>
      </c>
      <c r="E696" s="219" t="s">
        <v>23054</v>
      </c>
      <c r="F696" s="222" t="s">
        <v>117</v>
      </c>
      <c r="G696" s="272" t="s">
        <v>23055</v>
      </c>
      <c r="H696" s="221" t="s">
        <v>23056</v>
      </c>
      <c r="I696" s="221"/>
      <c r="J696" s="28" t="s">
        <v>23057</v>
      </c>
      <c r="K696" s="137" t="s">
        <v>23058</v>
      </c>
      <c r="L696" s="136" t="s">
        <v>16694</v>
      </c>
      <c r="M696" s="136" t="s">
        <v>16695</v>
      </c>
    </row>
    <row r="697" spans="1:13" ht="14.25" customHeight="1">
      <c r="A697" s="113">
        <v>13</v>
      </c>
      <c r="B697" s="113"/>
      <c r="C697" s="282" t="s">
        <v>23059</v>
      </c>
      <c r="D697" s="221" t="s">
        <v>23060</v>
      </c>
      <c r="E697" s="218" t="s">
        <v>23061</v>
      </c>
      <c r="F697" s="222" t="s">
        <v>65</v>
      </c>
      <c r="G697" s="272" t="s">
        <v>23062</v>
      </c>
      <c r="H697" s="221" t="s">
        <v>23063</v>
      </c>
      <c r="I697" s="221"/>
      <c r="J697" s="28" t="s">
        <v>23064</v>
      </c>
      <c r="K697" s="137" t="s">
        <v>23065</v>
      </c>
      <c r="L697" s="136" t="s">
        <v>16703</v>
      </c>
      <c r="M697" s="136" t="s">
        <v>16704</v>
      </c>
    </row>
    <row r="698" spans="1:13" ht="14.25" customHeight="1">
      <c r="A698" s="113">
        <v>14</v>
      </c>
      <c r="B698" s="113"/>
      <c r="C698" s="222" t="s">
        <v>23066</v>
      </c>
      <c r="D698" s="118" t="s">
        <v>23067</v>
      </c>
      <c r="E698" s="222" t="s">
        <v>23068</v>
      </c>
      <c r="F698" s="222" t="s">
        <v>117</v>
      </c>
      <c r="G698" s="222" t="s">
        <v>23069</v>
      </c>
      <c r="H698" s="118" t="s">
        <v>23070</v>
      </c>
      <c r="I698" s="118"/>
      <c r="J698" s="118" t="s">
        <v>23071</v>
      </c>
      <c r="K698" s="137" t="s">
        <v>23072</v>
      </c>
      <c r="L698" s="136" t="s">
        <v>16712</v>
      </c>
      <c r="M698" s="136" t="s">
        <v>16713</v>
      </c>
    </row>
    <row r="699" spans="1:13" ht="14.25" customHeight="1">
      <c r="A699" s="113">
        <v>15</v>
      </c>
      <c r="B699" s="113"/>
      <c r="C699" s="222" t="s">
        <v>23073</v>
      </c>
      <c r="D699" s="221" t="s">
        <v>23074</v>
      </c>
      <c r="E699" s="222" t="s">
        <v>23075</v>
      </c>
      <c r="F699" s="222" t="s">
        <v>22524</v>
      </c>
      <c r="G699" s="222" t="s">
        <v>23076</v>
      </c>
      <c r="H699" s="221" t="s">
        <v>23077</v>
      </c>
      <c r="I699" s="221"/>
      <c r="J699" s="28" t="s">
        <v>23078</v>
      </c>
      <c r="K699" s="137" t="s">
        <v>23079</v>
      </c>
      <c r="L699" s="136" t="s">
        <v>16721</v>
      </c>
      <c r="M699" s="136" t="s">
        <v>16722</v>
      </c>
    </row>
    <row r="700" spans="1:13" ht="14.25" customHeight="1">
      <c r="A700" s="113">
        <v>16</v>
      </c>
      <c r="B700" s="113"/>
      <c r="C700" s="222" t="s">
        <v>23080</v>
      </c>
      <c r="D700" s="221" t="s">
        <v>23081</v>
      </c>
      <c r="E700" s="222" t="s">
        <v>23082</v>
      </c>
      <c r="F700" s="222" t="s">
        <v>65</v>
      </c>
      <c r="G700" s="222" t="s">
        <v>23083</v>
      </c>
      <c r="H700" s="221" t="s">
        <v>23084</v>
      </c>
      <c r="I700" s="221"/>
      <c r="J700" s="28" t="s">
        <v>23085</v>
      </c>
      <c r="K700" s="137" t="s">
        <v>23086</v>
      </c>
      <c r="L700" s="136" t="s">
        <v>16730</v>
      </c>
      <c r="M700" s="136" t="s">
        <v>16731</v>
      </c>
    </row>
    <row r="701" spans="1:13" ht="14.25" customHeight="1">
      <c r="A701" s="113">
        <v>17</v>
      </c>
      <c r="B701" s="113"/>
      <c r="C701" s="222" t="s">
        <v>23087</v>
      </c>
      <c r="D701" s="221" t="s">
        <v>23088</v>
      </c>
      <c r="E701" s="222" t="s">
        <v>23089</v>
      </c>
      <c r="F701" s="222" t="s">
        <v>65</v>
      </c>
      <c r="G701" s="222" t="s">
        <v>23090</v>
      </c>
      <c r="H701" s="221" t="s">
        <v>23091</v>
      </c>
      <c r="I701" s="221"/>
      <c r="J701" s="28" t="s">
        <v>23092</v>
      </c>
      <c r="K701" s="137" t="s">
        <v>23093</v>
      </c>
      <c r="L701" s="136" t="s">
        <v>16739</v>
      </c>
      <c r="M701" s="136" t="s">
        <v>16740</v>
      </c>
    </row>
    <row r="702" spans="1:13" ht="14.25" customHeight="1">
      <c r="A702" s="113">
        <v>18</v>
      </c>
      <c r="B702" s="113"/>
      <c r="C702" s="222" t="s">
        <v>23094</v>
      </c>
      <c r="D702" s="221" t="s">
        <v>23095</v>
      </c>
      <c r="E702" s="222" t="s">
        <v>23096</v>
      </c>
      <c r="F702" s="222" t="s">
        <v>117</v>
      </c>
      <c r="G702" s="222" t="s">
        <v>23097</v>
      </c>
      <c r="H702" s="221" t="s">
        <v>23098</v>
      </c>
      <c r="I702" s="221"/>
      <c r="J702" s="28" t="s">
        <v>23099</v>
      </c>
      <c r="K702" s="137" t="s">
        <v>23100</v>
      </c>
      <c r="L702" s="136" t="s">
        <v>11073</v>
      </c>
      <c r="M702" s="136" t="s">
        <v>11074</v>
      </c>
    </row>
    <row r="703" spans="1:13" ht="14.25" customHeight="1">
      <c r="A703" s="113">
        <v>19</v>
      </c>
      <c r="B703" s="113"/>
      <c r="C703" s="222" t="s">
        <v>23101</v>
      </c>
      <c r="D703" s="118" t="s">
        <v>23102</v>
      </c>
      <c r="E703" s="222" t="s">
        <v>23103</v>
      </c>
      <c r="F703" s="222" t="s">
        <v>54</v>
      </c>
      <c r="G703" s="222" t="s">
        <v>23104</v>
      </c>
      <c r="H703" s="118" t="s">
        <v>23105</v>
      </c>
      <c r="I703" s="118"/>
      <c r="J703" s="118" t="s">
        <v>23106</v>
      </c>
      <c r="K703" s="137" t="s">
        <v>23107</v>
      </c>
      <c r="L703" s="136" t="s">
        <v>16749</v>
      </c>
      <c r="M703" s="136" t="s">
        <v>16750</v>
      </c>
    </row>
    <row r="704" spans="1:13" ht="14.25" customHeight="1">
      <c r="A704" s="113">
        <v>20</v>
      </c>
      <c r="B704" s="113"/>
      <c r="C704" s="222" t="s">
        <v>23108</v>
      </c>
      <c r="D704" s="221" t="s">
        <v>23109</v>
      </c>
      <c r="E704" s="222" t="s">
        <v>23110</v>
      </c>
      <c r="F704" s="222" t="s">
        <v>5711</v>
      </c>
      <c r="G704" s="222" t="s">
        <v>23111</v>
      </c>
      <c r="H704" s="221" t="s">
        <v>23112</v>
      </c>
      <c r="I704" s="221"/>
      <c r="J704" s="28" t="s">
        <v>23113</v>
      </c>
      <c r="K704" s="137" t="s">
        <v>23114</v>
      </c>
      <c r="L704" s="136" t="s">
        <v>16758</v>
      </c>
      <c r="M704" s="136" t="s">
        <v>16759</v>
      </c>
    </row>
    <row r="705" spans="1:13" ht="14.25" customHeight="1">
      <c r="A705" s="113">
        <v>21</v>
      </c>
      <c r="B705" s="113"/>
      <c r="C705" s="222" t="s">
        <v>23115</v>
      </c>
      <c r="D705" s="221" t="s">
        <v>23116</v>
      </c>
      <c r="E705" s="222" t="s">
        <v>23117</v>
      </c>
      <c r="F705" s="222" t="s">
        <v>65</v>
      </c>
      <c r="G705" s="222" t="s">
        <v>23118</v>
      </c>
      <c r="H705" s="221" t="s">
        <v>23119</v>
      </c>
      <c r="I705" s="221"/>
      <c r="J705" s="28" t="s">
        <v>23120</v>
      </c>
      <c r="K705" s="137" t="s">
        <v>23121</v>
      </c>
      <c r="L705" s="136" t="s">
        <v>11064</v>
      </c>
      <c r="M705" s="136" t="s">
        <v>11065</v>
      </c>
    </row>
    <row r="706" spans="1:13" ht="14.25" customHeight="1">
      <c r="A706" s="113">
        <v>22</v>
      </c>
      <c r="B706" s="113"/>
      <c r="C706" s="121" t="s">
        <v>23122</v>
      </c>
      <c r="D706" s="221" t="s">
        <v>23123</v>
      </c>
      <c r="E706" s="219" t="s">
        <v>23124</v>
      </c>
      <c r="F706" s="222" t="s">
        <v>117</v>
      </c>
      <c r="G706" s="272" t="s">
        <v>23125</v>
      </c>
      <c r="H706" s="221" t="s">
        <v>23126</v>
      </c>
      <c r="I706" s="221"/>
      <c r="J706" s="28" t="s">
        <v>23127</v>
      </c>
      <c r="K706" s="137" t="s">
        <v>23128</v>
      </c>
      <c r="L706" s="136" t="s">
        <v>16768</v>
      </c>
      <c r="M706" s="136" t="s">
        <v>16769</v>
      </c>
    </row>
    <row r="707" spans="1:13" ht="14.25" customHeight="1">
      <c r="A707" s="113">
        <v>23</v>
      </c>
      <c r="B707" s="113"/>
      <c r="C707" s="121" t="s">
        <v>23129</v>
      </c>
      <c r="D707" s="221" t="s">
        <v>23130</v>
      </c>
      <c r="E707" s="219" t="s">
        <v>23131</v>
      </c>
      <c r="F707" s="272" t="s">
        <v>19102</v>
      </c>
      <c r="G707" s="272" t="s">
        <v>23132</v>
      </c>
      <c r="H707" s="221" t="s">
        <v>23133</v>
      </c>
      <c r="I707" s="221"/>
      <c r="J707" s="28" t="s">
        <v>23134</v>
      </c>
      <c r="K707" s="137" t="s">
        <v>23135</v>
      </c>
      <c r="L707" s="136" t="s">
        <v>16777</v>
      </c>
      <c r="M707" s="136" t="s">
        <v>16778</v>
      </c>
    </row>
    <row r="708" spans="1:13" ht="14.25" customHeight="1">
      <c r="A708" s="113">
        <v>24</v>
      </c>
      <c r="B708" s="113"/>
      <c r="C708" s="121" t="s">
        <v>23136</v>
      </c>
      <c r="D708" s="126" t="s">
        <v>23137</v>
      </c>
      <c r="E708" s="218" t="s">
        <v>23138</v>
      </c>
      <c r="F708" s="222" t="s">
        <v>65</v>
      </c>
      <c r="G708" s="272" t="s">
        <v>23139</v>
      </c>
      <c r="H708" s="126" t="s">
        <v>23140</v>
      </c>
      <c r="I708" s="126"/>
      <c r="J708" s="201" t="s">
        <v>23141</v>
      </c>
      <c r="K708" s="137" t="s">
        <v>23142</v>
      </c>
      <c r="L708" s="136" t="s">
        <v>16786</v>
      </c>
      <c r="M708" s="136" t="s">
        <v>16787</v>
      </c>
    </row>
    <row r="709" spans="1:13" ht="14.25" customHeight="1">
      <c r="A709" s="113">
        <v>25</v>
      </c>
      <c r="B709" s="113"/>
      <c r="C709" s="123" t="s">
        <v>23143</v>
      </c>
      <c r="D709" s="221" t="s">
        <v>23144</v>
      </c>
      <c r="E709" s="218" t="s">
        <v>23145</v>
      </c>
      <c r="F709" s="222" t="s">
        <v>65</v>
      </c>
      <c r="G709" s="272" t="s">
        <v>23146</v>
      </c>
      <c r="H709" s="221" t="s">
        <v>23147</v>
      </c>
      <c r="I709" s="221"/>
      <c r="J709" s="28" t="s">
        <v>23148</v>
      </c>
      <c r="K709" s="137" t="s">
        <v>23149</v>
      </c>
      <c r="L709" s="136" t="s">
        <v>16795</v>
      </c>
      <c r="M709" s="136" t="s">
        <v>16796</v>
      </c>
    </row>
    <row r="710" spans="1:13" ht="14.25" customHeight="1">
      <c r="A710" s="113">
        <v>26</v>
      </c>
      <c r="B710" s="113"/>
      <c r="C710" s="222" t="s">
        <v>23150</v>
      </c>
      <c r="D710" s="221" t="s">
        <v>23151</v>
      </c>
      <c r="E710" s="222" t="s">
        <v>23152</v>
      </c>
      <c r="F710" s="222" t="s">
        <v>54</v>
      </c>
      <c r="G710" s="222" t="s">
        <v>23153</v>
      </c>
      <c r="H710" s="221" t="s">
        <v>23154</v>
      </c>
      <c r="I710" s="221"/>
      <c r="J710" s="28" t="s">
        <v>23155</v>
      </c>
      <c r="K710" s="137" t="s">
        <v>23156</v>
      </c>
      <c r="L710" s="136" t="s">
        <v>16804</v>
      </c>
      <c r="M710" s="136" t="s">
        <v>16805</v>
      </c>
    </row>
    <row r="711" spans="1:13" ht="14.25" customHeight="1">
      <c r="A711" s="113">
        <v>27</v>
      </c>
      <c r="B711" s="113"/>
      <c r="C711" s="222" t="s">
        <v>23157</v>
      </c>
      <c r="D711" s="221" t="s">
        <v>23158</v>
      </c>
      <c r="E711" s="222" t="s">
        <v>23159</v>
      </c>
      <c r="F711" s="222" t="s">
        <v>19102</v>
      </c>
      <c r="G711" s="222" t="s">
        <v>23160</v>
      </c>
      <c r="H711" s="221" t="s">
        <v>23161</v>
      </c>
      <c r="I711" s="221"/>
      <c r="J711" s="28" t="s">
        <v>23162</v>
      </c>
      <c r="K711" s="137" t="s">
        <v>23163</v>
      </c>
      <c r="L711" s="136" t="s">
        <v>10870</v>
      </c>
      <c r="M711" s="136" t="s">
        <v>10871</v>
      </c>
    </row>
    <row r="712" spans="1:13" ht="14.25" customHeight="1">
      <c r="A712" s="113">
        <v>28</v>
      </c>
      <c r="B712" s="113"/>
      <c r="C712" s="222" t="s">
        <v>22369</v>
      </c>
      <c r="D712" s="221" t="s">
        <v>22370</v>
      </c>
      <c r="E712" s="222" t="s">
        <v>22371</v>
      </c>
      <c r="F712" s="222" t="s">
        <v>65</v>
      </c>
      <c r="G712" s="222" t="s">
        <v>23164</v>
      </c>
      <c r="H712" s="221" t="s">
        <v>23165</v>
      </c>
      <c r="I712" s="221"/>
      <c r="J712" s="28" t="s">
        <v>23166</v>
      </c>
      <c r="K712" s="137" t="s">
        <v>23167</v>
      </c>
      <c r="L712" s="136" t="s">
        <v>16814</v>
      </c>
      <c r="M712" s="136" t="s">
        <v>16815</v>
      </c>
    </row>
    <row r="713" spans="1:13" ht="14.25" customHeight="1">
      <c r="A713" s="113">
        <v>29</v>
      </c>
      <c r="B713" s="113"/>
      <c r="C713" s="222" t="s">
        <v>23168</v>
      </c>
      <c r="D713" s="221" t="s">
        <v>23169</v>
      </c>
      <c r="E713" s="222" t="s">
        <v>23170</v>
      </c>
      <c r="F713" s="222" t="s">
        <v>17384</v>
      </c>
      <c r="G713" s="222" t="s">
        <v>23171</v>
      </c>
      <c r="H713" s="221" t="s">
        <v>23172</v>
      </c>
      <c r="I713" s="221"/>
      <c r="J713" s="28" t="s">
        <v>23173</v>
      </c>
      <c r="K713" s="137" t="s">
        <v>23174</v>
      </c>
      <c r="L713" s="136" t="s">
        <v>16823</v>
      </c>
      <c r="M713" s="136" t="s">
        <v>16824</v>
      </c>
    </row>
    <row r="714" spans="1:13" ht="14.25" customHeight="1">
      <c r="A714" s="113">
        <v>30</v>
      </c>
      <c r="B714" s="113"/>
      <c r="C714" s="222" t="s">
        <v>23175</v>
      </c>
      <c r="D714" s="221" t="s">
        <v>23176</v>
      </c>
      <c r="E714" s="222" t="s">
        <v>10259</v>
      </c>
      <c r="F714" s="222" t="s">
        <v>117</v>
      </c>
      <c r="G714" s="222" t="s">
        <v>23177</v>
      </c>
      <c r="H714" s="221" t="s">
        <v>23178</v>
      </c>
      <c r="I714" s="221"/>
      <c r="J714" s="28" t="s">
        <v>23179</v>
      </c>
      <c r="K714" s="137" t="s">
        <v>23180</v>
      </c>
      <c r="L714" s="136" t="s">
        <v>10968</v>
      </c>
      <c r="M714" s="136" t="s">
        <v>10969</v>
      </c>
    </row>
    <row r="715" spans="1:13" ht="14.25" customHeight="1">
      <c r="A715" s="113">
        <v>31</v>
      </c>
      <c r="B715" s="113"/>
      <c r="C715" s="222" t="s">
        <v>23181</v>
      </c>
      <c r="D715" s="221" t="s">
        <v>23182</v>
      </c>
      <c r="E715" s="222" t="s">
        <v>23183</v>
      </c>
      <c r="F715" s="222" t="s">
        <v>65</v>
      </c>
      <c r="G715" s="222" t="s">
        <v>23184</v>
      </c>
      <c r="H715" s="221" t="s">
        <v>23185</v>
      </c>
      <c r="I715" s="221"/>
      <c r="J715" s="28" t="s">
        <v>23186</v>
      </c>
      <c r="K715" s="137" t="s">
        <v>23187</v>
      </c>
      <c r="L715" s="136" t="s">
        <v>16833</v>
      </c>
      <c r="M715" s="136" t="s">
        <v>16834</v>
      </c>
    </row>
    <row r="716" spans="1:13" ht="14.25" customHeight="1">
      <c r="A716" s="113">
        <v>32</v>
      </c>
      <c r="B716" s="113"/>
      <c r="C716" s="222" t="s">
        <v>23188</v>
      </c>
      <c r="D716" s="118" t="s">
        <v>23189</v>
      </c>
      <c r="E716" s="219" t="s">
        <v>23190</v>
      </c>
      <c r="F716" s="222" t="s">
        <v>65</v>
      </c>
      <c r="G716" s="222" t="s">
        <v>23191</v>
      </c>
      <c r="H716" s="118" t="s">
        <v>23192</v>
      </c>
      <c r="I716" s="118"/>
      <c r="J716" s="118" t="s">
        <v>23193</v>
      </c>
      <c r="K716" s="137" t="s">
        <v>23194</v>
      </c>
      <c r="L716" s="136" t="s">
        <v>16842</v>
      </c>
      <c r="M716" s="136" t="s">
        <v>16843</v>
      </c>
    </row>
    <row r="717" spans="1:13" ht="14.25" customHeight="1">
      <c r="A717" s="113">
        <v>33</v>
      </c>
      <c r="B717" s="113"/>
      <c r="C717" s="222" t="s">
        <v>23195</v>
      </c>
      <c r="D717" s="221" t="s">
        <v>23196</v>
      </c>
      <c r="E717" s="222" t="s">
        <v>23197</v>
      </c>
      <c r="F717" s="222" t="s">
        <v>460</v>
      </c>
      <c r="G717" s="222" t="s">
        <v>23198</v>
      </c>
      <c r="H717" s="221" t="s">
        <v>23199</v>
      </c>
      <c r="I717" s="221"/>
      <c r="J717" s="28" t="s">
        <v>23200</v>
      </c>
      <c r="K717" s="137" t="s">
        <v>23201</v>
      </c>
      <c r="L717" s="136" t="s">
        <v>23202</v>
      </c>
      <c r="M717" s="136" t="s">
        <v>23203</v>
      </c>
    </row>
    <row r="718" spans="1:13" ht="14.25" customHeight="1">
      <c r="A718" s="113">
        <v>34</v>
      </c>
      <c r="B718" s="113"/>
      <c r="C718" s="222" t="s">
        <v>23204</v>
      </c>
      <c r="D718" s="221" t="s">
        <v>23205</v>
      </c>
      <c r="E718" s="222" t="s">
        <v>23206</v>
      </c>
      <c r="F718" s="222" t="s">
        <v>54</v>
      </c>
      <c r="G718" s="222" t="s">
        <v>23207</v>
      </c>
      <c r="H718" s="221" t="s">
        <v>23208</v>
      </c>
      <c r="I718" s="221"/>
      <c r="J718" s="28" t="s">
        <v>23209</v>
      </c>
      <c r="K718" s="137" t="s">
        <v>23210</v>
      </c>
      <c r="L718" s="136" t="s">
        <v>23211</v>
      </c>
      <c r="M718" s="136" t="s">
        <v>23212</v>
      </c>
    </row>
    <row r="719" spans="1:13" ht="14.25" customHeight="1">
      <c r="A719" s="113">
        <v>35</v>
      </c>
      <c r="B719" s="113"/>
      <c r="C719" s="222" t="s">
        <v>23213</v>
      </c>
      <c r="D719" s="221" t="s">
        <v>23214</v>
      </c>
      <c r="E719" s="222" t="s">
        <v>23215</v>
      </c>
      <c r="F719" s="222" t="s">
        <v>65</v>
      </c>
      <c r="G719" s="222" t="s">
        <v>23216</v>
      </c>
      <c r="H719" s="221" t="s">
        <v>23217</v>
      </c>
      <c r="I719" s="221"/>
      <c r="J719" s="28" t="s">
        <v>23218</v>
      </c>
      <c r="K719" s="137" t="s">
        <v>23219</v>
      </c>
      <c r="L719" s="136" t="s">
        <v>23220</v>
      </c>
      <c r="M719" s="136" t="s">
        <v>23221</v>
      </c>
    </row>
    <row r="720" spans="1:13" ht="14.25" customHeight="1">
      <c r="A720" s="113">
        <v>36</v>
      </c>
      <c r="B720" s="113"/>
      <c r="C720" s="222" t="s">
        <v>23222</v>
      </c>
      <c r="D720" s="118" t="s">
        <v>23223</v>
      </c>
      <c r="E720" s="219" t="s">
        <v>23224</v>
      </c>
      <c r="F720" s="222" t="s">
        <v>13358</v>
      </c>
      <c r="G720" s="222" t="s">
        <v>23225</v>
      </c>
      <c r="H720" s="118" t="s">
        <v>23226</v>
      </c>
      <c r="I720" s="118"/>
      <c r="J720" s="118" t="s">
        <v>23227</v>
      </c>
      <c r="K720" s="137" t="s">
        <v>23228</v>
      </c>
      <c r="L720" s="136" t="s">
        <v>23229</v>
      </c>
      <c r="M720" s="136" t="s">
        <v>23230</v>
      </c>
    </row>
    <row r="721" spans="1:13" ht="14.25" customHeight="1">
      <c r="A721" s="113">
        <v>37</v>
      </c>
      <c r="B721" s="113"/>
      <c r="C721" s="222" t="s">
        <v>23231</v>
      </c>
      <c r="D721" s="221" t="s">
        <v>23232</v>
      </c>
      <c r="E721" s="222" t="s">
        <v>23233</v>
      </c>
      <c r="F721" s="222" t="s">
        <v>23234</v>
      </c>
      <c r="G721" s="222" t="s">
        <v>23235</v>
      </c>
      <c r="H721" s="221" t="s">
        <v>23236</v>
      </c>
      <c r="I721" s="221"/>
      <c r="J721" s="28" t="s">
        <v>23237</v>
      </c>
      <c r="K721" s="137" t="s">
        <v>23238</v>
      </c>
      <c r="L721" s="136" t="s">
        <v>23239</v>
      </c>
      <c r="M721" s="136" t="s">
        <v>23240</v>
      </c>
    </row>
    <row r="722" spans="1:13" ht="14.25" customHeight="1">
      <c r="A722" s="113">
        <v>38</v>
      </c>
      <c r="B722" s="113"/>
      <c r="C722" s="121" t="s">
        <v>23241</v>
      </c>
      <c r="D722" s="221" t="s">
        <v>23242</v>
      </c>
      <c r="E722" s="219" t="s">
        <v>23243</v>
      </c>
      <c r="F722" s="222" t="s">
        <v>65</v>
      </c>
      <c r="G722" s="272" t="s">
        <v>23244</v>
      </c>
      <c r="H722" s="221" t="s">
        <v>23245</v>
      </c>
      <c r="I722" s="221"/>
      <c r="J722" s="28" t="s">
        <v>23246</v>
      </c>
      <c r="K722" s="137" t="s">
        <v>23247</v>
      </c>
      <c r="L722" s="113" t="s">
        <v>23248</v>
      </c>
      <c r="M722" s="136" t="s">
        <v>23249</v>
      </c>
    </row>
    <row r="723" spans="1:13" ht="14.25" customHeight="1">
      <c r="A723" s="113">
        <v>39</v>
      </c>
      <c r="B723" s="113"/>
      <c r="C723" s="218" t="s">
        <v>23250</v>
      </c>
      <c r="D723" s="221" t="s">
        <v>23251</v>
      </c>
      <c r="E723" s="219" t="s">
        <v>23252</v>
      </c>
      <c r="F723" s="222" t="s">
        <v>65</v>
      </c>
      <c r="G723" s="272" t="s">
        <v>23253</v>
      </c>
      <c r="H723" s="221" t="s">
        <v>23254</v>
      </c>
      <c r="I723" s="221"/>
      <c r="J723" s="28" t="s">
        <v>23255</v>
      </c>
      <c r="K723" s="137" t="s">
        <v>23256</v>
      </c>
      <c r="L723" s="136" t="s">
        <v>23257</v>
      </c>
      <c r="M723" s="136" t="s">
        <v>23258</v>
      </c>
    </row>
    <row r="724" spans="1:13" ht="15" customHeight="1">
      <c r="A724" s="113">
        <v>40</v>
      </c>
      <c r="B724" s="113"/>
      <c r="C724" s="121" t="s">
        <v>23259</v>
      </c>
      <c r="D724" s="221" t="s">
        <v>23260</v>
      </c>
      <c r="E724" s="218" t="s">
        <v>23261</v>
      </c>
      <c r="F724" s="222" t="s">
        <v>65</v>
      </c>
      <c r="G724" s="272" t="s">
        <v>23262</v>
      </c>
      <c r="H724" s="221" t="s">
        <v>23263</v>
      </c>
      <c r="I724" s="221"/>
      <c r="J724" s="28" t="s">
        <v>23264</v>
      </c>
      <c r="K724" s="137" t="s">
        <v>23265</v>
      </c>
      <c r="L724" s="136" t="s">
        <v>23266</v>
      </c>
      <c r="M724" s="136" t="s">
        <v>23267</v>
      </c>
    </row>
    <row r="725" spans="1:13" ht="14.25" customHeight="1">
      <c r="A725" s="210">
        <v>1</v>
      </c>
      <c r="B725" s="210"/>
      <c r="C725" s="211" t="s">
        <v>23268</v>
      </c>
      <c r="D725" s="239" t="s">
        <v>23269</v>
      </c>
      <c r="E725" s="283" t="s">
        <v>23270</v>
      </c>
      <c r="F725" s="283" t="s">
        <v>65</v>
      </c>
      <c r="G725" s="283" t="s">
        <v>23271</v>
      </c>
      <c r="H725" s="239" t="s">
        <v>23272</v>
      </c>
      <c r="I725" s="239"/>
      <c r="J725" s="263" t="s">
        <v>23273</v>
      </c>
      <c r="K725" s="215" t="s">
        <v>23274</v>
      </c>
      <c r="L725" s="210" t="s">
        <v>11092</v>
      </c>
      <c r="M725" s="247" t="s">
        <v>11093</v>
      </c>
    </row>
    <row r="726" spans="1:13" ht="14.25" customHeight="1">
      <c r="A726" s="113">
        <v>2</v>
      </c>
      <c r="B726" s="113"/>
      <c r="C726" s="216" t="s">
        <v>23275</v>
      </c>
      <c r="D726" s="221" t="s">
        <v>23276</v>
      </c>
      <c r="E726" s="121" t="s">
        <v>23277</v>
      </c>
      <c r="F726" s="121" t="s">
        <v>54</v>
      </c>
      <c r="G726" s="121" t="s">
        <v>23278</v>
      </c>
      <c r="H726" s="221" t="s">
        <v>23279</v>
      </c>
      <c r="I726" s="221"/>
      <c r="J726" s="28" t="s">
        <v>23280</v>
      </c>
      <c r="K726" s="137" t="s">
        <v>23281</v>
      </c>
      <c r="L726" s="136" t="s">
        <v>11101</v>
      </c>
      <c r="M726" s="136" t="s">
        <v>11102</v>
      </c>
    </row>
    <row r="727" spans="1:13" ht="14.25" customHeight="1">
      <c r="A727" s="113">
        <v>3</v>
      </c>
      <c r="B727" s="113"/>
      <c r="C727" s="216" t="s">
        <v>23282</v>
      </c>
      <c r="D727" s="221" t="s">
        <v>23283</v>
      </c>
      <c r="E727" s="121" t="s">
        <v>23284</v>
      </c>
      <c r="F727" s="121" t="s">
        <v>54</v>
      </c>
      <c r="G727" s="121" t="s">
        <v>10355</v>
      </c>
      <c r="H727" s="221" t="s">
        <v>23285</v>
      </c>
      <c r="I727" s="221"/>
      <c r="J727" s="28" t="s">
        <v>23286</v>
      </c>
      <c r="K727" s="137" t="s">
        <v>23287</v>
      </c>
      <c r="L727" s="136" t="s">
        <v>16853</v>
      </c>
      <c r="M727" s="136" t="s">
        <v>16854</v>
      </c>
    </row>
    <row r="728" spans="1:13" ht="14.25" customHeight="1">
      <c r="A728" s="113">
        <v>4</v>
      </c>
      <c r="B728" s="113"/>
      <c r="C728" s="216" t="s">
        <v>23288</v>
      </c>
      <c r="D728" s="221" t="s">
        <v>23289</v>
      </c>
      <c r="E728" s="121" t="s">
        <v>23290</v>
      </c>
      <c r="F728" s="121" t="s">
        <v>65</v>
      </c>
      <c r="G728" s="121" t="s">
        <v>23291</v>
      </c>
      <c r="H728" s="221" t="s">
        <v>23292</v>
      </c>
      <c r="I728" s="221"/>
      <c r="J728" s="28" t="s">
        <v>23293</v>
      </c>
      <c r="K728" s="137" t="s">
        <v>23294</v>
      </c>
      <c r="L728" s="136" t="s">
        <v>16862</v>
      </c>
      <c r="M728" s="136" t="s">
        <v>16863</v>
      </c>
    </row>
    <row r="729" spans="1:13" ht="14.25" customHeight="1">
      <c r="A729" s="113">
        <v>5</v>
      </c>
      <c r="B729" s="113"/>
      <c r="C729" s="216" t="s">
        <v>23295</v>
      </c>
      <c r="D729" s="199" t="s">
        <v>23296</v>
      </c>
      <c r="E729" s="121" t="s">
        <v>4442</v>
      </c>
      <c r="F729" s="121" t="s">
        <v>65</v>
      </c>
      <c r="G729" s="121" t="s">
        <v>23297</v>
      </c>
      <c r="H729" s="199" t="s">
        <v>23298</v>
      </c>
      <c r="I729" s="199"/>
      <c r="J729" s="28" t="s">
        <v>23299</v>
      </c>
      <c r="K729" s="137" t="s">
        <v>23300</v>
      </c>
      <c r="L729" s="136" t="s">
        <v>16871</v>
      </c>
      <c r="M729" s="136" t="s">
        <v>16872</v>
      </c>
    </row>
    <row r="730" spans="1:13" ht="14.25" customHeight="1">
      <c r="A730" s="113">
        <v>6</v>
      </c>
      <c r="B730" s="113"/>
      <c r="C730" s="216" t="s">
        <v>23301</v>
      </c>
      <c r="D730" s="221" t="s">
        <v>23302</v>
      </c>
      <c r="E730" s="121" t="s">
        <v>17034</v>
      </c>
      <c r="F730" s="121" t="s">
        <v>117</v>
      </c>
      <c r="G730" s="121" t="s">
        <v>23303</v>
      </c>
      <c r="H730" s="221" t="s">
        <v>23304</v>
      </c>
      <c r="I730" s="221"/>
      <c r="J730" s="28" t="s">
        <v>23305</v>
      </c>
      <c r="K730" s="137" t="s">
        <v>23306</v>
      </c>
      <c r="L730" s="136" t="s">
        <v>16880</v>
      </c>
      <c r="M730" s="136" t="s">
        <v>16881</v>
      </c>
    </row>
    <row r="731" spans="1:13" ht="14.25" customHeight="1">
      <c r="A731" s="113">
        <v>7</v>
      </c>
      <c r="B731" s="113"/>
      <c r="C731" s="216" t="s">
        <v>23307</v>
      </c>
      <c r="D731" s="221" t="s">
        <v>23308</v>
      </c>
      <c r="E731" s="121" t="s">
        <v>23309</v>
      </c>
      <c r="F731" s="121" t="s">
        <v>117</v>
      </c>
      <c r="G731" s="121" t="s">
        <v>23310</v>
      </c>
      <c r="H731" s="221" t="s">
        <v>23311</v>
      </c>
      <c r="I731" s="221"/>
      <c r="J731" s="28" t="s">
        <v>23312</v>
      </c>
      <c r="K731" s="137" t="s">
        <v>23313</v>
      </c>
      <c r="L731" s="136" t="s">
        <v>16889</v>
      </c>
      <c r="M731" s="136" t="s">
        <v>16890</v>
      </c>
    </row>
    <row r="732" spans="1:13" ht="14.25" customHeight="1">
      <c r="A732" s="113">
        <v>8</v>
      </c>
      <c r="B732" s="113"/>
      <c r="C732" s="216" t="s">
        <v>23314</v>
      </c>
      <c r="D732" s="221" t="s">
        <v>23315</v>
      </c>
      <c r="E732" s="121" t="s">
        <v>23316</v>
      </c>
      <c r="F732" s="121" t="s">
        <v>117</v>
      </c>
      <c r="G732" s="121" t="s">
        <v>23317</v>
      </c>
      <c r="H732" s="221" t="s">
        <v>23318</v>
      </c>
      <c r="I732" s="221"/>
      <c r="J732" s="28" t="s">
        <v>23319</v>
      </c>
      <c r="K732" s="137" t="s">
        <v>23320</v>
      </c>
      <c r="L732" s="136" t="s">
        <v>16898</v>
      </c>
      <c r="M732" s="136" t="s">
        <v>16899</v>
      </c>
    </row>
    <row r="733" spans="1:13" ht="14.25" customHeight="1">
      <c r="A733" s="113">
        <v>9</v>
      </c>
      <c r="B733" s="113"/>
      <c r="C733" s="216" t="s">
        <v>23321</v>
      </c>
      <c r="D733" s="221" t="s">
        <v>23322</v>
      </c>
      <c r="E733" s="121" t="s">
        <v>23323</v>
      </c>
      <c r="F733" s="121" t="s">
        <v>117</v>
      </c>
      <c r="G733" s="121" t="s">
        <v>23324</v>
      </c>
      <c r="H733" s="221" t="s">
        <v>23325</v>
      </c>
      <c r="I733" s="221"/>
      <c r="J733" s="28" t="s">
        <v>23326</v>
      </c>
      <c r="K733" s="137" t="s">
        <v>23327</v>
      </c>
      <c r="L733" s="136" t="s">
        <v>16907</v>
      </c>
      <c r="M733" s="136" t="s">
        <v>16908</v>
      </c>
    </row>
    <row r="734" spans="1:13" ht="14.25" customHeight="1">
      <c r="A734" s="113">
        <v>10</v>
      </c>
      <c r="B734" s="113"/>
      <c r="C734" s="216" t="s">
        <v>23328</v>
      </c>
      <c r="D734" s="221" t="s">
        <v>23329</v>
      </c>
      <c r="E734" s="121" t="s">
        <v>23330</v>
      </c>
      <c r="F734" s="121" t="s">
        <v>65</v>
      </c>
      <c r="G734" s="121" t="s">
        <v>23331</v>
      </c>
      <c r="H734" s="221" t="s">
        <v>23332</v>
      </c>
      <c r="I734" s="221"/>
      <c r="J734" s="28" t="s">
        <v>23333</v>
      </c>
      <c r="K734" s="137" t="s">
        <v>23334</v>
      </c>
      <c r="L734" s="136" t="s">
        <v>16916</v>
      </c>
      <c r="M734" s="136" t="s">
        <v>16917</v>
      </c>
    </row>
    <row r="735" spans="1:13" ht="14.25" customHeight="1">
      <c r="A735" s="113">
        <v>11</v>
      </c>
      <c r="B735" s="113"/>
      <c r="C735" s="216" t="s">
        <v>23335</v>
      </c>
      <c r="D735" s="221" t="s">
        <v>23336</v>
      </c>
      <c r="E735" s="121" t="s">
        <v>23337</v>
      </c>
      <c r="F735" s="121" t="s">
        <v>117</v>
      </c>
      <c r="G735" s="121" t="s">
        <v>23338</v>
      </c>
      <c r="H735" s="221" t="s">
        <v>23339</v>
      </c>
      <c r="I735" s="221"/>
      <c r="J735" s="28" t="s">
        <v>23340</v>
      </c>
      <c r="K735" s="137" t="s">
        <v>23341</v>
      </c>
      <c r="L735" s="136" t="s">
        <v>16925</v>
      </c>
      <c r="M735" s="136" t="s">
        <v>16926</v>
      </c>
    </row>
    <row r="736" spans="1:13" ht="14.25" customHeight="1">
      <c r="A736" s="113">
        <v>12</v>
      </c>
      <c r="B736" s="113"/>
      <c r="C736" s="216" t="s">
        <v>23342</v>
      </c>
      <c r="D736" s="221" t="s">
        <v>23343</v>
      </c>
      <c r="E736" s="121" t="s">
        <v>23344</v>
      </c>
      <c r="F736" s="121" t="s">
        <v>54</v>
      </c>
      <c r="G736" s="121" t="s">
        <v>23345</v>
      </c>
      <c r="H736" s="221" t="s">
        <v>23346</v>
      </c>
      <c r="I736" s="221"/>
      <c r="J736" s="28" t="s">
        <v>23347</v>
      </c>
      <c r="K736" s="137" t="s">
        <v>23348</v>
      </c>
      <c r="L736" s="136" t="s">
        <v>16931</v>
      </c>
      <c r="M736" s="136" t="s">
        <v>16932</v>
      </c>
    </row>
    <row r="737" spans="1:13" ht="14.25" customHeight="1">
      <c r="A737" s="113">
        <v>13</v>
      </c>
      <c r="B737" s="113"/>
      <c r="C737" s="216" t="s">
        <v>23349</v>
      </c>
      <c r="D737" s="221" t="s">
        <v>23350</v>
      </c>
      <c r="E737" s="121" t="s">
        <v>15977</v>
      </c>
      <c r="F737" s="121" t="s">
        <v>117</v>
      </c>
      <c r="G737" s="121" t="s">
        <v>23351</v>
      </c>
      <c r="H737" s="221" t="s">
        <v>23352</v>
      </c>
      <c r="I737" s="221"/>
      <c r="J737" s="28" t="s">
        <v>23353</v>
      </c>
      <c r="K737" s="137" t="s">
        <v>23354</v>
      </c>
      <c r="L737" s="136" t="s">
        <v>16937</v>
      </c>
      <c r="M737" s="136" t="s">
        <v>16938</v>
      </c>
    </row>
    <row r="738" spans="1:13" ht="14.25" customHeight="1">
      <c r="A738" s="113">
        <v>14</v>
      </c>
      <c r="B738" s="113"/>
      <c r="C738" s="216" t="s">
        <v>23355</v>
      </c>
      <c r="D738" s="221" t="s">
        <v>23356</v>
      </c>
      <c r="E738" s="121" t="s">
        <v>10224</v>
      </c>
      <c r="F738" s="121" t="s">
        <v>54</v>
      </c>
      <c r="G738" s="121" t="s">
        <v>23357</v>
      </c>
      <c r="H738" s="221" t="s">
        <v>23358</v>
      </c>
      <c r="I738" s="221"/>
      <c r="J738" s="28" t="s">
        <v>23359</v>
      </c>
      <c r="K738" s="137" t="s">
        <v>23360</v>
      </c>
      <c r="L738" s="136" t="s">
        <v>16946</v>
      </c>
      <c r="M738" s="136" t="s">
        <v>16947</v>
      </c>
    </row>
    <row r="739" spans="1:13" ht="14.25" customHeight="1">
      <c r="A739" s="113">
        <v>15</v>
      </c>
      <c r="B739" s="113"/>
      <c r="C739" s="216" t="s">
        <v>23361</v>
      </c>
      <c r="D739" s="221" t="s">
        <v>23362</v>
      </c>
      <c r="E739" s="121" t="s">
        <v>18337</v>
      </c>
      <c r="F739" s="121" t="s">
        <v>117</v>
      </c>
      <c r="G739" s="121" t="s">
        <v>23363</v>
      </c>
      <c r="H739" s="221" t="s">
        <v>23364</v>
      </c>
      <c r="I739" s="221"/>
      <c r="J739" s="28" t="s">
        <v>23365</v>
      </c>
      <c r="K739" s="137" t="s">
        <v>23366</v>
      </c>
      <c r="L739" s="136" t="s">
        <v>16955</v>
      </c>
      <c r="M739" s="136" t="s">
        <v>16956</v>
      </c>
    </row>
    <row r="740" spans="1:13" ht="14.25" customHeight="1">
      <c r="A740" s="113">
        <v>16</v>
      </c>
      <c r="B740" s="113"/>
      <c r="C740" s="216" t="s">
        <v>23367</v>
      </c>
      <c r="D740" s="221" t="s">
        <v>23368</v>
      </c>
      <c r="E740" s="121" t="s">
        <v>16564</v>
      </c>
      <c r="F740" s="121" t="s">
        <v>17870</v>
      </c>
      <c r="G740" s="121" t="s">
        <v>23369</v>
      </c>
      <c r="H740" s="221" t="s">
        <v>23370</v>
      </c>
      <c r="I740" s="221"/>
      <c r="J740" s="28" t="s">
        <v>23371</v>
      </c>
      <c r="K740" s="137" t="s">
        <v>23372</v>
      </c>
      <c r="L740" s="136" t="s">
        <v>16964</v>
      </c>
      <c r="M740" s="136" t="s">
        <v>16965</v>
      </c>
    </row>
    <row r="741" spans="1:13" ht="14.25" customHeight="1">
      <c r="A741" s="113">
        <v>17</v>
      </c>
      <c r="B741" s="113"/>
      <c r="C741" s="216" t="s">
        <v>23373</v>
      </c>
      <c r="D741" s="221" t="s">
        <v>23374</v>
      </c>
      <c r="E741" s="121" t="s">
        <v>23375</v>
      </c>
      <c r="F741" s="121" t="s">
        <v>460</v>
      </c>
      <c r="G741" s="121" t="s">
        <v>23376</v>
      </c>
      <c r="H741" s="221" t="s">
        <v>23377</v>
      </c>
      <c r="I741" s="221"/>
      <c r="J741" s="28" t="s">
        <v>23378</v>
      </c>
      <c r="K741" s="137" t="s">
        <v>23379</v>
      </c>
      <c r="L741" s="136" t="s">
        <v>16973</v>
      </c>
      <c r="M741" s="136" t="s">
        <v>16974</v>
      </c>
    </row>
    <row r="742" spans="1:13" ht="14.25" customHeight="1">
      <c r="A742" s="113">
        <v>18</v>
      </c>
      <c r="B742" s="113"/>
      <c r="C742" s="216" t="s">
        <v>23380</v>
      </c>
      <c r="D742" s="221" t="s">
        <v>23381</v>
      </c>
      <c r="E742" s="121" t="s">
        <v>19336</v>
      </c>
      <c r="F742" s="121" t="s">
        <v>117</v>
      </c>
      <c r="G742" s="121" t="s">
        <v>23382</v>
      </c>
      <c r="H742" s="221" t="s">
        <v>23383</v>
      </c>
      <c r="I742" s="221"/>
      <c r="J742" s="28" t="s">
        <v>23384</v>
      </c>
      <c r="K742" s="137" t="s">
        <v>23385</v>
      </c>
      <c r="L742" s="136" t="s">
        <v>16981</v>
      </c>
      <c r="M742" s="136" t="s">
        <v>16982</v>
      </c>
    </row>
    <row r="743" spans="1:13" ht="14.25" customHeight="1">
      <c r="A743" s="113">
        <v>19</v>
      </c>
      <c r="B743" s="113"/>
      <c r="C743" s="216" t="s">
        <v>23386</v>
      </c>
      <c r="D743" s="221" t="s">
        <v>23387</v>
      </c>
      <c r="E743" s="121" t="s">
        <v>23388</v>
      </c>
      <c r="F743" s="121" t="s">
        <v>65</v>
      </c>
      <c r="G743" s="121" t="s">
        <v>23389</v>
      </c>
      <c r="H743" s="221" t="s">
        <v>23390</v>
      </c>
      <c r="I743" s="221"/>
      <c r="J743" s="28" t="s">
        <v>23391</v>
      </c>
      <c r="K743" s="137" t="s">
        <v>23392</v>
      </c>
      <c r="L743" s="136" t="s">
        <v>16990</v>
      </c>
      <c r="M743" s="136" t="s">
        <v>16991</v>
      </c>
    </row>
    <row r="744" spans="1:13" ht="14.25" customHeight="1">
      <c r="A744" s="113">
        <v>20</v>
      </c>
      <c r="B744" s="113"/>
      <c r="C744" s="216" t="s">
        <v>23393</v>
      </c>
      <c r="D744" s="221" t="s">
        <v>23394</v>
      </c>
      <c r="E744" s="121" t="s">
        <v>23395</v>
      </c>
      <c r="F744" s="121" t="s">
        <v>65</v>
      </c>
      <c r="G744" s="121" t="s">
        <v>23396</v>
      </c>
      <c r="H744" s="221" t="s">
        <v>23397</v>
      </c>
      <c r="I744" s="221"/>
      <c r="J744" s="28" t="s">
        <v>23398</v>
      </c>
      <c r="K744" s="137" t="s">
        <v>23399</v>
      </c>
      <c r="L744" s="136" t="s">
        <v>16999</v>
      </c>
      <c r="M744" s="136" t="s">
        <v>17000</v>
      </c>
    </row>
    <row r="745" spans="1:13" ht="14.25" customHeight="1">
      <c r="A745" s="113">
        <v>21</v>
      </c>
      <c r="B745" s="113"/>
      <c r="C745" s="216" t="s">
        <v>23400</v>
      </c>
      <c r="D745" s="221" t="s">
        <v>23401</v>
      </c>
      <c r="E745" s="121" t="s">
        <v>23402</v>
      </c>
      <c r="F745" s="121" t="s">
        <v>54</v>
      </c>
      <c r="G745" s="121" t="s">
        <v>23403</v>
      </c>
      <c r="H745" s="221" t="s">
        <v>23404</v>
      </c>
      <c r="I745" s="221"/>
      <c r="J745" s="28" t="s">
        <v>23405</v>
      </c>
      <c r="K745" s="137" t="s">
        <v>23406</v>
      </c>
      <c r="L745" s="136" t="s">
        <v>17007</v>
      </c>
      <c r="M745" s="136" t="s">
        <v>17008</v>
      </c>
    </row>
    <row r="746" spans="1:13" ht="14.25" customHeight="1">
      <c r="A746" s="113">
        <v>22</v>
      </c>
      <c r="B746" s="113"/>
      <c r="C746" s="216" t="s">
        <v>23407</v>
      </c>
      <c r="D746" s="221" t="s">
        <v>23408</v>
      </c>
      <c r="E746" s="121" t="s">
        <v>23409</v>
      </c>
      <c r="F746" s="121" t="s">
        <v>65</v>
      </c>
      <c r="G746" s="121" t="s">
        <v>23410</v>
      </c>
      <c r="H746" s="221" t="s">
        <v>23411</v>
      </c>
      <c r="I746" s="221"/>
      <c r="J746" s="28" t="s">
        <v>23412</v>
      </c>
      <c r="K746" s="137" t="s">
        <v>23413</v>
      </c>
      <c r="L746" s="136" t="s">
        <v>17015</v>
      </c>
      <c r="M746" s="136" t="s">
        <v>17016</v>
      </c>
    </row>
    <row r="747" spans="1:13" ht="14.25" customHeight="1">
      <c r="A747" s="113">
        <v>23</v>
      </c>
      <c r="B747" s="113"/>
      <c r="C747" s="216" t="s">
        <v>23414</v>
      </c>
      <c r="D747" s="221" t="s">
        <v>23415</v>
      </c>
      <c r="E747" s="121" t="s">
        <v>23416</v>
      </c>
      <c r="F747" s="121" t="s">
        <v>65</v>
      </c>
      <c r="G747" s="121" t="s">
        <v>23417</v>
      </c>
      <c r="H747" s="221" t="s">
        <v>23418</v>
      </c>
      <c r="I747" s="221"/>
      <c r="J747" s="28" t="s">
        <v>23419</v>
      </c>
      <c r="K747" s="137" t="s">
        <v>23420</v>
      </c>
      <c r="L747" s="136" t="s">
        <v>17021</v>
      </c>
      <c r="M747" s="136" t="s">
        <v>17022</v>
      </c>
    </row>
    <row r="748" spans="1:13" ht="14.25" customHeight="1">
      <c r="A748" s="113">
        <v>24</v>
      </c>
      <c r="B748" s="113"/>
      <c r="C748" s="216" t="s">
        <v>23421</v>
      </c>
      <c r="D748" s="221" t="s">
        <v>23422</v>
      </c>
      <c r="E748" s="121" t="s">
        <v>11683</v>
      </c>
      <c r="F748" s="121" t="s">
        <v>54</v>
      </c>
      <c r="G748" s="121" t="s">
        <v>23423</v>
      </c>
      <c r="H748" s="221" t="s">
        <v>23424</v>
      </c>
      <c r="I748" s="221"/>
      <c r="J748" s="28" t="s">
        <v>23425</v>
      </c>
      <c r="K748" s="137" t="s">
        <v>23426</v>
      </c>
      <c r="L748" s="136" t="s">
        <v>17030</v>
      </c>
      <c r="M748" s="136" t="s">
        <v>17031</v>
      </c>
    </row>
    <row r="749" spans="1:13" ht="14.25" customHeight="1">
      <c r="A749" s="113">
        <v>25</v>
      </c>
      <c r="B749" s="113"/>
      <c r="C749" s="216" t="s">
        <v>23427</v>
      </c>
      <c r="D749" s="221" t="s">
        <v>23428</v>
      </c>
      <c r="E749" s="121" t="s">
        <v>23429</v>
      </c>
      <c r="F749" s="121" t="s">
        <v>54</v>
      </c>
      <c r="G749" s="121" t="s">
        <v>23430</v>
      </c>
      <c r="H749" s="221" t="s">
        <v>23431</v>
      </c>
      <c r="I749" s="221"/>
      <c r="J749" s="28" t="s">
        <v>23432</v>
      </c>
      <c r="K749" s="137" t="s">
        <v>23433</v>
      </c>
      <c r="L749" s="136" t="s">
        <v>17039</v>
      </c>
      <c r="M749" s="136" t="s">
        <v>17040</v>
      </c>
    </row>
    <row r="750" spans="1:13" ht="14.25" customHeight="1">
      <c r="A750" s="113">
        <v>26</v>
      </c>
      <c r="B750" s="113"/>
      <c r="C750" s="211" t="s">
        <v>23434</v>
      </c>
      <c r="D750" s="221" t="s">
        <v>23435</v>
      </c>
      <c r="E750" s="121" t="s">
        <v>23436</v>
      </c>
      <c r="F750" s="121" t="s">
        <v>65</v>
      </c>
      <c r="G750" s="121" t="s">
        <v>23437</v>
      </c>
      <c r="H750" s="221" t="s">
        <v>23438</v>
      </c>
      <c r="I750" s="221"/>
      <c r="J750" s="28" t="s">
        <v>23439</v>
      </c>
      <c r="K750" s="137" t="s">
        <v>23440</v>
      </c>
      <c r="L750" s="136" t="s">
        <v>17048</v>
      </c>
      <c r="M750" s="136" t="s">
        <v>17049</v>
      </c>
    </row>
    <row r="751" spans="1:13" ht="14.25" customHeight="1">
      <c r="A751" s="113">
        <v>27</v>
      </c>
      <c r="B751" s="113"/>
      <c r="C751" s="216" t="s">
        <v>23441</v>
      </c>
      <c r="D751" s="221" t="s">
        <v>23442</v>
      </c>
      <c r="E751" s="123" t="s">
        <v>23443</v>
      </c>
      <c r="F751" s="123" t="s">
        <v>65</v>
      </c>
      <c r="G751" s="123" t="s">
        <v>23444</v>
      </c>
      <c r="H751" s="221" t="s">
        <v>23445</v>
      </c>
      <c r="I751" s="221"/>
      <c r="J751" s="28" t="s">
        <v>23446</v>
      </c>
      <c r="K751" s="137" t="s">
        <v>23447</v>
      </c>
      <c r="L751" s="136" t="s">
        <v>17057</v>
      </c>
      <c r="M751" s="136" t="s">
        <v>17058</v>
      </c>
    </row>
    <row r="752" spans="1:13" ht="14.25" customHeight="1">
      <c r="A752" s="113">
        <v>28</v>
      </c>
      <c r="B752" s="113"/>
      <c r="C752" s="216" t="s">
        <v>23448</v>
      </c>
      <c r="D752" s="221" t="s">
        <v>23449</v>
      </c>
      <c r="E752" s="121" t="s">
        <v>23450</v>
      </c>
      <c r="F752" s="121" t="s">
        <v>117</v>
      </c>
      <c r="G752" s="121" t="s">
        <v>23451</v>
      </c>
      <c r="H752" s="221" t="s">
        <v>23452</v>
      </c>
      <c r="I752" s="221"/>
      <c r="J752" s="28" t="s">
        <v>23453</v>
      </c>
      <c r="K752" s="137" t="s">
        <v>23454</v>
      </c>
      <c r="L752" s="136" t="s">
        <v>10770</v>
      </c>
      <c r="M752" s="136" t="s">
        <v>10771</v>
      </c>
    </row>
    <row r="753" spans="1:13" ht="14.25" customHeight="1">
      <c r="A753" s="113">
        <v>29</v>
      </c>
      <c r="B753" s="113"/>
      <c r="C753" s="216" t="s">
        <v>23455</v>
      </c>
      <c r="D753" s="221" t="s">
        <v>23456</v>
      </c>
      <c r="E753" s="121" t="s">
        <v>23457</v>
      </c>
      <c r="F753" s="121" t="s">
        <v>65</v>
      </c>
      <c r="G753" s="121" t="s">
        <v>23458</v>
      </c>
      <c r="H753" s="221" t="s">
        <v>23459</v>
      </c>
      <c r="I753" s="221"/>
      <c r="J753" s="28" t="s">
        <v>23460</v>
      </c>
      <c r="K753" s="137" t="s">
        <v>23461</v>
      </c>
      <c r="L753" s="136" t="s">
        <v>17067</v>
      </c>
      <c r="M753" s="136" t="s">
        <v>17068</v>
      </c>
    </row>
    <row r="754" spans="1:13" ht="14.25" customHeight="1">
      <c r="A754" s="113">
        <v>30</v>
      </c>
      <c r="B754" s="113"/>
      <c r="C754" s="216" t="s">
        <v>23462</v>
      </c>
      <c r="D754" s="221" t="s">
        <v>23463</v>
      </c>
      <c r="E754" s="121" t="s">
        <v>23464</v>
      </c>
      <c r="F754" s="121" t="s">
        <v>117</v>
      </c>
      <c r="G754" s="121" t="s">
        <v>23465</v>
      </c>
      <c r="H754" s="221" t="s">
        <v>23466</v>
      </c>
      <c r="I754" s="221"/>
      <c r="J754" s="28" t="s">
        <v>23467</v>
      </c>
      <c r="K754" s="137" t="s">
        <v>23468</v>
      </c>
      <c r="L754" s="136" t="s">
        <v>17076</v>
      </c>
      <c r="M754" s="136" t="s">
        <v>17077</v>
      </c>
    </row>
    <row r="755" spans="1:13" ht="14.25" customHeight="1">
      <c r="A755" s="113">
        <v>31</v>
      </c>
      <c r="B755" s="113"/>
      <c r="C755" s="216" t="s">
        <v>23469</v>
      </c>
      <c r="D755" s="221" t="s">
        <v>23470</v>
      </c>
      <c r="E755" s="121" t="s">
        <v>13653</v>
      </c>
      <c r="F755" s="121" t="s">
        <v>54</v>
      </c>
      <c r="G755" s="121" t="s">
        <v>23471</v>
      </c>
      <c r="H755" s="221" t="s">
        <v>23472</v>
      </c>
      <c r="I755" s="221"/>
      <c r="J755" s="28" t="s">
        <v>23473</v>
      </c>
      <c r="K755" s="137" t="s">
        <v>23474</v>
      </c>
      <c r="L755" s="136" t="s">
        <v>17085</v>
      </c>
      <c r="M755" s="136" t="s">
        <v>17086</v>
      </c>
    </row>
    <row r="756" spans="1:13" ht="14.25" customHeight="1">
      <c r="A756" s="113">
        <v>32</v>
      </c>
      <c r="B756" s="113"/>
      <c r="C756" s="216" t="s">
        <v>23475</v>
      </c>
      <c r="D756" s="221" t="s">
        <v>23476</v>
      </c>
      <c r="E756" s="121" t="s">
        <v>23477</v>
      </c>
      <c r="F756" s="121" t="s">
        <v>54</v>
      </c>
      <c r="G756" s="121" t="s">
        <v>23478</v>
      </c>
      <c r="H756" s="221" t="s">
        <v>23479</v>
      </c>
      <c r="I756" s="221"/>
      <c r="J756" s="28" t="s">
        <v>23480</v>
      </c>
      <c r="K756" s="137" t="s">
        <v>23481</v>
      </c>
      <c r="L756" s="136" t="s">
        <v>17094</v>
      </c>
      <c r="M756" s="136" t="s">
        <v>17095</v>
      </c>
    </row>
    <row r="757" spans="1:13" ht="14.25" customHeight="1">
      <c r="A757" s="113">
        <v>33</v>
      </c>
      <c r="B757" s="113"/>
      <c r="C757" s="216" t="s">
        <v>23482</v>
      </c>
      <c r="D757" s="221" t="s">
        <v>23483</v>
      </c>
      <c r="E757" s="121" t="s">
        <v>23484</v>
      </c>
      <c r="F757" s="121"/>
      <c r="G757" s="121" t="s">
        <v>23485</v>
      </c>
      <c r="H757" s="221" t="s">
        <v>23486</v>
      </c>
      <c r="I757" s="221"/>
      <c r="J757" s="28" t="s">
        <v>23487</v>
      </c>
      <c r="K757" s="137" t="s">
        <v>23488</v>
      </c>
      <c r="L757" s="136" t="s">
        <v>23489</v>
      </c>
      <c r="M757" s="136" t="s">
        <v>23490</v>
      </c>
    </row>
    <row r="758" spans="1:13" ht="14.25" customHeight="1">
      <c r="A758" s="113">
        <v>34</v>
      </c>
      <c r="B758" s="113"/>
      <c r="C758" s="216" t="s">
        <v>23491</v>
      </c>
      <c r="D758" s="221" t="s">
        <v>23492</v>
      </c>
      <c r="E758" s="121" t="s">
        <v>4957</v>
      </c>
      <c r="F758" s="121" t="s">
        <v>320</v>
      </c>
      <c r="G758" s="121" t="s">
        <v>23493</v>
      </c>
      <c r="H758" s="221" t="s">
        <v>23494</v>
      </c>
      <c r="I758" s="221"/>
      <c r="J758" s="28" t="s">
        <v>23495</v>
      </c>
      <c r="K758" s="137" t="s">
        <v>23496</v>
      </c>
      <c r="L758" s="136" t="s">
        <v>23497</v>
      </c>
      <c r="M758" s="136" t="s">
        <v>23498</v>
      </c>
    </row>
    <row r="759" spans="1:13" ht="14.25" customHeight="1">
      <c r="A759" s="113">
        <v>35</v>
      </c>
      <c r="B759" s="113"/>
      <c r="C759" s="216" t="s">
        <v>23499</v>
      </c>
      <c r="D759" s="221" t="s">
        <v>23500</v>
      </c>
      <c r="E759" s="121" t="s">
        <v>23501</v>
      </c>
      <c r="F759" s="121" t="s">
        <v>117</v>
      </c>
      <c r="G759" s="121" t="s">
        <v>23502</v>
      </c>
      <c r="H759" s="221" t="s">
        <v>23503</v>
      </c>
      <c r="I759" s="221"/>
      <c r="J759" s="28" t="s">
        <v>23504</v>
      </c>
      <c r="K759" s="137" t="s">
        <v>23505</v>
      </c>
      <c r="L759" s="136" t="s">
        <v>23506</v>
      </c>
      <c r="M759" s="136" t="s">
        <v>23507</v>
      </c>
    </row>
    <row r="760" spans="1:13" ht="14.25" customHeight="1">
      <c r="A760" s="113">
        <v>36</v>
      </c>
      <c r="B760" s="113"/>
      <c r="C760" s="216" t="s">
        <v>23508</v>
      </c>
      <c r="D760" s="221" t="s">
        <v>23509</v>
      </c>
      <c r="E760" s="121" t="s">
        <v>23510</v>
      </c>
      <c r="F760" s="121" t="s">
        <v>117</v>
      </c>
      <c r="G760" s="121" t="s">
        <v>23511</v>
      </c>
      <c r="H760" s="221" t="s">
        <v>23512</v>
      </c>
      <c r="I760" s="221"/>
      <c r="J760" s="28" t="s">
        <v>23513</v>
      </c>
      <c r="K760" s="137" t="s">
        <v>23514</v>
      </c>
      <c r="L760" s="136" t="s">
        <v>23515</v>
      </c>
      <c r="M760" s="136" t="s">
        <v>23516</v>
      </c>
    </row>
    <row r="761" spans="1:13" ht="14.25" customHeight="1">
      <c r="A761" s="113">
        <v>37</v>
      </c>
      <c r="B761" s="113"/>
      <c r="C761" s="216" t="s">
        <v>23517</v>
      </c>
      <c r="D761" s="221" t="s">
        <v>23518</v>
      </c>
      <c r="E761" s="121" t="s">
        <v>23519</v>
      </c>
      <c r="F761" s="121" t="s">
        <v>54</v>
      </c>
      <c r="G761" s="121" t="s">
        <v>23520</v>
      </c>
      <c r="H761" s="221" t="s">
        <v>23521</v>
      </c>
      <c r="I761" s="221"/>
      <c r="J761" s="28" t="s">
        <v>23522</v>
      </c>
      <c r="K761" s="137" t="s">
        <v>23523</v>
      </c>
      <c r="L761" s="136" t="s">
        <v>23524</v>
      </c>
      <c r="M761" s="136" t="s">
        <v>23525</v>
      </c>
    </row>
    <row r="762" spans="1:13" ht="14.25" customHeight="1">
      <c r="A762" s="113">
        <v>38</v>
      </c>
      <c r="B762" s="113"/>
      <c r="C762" s="216" t="s">
        <v>23526</v>
      </c>
      <c r="D762" s="221" t="s">
        <v>23527</v>
      </c>
      <c r="E762" s="121" t="s">
        <v>23528</v>
      </c>
      <c r="F762" s="121" t="s">
        <v>65</v>
      </c>
      <c r="G762" s="121" t="s">
        <v>23529</v>
      </c>
      <c r="H762" s="221" t="s">
        <v>23530</v>
      </c>
      <c r="I762" s="221"/>
      <c r="J762" s="28" t="s">
        <v>23531</v>
      </c>
      <c r="K762" s="137" t="s">
        <v>23532</v>
      </c>
      <c r="L762" s="113" t="s">
        <v>23533</v>
      </c>
      <c r="M762" s="136" t="s">
        <v>23534</v>
      </c>
    </row>
    <row r="763" spans="1:13" ht="14.25" customHeight="1">
      <c r="A763" s="113">
        <v>39</v>
      </c>
      <c r="B763" s="113"/>
      <c r="C763" s="216" t="s">
        <v>23535</v>
      </c>
      <c r="D763" s="221" t="s">
        <v>23536</v>
      </c>
      <c r="E763" s="121" t="s">
        <v>23537</v>
      </c>
      <c r="F763" s="121" t="s">
        <v>117</v>
      </c>
      <c r="G763" s="121" t="s">
        <v>23538</v>
      </c>
      <c r="H763" s="221" t="s">
        <v>23539</v>
      </c>
      <c r="I763" s="221"/>
      <c r="J763" s="28" t="s">
        <v>23540</v>
      </c>
      <c r="K763" s="137" t="s">
        <v>23541</v>
      </c>
      <c r="L763" s="136" t="s">
        <v>23542</v>
      </c>
      <c r="M763" s="136" t="s">
        <v>23543</v>
      </c>
    </row>
    <row r="764" spans="1:13" ht="14.25" customHeight="1">
      <c r="A764" s="113">
        <v>40</v>
      </c>
      <c r="B764" s="113"/>
      <c r="C764" s="216" t="s">
        <v>23544</v>
      </c>
      <c r="D764" s="221" t="s">
        <v>23545</v>
      </c>
      <c r="E764" s="121" t="s">
        <v>23546</v>
      </c>
      <c r="F764" s="121" t="s">
        <v>117</v>
      </c>
      <c r="G764" s="121" t="s">
        <v>23547</v>
      </c>
      <c r="H764" s="221" t="s">
        <v>23548</v>
      </c>
      <c r="I764" s="221"/>
      <c r="J764" s="28" t="s">
        <v>23549</v>
      </c>
      <c r="K764" s="137" t="s">
        <v>23550</v>
      </c>
      <c r="L764" s="136" t="s">
        <v>23551</v>
      </c>
      <c r="M764" s="136" t="s">
        <v>23552</v>
      </c>
    </row>
    <row r="765" spans="1:13" ht="14.25" customHeight="1">
      <c r="A765" s="113">
        <v>41</v>
      </c>
      <c r="B765" s="113"/>
      <c r="C765" s="216" t="s">
        <v>23553</v>
      </c>
      <c r="D765" s="221" t="s">
        <v>23554</v>
      </c>
      <c r="E765" s="121" t="s">
        <v>23555</v>
      </c>
      <c r="F765" s="121" t="s">
        <v>501</v>
      </c>
      <c r="G765" s="121" t="s">
        <v>23556</v>
      </c>
      <c r="H765" s="221" t="s">
        <v>23557</v>
      </c>
      <c r="I765" s="221"/>
      <c r="J765" s="28" t="s">
        <v>23558</v>
      </c>
      <c r="K765" s="137" t="s">
        <v>23559</v>
      </c>
      <c r="L765" s="136" t="s">
        <v>23560</v>
      </c>
      <c r="M765" s="136" t="s">
        <v>23561</v>
      </c>
    </row>
    <row r="766" spans="1:13" ht="14.25" customHeight="1">
      <c r="A766" s="113">
        <v>42</v>
      </c>
      <c r="B766" s="113"/>
      <c r="C766" s="216" t="s">
        <v>23562</v>
      </c>
      <c r="D766" s="221" t="s">
        <v>23563</v>
      </c>
      <c r="E766" s="121" t="s">
        <v>23564</v>
      </c>
      <c r="F766" s="121" t="s">
        <v>65</v>
      </c>
      <c r="G766" s="121" t="s">
        <v>23565</v>
      </c>
      <c r="H766" s="221" t="s">
        <v>23566</v>
      </c>
      <c r="I766" s="221"/>
      <c r="J766" s="28" t="s">
        <v>23567</v>
      </c>
      <c r="K766" s="137" t="s">
        <v>23568</v>
      </c>
      <c r="L766" s="136" t="s">
        <v>23569</v>
      </c>
      <c r="M766" s="136" t="s">
        <v>23570</v>
      </c>
    </row>
    <row r="767" spans="1:13" ht="14.25" customHeight="1">
      <c r="A767" s="113">
        <v>43</v>
      </c>
      <c r="B767" s="113"/>
      <c r="C767" s="216" t="s">
        <v>23571</v>
      </c>
      <c r="D767" s="221" t="s">
        <v>23572</v>
      </c>
      <c r="E767" s="121" t="s">
        <v>23573</v>
      </c>
      <c r="F767" s="121" t="s">
        <v>65</v>
      </c>
      <c r="G767" s="121" t="s">
        <v>23574</v>
      </c>
      <c r="H767" s="221" t="s">
        <v>23575</v>
      </c>
      <c r="I767" s="221"/>
      <c r="J767" s="28" t="s">
        <v>23576</v>
      </c>
      <c r="K767" s="137" t="s">
        <v>23577</v>
      </c>
      <c r="L767" s="136" t="s">
        <v>23578</v>
      </c>
      <c r="M767" s="136" t="s">
        <v>23579</v>
      </c>
    </row>
    <row r="768" spans="1:13" ht="14.25" customHeight="1">
      <c r="A768" s="113">
        <v>44</v>
      </c>
      <c r="B768" s="113"/>
      <c r="C768" s="216" t="s">
        <v>23580</v>
      </c>
      <c r="D768" s="221" t="s">
        <v>23581</v>
      </c>
      <c r="E768" s="121" t="s">
        <v>23582</v>
      </c>
      <c r="F768" s="121" t="s">
        <v>54</v>
      </c>
      <c r="G768" s="121" t="s">
        <v>23583</v>
      </c>
      <c r="H768" s="221" t="s">
        <v>23584</v>
      </c>
      <c r="I768" s="221"/>
      <c r="J768" s="28" t="s">
        <v>23585</v>
      </c>
      <c r="K768" s="137" t="s">
        <v>23586</v>
      </c>
      <c r="L768" s="136" t="s">
        <v>23587</v>
      </c>
      <c r="M768" s="136" t="s">
        <v>23588</v>
      </c>
    </row>
    <row r="769" spans="1:13" ht="14.25" customHeight="1">
      <c r="A769" s="210">
        <v>1</v>
      </c>
      <c r="B769" s="210"/>
      <c r="C769" s="211" t="s">
        <v>23589</v>
      </c>
      <c r="D769" s="239" t="s">
        <v>23590</v>
      </c>
      <c r="E769" s="283" t="s">
        <v>23591</v>
      </c>
      <c r="F769" s="283" t="s">
        <v>54</v>
      </c>
      <c r="G769" s="283" t="s">
        <v>23592</v>
      </c>
      <c r="H769" s="239" t="s">
        <v>23593</v>
      </c>
      <c r="I769" s="239"/>
      <c r="J769" s="263" t="s">
        <v>23594</v>
      </c>
      <c r="K769" s="215" t="s">
        <v>23595</v>
      </c>
      <c r="L769" s="210" t="s">
        <v>17103</v>
      </c>
      <c r="M769" s="247" t="s">
        <v>17104</v>
      </c>
    </row>
    <row r="770" spans="1:13" ht="14.25" customHeight="1">
      <c r="A770" s="113">
        <v>2</v>
      </c>
      <c r="B770" s="113"/>
      <c r="C770" s="216" t="s">
        <v>23596</v>
      </c>
      <c r="D770" s="221" t="s">
        <v>23597</v>
      </c>
      <c r="E770" s="121" t="s">
        <v>23598</v>
      </c>
      <c r="F770" s="121"/>
      <c r="G770" s="121" t="s">
        <v>23599</v>
      </c>
      <c r="H770" s="221" t="s">
        <v>23600</v>
      </c>
      <c r="I770" s="221"/>
      <c r="J770" s="28" t="s">
        <v>23601</v>
      </c>
      <c r="K770" s="137" t="s">
        <v>23602</v>
      </c>
      <c r="L770" s="136" t="s">
        <v>17112</v>
      </c>
      <c r="M770" s="136" t="s">
        <v>17113</v>
      </c>
    </row>
    <row r="771" spans="1:13" ht="14.25" customHeight="1">
      <c r="A771" s="113">
        <v>3</v>
      </c>
      <c r="B771" s="113"/>
      <c r="C771" s="216" t="s">
        <v>23603</v>
      </c>
      <c r="D771" s="221" t="s">
        <v>23604</v>
      </c>
      <c r="E771" s="121" t="s">
        <v>23605</v>
      </c>
      <c r="F771" s="121" t="s">
        <v>65</v>
      </c>
      <c r="G771" s="121" t="s">
        <v>23606</v>
      </c>
      <c r="H771" s="221" t="s">
        <v>23607</v>
      </c>
      <c r="I771" s="221"/>
      <c r="J771" s="28" t="s">
        <v>23608</v>
      </c>
      <c r="K771" s="137" t="s">
        <v>23609</v>
      </c>
      <c r="L771" s="136" t="s">
        <v>17121</v>
      </c>
      <c r="M771" s="136" t="s">
        <v>17122</v>
      </c>
    </row>
    <row r="772" spans="1:13" ht="14.25" customHeight="1">
      <c r="A772" s="113">
        <v>4</v>
      </c>
      <c r="B772" s="113"/>
      <c r="C772" s="216" t="s">
        <v>23610</v>
      </c>
      <c r="D772" s="221" t="s">
        <v>23611</v>
      </c>
      <c r="E772" s="121" t="s">
        <v>23612</v>
      </c>
      <c r="F772" s="121" t="s">
        <v>65</v>
      </c>
      <c r="G772" s="121" t="s">
        <v>23613</v>
      </c>
      <c r="H772" s="221" t="s">
        <v>23614</v>
      </c>
      <c r="I772" s="221"/>
      <c r="J772" s="28" t="s">
        <v>23615</v>
      </c>
      <c r="K772" s="137" t="s">
        <v>23616</v>
      </c>
      <c r="L772" s="136" t="s">
        <v>17130</v>
      </c>
      <c r="M772" s="136" t="s">
        <v>17131</v>
      </c>
    </row>
    <row r="773" spans="1:13" ht="14.25" customHeight="1">
      <c r="A773" s="113">
        <v>5</v>
      </c>
      <c r="B773" s="113"/>
      <c r="C773" s="216" t="s">
        <v>23617</v>
      </c>
      <c r="D773" s="221" t="s">
        <v>23618</v>
      </c>
      <c r="E773" s="121" t="s">
        <v>23619</v>
      </c>
      <c r="F773" s="121" t="s">
        <v>65</v>
      </c>
      <c r="G773" s="121" t="s">
        <v>23620</v>
      </c>
      <c r="H773" s="221" t="s">
        <v>23621</v>
      </c>
      <c r="I773" s="221"/>
      <c r="J773" s="28" t="s">
        <v>23622</v>
      </c>
      <c r="K773" s="137" t="s">
        <v>23623</v>
      </c>
      <c r="L773" s="136" t="s">
        <v>17139</v>
      </c>
      <c r="M773" s="136" t="s">
        <v>17140</v>
      </c>
    </row>
    <row r="774" spans="1:13" ht="14.25" customHeight="1">
      <c r="A774" s="113">
        <v>6</v>
      </c>
      <c r="B774" s="113"/>
      <c r="C774" s="216" t="s">
        <v>20076</v>
      </c>
      <c r="D774" s="221" t="s">
        <v>20077</v>
      </c>
      <c r="E774" s="121" t="s">
        <v>11902</v>
      </c>
      <c r="F774" s="121" t="s">
        <v>117</v>
      </c>
      <c r="G774" s="121" t="s">
        <v>23624</v>
      </c>
      <c r="H774" s="221" t="s">
        <v>23625</v>
      </c>
      <c r="I774" s="221"/>
      <c r="J774" s="28" t="s">
        <v>23626</v>
      </c>
      <c r="K774" s="137" t="s">
        <v>23627</v>
      </c>
      <c r="L774" s="136" t="s">
        <v>17148</v>
      </c>
      <c r="M774" s="136" t="s">
        <v>17149</v>
      </c>
    </row>
    <row r="775" spans="1:13" ht="14.25" customHeight="1">
      <c r="A775" s="113">
        <v>7</v>
      </c>
      <c r="B775" s="113"/>
      <c r="C775" s="216" t="s">
        <v>23628</v>
      </c>
      <c r="D775" s="221" t="s">
        <v>23629</v>
      </c>
      <c r="E775" s="121" t="s">
        <v>23630</v>
      </c>
      <c r="F775" s="121" t="s">
        <v>54</v>
      </c>
      <c r="G775" s="121" t="s">
        <v>23631</v>
      </c>
      <c r="H775" s="221" t="s">
        <v>23632</v>
      </c>
      <c r="I775" s="221"/>
      <c r="J775" s="28" t="s">
        <v>23633</v>
      </c>
      <c r="K775" s="137" t="s">
        <v>23634</v>
      </c>
      <c r="L775" s="136" t="s">
        <v>17156</v>
      </c>
      <c r="M775" s="136" t="s">
        <v>17157</v>
      </c>
    </row>
    <row r="776" spans="1:13" ht="14.25" customHeight="1">
      <c r="A776" s="113">
        <v>8</v>
      </c>
      <c r="B776" s="113"/>
      <c r="C776" s="216" t="s">
        <v>23635</v>
      </c>
      <c r="D776" s="221" t="s">
        <v>23636</v>
      </c>
      <c r="E776" s="121" t="s">
        <v>23637</v>
      </c>
      <c r="F776" s="121" t="s">
        <v>65</v>
      </c>
      <c r="G776" s="121" t="s">
        <v>23638</v>
      </c>
      <c r="H776" s="221" t="s">
        <v>23639</v>
      </c>
      <c r="I776" s="221"/>
      <c r="J776" s="28" t="s">
        <v>23640</v>
      </c>
      <c r="K776" s="137" t="s">
        <v>23641</v>
      </c>
      <c r="L776" s="136" t="s">
        <v>17165</v>
      </c>
      <c r="M776" s="136" t="s">
        <v>17166</v>
      </c>
    </row>
    <row r="777" spans="1:13" ht="14.25" customHeight="1">
      <c r="A777" s="113">
        <v>9</v>
      </c>
      <c r="B777" s="113"/>
      <c r="C777" s="211" t="s">
        <v>23642</v>
      </c>
      <c r="D777" s="221" t="s">
        <v>23643</v>
      </c>
      <c r="E777" s="121" t="s">
        <v>23644</v>
      </c>
      <c r="F777" s="121" t="s">
        <v>54</v>
      </c>
      <c r="G777" s="121" t="s">
        <v>23645</v>
      </c>
      <c r="H777" s="221" t="s">
        <v>23646</v>
      </c>
      <c r="I777" s="221"/>
      <c r="J777" s="28" t="s">
        <v>23647</v>
      </c>
      <c r="K777" s="137" t="s">
        <v>23648</v>
      </c>
      <c r="L777" s="136" t="s">
        <v>10860</v>
      </c>
      <c r="M777" s="136" t="s">
        <v>10861</v>
      </c>
    </row>
    <row r="778" spans="1:13" ht="14.25" customHeight="1">
      <c r="A778" s="113">
        <v>10</v>
      </c>
      <c r="B778" s="113"/>
      <c r="C778" s="216" t="s">
        <v>23649</v>
      </c>
      <c r="D778" s="221" t="s">
        <v>23650</v>
      </c>
      <c r="E778" s="121" t="s">
        <v>23651</v>
      </c>
      <c r="F778" s="121" t="s">
        <v>117</v>
      </c>
      <c r="G778" s="121" t="s">
        <v>23652</v>
      </c>
      <c r="H778" s="221" t="s">
        <v>23653</v>
      </c>
      <c r="I778" s="221"/>
      <c r="J778" s="28" t="s">
        <v>23654</v>
      </c>
      <c r="K778" s="137" t="s">
        <v>23655</v>
      </c>
      <c r="L778" s="136" t="s">
        <v>17175</v>
      </c>
      <c r="M778" s="136" t="s">
        <v>17176</v>
      </c>
    </row>
    <row r="779" spans="1:13" ht="14.25" customHeight="1">
      <c r="A779" s="113">
        <v>11</v>
      </c>
      <c r="B779" s="113"/>
      <c r="C779" s="216" t="s">
        <v>23656</v>
      </c>
      <c r="D779" s="221" t="s">
        <v>23657</v>
      </c>
      <c r="E779" s="121" t="s">
        <v>23658</v>
      </c>
      <c r="F779" s="121" t="s">
        <v>664</v>
      </c>
      <c r="G779" s="121" t="s">
        <v>23659</v>
      </c>
      <c r="H779" s="221" t="s">
        <v>23660</v>
      </c>
      <c r="I779" s="221"/>
      <c r="J779" s="28" t="s">
        <v>23661</v>
      </c>
      <c r="K779" s="137" t="s">
        <v>23662</v>
      </c>
      <c r="L779" s="136" t="s">
        <v>11077</v>
      </c>
      <c r="M779" s="136" t="s">
        <v>11078</v>
      </c>
    </row>
    <row r="780" spans="1:13" ht="14.25" customHeight="1">
      <c r="A780" s="113">
        <v>12</v>
      </c>
      <c r="B780" s="113"/>
      <c r="C780" s="216" t="s">
        <v>23663</v>
      </c>
      <c r="D780" s="221" t="s">
        <v>23664</v>
      </c>
      <c r="E780" s="121" t="s">
        <v>23665</v>
      </c>
      <c r="F780" s="121" t="s">
        <v>117</v>
      </c>
      <c r="G780" s="121" t="s">
        <v>23666</v>
      </c>
      <c r="H780" s="221" t="s">
        <v>23667</v>
      </c>
      <c r="I780" s="221"/>
      <c r="J780" s="28" t="s">
        <v>23668</v>
      </c>
      <c r="K780" s="137" t="s">
        <v>23669</v>
      </c>
      <c r="L780" s="136" t="s">
        <v>17184</v>
      </c>
      <c r="M780" s="136" t="s">
        <v>17185</v>
      </c>
    </row>
    <row r="781" spans="1:13" ht="14.25" customHeight="1">
      <c r="A781" s="113">
        <v>13</v>
      </c>
      <c r="B781" s="113"/>
      <c r="C781" s="216" t="s">
        <v>23670</v>
      </c>
      <c r="D781" s="221" t="s">
        <v>23671</v>
      </c>
      <c r="E781" s="121" t="s">
        <v>23672</v>
      </c>
      <c r="F781" s="121" t="s">
        <v>6748</v>
      </c>
      <c r="G781" s="121" t="s">
        <v>23673</v>
      </c>
      <c r="H781" s="221" t="s">
        <v>23674</v>
      </c>
      <c r="I781" s="221"/>
      <c r="J781" s="28" t="s">
        <v>23675</v>
      </c>
      <c r="K781" s="137" t="s">
        <v>23676</v>
      </c>
      <c r="L781" s="136" t="s">
        <v>17193</v>
      </c>
      <c r="M781" s="136" t="s">
        <v>17194</v>
      </c>
    </row>
    <row r="782" spans="1:13" ht="14.25" customHeight="1">
      <c r="A782" s="113">
        <v>14</v>
      </c>
      <c r="B782" s="113"/>
      <c r="C782" s="216" t="s">
        <v>23677</v>
      </c>
      <c r="D782" s="221" t="s">
        <v>23678</v>
      </c>
      <c r="E782" s="121" t="s">
        <v>23679</v>
      </c>
      <c r="F782" s="121" t="s">
        <v>65</v>
      </c>
      <c r="G782" s="121" t="s">
        <v>23680</v>
      </c>
      <c r="H782" s="221" t="s">
        <v>23681</v>
      </c>
      <c r="I782" s="221"/>
      <c r="J782" s="28" t="s">
        <v>23682</v>
      </c>
      <c r="K782" s="137" t="s">
        <v>23683</v>
      </c>
      <c r="L782" s="136" t="s">
        <v>17202</v>
      </c>
      <c r="M782" s="136" t="s">
        <v>17203</v>
      </c>
    </row>
    <row r="783" spans="1:13" ht="14.25" customHeight="1">
      <c r="A783" s="113">
        <v>15</v>
      </c>
      <c r="B783" s="113"/>
      <c r="C783" s="216" t="s">
        <v>23684</v>
      </c>
      <c r="D783" s="221" t="s">
        <v>23685</v>
      </c>
      <c r="E783" s="121" t="s">
        <v>23686</v>
      </c>
      <c r="F783" s="121" t="s">
        <v>117</v>
      </c>
      <c r="G783" s="121" t="s">
        <v>23687</v>
      </c>
      <c r="H783" s="221" t="s">
        <v>23688</v>
      </c>
      <c r="I783" s="221"/>
      <c r="J783" s="28" t="s">
        <v>23689</v>
      </c>
      <c r="K783" s="137" t="s">
        <v>23690</v>
      </c>
      <c r="L783" s="136" t="s">
        <v>17211</v>
      </c>
      <c r="M783" s="136" t="s">
        <v>17212</v>
      </c>
    </row>
    <row r="784" spans="1:13" ht="14.25" customHeight="1">
      <c r="A784" s="113">
        <v>16</v>
      </c>
      <c r="B784" s="113"/>
      <c r="C784" s="216" t="s">
        <v>23691</v>
      </c>
      <c r="D784" s="221" t="s">
        <v>23692</v>
      </c>
      <c r="E784" s="121" t="s">
        <v>23693</v>
      </c>
      <c r="F784" s="121" t="s">
        <v>65</v>
      </c>
      <c r="G784" s="121" t="s">
        <v>23694</v>
      </c>
      <c r="H784" s="221" t="s">
        <v>23695</v>
      </c>
      <c r="I784" s="221"/>
      <c r="J784" s="28" t="s">
        <v>23696</v>
      </c>
      <c r="K784" s="137" t="s">
        <v>23697</v>
      </c>
      <c r="L784" s="136" t="s">
        <v>17220</v>
      </c>
      <c r="M784" s="136" t="s">
        <v>17221</v>
      </c>
    </row>
    <row r="785" spans="1:13" ht="14.25" customHeight="1">
      <c r="A785" s="113">
        <v>17</v>
      </c>
      <c r="B785" s="113"/>
      <c r="C785" s="216" t="s">
        <v>23698</v>
      </c>
      <c r="D785" s="221" t="s">
        <v>23699</v>
      </c>
      <c r="E785" s="121" t="s">
        <v>19812</v>
      </c>
      <c r="F785" s="121" t="s">
        <v>23700</v>
      </c>
      <c r="G785" s="121" t="s">
        <v>23701</v>
      </c>
      <c r="H785" s="221" t="s">
        <v>23702</v>
      </c>
      <c r="I785" s="221"/>
      <c r="J785" s="28" t="s">
        <v>23703</v>
      </c>
      <c r="K785" s="137" t="s">
        <v>23704</v>
      </c>
      <c r="L785" s="136" t="s">
        <v>17229</v>
      </c>
      <c r="M785" s="136" t="s">
        <v>17230</v>
      </c>
    </row>
    <row r="786" spans="1:13" ht="14.25" customHeight="1">
      <c r="A786" s="113">
        <v>18</v>
      </c>
      <c r="B786" s="113"/>
      <c r="C786" s="216" t="s">
        <v>23705</v>
      </c>
      <c r="D786" s="221" t="s">
        <v>23706</v>
      </c>
      <c r="E786" s="121" t="s">
        <v>10554</v>
      </c>
      <c r="F786" s="121" t="s">
        <v>117</v>
      </c>
      <c r="G786" s="121" t="s">
        <v>23707</v>
      </c>
      <c r="H786" s="221" t="s">
        <v>23708</v>
      </c>
      <c r="I786" s="221"/>
      <c r="J786" s="28" t="s">
        <v>23709</v>
      </c>
      <c r="K786" s="137" t="s">
        <v>23710</v>
      </c>
      <c r="L786" s="136" t="s">
        <v>17238</v>
      </c>
      <c r="M786" s="136" t="s">
        <v>17239</v>
      </c>
    </row>
    <row r="787" spans="1:13" ht="14.25" customHeight="1">
      <c r="A787" s="113">
        <v>19</v>
      </c>
      <c r="B787" s="113"/>
      <c r="C787" s="216" t="s">
        <v>23711</v>
      </c>
      <c r="D787" s="221" t="s">
        <v>23712</v>
      </c>
      <c r="E787" s="121" t="s">
        <v>23713</v>
      </c>
      <c r="F787" s="121" t="s">
        <v>117</v>
      </c>
      <c r="G787" s="121" t="s">
        <v>23714</v>
      </c>
      <c r="H787" s="221" t="s">
        <v>23715</v>
      </c>
      <c r="I787" s="221"/>
      <c r="J787" s="28" t="s">
        <v>23716</v>
      </c>
      <c r="K787" s="137" t="s">
        <v>23717</v>
      </c>
      <c r="L787" s="136" t="s">
        <v>17247</v>
      </c>
      <c r="M787" s="136" t="s">
        <v>17248</v>
      </c>
    </row>
    <row r="788" spans="1:13" ht="14.25" customHeight="1">
      <c r="A788" s="113">
        <v>20</v>
      </c>
      <c r="B788" s="113"/>
      <c r="C788" s="216" t="s">
        <v>23718</v>
      </c>
      <c r="D788" s="221" t="s">
        <v>23719</v>
      </c>
      <c r="E788" s="123" t="s">
        <v>23720</v>
      </c>
      <c r="F788" s="123" t="s">
        <v>65</v>
      </c>
      <c r="G788" s="123" t="s">
        <v>23721</v>
      </c>
      <c r="H788" s="221" t="s">
        <v>23722</v>
      </c>
      <c r="I788" s="221"/>
      <c r="J788" s="28" t="s">
        <v>23723</v>
      </c>
      <c r="K788" s="137" t="s">
        <v>23724</v>
      </c>
      <c r="L788" s="136" t="s">
        <v>17255</v>
      </c>
      <c r="M788" s="136" t="s">
        <v>17256</v>
      </c>
    </row>
    <row r="789" spans="1:13" ht="14.25" customHeight="1">
      <c r="A789" s="113">
        <v>21</v>
      </c>
      <c r="B789" s="113"/>
      <c r="C789" s="216" t="s">
        <v>23725</v>
      </c>
      <c r="D789" s="221" t="s">
        <v>23726</v>
      </c>
      <c r="E789" s="121" t="s">
        <v>23727</v>
      </c>
      <c r="F789" s="121" t="s">
        <v>117</v>
      </c>
      <c r="G789" s="121" t="s">
        <v>23728</v>
      </c>
      <c r="H789" s="221" t="s">
        <v>23729</v>
      </c>
      <c r="I789" s="221"/>
      <c r="J789" s="28" t="s">
        <v>23730</v>
      </c>
      <c r="K789" s="137" t="s">
        <v>23731</v>
      </c>
      <c r="L789" s="136" t="s">
        <v>17263</v>
      </c>
      <c r="M789" s="136" t="s">
        <v>17264</v>
      </c>
    </row>
    <row r="790" spans="1:13" ht="14.25" customHeight="1">
      <c r="A790" s="113">
        <v>22</v>
      </c>
      <c r="B790" s="113"/>
      <c r="C790" s="216" t="s">
        <v>23732</v>
      </c>
      <c r="D790" s="221" t="s">
        <v>23733</v>
      </c>
      <c r="E790" s="121" t="s">
        <v>23734</v>
      </c>
      <c r="F790" s="121" t="s">
        <v>65</v>
      </c>
      <c r="G790" s="121" t="s">
        <v>23735</v>
      </c>
      <c r="H790" s="221" t="s">
        <v>23736</v>
      </c>
      <c r="I790" s="221"/>
      <c r="J790" s="28" t="s">
        <v>23737</v>
      </c>
      <c r="K790" s="137" t="s">
        <v>23738</v>
      </c>
      <c r="L790" s="136" t="s">
        <v>17271</v>
      </c>
      <c r="M790" s="136" t="s">
        <v>17272</v>
      </c>
    </row>
    <row r="791" spans="1:13" ht="14.25" customHeight="1">
      <c r="A791" s="113">
        <v>23</v>
      </c>
      <c r="B791" s="113"/>
      <c r="C791" s="216" t="s">
        <v>23739</v>
      </c>
      <c r="D791" s="221" t="s">
        <v>23740</v>
      </c>
      <c r="E791" s="121" t="s">
        <v>23741</v>
      </c>
      <c r="F791" s="121" t="s">
        <v>65</v>
      </c>
      <c r="G791" s="121" t="s">
        <v>23742</v>
      </c>
      <c r="H791" s="221" t="s">
        <v>23743</v>
      </c>
      <c r="I791" s="221"/>
      <c r="J791" s="28" t="s">
        <v>23744</v>
      </c>
      <c r="K791" s="137" t="s">
        <v>23745</v>
      </c>
      <c r="L791" s="136" t="s">
        <v>17280</v>
      </c>
      <c r="M791" s="136" t="s">
        <v>17281</v>
      </c>
    </row>
    <row r="792" spans="1:13" ht="14.25" customHeight="1">
      <c r="A792" s="113">
        <v>24</v>
      </c>
      <c r="B792" s="113"/>
      <c r="C792" s="216" t="s">
        <v>23746</v>
      </c>
      <c r="D792" s="221" t="s">
        <v>23747</v>
      </c>
      <c r="E792" s="121" t="s">
        <v>23748</v>
      </c>
      <c r="F792" s="121" t="s">
        <v>54</v>
      </c>
      <c r="G792" s="121" t="s">
        <v>23749</v>
      </c>
      <c r="H792" s="221" t="s">
        <v>23750</v>
      </c>
      <c r="I792" s="221"/>
      <c r="J792" s="28" t="s">
        <v>23751</v>
      </c>
      <c r="K792" s="137" t="s">
        <v>23752</v>
      </c>
      <c r="L792" s="136" t="s">
        <v>17289</v>
      </c>
      <c r="M792" s="136" t="s">
        <v>17290</v>
      </c>
    </row>
    <row r="793" spans="1:13" ht="14.25" customHeight="1">
      <c r="A793" s="113">
        <v>25</v>
      </c>
      <c r="B793" s="113"/>
      <c r="C793" s="216" t="s">
        <v>23753</v>
      </c>
      <c r="D793" s="221" t="s">
        <v>23754</v>
      </c>
      <c r="E793" s="121" t="s">
        <v>23755</v>
      </c>
      <c r="F793" s="121" t="s">
        <v>65</v>
      </c>
      <c r="G793" s="121" t="s">
        <v>23756</v>
      </c>
      <c r="H793" s="221" t="s">
        <v>23757</v>
      </c>
      <c r="I793" s="221"/>
      <c r="J793" s="28" t="s">
        <v>23758</v>
      </c>
      <c r="K793" s="137" t="s">
        <v>23759</v>
      </c>
      <c r="L793" s="136" t="s">
        <v>17298</v>
      </c>
      <c r="M793" s="136" t="s">
        <v>17299</v>
      </c>
    </row>
    <row r="794" spans="1:13" ht="14.25" customHeight="1">
      <c r="A794" s="113">
        <v>26</v>
      </c>
      <c r="B794" s="113"/>
      <c r="C794" s="216" t="s">
        <v>23760</v>
      </c>
      <c r="D794" s="221" t="s">
        <v>23761</v>
      </c>
      <c r="E794" s="121" t="s">
        <v>23762</v>
      </c>
      <c r="F794" s="121" t="s">
        <v>65</v>
      </c>
      <c r="G794" s="121" t="s">
        <v>23763</v>
      </c>
      <c r="H794" s="221" t="s">
        <v>23764</v>
      </c>
      <c r="I794" s="221"/>
      <c r="J794" s="28" t="s">
        <v>23765</v>
      </c>
      <c r="K794" s="137" t="s">
        <v>23766</v>
      </c>
      <c r="L794" s="136" t="s">
        <v>17307</v>
      </c>
      <c r="M794" s="136" t="s">
        <v>17308</v>
      </c>
    </row>
    <row r="795" spans="1:13" ht="14.25" customHeight="1">
      <c r="A795" s="113">
        <v>27</v>
      </c>
      <c r="B795" s="113"/>
      <c r="C795" s="216" t="s">
        <v>23767</v>
      </c>
      <c r="D795" s="221" t="s">
        <v>23768</v>
      </c>
      <c r="E795" s="121" t="s">
        <v>23769</v>
      </c>
      <c r="F795" s="121" t="s">
        <v>6748</v>
      </c>
      <c r="G795" s="121" t="s">
        <v>23770</v>
      </c>
      <c r="H795" s="221" t="s">
        <v>23771</v>
      </c>
      <c r="I795" s="221"/>
      <c r="J795" s="28" t="s">
        <v>23772</v>
      </c>
      <c r="K795" s="137" t="s">
        <v>23773</v>
      </c>
      <c r="L795" s="136" t="s">
        <v>17316</v>
      </c>
      <c r="M795" s="136" t="s">
        <v>17317</v>
      </c>
    </row>
    <row r="796" spans="1:13" ht="14.25" customHeight="1">
      <c r="A796" s="113">
        <v>28</v>
      </c>
      <c r="B796" s="113"/>
      <c r="C796" s="216" t="s">
        <v>23774</v>
      </c>
      <c r="D796" s="221" t="s">
        <v>23775</v>
      </c>
      <c r="E796" s="121" t="s">
        <v>23776</v>
      </c>
      <c r="F796" s="121" t="s">
        <v>65</v>
      </c>
      <c r="G796" s="121" t="s">
        <v>23777</v>
      </c>
      <c r="H796" s="221" t="s">
        <v>23778</v>
      </c>
      <c r="I796" s="221"/>
      <c r="J796" s="28" t="s">
        <v>23779</v>
      </c>
      <c r="K796" s="137" t="s">
        <v>23780</v>
      </c>
      <c r="L796" s="136" t="s">
        <v>17325</v>
      </c>
      <c r="M796" s="136" t="s">
        <v>17326</v>
      </c>
    </row>
    <row r="797" spans="1:13" ht="14.25" customHeight="1">
      <c r="A797" s="113">
        <v>29</v>
      </c>
      <c r="B797" s="113"/>
      <c r="C797" s="216" t="s">
        <v>23781</v>
      </c>
      <c r="D797" s="221" t="s">
        <v>23782</v>
      </c>
      <c r="E797" s="121" t="s">
        <v>23783</v>
      </c>
      <c r="F797" s="121" t="s">
        <v>65</v>
      </c>
      <c r="G797" s="121" t="s">
        <v>23784</v>
      </c>
      <c r="H797" s="221" t="s">
        <v>23785</v>
      </c>
      <c r="I797" s="221"/>
      <c r="J797" s="28" t="s">
        <v>23786</v>
      </c>
      <c r="K797" s="137" t="s">
        <v>23787</v>
      </c>
      <c r="L797" s="136" t="s">
        <v>17334</v>
      </c>
      <c r="M797" s="136" t="s">
        <v>17335</v>
      </c>
    </row>
    <row r="798" spans="1:13" ht="14.25" customHeight="1">
      <c r="A798" s="113">
        <v>30</v>
      </c>
      <c r="B798" s="113"/>
      <c r="C798" s="216" t="s">
        <v>23788</v>
      </c>
      <c r="D798" s="221" t="s">
        <v>23789</v>
      </c>
      <c r="E798" s="121" t="s">
        <v>23790</v>
      </c>
      <c r="F798" s="121" t="s">
        <v>117</v>
      </c>
      <c r="G798" s="121" t="s">
        <v>23791</v>
      </c>
      <c r="H798" s="221" t="s">
        <v>23792</v>
      </c>
      <c r="I798" s="221"/>
      <c r="J798" s="28" t="s">
        <v>23793</v>
      </c>
      <c r="K798" s="137" t="s">
        <v>23794</v>
      </c>
      <c r="L798" s="136" t="s">
        <v>17343</v>
      </c>
      <c r="M798" s="136" t="s">
        <v>17344</v>
      </c>
    </row>
    <row r="799" spans="1:13" ht="14.25" customHeight="1">
      <c r="A799" s="113">
        <v>31</v>
      </c>
      <c r="B799" s="113"/>
      <c r="C799" s="216" t="s">
        <v>23795</v>
      </c>
      <c r="D799" s="221" t="s">
        <v>23796</v>
      </c>
      <c r="E799" s="121" t="s">
        <v>23797</v>
      </c>
      <c r="F799" s="121" t="s">
        <v>563</v>
      </c>
      <c r="G799" s="121" t="s">
        <v>23798</v>
      </c>
      <c r="H799" s="221" t="s">
        <v>23799</v>
      </c>
      <c r="I799" s="221"/>
      <c r="J799" s="28" t="s">
        <v>23800</v>
      </c>
      <c r="K799" s="137" t="s">
        <v>23801</v>
      </c>
      <c r="L799" s="136" t="s">
        <v>23802</v>
      </c>
      <c r="M799" s="136" t="s">
        <v>23803</v>
      </c>
    </row>
    <row r="800" spans="1:13" ht="14.25" customHeight="1">
      <c r="A800" s="113">
        <v>32</v>
      </c>
      <c r="B800" s="113"/>
      <c r="C800" s="216" t="s">
        <v>23804</v>
      </c>
      <c r="D800" s="221" t="s">
        <v>23805</v>
      </c>
      <c r="E800" s="121" t="s">
        <v>23806</v>
      </c>
      <c r="F800" s="121" t="s">
        <v>117</v>
      </c>
      <c r="G800" s="121" t="s">
        <v>23807</v>
      </c>
      <c r="H800" s="221" t="s">
        <v>23808</v>
      </c>
      <c r="I800" s="221"/>
      <c r="J800" s="28" t="s">
        <v>23809</v>
      </c>
      <c r="K800" s="137" t="s">
        <v>23810</v>
      </c>
      <c r="L800" s="136" t="s">
        <v>23811</v>
      </c>
      <c r="M800" s="136" t="s">
        <v>23812</v>
      </c>
    </row>
    <row r="801" spans="1:13" ht="14.25" customHeight="1">
      <c r="A801" s="113">
        <v>33</v>
      </c>
      <c r="B801" s="113"/>
      <c r="C801" s="216" t="s">
        <v>23813</v>
      </c>
      <c r="D801" s="221" t="s">
        <v>23814</v>
      </c>
      <c r="E801" s="121" t="s">
        <v>23815</v>
      </c>
      <c r="F801" s="121" t="s">
        <v>117</v>
      </c>
      <c r="G801" s="121" t="s">
        <v>23816</v>
      </c>
      <c r="H801" s="221" t="s">
        <v>23817</v>
      </c>
      <c r="I801" s="221"/>
      <c r="J801" s="28" t="s">
        <v>23818</v>
      </c>
      <c r="K801" s="137" t="s">
        <v>23819</v>
      </c>
      <c r="L801" s="136" t="s">
        <v>23820</v>
      </c>
      <c r="M801" s="136" t="s">
        <v>23821</v>
      </c>
    </row>
    <row r="802" spans="1:13" ht="14.25" customHeight="1">
      <c r="A802" s="113">
        <v>34</v>
      </c>
      <c r="B802" s="113"/>
      <c r="C802" s="216" t="s">
        <v>23822</v>
      </c>
      <c r="D802" s="221" t="s">
        <v>23823</v>
      </c>
      <c r="E802" s="121" t="s">
        <v>23824</v>
      </c>
      <c r="F802" s="121" t="s">
        <v>65</v>
      </c>
      <c r="G802" s="121" t="s">
        <v>13340</v>
      </c>
      <c r="H802" s="221" t="s">
        <v>23825</v>
      </c>
      <c r="I802" s="221"/>
      <c r="J802" s="28" t="s">
        <v>23826</v>
      </c>
      <c r="K802" s="137" t="s">
        <v>23827</v>
      </c>
      <c r="L802" s="136" t="s">
        <v>23828</v>
      </c>
      <c r="M802" s="136" t="s">
        <v>23829</v>
      </c>
    </row>
    <row r="803" spans="1:13" ht="14.25" customHeight="1">
      <c r="A803" s="113">
        <v>35</v>
      </c>
      <c r="B803" s="113"/>
      <c r="C803" s="216" t="s">
        <v>23830</v>
      </c>
      <c r="D803" s="221" t="s">
        <v>23831</v>
      </c>
      <c r="E803" s="121" t="s">
        <v>23832</v>
      </c>
      <c r="F803" s="121" t="s">
        <v>65</v>
      </c>
      <c r="G803" s="121" t="s">
        <v>23833</v>
      </c>
      <c r="H803" s="221" t="s">
        <v>23834</v>
      </c>
      <c r="I803" s="221"/>
      <c r="J803" s="28" t="s">
        <v>23835</v>
      </c>
      <c r="K803" s="137" t="s">
        <v>23836</v>
      </c>
      <c r="L803" s="136" t="s">
        <v>23837</v>
      </c>
      <c r="M803" s="136" t="s">
        <v>23838</v>
      </c>
    </row>
    <row r="804" spans="1:13" ht="14.25" customHeight="1">
      <c r="A804" s="113">
        <v>36</v>
      </c>
      <c r="B804" s="113"/>
      <c r="C804" s="216" t="s">
        <v>23839</v>
      </c>
      <c r="D804" s="221" t="s">
        <v>23840</v>
      </c>
      <c r="E804" s="121" t="s">
        <v>23841</v>
      </c>
      <c r="F804" s="121" t="s">
        <v>65</v>
      </c>
      <c r="G804" s="121" t="s">
        <v>23842</v>
      </c>
      <c r="H804" s="221" t="s">
        <v>23843</v>
      </c>
      <c r="I804" s="221"/>
      <c r="J804" s="28" t="s">
        <v>23844</v>
      </c>
      <c r="K804" s="137" t="s">
        <v>23845</v>
      </c>
      <c r="L804" s="136" t="s">
        <v>23846</v>
      </c>
      <c r="M804" s="136" t="s">
        <v>23847</v>
      </c>
    </row>
    <row r="805" spans="1:13" ht="14.25" customHeight="1">
      <c r="A805" s="210">
        <v>1</v>
      </c>
      <c r="B805" s="210"/>
      <c r="C805" s="211" t="s">
        <v>23848</v>
      </c>
      <c r="D805" s="238" t="s">
        <v>23849</v>
      </c>
      <c r="E805" s="283" t="s">
        <v>23850</v>
      </c>
      <c r="F805" s="283" t="s">
        <v>65</v>
      </c>
      <c r="G805" s="283" t="s">
        <v>23851</v>
      </c>
      <c r="H805" s="239" t="s">
        <v>23852</v>
      </c>
      <c r="I805" s="239"/>
      <c r="J805" s="263" t="s">
        <v>23853</v>
      </c>
      <c r="K805" s="215" t="s">
        <v>23854</v>
      </c>
      <c r="L805" s="210" t="s">
        <v>23855</v>
      </c>
      <c r="M805" s="247" t="s">
        <v>23856</v>
      </c>
    </row>
    <row r="806" spans="1:13" ht="14.25" customHeight="1">
      <c r="A806" s="113">
        <v>2</v>
      </c>
      <c r="B806" s="113"/>
      <c r="C806" s="216" t="s">
        <v>19832</v>
      </c>
      <c r="D806" s="217" t="s">
        <v>19833</v>
      </c>
      <c r="E806" s="121" t="s">
        <v>19834</v>
      </c>
      <c r="F806" s="121" t="s">
        <v>219</v>
      </c>
      <c r="G806" s="121" t="s">
        <v>23857</v>
      </c>
      <c r="H806" s="221" t="s">
        <v>23858</v>
      </c>
      <c r="I806" s="221"/>
      <c r="J806" s="28" t="s">
        <v>23859</v>
      </c>
      <c r="K806" s="137" t="s">
        <v>23860</v>
      </c>
      <c r="L806" s="136" t="s">
        <v>23861</v>
      </c>
      <c r="M806" s="136" t="s">
        <v>23862</v>
      </c>
    </row>
    <row r="807" spans="1:13" ht="14.25" customHeight="1">
      <c r="A807" s="113">
        <v>3</v>
      </c>
      <c r="B807" s="113"/>
      <c r="C807" s="216" t="s">
        <v>23863</v>
      </c>
      <c r="D807" s="217" t="s">
        <v>23864</v>
      </c>
      <c r="E807" s="121" t="s">
        <v>23865</v>
      </c>
      <c r="F807" s="121"/>
      <c r="G807" s="121" t="s">
        <v>23866</v>
      </c>
      <c r="H807" s="221" t="s">
        <v>23867</v>
      </c>
      <c r="I807" s="221"/>
      <c r="J807" s="28" t="s">
        <v>23868</v>
      </c>
      <c r="K807" s="137" t="s">
        <v>23869</v>
      </c>
      <c r="L807" s="136" t="s">
        <v>23870</v>
      </c>
      <c r="M807" s="136" t="s">
        <v>23871</v>
      </c>
    </row>
    <row r="808" spans="1:13" ht="14.25" customHeight="1">
      <c r="A808" s="113">
        <v>4</v>
      </c>
      <c r="B808" s="113"/>
      <c r="C808" s="216" t="s">
        <v>23872</v>
      </c>
      <c r="D808" s="217" t="s">
        <v>23873</v>
      </c>
      <c r="E808" s="121" t="s">
        <v>23874</v>
      </c>
      <c r="F808" s="121" t="s">
        <v>117</v>
      </c>
      <c r="G808" s="121" t="s">
        <v>23875</v>
      </c>
      <c r="H808" s="221" t="s">
        <v>23876</v>
      </c>
      <c r="I808" s="221"/>
      <c r="J808" s="28" t="s">
        <v>23877</v>
      </c>
      <c r="K808" s="137" t="s">
        <v>23878</v>
      </c>
      <c r="L808" s="136" t="s">
        <v>23879</v>
      </c>
      <c r="M808" s="136" t="s">
        <v>23880</v>
      </c>
    </row>
    <row r="809" spans="1:13" ht="14.25" customHeight="1">
      <c r="A809" s="113">
        <v>5</v>
      </c>
      <c r="B809" s="113"/>
      <c r="C809" s="216" t="s">
        <v>23881</v>
      </c>
      <c r="D809" s="217" t="s">
        <v>23882</v>
      </c>
      <c r="E809" s="121" t="s">
        <v>23883</v>
      </c>
      <c r="F809" s="121" t="s">
        <v>65</v>
      </c>
      <c r="G809" s="121" t="s">
        <v>23884</v>
      </c>
      <c r="H809" s="118" t="s">
        <v>23885</v>
      </c>
      <c r="I809" s="118"/>
      <c r="J809" s="28" t="s">
        <v>23886</v>
      </c>
      <c r="K809" s="137" t="s">
        <v>23887</v>
      </c>
      <c r="L809" s="136" t="s">
        <v>23888</v>
      </c>
      <c r="M809" s="136" t="s">
        <v>23889</v>
      </c>
    </row>
    <row r="810" spans="1:13" ht="14.25" customHeight="1">
      <c r="A810" s="113">
        <v>6</v>
      </c>
      <c r="B810" s="113"/>
      <c r="C810" s="216" t="s">
        <v>23890</v>
      </c>
      <c r="D810" s="217" t="s">
        <v>23891</v>
      </c>
      <c r="E810" s="121" t="s">
        <v>23892</v>
      </c>
      <c r="F810" s="121" t="s">
        <v>117</v>
      </c>
      <c r="G810" s="121" t="s">
        <v>23893</v>
      </c>
      <c r="H810" s="221" t="s">
        <v>23894</v>
      </c>
      <c r="I810" s="221"/>
      <c r="J810" s="28" t="s">
        <v>23895</v>
      </c>
      <c r="K810" s="137" t="s">
        <v>23896</v>
      </c>
      <c r="L810" s="136" t="s">
        <v>23897</v>
      </c>
      <c r="M810" s="136" t="s">
        <v>23898</v>
      </c>
    </row>
    <row r="811" spans="1:13" ht="14.25" customHeight="1">
      <c r="A811" s="113">
        <v>7</v>
      </c>
      <c r="B811" s="113"/>
      <c r="C811" s="216" t="s">
        <v>23899</v>
      </c>
      <c r="D811" s="217" t="s">
        <v>23900</v>
      </c>
      <c r="E811" s="121" t="s">
        <v>23901</v>
      </c>
      <c r="F811" s="121" t="s">
        <v>117</v>
      </c>
      <c r="G811" s="121" t="s">
        <v>23902</v>
      </c>
      <c r="H811" s="221" t="s">
        <v>23903</v>
      </c>
      <c r="I811" s="221"/>
      <c r="J811" s="28" t="s">
        <v>23904</v>
      </c>
      <c r="K811" s="137" t="s">
        <v>23905</v>
      </c>
      <c r="L811" s="136" t="s">
        <v>23906</v>
      </c>
      <c r="M811" s="136" t="s">
        <v>23907</v>
      </c>
    </row>
    <row r="812" spans="1:13" ht="14.25" customHeight="1">
      <c r="A812" s="113">
        <v>8</v>
      </c>
      <c r="B812" s="113"/>
      <c r="C812" s="216" t="s">
        <v>23908</v>
      </c>
      <c r="D812" s="217" t="s">
        <v>23909</v>
      </c>
      <c r="E812" s="121" t="s">
        <v>23910</v>
      </c>
      <c r="F812" s="121" t="s">
        <v>117</v>
      </c>
      <c r="G812" s="121" t="s">
        <v>23911</v>
      </c>
      <c r="H812" s="221" t="s">
        <v>23912</v>
      </c>
      <c r="I812" s="221"/>
      <c r="J812" s="28" t="s">
        <v>23913</v>
      </c>
      <c r="K812" s="137" t="s">
        <v>23914</v>
      </c>
      <c r="L812" s="136" t="s">
        <v>23915</v>
      </c>
      <c r="M812" s="136" t="s">
        <v>23916</v>
      </c>
    </row>
    <row r="813" spans="1:13" ht="14.25" customHeight="1">
      <c r="A813" s="113">
        <v>9</v>
      </c>
      <c r="B813" s="113"/>
      <c r="C813" s="216" t="s">
        <v>23917</v>
      </c>
      <c r="D813" s="217" t="s">
        <v>23918</v>
      </c>
      <c r="E813" s="121" t="s">
        <v>23919</v>
      </c>
      <c r="F813" s="121" t="s">
        <v>117</v>
      </c>
      <c r="G813" s="121" t="s">
        <v>23920</v>
      </c>
      <c r="H813" s="221" t="s">
        <v>23921</v>
      </c>
      <c r="I813" s="221"/>
      <c r="J813" s="28" t="s">
        <v>23922</v>
      </c>
      <c r="K813" s="137" t="s">
        <v>23923</v>
      </c>
      <c r="L813" s="136" t="s">
        <v>23924</v>
      </c>
      <c r="M813" s="136" t="s">
        <v>23925</v>
      </c>
    </row>
    <row r="814" spans="1:13" ht="14.25" customHeight="1">
      <c r="A814" s="113">
        <v>10</v>
      </c>
      <c r="B814" s="113"/>
      <c r="C814" s="216" t="s">
        <v>23926</v>
      </c>
      <c r="D814" s="217" t="s">
        <v>23927</v>
      </c>
      <c r="E814" s="121" t="s">
        <v>23928</v>
      </c>
      <c r="F814" s="121" t="s">
        <v>117</v>
      </c>
      <c r="G814" s="121" t="s">
        <v>23929</v>
      </c>
      <c r="H814" s="221" t="s">
        <v>23930</v>
      </c>
      <c r="I814" s="221"/>
      <c r="J814" s="28" t="s">
        <v>23931</v>
      </c>
      <c r="K814" s="137" t="s">
        <v>23932</v>
      </c>
      <c r="L814" s="136" t="s">
        <v>23933</v>
      </c>
      <c r="M814" s="136" t="s">
        <v>23934</v>
      </c>
    </row>
    <row r="815" spans="1:13" ht="14.25" customHeight="1">
      <c r="A815" s="113">
        <v>11</v>
      </c>
      <c r="B815" s="113"/>
      <c r="C815" s="216" t="s">
        <v>23935</v>
      </c>
      <c r="D815" s="217" t="s">
        <v>23936</v>
      </c>
      <c r="E815" s="121" t="s">
        <v>23937</v>
      </c>
      <c r="F815" s="121" t="s">
        <v>65</v>
      </c>
      <c r="G815" s="121" t="s">
        <v>23938</v>
      </c>
      <c r="H815" s="221" t="s">
        <v>23939</v>
      </c>
      <c r="I815" s="221"/>
      <c r="J815" s="28" t="s">
        <v>23940</v>
      </c>
      <c r="K815" s="137" t="s">
        <v>23941</v>
      </c>
      <c r="L815" s="136" t="s">
        <v>23942</v>
      </c>
      <c r="M815" s="136" t="s">
        <v>23943</v>
      </c>
    </row>
    <row r="816" spans="1:13" ht="14.25" customHeight="1">
      <c r="A816" s="113">
        <v>12</v>
      </c>
      <c r="B816" s="113"/>
      <c r="C816" s="216" t="s">
        <v>23944</v>
      </c>
      <c r="D816" s="217" t="s">
        <v>23945</v>
      </c>
      <c r="E816" s="121" t="s">
        <v>23946</v>
      </c>
      <c r="F816" s="121" t="s">
        <v>65</v>
      </c>
      <c r="G816" s="121" t="s">
        <v>23947</v>
      </c>
      <c r="H816" s="221" t="s">
        <v>23948</v>
      </c>
      <c r="I816" s="221"/>
      <c r="J816" s="28" t="s">
        <v>23949</v>
      </c>
      <c r="K816" s="137" t="s">
        <v>23950</v>
      </c>
      <c r="L816" s="136" t="s">
        <v>23951</v>
      </c>
      <c r="M816" s="136" t="s">
        <v>23952</v>
      </c>
    </row>
    <row r="817" spans="1:13" ht="14.25" customHeight="1">
      <c r="A817" s="113">
        <v>13</v>
      </c>
      <c r="B817" s="113"/>
      <c r="C817" s="211" t="s">
        <v>23953</v>
      </c>
      <c r="D817" s="217" t="s">
        <v>23954</v>
      </c>
      <c r="E817" s="121" t="s">
        <v>23955</v>
      </c>
      <c r="F817" s="121" t="s">
        <v>6748</v>
      </c>
      <c r="G817" s="121" t="s">
        <v>23956</v>
      </c>
      <c r="H817" s="221" t="s">
        <v>23957</v>
      </c>
      <c r="I817" s="221"/>
      <c r="J817" s="28" t="s">
        <v>23958</v>
      </c>
      <c r="K817" s="137" t="s">
        <v>23959</v>
      </c>
      <c r="L817" s="136" t="s">
        <v>23960</v>
      </c>
      <c r="M817" s="136" t="s">
        <v>23961</v>
      </c>
    </row>
    <row r="818" spans="1:13" ht="14.25" customHeight="1">
      <c r="A818" s="113">
        <v>14</v>
      </c>
      <c r="B818" s="113"/>
      <c r="C818" s="216" t="s">
        <v>23962</v>
      </c>
      <c r="D818" s="217" t="s">
        <v>23963</v>
      </c>
      <c r="E818" s="121" t="s">
        <v>23964</v>
      </c>
      <c r="F818" s="121" t="s">
        <v>65</v>
      </c>
      <c r="G818" s="121" t="s">
        <v>23965</v>
      </c>
      <c r="H818" s="221" t="s">
        <v>23966</v>
      </c>
      <c r="I818" s="221"/>
      <c r="J818" s="28" t="s">
        <v>23967</v>
      </c>
      <c r="K818" s="137" t="s">
        <v>23968</v>
      </c>
      <c r="L818" s="136" t="s">
        <v>23969</v>
      </c>
      <c r="M818" s="136" t="s">
        <v>23970</v>
      </c>
    </row>
    <row r="819" spans="1:13" ht="14.25" customHeight="1">
      <c r="A819" s="113">
        <v>15</v>
      </c>
      <c r="B819" s="113"/>
      <c r="C819" s="216" t="s">
        <v>23971</v>
      </c>
      <c r="D819" s="217" t="s">
        <v>23972</v>
      </c>
      <c r="E819" s="121" t="s">
        <v>23973</v>
      </c>
      <c r="F819" s="121" t="s">
        <v>65</v>
      </c>
      <c r="G819" s="121" t="s">
        <v>23974</v>
      </c>
      <c r="H819" s="221" t="s">
        <v>23975</v>
      </c>
      <c r="I819" s="221"/>
      <c r="J819" s="28" t="s">
        <v>23976</v>
      </c>
      <c r="K819" s="137" t="s">
        <v>23977</v>
      </c>
      <c r="L819" s="136" t="s">
        <v>23978</v>
      </c>
      <c r="M819" s="136" t="s">
        <v>23979</v>
      </c>
    </row>
    <row r="820" spans="1:13" ht="14.25" customHeight="1">
      <c r="A820" s="113">
        <v>16</v>
      </c>
      <c r="B820" s="113"/>
      <c r="C820" s="216" t="s">
        <v>23980</v>
      </c>
      <c r="D820" s="217" t="s">
        <v>23981</v>
      </c>
      <c r="E820" s="121" t="s">
        <v>23982</v>
      </c>
      <c r="F820" s="121" t="s">
        <v>17870</v>
      </c>
      <c r="G820" s="121" t="s">
        <v>23983</v>
      </c>
      <c r="H820" s="221" t="s">
        <v>23984</v>
      </c>
      <c r="I820" s="221"/>
      <c r="J820" s="28" t="s">
        <v>23985</v>
      </c>
      <c r="K820" s="137" t="s">
        <v>23986</v>
      </c>
      <c r="L820" s="136" t="s">
        <v>23987</v>
      </c>
      <c r="M820" s="136" t="s">
        <v>23988</v>
      </c>
    </row>
    <row r="821" spans="1:13" ht="14.25" customHeight="1">
      <c r="A821" s="113">
        <v>17</v>
      </c>
      <c r="B821" s="113"/>
      <c r="C821" s="216" t="s">
        <v>23989</v>
      </c>
      <c r="D821" s="217" t="s">
        <v>23990</v>
      </c>
      <c r="E821" s="121" t="s">
        <v>23991</v>
      </c>
      <c r="F821" s="121" t="s">
        <v>65</v>
      </c>
      <c r="G821" s="121" t="s">
        <v>23992</v>
      </c>
      <c r="H821" s="221" t="s">
        <v>23993</v>
      </c>
      <c r="I821" s="221"/>
      <c r="J821" s="28" t="s">
        <v>23994</v>
      </c>
      <c r="K821" s="137" t="s">
        <v>23995</v>
      </c>
      <c r="L821" s="136" t="s">
        <v>23996</v>
      </c>
      <c r="M821" s="136" t="s">
        <v>23997</v>
      </c>
    </row>
    <row r="822" spans="1:13" ht="14.25" customHeight="1">
      <c r="A822" s="113">
        <v>18</v>
      </c>
      <c r="B822" s="113"/>
      <c r="C822" s="216" t="s">
        <v>23998</v>
      </c>
      <c r="D822" s="217" t="s">
        <v>23999</v>
      </c>
      <c r="E822" s="121" t="s">
        <v>24000</v>
      </c>
      <c r="F822" s="121" t="s">
        <v>460</v>
      </c>
      <c r="G822" s="121" t="s">
        <v>24001</v>
      </c>
      <c r="H822" s="221" t="s">
        <v>24002</v>
      </c>
      <c r="I822" s="221"/>
      <c r="J822" s="28" t="s">
        <v>24003</v>
      </c>
      <c r="K822" s="137" t="s">
        <v>24004</v>
      </c>
      <c r="L822" s="136" t="s">
        <v>24005</v>
      </c>
      <c r="M822" s="136" t="s">
        <v>24006</v>
      </c>
    </row>
    <row r="823" spans="1:13" ht="14.25" customHeight="1">
      <c r="A823" s="113">
        <v>19</v>
      </c>
      <c r="B823" s="113"/>
      <c r="C823" s="216" t="s">
        <v>24007</v>
      </c>
      <c r="D823" s="217" t="s">
        <v>24008</v>
      </c>
      <c r="E823" s="121" t="s">
        <v>24009</v>
      </c>
      <c r="F823" s="121" t="s">
        <v>117</v>
      </c>
      <c r="G823" s="121" t="s">
        <v>24010</v>
      </c>
      <c r="H823" s="221" t="s">
        <v>24011</v>
      </c>
      <c r="I823" s="221"/>
      <c r="J823" s="28" t="s">
        <v>24012</v>
      </c>
      <c r="K823" s="137" t="s">
        <v>24013</v>
      </c>
      <c r="L823" s="136" t="s">
        <v>24014</v>
      </c>
      <c r="M823" s="136" t="s">
        <v>24015</v>
      </c>
    </row>
    <row r="824" spans="1:13" ht="14.25" customHeight="1">
      <c r="A824" s="113">
        <v>20</v>
      </c>
      <c r="B824" s="113"/>
      <c r="C824" s="216" t="s">
        <v>24016</v>
      </c>
      <c r="D824" s="217" t="s">
        <v>24017</v>
      </c>
      <c r="E824" s="121" t="s">
        <v>24018</v>
      </c>
      <c r="F824" s="121" t="s">
        <v>117</v>
      </c>
      <c r="G824" s="121" t="s">
        <v>24019</v>
      </c>
      <c r="H824" s="221" t="s">
        <v>24020</v>
      </c>
      <c r="I824" s="221"/>
      <c r="J824" s="28" t="s">
        <v>24021</v>
      </c>
      <c r="K824" s="137" t="s">
        <v>24022</v>
      </c>
      <c r="L824" s="136" t="s">
        <v>24023</v>
      </c>
      <c r="M824" s="136" t="s">
        <v>24024</v>
      </c>
    </row>
    <row r="825" spans="1:13" ht="14.25" customHeight="1">
      <c r="A825" s="113">
        <v>21</v>
      </c>
      <c r="B825" s="113"/>
      <c r="C825" s="216" t="s">
        <v>24025</v>
      </c>
      <c r="D825" s="217" t="s">
        <v>24026</v>
      </c>
      <c r="E825" s="121" t="s">
        <v>24027</v>
      </c>
      <c r="F825" s="121" t="s">
        <v>117</v>
      </c>
      <c r="G825" s="121" t="s">
        <v>24028</v>
      </c>
      <c r="H825" s="221" t="s">
        <v>24029</v>
      </c>
      <c r="I825" s="221"/>
      <c r="J825" s="28" t="s">
        <v>24030</v>
      </c>
      <c r="K825" s="137" t="s">
        <v>24031</v>
      </c>
      <c r="L825" s="136" t="s">
        <v>24032</v>
      </c>
      <c r="M825" s="136" t="s">
        <v>24033</v>
      </c>
    </row>
    <row r="826" spans="1:13" ht="14.25" customHeight="1">
      <c r="A826" s="113">
        <v>22</v>
      </c>
      <c r="B826" s="113"/>
      <c r="C826" s="216" t="s">
        <v>24034</v>
      </c>
      <c r="D826" s="217" t="s">
        <v>24035</v>
      </c>
      <c r="E826" s="121" t="s">
        <v>24036</v>
      </c>
      <c r="F826" s="121" t="s">
        <v>65</v>
      </c>
      <c r="G826" s="121" t="s">
        <v>24037</v>
      </c>
      <c r="H826" s="221" t="s">
        <v>24038</v>
      </c>
      <c r="I826" s="221"/>
      <c r="J826" s="28" t="s">
        <v>24039</v>
      </c>
      <c r="K826" s="137" t="s">
        <v>24040</v>
      </c>
      <c r="L826" s="136" t="s">
        <v>24041</v>
      </c>
      <c r="M826" s="136" t="s">
        <v>24042</v>
      </c>
    </row>
    <row r="827" spans="1:13" ht="14.25" customHeight="1">
      <c r="A827" s="113">
        <v>23</v>
      </c>
      <c r="B827" s="113"/>
      <c r="C827" s="216" t="s">
        <v>24043</v>
      </c>
      <c r="D827" s="217" t="s">
        <v>24044</v>
      </c>
      <c r="E827" s="121" t="s">
        <v>24045</v>
      </c>
      <c r="F827" s="121" t="s">
        <v>65</v>
      </c>
      <c r="G827" s="121" t="s">
        <v>24046</v>
      </c>
      <c r="H827" s="118" t="s">
        <v>24047</v>
      </c>
      <c r="I827" s="118"/>
      <c r="J827" s="28" t="s">
        <v>24048</v>
      </c>
      <c r="K827" s="137" t="s">
        <v>24049</v>
      </c>
      <c r="L827" s="136" t="s">
        <v>24050</v>
      </c>
      <c r="M827" s="136" t="s">
        <v>24051</v>
      </c>
    </row>
    <row r="828" spans="1:13" ht="14.25" customHeight="1">
      <c r="A828" s="113">
        <v>24</v>
      </c>
      <c r="B828" s="113"/>
      <c r="C828" s="216" t="s">
        <v>24052</v>
      </c>
      <c r="D828" s="217" t="s">
        <v>24053</v>
      </c>
      <c r="E828" s="121" t="s">
        <v>24054</v>
      </c>
      <c r="F828" s="121" t="s">
        <v>65</v>
      </c>
      <c r="G828" s="121" t="s">
        <v>24055</v>
      </c>
      <c r="H828" s="221" t="s">
        <v>24056</v>
      </c>
      <c r="I828" s="221"/>
      <c r="J828" s="28" t="s">
        <v>24057</v>
      </c>
      <c r="K828" s="137" t="s">
        <v>24058</v>
      </c>
      <c r="L828" s="136" t="s">
        <v>24059</v>
      </c>
      <c r="M828" s="136" t="s">
        <v>24060</v>
      </c>
    </row>
    <row r="829" spans="1:13" ht="14.25" customHeight="1">
      <c r="A829" s="113">
        <v>25</v>
      </c>
      <c r="B829" s="113"/>
      <c r="C829" s="216" t="s">
        <v>24061</v>
      </c>
      <c r="D829" s="217" t="s">
        <v>24062</v>
      </c>
      <c r="E829" s="121" t="s">
        <v>24063</v>
      </c>
      <c r="F829" s="121" t="s">
        <v>117</v>
      </c>
      <c r="G829" s="121" t="s">
        <v>24064</v>
      </c>
      <c r="H829" s="221" t="s">
        <v>24065</v>
      </c>
      <c r="I829" s="221"/>
      <c r="J829" s="28" t="s">
        <v>24066</v>
      </c>
      <c r="K829" s="137" t="s">
        <v>24067</v>
      </c>
      <c r="L829" s="136" t="s">
        <v>24068</v>
      </c>
      <c r="M829" s="136" t="s">
        <v>24069</v>
      </c>
    </row>
    <row r="830" spans="1:13" ht="14.25" customHeight="1">
      <c r="A830" s="113">
        <v>26</v>
      </c>
      <c r="B830" s="113"/>
      <c r="C830" s="216" t="s">
        <v>24070</v>
      </c>
      <c r="D830" s="217" t="s">
        <v>24071</v>
      </c>
      <c r="E830" s="121" t="s">
        <v>24072</v>
      </c>
      <c r="F830" s="121" t="s">
        <v>117</v>
      </c>
      <c r="G830" s="121" t="s">
        <v>24073</v>
      </c>
      <c r="H830" s="221" t="s">
        <v>24074</v>
      </c>
      <c r="I830" s="221"/>
      <c r="J830" s="28" t="s">
        <v>24075</v>
      </c>
      <c r="K830" s="137" t="s">
        <v>24076</v>
      </c>
      <c r="L830" s="136" t="s">
        <v>24077</v>
      </c>
      <c r="M830" s="136" t="s">
        <v>24078</v>
      </c>
    </row>
    <row r="831" spans="1:13" ht="14.25" customHeight="1">
      <c r="A831" s="113">
        <v>27</v>
      </c>
      <c r="B831" s="113"/>
      <c r="C831" s="216" t="s">
        <v>24079</v>
      </c>
      <c r="D831" s="217" t="s">
        <v>24080</v>
      </c>
      <c r="E831" s="121" t="s">
        <v>24081</v>
      </c>
      <c r="F831" s="121" t="s">
        <v>65</v>
      </c>
      <c r="G831" s="121" t="s">
        <v>24082</v>
      </c>
      <c r="H831" s="221" t="s">
        <v>24083</v>
      </c>
      <c r="I831" s="221"/>
      <c r="J831" s="28" t="s">
        <v>24084</v>
      </c>
      <c r="K831" s="137" t="s">
        <v>24085</v>
      </c>
      <c r="L831" s="136" t="s">
        <v>24086</v>
      </c>
      <c r="M831" s="136" t="s">
        <v>24087</v>
      </c>
    </row>
    <row r="832" spans="1:13" ht="14.25" customHeight="1">
      <c r="A832" s="113">
        <v>28</v>
      </c>
      <c r="B832" s="113"/>
      <c r="C832" s="216" t="s">
        <v>24088</v>
      </c>
      <c r="D832" s="217" t="s">
        <v>24089</v>
      </c>
      <c r="E832" s="121" t="s">
        <v>24090</v>
      </c>
      <c r="F832" s="121" t="s">
        <v>17870</v>
      </c>
      <c r="G832" s="121" t="s">
        <v>24091</v>
      </c>
      <c r="H832" s="221" t="s">
        <v>24092</v>
      </c>
      <c r="I832" s="221"/>
      <c r="J832" s="28" t="s">
        <v>24093</v>
      </c>
      <c r="K832" s="137" t="s">
        <v>24094</v>
      </c>
      <c r="L832" s="136" t="s">
        <v>24095</v>
      </c>
      <c r="M832" s="136" t="s">
        <v>24096</v>
      </c>
    </row>
    <row r="833" spans="1:13" ht="14.25" customHeight="1">
      <c r="A833" s="113">
        <v>29</v>
      </c>
      <c r="B833" s="113"/>
      <c r="C833" s="211" t="s">
        <v>24097</v>
      </c>
      <c r="D833" s="217" t="s">
        <v>24098</v>
      </c>
      <c r="E833" s="121" t="s">
        <v>24099</v>
      </c>
      <c r="F833" s="121" t="s">
        <v>117</v>
      </c>
      <c r="G833" s="121" t="s">
        <v>24100</v>
      </c>
      <c r="H833" s="221" t="s">
        <v>24101</v>
      </c>
      <c r="I833" s="221"/>
      <c r="J833" s="28" t="s">
        <v>24102</v>
      </c>
      <c r="K833" s="137" t="s">
        <v>24103</v>
      </c>
      <c r="L833" s="136" t="s">
        <v>24104</v>
      </c>
      <c r="M833" s="136" t="s">
        <v>24105</v>
      </c>
    </row>
    <row r="834" spans="1:13" ht="14.25" customHeight="1">
      <c r="A834" s="113">
        <v>30</v>
      </c>
      <c r="B834" s="113"/>
      <c r="C834" s="216" t="s">
        <v>24106</v>
      </c>
      <c r="D834" s="217" t="s">
        <v>24107</v>
      </c>
      <c r="E834" s="123" t="s">
        <v>24108</v>
      </c>
      <c r="F834" s="123" t="s">
        <v>65</v>
      </c>
      <c r="G834" s="123" t="s">
        <v>24109</v>
      </c>
      <c r="H834" s="221" t="s">
        <v>24110</v>
      </c>
      <c r="I834" s="221"/>
      <c r="J834" s="28" t="s">
        <v>24111</v>
      </c>
      <c r="K834" s="137" t="s">
        <v>24112</v>
      </c>
      <c r="L834" s="136" t="s">
        <v>24113</v>
      </c>
      <c r="M834" s="136" t="s">
        <v>24114</v>
      </c>
    </row>
    <row r="835" spans="1:13" ht="14.25" customHeight="1">
      <c r="A835" s="113">
        <v>31</v>
      </c>
      <c r="B835" s="113"/>
      <c r="C835" s="216" t="s">
        <v>24115</v>
      </c>
      <c r="D835" s="217" t="s">
        <v>24116</v>
      </c>
      <c r="E835" s="121" t="s">
        <v>24117</v>
      </c>
      <c r="F835" s="121" t="s">
        <v>24118</v>
      </c>
      <c r="G835" s="121" t="s">
        <v>24119</v>
      </c>
      <c r="H835" s="221" t="s">
        <v>24120</v>
      </c>
      <c r="I835" s="221"/>
      <c r="J835" s="28" t="s">
        <v>24121</v>
      </c>
      <c r="K835" s="137" t="s">
        <v>24122</v>
      </c>
      <c r="L835" s="136" t="s">
        <v>24123</v>
      </c>
      <c r="M835" s="136" t="s">
        <v>24124</v>
      </c>
    </row>
    <row r="836" spans="1:13" ht="14.25" customHeight="1">
      <c r="A836" s="113">
        <v>32</v>
      </c>
      <c r="B836" s="113"/>
      <c r="C836" s="216" t="s">
        <v>24125</v>
      </c>
      <c r="D836" s="217" t="s">
        <v>24126</v>
      </c>
      <c r="E836" s="121" t="s">
        <v>24127</v>
      </c>
      <c r="F836" s="121" t="s">
        <v>22524</v>
      </c>
      <c r="G836" s="121" t="s">
        <v>24128</v>
      </c>
      <c r="H836" s="221" t="s">
        <v>24129</v>
      </c>
      <c r="I836" s="221"/>
      <c r="J836" s="28" t="s">
        <v>24130</v>
      </c>
      <c r="K836" s="137" t="s">
        <v>24131</v>
      </c>
      <c r="L836" s="136" t="s">
        <v>24132</v>
      </c>
      <c r="M836" s="136" t="s">
        <v>24133</v>
      </c>
    </row>
    <row r="837" spans="1:13" ht="14.25" customHeight="1">
      <c r="A837" s="113">
        <v>33</v>
      </c>
      <c r="B837" s="113"/>
      <c r="C837" s="216" t="s">
        <v>24134</v>
      </c>
      <c r="D837" s="217" t="s">
        <v>24135</v>
      </c>
      <c r="E837" s="121" t="s">
        <v>24136</v>
      </c>
      <c r="F837" s="121" t="s">
        <v>65</v>
      </c>
      <c r="G837" s="121" t="s">
        <v>24137</v>
      </c>
      <c r="H837" s="221" t="s">
        <v>24138</v>
      </c>
      <c r="I837" s="221"/>
      <c r="J837" s="28" t="s">
        <v>24139</v>
      </c>
      <c r="K837" s="137" t="s">
        <v>24140</v>
      </c>
      <c r="L837" s="136" t="s">
        <v>24141</v>
      </c>
      <c r="M837" s="136" t="s">
        <v>24142</v>
      </c>
    </row>
    <row r="838" spans="1:13" ht="14.25" customHeight="1">
      <c r="A838" s="113">
        <v>34</v>
      </c>
      <c r="B838" s="113"/>
      <c r="C838" s="216" t="s">
        <v>24143</v>
      </c>
      <c r="D838" s="217" t="s">
        <v>24144</v>
      </c>
      <c r="E838" s="121" t="s">
        <v>24145</v>
      </c>
      <c r="F838" s="121" t="s">
        <v>117</v>
      </c>
      <c r="G838" s="121" t="s">
        <v>24146</v>
      </c>
      <c r="H838" s="221" t="s">
        <v>24147</v>
      </c>
      <c r="I838" s="221"/>
      <c r="J838" s="28" t="s">
        <v>24148</v>
      </c>
      <c r="K838" s="137" t="s">
        <v>24149</v>
      </c>
      <c r="L838" s="136" t="s">
        <v>24150</v>
      </c>
      <c r="M838" s="136" t="s">
        <v>24151</v>
      </c>
    </row>
    <row r="839" spans="1:13" ht="14.25" customHeight="1">
      <c r="A839" s="113">
        <v>35</v>
      </c>
      <c r="B839" s="113"/>
      <c r="C839" s="216" t="s">
        <v>24152</v>
      </c>
      <c r="D839" s="217" t="s">
        <v>24153</v>
      </c>
      <c r="E839" s="121" t="s">
        <v>24154</v>
      </c>
      <c r="F839" s="121" t="s">
        <v>117</v>
      </c>
      <c r="G839" s="121" t="s">
        <v>24155</v>
      </c>
      <c r="H839" s="221" t="s">
        <v>24156</v>
      </c>
      <c r="I839" s="221"/>
      <c r="J839" s="28" t="s">
        <v>24157</v>
      </c>
      <c r="K839" s="137" t="s">
        <v>24158</v>
      </c>
      <c r="L839" s="136" t="s">
        <v>24159</v>
      </c>
      <c r="M839" s="136" t="s">
        <v>24160</v>
      </c>
    </row>
    <row r="840" spans="1:13" ht="14.25" customHeight="1">
      <c r="A840" s="113">
        <v>36</v>
      </c>
      <c r="B840" s="113"/>
      <c r="C840" s="216" t="s">
        <v>24161</v>
      </c>
      <c r="D840" s="217" t="s">
        <v>24162</v>
      </c>
      <c r="E840" s="121" t="s">
        <v>24163</v>
      </c>
      <c r="F840" s="121" t="s">
        <v>219</v>
      </c>
      <c r="G840" s="121" t="s">
        <v>24164</v>
      </c>
      <c r="H840" s="221" t="s">
        <v>24165</v>
      </c>
      <c r="I840" s="221"/>
      <c r="J840" s="28" t="s">
        <v>24166</v>
      </c>
      <c r="K840" s="137" t="s">
        <v>24167</v>
      </c>
      <c r="L840" s="136" t="s">
        <v>24168</v>
      </c>
      <c r="M840" s="136" t="s">
        <v>24169</v>
      </c>
    </row>
    <row r="841" spans="1:13" ht="14.25" customHeight="1">
      <c r="A841" s="113">
        <v>37</v>
      </c>
      <c r="B841" s="113"/>
      <c r="C841" s="216" t="s">
        <v>24170</v>
      </c>
      <c r="D841" s="217" t="s">
        <v>24171</v>
      </c>
      <c r="E841" s="121" t="s">
        <v>24172</v>
      </c>
      <c r="F841" s="121" t="s">
        <v>13358</v>
      </c>
      <c r="G841" s="121" t="s">
        <v>24173</v>
      </c>
      <c r="H841" s="221" t="s">
        <v>24174</v>
      </c>
      <c r="I841" s="221"/>
      <c r="J841" s="28" t="s">
        <v>24175</v>
      </c>
      <c r="K841" s="137" t="s">
        <v>24176</v>
      </c>
      <c r="L841" s="136" t="s">
        <v>24177</v>
      </c>
      <c r="M841" s="136" t="s">
        <v>24178</v>
      </c>
    </row>
    <row r="842" spans="1:13" ht="14.25" customHeight="1">
      <c r="A842" s="113">
        <v>38</v>
      </c>
      <c r="B842" s="113"/>
      <c r="C842" s="216" t="s">
        <v>24179</v>
      </c>
      <c r="D842" s="217" t="s">
        <v>24180</v>
      </c>
      <c r="E842" s="121" t="s">
        <v>24181</v>
      </c>
      <c r="F842" s="121" t="s">
        <v>54</v>
      </c>
      <c r="G842" s="121" t="s">
        <v>24182</v>
      </c>
      <c r="H842" s="221" t="s">
        <v>24183</v>
      </c>
      <c r="I842" s="221"/>
      <c r="J842" s="28" t="s">
        <v>24184</v>
      </c>
      <c r="K842" s="137" t="s">
        <v>24185</v>
      </c>
      <c r="L842" s="113" t="s">
        <v>24186</v>
      </c>
      <c r="M842" s="136" t="s">
        <v>24187</v>
      </c>
    </row>
    <row r="843" spans="1:13" ht="14.25" customHeight="1">
      <c r="A843" s="113">
        <v>39</v>
      </c>
      <c r="B843" s="113"/>
      <c r="C843" s="216" t="s">
        <v>24188</v>
      </c>
      <c r="D843" s="217" t="s">
        <v>24189</v>
      </c>
      <c r="E843" s="121" t="s">
        <v>24190</v>
      </c>
      <c r="F843" s="121" t="s">
        <v>65</v>
      </c>
      <c r="G843" s="121" t="s">
        <v>24191</v>
      </c>
      <c r="H843" s="221" t="s">
        <v>24192</v>
      </c>
      <c r="I843" s="221"/>
      <c r="J843" s="118" t="s">
        <v>24193</v>
      </c>
      <c r="K843" s="137" t="s">
        <v>24194</v>
      </c>
      <c r="L843" s="136" t="s">
        <v>24195</v>
      </c>
      <c r="M843" s="136" t="s">
        <v>24196</v>
      </c>
    </row>
    <row r="844" spans="1:13" ht="14.25" customHeight="1">
      <c r="A844" s="113">
        <v>40</v>
      </c>
      <c r="B844" s="113"/>
      <c r="C844" s="216" t="s">
        <v>24197</v>
      </c>
      <c r="D844" s="217" t="s">
        <v>24198</v>
      </c>
      <c r="E844" s="121" t="s">
        <v>24199</v>
      </c>
      <c r="F844" s="121" t="s">
        <v>117</v>
      </c>
      <c r="G844" s="121" t="s">
        <v>24200</v>
      </c>
      <c r="H844" s="221" t="s">
        <v>24201</v>
      </c>
      <c r="I844" s="221"/>
      <c r="J844" s="28" t="s">
        <v>24202</v>
      </c>
      <c r="K844" s="137" t="s">
        <v>24203</v>
      </c>
      <c r="L844" s="136" t="s">
        <v>24204</v>
      </c>
      <c r="M844" s="136" t="s">
        <v>24205</v>
      </c>
    </row>
    <row r="845" spans="1:13" ht="14.25" customHeight="1">
      <c r="A845" s="113">
        <v>41</v>
      </c>
      <c r="B845" s="113"/>
      <c r="C845" s="216" t="s">
        <v>24206</v>
      </c>
      <c r="D845" s="217" t="s">
        <v>24207</v>
      </c>
      <c r="E845" s="121" t="s">
        <v>24208</v>
      </c>
      <c r="F845" s="121" t="s">
        <v>65</v>
      </c>
      <c r="G845" s="121" t="s">
        <v>24209</v>
      </c>
      <c r="H845" s="221" t="s">
        <v>24210</v>
      </c>
      <c r="I845" s="221"/>
      <c r="J845" s="28" t="s">
        <v>24211</v>
      </c>
      <c r="K845" s="137" t="s">
        <v>24212</v>
      </c>
      <c r="L845" s="136" t="s">
        <v>24213</v>
      </c>
      <c r="M845" s="136" t="s">
        <v>24214</v>
      </c>
    </row>
    <row r="846" spans="1:13" ht="14.25" customHeight="1">
      <c r="A846" s="113">
        <v>42</v>
      </c>
      <c r="B846" s="113"/>
      <c r="C846" s="216" t="s">
        <v>24215</v>
      </c>
      <c r="D846" s="217" t="s">
        <v>24216</v>
      </c>
      <c r="E846" s="121" t="s">
        <v>24217</v>
      </c>
      <c r="F846" s="121" t="s">
        <v>117</v>
      </c>
      <c r="G846" s="121" t="s">
        <v>24218</v>
      </c>
      <c r="H846" s="221" t="s">
        <v>24219</v>
      </c>
      <c r="I846" s="221"/>
      <c r="J846" s="118" t="s">
        <v>24220</v>
      </c>
      <c r="K846" s="137" t="s">
        <v>24221</v>
      </c>
      <c r="L846" s="136" t="s">
        <v>24222</v>
      </c>
      <c r="M846" s="136" t="s">
        <v>24223</v>
      </c>
    </row>
    <row r="847" spans="1:13" ht="14.25" customHeight="1">
      <c r="A847" s="210">
        <v>1</v>
      </c>
      <c r="B847" s="210"/>
      <c r="C847" s="211" t="s">
        <v>24224</v>
      </c>
      <c r="D847" s="238" t="s">
        <v>24225</v>
      </c>
      <c r="E847" s="283" t="s">
        <v>24226</v>
      </c>
      <c r="F847" s="283" t="s">
        <v>54</v>
      </c>
      <c r="G847" s="283" t="s">
        <v>24227</v>
      </c>
      <c r="H847" s="239" t="s">
        <v>24228</v>
      </c>
      <c r="I847" s="239"/>
      <c r="J847" s="263" t="s">
        <v>24229</v>
      </c>
      <c r="K847" s="215" t="s">
        <v>24230</v>
      </c>
      <c r="L847" s="210" t="s">
        <v>24231</v>
      </c>
      <c r="M847" s="247" t="s">
        <v>24232</v>
      </c>
    </row>
    <row r="848" spans="1:13" ht="14.25" customHeight="1">
      <c r="A848" s="113">
        <v>2</v>
      </c>
      <c r="B848" s="113"/>
      <c r="C848" s="216" t="s">
        <v>24233</v>
      </c>
      <c r="D848" s="217" t="s">
        <v>24234</v>
      </c>
      <c r="E848" s="121" t="s">
        <v>24235</v>
      </c>
      <c r="F848" s="121" t="s">
        <v>117</v>
      </c>
      <c r="G848" s="121" t="s">
        <v>24236</v>
      </c>
      <c r="H848" s="221" t="s">
        <v>24237</v>
      </c>
      <c r="I848" s="221"/>
      <c r="J848" s="118" t="s">
        <v>24238</v>
      </c>
      <c r="K848" s="137" t="s">
        <v>24239</v>
      </c>
      <c r="L848" s="136" t="s">
        <v>24240</v>
      </c>
      <c r="M848" s="136" t="s">
        <v>24241</v>
      </c>
    </row>
    <row r="849" spans="1:13" ht="14.25" customHeight="1">
      <c r="A849" s="113">
        <v>3</v>
      </c>
      <c r="B849" s="113"/>
      <c r="C849" s="216" t="s">
        <v>24242</v>
      </c>
      <c r="D849" s="217" t="s">
        <v>24243</v>
      </c>
      <c r="E849" s="121" t="s">
        <v>24244</v>
      </c>
      <c r="F849" s="121" t="s">
        <v>65</v>
      </c>
      <c r="G849" s="121" t="s">
        <v>24245</v>
      </c>
      <c r="H849" s="221" t="s">
        <v>24246</v>
      </c>
      <c r="I849" s="221"/>
      <c r="J849" s="118" t="s">
        <v>24247</v>
      </c>
      <c r="K849" s="137" t="s">
        <v>24248</v>
      </c>
      <c r="L849" s="136" t="s">
        <v>24249</v>
      </c>
      <c r="M849" s="136" t="s">
        <v>24250</v>
      </c>
    </row>
    <row r="850" spans="1:13" ht="14.25" customHeight="1">
      <c r="A850" s="113">
        <v>4</v>
      </c>
      <c r="B850" s="113"/>
      <c r="C850" s="216" t="s">
        <v>24251</v>
      </c>
      <c r="D850" s="284" t="s">
        <v>24252</v>
      </c>
      <c r="E850" s="121" t="s">
        <v>24253</v>
      </c>
      <c r="F850" s="121" t="s">
        <v>117</v>
      </c>
      <c r="G850" s="121" t="s">
        <v>24254</v>
      </c>
      <c r="H850" s="285" t="s">
        <v>24255</v>
      </c>
      <c r="I850" s="285"/>
      <c r="J850" s="118" t="s">
        <v>24256</v>
      </c>
      <c r="K850" s="137" t="s">
        <v>24257</v>
      </c>
      <c r="L850" s="136" t="s">
        <v>24258</v>
      </c>
      <c r="M850" s="136" t="s">
        <v>24259</v>
      </c>
    </row>
    <row r="851" spans="1:13" ht="14.25" customHeight="1">
      <c r="A851" s="113">
        <v>5</v>
      </c>
      <c r="B851" s="113"/>
      <c r="C851" s="216" t="s">
        <v>24260</v>
      </c>
      <c r="D851" s="284" t="s">
        <v>24261</v>
      </c>
      <c r="E851" s="121" t="s">
        <v>24262</v>
      </c>
      <c r="F851" s="121" t="s">
        <v>117</v>
      </c>
      <c r="G851" s="121" t="s">
        <v>24263</v>
      </c>
      <c r="H851" s="285" t="s">
        <v>24264</v>
      </c>
      <c r="I851" s="285"/>
      <c r="J851" s="118" t="s">
        <v>24265</v>
      </c>
      <c r="K851" s="137" t="s">
        <v>24266</v>
      </c>
      <c r="L851" s="136" t="s">
        <v>24267</v>
      </c>
      <c r="M851" s="136" t="s">
        <v>24268</v>
      </c>
    </row>
    <row r="852" spans="1:13" ht="14.25" customHeight="1">
      <c r="A852" s="113">
        <v>6</v>
      </c>
      <c r="B852" s="113"/>
      <c r="C852" s="216" t="s">
        <v>24269</v>
      </c>
      <c r="D852" s="284" t="s">
        <v>24270</v>
      </c>
      <c r="E852" s="121" t="s">
        <v>24271</v>
      </c>
      <c r="F852" s="121" t="s">
        <v>117</v>
      </c>
      <c r="G852" s="121" t="s">
        <v>24272</v>
      </c>
      <c r="H852" s="285" t="s">
        <v>24273</v>
      </c>
      <c r="I852" s="285"/>
      <c r="J852" s="118" t="s">
        <v>24274</v>
      </c>
      <c r="K852" s="137" t="s">
        <v>24275</v>
      </c>
      <c r="L852" s="136" t="s">
        <v>24276</v>
      </c>
      <c r="M852" s="136" t="s">
        <v>24277</v>
      </c>
    </row>
    <row r="853" spans="1:13" ht="14.25" customHeight="1">
      <c r="A853" s="136">
        <v>7</v>
      </c>
      <c r="B853" s="136"/>
      <c r="C853" s="222" t="s">
        <v>24278</v>
      </c>
      <c r="D853" s="286" t="s">
        <v>24279</v>
      </c>
      <c r="E853" s="121" t="s">
        <v>24280</v>
      </c>
      <c r="F853" s="121" t="s">
        <v>54</v>
      </c>
      <c r="G853" s="121" t="s">
        <v>24281</v>
      </c>
      <c r="H853" s="287" t="s">
        <v>24282</v>
      </c>
      <c r="I853" s="287"/>
      <c r="J853" s="118" t="s">
        <v>24283</v>
      </c>
      <c r="K853" s="137" t="s">
        <v>24284</v>
      </c>
      <c r="L853" s="136" t="s">
        <v>24285</v>
      </c>
      <c r="M853" s="136" t="s">
        <v>24286</v>
      </c>
    </row>
    <row r="854" spans="1:13" ht="14.25" customHeight="1">
      <c r="A854" s="113">
        <v>8</v>
      </c>
      <c r="B854" s="113"/>
      <c r="C854" s="216" t="s">
        <v>24287</v>
      </c>
      <c r="D854" s="284" t="s">
        <v>24288</v>
      </c>
      <c r="E854" s="121" t="s">
        <v>24289</v>
      </c>
      <c r="F854" s="121" t="s">
        <v>54</v>
      </c>
      <c r="G854" s="121" t="s">
        <v>24290</v>
      </c>
      <c r="H854" s="285" t="s">
        <v>24291</v>
      </c>
      <c r="I854" s="285"/>
      <c r="J854" s="118" t="s">
        <v>24292</v>
      </c>
      <c r="K854" s="137" t="s">
        <v>24293</v>
      </c>
      <c r="L854" s="136" t="s">
        <v>24294</v>
      </c>
      <c r="M854" s="136" t="s">
        <v>24295</v>
      </c>
    </row>
    <row r="855" spans="1:13" ht="14.25" customHeight="1">
      <c r="A855" s="113">
        <v>9</v>
      </c>
      <c r="B855" s="113"/>
      <c r="C855" s="216" t="s">
        <v>24296</v>
      </c>
      <c r="D855" s="284" t="s">
        <v>24297</v>
      </c>
      <c r="E855" s="121" t="s">
        <v>24298</v>
      </c>
      <c r="F855" s="121" t="s">
        <v>117</v>
      </c>
      <c r="G855" s="121" t="s">
        <v>24299</v>
      </c>
      <c r="H855" s="285" t="s">
        <v>24300</v>
      </c>
      <c r="I855" s="285"/>
      <c r="J855" s="118" t="s">
        <v>24301</v>
      </c>
      <c r="K855" s="137" t="s">
        <v>24302</v>
      </c>
      <c r="L855" s="136" t="s">
        <v>24303</v>
      </c>
      <c r="M855" s="136" t="s">
        <v>24304</v>
      </c>
    </row>
    <row r="856" spans="1:13" ht="14.25" customHeight="1">
      <c r="A856" s="113">
        <v>10</v>
      </c>
      <c r="B856" s="113"/>
      <c r="C856" s="216" t="s">
        <v>24305</v>
      </c>
      <c r="D856" s="284" t="s">
        <v>24306</v>
      </c>
      <c r="E856" s="121" t="s">
        <v>24307</v>
      </c>
      <c r="F856" s="121" t="s">
        <v>501</v>
      </c>
      <c r="G856" s="121" t="s">
        <v>24308</v>
      </c>
      <c r="H856" s="285" t="s">
        <v>24309</v>
      </c>
      <c r="I856" s="285"/>
      <c r="J856" s="118" t="s">
        <v>24310</v>
      </c>
      <c r="K856" s="137" t="s">
        <v>24311</v>
      </c>
      <c r="L856" s="136" t="s">
        <v>24312</v>
      </c>
      <c r="M856" s="136" t="s">
        <v>24313</v>
      </c>
    </row>
    <row r="857" spans="1:13" ht="14.25" customHeight="1">
      <c r="A857" s="113">
        <v>11</v>
      </c>
      <c r="B857" s="113"/>
      <c r="C857" s="216" t="s">
        <v>24314</v>
      </c>
      <c r="D857" s="284" t="s">
        <v>24315</v>
      </c>
      <c r="E857" s="123" t="s">
        <v>24316</v>
      </c>
      <c r="F857" s="123" t="s">
        <v>65</v>
      </c>
      <c r="G857" s="123" t="s">
        <v>24317</v>
      </c>
      <c r="H857" s="285" t="s">
        <v>24318</v>
      </c>
      <c r="I857" s="285"/>
      <c r="J857" s="137" t="s">
        <v>24319</v>
      </c>
      <c r="K857" s="137" t="s">
        <v>24320</v>
      </c>
      <c r="L857" s="136" t="s">
        <v>24321</v>
      </c>
      <c r="M857" s="136" t="s">
        <v>24322</v>
      </c>
    </row>
    <row r="858" spans="1:13" ht="14.25" customHeight="1">
      <c r="A858" s="113">
        <v>12</v>
      </c>
      <c r="B858" s="113"/>
      <c r="C858" s="216" t="s">
        <v>24323</v>
      </c>
      <c r="D858" s="217" t="s">
        <v>24324</v>
      </c>
      <c r="E858" s="121" t="s">
        <v>24325</v>
      </c>
      <c r="F858" s="121" t="s">
        <v>65</v>
      </c>
      <c r="G858" s="121" t="s">
        <v>24326</v>
      </c>
      <c r="H858" s="221" t="s">
        <v>24327</v>
      </c>
      <c r="I858" s="221"/>
      <c r="J858" s="118" t="s">
        <v>24328</v>
      </c>
      <c r="K858" s="137" t="s">
        <v>24329</v>
      </c>
      <c r="L858" s="136" t="s">
        <v>24330</v>
      </c>
      <c r="M858" s="136" t="s">
        <v>24331</v>
      </c>
    </row>
    <row r="859" spans="1:13" ht="14.25" customHeight="1">
      <c r="A859" s="113">
        <v>13</v>
      </c>
      <c r="B859" s="113"/>
      <c r="C859" s="216" t="s">
        <v>24332</v>
      </c>
      <c r="D859" s="217" t="s">
        <v>24333</v>
      </c>
      <c r="E859" s="121" t="s">
        <v>24334</v>
      </c>
      <c r="F859" s="121" t="s">
        <v>54</v>
      </c>
      <c r="G859" s="121" t="s">
        <v>24335</v>
      </c>
      <c r="H859" s="221" t="s">
        <v>24336</v>
      </c>
      <c r="I859" s="221"/>
      <c r="J859" s="118" t="s">
        <v>24337</v>
      </c>
      <c r="K859" s="137" t="s">
        <v>24338</v>
      </c>
      <c r="L859" s="136" t="s">
        <v>24339</v>
      </c>
      <c r="M859" s="136" t="s">
        <v>24340</v>
      </c>
    </row>
    <row r="860" spans="1:13" ht="14.25" customHeight="1">
      <c r="A860" s="113">
        <v>14</v>
      </c>
      <c r="B860" s="113"/>
      <c r="C860" s="216" t="s">
        <v>24341</v>
      </c>
      <c r="D860" s="217" t="s">
        <v>24342</v>
      </c>
      <c r="E860" s="123" t="s">
        <v>24343</v>
      </c>
      <c r="F860" s="123" t="s">
        <v>54</v>
      </c>
      <c r="G860" s="123" t="s">
        <v>24344</v>
      </c>
      <c r="H860" s="221" t="s">
        <v>24345</v>
      </c>
      <c r="I860" s="221"/>
      <c r="J860" s="137" t="s">
        <v>24346</v>
      </c>
      <c r="K860" s="137" t="s">
        <v>24347</v>
      </c>
      <c r="L860" s="136" t="s">
        <v>24348</v>
      </c>
      <c r="M860" s="136" t="s">
        <v>24349</v>
      </c>
    </row>
    <row r="861" spans="1:13" ht="14.25" customHeight="1">
      <c r="A861" s="113">
        <v>15</v>
      </c>
      <c r="B861" s="113"/>
      <c r="C861" s="216" t="s">
        <v>24350</v>
      </c>
      <c r="D861" s="217" t="s">
        <v>24351</v>
      </c>
      <c r="E861" s="121" t="s">
        <v>24352</v>
      </c>
      <c r="F861" s="121" t="s">
        <v>117</v>
      </c>
      <c r="G861" s="121" t="s">
        <v>24353</v>
      </c>
      <c r="H861" s="221" t="s">
        <v>24354</v>
      </c>
      <c r="I861" s="221"/>
      <c r="J861" s="28" t="s">
        <v>24355</v>
      </c>
      <c r="K861" s="137" t="s">
        <v>24356</v>
      </c>
      <c r="L861" s="136" t="s">
        <v>24357</v>
      </c>
      <c r="M861" s="136" t="s">
        <v>24358</v>
      </c>
    </row>
    <row r="862" spans="1:13" ht="14.25" customHeight="1">
      <c r="A862" s="113">
        <v>16</v>
      </c>
      <c r="B862" s="113"/>
      <c r="C862" s="216" t="s">
        <v>24359</v>
      </c>
      <c r="D862" s="217" t="s">
        <v>24360</v>
      </c>
      <c r="E862" s="121" t="s">
        <v>24361</v>
      </c>
      <c r="F862" s="121" t="s">
        <v>65</v>
      </c>
      <c r="G862" s="121" t="s">
        <v>24362</v>
      </c>
      <c r="H862" s="221" t="s">
        <v>24363</v>
      </c>
      <c r="I862" s="221"/>
      <c r="J862" s="118" t="s">
        <v>24364</v>
      </c>
      <c r="K862" s="137" t="s">
        <v>24365</v>
      </c>
      <c r="L862" s="136" t="s">
        <v>24366</v>
      </c>
      <c r="M862" s="136" t="s">
        <v>24367</v>
      </c>
    </row>
    <row r="863" spans="1:13" ht="14.25" customHeight="1">
      <c r="A863" s="113">
        <v>17</v>
      </c>
      <c r="B863" s="113"/>
      <c r="C863" s="216" t="s">
        <v>24368</v>
      </c>
      <c r="D863" s="284" t="s">
        <v>24369</v>
      </c>
      <c r="E863" s="121" t="s">
        <v>24370</v>
      </c>
      <c r="F863" s="121" t="s">
        <v>117</v>
      </c>
      <c r="G863" s="121" t="s">
        <v>24371</v>
      </c>
      <c r="H863" s="285" t="s">
        <v>24372</v>
      </c>
      <c r="I863" s="285"/>
      <c r="J863" s="118" t="s">
        <v>24373</v>
      </c>
      <c r="K863" s="137" t="s">
        <v>24374</v>
      </c>
      <c r="L863" s="136" t="s">
        <v>24375</v>
      </c>
      <c r="M863" s="136" t="s">
        <v>24376</v>
      </c>
    </row>
    <row r="864" spans="1:13" ht="14.25" customHeight="1">
      <c r="A864" s="113">
        <v>18</v>
      </c>
      <c r="B864" s="113"/>
      <c r="C864" s="216" t="s">
        <v>24377</v>
      </c>
      <c r="D864" s="284" t="s">
        <v>24378</v>
      </c>
      <c r="E864" s="121" t="s">
        <v>24379</v>
      </c>
      <c r="F864" s="121" t="s">
        <v>117</v>
      </c>
      <c r="G864" s="121" t="s">
        <v>24380</v>
      </c>
      <c r="H864" s="285" t="s">
        <v>24381</v>
      </c>
      <c r="I864" s="285"/>
      <c r="J864" s="118" t="s">
        <v>24382</v>
      </c>
      <c r="K864" s="137" t="s">
        <v>24383</v>
      </c>
      <c r="L864" s="136" t="s">
        <v>24384</v>
      </c>
      <c r="M864" s="136" t="s">
        <v>24385</v>
      </c>
    </row>
    <row r="865" spans="1:13" ht="14.25" customHeight="1">
      <c r="A865" s="113">
        <v>19</v>
      </c>
      <c r="B865" s="113"/>
      <c r="C865" s="216" t="s">
        <v>24386</v>
      </c>
      <c r="D865" s="284" t="s">
        <v>24387</v>
      </c>
      <c r="E865" s="121" t="s">
        <v>24388</v>
      </c>
      <c r="F865" s="121" t="s">
        <v>65</v>
      </c>
      <c r="G865" s="121" t="s">
        <v>24389</v>
      </c>
      <c r="H865" s="285" t="s">
        <v>24390</v>
      </c>
      <c r="I865" s="285"/>
      <c r="J865" s="118" t="s">
        <v>24391</v>
      </c>
      <c r="K865" s="137" t="s">
        <v>24392</v>
      </c>
      <c r="L865" s="136" t="s">
        <v>24393</v>
      </c>
      <c r="M865" s="136" t="s">
        <v>24394</v>
      </c>
    </row>
    <row r="866" spans="1:13" ht="14.25" customHeight="1">
      <c r="A866" s="113">
        <v>20</v>
      </c>
      <c r="B866" s="113"/>
      <c r="C866" s="216" t="s">
        <v>24395</v>
      </c>
      <c r="D866" s="284" t="s">
        <v>24396</v>
      </c>
      <c r="E866" s="121" t="s">
        <v>24397</v>
      </c>
      <c r="F866" s="121" t="s">
        <v>54</v>
      </c>
      <c r="G866" s="121" t="s">
        <v>24398</v>
      </c>
      <c r="H866" s="285" t="s">
        <v>24399</v>
      </c>
      <c r="I866" s="285"/>
      <c r="J866" s="118" t="s">
        <v>24400</v>
      </c>
      <c r="K866" s="137" t="s">
        <v>24401</v>
      </c>
      <c r="L866" s="136" t="s">
        <v>24402</v>
      </c>
      <c r="M866" s="136" t="s">
        <v>24403</v>
      </c>
    </row>
    <row r="867" spans="1:13" ht="14.25" customHeight="1">
      <c r="A867" s="113">
        <v>21</v>
      </c>
      <c r="B867" s="113"/>
      <c r="C867" s="216" t="s">
        <v>24404</v>
      </c>
      <c r="D867" s="284" t="s">
        <v>24405</v>
      </c>
      <c r="E867" s="121" t="s">
        <v>24406</v>
      </c>
      <c r="F867" s="121" t="s">
        <v>54</v>
      </c>
      <c r="G867" s="121" t="s">
        <v>24407</v>
      </c>
      <c r="H867" s="285" t="s">
        <v>24408</v>
      </c>
      <c r="I867" s="285"/>
      <c r="J867" s="118" t="s">
        <v>24409</v>
      </c>
      <c r="K867" s="137" t="s">
        <v>24410</v>
      </c>
      <c r="L867" s="136" t="s">
        <v>24411</v>
      </c>
      <c r="M867" s="136" t="s">
        <v>24412</v>
      </c>
    </row>
    <row r="868" spans="1:13" ht="14.25" customHeight="1">
      <c r="A868" s="113">
        <v>22</v>
      </c>
      <c r="B868" s="113"/>
      <c r="C868" s="216" t="s">
        <v>24413</v>
      </c>
      <c r="D868" s="284" t="s">
        <v>24414</v>
      </c>
      <c r="E868" s="121" t="s">
        <v>24415</v>
      </c>
      <c r="F868" s="121" t="s">
        <v>54</v>
      </c>
      <c r="G868" s="121" t="s">
        <v>24416</v>
      </c>
      <c r="H868" s="285" t="s">
        <v>24417</v>
      </c>
      <c r="I868" s="285"/>
      <c r="J868" s="118" t="s">
        <v>24418</v>
      </c>
      <c r="K868" s="137" t="s">
        <v>24419</v>
      </c>
      <c r="L868" s="136" t="s">
        <v>24420</v>
      </c>
      <c r="M868" s="136" t="s">
        <v>24421</v>
      </c>
    </row>
    <row r="869" spans="1:13" ht="14.25" customHeight="1">
      <c r="A869" s="113">
        <v>23</v>
      </c>
      <c r="B869" s="113"/>
      <c r="C869" s="216" t="s">
        <v>24422</v>
      </c>
      <c r="D869" s="284" t="s">
        <v>24423</v>
      </c>
      <c r="E869" s="121" t="s">
        <v>24424</v>
      </c>
      <c r="F869" s="121" t="s">
        <v>460</v>
      </c>
      <c r="G869" s="121" t="s">
        <v>24425</v>
      </c>
      <c r="H869" s="285" t="s">
        <v>24426</v>
      </c>
      <c r="I869" s="285"/>
      <c r="J869" s="118" t="s">
        <v>24427</v>
      </c>
      <c r="K869" s="137" t="s">
        <v>24428</v>
      </c>
      <c r="L869" s="136" t="s">
        <v>24429</v>
      </c>
      <c r="M869" s="136" t="s">
        <v>24430</v>
      </c>
    </row>
    <row r="870" spans="1:13" ht="14.25" customHeight="1">
      <c r="A870" s="113">
        <v>24</v>
      </c>
      <c r="B870" s="113"/>
      <c r="C870" s="216" t="s">
        <v>24431</v>
      </c>
      <c r="D870" s="284" t="s">
        <v>24432</v>
      </c>
      <c r="E870" s="121" t="s">
        <v>24433</v>
      </c>
      <c r="F870" s="121" t="s">
        <v>65</v>
      </c>
      <c r="G870" s="121" t="s">
        <v>24434</v>
      </c>
      <c r="H870" s="285" t="s">
        <v>24435</v>
      </c>
      <c r="I870" s="285"/>
      <c r="J870" s="118" t="s">
        <v>24436</v>
      </c>
      <c r="K870" s="137" t="s">
        <v>24437</v>
      </c>
      <c r="L870" s="136" t="s">
        <v>24438</v>
      </c>
      <c r="M870" s="136" t="s">
        <v>24439</v>
      </c>
    </row>
    <row r="871" spans="1:13" ht="14.25" customHeight="1">
      <c r="A871" s="113">
        <v>25</v>
      </c>
      <c r="B871" s="113"/>
      <c r="C871" s="216" t="s">
        <v>24440</v>
      </c>
      <c r="D871" s="284" t="s">
        <v>24441</v>
      </c>
      <c r="E871" s="121" t="s">
        <v>24442</v>
      </c>
      <c r="F871" s="121" t="s">
        <v>65</v>
      </c>
      <c r="G871" s="121" t="s">
        <v>24443</v>
      </c>
      <c r="H871" s="285" t="s">
        <v>24444</v>
      </c>
      <c r="I871" s="285"/>
      <c r="J871" s="118" t="s">
        <v>24445</v>
      </c>
      <c r="K871" s="137" t="s">
        <v>24446</v>
      </c>
      <c r="L871" s="136" t="s">
        <v>24447</v>
      </c>
      <c r="M871" s="136" t="s">
        <v>24448</v>
      </c>
    </row>
    <row r="872" spans="1:13" ht="14.25" customHeight="1">
      <c r="A872" s="113">
        <v>26</v>
      </c>
      <c r="B872" s="113"/>
      <c r="C872" s="216" t="s">
        <v>24449</v>
      </c>
      <c r="D872" s="284" t="s">
        <v>24450</v>
      </c>
      <c r="E872" s="121" t="s">
        <v>24451</v>
      </c>
      <c r="F872" s="121" t="s">
        <v>460</v>
      </c>
      <c r="G872" s="121" t="s">
        <v>24452</v>
      </c>
      <c r="H872" s="285" t="s">
        <v>24453</v>
      </c>
      <c r="I872" s="285"/>
      <c r="J872" s="118" t="s">
        <v>24454</v>
      </c>
      <c r="K872" s="137" t="s">
        <v>24455</v>
      </c>
      <c r="L872" s="136" t="s">
        <v>24456</v>
      </c>
      <c r="M872" s="136" t="s">
        <v>24457</v>
      </c>
    </row>
    <row r="873" spans="1:13" ht="14.25" customHeight="1">
      <c r="A873" s="113">
        <v>27</v>
      </c>
      <c r="B873" s="113"/>
      <c r="C873" s="216" t="s">
        <v>24458</v>
      </c>
      <c r="D873" s="217" t="s">
        <v>24459</v>
      </c>
      <c r="E873" s="121" t="s">
        <v>24460</v>
      </c>
      <c r="F873" s="121" t="s">
        <v>65</v>
      </c>
      <c r="G873" s="121" t="s">
        <v>24461</v>
      </c>
      <c r="H873" s="221" t="s">
        <v>24462</v>
      </c>
      <c r="I873" s="221"/>
      <c r="J873" s="118" t="s">
        <v>24463</v>
      </c>
      <c r="K873" s="137" t="s">
        <v>24464</v>
      </c>
      <c r="L873" s="136" t="s">
        <v>24465</v>
      </c>
      <c r="M873" s="136" t="s">
        <v>24466</v>
      </c>
    </row>
    <row r="874" spans="1:13" ht="14.25" customHeight="1">
      <c r="A874" s="113">
        <v>28</v>
      </c>
      <c r="B874" s="113"/>
      <c r="C874" s="216" t="s">
        <v>24467</v>
      </c>
      <c r="D874" s="217" t="s">
        <v>24468</v>
      </c>
      <c r="E874" s="121" t="s">
        <v>23005</v>
      </c>
      <c r="F874" s="121" t="s">
        <v>13358</v>
      </c>
      <c r="G874" s="121" t="s">
        <v>24469</v>
      </c>
      <c r="H874" s="221" t="s">
        <v>24470</v>
      </c>
      <c r="I874" s="221"/>
      <c r="J874" s="28" t="s">
        <v>24471</v>
      </c>
      <c r="K874" s="137" t="s">
        <v>24472</v>
      </c>
      <c r="L874" s="136" t="s">
        <v>24473</v>
      </c>
      <c r="M874" s="136" t="s">
        <v>24474</v>
      </c>
    </row>
    <row r="875" spans="1:13" ht="14.25" customHeight="1">
      <c r="A875" s="113">
        <v>29</v>
      </c>
      <c r="B875" s="113"/>
      <c r="C875" s="216" t="s">
        <v>24475</v>
      </c>
      <c r="D875" s="217" t="s">
        <v>24476</v>
      </c>
      <c r="E875" s="123" t="s">
        <v>24477</v>
      </c>
      <c r="F875" s="123" t="s">
        <v>219</v>
      </c>
      <c r="G875" s="123" t="s">
        <v>24478</v>
      </c>
      <c r="H875" s="221" t="s">
        <v>24479</v>
      </c>
      <c r="I875" s="221"/>
      <c r="J875" s="137" t="s">
        <v>24480</v>
      </c>
      <c r="K875" s="137" t="s">
        <v>24481</v>
      </c>
      <c r="L875" s="136" t="s">
        <v>24482</v>
      </c>
      <c r="M875" s="136" t="s">
        <v>24483</v>
      </c>
    </row>
    <row r="876" spans="1:13" ht="14.25" customHeight="1">
      <c r="A876" s="113">
        <v>30</v>
      </c>
      <c r="B876" s="113"/>
      <c r="C876" s="216" t="s">
        <v>24484</v>
      </c>
      <c r="D876" s="217" t="s">
        <v>24485</v>
      </c>
      <c r="E876" s="121" t="s">
        <v>24486</v>
      </c>
      <c r="F876" s="121" t="s">
        <v>65</v>
      </c>
      <c r="G876" s="121" t="s">
        <v>24487</v>
      </c>
      <c r="H876" s="221" t="s">
        <v>24488</v>
      </c>
      <c r="I876" s="221"/>
      <c r="J876" s="118" t="s">
        <v>24489</v>
      </c>
      <c r="K876" s="137" t="s">
        <v>24490</v>
      </c>
      <c r="L876" s="136" t="s">
        <v>24491</v>
      </c>
      <c r="M876" s="136" t="s">
        <v>24492</v>
      </c>
    </row>
    <row r="877" spans="1:13" ht="14.25" customHeight="1">
      <c r="A877" s="113">
        <v>31</v>
      </c>
      <c r="B877" s="113"/>
      <c r="C877" s="216" t="s">
        <v>24493</v>
      </c>
      <c r="D877" s="217" t="s">
        <v>24494</v>
      </c>
      <c r="E877" s="121" t="s">
        <v>24495</v>
      </c>
      <c r="F877" s="121" t="s">
        <v>65</v>
      </c>
      <c r="G877" s="121" t="s">
        <v>24496</v>
      </c>
      <c r="H877" s="221" t="s">
        <v>24497</v>
      </c>
      <c r="I877" s="221"/>
      <c r="J877" s="118" t="s">
        <v>24498</v>
      </c>
      <c r="K877" s="137" t="s">
        <v>24499</v>
      </c>
      <c r="L877" s="136" t="s">
        <v>24500</v>
      </c>
      <c r="M877" s="136" t="s">
        <v>24501</v>
      </c>
    </row>
    <row r="878" spans="1:13" ht="14.25" customHeight="1">
      <c r="A878" s="113">
        <v>32</v>
      </c>
      <c r="B878" s="113"/>
      <c r="C878" s="216" t="s">
        <v>24502</v>
      </c>
      <c r="D878" s="284" t="s">
        <v>24503</v>
      </c>
      <c r="E878" s="121" t="s">
        <v>24504</v>
      </c>
      <c r="F878" s="121" t="s">
        <v>65</v>
      </c>
      <c r="G878" s="121" t="s">
        <v>24505</v>
      </c>
      <c r="H878" s="285" t="s">
        <v>24506</v>
      </c>
      <c r="I878" s="285"/>
      <c r="J878" s="118" t="s">
        <v>24507</v>
      </c>
      <c r="K878" s="137" t="s">
        <v>24508</v>
      </c>
      <c r="L878" s="136" t="s">
        <v>24509</v>
      </c>
      <c r="M878" s="136" t="s">
        <v>24510</v>
      </c>
    </row>
    <row r="879" spans="1:13" ht="14.25" customHeight="1">
      <c r="A879" s="113">
        <v>33</v>
      </c>
      <c r="B879" s="113"/>
      <c r="C879" s="216" t="s">
        <v>24511</v>
      </c>
      <c r="D879" s="284" t="s">
        <v>24512</v>
      </c>
      <c r="E879" s="121" t="s">
        <v>24513</v>
      </c>
      <c r="F879" s="121" t="s">
        <v>65</v>
      </c>
      <c r="G879" s="121" t="s">
        <v>24514</v>
      </c>
      <c r="H879" s="285" t="s">
        <v>24515</v>
      </c>
      <c r="I879" s="285"/>
      <c r="J879" s="118" t="s">
        <v>24516</v>
      </c>
      <c r="K879" s="137" t="s">
        <v>24517</v>
      </c>
      <c r="L879" s="136" t="s">
        <v>24518</v>
      </c>
      <c r="M879" s="136" t="s">
        <v>24519</v>
      </c>
    </row>
    <row r="880" spans="1:13" ht="14.25" customHeight="1">
      <c r="A880" s="113">
        <v>34</v>
      </c>
      <c r="B880" s="113"/>
      <c r="C880" s="216" t="s">
        <v>24520</v>
      </c>
      <c r="D880" s="284" t="s">
        <v>24521</v>
      </c>
      <c r="E880" s="121" t="s">
        <v>24522</v>
      </c>
      <c r="F880" s="121" t="s">
        <v>54</v>
      </c>
      <c r="G880" s="121" t="s">
        <v>24523</v>
      </c>
      <c r="H880" s="285" t="s">
        <v>24524</v>
      </c>
      <c r="I880" s="285"/>
      <c r="J880" s="118" t="s">
        <v>24525</v>
      </c>
      <c r="K880" s="137" t="s">
        <v>24526</v>
      </c>
      <c r="L880" s="136" t="s">
        <v>24527</v>
      </c>
      <c r="M880" s="136" t="s">
        <v>24528</v>
      </c>
    </row>
    <row r="881" spans="1:13" ht="14.25" customHeight="1">
      <c r="A881" s="210">
        <v>1</v>
      </c>
      <c r="B881" s="210"/>
      <c r="C881" s="211" t="s">
        <v>24529</v>
      </c>
      <c r="D881" s="238" t="s">
        <v>24530</v>
      </c>
      <c r="E881" s="283" t="s">
        <v>24531</v>
      </c>
      <c r="F881" s="283" t="s">
        <v>54</v>
      </c>
      <c r="G881" s="283" t="s">
        <v>24532</v>
      </c>
      <c r="H881" s="239" t="s">
        <v>24533</v>
      </c>
      <c r="I881" s="239"/>
      <c r="J881" s="263" t="s">
        <v>24534</v>
      </c>
      <c r="K881" s="215" t="s">
        <v>24535</v>
      </c>
      <c r="L881" s="210" t="s">
        <v>24536</v>
      </c>
      <c r="M881" s="247" t="s">
        <v>24537</v>
      </c>
    </row>
    <row r="882" spans="1:13" ht="14.25" customHeight="1">
      <c r="A882" s="113">
        <v>2</v>
      </c>
      <c r="B882" s="113"/>
      <c r="C882" s="216" t="s">
        <v>24538</v>
      </c>
      <c r="D882" s="284" t="s">
        <v>24539</v>
      </c>
      <c r="E882" s="121" t="s">
        <v>24540</v>
      </c>
      <c r="F882" s="121" t="s">
        <v>54</v>
      </c>
      <c r="G882" s="121" t="s">
        <v>24541</v>
      </c>
      <c r="H882" s="285" t="s">
        <v>24542</v>
      </c>
      <c r="I882" s="285"/>
      <c r="J882" s="288" t="s">
        <v>24543</v>
      </c>
      <c r="K882" s="137" t="s">
        <v>24544</v>
      </c>
      <c r="L882" s="136" t="s">
        <v>24545</v>
      </c>
      <c r="M882" s="136" t="s">
        <v>24546</v>
      </c>
    </row>
    <row r="883" spans="1:13" ht="14.25" customHeight="1">
      <c r="A883" s="113">
        <v>3</v>
      </c>
      <c r="B883" s="113"/>
      <c r="C883" s="216" t="s">
        <v>24547</v>
      </c>
      <c r="D883" s="284" t="s">
        <v>24548</v>
      </c>
      <c r="E883" s="121" t="s">
        <v>24549</v>
      </c>
      <c r="F883" s="121" t="s">
        <v>117</v>
      </c>
      <c r="G883" s="121" t="s">
        <v>24550</v>
      </c>
      <c r="H883" s="285" t="s">
        <v>24551</v>
      </c>
      <c r="I883" s="285"/>
      <c r="J883" s="288" t="s">
        <v>24552</v>
      </c>
      <c r="K883" s="137" t="s">
        <v>24553</v>
      </c>
      <c r="L883" s="136" t="s">
        <v>24554</v>
      </c>
      <c r="M883" s="136" t="s">
        <v>24555</v>
      </c>
    </row>
    <row r="884" spans="1:13" ht="14.25" customHeight="1">
      <c r="A884" s="113">
        <v>4</v>
      </c>
      <c r="B884" s="113"/>
      <c r="C884" s="216" t="s">
        <v>24556</v>
      </c>
      <c r="D884" s="284" t="s">
        <v>24557</v>
      </c>
      <c r="E884" s="121" t="s">
        <v>24558</v>
      </c>
      <c r="F884" s="121" t="s">
        <v>65</v>
      </c>
      <c r="G884" s="121" t="s">
        <v>24559</v>
      </c>
      <c r="H884" s="285" t="s">
        <v>24560</v>
      </c>
      <c r="I884" s="285"/>
      <c r="J884" s="288" t="s">
        <v>24561</v>
      </c>
      <c r="K884" s="137" t="s">
        <v>24562</v>
      </c>
      <c r="L884" s="136" t="s">
        <v>24563</v>
      </c>
      <c r="M884" s="136" t="s">
        <v>24564</v>
      </c>
    </row>
    <row r="885" spans="1:13" ht="14.25" customHeight="1">
      <c r="A885" s="113">
        <v>5</v>
      </c>
      <c r="B885" s="113"/>
      <c r="C885" s="216" t="s">
        <v>24565</v>
      </c>
      <c r="D885" s="284" t="s">
        <v>24566</v>
      </c>
      <c r="E885" s="121" t="s">
        <v>24567</v>
      </c>
      <c r="F885" s="121" t="s">
        <v>117</v>
      </c>
      <c r="G885" s="121" t="s">
        <v>24568</v>
      </c>
      <c r="H885" s="285" t="s">
        <v>24569</v>
      </c>
      <c r="I885" s="285"/>
      <c r="J885" s="288" t="s">
        <v>24570</v>
      </c>
      <c r="K885" s="137" t="s">
        <v>24571</v>
      </c>
      <c r="L885" s="136" t="s">
        <v>24572</v>
      </c>
      <c r="M885" s="136" t="s">
        <v>24573</v>
      </c>
    </row>
    <row r="886" spans="1:13" ht="14.25" customHeight="1">
      <c r="A886" s="113">
        <v>6</v>
      </c>
      <c r="B886" s="113"/>
      <c r="C886" s="216" t="s">
        <v>24574</v>
      </c>
      <c r="D886" s="284" t="s">
        <v>24575</v>
      </c>
      <c r="E886" s="121" t="s">
        <v>24576</v>
      </c>
      <c r="F886" s="121" t="s">
        <v>65</v>
      </c>
      <c r="G886" s="121" t="s">
        <v>24577</v>
      </c>
      <c r="H886" s="285" t="s">
        <v>24578</v>
      </c>
      <c r="I886" s="285"/>
      <c r="J886" s="288" t="s">
        <v>24579</v>
      </c>
      <c r="K886" s="137" t="s">
        <v>24580</v>
      </c>
      <c r="L886" s="136" t="s">
        <v>24581</v>
      </c>
      <c r="M886" s="136" t="s">
        <v>24582</v>
      </c>
    </row>
    <row r="887" spans="1:13" ht="14.25" customHeight="1">
      <c r="A887" s="113">
        <v>7</v>
      </c>
      <c r="B887" s="113"/>
      <c r="C887" s="216" t="s">
        <v>24583</v>
      </c>
      <c r="D887" s="284" t="s">
        <v>24584</v>
      </c>
      <c r="E887" s="121" t="s">
        <v>24585</v>
      </c>
      <c r="F887" s="121" t="s">
        <v>219</v>
      </c>
      <c r="G887" s="121" t="s">
        <v>24586</v>
      </c>
      <c r="H887" s="285" t="s">
        <v>24587</v>
      </c>
      <c r="I887" s="285"/>
      <c r="J887" s="288" t="s">
        <v>24588</v>
      </c>
      <c r="K887" s="137" t="s">
        <v>24589</v>
      </c>
      <c r="L887" s="136" t="s">
        <v>24590</v>
      </c>
      <c r="M887" s="136" t="s">
        <v>24591</v>
      </c>
    </row>
    <row r="888" spans="1:13" ht="14.25" customHeight="1">
      <c r="A888" s="113">
        <v>8</v>
      </c>
      <c r="B888" s="113"/>
      <c r="C888" s="216" t="s">
        <v>24592</v>
      </c>
      <c r="D888" s="284" t="s">
        <v>24593</v>
      </c>
      <c r="E888" s="121" t="s">
        <v>24594</v>
      </c>
      <c r="F888" s="121" t="s">
        <v>65</v>
      </c>
      <c r="G888" s="121" t="s">
        <v>24595</v>
      </c>
      <c r="H888" s="285" t="s">
        <v>24596</v>
      </c>
      <c r="I888" s="285"/>
      <c r="J888" s="288" t="s">
        <v>24597</v>
      </c>
      <c r="K888" s="137" t="s">
        <v>24598</v>
      </c>
      <c r="L888" s="136" t="s">
        <v>24599</v>
      </c>
      <c r="M888" s="136" t="s">
        <v>24600</v>
      </c>
    </row>
    <row r="889" spans="1:13" ht="14.25" customHeight="1">
      <c r="A889" s="113">
        <v>9</v>
      </c>
      <c r="B889" s="113"/>
      <c r="C889" s="216" t="s">
        <v>24601</v>
      </c>
      <c r="D889" s="284" t="s">
        <v>24602</v>
      </c>
      <c r="E889" s="121" t="s">
        <v>24603</v>
      </c>
      <c r="F889" s="121" t="s">
        <v>117</v>
      </c>
      <c r="G889" s="121" t="s">
        <v>24604</v>
      </c>
      <c r="H889" s="285" t="s">
        <v>24605</v>
      </c>
      <c r="I889" s="285"/>
      <c r="J889" s="288" t="s">
        <v>24606</v>
      </c>
      <c r="K889" s="137" t="s">
        <v>24607</v>
      </c>
      <c r="L889" s="136" t="s">
        <v>24608</v>
      </c>
      <c r="M889" s="136" t="s">
        <v>24609</v>
      </c>
    </row>
    <row r="890" spans="1:13" ht="14.25" customHeight="1">
      <c r="A890" s="113">
        <v>10</v>
      </c>
      <c r="B890" s="113"/>
      <c r="C890" s="216" t="s">
        <v>10132</v>
      </c>
      <c r="D890" s="284" t="s">
        <v>10133</v>
      </c>
      <c r="E890" s="121" t="s">
        <v>10134</v>
      </c>
      <c r="F890" s="121" t="s">
        <v>65</v>
      </c>
      <c r="G890" s="121" t="s">
        <v>11108</v>
      </c>
      <c r="H890" s="285" t="s">
        <v>24610</v>
      </c>
      <c r="I890" s="285"/>
      <c r="J890" s="288" t="s">
        <v>10138</v>
      </c>
      <c r="K890" s="137" t="s">
        <v>11109</v>
      </c>
      <c r="L890" s="136" t="s">
        <v>11110</v>
      </c>
      <c r="M890" s="136" t="s">
        <v>11111</v>
      </c>
    </row>
    <row r="891" spans="1:13" ht="14.25" customHeight="1">
      <c r="A891" s="136">
        <v>11</v>
      </c>
      <c r="B891" s="136"/>
      <c r="C891" s="222" t="s">
        <v>20784</v>
      </c>
      <c r="D891" s="286" t="s">
        <v>24611</v>
      </c>
      <c r="E891" s="121" t="s">
        <v>24612</v>
      </c>
      <c r="F891" s="121" t="s">
        <v>65</v>
      </c>
      <c r="G891" s="121" t="s">
        <v>24613</v>
      </c>
      <c r="H891" s="287" t="s">
        <v>24614</v>
      </c>
      <c r="I891" s="287"/>
      <c r="J891" s="289" t="s">
        <v>24615</v>
      </c>
      <c r="K891" s="137" t="s">
        <v>24616</v>
      </c>
      <c r="L891" s="136" t="s">
        <v>24617</v>
      </c>
      <c r="M891" s="136" t="s">
        <v>24618</v>
      </c>
    </row>
    <row r="892" spans="1:13" ht="14.25" customHeight="1">
      <c r="A892" s="113">
        <v>12</v>
      </c>
      <c r="B892" s="113"/>
      <c r="C892" s="216" t="s">
        <v>24619</v>
      </c>
      <c r="D892" s="284" t="s">
        <v>24620</v>
      </c>
      <c r="E892" s="121" t="s">
        <v>24621</v>
      </c>
      <c r="F892" s="121" t="s">
        <v>117</v>
      </c>
      <c r="G892" s="121" t="s">
        <v>24622</v>
      </c>
      <c r="H892" s="285" t="s">
        <v>24623</v>
      </c>
      <c r="I892" s="285"/>
      <c r="J892" s="288" t="s">
        <v>24624</v>
      </c>
      <c r="K892" s="137" t="s">
        <v>24625</v>
      </c>
      <c r="L892" s="136" t="s">
        <v>24626</v>
      </c>
      <c r="M892" s="136" t="s">
        <v>24627</v>
      </c>
    </row>
    <row r="893" spans="1:13" ht="14.25" customHeight="1">
      <c r="A893" s="113">
        <v>13</v>
      </c>
      <c r="B893" s="113"/>
      <c r="C893" s="216" t="s">
        <v>24628</v>
      </c>
      <c r="D893" s="284" t="s">
        <v>24629</v>
      </c>
      <c r="E893" s="121" t="s">
        <v>24630</v>
      </c>
      <c r="F893" s="121" t="s">
        <v>117</v>
      </c>
      <c r="G893" s="121" t="s">
        <v>24631</v>
      </c>
      <c r="H893" s="285" t="s">
        <v>24632</v>
      </c>
      <c r="I893" s="285"/>
      <c r="J893" s="288" t="s">
        <v>24633</v>
      </c>
      <c r="K893" s="137" t="s">
        <v>24634</v>
      </c>
      <c r="L893" s="136" t="s">
        <v>24635</v>
      </c>
      <c r="M893" s="136" t="s">
        <v>24636</v>
      </c>
    </row>
    <row r="894" spans="1:13" ht="14.25" customHeight="1">
      <c r="A894" s="113">
        <v>14</v>
      </c>
      <c r="B894" s="113"/>
      <c r="C894" s="216" t="s">
        <v>24637</v>
      </c>
      <c r="D894" s="284" t="s">
        <v>24638</v>
      </c>
      <c r="E894" s="121" t="s">
        <v>24639</v>
      </c>
      <c r="F894" s="121" t="s">
        <v>117</v>
      </c>
      <c r="G894" s="121" t="s">
        <v>24640</v>
      </c>
      <c r="H894" s="285" t="s">
        <v>24641</v>
      </c>
      <c r="I894" s="285"/>
      <c r="J894" s="288" t="s">
        <v>24642</v>
      </c>
      <c r="K894" s="137" t="s">
        <v>24643</v>
      </c>
      <c r="L894" s="136" t="s">
        <v>24644</v>
      </c>
      <c r="M894" s="136" t="s">
        <v>24645</v>
      </c>
    </row>
    <row r="895" spans="1:13" ht="14.25" customHeight="1">
      <c r="A895" s="113">
        <v>15</v>
      </c>
      <c r="B895" s="113"/>
      <c r="C895" s="216" t="s">
        <v>24646</v>
      </c>
      <c r="D895" s="284" t="s">
        <v>24647</v>
      </c>
      <c r="E895" s="121" t="s">
        <v>24648</v>
      </c>
      <c r="F895" s="121" t="s">
        <v>65</v>
      </c>
      <c r="G895" s="121" t="s">
        <v>24649</v>
      </c>
      <c r="H895" s="285" t="s">
        <v>24650</v>
      </c>
      <c r="I895" s="285"/>
      <c r="J895" s="288" t="s">
        <v>24651</v>
      </c>
      <c r="K895" s="137" t="s">
        <v>24652</v>
      </c>
      <c r="L895" s="136" t="s">
        <v>24653</v>
      </c>
      <c r="M895" s="136" t="s">
        <v>24654</v>
      </c>
    </row>
    <row r="896" spans="1:13" ht="14.25" customHeight="1">
      <c r="A896" s="113">
        <v>16</v>
      </c>
      <c r="B896" s="113"/>
      <c r="C896" s="216" t="s">
        <v>24655</v>
      </c>
      <c r="D896" s="284" t="s">
        <v>24656</v>
      </c>
      <c r="E896" s="121" t="s">
        <v>24657</v>
      </c>
      <c r="F896" s="121" t="s">
        <v>117</v>
      </c>
      <c r="G896" s="121" t="s">
        <v>24658</v>
      </c>
      <c r="H896" s="285" t="s">
        <v>24659</v>
      </c>
      <c r="I896" s="285"/>
      <c r="J896" s="288" t="s">
        <v>24660</v>
      </c>
      <c r="K896" s="137" t="s">
        <v>24661</v>
      </c>
      <c r="L896" s="136" t="s">
        <v>24662</v>
      </c>
      <c r="M896" s="136" t="s">
        <v>24663</v>
      </c>
    </row>
    <row r="897" spans="1:13" ht="14.25" customHeight="1">
      <c r="A897" s="113">
        <v>17</v>
      </c>
      <c r="B897" s="113"/>
      <c r="C897" s="216" t="s">
        <v>24664</v>
      </c>
      <c r="D897" s="284" t="s">
        <v>24665</v>
      </c>
      <c r="E897" s="121" t="s">
        <v>24666</v>
      </c>
      <c r="F897" s="121" t="s">
        <v>65</v>
      </c>
      <c r="G897" s="121" t="s">
        <v>24667</v>
      </c>
      <c r="H897" s="285" t="s">
        <v>24668</v>
      </c>
      <c r="I897" s="285"/>
      <c r="J897" s="288" t="s">
        <v>24669</v>
      </c>
      <c r="K897" s="137" t="s">
        <v>24670</v>
      </c>
      <c r="L897" s="136" t="s">
        <v>24671</v>
      </c>
      <c r="M897" s="136" t="s">
        <v>24672</v>
      </c>
    </row>
    <row r="898" spans="1:13" ht="14.25" customHeight="1">
      <c r="A898" s="113">
        <v>18</v>
      </c>
      <c r="B898" s="113"/>
      <c r="C898" s="216" t="s">
        <v>24673</v>
      </c>
      <c r="D898" s="284" t="s">
        <v>24674</v>
      </c>
      <c r="E898" s="121" t="s">
        <v>24675</v>
      </c>
      <c r="F898" s="121" t="s">
        <v>117</v>
      </c>
      <c r="G898" s="121" t="s">
        <v>24676</v>
      </c>
      <c r="H898" s="285" t="s">
        <v>24677</v>
      </c>
      <c r="I898" s="285"/>
      <c r="J898" s="289" t="s">
        <v>24678</v>
      </c>
      <c r="K898" s="137" t="s">
        <v>24679</v>
      </c>
      <c r="L898" s="136" t="s">
        <v>24680</v>
      </c>
      <c r="M898" s="136" t="s">
        <v>24681</v>
      </c>
    </row>
    <row r="899" spans="1:13" ht="14.25" customHeight="1">
      <c r="A899" s="113">
        <v>19</v>
      </c>
      <c r="B899" s="113"/>
      <c r="C899" s="216" t="s">
        <v>24682</v>
      </c>
      <c r="D899" s="284" t="s">
        <v>24683</v>
      </c>
      <c r="E899" s="121" t="s">
        <v>24684</v>
      </c>
      <c r="F899" s="121" t="s">
        <v>65</v>
      </c>
      <c r="G899" s="121" t="s">
        <v>24685</v>
      </c>
      <c r="H899" s="285" t="s">
        <v>24686</v>
      </c>
      <c r="I899" s="285"/>
      <c r="J899" s="288" t="s">
        <v>24687</v>
      </c>
      <c r="K899" s="137" t="s">
        <v>24688</v>
      </c>
      <c r="L899" s="136" t="s">
        <v>24689</v>
      </c>
      <c r="M899" s="136" t="s">
        <v>24690</v>
      </c>
    </row>
    <row r="900" spans="1:13" ht="14.25" customHeight="1">
      <c r="A900" s="113">
        <v>20</v>
      </c>
      <c r="B900" s="113"/>
      <c r="C900" s="216" t="s">
        <v>24691</v>
      </c>
      <c r="D900" s="284" t="s">
        <v>24692</v>
      </c>
      <c r="E900" s="121" t="s">
        <v>24693</v>
      </c>
      <c r="F900" s="121" t="s">
        <v>65</v>
      </c>
      <c r="G900" s="121" t="s">
        <v>24694</v>
      </c>
      <c r="H900" s="285" t="s">
        <v>24695</v>
      </c>
      <c r="I900" s="285"/>
      <c r="J900" s="288" t="s">
        <v>24696</v>
      </c>
      <c r="K900" s="137" t="s">
        <v>24697</v>
      </c>
      <c r="L900" s="136" t="s">
        <v>24698</v>
      </c>
      <c r="M900" s="136" t="s">
        <v>24699</v>
      </c>
    </row>
    <row r="901" spans="1:13" ht="14.25" customHeight="1">
      <c r="A901" s="113">
        <v>21</v>
      </c>
      <c r="B901" s="113"/>
      <c r="C901" s="216" t="s">
        <v>24700</v>
      </c>
      <c r="D901" s="284" t="s">
        <v>24701</v>
      </c>
      <c r="E901" s="121" t="s">
        <v>24702</v>
      </c>
      <c r="F901" s="121" t="s">
        <v>54</v>
      </c>
      <c r="G901" s="121" t="s">
        <v>24703</v>
      </c>
      <c r="H901" s="285" t="s">
        <v>24704</v>
      </c>
      <c r="I901" s="285"/>
      <c r="J901" s="288" t="s">
        <v>24705</v>
      </c>
      <c r="K901" s="137" t="s">
        <v>24706</v>
      </c>
      <c r="L901" s="136" t="s">
        <v>24707</v>
      </c>
      <c r="M901" s="136" t="s">
        <v>24708</v>
      </c>
    </row>
    <row r="902" spans="1:13" ht="14.25" customHeight="1">
      <c r="A902" s="113">
        <v>22</v>
      </c>
      <c r="B902" s="113"/>
      <c r="C902" s="216" t="s">
        <v>24709</v>
      </c>
      <c r="D902" s="284" t="s">
        <v>24710</v>
      </c>
      <c r="E902" s="121" t="s">
        <v>24711</v>
      </c>
      <c r="F902" s="121" t="s">
        <v>117</v>
      </c>
      <c r="G902" s="121" t="s">
        <v>24712</v>
      </c>
      <c r="H902" s="285" t="s">
        <v>24713</v>
      </c>
      <c r="I902" s="285"/>
      <c r="J902" s="288" t="s">
        <v>24714</v>
      </c>
      <c r="K902" s="137" t="s">
        <v>24715</v>
      </c>
      <c r="L902" s="136" t="s">
        <v>24716</v>
      </c>
      <c r="M902" s="136" t="s">
        <v>24717</v>
      </c>
    </row>
    <row r="903" spans="1:13" ht="14.25" customHeight="1">
      <c r="A903" s="113">
        <v>23</v>
      </c>
      <c r="B903" s="113"/>
      <c r="C903" s="211" t="s">
        <v>24718</v>
      </c>
      <c r="D903" s="284" t="s">
        <v>24719</v>
      </c>
      <c r="E903" s="121" t="s">
        <v>24720</v>
      </c>
      <c r="F903" s="121" t="s">
        <v>117</v>
      </c>
      <c r="G903" s="121" t="s">
        <v>24721</v>
      </c>
      <c r="H903" s="285" t="s">
        <v>24722</v>
      </c>
      <c r="I903" s="285"/>
      <c r="J903" s="288" t="s">
        <v>24723</v>
      </c>
      <c r="K903" s="137" t="s">
        <v>24724</v>
      </c>
      <c r="L903" s="136" t="s">
        <v>24725</v>
      </c>
      <c r="M903" s="136" t="s">
        <v>24726</v>
      </c>
    </row>
    <row r="904" spans="1:13" ht="14.25" customHeight="1">
      <c r="A904" s="113">
        <v>24</v>
      </c>
      <c r="B904" s="113"/>
      <c r="C904" s="216" t="s">
        <v>24727</v>
      </c>
      <c r="D904" s="284" t="s">
        <v>24728</v>
      </c>
      <c r="E904" s="121" t="s">
        <v>24729</v>
      </c>
      <c r="F904" s="121" t="s">
        <v>117</v>
      </c>
      <c r="G904" s="121" t="s">
        <v>24730</v>
      </c>
      <c r="H904" s="285" t="s">
        <v>24731</v>
      </c>
      <c r="I904" s="285"/>
      <c r="J904" s="288" t="s">
        <v>24732</v>
      </c>
      <c r="K904" s="137" t="s">
        <v>24733</v>
      </c>
      <c r="L904" s="136" t="s">
        <v>24734</v>
      </c>
      <c r="M904" s="136" t="s">
        <v>24735</v>
      </c>
    </row>
    <row r="905" spans="1:13" ht="14.25" customHeight="1">
      <c r="A905" s="113">
        <v>25</v>
      </c>
      <c r="B905" s="113"/>
      <c r="C905" s="216" t="s">
        <v>24736</v>
      </c>
      <c r="D905" s="284" t="s">
        <v>24737</v>
      </c>
      <c r="E905" s="121" t="s">
        <v>24738</v>
      </c>
      <c r="F905" s="121" t="s">
        <v>54</v>
      </c>
      <c r="G905" s="121" t="s">
        <v>24739</v>
      </c>
      <c r="H905" s="285" t="s">
        <v>24740</v>
      </c>
      <c r="I905" s="285"/>
      <c r="J905" s="288" t="s">
        <v>24741</v>
      </c>
      <c r="K905" s="137" t="s">
        <v>24742</v>
      </c>
      <c r="L905" s="136" t="s">
        <v>24743</v>
      </c>
      <c r="M905" s="136" t="s">
        <v>24744</v>
      </c>
    </row>
    <row r="906" spans="1:13" ht="14.25" customHeight="1">
      <c r="A906" s="113">
        <v>26</v>
      </c>
      <c r="B906" s="113"/>
      <c r="C906" s="216" t="s">
        <v>24745</v>
      </c>
      <c r="D906" s="284" t="s">
        <v>24746</v>
      </c>
      <c r="E906" s="121" t="s">
        <v>24747</v>
      </c>
      <c r="F906" s="121" t="s">
        <v>54</v>
      </c>
      <c r="G906" s="121" t="s">
        <v>24748</v>
      </c>
      <c r="H906" s="285" t="s">
        <v>24749</v>
      </c>
      <c r="I906" s="285"/>
      <c r="J906" s="288" t="s">
        <v>24750</v>
      </c>
      <c r="K906" s="137" t="s">
        <v>24751</v>
      </c>
      <c r="L906" s="136" t="s">
        <v>24752</v>
      </c>
      <c r="M906" s="136" t="s">
        <v>24753</v>
      </c>
    </row>
    <row r="907" spans="1:13" ht="14.25" customHeight="1">
      <c r="A907" s="113">
        <v>27</v>
      </c>
      <c r="B907" s="113"/>
      <c r="C907" s="216" t="s">
        <v>24754</v>
      </c>
      <c r="D907" s="284" t="s">
        <v>24755</v>
      </c>
      <c r="E907" s="121" t="s">
        <v>24756</v>
      </c>
      <c r="F907" s="121" t="s">
        <v>65</v>
      </c>
      <c r="G907" s="121" t="s">
        <v>24757</v>
      </c>
      <c r="H907" s="285" t="s">
        <v>24758</v>
      </c>
      <c r="I907" s="285"/>
      <c r="J907" s="288" t="s">
        <v>24759</v>
      </c>
      <c r="K907" s="137" t="s">
        <v>24760</v>
      </c>
      <c r="L907" s="136" t="s">
        <v>24761</v>
      </c>
      <c r="M907" s="136" t="s">
        <v>24762</v>
      </c>
    </row>
    <row r="908" spans="1:13" ht="14.25" customHeight="1">
      <c r="A908" s="113">
        <v>28</v>
      </c>
      <c r="B908" s="113"/>
      <c r="C908" s="216" t="s">
        <v>24763</v>
      </c>
      <c r="D908" s="284" t="s">
        <v>24764</v>
      </c>
      <c r="E908" s="121" t="s">
        <v>24765</v>
      </c>
      <c r="F908" s="121" t="s">
        <v>117</v>
      </c>
      <c r="G908" s="121" t="s">
        <v>24766</v>
      </c>
      <c r="H908" s="285" t="s">
        <v>24767</v>
      </c>
      <c r="I908" s="285"/>
      <c r="J908" s="288" t="s">
        <v>24768</v>
      </c>
      <c r="K908" s="137" t="s">
        <v>24769</v>
      </c>
      <c r="L908" s="136" t="s">
        <v>24770</v>
      </c>
      <c r="M908" s="136" t="s">
        <v>24771</v>
      </c>
    </row>
    <row r="909" spans="1:13" ht="14.25" customHeight="1">
      <c r="A909" s="113">
        <v>29</v>
      </c>
      <c r="B909" s="113"/>
      <c r="C909" s="216" t="s">
        <v>24772</v>
      </c>
      <c r="D909" s="284" t="s">
        <v>24773</v>
      </c>
      <c r="E909" s="121" t="s">
        <v>24774</v>
      </c>
      <c r="F909" s="121" t="s">
        <v>54</v>
      </c>
      <c r="G909" s="121" t="s">
        <v>24775</v>
      </c>
      <c r="H909" s="285" t="s">
        <v>24776</v>
      </c>
      <c r="I909" s="285"/>
      <c r="J909" s="288" t="s">
        <v>24777</v>
      </c>
      <c r="K909" s="137" t="s">
        <v>24778</v>
      </c>
      <c r="L909" s="136" t="s">
        <v>24779</v>
      </c>
      <c r="M909" s="136" t="s">
        <v>24780</v>
      </c>
    </row>
    <row r="910" spans="1:13" ht="14.25" customHeight="1">
      <c r="A910" s="113">
        <v>30</v>
      </c>
      <c r="B910" s="113"/>
      <c r="C910" s="216" t="s">
        <v>24781</v>
      </c>
      <c r="D910" s="284" t="s">
        <v>24782</v>
      </c>
      <c r="E910" s="121" t="s">
        <v>24783</v>
      </c>
      <c r="F910" s="121" t="s">
        <v>54</v>
      </c>
      <c r="G910" s="121" t="s">
        <v>24784</v>
      </c>
      <c r="H910" s="118" t="s">
        <v>24785</v>
      </c>
      <c r="I910" s="118"/>
      <c r="J910" s="118" t="s">
        <v>24786</v>
      </c>
      <c r="K910" s="137" t="s">
        <v>24787</v>
      </c>
      <c r="L910" s="136" t="s">
        <v>24788</v>
      </c>
      <c r="M910" s="136" t="s">
        <v>24789</v>
      </c>
    </row>
    <row r="911" spans="1:13" ht="14.25" customHeight="1">
      <c r="A911" s="113">
        <v>31</v>
      </c>
      <c r="B911" s="113"/>
      <c r="C911" s="216" t="s">
        <v>24790</v>
      </c>
      <c r="D911" s="284" t="s">
        <v>24791</v>
      </c>
      <c r="E911" s="121" t="s">
        <v>24792</v>
      </c>
      <c r="F911" s="121" t="s">
        <v>42</v>
      </c>
      <c r="G911" s="121" t="s">
        <v>24793</v>
      </c>
      <c r="H911" s="285" t="s">
        <v>24794</v>
      </c>
      <c r="I911" s="285"/>
      <c r="J911" s="288" t="s">
        <v>24795</v>
      </c>
      <c r="K911" s="137" t="s">
        <v>24796</v>
      </c>
      <c r="L911" s="136" t="s">
        <v>24797</v>
      </c>
      <c r="M911" s="136" t="s">
        <v>24798</v>
      </c>
    </row>
    <row r="912" spans="1:13" ht="14.25" customHeight="1">
      <c r="A912" s="113">
        <v>32</v>
      </c>
      <c r="B912" s="113"/>
      <c r="C912" s="216" t="s">
        <v>24799</v>
      </c>
      <c r="D912" s="284" t="s">
        <v>24800</v>
      </c>
      <c r="E912" s="121" t="s">
        <v>24801</v>
      </c>
      <c r="F912" s="121" t="s">
        <v>117</v>
      </c>
      <c r="G912" s="121" t="s">
        <v>24802</v>
      </c>
      <c r="H912" s="118" t="s">
        <v>24803</v>
      </c>
      <c r="I912" s="118"/>
      <c r="J912" s="288" t="s">
        <v>24804</v>
      </c>
      <c r="K912" s="137" t="s">
        <v>24805</v>
      </c>
      <c r="L912" s="136" t="s">
        <v>24806</v>
      </c>
      <c r="M912" s="136" t="s">
        <v>24807</v>
      </c>
    </row>
    <row r="913" spans="1:13" ht="14.25" customHeight="1">
      <c r="A913" s="113">
        <v>33</v>
      </c>
      <c r="B913" s="113"/>
      <c r="C913" s="216" t="s">
        <v>24808</v>
      </c>
      <c r="D913" s="284" t="s">
        <v>24809</v>
      </c>
      <c r="E913" s="121" t="s">
        <v>24810</v>
      </c>
      <c r="F913" s="121" t="s">
        <v>219</v>
      </c>
      <c r="G913" s="121" t="s">
        <v>24811</v>
      </c>
      <c r="H913" s="285" t="s">
        <v>24812</v>
      </c>
      <c r="I913" s="285"/>
      <c r="J913" s="288" t="s">
        <v>24813</v>
      </c>
      <c r="K913" s="137" t="s">
        <v>24814</v>
      </c>
      <c r="L913" s="136" t="s">
        <v>24815</v>
      </c>
      <c r="M913" s="136" t="s">
        <v>24816</v>
      </c>
    </row>
    <row r="914" spans="1:13" ht="14.25" customHeight="1">
      <c r="A914" s="113">
        <v>34</v>
      </c>
      <c r="B914" s="113"/>
      <c r="C914" s="216" t="s">
        <v>24817</v>
      </c>
      <c r="D914" s="284" t="s">
        <v>24818</v>
      </c>
      <c r="E914" s="121" t="s">
        <v>24819</v>
      </c>
      <c r="F914" s="121" t="s">
        <v>54</v>
      </c>
      <c r="G914" s="121" t="s">
        <v>24820</v>
      </c>
      <c r="H914" s="285" t="s">
        <v>24821</v>
      </c>
      <c r="I914" s="285"/>
      <c r="J914" s="288" t="s">
        <v>24822</v>
      </c>
      <c r="K914" s="137" t="s">
        <v>24823</v>
      </c>
      <c r="L914" s="136" t="s">
        <v>24824</v>
      </c>
      <c r="M914" s="136" t="s">
        <v>24825</v>
      </c>
    </row>
    <row r="915" spans="1:13" ht="14.25" customHeight="1">
      <c r="A915" s="113">
        <v>35</v>
      </c>
      <c r="B915" s="113"/>
      <c r="C915" s="216" t="s">
        <v>24826</v>
      </c>
      <c r="D915" s="284" t="s">
        <v>24827</v>
      </c>
      <c r="E915" s="121" t="s">
        <v>24828</v>
      </c>
      <c r="F915" s="121" t="s">
        <v>65</v>
      </c>
      <c r="G915" s="121" t="s">
        <v>24829</v>
      </c>
      <c r="H915" s="285" t="s">
        <v>24830</v>
      </c>
      <c r="I915" s="285"/>
      <c r="J915" s="288" t="s">
        <v>24831</v>
      </c>
      <c r="K915" s="137" t="s">
        <v>24832</v>
      </c>
      <c r="L915" s="136" t="s">
        <v>24833</v>
      </c>
      <c r="M915" s="136" t="s">
        <v>24834</v>
      </c>
    </row>
    <row r="916" spans="1:13" ht="14.25" customHeight="1">
      <c r="A916" s="113">
        <v>36</v>
      </c>
      <c r="B916" s="113"/>
      <c r="C916" s="216" t="s">
        <v>24835</v>
      </c>
      <c r="D916" s="284" t="s">
        <v>24836</v>
      </c>
      <c r="E916" s="121" t="s">
        <v>24837</v>
      </c>
      <c r="F916" s="121" t="s">
        <v>117</v>
      </c>
      <c r="G916" s="121" t="s">
        <v>24838</v>
      </c>
      <c r="H916" s="285" t="s">
        <v>24839</v>
      </c>
      <c r="I916" s="285"/>
      <c r="J916" s="288" t="s">
        <v>24840</v>
      </c>
      <c r="K916" s="137" t="s">
        <v>24841</v>
      </c>
      <c r="L916" s="136" t="s">
        <v>24842</v>
      </c>
      <c r="M916" s="136" t="s">
        <v>24843</v>
      </c>
    </row>
    <row r="917" spans="1:13" ht="14.25" customHeight="1">
      <c r="A917" s="113">
        <v>37</v>
      </c>
      <c r="B917" s="113"/>
      <c r="C917" s="216" t="s">
        <v>24844</v>
      </c>
      <c r="D917" s="284" t="s">
        <v>24845</v>
      </c>
      <c r="E917" s="121" t="s">
        <v>24846</v>
      </c>
      <c r="F917" s="121" t="s">
        <v>117</v>
      </c>
      <c r="G917" s="121" t="s">
        <v>24847</v>
      </c>
      <c r="H917" s="285" t="s">
        <v>24848</v>
      </c>
      <c r="I917" s="285"/>
      <c r="J917" s="288" t="s">
        <v>24849</v>
      </c>
      <c r="K917" s="137" t="s">
        <v>24850</v>
      </c>
      <c r="L917" s="136" t="s">
        <v>24851</v>
      </c>
      <c r="M917" s="136" t="s">
        <v>24852</v>
      </c>
    </row>
    <row r="918" spans="1:13" ht="14.25" customHeight="1">
      <c r="A918" s="113">
        <v>38</v>
      </c>
      <c r="B918" s="113"/>
      <c r="C918" s="216" t="s">
        <v>24853</v>
      </c>
      <c r="D918" s="284" t="s">
        <v>24854</v>
      </c>
      <c r="E918" s="219" t="s">
        <v>24855</v>
      </c>
      <c r="F918" s="121"/>
      <c r="G918" s="121" t="s">
        <v>24856</v>
      </c>
      <c r="H918" s="285" t="s">
        <v>24857</v>
      </c>
      <c r="I918" s="285"/>
      <c r="J918" s="288" t="s">
        <v>24858</v>
      </c>
      <c r="K918" s="137" t="s">
        <v>24859</v>
      </c>
      <c r="L918" s="113" t="s">
        <v>24860</v>
      </c>
      <c r="M918" s="136" t="s">
        <v>24861</v>
      </c>
    </row>
    <row r="919" spans="1:13" ht="14.25" customHeight="1">
      <c r="A919" s="113">
        <v>39</v>
      </c>
      <c r="B919" s="113"/>
      <c r="C919" s="216" t="s">
        <v>24862</v>
      </c>
      <c r="D919" s="284" t="s">
        <v>24863</v>
      </c>
      <c r="E919" s="121" t="s">
        <v>24864</v>
      </c>
      <c r="F919" s="219" t="s">
        <v>219</v>
      </c>
      <c r="G919" s="121" t="s">
        <v>24865</v>
      </c>
      <c r="H919" s="285" t="s">
        <v>24866</v>
      </c>
      <c r="I919" s="285"/>
      <c r="J919" s="288" t="s">
        <v>24867</v>
      </c>
      <c r="K919" s="137" t="s">
        <v>24868</v>
      </c>
      <c r="L919" s="136" t="s">
        <v>24869</v>
      </c>
      <c r="M919" s="136" t="s">
        <v>24870</v>
      </c>
    </row>
    <row r="920" spans="1:13" ht="14.25" customHeight="1">
      <c r="A920" s="113">
        <v>40</v>
      </c>
      <c r="B920" s="113"/>
      <c r="C920" s="216" t="s">
        <v>24871</v>
      </c>
      <c r="D920" s="284" t="s">
        <v>24872</v>
      </c>
      <c r="E920" s="121" t="s">
        <v>13101</v>
      </c>
      <c r="F920" s="219" t="s">
        <v>54</v>
      </c>
      <c r="G920" s="121" t="s">
        <v>24873</v>
      </c>
      <c r="H920" s="285" t="s">
        <v>24874</v>
      </c>
      <c r="I920" s="285"/>
      <c r="J920" s="288" t="s">
        <v>24875</v>
      </c>
      <c r="K920" s="137" t="s">
        <v>24876</v>
      </c>
      <c r="L920" s="136" t="s">
        <v>24877</v>
      </c>
      <c r="M920" s="136" t="s">
        <v>24878</v>
      </c>
    </row>
    <row r="921" spans="1:13" ht="14.25" customHeight="1">
      <c r="A921" s="210">
        <v>1</v>
      </c>
      <c r="B921" s="210"/>
      <c r="C921" s="211" t="s">
        <v>24879</v>
      </c>
      <c r="D921" s="238" t="s">
        <v>24880</v>
      </c>
      <c r="E921" s="283" t="s">
        <v>24881</v>
      </c>
      <c r="F921" s="283" t="s">
        <v>117</v>
      </c>
      <c r="G921" s="283" t="s">
        <v>24882</v>
      </c>
      <c r="H921" s="239" t="s">
        <v>24883</v>
      </c>
      <c r="I921" s="239"/>
      <c r="J921" s="263" t="s">
        <v>24884</v>
      </c>
      <c r="K921" s="215" t="s">
        <v>24885</v>
      </c>
      <c r="L921" s="210" t="s">
        <v>24886</v>
      </c>
      <c r="M921" s="247" t="s">
        <v>24887</v>
      </c>
    </row>
    <row r="922" spans="1:13" ht="14.25" customHeight="1">
      <c r="A922" s="113">
        <v>2</v>
      </c>
      <c r="B922" s="113"/>
      <c r="C922" s="216" t="s">
        <v>24888</v>
      </c>
      <c r="D922" s="284" t="s">
        <v>24889</v>
      </c>
      <c r="E922" s="121" t="s">
        <v>24890</v>
      </c>
      <c r="F922" s="121" t="s">
        <v>117</v>
      </c>
      <c r="G922" s="121" t="s">
        <v>24891</v>
      </c>
      <c r="H922" s="285" t="s">
        <v>24892</v>
      </c>
      <c r="I922" s="285"/>
      <c r="J922" s="28" t="s">
        <v>24893</v>
      </c>
      <c r="K922" s="137" t="s">
        <v>24894</v>
      </c>
      <c r="L922" s="136" t="s">
        <v>24895</v>
      </c>
      <c r="M922" s="136" t="s">
        <v>24896</v>
      </c>
    </row>
    <row r="923" spans="1:13" ht="14.25" customHeight="1">
      <c r="A923" s="113">
        <v>3</v>
      </c>
      <c r="B923" s="113"/>
      <c r="C923" s="216" t="s">
        <v>24897</v>
      </c>
      <c r="D923" s="284" t="s">
        <v>24898</v>
      </c>
      <c r="E923" s="121" t="s">
        <v>24899</v>
      </c>
      <c r="F923" s="121" t="s">
        <v>117</v>
      </c>
      <c r="G923" s="121" t="s">
        <v>24900</v>
      </c>
      <c r="H923" s="285" t="s">
        <v>24901</v>
      </c>
      <c r="I923" s="285"/>
      <c r="J923" s="28" t="s">
        <v>24902</v>
      </c>
      <c r="K923" s="137" t="s">
        <v>24903</v>
      </c>
      <c r="L923" s="136" t="s">
        <v>24904</v>
      </c>
      <c r="M923" s="136" t="s">
        <v>24905</v>
      </c>
    </row>
    <row r="924" spans="1:13" ht="14.25" customHeight="1">
      <c r="A924" s="113">
        <v>4</v>
      </c>
      <c r="B924" s="113"/>
      <c r="C924" s="216" t="s">
        <v>24906</v>
      </c>
      <c r="D924" s="284" t="s">
        <v>24907</v>
      </c>
      <c r="E924" s="121" t="s">
        <v>24908</v>
      </c>
      <c r="F924" s="219" t="s">
        <v>54</v>
      </c>
      <c r="G924" s="121" t="s">
        <v>24909</v>
      </c>
      <c r="H924" s="285" t="s">
        <v>24910</v>
      </c>
      <c r="I924" s="285"/>
      <c r="J924" s="28" t="s">
        <v>24911</v>
      </c>
      <c r="K924" s="137" t="s">
        <v>24912</v>
      </c>
      <c r="L924" s="136" t="s">
        <v>24913</v>
      </c>
      <c r="M924" s="136" t="s">
        <v>24914</v>
      </c>
    </row>
    <row r="925" spans="1:13" ht="14.25" customHeight="1">
      <c r="A925" s="113">
        <v>5</v>
      </c>
      <c r="B925" s="113"/>
      <c r="C925" s="216" t="s">
        <v>24915</v>
      </c>
      <c r="D925" s="284" t="s">
        <v>24916</v>
      </c>
      <c r="E925" s="121" t="s">
        <v>24917</v>
      </c>
      <c r="F925" s="121" t="s">
        <v>117</v>
      </c>
      <c r="G925" s="121" t="s">
        <v>24918</v>
      </c>
      <c r="H925" s="285" t="s">
        <v>24919</v>
      </c>
      <c r="I925" s="285"/>
      <c r="J925" s="28" t="s">
        <v>24920</v>
      </c>
      <c r="K925" s="137" t="s">
        <v>24921</v>
      </c>
      <c r="L925" s="136" t="s">
        <v>24922</v>
      </c>
      <c r="M925" s="136" t="s">
        <v>24923</v>
      </c>
    </row>
    <row r="926" spans="1:13" ht="14.25" customHeight="1">
      <c r="A926" s="113">
        <v>6</v>
      </c>
      <c r="B926" s="113"/>
      <c r="C926" s="216" t="s">
        <v>24924</v>
      </c>
      <c r="D926" s="284" t="s">
        <v>24925</v>
      </c>
      <c r="E926" s="121" t="s">
        <v>24926</v>
      </c>
      <c r="F926" s="121" t="s">
        <v>65</v>
      </c>
      <c r="G926" s="121" t="s">
        <v>24927</v>
      </c>
      <c r="H926" s="285" t="s">
        <v>24928</v>
      </c>
      <c r="I926" s="285"/>
      <c r="J926" s="28" t="s">
        <v>24929</v>
      </c>
      <c r="K926" s="137" t="s">
        <v>24930</v>
      </c>
      <c r="L926" s="136" t="s">
        <v>24931</v>
      </c>
      <c r="M926" s="136" t="s">
        <v>24932</v>
      </c>
    </row>
    <row r="927" spans="1:13" ht="14.25" customHeight="1">
      <c r="A927" s="113">
        <v>7</v>
      </c>
      <c r="B927" s="113"/>
      <c r="C927" s="216" t="s">
        <v>24933</v>
      </c>
      <c r="D927" s="284" t="s">
        <v>24934</v>
      </c>
      <c r="E927" s="121" t="s">
        <v>24935</v>
      </c>
      <c r="F927" s="121" t="s">
        <v>117</v>
      </c>
      <c r="G927" s="121" t="s">
        <v>24936</v>
      </c>
      <c r="H927" s="285" t="s">
        <v>24937</v>
      </c>
      <c r="I927" s="285"/>
      <c r="J927" s="28" t="s">
        <v>24938</v>
      </c>
      <c r="K927" s="137" t="s">
        <v>24939</v>
      </c>
      <c r="L927" s="136" t="s">
        <v>24940</v>
      </c>
      <c r="M927" s="136" t="s">
        <v>24941</v>
      </c>
    </row>
    <row r="928" spans="1:13" ht="14.25" customHeight="1">
      <c r="A928" s="113">
        <v>8</v>
      </c>
      <c r="B928" s="113"/>
      <c r="C928" s="216" t="s">
        <v>24942</v>
      </c>
      <c r="D928" s="284" t="s">
        <v>24943</v>
      </c>
      <c r="E928" s="121" t="s">
        <v>24944</v>
      </c>
      <c r="F928" s="121" t="s">
        <v>117</v>
      </c>
      <c r="G928" s="121" t="s">
        <v>24945</v>
      </c>
      <c r="H928" s="285" t="s">
        <v>24946</v>
      </c>
      <c r="I928" s="285"/>
      <c r="J928" s="28" t="s">
        <v>24947</v>
      </c>
      <c r="K928" s="137" t="s">
        <v>24948</v>
      </c>
      <c r="L928" s="136" t="s">
        <v>24949</v>
      </c>
      <c r="M928" s="136" t="s">
        <v>24950</v>
      </c>
    </row>
    <row r="929" spans="1:13" ht="14.25" customHeight="1">
      <c r="A929" s="113">
        <v>9</v>
      </c>
      <c r="B929" s="113"/>
      <c r="C929" s="216" t="s">
        <v>24951</v>
      </c>
      <c r="D929" s="284" t="s">
        <v>24952</v>
      </c>
      <c r="E929" s="121" t="s">
        <v>24953</v>
      </c>
      <c r="F929" s="121" t="s">
        <v>117</v>
      </c>
      <c r="G929" s="121" t="s">
        <v>24954</v>
      </c>
      <c r="H929" s="285" t="s">
        <v>24955</v>
      </c>
      <c r="I929" s="285"/>
      <c r="J929" s="28" t="s">
        <v>24956</v>
      </c>
      <c r="K929" s="137" t="s">
        <v>24957</v>
      </c>
      <c r="L929" s="136" t="s">
        <v>24958</v>
      </c>
      <c r="M929" s="136" t="s">
        <v>24959</v>
      </c>
    </row>
    <row r="930" spans="1:13" ht="14.25" customHeight="1">
      <c r="A930" s="113">
        <v>10</v>
      </c>
      <c r="B930" s="113"/>
      <c r="C930" s="216" t="s">
        <v>24960</v>
      </c>
      <c r="D930" s="284" t="s">
        <v>24961</v>
      </c>
      <c r="E930" s="121" t="s">
        <v>24962</v>
      </c>
      <c r="F930" s="121" t="s">
        <v>65</v>
      </c>
      <c r="G930" s="121" t="s">
        <v>24963</v>
      </c>
      <c r="H930" s="285" t="s">
        <v>24964</v>
      </c>
      <c r="I930" s="285"/>
      <c r="J930" s="28" t="s">
        <v>24965</v>
      </c>
      <c r="K930" s="137" t="s">
        <v>24966</v>
      </c>
      <c r="L930" s="136" t="s">
        <v>24967</v>
      </c>
      <c r="M930" s="136" t="s">
        <v>24968</v>
      </c>
    </row>
    <row r="931" spans="1:13" ht="14.25" customHeight="1">
      <c r="A931" s="113">
        <v>11</v>
      </c>
      <c r="B931" s="113"/>
      <c r="C931" s="216" t="s">
        <v>24969</v>
      </c>
      <c r="D931" s="284" t="s">
        <v>24970</v>
      </c>
      <c r="E931" s="121" t="s">
        <v>24971</v>
      </c>
      <c r="F931" s="121" t="s">
        <v>65</v>
      </c>
      <c r="G931" s="121" t="s">
        <v>24972</v>
      </c>
      <c r="H931" s="285" t="s">
        <v>24973</v>
      </c>
      <c r="I931" s="285"/>
      <c r="J931" s="28" t="s">
        <v>24974</v>
      </c>
      <c r="K931" s="137" t="s">
        <v>24975</v>
      </c>
      <c r="L931" s="136" t="s">
        <v>24976</v>
      </c>
      <c r="M931" s="136" t="s">
        <v>24977</v>
      </c>
    </row>
    <row r="932" spans="1:13" ht="14.25" customHeight="1">
      <c r="A932" s="113">
        <v>12</v>
      </c>
      <c r="B932" s="113"/>
      <c r="C932" s="216" t="s">
        <v>24978</v>
      </c>
      <c r="D932" s="284" t="s">
        <v>24979</v>
      </c>
      <c r="E932" s="121" t="s">
        <v>24980</v>
      </c>
      <c r="F932" s="219" t="s">
        <v>65</v>
      </c>
      <c r="G932" s="121" t="s">
        <v>24981</v>
      </c>
      <c r="H932" s="285" t="s">
        <v>24982</v>
      </c>
      <c r="I932" s="285"/>
      <c r="J932" s="28" t="s">
        <v>24983</v>
      </c>
      <c r="K932" s="137" t="s">
        <v>24984</v>
      </c>
      <c r="L932" s="136" t="s">
        <v>24985</v>
      </c>
      <c r="M932" s="136" t="s">
        <v>24986</v>
      </c>
    </row>
    <row r="933" spans="1:13" ht="14.25" customHeight="1">
      <c r="A933" s="113">
        <v>13</v>
      </c>
      <c r="B933" s="113"/>
      <c r="C933" s="216" t="s">
        <v>24987</v>
      </c>
      <c r="D933" s="284" t="s">
        <v>24988</v>
      </c>
      <c r="E933" s="121" t="s">
        <v>24989</v>
      </c>
      <c r="F933" s="219" t="s">
        <v>65</v>
      </c>
      <c r="G933" s="121" t="s">
        <v>24990</v>
      </c>
      <c r="H933" s="285" t="s">
        <v>24991</v>
      </c>
      <c r="I933" s="285"/>
      <c r="J933" s="28" t="s">
        <v>24992</v>
      </c>
      <c r="K933" s="137" t="s">
        <v>24993</v>
      </c>
      <c r="L933" s="136" t="s">
        <v>24994</v>
      </c>
      <c r="M933" s="136" t="s">
        <v>24995</v>
      </c>
    </row>
    <row r="934" spans="1:13" ht="14.25" customHeight="1">
      <c r="A934" s="113">
        <v>14</v>
      </c>
      <c r="B934" s="113"/>
      <c r="C934" s="216" t="s">
        <v>24996</v>
      </c>
      <c r="D934" s="284" t="s">
        <v>24997</v>
      </c>
      <c r="E934" s="121" t="s">
        <v>24998</v>
      </c>
      <c r="F934" s="121" t="s">
        <v>117</v>
      </c>
      <c r="G934" s="121" t="s">
        <v>24999</v>
      </c>
      <c r="H934" s="285" t="s">
        <v>25000</v>
      </c>
      <c r="I934" s="285"/>
      <c r="J934" s="28" t="s">
        <v>25001</v>
      </c>
      <c r="K934" s="137" t="s">
        <v>25002</v>
      </c>
      <c r="L934" s="136" t="s">
        <v>25003</v>
      </c>
      <c r="M934" s="136" t="s">
        <v>25004</v>
      </c>
    </row>
    <row r="935" spans="1:13" ht="14.25" customHeight="1">
      <c r="A935" s="113">
        <v>15</v>
      </c>
      <c r="B935" s="113"/>
      <c r="C935" s="216" t="s">
        <v>25005</v>
      </c>
      <c r="D935" s="284" t="s">
        <v>25006</v>
      </c>
      <c r="E935" s="121" t="s">
        <v>25007</v>
      </c>
      <c r="F935" s="121" t="s">
        <v>117</v>
      </c>
      <c r="G935" s="121" t="s">
        <v>25008</v>
      </c>
      <c r="H935" s="285" t="s">
        <v>25009</v>
      </c>
      <c r="I935" s="285"/>
      <c r="J935" s="28" t="s">
        <v>25010</v>
      </c>
      <c r="K935" s="137" t="s">
        <v>25011</v>
      </c>
      <c r="L935" s="136" t="s">
        <v>25012</v>
      </c>
      <c r="M935" s="136" t="s">
        <v>25013</v>
      </c>
    </row>
    <row r="936" spans="1:13" ht="14.25" customHeight="1">
      <c r="A936" s="113">
        <v>16</v>
      </c>
      <c r="B936" s="113"/>
      <c r="C936" s="216" t="s">
        <v>25014</v>
      </c>
      <c r="D936" s="284" t="s">
        <v>25015</v>
      </c>
      <c r="E936" s="121" t="s">
        <v>25016</v>
      </c>
      <c r="F936" s="121" t="s">
        <v>65</v>
      </c>
      <c r="G936" s="121" t="s">
        <v>25017</v>
      </c>
      <c r="H936" s="285" t="s">
        <v>25018</v>
      </c>
      <c r="I936" s="285"/>
      <c r="J936" s="28" t="s">
        <v>25019</v>
      </c>
      <c r="K936" s="137" t="s">
        <v>25020</v>
      </c>
      <c r="L936" s="136" t="s">
        <v>25021</v>
      </c>
      <c r="M936" s="136" t="s">
        <v>25022</v>
      </c>
    </row>
    <row r="937" spans="1:13" ht="14.25" customHeight="1">
      <c r="A937" s="113">
        <v>17</v>
      </c>
      <c r="B937" s="113"/>
      <c r="C937" s="216" t="s">
        <v>25023</v>
      </c>
      <c r="D937" s="284" t="s">
        <v>25024</v>
      </c>
      <c r="E937" s="121" t="s">
        <v>25025</v>
      </c>
      <c r="F937" s="121" t="s">
        <v>117</v>
      </c>
      <c r="G937" s="121" t="s">
        <v>25026</v>
      </c>
      <c r="H937" s="285" t="s">
        <v>25027</v>
      </c>
      <c r="I937" s="285"/>
      <c r="J937" s="28" t="s">
        <v>25028</v>
      </c>
      <c r="K937" s="137" t="s">
        <v>25029</v>
      </c>
      <c r="L937" s="136" t="s">
        <v>25030</v>
      </c>
      <c r="M937" s="136" t="s">
        <v>25031</v>
      </c>
    </row>
    <row r="938" spans="1:13" ht="14.25" customHeight="1">
      <c r="A938" s="113">
        <v>18</v>
      </c>
      <c r="B938" s="113"/>
      <c r="C938" s="216" t="s">
        <v>25032</v>
      </c>
      <c r="D938" s="284" t="s">
        <v>25033</v>
      </c>
      <c r="E938" s="121" t="s">
        <v>25034</v>
      </c>
      <c r="F938" s="121" t="s">
        <v>65</v>
      </c>
      <c r="G938" s="121" t="s">
        <v>25035</v>
      </c>
      <c r="H938" s="285" t="s">
        <v>25036</v>
      </c>
      <c r="I938" s="285"/>
      <c r="J938" s="28" t="s">
        <v>25037</v>
      </c>
      <c r="K938" s="137" t="s">
        <v>25038</v>
      </c>
      <c r="L938" s="136" t="s">
        <v>25039</v>
      </c>
      <c r="M938" s="136" t="s">
        <v>25040</v>
      </c>
    </row>
    <row r="939" spans="1:13" ht="14.25" customHeight="1">
      <c r="A939" s="113">
        <v>19</v>
      </c>
      <c r="B939" s="113"/>
      <c r="C939" s="216" t="s">
        <v>25041</v>
      </c>
      <c r="D939" s="284" t="s">
        <v>25042</v>
      </c>
      <c r="E939" s="121" t="s">
        <v>25043</v>
      </c>
      <c r="F939" s="219" t="s">
        <v>54</v>
      </c>
      <c r="G939" s="121" t="s">
        <v>25044</v>
      </c>
      <c r="H939" s="285" t="s">
        <v>25045</v>
      </c>
      <c r="I939" s="285"/>
      <c r="J939" s="28" t="s">
        <v>25046</v>
      </c>
      <c r="K939" s="137" t="s">
        <v>25047</v>
      </c>
      <c r="L939" s="136" t="s">
        <v>25048</v>
      </c>
      <c r="M939" s="136" t="s">
        <v>25049</v>
      </c>
    </row>
    <row r="940" spans="1:13" ht="14.25" customHeight="1">
      <c r="A940" s="113">
        <v>20</v>
      </c>
      <c r="B940" s="113"/>
      <c r="C940" s="216" t="s">
        <v>25050</v>
      </c>
      <c r="D940" s="284" t="s">
        <v>25051</v>
      </c>
      <c r="E940" s="121" t="s">
        <v>25052</v>
      </c>
      <c r="F940" s="130"/>
      <c r="G940" s="121" t="s">
        <v>25053</v>
      </c>
      <c r="H940" s="285" t="s">
        <v>25054</v>
      </c>
      <c r="I940" s="285"/>
      <c r="J940" s="28" t="s">
        <v>25055</v>
      </c>
      <c r="K940" s="137" t="s">
        <v>25056</v>
      </c>
      <c r="L940" s="136" t="s">
        <v>25057</v>
      </c>
      <c r="M940" s="136" t="s">
        <v>25058</v>
      </c>
    </row>
    <row r="941" spans="1:13" ht="14.25" customHeight="1">
      <c r="A941" s="113">
        <v>21</v>
      </c>
      <c r="B941" s="113"/>
      <c r="C941" s="216" t="s">
        <v>25059</v>
      </c>
      <c r="D941" s="284" t="s">
        <v>25060</v>
      </c>
      <c r="E941" s="121" t="s">
        <v>25061</v>
      </c>
      <c r="F941" s="121" t="s">
        <v>117</v>
      </c>
      <c r="G941" s="121" t="s">
        <v>25062</v>
      </c>
      <c r="H941" s="285" t="s">
        <v>25063</v>
      </c>
      <c r="I941" s="285"/>
      <c r="J941" s="28" t="s">
        <v>25064</v>
      </c>
      <c r="K941" s="137" t="s">
        <v>25065</v>
      </c>
      <c r="L941" s="136" t="s">
        <v>25066</v>
      </c>
      <c r="M941" s="136" t="s">
        <v>25067</v>
      </c>
    </row>
    <row r="942" spans="1:13" ht="14.25" customHeight="1">
      <c r="A942" s="113">
        <v>22</v>
      </c>
      <c r="B942" s="113"/>
      <c r="C942" s="216" t="s">
        <v>25068</v>
      </c>
      <c r="D942" s="284" t="s">
        <v>25069</v>
      </c>
      <c r="E942" s="121" t="s">
        <v>25070</v>
      </c>
      <c r="F942" s="121" t="s">
        <v>117</v>
      </c>
      <c r="G942" s="121" t="s">
        <v>25071</v>
      </c>
      <c r="H942" s="285" t="s">
        <v>25072</v>
      </c>
      <c r="I942" s="285"/>
      <c r="J942" s="28" t="s">
        <v>25073</v>
      </c>
      <c r="K942" s="137" t="s">
        <v>25074</v>
      </c>
      <c r="L942" s="136" t="s">
        <v>25075</v>
      </c>
      <c r="M942" s="136" t="s">
        <v>25076</v>
      </c>
    </row>
    <row r="943" spans="1:13" ht="14.25" customHeight="1">
      <c r="A943" s="113">
        <v>23</v>
      </c>
      <c r="B943" s="113"/>
      <c r="C943" s="216" t="s">
        <v>25077</v>
      </c>
      <c r="D943" s="284" t="s">
        <v>25078</v>
      </c>
      <c r="E943" s="121" t="s">
        <v>25079</v>
      </c>
      <c r="F943" s="121" t="s">
        <v>54</v>
      </c>
      <c r="G943" s="121" t="s">
        <v>25080</v>
      </c>
      <c r="H943" s="285" t="s">
        <v>25081</v>
      </c>
      <c r="I943" s="285"/>
      <c r="J943" s="28" t="s">
        <v>25082</v>
      </c>
      <c r="K943" s="137" t="s">
        <v>25083</v>
      </c>
      <c r="L943" s="136" t="s">
        <v>25084</v>
      </c>
      <c r="M943" s="136" t="s">
        <v>25085</v>
      </c>
    </row>
    <row r="944" spans="1:13" ht="14.25" customHeight="1">
      <c r="A944" s="113">
        <v>24</v>
      </c>
      <c r="B944" s="113"/>
      <c r="C944" s="216" t="s">
        <v>25086</v>
      </c>
      <c r="D944" s="284" t="s">
        <v>25087</v>
      </c>
      <c r="E944" s="121" t="s">
        <v>25088</v>
      </c>
      <c r="F944" s="121" t="s">
        <v>117</v>
      </c>
      <c r="G944" s="121" t="s">
        <v>25089</v>
      </c>
      <c r="H944" s="285" t="s">
        <v>25090</v>
      </c>
      <c r="I944" s="285"/>
      <c r="J944" s="28" t="s">
        <v>25091</v>
      </c>
      <c r="K944" s="137" t="s">
        <v>25092</v>
      </c>
      <c r="L944" s="136" t="s">
        <v>25093</v>
      </c>
      <c r="M944" s="136" t="s">
        <v>25094</v>
      </c>
    </row>
    <row r="945" spans="1:13" ht="14.25" customHeight="1">
      <c r="A945" s="113">
        <v>25</v>
      </c>
      <c r="B945" s="113"/>
      <c r="C945" s="216" t="s">
        <v>25095</v>
      </c>
      <c r="D945" s="284" t="s">
        <v>25096</v>
      </c>
      <c r="E945" s="121" t="s">
        <v>25097</v>
      </c>
      <c r="F945" s="121" t="s">
        <v>117</v>
      </c>
      <c r="G945" s="121" t="s">
        <v>25098</v>
      </c>
      <c r="H945" s="285" t="s">
        <v>25099</v>
      </c>
      <c r="I945" s="285"/>
      <c r="J945" s="28" t="s">
        <v>25100</v>
      </c>
      <c r="K945" s="137" t="s">
        <v>25101</v>
      </c>
      <c r="L945" s="136" t="s">
        <v>25102</v>
      </c>
      <c r="M945" s="136" t="s">
        <v>25103</v>
      </c>
    </row>
    <row r="946" spans="1:13" ht="14.25" customHeight="1">
      <c r="A946" s="113">
        <v>26</v>
      </c>
      <c r="B946" s="113"/>
      <c r="C946" s="216" t="s">
        <v>25104</v>
      </c>
      <c r="D946" s="284" t="s">
        <v>25105</v>
      </c>
      <c r="E946" s="121" t="s">
        <v>25106</v>
      </c>
      <c r="F946" s="121" t="s">
        <v>65</v>
      </c>
      <c r="G946" s="121" t="s">
        <v>25107</v>
      </c>
      <c r="H946" s="285" t="s">
        <v>25108</v>
      </c>
      <c r="I946" s="285"/>
      <c r="J946" s="28" t="s">
        <v>25109</v>
      </c>
      <c r="K946" s="137" t="s">
        <v>25110</v>
      </c>
      <c r="L946" s="136" t="s">
        <v>25111</v>
      </c>
      <c r="M946" s="136" t="s">
        <v>25112</v>
      </c>
    </row>
    <row r="947" spans="1:13" ht="14.25" customHeight="1">
      <c r="A947" s="113">
        <v>27</v>
      </c>
      <c r="B947" s="113"/>
      <c r="C947" s="216" t="s">
        <v>25113</v>
      </c>
      <c r="D947" s="284" t="s">
        <v>25114</v>
      </c>
      <c r="E947" s="121" t="s">
        <v>25115</v>
      </c>
      <c r="F947" s="121" t="s">
        <v>54</v>
      </c>
      <c r="G947" s="121" t="s">
        <v>25116</v>
      </c>
      <c r="H947" s="285" t="s">
        <v>25117</v>
      </c>
      <c r="I947" s="285"/>
      <c r="J947" s="28" t="s">
        <v>25118</v>
      </c>
      <c r="K947" s="137" t="s">
        <v>25119</v>
      </c>
      <c r="L947" s="136" t="s">
        <v>25120</v>
      </c>
      <c r="M947" s="136" t="s">
        <v>25121</v>
      </c>
    </row>
    <row r="948" spans="1:13" ht="14.25" customHeight="1">
      <c r="A948" s="113">
        <v>28</v>
      </c>
      <c r="B948" s="113"/>
      <c r="C948" s="216" t="s">
        <v>25122</v>
      </c>
      <c r="D948" s="284" t="s">
        <v>25123</v>
      </c>
      <c r="E948" s="121" t="s">
        <v>25124</v>
      </c>
      <c r="F948" s="121" t="s">
        <v>117</v>
      </c>
      <c r="G948" s="121" t="s">
        <v>25125</v>
      </c>
      <c r="H948" s="285" t="s">
        <v>25126</v>
      </c>
      <c r="I948" s="285"/>
      <c r="J948" s="28" t="s">
        <v>25127</v>
      </c>
      <c r="K948" s="137" t="s">
        <v>25128</v>
      </c>
      <c r="L948" s="136" t="s">
        <v>25129</v>
      </c>
      <c r="M948" s="136" t="s">
        <v>25130</v>
      </c>
    </row>
    <row r="949" spans="1:13" ht="14.25" customHeight="1">
      <c r="A949" s="113">
        <v>29</v>
      </c>
      <c r="B949" s="113"/>
      <c r="C949" s="216" t="s">
        <v>25131</v>
      </c>
      <c r="D949" s="284" t="s">
        <v>25132</v>
      </c>
      <c r="E949" s="121" t="s">
        <v>25133</v>
      </c>
      <c r="F949" s="121" t="s">
        <v>117</v>
      </c>
      <c r="G949" s="121" t="s">
        <v>25134</v>
      </c>
      <c r="H949" s="285" t="s">
        <v>25135</v>
      </c>
      <c r="I949" s="285"/>
      <c r="J949" s="28" t="s">
        <v>25136</v>
      </c>
      <c r="K949" s="137" t="s">
        <v>25137</v>
      </c>
      <c r="L949" s="136" t="s">
        <v>25138</v>
      </c>
      <c r="M949" s="136" t="s">
        <v>25139</v>
      </c>
    </row>
    <row r="950" spans="1:13" ht="14.25" customHeight="1">
      <c r="A950" s="113">
        <v>30</v>
      </c>
      <c r="B950" s="113"/>
      <c r="C950" s="216" t="s">
        <v>25140</v>
      </c>
      <c r="D950" s="284" t="s">
        <v>25141</v>
      </c>
      <c r="E950" s="121" t="s">
        <v>25142</v>
      </c>
      <c r="F950" s="121" t="s">
        <v>65</v>
      </c>
      <c r="G950" s="121" t="s">
        <v>25143</v>
      </c>
      <c r="H950" s="285" t="s">
        <v>25144</v>
      </c>
      <c r="I950" s="285"/>
      <c r="J950" s="28" t="s">
        <v>25145</v>
      </c>
      <c r="K950" s="137" t="s">
        <v>25146</v>
      </c>
      <c r="L950" s="136" t="s">
        <v>25147</v>
      </c>
      <c r="M950" s="136" t="s">
        <v>25148</v>
      </c>
    </row>
    <row r="951" spans="1:13" ht="14.25" customHeight="1">
      <c r="A951" s="113">
        <v>31</v>
      </c>
      <c r="B951" s="113"/>
      <c r="C951" s="216" t="s">
        <v>17060</v>
      </c>
      <c r="D951" s="284" t="s">
        <v>17061</v>
      </c>
      <c r="E951" s="121" t="s">
        <v>17062</v>
      </c>
      <c r="F951" s="121" t="s">
        <v>65</v>
      </c>
      <c r="G951" s="121" t="s">
        <v>25149</v>
      </c>
      <c r="H951" s="285" t="s">
        <v>25150</v>
      </c>
      <c r="I951" s="285"/>
      <c r="J951" s="28" t="s">
        <v>25151</v>
      </c>
      <c r="K951" s="137" t="s">
        <v>25152</v>
      </c>
      <c r="L951" s="136" t="s">
        <v>25153</v>
      </c>
      <c r="M951" s="136" t="s">
        <v>25154</v>
      </c>
    </row>
    <row r="952" spans="1:13" ht="14.25" customHeight="1">
      <c r="A952" s="113">
        <v>32</v>
      </c>
      <c r="B952" s="113"/>
      <c r="C952" s="216" t="s">
        <v>25155</v>
      </c>
      <c r="D952" s="284" t="s">
        <v>25156</v>
      </c>
      <c r="E952" s="121" t="s">
        <v>25157</v>
      </c>
      <c r="F952" s="121" t="s">
        <v>65</v>
      </c>
      <c r="G952" s="121" t="s">
        <v>25158</v>
      </c>
      <c r="H952" s="285" t="s">
        <v>25159</v>
      </c>
      <c r="I952" s="285"/>
      <c r="J952" s="28" t="s">
        <v>25160</v>
      </c>
      <c r="K952" s="137" t="s">
        <v>25161</v>
      </c>
      <c r="L952" s="136" t="s">
        <v>25162</v>
      </c>
      <c r="M952" s="136" t="s">
        <v>25163</v>
      </c>
    </row>
    <row r="953" spans="1:13" ht="14.25" customHeight="1">
      <c r="A953" s="113">
        <v>33</v>
      </c>
      <c r="B953" s="113"/>
      <c r="C953" s="216" t="s">
        <v>25164</v>
      </c>
      <c r="D953" s="284" t="s">
        <v>25165</v>
      </c>
      <c r="E953" s="121" t="s">
        <v>25166</v>
      </c>
      <c r="F953" s="121" t="s">
        <v>117</v>
      </c>
      <c r="G953" s="121" t="s">
        <v>25167</v>
      </c>
      <c r="H953" s="285" t="s">
        <v>25168</v>
      </c>
      <c r="I953" s="285"/>
      <c r="J953" s="28" t="s">
        <v>25169</v>
      </c>
      <c r="K953" s="137" t="s">
        <v>25170</v>
      </c>
      <c r="L953" s="136" t="s">
        <v>25171</v>
      </c>
      <c r="M953" s="136" t="s">
        <v>25172</v>
      </c>
    </row>
    <row r="954" spans="1:13" ht="14.25" customHeight="1">
      <c r="A954" s="113">
        <v>34</v>
      </c>
      <c r="B954" s="113"/>
      <c r="C954" s="216" t="s">
        <v>25173</v>
      </c>
      <c r="D954" s="284" t="s">
        <v>25174</v>
      </c>
      <c r="E954" s="121" t="s">
        <v>25175</v>
      </c>
      <c r="F954" s="121" t="s">
        <v>54</v>
      </c>
      <c r="G954" s="121" t="s">
        <v>25176</v>
      </c>
      <c r="H954" s="285" t="s">
        <v>25177</v>
      </c>
      <c r="I954" s="285"/>
      <c r="J954" s="28" t="s">
        <v>25178</v>
      </c>
      <c r="K954" s="137" t="s">
        <v>25179</v>
      </c>
      <c r="L954" s="136" t="s">
        <v>25180</v>
      </c>
      <c r="M954" s="136" t="s">
        <v>25181</v>
      </c>
    </row>
    <row r="955" spans="1:13" ht="14.25" customHeight="1">
      <c r="A955" s="113">
        <v>35</v>
      </c>
      <c r="B955" s="113"/>
      <c r="C955" s="216" t="s">
        <v>25182</v>
      </c>
      <c r="D955" s="284" t="s">
        <v>25183</v>
      </c>
      <c r="E955" s="121" t="s">
        <v>25184</v>
      </c>
      <c r="F955" s="121" t="s">
        <v>54</v>
      </c>
      <c r="G955" s="121" t="s">
        <v>25185</v>
      </c>
      <c r="H955" s="285" t="s">
        <v>25186</v>
      </c>
      <c r="I955" s="285"/>
      <c r="J955" s="28" t="s">
        <v>25187</v>
      </c>
      <c r="K955" s="137" t="s">
        <v>25188</v>
      </c>
      <c r="L955" s="136" t="s">
        <v>25189</v>
      </c>
      <c r="M955" s="136" t="s">
        <v>25190</v>
      </c>
    </row>
    <row r="956" spans="1:13" ht="14.25" customHeight="1">
      <c r="A956" s="113">
        <v>36</v>
      </c>
      <c r="B956" s="113"/>
      <c r="C956" s="216" t="s">
        <v>25191</v>
      </c>
      <c r="D956" s="284" t="s">
        <v>25192</v>
      </c>
      <c r="E956" s="121" t="s">
        <v>25193</v>
      </c>
      <c r="F956" s="121" t="s">
        <v>65</v>
      </c>
      <c r="G956" s="121" t="s">
        <v>25194</v>
      </c>
      <c r="H956" s="13" t="s">
        <v>25195</v>
      </c>
      <c r="I956" s="13"/>
      <c r="J956" s="118" t="s">
        <v>25196</v>
      </c>
      <c r="K956" s="137" t="s">
        <v>25197</v>
      </c>
      <c r="L956" s="136" t="s">
        <v>25198</v>
      </c>
      <c r="M956" s="136" t="s">
        <v>25199</v>
      </c>
    </row>
    <row r="957" spans="1:13" ht="14.25" customHeight="1">
      <c r="A957" s="113">
        <v>37</v>
      </c>
      <c r="B957" s="113"/>
      <c r="C957" s="216" t="s">
        <v>25200</v>
      </c>
      <c r="D957" s="284" t="s">
        <v>25201</v>
      </c>
      <c r="E957" s="121" t="s">
        <v>25202</v>
      </c>
      <c r="F957" s="121" t="s">
        <v>117</v>
      </c>
      <c r="G957" s="121" t="s">
        <v>25203</v>
      </c>
      <c r="H957" s="285" t="s">
        <v>25204</v>
      </c>
      <c r="I957" s="285"/>
      <c r="J957" s="28" t="s">
        <v>25205</v>
      </c>
      <c r="K957" s="137" t="s">
        <v>25206</v>
      </c>
      <c r="L957" s="136" t="s">
        <v>25207</v>
      </c>
      <c r="M957" s="136" t="s">
        <v>25208</v>
      </c>
    </row>
    <row r="958" spans="1:13" ht="14.25" customHeight="1">
      <c r="A958" s="210">
        <v>1</v>
      </c>
      <c r="B958" s="210"/>
      <c r="C958" s="211" t="s">
        <v>25209</v>
      </c>
      <c r="D958" s="238" t="s">
        <v>25210</v>
      </c>
      <c r="E958" s="275" t="s">
        <v>25211</v>
      </c>
      <c r="F958" s="275" t="s">
        <v>117</v>
      </c>
      <c r="G958" s="275" t="s">
        <v>25212</v>
      </c>
      <c r="H958" s="239" t="s">
        <v>25213</v>
      </c>
      <c r="I958" s="239"/>
      <c r="J958" s="263" t="s">
        <v>25214</v>
      </c>
      <c r="K958" s="215" t="s">
        <v>25215</v>
      </c>
      <c r="L958" s="210" t="s">
        <v>25216</v>
      </c>
      <c r="M958" s="247" t="s">
        <v>25217</v>
      </c>
    </row>
    <row r="959" spans="1:13" ht="14.25" customHeight="1">
      <c r="A959" s="113">
        <v>2</v>
      </c>
      <c r="B959" s="113"/>
      <c r="C959" s="216" t="s">
        <v>25218</v>
      </c>
      <c r="D959" s="284" t="s">
        <v>25219</v>
      </c>
      <c r="E959" s="61" t="s">
        <v>25220</v>
      </c>
      <c r="F959" s="61" t="s">
        <v>65</v>
      </c>
      <c r="G959" s="61" t="s">
        <v>25221</v>
      </c>
      <c r="H959" s="285" t="s">
        <v>25222</v>
      </c>
      <c r="I959" s="285"/>
      <c r="J959" s="118" t="s">
        <v>25223</v>
      </c>
      <c r="K959" s="137" t="s">
        <v>25224</v>
      </c>
      <c r="L959" s="136" t="s">
        <v>25225</v>
      </c>
      <c r="M959" s="136" t="s">
        <v>25226</v>
      </c>
    </row>
    <row r="960" spans="1:13" ht="14.25" customHeight="1">
      <c r="A960" s="113">
        <v>3</v>
      </c>
      <c r="B960" s="113"/>
      <c r="C960" s="216" t="s">
        <v>25227</v>
      </c>
      <c r="D960" s="284" t="s">
        <v>25228</v>
      </c>
      <c r="E960" s="61" t="s">
        <v>25229</v>
      </c>
      <c r="F960" s="61" t="s">
        <v>65</v>
      </c>
      <c r="G960" s="61" t="s">
        <v>25230</v>
      </c>
      <c r="H960" s="285" t="s">
        <v>25231</v>
      </c>
      <c r="I960" s="285"/>
      <c r="J960" s="118" t="s">
        <v>25232</v>
      </c>
      <c r="K960" s="137" t="s">
        <v>25233</v>
      </c>
      <c r="L960" s="136" t="s">
        <v>25234</v>
      </c>
      <c r="M960" s="136" t="s">
        <v>25235</v>
      </c>
    </row>
    <row r="961" spans="1:13" ht="14.25" customHeight="1">
      <c r="A961" s="113">
        <v>4</v>
      </c>
      <c r="B961" s="113"/>
      <c r="C961" s="216" t="s">
        <v>25236</v>
      </c>
      <c r="D961" s="284" t="s">
        <v>25237</v>
      </c>
      <c r="E961" s="185" t="s">
        <v>25238</v>
      </c>
      <c r="F961" s="185" t="s">
        <v>117</v>
      </c>
      <c r="G961" s="185" t="s">
        <v>25239</v>
      </c>
      <c r="H961" s="285" t="s">
        <v>25240</v>
      </c>
      <c r="I961" s="285"/>
      <c r="J961" s="288" t="s">
        <v>25241</v>
      </c>
      <c r="K961" s="137" t="s">
        <v>25242</v>
      </c>
      <c r="L961" s="136" t="s">
        <v>25243</v>
      </c>
      <c r="M961" s="136" t="s">
        <v>25244</v>
      </c>
    </row>
    <row r="962" spans="1:13" ht="14.25" customHeight="1">
      <c r="A962" s="113">
        <v>5</v>
      </c>
      <c r="B962" s="113"/>
      <c r="C962" s="216" t="s">
        <v>25245</v>
      </c>
      <c r="D962" s="284" t="s">
        <v>25246</v>
      </c>
      <c r="E962" s="61" t="s">
        <v>25247</v>
      </c>
      <c r="F962" s="61" t="s">
        <v>54</v>
      </c>
      <c r="G962" s="61" t="s">
        <v>25248</v>
      </c>
      <c r="H962" s="285" t="s">
        <v>25249</v>
      </c>
      <c r="I962" s="285"/>
      <c r="J962" s="118" t="s">
        <v>25250</v>
      </c>
      <c r="K962" s="137" t="s">
        <v>25251</v>
      </c>
      <c r="L962" s="136" t="s">
        <v>25252</v>
      </c>
      <c r="M962" s="136" t="s">
        <v>25253</v>
      </c>
    </row>
    <row r="963" spans="1:13" ht="14.25" customHeight="1">
      <c r="A963" s="113">
        <v>6</v>
      </c>
      <c r="B963" s="113"/>
      <c r="C963" s="216" t="s">
        <v>25254</v>
      </c>
      <c r="D963" s="284" t="s">
        <v>25255</v>
      </c>
      <c r="E963" s="61" t="s">
        <v>25256</v>
      </c>
      <c r="F963" s="61" t="s">
        <v>54</v>
      </c>
      <c r="G963" s="61" t="s">
        <v>25257</v>
      </c>
      <c r="H963" s="285" t="s">
        <v>25258</v>
      </c>
      <c r="I963" s="285"/>
      <c r="J963" s="118" t="s">
        <v>25259</v>
      </c>
      <c r="K963" s="137" t="s">
        <v>25260</v>
      </c>
      <c r="L963" s="136" t="s">
        <v>25261</v>
      </c>
      <c r="M963" s="136" t="s">
        <v>25262</v>
      </c>
    </row>
    <row r="964" spans="1:13" ht="14.25" customHeight="1">
      <c r="A964" s="113">
        <v>7</v>
      </c>
      <c r="B964" s="113"/>
      <c r="C964" s="216" t="s">
        <v>25263</v>
      </c>
      <c r="D964" s="284" t="s">
        <v>25264</v>
      </c>
      <c r="E964" s="61" t="s">
        <v>19910</v>
      </c>
      <c r="F964" s="61" t="s">
        <v>563</v>
      </c>
      <c r="G964" s="61" t="s">
        <v>25265</v>
      </c>
      <c r="H964" s="285" t="s">
        <v>25266</v>
      </c>
      <c r="I964" s="285"/>
      <c r="J964" s="118" t="s">
        <v>25267</v>
      </c>
      <c r="K964" s="137" t="s">
        <v>25268</v>
      </c>
      <c r="L964" s="136" t="s">
        <v>25269</v>
      </c>
      <c r="M964" s="136" t="s">
        <v>25270</v>
      </c>
    </row>
    <row r="965" spans="1:13" ht="14.25" customHeight="1">
      <c r="A965" s="113">
        <v>8</v>
      </c>
      <c r="B965" s="113"/>
      <c r="C965" s="216" t="s">
        <v>25271</v>
      </c>
      <c r="D965" s="284" t="s">
        <v>25272</v>
      </c>
      <c r="E965" s="61" t="s">
        <v>25273</v>
      </c>
      <c r="F965" s="61" t="s">
        <v>65</v>
      </c>
      <c r="G965" s="61" t="s">
        <v>25274</v>
      </c>
      <c r="H965" s="285" t="s">
        <v>25275</v>
      </c>
      <c r="I965" s="285"/>
      <c r="J965" s="118" t="s">
        <v>25276</v>
      </c>
      <c r="K965" s="137" t="s">
        <v>25277</v>
      </c>
      <c r="L965" s="136" t="s">
        <v>25278</v>
      </c>
      <c r="M965" s="136" t="s">
        <v>25279</v>
      </c>
    </row>
    <row r="966" spans="1:13" ht="14.25" customHeight="1">
      <c r="A966" s="113">
        <v>9</v>
      </c>
      <c r="B966" s="113"/>
      <c r="C966" s="216" t="s">
        <v>25280</v>
      </c>
      <c r="D966" s="284" t="s">
        <v>25281</v>
      </c>
      <c r="E966" s="61" t="s">
        <v>25282</v>
      </c>
      <c r="F966" s="61" t="s">
        <v>65</v>
      </c>
      <c r="G966" s="61" t="s">
        <v>25283</v>
      </c>
      <c r="H966" s="285" t="s">
        <v>25284</v>
      </c>
      <c r="I966" s="285"/>
      <c r="J966" s="118" t="s">
        <v>25285</v>
      </c>
      <c r="K966" s="137" t="s">
        <v>25286</v>
      </c>
      <c r="L966" s="136" t="s">
        <v>25287</v>
      </c>
      <c r="M966" s="136" t="s">
        <v>25288</v>
      </c>
    </row>
    <row r="967" spans="1:13" ht="14.25" customHeight="1">
      <c r="A967" s="113">
        <v>10</v>
      </c>
      <c r="B967" s="113"/>
      <c r="C967" s="216" t="s">
        <v>25289</v>
      </c>
      <c r="D967" s="284" t="s">
        <v>25290</v>
      </c>
      <c r="E967" s="61" t="s">
        <v>25291</v>
      </c>
      <c r="F967" s="61" t="s">
        <v>65</v>
      </c>
      <c r="G967" s="61" t="s">
        <v>14206</v>
      </c>
      <c r="H967" s="285" t="s">
        <v>25292</v>
      </c>
      <c r="I967" s="285"/>
      <c r="J967" s="118" t="s">
        <v>25293</v>
      </c>
      <c r="K967" s="137" t="s">
        <v>25294</v>
      </c>
      <c r="L967" s="136" t="s">
        <v>25295</v>
      </c>
      <c r="M967" s="136" t="s">
        <v>25296</v>
      </c>
    </row>
    <row r="968" spans="1:13" ht="14.25" customHeight="1">
      <c r="A968" s="113">
        <v>11</v>
      </c>
      <c r="B968" s="113"/>
      <c r="C968" s="216" t="s">
        <v>25297</v>
      </c>
      <c r="D968" s="284" t="s">
        <v>25298</v>
      </c>
      <c r="E968" s="61" t="s">
        <v>25299</v>
      </c>
      <c r="F968" s="61" t="s">
        <v>2454</v>
      </c>
      <c r="G968" s="61" t="s">
        <v>25300</v>
      </c>
      <c r="H968" s="285" t="s">
        <v>25301</v>
      </c>
      <c r="I968" s="285"/>
      <c r="J968" s="118" t="s">
        <v>25302</v>
      </c>
      <c r="K968" s="137" t="s">
        <v>25303</v>
      </c>
      <c r="L968" s="136" t="s">
        <v>25304</v>
      </c>
      <c r="M968" s="136" t="s">
        <v>25305</v>
      </c>
    </row>
    <row r="969" spans="1:13" ht="14.25" customHeight="1">
      <c r="A969" s="113">
        <v>12</v>
      </c>
      <c r="B969" s="113"/>
      <c r="C969" s="216" t="s">
        <v>25306</v>
      </c>
      <c r="D969" s="284" t="s">
        <v>25307</v>
      </c>
      <c r="E969" s="185" t="s">
        <v>25308</v>
      </c>
      <c r="F969" s="185" t="s">
        <v>65</v>
      </c>
      <c r="G969" s="185" t="s">
        <v>25309</v>
      </c>
      <c r="H969" s="285" t="s">
        <v>25310</v>
      </c>
      <c r="I969" s="285"/>
      <c r="J969" s="137" t="s">
        <v>25311</v>
      </c>
      <c r="K969" s="137" t="s">
        <v>25312</v>
      </c>
      <c r="L969" s="136" t="s">
        <v>25313</v>
      </c>
      <c r="M969" s="136" t="s">
        <v>25314</v>
      </c>
    </row>
    <row r="970" spans="1:13" ht="14.25" customHeight="1">
      <c r="A970" s="113">
        <v>13</v>
      </c>
      <c r="B970" s="113"/>
      <c r="C970" s="216" t="s">
        <v>25315</v>
      </c>
      <c r="D970" s="284" t="s">
        <v>25316</v>
      </c>
      <c r="E970" s="61" t="s">
        <v>25317</v>
      </c>
      <c r="F970" s="61" t="s">
        <v>117</v>
      </c>
      <c r="G970" s="61" t="s">
        <v>25318</v>
      </c>
      <c r="H970" s="285" t="s">
        <v>25319</v>
      </c>
      <c r="I970" s="285"/>
      <c r="J970" s="118" t="s">
        <v>25320</v>
      </c>
      <c r="K970" s="137" t="s">
        <v>25321</v>
      </c>
      <c r="L970" s="136" t="s">
        <v>25322</v>
      </c>
      <c r="M970" s="136" t="s">
        <v>25323</v>
      </c>
    </row>
    <row r="971" spans="1:13" ht="14.25" customHeight="1">
      <c r="A971" s="113">
        <v>14</v>
      </c>
      <c r="B971" s="113"/>
      <c r="C971" s="216" t="s">
        <v>25324</v>
      </c>
      <c r="D971" s="284" t="s">
        <v>25325</v>
      </c>
      <c r="E971" s="61" t="s">
        <v>25326</v>
      </c>
      <c r="F971" s="61" t="s">
        <v>54</v>
      </c>
      <c r="G971" s="61" t="s">
        <v>25327</v>
      </c>
      <c r="H971" s="285" t="s">
        <v>25328</v>
      </c>
      <c r="I971" s="285"/>
      <c r="J971" s="118" t="s">
        <v>25329</v>
      </c>
      <c r="K971" s="137" t="s">
        <v>25330</v>
      </c>
      <c r="L971" s="136" t="s">
        <v>25331</v>
      </c>
      <c r="M971" s="136" t="s">
        <v>25332</v>
      </c>
    </row>
    <row r="972" spans="1:13" ht="14.25" customHeight="1">
      <c r="A972" s="113">
        <v>15</v>
      </c>
      <c r="B972" s="113"/>
      <c r="C972" s="216" t="s">
        <v>25333</v>
      </c>
      <c r="D972" s="284" t="s">
        <v>25334</v>
      </c>
      <c r="E972" s="61" t="s">
        <v>25335</v>
      </c>
      <c r="F972" s="61" t="s">
        <v>54</v>
      </c>
      <c r="G972" s="61" t="s">
        <v>25336</v>
      </c>
      <c r="H972" s="285" t="s">
        <v>25337</v>
      </c>
      <c r="I972" s="285"/>
      <c r="J972" s="118" t="s">
        <v>25338</v>
      </c>
      <c r="K972" s="137" t="s">
        <v>25339</v>
      </c>
      <c r="L972" s="136" t="s">
        <v>25340</v>
      </c>
      <c r="M972" s="136" t="s">
        <v>25341</v>
      </c>
    </row>
    <row r="973" spans="1:13" ht="14.25" customHeight="1">
      <c r="A973" s="113">
        <v>16</v>
      </c>
      <c r="B973" s="113"/>
      <c r="C973" s="216" t="s">
        <v>25342</v>
      </c>
      <c r="D973" s="284" t="s">
        <v>25343</v>
      </c>
      <c r="E973" s="61" t="s">
        <v>25344</v>
      </c>
      <c r="F973" s="61" t="s">
        <v>54</v>
      </c>
      <c r="G973" s="61" t="s">
        <v>25345</v>
      </c>
      <c r="H973" s="285" t="s">
        <v>25346</v>
      </c>
      <c r="I973" s="285"/>
      <c r="J973" s="118" t="s">
        <v>25347</v>
      </c>
      <c r="K973" s="137" t="s">
        <v>25348</v>
      </c>
      <c r="L973" s="136" t="s">
        <v>25349</v>
      </c>
      <c r="M973" s="136" t="s">
        <v>25350</v>
      </c>
    </row>
    <row r="974" spans="1:13" ht="14.25" customHeight="1">
      <c r="A974" s="113">
        <v>17</v>
      </c>
      <c r="B974" s="113"/>
      <c r="C974" s="216" t="s">
        <v>25351</v>
      </c>
      <c r="D974" s="284" t="s">
        <v>25352</v>
      </c>
      <c r="E974" s="61" t="s">
        <v>25353</v>
      </c>
      <c r="F974" s="61" t="s">
        <v>219</v>
      </c>
      <c r="G974" s="61" t="s">
        <v>25354</v>
      </c>
      <c r="H974" s="285" t="s">
        <v>25355</v>
      </c>
      <c r="I974" s="285"/>
      <c r="J974" s="118" t="s">
        <v>25356</v>
      </c>
      <c r="K974" s="137" t="s">
        <v>25357</v>
      </c>
      <c r="L974" s="136" t="s">
        <v>25358</v>
      </c>
      <c r="M974" s="136" t="s">
        <v>25359</v>
      </c>
    </row>
    <row r="975" spans="1:13" ht="14.25" customHeight="1">
      <c r="A975" s="113">
        <v>18</v>
      </c>
      <c r="B975" s="113"/>
      <c r="C975" s="216" t="s">
        <v>25360</v>
      </c>
      <c r="D975" s="284" t="s">
        <v>25361</v>
      </c>
      <c r="E975" s="61" t="s">
        <v>25362</v>
      </c>
      <c r="F975" s="61" t="s">
        <v>117</v>
      </c>
      <c r="G975" s="61" t="s">
        <v>25363</v>
      </c>
      <c r="H975" s="285" t="s">
        <v>25364</v>
      </c>
      <c r="I975" s="285"/>
      <c r="J975" s="118" t="s">
        <v>25365</v>
      </c>
      <c r="K975" s="137" t="s">
        <v>25366</v>
      </c>
      <c r="L975" s="136" t="s">
        <v>25367</v>
      </c>
      <c r="M975" s="136" t="s">
        <v>25368</v>
      </c>
    </row>
    <row r="976" spans="1:13" ht="14.25" customHeight="1">
      <c r="A976" s="113">
        <v>19</v>
      </c>
      <c r="B976" s="113"/>
      <c r="C976" s="216" t="s">
        <v>25369</v>
      </c>
      <c r="D976" s="284" t="s">
        <v>25370</v>
      </c>
      <c r="E976" s="61" t="s">
        <v>25371</v>
      </c>
      <c r="F976" s="61" t="s">
        <v>117</v>
      </c>
      <c r="G976" s="61" t="s">
        <v>25372</v>
      </c>
      <c r="H976" s="285" t="s">
        <v>25373</v>
      </c>
      <c r="I976" s="285"/>
      <c r="J976" s="118" t="s">
        <v>25374</v>
      </c>
      <c r="K976" s="137" t="s">
        <v>25375</v>
      </c>
      <c r="L976" s="136" t="s">
        <v>25376</v>
      </c>
      <c r="M976" s="136" t="s">
        <v>25377</v>
      </c>
    </row>
    <row r="977" spans="1:13" ht="14.25" customHeight="1">
      <c r="A977" s="113">
        <v>20</v>
      </c>
      <c r="B977" s="113"/>
      <c r="C977" s="216" t="s">
        <v>25378</v>
      </c>
      <c r="D977" s="284" t="s">
        <v>25379</v>
      </c>
      <c r="E977" s="61" t="s">
        <v>25380</v>
      </c>
      <c r="F977" s="61" t="s">
        <v>117</v>
      </c>
      <c r="G977" s="61" t="s">
        <v>25381</v>
      </c>
      <c r="H977" s="285" t="s">
        <v>25382</v>
      </c>
      <c r="I977" s="290"/>
      <c r="J977" s="13" t="s">
        <v>25383</v>
      </c>
      <c r="K977" s="137" t="s">
        <v>25384</v>
      </c>
      <c r="L977" s="136" t="s">
        <v>25385</v>
      </c>
      <c r="M977" s="136" t="s">
        <v>25386</v>
      </c>
    </row>
    <row r="978" spans="1:13" ht="14.25" customHeight="1">
      <c r="A978" s="113">
        <v>21</v>
      </c>
      <c r="B978" s="113"/>
      <c r="C978" s="216" t="s">
        <v>25387</v>
      </c>
      <c r="D978" s="284" t="s">
        <v>25388</v>
      </c>
      <c r="E978" s="61" t="s">
        <v>25389</v>
      </c>
      <c r="F978" s="61" t="s">
        <v>54</v>
      </c>
      <c r="G978" s="61" t="s">
        <v>25390</v>
      </c>
      <c r="H978" s="285" t="s">
        <v>25391</v>
      </c>
      <c r="I978" s="285"/>
      <c r="J978" s="118" t="s">
        <v>25392</v>
      </c>
      <c r="K978" s="137" t="s">
        <v>25393</v>
      </c>
      <c r="L978" s="136" t="s">
        <v>25394</v>
      </c>
      <c r="M978" s="136" t="s">
        <v>25395</v>
      </c>
    </row>
    <row r="979" spans="1:13" ht="14.25" customHeight="1">
      <c r="A979" s="113">
        <v>22</v>
      </c>
      <c r="B979" s="113"/>
      <c r="C979" s="216" t="s">
        <v>25396</v>
      </c>
      <c r="D979" s="284" t="s">
        <v>25397</v>
      </c>
      <c r="E979" s="61" t="s">
        <v>25398</v>
      </c>
      <c r="F979" s="61" t="s">
        <v>117</v>
      </c>
      <c r="G979" s="61" t="s">
        <v>25399</v>
      </c>
      <c r="H979" s="285" t="s">
        <v>25400</v>
      </c>
      <c r="I979" s="285"/>
      <c r="J979" s="288" t="s">
        <v>25401</v>
      </c>
      <c r="K979" s="137" t="s">
        <v>25402</v>
      </c>
      <c r="L979" s="136" t="s">
        <v>25403</v>
      </c>
      <c r="M979" s="136" t="s">
        <v>25404</v>
      </c>
    </row>
    <row r="980" spans="1:13" ht="14.25" customHeight="1">
      <c r="A980" s="113">
        <v>23</v>
      </c>
      <c r="B980" s="113"/>
      <c r="C980" s="216" t="s">
        <v>25405</v>
      </c>
      <c r="D980" s="284" t="s">
        <v>25406</v>
      </c>
      <c r="E980" s="61" t="s">
        <v>25407</v>
      </c>
      <c r="F980" s="113" t="s">
        <v>65</v>
      </c>
      <c r="G980" s="61" t="s">
        <v>25408</v>
      </c>
      <c r="H980" s="285" t="s">
        <v>25409</v>
      </c>
      <c r="I980" s="285"/>
      <c r="J980" s="118" t="s">
        <v>25410</v>
      </c>
      <c r="K980" s="137" t="s">
        <v>25411</v>
      </c>
      <c r="L980" s="136" t="s">
        <v>25412</v>
      </c>
      <c r="M980" s="136" t="s">
        <v>25413</v>
      </c>
    </row>
    <row r="981" spans="1:13" ht="14.25" customHeight="1">
      <c r="A981" s="113">
        <v>24</v>
      </c>
      <c r="B981" s="113"/>
      <c r="C981" s="216" t="s">
        <v>25414</v>
      </c>
      <c r="D981" s="284" t="s">
        <v>25415</v>
      </c>
      <c r="E981" s="61" t="s">
        <v>25416</v>
      </c>
      <c r="F981" s="113" t="s">
        <v>54</v>
      </c>
      <c r="G981" s="61" t="s">
        <v>25417</v>
      </c>
      <c r="H981" s="285" t="s">
        <v>25418</v>
      </c>
      <c r="I981" s="285"/>
      <c r="J981" s="118" t="s">
        <v>25419</v>
      </c>
      <c r="K981" s="137" t="s">
        <v>25420</v>
      </c>
      <c r="L981" s="136" t="s">
        <v>25421</v>
      </c>
      <c r="M981" s="136" t="s">
        <v>25422</v>
      </c>
    </row>
    <row r="982" spans="1:13" ht="14.25" customHeight="1">
      <c r="A982" s="113">
        <v>25</v>
      </c>
      <c r="B982" s="113"/>
      <c r="C982" s="216" t="s">
        <v>25423</v>
      </c>
      <c r="D982" s="284" t="s">
        <v>25424</v>
      </c>
      <c r="E982" s="61" t="s">
        <v>25425</v>
      </c>
      <c r="F982" s="61" t="s">
        <v>117</v>
      </c>
      <c r="G982" s="61" t="s">
        <v>25426</v>
      </c>
      <c r="H982" s="285" t="s">
        <v>25427</v>
      </c>
      <c r="I982" s="285"/>
      <c r="J982" s="118" t="s">
        <v>25428</v>
      </c>
      <c r="K982" s="137" t="s">
        <v>25429</v>
      </c>
      <c r="L982" s="136" t="s">
        <v>25430</v>
      </c>
      <c r="M982" s="136" t="s">
        <v>25431</v>
      </c>
    </row>
    <row r="983" spans="1:13" ht="14.25" customHeight="1">
      <c r="A983" s="113">
        <v>26</v>
      </c>
      <c r="B983" s="113"/>
      <c r="C983" s="216" t="s">
        <v>25432</v>
      </c>
      <c r="D983" s="284" t="s">
        <v>25433</v>
      </c>
      <c r="E983" s="61" t="s">
        <v>25434</v>
      </c>
      <c r="F983" s="61" t="s">
        <v>117</v>
      </c>
      <c r="G983" s="61" t="s">
        <v>25435</v>
      </c>
      <c r="H983" s="285" t="s">
        <v>25436</v>
      </c>
      <c r="I983" s="285"/>
      <c r="J983" s="118" t="s">
        <v>25437</v>
      </c>
      <c r="K983" s="137" t="s">
        <v>25438</v>
      </c>
      <c r="L983" s="136" t="s">
        <v>25439</v>
      </c>
      <c r="M983" s="136" t="s">
        <v>25440</v>
      </c>
    </row>
    <row r="984" spans="1:13" ht="14.25" customHeight="1">
      <c r="A984" s="113">
        <v>27</v>
      </c>
      <c r="B984" s="113"/>
      <c r="C984" s="216" t="s">
        <v>25441</v>
      </c>
      <c r="D984" s="284" t="s">
        <v>25442</v>
      </c>
      <c r="E984" s="185" t="s">
        <v>25443</v>
      </c>
      <c r="F984" s="185" t="s">
        <v>501</v>
      </c>
      <c r="G984" s="185" t="s">
        <v>25444</v>
      </c>
      <c r="H984" s="285" t="s">
        <v>25445</v>
      </c>
      <c r="I984" s="285"/>
      <c r="J984" s="288" t="s">
        <v>25446</v>
      </c>
      <c r="K984" s="137" t="s">
        <v>25447</v>
      </c>
      <c r="L984" s="136" t="s">
        <v>25448</v>
      </c>
      <c r="M984" s="136" t="s">
        <v>25449</v>
      </c>
    </row>
    <row r="985" spans="1:13" ht="14.25" customHeight="1">
      <c r="A985" s="113">
        <v>28</v>
      </c>
      <c r="B985" s="113"/>
      <c r="C985" s="216" t="s">
        <v>25450</v>
      </c>
      <c r="D985" s="284" t="s">
        <v>25451</v>
      </c>
      <c r="E985" s="61" t="s">
        <v>25452</v>
      </c>
      <c r="F985" s="61" t="s">
        <v>54</v>
      </c>
      <c r="G985" s="61" t="s">
        <v>25453</v>
      </c>
      <c r="H985" s="285" t="s">
        <v>25454</v>
      </c>
      <c r="I985" s="285"/>
      <c r="J985" s="118" t="s">
        <v>25455</v>
      </c>
      <c r="K985" s="137" t="s">
        <v>25456</v>
      </c>
      <c r="L985" s="136" t="s">
        <v>25457</v>
      </c>
      <c r="M985" s="136" t="s">
        <v>25458</v>
      </c>
    </row>
    <row r="986" spans="1:13" ht="14.25" customHeight="1">
      <c r="A986" s="113">
        <v>29</v>
      </c>
      <c r="B986" s="113"/>
      <c r="C986" s="216" t="s">
        <v>25459</v>
      </c>
      <c r="D986" s="284" t="s">
        <v>25460</v>
      </c>
      <c r="E986" s="61" t="s">
        <v>25461</v>
      </c>
      <c r="F986" s="61" t="s">
        <v>54</v>
      </c>
      <c r="G986" s="61" t="s">
        <v>25462</v>
      </c>
      <c r="H986" s="118" t="s">
        <v>25463</v>
      </c>
      <c r="I986" s="118"/>
      <c r="J986" s="118" t="s">
        <v>25464</v>
      </c>
      <c r="K986" s="137" t="s">
        <v>25465</v>
      </c>
      <c r="L986" s="136" t="s">
        <v>25466</v>
      </c>
      <c r="M986" s="136" t="s">
        <v>25467</v>
      </c>
    </row>
    <row r="987" spans="1:13" ht="14.25" customHeight="1">
      <c r="A987" s="113">
        <v>30</v>
      </c>
      <c r="B987" s="113"/>
      <c r="C987" s="216" t="s">
        <v>25468</v>
      </c>
      <c r="D987" s="284" t="s">
        <v>25469</v>
      </c>
      <c r="E987" s="61" t="s">
        <v>25470</v>
      </c>
      <c r="F987" s="61" t="s">
        <v>65</v>
      </c>
      <c r="G987" s="61" t="s">
        <v>25471</v>
      </c>
      <c r="H987" s="285" t="s">
        <v>25472</v>
      </c>
      <c r="I987" s="285"/>
      <c r="J987" s="118" t="s">
        <v>25473</v>
      </c>
      <c r="K987" s="137" t="s">
        <v>25474</v>
      </c>
      <c r="L987" s="136" t="s">
        <v>25475</v>
      </c>
      <c r="M987" s="136" t="s">
        <v>25476</v>
      </c>
    </row>
    <row r="988" spans="1:13" ht="14.25" customHeight="1">
      <c r="A988" s="113">
        <v>31</v>
      </c>
      <c r="B988" s="113"/>
      <c r="C988" s="216" t="s">
        <v>25477</v>
      </c>
      <c r="D988" s="284" t="s">
        <v>25478</v>
      </c>
      <c r="E988" s="61" t="s">
        <v>25479</v>
      </c>
      <c r="F988" s="61" t="s">
        <v>54</v>
      </c>
      <c r="G988" s="61" t="s">
        <v>25480</v>
      </c>
      <c r="H988" s="285" t="s">
        <v>25481</v>
      </c>
      <c r="I988" s="285"/>
      <c r="J988" s="118" t="s">
        <v>25482</v>
      </c>
      <c r="K988" s="137" t="s">
        <v>25483</v>
      </c>
      <c r="L988" s="136" t="s">
        <v>25484</v>
      </c>
      <c r="M988" s="136" t="s">
        <v>25485</v>
      </c>
    </row>
    <row r="989" spans="1:13" ht="14.25" customHeight="1">
      <c r="A989" s="113">
        <v>32</v>
      </c>
      <c r="B989" s="113"/>
      <c r="C989" s="216" t="s">
        <v>25486</v>
      </c>
      <c r="D989" s="284" t="s">
        <v>25487</v>
      </c>
      <c r="E989" s="61" t="s">
        <v>25488</v>
      </c>
      <c r="F989" s="61" t="s">
        <v>54</v>
      </c>
      <c r="G989" s="61" t="s">
        <v>25489</v>
      </c>
      <c r="H989" s="285" t="s">
        <v>25490</v>
      </c>
      <c r="I989" s="285"/>
      <c r="J989" s="118" t="s">
        <v>25491</v>
      </c>
      <c r="K989" s="137" t="s">
        <v>25492</v>
      </c>
      <c r="L989" s="136" t="s">
        <v>25493</v>
      </c>
      <c r="M989" s="136" t="s">
        <v>25494</v>
      </c>
    </row>
    <row r="990" spans="1:13" ht="14.25" customHeight="1">
      <c r="A990" s="113">
        <v>33</v>
      </c>
      <c r="B990" s="113"/>
      <c r="C990" s="216" t="s">
        <v>25495</v>
      </c>
      <c r="D990" s="284" t="s">
        <v>25496</v>
      </c>
      <c r="E990" s="61" t="s">
        <v>25497</v>
      </c>
      <c r="F990" s="61" t="s">
        <v>117</v>
      </c>
      <c r="G990" s="61" t="s">
        <v>25498</v>
      </c>
      <c r="H990" s="285" t="s">
        <v>25499</v>
      </c>
      <c r="I990" s="285"/>
      <c r="J990" s="118" t="s">
        <v>25500</v>
      </c>
      <c r="K990" s="137" t="s">
        <v>25501</v>
      </c>
      <c r="L990" s="136" t="s">
        <v>25502</v>
      </c>
      <c r="M990" s="136" t="s">
        <v>25503</v>
      </c>
    </row>
    <row r="991" spans="1:13" ht="14.25" customHeight="1">
      <c r="A991" s="113">
        <v>34</v>
      </c>
      <c r="B991" s="113"/>
      <c r="C991" s="216" t="s">
        <v>25504</v>
      </c>
      <c r="D991" s="284" t="s">
        <v>25505</v>
      </c>
      <c r="E991" s="61" t="s">
        <v>25506</v>
      </c>
      <c r="F991" s="61" t="s">
        <v>65</v>
      </c>
      <c r="G991" s="61" t="s">
        <v>14287</v>
      </c>
      <c r="H991" s="285" t="s">
        <v>25507</v>
      </c>
      <c r="I991" s="285"/>
      <c r="J991" s="118" t="s">
        <v>25508</v>
      </c>
      <c r="K991" s="137" t="s">
        <v>25509</v>
      </c>
      <c r="L991" s="136" t="s">
        <v>25510</v>
      </c>
      <c r="M991" s="136" t="s">
        <v>25511</v>
      </c>
    </row>
    <row r="992" spans="1:13" ht="14.25" customHeight="1">
      <c r="A992" s="113">
        <v>35</v>
      </c>
      <c r="B992" s="113"/>
      <c r="C992" s="216" t="s">
        <v>9980</v>
      </c>
      <c r="D992" s="284" t="s">
        <v>9981</v>
      </c>
      <c r="E992" s="185" t="s">
        <v>9982</v>
      </c>
      <c r="F992" s="185" t="s">
        <v>563</v>
      </c>
      <c r="G992" s="185" t="s">
        <v>11066</v>
      </c>
      <c r="H992" s="285" t="s">
        <v>25512</v>
      </c>
      <c r="I992" s="285"/>
      <c r="J992" s="137" t="s">
        <v>9986</v>
      </c>
      <c r="K992" s="137" t="s">
        <v>11067</v>
      </c>
      <c r="L992" s="136" t="s">
        <v>11068</v>
      </c>
      <c r="M992" s="136" t="s">
        <v>11069</v>
      </c>
    </row>
    <row r="993" spans="1:13" ht="14.25" customHeight="1">
      <c r="A993" s="113">
        <v>36</v>
      </c>
      <c r="B993" s="113"/>
      <c r="C993" s="216" t="s">
        <v>25513</v>
      </c>
      <c r="D993" s="284" t="s">
        <v>25514</v>
      </c>
      <c r="E993" s="61" t="s">
        <v>25515</v>
      </c>
      <c r="F993" s="113" t="s">
        <v>65</v>
      </c>
      <c r="G993" s="61" t="s">
        <v>25516</v>
      </c>
      <c r="H993" s="285" t="s">
        <v>25517</v>
      </c>
      <c r="I993" s="285"/>
      <c r="J993" s="118" t="s">
        <v>25518</v>
      </c>
      <c r="K993" s="137" t="s">
        <v>25519</v>
      </c>
      <c r="L993" s="136" t="s">
        <v>25520</v>
      </c>
      <c r="M993" s="136" t="s">
        <v>25521</v>
      </c>
    </row>
    <row r="994" spans="1:13" ht="14.25" customHeight="1">
      <c r="A994" s="113">
        <v>37</v>
      </c>
      <c r="B994" s="113"/>
      <c r="C994" s="216" t="s">
        <v>25522</v>
      </c>
      <c r="D994" s="284" t="s">
        <v>25523</v>
      </c>
      <c r="E994" s="61" t="s">
        <v>25524</v>
      </c>
      <c r="F994" s="113" t="s">
        <v>65</v>
      </c>
      <c r="G994" s="61" t="s">
        <v>25525</v>
      </c>
      <c r="H994" s="118" t="s">
        <v>25526</v>
      </c>
      <c r="I994" s="118"/>
      <c r="J994" s="118" t="s">
        <v>25527</v>
      </c>
      <c r="K994" s="137" t="s">
        <v>25528</v>
      </c>
      <c r="L994" s="136" t="s">
        <v>25529</v>
      </c>
      <c r="M994" s="136" t="s">
        <v>25530</v>
      </c>
    </row>
    <row r="995" spans="1:13" ht="14.25" customHeight="1">
      <c r="A995" s="113">
        <v>38</v>
      </c>
      <c r="B995" s="113"/>
      <c r="C995" s="216" t="s">
        <v>25531</v>
      </c>
      <c r="D995" s="284" t="s">
        <v>25532</v>
      </c>
      <c r="E995" s="61" t="s">
        <v>25533</v>
      </c>
      <c r="F995" s="113" t="s">
        <v>65</v>
      </c>
      <c r="G995" s="61" t="s">
        <v>25534</v>
      </c>
      <c r="H995" s="285" t="s">
        <v>25535</v>
      </c>
      <c r="I995" s="285"/>
      <c r="J995" s="288" t="s">
        <v>25536</v>
      </c>
      <c r="K995" s="137" t="s">
        <v>25537</v>
      </c>
      <c r="L995" s="113" t="s">
        <v>25538</v>
      </c>
      <c r="M995" s="136" t="s">
        <v>25539</v>
      </c>
    </row>
    <row r="996" spans="1:13" ht="14.25" customHeight="1">
      <c r="A996" s="113">
        <v>39</v>
      </c>
      <c r="B996" s="113"/>
      <c r="C996" s="216" t="s">
        <v>25540</v>
      </c>
      <c r="D996" s="284" t="s">
        <v>25541</v>
      </c>
      <c r="E996" s="61" t="s">
        <v>25542</v>
      </c>
      <c r="F996" s="113" t="s">
        <v>65</v>
      </c>
      <c r="G996" s="61" t="s">
        <v>25543</v>
      </c>
      <c r="H996" s="285" t="s">
        <v>25544</v>
      </c>
      <c r="I996" s="285"/>
      <c r="J996" s="288" t="s">
        <v>25545</v>
      </c>
      <c r="K996" s="137" t="s">
        <v>25546</v>
      </c>
      <c r="L996" s="136" t="s">
        <v>25547</v>
      </c>
      <c r="M996" s="136" t="s">
        <v>25548</v>
      </c>
    </row>
    <row r="997" spans="1:13" ht="14.25" customHeight="1">
      <c r="A997" s="113">
        <v>40</v>
      </c>
      <c r="B997" s="113"/>
      <c r="C997" s="216" t="s">
        <v>25549</v>
      </c>
      <c r="D997" s="284" t="s">
        <v>25550</v>
      </c>
      <c r="E997" s="185" t="s">
        <v>25551</v>
      </c>
      <c r="F997" s="113" t="s">
        <v>54</v>
      </c>
      <c r="G997" s="185" t="s">
        <v>25552</v>
      </c>
      <c r="H997" s="285" t="s">
        <v>25553</v>
      </c>
      <c r="I997" s="285"/>
      <c r="J997" s="137" t="s">
        <v>25554</v>
      </c>
      <c r="K997" s="137" t="s">
        <v>25555</v>
      </c>
      <c r="L997" s="136" t="s">
        <v>25556</v>
      </c>
      <c r="M997" s="136" t="s">
        <v>25557</v>
      </c>
    </row>
    <row r="998" spans="1:13" ht="14.25" customHeight="1">
      <c r="A998" s="210">
        <v>1</v>
      </c>
      <c r="B998" s="210"/>
      <c r="C998" s="211" t="s">
        <v>25558</v>
      </c>
      <c r="D998" s="238" t="s">
        <v>25559</v>
      </c>
      <c r="E998" s="275" t="s">
        <v>25560</v>
      </c>
      <c r="F998" s="275" t="s">
        <v>54</v>
      </c>
      <c r="G998" s="291" t="s">
        <v>25561</v>
      </c>
      <c r="H998" s="239" t="s">
        <v>25562</v>
      </c>
      <c r="I998" s="239"/>
      <c r="J998" s="263" t="s">
        <v>25563</v>
      </c>
      <c r="K998" s="215" t="s">
        <v>25564</v>
      </c>
      <c r="L998" s="210" t="s">
        <v>25565</v>
      </c>
      <c r="M998" s="247" t="s">
        <v>25566</v>
      </c>
    </row>
    <row r="999" spans="1:13" ht="14.25" customHeight="1">
      <c r="A999" s="113">
        <v>2</v>
      </c>
      <c r="B999" s="113"/>
      <c r="C999" s="216" t="s">
        <v>25567</v>
      </c>
      <c r="D999" s="284" t="s">
        <v>25568</v>
      </c>
      <c r="E999" s="61" t="s">
        <v>25569</v>
      </c>
      <c r="F999" s="61" t="s">
        <v>54</v>
      </c>
      <c r="G999" s="184" t="s">
        <v>25570</v>
      </c>
      <c r="H999" s="285" t="s">
        <v>25571</v>
      </c>
      <c r="I999" s="285"/>
      <c r="J999" s="28" t="s">
        <v>25572</v>
      </c>
      <c r="K999" s="137" t="s">
        <v>25573</v>
      </c>
      <c r="L999" s="136" t="s">
        <v>25574</v>
      </c>
      <c r="M999" s="136" t="s">
        <v>25575</v>
      </c>
    </row>
    <row r="1000" spans="1:13" ht="14.25" customHeight="1">
      <c r="A1000" s="113">
        <v>3</v>
      </c>
      <c r="B1000" s="113"/>
      <c r="C1000" s="270" t="s">
        <v>25576</v>
      </c>
      <c r="D1000" s="292" t="s">
        <v>25577</v>
      </c>
      <c r="E1000" s="61" t="s">
        <v>25578</v>
      </c>
      <c r="F1000" s="61" t="s">
        <v>117</v>
      </c>
      <c r="G1000" s="184" t="s">
        <v>25579</v>
      </c>
      <c r="H1000" s="293" t="s">
        <v>25580</v>
      </c>
      <c r="I1000" s="293"/>
      <c r="J1000" s="294" t="s">
        <v>25581</v>
      </c>
      <c r="K1000" s="137" t="s">
        <v>25582</v>
      </c>
      <c r="L1000" s="136" t="s">
        <v>25583</v>
      </c>
      <c r="M1000" s="136" t="s">
        <v>25584</v>
      </c>
    </row>
    <row r="1001" spans="1:13" ht="14.25" customHeight="1">
      <c r="A1001" s="113">
        <v>4</v>
      </c>
      <c r="B1001" s="113"/>
      <c r="C1001" s="270" t="s">
        <v>25585</v>
      </c>
      <c r="D1001" s="292" t="s">
        <v>25586</v>
      </c>
      <c r="E1001" s="61" t="s">
        <v>25587</v>
      </c>
      <c r="F1001" s="61" t="s">
        <v>117</v>
      </c>
      <c r="G1001" s="184" t="s">
        <v>25588</v>
      </c>
      <c r="H1001" s="293" t="s">
        <v>25589</v>
      </c>
      <c r="I1001" s="293"/>
      <c r="J1001" s="294" t="s">
        <v>25590</v>
      </c>
      <c r="K1001" s="137" t="s">
        <v>25591</v>
      </c>
      <c r="L1001" s="136" t="s">
        <v>25592</v>
      </c>
      <c r="M1001" s="136" t="s">
        <v>25593</v>
      </c>
    </row>
    <row r="1002" spans="1:13" ht="14.25" customHeight="1">
      <c r="A1002" s="113">
        <v>5</v>
      </c>
      <c r="B1002" s="113"/>
      <c r="C1002" s="270" t="s">
        <v>25594</v>
      </c>
      <c r="D1002" s="292" t="s">
        <v>25595</v>
      </c>
      <c r="E1002" s="61" t="s">
        <v>25596</v>
      </c>
      <c r="F1002" s="61" t="s">
        <v>117</v>
      </c>
      <c r="G1002" s="184" t="s">
        <v>25597</v>
      </c>
      <c r="H1002" s="293" t="s">
        <v>25598</v>
      </c>
      <c r="I1002" s="293"/>
      <c r="J1002" s="294" t="s">
        <v>25599</v>
      </c>
      <c r="K1002" s="137" t="s">
        <v>25600</v>
      </c>
      <c r="L1002" s="136" t="s">
        <v>25601</v>
      </c>
      <c r="M1002" s="136" t="s">
        <v>25602</v>
      </c>
    </row>
    <row r="1003" spans="1:13" ht="14.25" customHeight="1">
      <c r="A1003" s="113">
        <v>6</v>
      </c>
      <c r="B1003" s="113"/>
      <c r="C1003" s="270" t="s">
        <v>25603</v>
      </c>
      <c r="D1003" s="292" t="s">
        <v>25604</v>
      </c>
      <c r="E1003" s="61" t="s">
        <v>25605</v>
      </c>
      <c r="F1003" s="61" t="s">
        <v>65</v>
      </c>
      <c r="G1003" s="184" t="s">
        <v>25606</v>
      </c>
      <c r="H1003" s="293" t="s">
        <v>25607</v>
      </c>
      <c r="I1003" s="293"/>
      <c r="J1003" s="294" t="s">
        <v>25608</v>
      </c>
      <c r="K1003" s="137" t="s">
        <v>25609</v>
      </c>
      <c r="L1003" s="136" t="s">
        <v>25610</v>
      </c>
      <c r="M1003" s="136" t="s">
        <v>25611</v>
      </c>
    </row>
    <row r="1004" spans="1:13" ht="14.25" customHeight="1">
      <c r="A1004" s="113">
        <v>7</v>
      </c>
      <c r="B1004" s="113"/>
      <c r="C1004" s="270" t="s">
        <v>25612</v>
      </c>
      <c r="D1004" s="292" t="s">
        <v>25613</v>
      </c>
      <c r="E1004" s="61" t="s">
        <v>25614</v>
      </c>
      <c r="F1004" s="61" t="s">
        <v>54</v>
      </c>
      <c r="G1004" s="184" t="s">
        <v>25615</v>
      </c>
      <c r="H1004" s="293" t="s">
        <v>25616</v>
      </c>
      <c r="I1004" s="293"/>
      <c r="J1004" s="294" t="s">
        <v>25617</v>
      </c>
      <c r="K1004" s="137" t="s">
        <v>25618</v>
      </c>
      <c r="L1004" s="136" t="s">
        <v>25619</v>
      </c>
      <c r="M1004" s="136" t="s">
        <v>25620</v>
      </c>
    </row>
    <row r="1005" spans="1:13" ht="14.25" customHeight="1">
      <c r="A1005" s="113">
        <v>8</v>
      </c>
      <c r="B1005" s="113"/>
      <c r="C1005" s="270" t="s">
        <v>25621</v>
      </c>
      <c r="D1005" s="292" t="s">
        <v>25622</v>
      </c>
      <c r="E1005" s="61" t="s">
        <v>25623</v>
      </c>
      <c r="F1005" s="61" t="s">
        <v>65</v>
      </c>
      <c r="G1005" s="184" t="s">
        <v>25624</v>
      </c>
      <c r="H1005" s="293" t="s">
        <v>25625</v>
      </c>
      <c r="I1005" s="293"/>
      <c r="J1005" s="294" t="s">
        <v>25626</v>
      </c>
      <c r="K1005" s="137" t="s">
        <v>25627</v>
      </c>
      <c r="L1005" s="136" t="s">
        <v>25628</v>
      </c>
      <c r="M1005" s="136" t="s">
        <v>25629</v>
      </c>
    </row>
    <row r="1006" spans="1:13" ht="14.25" customHeight="1">
      <c r="A1006" s="113">
        <v>9</v>
      </c>
      <c r="B1006" s="113"/>
      <c r="C1006" s="270" t="s">
        <v>25630</v>
      </c>
      <c r="D1006" s="292" t="s">
        <v>25631</v>
      </c>
      <c r="E1006" s="61" t="s">
        <v>25632</v>
      </c>
      <c r="F1006" s="61" t="s">
        <v>54</v>
      </c>
      <c r="G1006" s="184" t="s">
        <v>25633</v>
      </c>
      <c r="H1006" s="293" t="s">
        <v>25634</v>
      </c>
      <c r="I1006" s="293"/>
      <c r="J1006" s="294" t="s">
        <v>25635</v>
      </c>
      <c r="K1006" s="137" t="s">
        <v>25636</v>
      </c>
      <c r="L1006" s="136" t="s">
        <v>25637</v>
      </c>
      <c r="M1006" s="136" t="s">
        <v>25638</v>
      </c>
    </row>
    <row r="1007" spans="1:13" ht="14.25" customHeight="1">
      <c r="A1007" s="113">
        <v>10</v>
      </c>
      <c r="B1007" s="113"/>
      <c r="C1007" s="270" t="s">
        <v>25639</v>
      </c>
      <c r="D1007" s="292" t="s">
        <v>25640</v>
      </c>
      <c r="E1007" s="61" t="s">
        <v>25641</v>
      </c>
      <c r="F1007" s="61" t="s">
        <v>219</v>
      </c>
      <c r="G1007" s="184" t="s">
        <v>25642</v>
      </c>
      <c r="H1007" s="293" t="s">
        <v>25643</v>
      </c>
      <c r="I1007" s="293"/>
      <c r="J1007" s="294" t="s">
        <v>25644</v>
      </c>
      <c r="K1007" s="137" t="s">
        <v>25645</v>
      </c>
      <c r="L1007" s="136" t="s">
        <v>25646</v>
      </c>
      <c r="M1007" s="136" t="s">
        <v>25647</v>
      </c>
    </row>
    <row r="1008" spans="1:13" ht="14.25" customHeight="1">
      <c r="A1008" s="113">
        <v>11</v>
      </c>
      <c r="B1008" s="113"/>
      <c r="C1008" s="216" t="s">
        <v>25648</v>
      </c>
      <c r="D1008" s="284" t="s">
        <v>25649</v>
      </c>
      <c r="E1008" s="61" t="s">
        <v>25650</v>
      </c>
      <c r="F1008" s="61" t="s">
        <v>65</v>
      </c>
      <c r="G1008" s="184" t="s">
        <v>25651</v>
      </c>
      <c r="H1008" s="285" t="s">
        <v>25652</v>
      </c>
      <c r="I1008" s="285"/>
      <c r="J1008" s="28" t="s">
        <v>25653</v>
      </c>
      <c r="K1008" s="137" t="s">
        <v>25654</v>
      </c>
      <c r="L1008" s="136" t="s">
        <v>25655</v>
      </c>
      <c r="M1008" s="136" t="s">
        <v>25656</v>
      </c>
    </row>
    <row r="1009" spans="1:13" ht="14.25" customHeight="1">
      <c r="A1009" s="113">
        <v>12</v>
      </c>
      <c r="B1009" s="113"/>
      <c r="C1009" s="216" t="s">
        <v>25657</v>
      </c>
      <c r="D1009" s="284" t="s">
        <v>25658</v>
      </c>
      <c r="E1009" s="61" t="s">
        <v>25659</v>
      </c>
      <c r="F1009" s="61" t="s">
        <v>54</v>
      </c>
      <c r="G1009" s="184" t="s">
        <v>16001</v>
      </c>
      <c r="H1009" s="285" t="s">
        <v>25660</v>
      </c>
      <c r="I1009" s="285"/>
      <c r="J1009" s="28" t="s">
        <v>25661</v>
      </c>
      <c r="K1009" s="137" t="s">
        <v>25662</v>
      </c>
      <c r="L1009" s="136" t="s">
        <v>25663</v>
      </c>
      <c r="M1009" s="136" t="s">
        <v>25664</v>
      </c>
    </row>
    <row r="1010" spans="1:13" ht="14.25" customHeight="1">
      <c r="A1010" s="113">
        <v>13</v>
      </c>
      <c r="B1010" s="113"/>
      <c r="C1010" s="270" t="s">
        <v>25665</v>
      </c>
      <c r="D1010" s="292" t="s">
        <v>25666</v>
      </c>
      <c r="E1010" s="61" t="s">
        <v>25667</v>
      </c>
      <c r="F1010" s="61" t="s">
        <v>117</v>
      </c>
      <c r="G1010" s="184" t="s">
        <v>25668</v>
      </c>
      <c r="H1010" s="293" t="s">
        <v>25669</v>
      </c>
      <c r="I1010" s="293"/>
      <c r="J1010" s="294" t="s">
        <v>25670</v>
      </c>
      <c r="K1010" s="137" t="s">
        <v>25671</v>
      </c>
      <c r="L1010" s="136" t="s">
        <v>25672</v>
      </c>
      <c r="M1010" s="136" t="s">
        <v>25673</v>
      </c>
    </row>
    <row r="1011" spans="1:13" ht="14.25" customHeight="1">
      <c r="A1011" s="113">
        <v>14</v>
      </c>
      <c r="B1011" s="113"/>
      <c r="C1011" s="270" t="s">
        <v>25674</v>
      </c>
      <c r="D1011" s="292" t="s">
        <v>25675</v>
      </c>
      <c r="E1011" s="61" t="s">
        <v>25676</v>
      </c>
      <c r="F1011" s="61" t="s">
        <v>65</v>
      </c>
      <c r="G1011" s="184" t="s">
        <v>25677</v>
      </c>
      <c r="H1011" s="293" t="s">
        <v>25678</v>
      </c>
      <c r="I1011" s="293"/>
      <c r="J1011" s="294" t="s">
        <v>25679</v>
      </c>
      <c r="K1011" s="137" t="s">
        <v>25680</v>
      </c>
      <c r="L1011" s="136" t="s">
        <v>25681</v>
      </c>
      <c r="M1011" s="136" t="s">
        <v>25682</v>
      </c>
    </row>
    <row r="1012" spans="1:13" ht="14.25" customHeight="1">
      <c r="A1012" s="113">
        <v>15</v>
      </c>
      <c r="B1012" s="113"/>
      <c r="C1012" s="270" t="s">
        <v>25683</v>
      </c>
      <c r="D1012" s="292" t="s">
        <v>25684</v>
      </c>
      <c r="E1012" s="61" t="s">
        <v>25685</v>
      </c>
      <c r="F1012" s="61" t="s">
        <v>117</v>
      </c>
      <c r="G1012" s="184" t="s">
        <v>25686</v>
      </c>
      <c r="H1012" s="293" t="s">
        <v>25687</v>
      </c>
      <c r="I1012" s="293"/>
      <c r="J1012" s="294" t="s">
        <v>25688</v>
      </c>
      <c r="K1012" s="137" t="s">
        <v>25689</v>
      </c>
      <c r="L1012" s="136" t="s">
        <v>25690</v>
      </c>
      <c r="M1012" s="136" t="s">
        <v>25691</v>
      </c>
    </row>
    <row r="1013" spans="1:13" ht="14.25" customHeight="1">
      <c r="A1013" s="113">
        <v>16</v>
      </c>
      <c r="B1013" s="113"/>
      <c r="C1013" s="270" t="s">
        <v>25692</v>
      </c>
      <c r="D1013" s="292" t="s">
        <v>25693</v>
      </c>
      <c r="E1013" s="61" t="s">
        <v>25694</v>
      </c>
      <c r="F1013" s="61" t="s">
        <v>65</v>
      </c>
      <c r="G1013" s="184" t="s">
        <v>25695</v>
      </c>
      <c r="H1013" s="293" t="s">
        <v>25696</v>
      </c>
      <c r="I1013" s="293"/>
      <c r="J1013" s="294" t="s">
        <v>25697</v>
      </c>
      <c r="K1013" s="137" t="s">
        <v>25698</v>
      </c>
      <c r="L1013" s="136" t="s">
        <v>25699</v>
      </c>
      <c r="M1013" s="136" t="s">
        <v>25700</v>
      </c>
    </row>
    <row r="1014" spans="1:13" ht="14.25" customHeight="1">
      <c r="A1014" s="113">
        <v>17</v>
      </c>
      <c r="B1014" s="113"/>
      <c r="C1014" s="270" t="s">
        <v>25701</v>
      </c>
      <c r="D1014" s="292" t="s">
        <v>25702</v>
      </c>
      <c r="E1014" s="61" t="s">
        <v>25703</v>
      </c>
      <c r="F1014" s="61"/>
      <c r="G1014" s="184" t="s">
        <v>25704</v>
      </c>
      <c r="H1014" s="293" t="s">
        <v>25705</v>
      </c>
      <c r="I1014" s="293"/>
      <c r="J1014" s="294" t="s">
        <v>25706</v>
      </c>
      <c r="K1014" s="137" t="s">
        <v>25707</v>
      </c>
      <c r="L1014" s="136" t="s">
        <v>25708</v>
      </c>
      <c r="M1014" s="136" t="s">
        <v>25709</v>
      </c>
    </row>
    <row r="1015" spans="1:13" ht="14.25" customHeight="1">
      <c r="A1015" s="113">
        <v>18</v>
      </c>
      <c r="B1015" s="113"/>
      <c r="C1015" s="270" t="s">
        <v>25710</v>
      </c>
      <c r="D1015" s="292" t="s">
        <v>25711</v>
      </c>
      <c r="E1015" s="61" t="s">
        <v>25712</v>
      </c>
      <c r="F1015" s="61" t="s">
        <v>117</v>
      </c>
      <c r="G1015" s="184" t="s">
        <v>25713</v>
      </c>
      <c r="H1015" s="293" t="s">
        <v>25714</v>
      </c>
      <c r="I1015" s="293"/>
      <c r="J1015" s="294" t="s">
        <v>25715</v>
      </c>
      <c r="K1015" s="137" t="s">
        <v>25716</v>
      </c>
      <c r="L1015" s="136" t="s">
        <v>25717</v>
      </c>
      <c r="M1015" s="136" t="s">
        <v>25718</v>
      </c>
    </row>
    <row r="1016" spans="1:13" ht="14.25" customHeight="1">
      <c r="A1016" s="113">
        <v>19</v>
      </c>
      <c r="B1016" s="113"/>
      <c r="C1016" s="270" t="s">
        <v>25719</v>
      </c>
      <c r="D1016" s="292" t="s">
        <v>25720</v>
      </c>
      <c r="E1016" s="61" t="s">
        <v>25721</v>
      </c>
      <c r="F1016" s="61" t="s">
        <v>501</v>
      </c>
      <c r="G1016" s="184" t="s">
        <v>25722</v>
      </c>
      <c r="H1016" s="293" t="s">
        <v>25723</v>
      </c>
      <c r="I1016" s="293"/>
      <c r="J1016" s="294" t="s">
        <v>25724</v>
      </c>
      <c r="K1016" s="137" t="s">
        <v>25725</v>
      </c>
      <c r="L1016" s="136" t="s">
        <v>25726</v>
      </c>
      <c r="M1016" s="136" t="s">
        <v>25727</v>
      </c>
    </row>
    <row r="1017" spans="1:13" ht="14.25" customHeight="1">
      <c r="A1017" s="113">
        <v>20</v>
      </c>
      <c r="B1017" s="113"/>
      <c r="C1017" s="270" t="s">
        <v>25728</v>
      </c>
      <c r="D1017" s="292" t="s">
        <v>25729</v>
      </c>
      <c r="E1017" s="61" t="s">
        <v>25730</v>
      </c>
      <c r="F1017" s="61" t="s">
        <v>54</v>
      </c>
      <c r="G1017" s="184" t="s">
        <v>25731</v>
      </c>
      <c r="H1017" s="293" t="s">
        <v>25732</v>
      </c>
      <c r="I1017" s="293"/>
      <c r="J1017" s="294" t="s">
        <v>25733</v>
      </c>
      <c r="K1017" s="137" t="s">
        <v>25734</v>
      </c>
      <c r="L1017" s="136" t="s">
        <v>25735</v>
      </c>
      <c r="M1017" s="136" t="s">
        <v>25736</v>
      </c>
    </row>
    <row r="1018" spans="1:13" ht="14.25" customHeight="1">
      <c r="A1018" s="113">
        <v>21</v>
      </c>
      <c r="B1018" s="113"/>
      <c r="C1018" s="216" t="s">
        <v>25737</v>
      </c>
      <c r="D1018" s="284" t="s">
        <v>25738</v>
      </c>
      <c r="E1018" s="61" t="s">
        <v>25739</v>
      </c>
      <c r="F1018" s="61" t="s">
        <v>65</v>
      </c>
      <c r="G1018" s="184" t="s">
        <v>25740</v>
      </c>
      <c r="H1018" s="285" t="s">
        <v>25741</v>
      </c>
      <c r="I1018" s="285"/>
      <c r="J1018" s="28" t="s">
        <v>25742</v>
      </c>
      <c r="K1018" s="137" t="s">
        <v>25743</v>
      </c>
      <c r="L1018" s="136" t="s">
        <v>25744</v>
      </c>
      <c r="M1018" s="136" t="s">
        <v>25745</v>
      </c>
    </row>
    <row r="1019" spans="1:13" ht="14.25" customHeight="1">
      <c r="A1019" s="113">
        <v>22</v>
      </c>
      <c r="B1019" s="113"/>
      <c r="C1019" s="270" t="s">
        <v>25746</v>
      </c>
      <c r="D1019" s="292" t="s">
        <v>25747</v>
      </c>
      <c r="E1019" s="61" t="s">
        <v>25748</v>
      </c>
      <c r="F1019" s="61" t="s">
        <v>117</v>
      </c>
      <c r="G1019" s="184" t="s">
        <v>25749</v>
      </c>
      <c r="H1019" s="293" t="s">
        <v>25750</v>
      </c>
      <c r="I1019" s="293"/>
      <c r="J1019" s="294" t="s">
        <v>25751</v>
      </c>
      <c r="K1019" s="137" t="s">
        <v>25752</v>
      </c>
      <c r="L1019" s="136" t="s">
        <v>25753</v>
      </c>
      <c r="M1019" s="136" t="s">
        <v>25754</v>
      </c>
    </row>
    <row r="1020" spans="1:13" ht="14.25" customHeight="1">
      <c r="A1020" s="113">
        <v>23</v>
      </c>
      <c r="B1020" s="113"/>
      <c r="C1020" s="270" t="s">
        <v>25755</v>
      </c>
      <c r="D1020" s="292" t="s">
        <v>25756</v>
      </c>
      <c r="E1020" s="61" t="s">
        <v>25757</v>
      </c>
      <c r="F1020" s="61" t="s">
        <v>65</v>
      </c>
      <c r="G1020" s="184" t="s">
        <v>25758</v>
      </c>
      <c r="H1020" s="293" t="s">
        <v>25759</v>
      </c>
      <c r="I1020" s="293"/>
      <c r="J1020" s="294" t="s">
        <v>25760</v>
      </c>
      <c r="K1020" s="137" t="s">
        <v>25761</v>
      </c>
      <c r="L1020" s="136" t="s">
        <v>25762</v>
      </c>
      <c r="M1020" s="136" t="s">
        <v>25763</v>
      </c>
    </row>
    <row r="1021" spans="1:13" ht="14.25" customHeight="1">
      <c r="A1021" s="113">
        <v>24</v>
      </c>
      <c r="B1021" s="113"/>
      <c r="C1021" s="270" t="s">
        <v>23670</v>
      </c>
      <c r="D1021" s="292" t="s">
        <v>23671</v>
      </c>
      <c r="E1021" s="61" t="s">
        <v>23672</v>
      </c>
      <c r="F1021" s="61" t="s">
        <v>6748</v>
      </c>
      <c r="G1021" s="184" t="s">
        <v>25764</v>
      </c>
      <c r="H1021" s="293" t="s">
        <v>25765</v>
      </c>
      <c r="I1021" s="293"/>
      <c r="J1021" s="294" t="s">
        <v>25766</v>
      </c>
      <c r="K1021" s="137" t="s">
        <v>25767</v>
      </c>
      <c r="L1021" s="136" t="s">
        <v>25768</v>
      </c>
      <c r="M1021" s="136" t="s">
        <v>25769</v>
      </c>
    </row>
    <row r="1022" spans="1:13" ht="14.25" customHeight="1">
      <c r="A1022" s="136">
        <v>25</v>
      </c>
      <c r="B1022" s="136"/>
      <c r="C1022" s="269" t="s">
        <v>2401</v>
      </c>
      <c r="D1022" s="295" t="s">
        <v>2402</v>
      </c>
      <c r="E1022" s="61" t="s">
        <v>2403</v>
      </c>
      <c r="F1022" s="61" t="s">
        <v>320</v>
      </c>
      <c r="G1022" s="184" t="s">
        <v>25770</v>
      </c>
      <c r="H1022" s="296" t="s">
        <v>25771</v>
      </c>
      <c r="I1022" s="296"/>
      <c r="J1022" s="297" t="s">
        <v>25772</v>
      </c>
      <c r="K1022" s="137" t="s">
        <v>25773</v>
      </c>
      <c r="L1022" s="136" t="s">
        <v>25774</v>
      </c>
      <c r="M1022" s="136" t="s">
        <v>25775</v>
      </c>
    </row>
    <row r="1023" spans="1:13" ht="14.25" customHeight="1">
      <c r="A1023" s="113">
        <v>26</v>
      </c>
      <c r="B1023" s="113"/>
      <c r="C1023" s="270" t="s">
        <v>25776</v>
      </c>
      <c r="D1023" s="292" t="s">
        <v>25777</v>
      </c>
      <c r="E1023" s="61" t="s">
        <v>25778</v>
      </c>
      <c r="F1023" s="61" t="s">
        <v>563</v>
      </c>
      <c r="G1023" s="184" t="s">
        <v>25779</v>
      </c>
      <c r="H1023" s="293" t="s">
        <v>25780</v>
      </c>
      <c r="I1023" s="293"/>
      <c r="J1023" s="294" t="s">
        <v>25781</v>
      </c>
      <c r="K1023" s="137" t="s">
        <v>25782</v>
      </c>
      <c r="L1023" s="136" t="s">
        <v>25783</v>
      </c>
      <c r="M1023" s="136" t="s">
        <v>25784</v>
      </c>
    </row>
    <row r="1024" spans="1:13" ht="14.25" customHeight="1">
      <c r="A1024" s="113">
        <v>27</v>
      </c>
      <c r="B1024" s="113"/>
      <c r="C1024" s="270" t="s">
        <v>25785</v>
      </c>
      <c r="D1024" s="292" t="s">
        <v>25786</v>
      </c>
      <c r="E1024" s="61" t="s">
        <v>25787</v>
      </c>
      <c r="F1024" s="61" t="s">
        <v>219</v>
      </c>
      <c r="G1024" s="184" t="s">
        <v>25788</v>
      </c>
      <c r="H1024" s="293" t="s">
        <v>25789</v>
      </c>
      <c r="I1024" s="293"/>
      <c r="J1024" s="294" t="s">
        <v>25790</v>
      </c>
      <c r="K1024" s="137" t="s">
        <v>25791</v>
      </c>
      <c r="L1024" s="136" t="s">
        <v>25792</v>
      </c>
      <c r="M1024" s="136" t="s">
        <v>25793</v>
      </c>
    </row>
    <row r="1025" spans="1:13" ht="14.25" customHeight="1">
      <c r="A1025" s="113">
        <v>28</v>
      </c>
      <c r="B1025" s="113"/>
      <c r="C1025" s="270" t="s">
        <v>25794</v>
      </c>
      <c r="D1025" s="292" t="s">
        <v>25795</v>
      </c>
      <c r="E1025" s="61" t="s">
        <v>25796</v>
      </c>
      <c r="F1025" s="61" t="s">
        <v>65</v>
      </c>
      <c r="G1025" s="184" t="s">
        <v>25797</v>
      </c>
      <c r="H1025" s="293" t="s">
        <v>25798</v>
      </c>
      <c r="I1025" s="293"/>
      <c r="J1025" s="294" t="s">
        <v>25799</v>
      </c>
      <c r="K1025" s="137" t="s">
        <v>25800</v>
      </c>
      <c r="L1025" s="136" t="s">
        <v>25801</v>
      </c>
      <c r="M1025" s="136" t="s">
        <v>25802</v>
      </c>
    </row>
    <row r="1026" spans="1:13" ht="14.25" customHeight="1">
      <c r="A1026" s="113">
        <v>29</v>
      </c>
      <c r="B1026" s="113"/>
      <c r="C1026" s="270" t="s">
        <v>25803</v>
      </c>
      <c r="D1026" s="292" t="s">
        <v>25804</v>
      </c>
      <c r="E1026" s="61" t="s">
        <v>25805</v>
      </c>
      <c r="F1026" s="61" t="s">
        <v>117</v>
      </c>
      <c r="G1026" s="184" t="s">
        <v>25806</v>
      </c>
      <c r="H1026" s="293" t="s">
        <v>25807</v>
      </c>
      <c r="I1026" s="293"/>
      <c r="J1026" s="294" t="s">
        <v>25808</v>
      </c>
      <c r="K1026" s="137" t="s">
        <v>25809</v>
      </c>
      <c r="L1026" s="136" t="s">
        <v>25810</v>
      </c>
      <c r="M1026" s="136" t="s">
        <v>25811</v>
      </c>
    </row>
    <row r="1027" spans="1:13" ht="14.25" customHeight="1">
      <c r="A1027" s="113">
        <v>30</v>
      </c>
      <c r="B1027" s="113"/>
      <c r="C1027" s="270" t="s">
        <v>25812</v>
      </c>
      <c r="D1027" s="292" t="s">
        <v>25813</v>
      </c>
      <c r="E1027" s="61" t="s">
        <v>25814</v>
      </c>
      <c r="F1027" s="61" t="s">
        <v>65</v>
      </c>
      <c r="G1027" s="184" t="s">
        <v>25815</v>
      </c>
      <c r="H1027" s="293" t="s">
        <v>25816</v>
      </c>
      <c r="I1027" s="293"/>
      <c r="J1027" s="294" t="s">
        <v>25817</v>
      </c>
      <c r="K1027" s="137" t="s">
        <v>25818</v>
      </c>
      <c r="L1027" s="136" t="s">
        <v>25819</v>
      </c>
      <c r="M1027" s="136" t="s">
        <v>25820</v>
      </c>
    </row>
    <row r="1028" spans="1:13" ht="14.25" customHeight="1">
      <c r="A1028" s="113">
        <v>31</v>
      </c>
      <c r="B1028" s="113"/>
      <c r="C1028" s="270" t="s">
        <v>25821</v>
      </c>
      <c r="D1028" s="292" t="s">
        <v>25822</v>
      </c>
      <c r="E1028" s="61" t="s">
        <v>25823</v>
      </c>
      <c r="F1028" s="61" t="s">
        <v>65</v>
      </c>
      <c r="G1028" s="184" t="s">
        <v>25824</v>
      </c>
      <c r="H1028" s="293" t="s">
        <v>25825</v>
      </c>
      <c r="I1028" s="293"/>
      <c r="J1028" s="294" t="s">
        <v>25826</v>
      </c>
      <c r="K1028" s="137" t="s">
        <v>25827</v>
      </c>
      <c r="L1028" s="136" t="s">
        <v>25828</v>
      </c>
      <c r="M1028" s="136" t="s">
        <v>25829</v>
      </c>
    </row>
    <row r="1029" spans="1:13" ht="14.25" customHeight="1">
      <c r="A1029" s="113">
        <v>32</v>
      </c>
      <c r="B1029" s="113"/>
      <c r="C1029" s="270" t="s">
        <v>25830</v>
      </c>
      <c r="D1029" s="292" t="s">
        <v>25831</v>
      </c>
      <c r="E1029" s="61" t="s">
        <v>25832</v>
      </c>
      <c r="F1029" s="61" t="s">
        <v>65</v>
      </c>
      <c r="G1029" s="184" t="s">
        <v>25833</v>
      </c>
      <c r="H1029" s="293" t="s">
        <v>25834</v>
      </c>
      <c r="I1029" s="293"/>
      <c r="J1029" s="294" t="s">
        <v>25835</v>
      </c>
      <c r="K1029" s="137" t="s">
        <v>25836</v>
      </c>
      <c r="L1029" s="136" t="s">
        <v>25837</v>
      </c>
      <c r="M1029" s="136" t="s">
        <v>25838</v>
      </c>
    </row>
    <row r="1030" spans="1:13" ht="14.25" customHeight="1">
      <c r="A1030" s="113">
        <v>33</v>
      </c>
      <c r="B1030" s="113"/>
      <c r="C1030" s="270" t="s">
        <v>25839</v>
      </c>
      <c r="D1030" s="292" t="s">
        <v>25840</v>
      </c>
      <c r="E1030" s="61" t="s">
        <v>25841</v>
      </c>
      <c r="F1030" s="61" t="s">
        <v>117</v>
      </c>
      <c r="G1030" s="184" t="s">
        <v>25842</v>
      </c>
      <c r="H1030" s="293" t="s">
        <v>25843</v>
      </c>
      <c r="I1030" s="293"/>
      <c r="J1030" s="294" t="s">
        <v>25844</v>
      </c>
      <c r="K1030" s="137" t="s">
        <v>25845</v>
      </c>
      <c r="L1030" s="136" t="s">
        <v>25846</v>
      </c>
      <c r="M1030" s="136" t="s">
        <v>25847</v>
      </c>
    </row>
    <row r="1031" spans="1:13" ht="14.25" customHeight="1">
      <c r="A1031" s="113">
        <v>34</v>
      </c>
      <c r="B1031" s="113"/>
      <c r="C1031" s="270" t="s">
        <v>25848</v>
      </c>
      <c r="D1031" s="292" t="s">
        <v>25849</v>
      </c>
      <c r="E1031" s="61" t="s">
        <v>25850</v>
      </c>
      <c r="F1031" s="61" t="s">
        <v>117</v>
      </c>
      <c r="G1031" s="184" t="s">
        <v>25851</v>
      </c>
      <c r="H1031" s="293" t="s">
        <v>25852</v>
      </c>
      <c r="I1031" s="293"/>
      <c r="J1031" s="294" t="s">
        <v>25853</v>
      </c>
      <c r="K1031" s="137" t="s">
        <v>25854</v>
      </c>
      <c r="L1031" s="136" t="s">
        <v>25855</v>
      </c>
      <c r="M1031" s="136" t="s">
        <v>25856</v>
      </c>
    </row>
    <row r="1032" spans="1:13" ht="14.25" customHeight="1">
      <c r="A1032" s="113">
        <v>35</v>
      </c>
      <c r="B1032" s="113"/>
      <c r="C1032" s="270" t="s">
        <v>25857</v>
      </c>
      <c r="D1032" s="292" t="s">
        <v>25858</v>
      </c>
      <c r="E1032" s="61" t="s">
        <v>25859</v>
      </c>
      <c r="F1032" s="61" t="s">
        <v>219</v>
      </c>
      <c r="G1032" s="184" t="s">
        <v>25860</v>
      </c>
      <c r="H1032" s="293" t="s">
        <v>25861</v>
      </c>
      <c r="I1032" s="293"/>
      <c r="J1032" s="293" t="s">
        <v>25862</v>
      </c>
      <c r="K1032" s="137" t="s">
        <v>25863</v>
      </c>
      <c r="L1032" s="136" t="s">
        <v>25864</v>
      </c>
      <c r="M1032" s="136" t="s">
        <v>25865</v>
      </c>
    </row>
    <row r="1033" spans="1:13" ht="14.25" customHeight="1">
      <c r="A1033" s="210">
        <v>1</v>
      </c>
      <c r="B1033" s="210"/>
      <c r="C1033" s="211" t="s">
        <v>25866</v>
      </c>
      <c r="D1033" s="238" t="s">
        <v>25867</v>
      </c>
      <c r="E1033" s="275" t="s">
        <v>25868</v>
      </c>
      <c r="F1033" s="275" t="s">
        <v>65</v>
      </c>
      <c r="G1033" s="291" t="s">
        <v>25869</v>
      </c>
      <c r="H1033" s="239" t="s">
        <v>25870</v>
      </c>
      <c r="I1033" s="239"/>
      <c r="J1033" s="263" t="s">
        <v>25871</v>
      </c>
      <c r="K1033" s="215" t="s">
        <v>25872</v>
      </c>
      <c r="L1033" s="210" t="s">
        <v>25873</v>
      </c>
      <c r="M1033" s="247" t="s">
        <v>25874</v>
      </c>
    </row>
    <row r="1034" spans="1:13" ht="14.25" customHeight="1">
      <c r="A1034" s="185">
        <v>2</v>
      </c>
      <c r="B1034" s="185"/>
      <c r="C1034" s="270" t="s">
        <v>25875</v>
      </c>
      <c r="D1034" s="292" t="s">
        <v>25876</v>
      </c>
      <c r="E1034" s="61" t="s">
        <v>25877</v>
      </c>
      <c r="F1034" s="61" t="s">
        <v>65</v>
      </c>
      <c r="G1034" s="298" t="s">
        <v>25878</v>
      </c>
      <c r="H1034" s="293" t="s">
        <v>25879</v>
      </c>
      <c r="I1034" s="293"/>
      <c r="J1034" s="118" t="s">
        <v>25880</v>
      </c>
      <c r="K1034" s="137" t="s">
        <v>25881</v>
      </c>
      <c r="L1034" s="136" t="s">
        <v>25882</v>
      </c>
      <c r="M1034" s="136" t="s">
        <v>25883</v>
      </c>
    </row>
    <row r="1035" spans="1:13" ht="14.25" customHeight="1">
      <c r="A1035" s="185">
        <v>3</v>
      </c>
      <c r="B1035" s="185"/>
      <c r="C1035" s="270" t="s">
        <v>20084</v>
      </c>
      <c r="D1035" s="292" t="s">
        <v>20085</v>
      </c>
      <c r="E1035" s="61" t="s">
        <v>20086</v>
      </c>
      <c r="F1035" s="61" t="s">
        <v>65</v>
      </c>
      <c r="G1035" s="298" t="s">
        <v>20087</v>
      </c>
      <c r="H1035" s="293" t="s">
        <v>25884</v>
      </c>
      <c r="I1035" s="293"/>
      <c r="J1035" s="118" t="s">
        <v>25885</v>
      </c>
      <c r="K1035" s="137" t="s">
        <v>25886</v>
      </c>
      <c r="L1035" s="136" t="s">
        <v>25887</v>
      </c>
      <c r="M1035" s="136" t="s">
        <v>25888</v>
      </c>
    </row>
    <row r="1036" spans="1:13" ht="14.25" customHeight="1">
      <c r="A1036" s="185">
        <v>4</v>
      </c>
      <c r="B1036" s="185"/>
      <c r="C1036" s="270" t="s">
        <v>20084</v>
      </c>
      <c r="D1036" s="292" t="s">
        <v>25889</v>
      </c>
      <c r="E1036" s="61" t="s">
        <v>25890</v>
      </c>
      <c r="F1036" s="61" t="s">
        <v>117</v>
      </c>
      <c r="G1036" s="298" t="s">
        <v>25891</v>
      </c>
      <c r="H1036" s="260" t="s">
        <v>25892</v>
      </c>
      <c r="I1036" s="260"/>
      <c r="J1036" s="118" t="s">
        <v>25893</v>
      </c>
      <c r="K1036" s="137" t="s">
        <v>25894</v>
      </c>
      <c r="L1036" s="136" t="s">
        <v>25895</v>
      </c>
      <c r="M1036" s="136" t="s">
        <v>25896</v>
      </c>
    </row>
    <row r="1037" spans="1:13" ht="14.25" customHeight="1">
      <c r="A1037" s="185">
        <v>5</v>
      </c>
      <c r="B1037" s="185"/>
      <c r="C1037" s="270" t="s">
        <v>25897</v>
      </c>
      <c r="D1037" s="292" t="s">
        <v>25898</v>
      </c>
      <c r="E1037" s="185" t="s">
        <v>25899</v>
      </c>
      <c r="F1037" s="185" t="s">
        <v>563</v>
      </c>
      <c r="G1037" s="298" t="s">
        <v>25900</v>
      </c>
      <c r="H1037" s="260" t="s">
        <v>25901</v>
      </c>
      <c r="I1037" s="260"/>
      <c r="J1037" s="137" t="s">
        <v>25902</v>
      </c>
      <c r="K1037" s="137" t="s">
        <v>25903</v>
      </c>
      <c r="L1037" s="136" t="s">
        <v>25904</v>
      </c>
      <c r="M1037" s="136" t="s">
        <v>25905</v>
      </c>
    </row>
    <row r="1038" spans="1:13" ht="14.25" customHeight="1">
      <c r="A1038" s="185">
        <v>6</v>
      </c>
      <c r="B1038" s="185"/>
      <c r="C1038" s="270" t="s">
        <v>25906</v>
      </c>
      <c r="D1038" s="292" t="s">
        <v>25907</v>
      </c>
      <c r="E1038" s="61" t="s">
        <v>25908</v>
      </c>
      <c r="F1038" s="61" t="s">
        <v>117</v>
      </c>
      <c r="G1038" s="298" t="s">
        <v>25909</v>
      </c>
      <c r="H1038" s="260" t="s">
        <v>25910</v>
      </c>
      <c r="I1038" s="260"/>
      <c r="J1038" s="118" t="s">
        <v>25911</v>
      </c>
      <c r="K1038" s="137" t="s">
        <v>25912</v>
      </c>
      <c r="L1038" s="136" t="s">
        <v>25913</v>
      </c>
      <c r="M1038" s="136" t="s">
        <v>25914</v>
      </c>
    </row>
    <row r="1039" spans="1:13" ht="14.25" customHeight="1">
      <c r="A1039" s="185">
        <v>7</v>
      </c>
      <c r="B1039" s="185"/>
      <c r="C1039" s="270" t="s">
        <v>25915</v>
      </c>
      <c r="D1039" s="292" t="s">
        <v>25916</v>
      </c>
      <c r="E1039" s="61" t="s">
        <v>1584</v>
      </c>
      <c r="F1039" s="61" t="s">
        <v>117</v>
      </c>
      <c r="G1039" s="298" t="s">
        <v>25917</v>
      </c>
      <c r="H1039" s="293" t="s">
        <v>25918</v>
      </c>
      <c r="I1039" s="293"/>
      <c r="J1039" s="118" t="s">
        <v>25919</v>
      </c>
      <c r="K1039" s="137" t="s">
        <v>25920</v>
      </c>
      <c r="L1039" s="136" t="s">
        <v>25921</v>
      </c>
      <c r="M1039" s="136" t="s">
        <v>25922</v>
      </c>
    </row>
    <row r="1040" spans="1:13" ht="15.75" customHeight="1">
      <c r="A1040" s="185">
        <v>8</v>
      </c>
      <c r="B1040" s="185"/>
      <c r="C1040" s="271" t="s">
        <v>25923</v>
      </c>
      <c r="D1040" s="259" t="s">
        <v>25924</v>
      </c>
      <c r="E1040" s="61" t="s">
        <v>25925</v>
      </c>
      <c r="F1040" s="185" t="s">
        <v>117</v>
      </c>
      <c r="G1040" s="298" t="s">
        <v>25926</v>
      </c>
      <c r="H1040" s="260" t="s">
        <v>25927</v>
      </c>
      <c r="I1040" s="260"/>
      <c r="J1040" s="259" t="s">
        <v>25928</v>
      </c>
      <c r="K1040" s="137" t="s">
        <v>25929</v>
      </c>
      <c r="L1040" s="136" t="s">
        <v>25930</v>
      </c>
      <c r="M1040" s="136" t="s">
        <v>25931</v>
      </c>
    </row>
    <row r="1041" spans="1:13" ht="15.75" customHeight="1">
      <c r="A1041" s="185">
        <v>9</v>
      </c>
      <c r="B1041" s="185"/>
      <c r="C1041" s="271" t="s">
        <v>25932</v>
      </c>
      <c r="D1041" s="259" t="s">
        <v>25933</v>
      </c>
      <c r="E1041" s="61" t="s">
        <v>25934</v>
      </c>
      <c r="F1041" s="61" t="s">
        <v>65</v>
      </c>
      <c r="G1041" s="298" t="s">
        <v>25935</v>
      </c>
      <c r="H1041" s="260" t="s">
        <v>25936</v>
      </c>
      <c r="I1041" s="260"/>
      <c r="J1041" s="118" t="s">
        <v>25937</v>
      </c>
      <c r="K1041" s="137" t="s">
        <v>25938</v>
      </c>
      <c r="L1041" s="136" t="s">
        <v>25939</v>
      </c>
      <c r="M1041" s="136" t="s">
        <v>25940</v>
      </c>
    </row>
    <row r="1042" spans="1:13" ht="15.75" customHeight="1">
      <c r="A1042" s="185">
        <v>10</v>
      </c>
      <c r="B1042" s="185"/>
      <c r="C1042" s="271" t="s">
        <v>25941</v>
      </c>
      <c r="D1042" s="259" t="s">
        <v>25942</v>
      </c>
      <c r="E1042" s="61" t="s">
        <v>25943</v>
      </c>
      <c r="F1042" s="185" t="s">
        <v>54</v>
      </c>
      <c r="G1042" s="298" t="s">
        <v>25944</v>
      </c>
      <c r="H1042" s="260" t="s">
        <v>25945</v>
      </c>
      <c r="I1042" s="260"/>
      <c r="J1042" s="118" t="s">
        <v>25946</v>
      </c>
      <c r="K1042" s="137" t="s">
        <v>25947</v>
      </c>
      <c r="L1042" s="136" t="s">
        <v>25948</v>
      </c>
      <c r="M1042" s="136" t="s">
        <v>25949</v>
      </c>
    </row>
    <row r="1043" spans="1:13" ht="15.75" customHeight="1">
      <c r="A1043" s="185">
        <v>11</v>
      </c>
      <c r="B1043" s="185"/>
      <c r="C1043" s="271" t="s">
        <v>25950</v>
      </c>
      <c r="D1043" s="259" t="s">
        <v>25951</v>
      </c>
      <c r="E1043" s="61" t="s">
        <v>25952</v>
      </c>
      <c r="F1043" s="185" t="s">
        <v>65</v>
      </c>
      <c r="G1043" s="298" t="s">
        <v>25953</v>
      </c>
      <c r="H1043" s="260" t="s">
        <v>25954</v>
      </c>
      <c r="I1043" s="260"/>
      <c r="J1043" s="118" t="s">
        <v>25955</v>
      </c>
      <c r="K1043" s="137" t="s">
        <v>25956</v>
      </c>
      <c r="L1043" s="136" t="s">
        <v>25957</v>
      </c>
      <c r="M1043" s="136" t="s">
        <v>25958</v>
      </c>
    </row>
    <row r="1044" spans="1:13" ht="14.25" customHeight="1">
      <c r="A1044" s="185">
        <v>12</v>
      </c>
      <c r="B1044" s="185"/>
      <c r="C1044" s="270" t="s">
        <v>25959</v>
      </c>
      <c r="D1044" s="292" t="s">
        <v>25960</v>
      </c>
      <c r="E1044" s="61" t="s">
        <v>25961</v>
      </c>
      <c r="F1044" s="61" t="s">
        <v>117</v>
      </c>
      <c r="G1044" s="298" t="s">
        <v>25962</v>
      </c>
      <c r="H1044" s="293" t="s">
        <v>25963</v>
      </c>
      <c r="I1044" s="293"/>
      <c r="J1044" s="118" t="s">
        <v>25964</v>
      </c>
      <c r="K1044" s="137" t="s">
        <v>25965</v>
      </c>
      <c r="L1044" s="136" t="s">
        <v>25966</v>
      </c>
      <c r="M1044" s="136" t="s">
        <v>25967</v>
      </c>
    </row>
    <row r="1045" spans="1:13" ht="14.25" customHeight="1">
      <c r="A1045" s="185">
        <v>13</v>
      </c>
      <c r="B1045" s="185"/>
      <c r="C1045" s="270" t="s">
        <v>25968</v>
      </c>
      <c r="D1045" s="292" t="s">
        <v>25969</v>
      </c>
      <c r="E1045" s="61" t="s">
        <v>25970</v>
      </c>
      <c r="F1045" s="61" t="s">
        <v>117</v>
      </c>
      <c r="G1045" s="298" t="s">
        <v>25971</v>
      </c>
      <c r="H1045" s="293" t="s">
        <v>25972</v>
      </c>
      <c r="I1045" s="293"/>
      <c r="J1045" s="293" t="s">
        <v>25973</v>
      </c>
      <c r="K1045" s="137" t="s">
        <v>25974</v>
      </c>
      <c r="L1045" s="136" t="s">
        <v>25975</v>
      </c>
      <c r="M1045" s="136" t="s">
        <v>25976</v>
      </c>
    </row>
    <row r="1046" spans="1:13" ht="14.25" customHeight="1">
      <c r="A1046" s="185">
        <v>14</v>
      </c>
      <c r="B1046" s="185"/>
      <c r="C1046" s="270" t="s">
        <v>25977</v>
      </c>
      <c r="D1046" s="292" t="s">
        <v>25978</v>
      </c>
      <c r="E1046" s="61" t="s">
        <v>25979</v>
      </c>
      <c r="F1046" s="61" t="s">
        <v>65</v>
      </c>
      <c r="G1046" s="298" t="s">
        <v>25980</v>
      </c>
      <c r="H1046" s="293" t="s">
        <v>25981</v>
      </c>
      <c r="I1046" s="293"/>
      <c r="J1046" s="118" t="s">
        <v>25982</v>
      </c>
      <c r="K1046" s="137" t="s">
        <v>25983</v>
      </c>
      <c r="L1046" s="136" t="s">
        <v>25984</v>
      </c>
      <c r="M1046" s="136" t="s">
        <v>25985</v>
      </c>
    </row>
    <row r="1047" spans="1:13" ht="14.25" customHeight="1">
      <c r="A1047" s="185">
        <v>15</v>
      </c>
      <c r="B1047" s="185"/>
      <c r="C1047" s="270" t="s">
        <v>25986</v>
      </c>
      <c r="D1047" s="292" t="s">
        <v>25987</v>
      </c>
      <c r="E1047" s="61" t="s">
        <v>25988</v>
      </c>
      <c r="F1047" s="61" t="s">
        <v>54</v>
      </c>
      <c r="G1047" s="298" t="s">
        <v>25989</v>
      </c>
      <c r="H1047" s="293" t="s">
        <v>25990</v>
      </c>
      <c r="I1047" s="293"/>
      <c r="J1047" s="118" t="s">
        <v>25991</v>
      </c>
      <c r="K1047" s="137" t="s">
        <v>25992</v>
      </c>
      <c r="L1047" s="136" t="s">
        <v>25993</v>
      </c>
      <c r="M1047" s="136" t="s">
        <v>25994</v>
      </c>
    </row>
    <row r="1048" spans="1:13" ht="14.25" customHeight="1">
      <c r="A1048" s="185">
        <v>16</v>
      </c>
      <c r="B1048" s="185"/>
      <c r="C1048" s="270" t="s">
        <v>25995</v>
      </c>
      <c r="D1048" s="292" t="s">
        <v>25996</v>
      </c>
      <c r="E1048" s="61" t="s">
        <v>25997</v>
      </c>
      <c r="F1048" s="61" t="s">
        <v>117</v>
      </c>
      <c r="G1048" s="298" t="s">
        <v>25998</v>
      </c>
      <c r="H1048" s="293" t="s">
        <v>25999</v>
      </c>
      <c r="I1048" s="293"/>
      <c r="J1048" s="118" t="s">
        <v>26000</v>
      </c>
      <c r="K1048" s="137" t="s">
        <v>26001</v>
      </c>
      <c r="L1048" s="136" t="s">
        <v>26002</v>
      </c>
      <c r="M1048" s="136" t="s">
        <v>26003</v>
      </c>
    </row>
    <row r="1049" spans="1:13" ht="14.25" customHeight="1">
      <c r="A1049" s="185">
        <v>17</v>
      </c>
      <c r="B1049" s="185"/>
      <c r="C1049" s="270" t="s">
        <v>26004</v>
      </c>
      <c r="D1049" s="292" t="s">
        <v>26005</v>
      </c>
      <c r="E1049" s="61" t="s">
        <v>26006</v>
      </c>
      <c r="F1049" s="61" t="s">
        <v>117</v>
      </c>
      <c r="G1049" s="298" t="s">
        <v>26007</v>
      </c>
      <c r="H1049" s="293" t="s">
        <v>26008</v>
      </c>
      <c r="I1049" s="293"/>
      <c r="J1049" s="118" t="s">
        <v>26009</v>
      </c>
      <c r="K1049" s="137" t="s">
        <v>26010</v>
      </c>
      <c r="L1049" s="136" t="s">
        <v>26011</v>
      </c>
      <c r="M1049" s="136" t="s">
        <v>26012</v>
      </c>
    </row>
    <row r="1050" spans="1:13" ht="14.25" customHeight="1">
      <c r="A1050" s="185">
        <v>18</v>
      </c>
      <c r="B1050" s="185"/>
      <c r="C1050" s="270" t="s">
        <v>26013</v>
      </c>
      <c r="D1050" s="292" t="s">
        <v>26014</v>
      </c>
      <c r="E1050" s="61" t="s">
        <v>26015</v>
      </c>
      <c r="F1050" s="61" t="s">
        <v>117</v>
      </c>
      <c r="G1050" s="298" t="s">
        <v>26016</v>
      </c>
      <c r="H1050" s="118" t="s">
        <v>26017</v>
      </c>
      <c r="I1050" s="118"/>
      <c r="J1050" s="118" t="s">
        <v>26018</v>
      </c>
      <c r="K1050" s="137" t="s">
        <v>26019</v>
      </c>
      <c r="L1050" s="136" t="s">
        <v>26020</v>
      </c>
      <c r="M1050" s="136" t="s">
        <v>26021</v>
      </c>
    </row>
    <row r="1051" spans="1:13" ht="14.25" customHeight="1">
      <c r="A1051" s="185">
        <v>19</v>
      </c>
      <c r="B1051" s="185"/>
      <c r="C1051" s="270" t="s">
        <v>26022</v>
      </c>
      <c r="D1051" s="292" t="s">
        <v>26023</v>
      </c>
      <c r="E1051" s="61" t="s">
        <v>26024</v>
      </c>
      <c r="F1051" s="61" t="s">
        <v>117</v>
      </c>
      <c r="G1051" s="298" t="s">
        <v>26025</v>
      </c>
      <c r="H1051" s="293" t="s">
        <v>26026</v>
      </c>
      <c r="I1051" s="293"/>
      <c r="J1051" s="118" t="s">
        <v>26027</v>
      </c>
      <c r="K1051" s="137" t="s">
        <v>26028</v>
      </c>
      <c r="L1051" s="136" t="s">
        <v>26029</v>
      </c>
      <c r="M1051" s="136" t="s">
        <v>26030</v>
      </c>
    </row>
    <row r="1052" spans="1:13" ht="15.75" customHeight="1">
      <c r="A1052" s="185">
        <v>20</v>
      </c>
      <c r="B1052" s="185"/>
      <c r="C1052" s="271" t="s">
        <v>26031</v>
      </c>
      <c r="D1052" s="259" t="s">
        <v>26032</v>
      </c>
      <c r="E1052" s="61" t="s">
        <v>26033</v>
      </c>
      <c r="F1052" s="185" t="s">
        <v>117</v>
      </c>
      <c r="G1052" s="298" t="s">
        <v>26034</v>
      </c>
      <c r="H1052" s="260" t="s">
        <v>26035</v>
      </c>
      <c r="I1052" s="260"/>
      <c r="J1052" s="118" t="s">
        <v>26036</v>
      </c>
      <c r="K1052" s="137" t="s">
        <v>26037</v>
      </c>
      <c r="L1052" s="136" t="s">
        <v>26038</v>
      </c>
      <c r="M1052" s="136" t="s">
        <v>26039</v>
      </c>
    </row>
    <row r="1053" spans="1:13" ht="14.25" customHeight="1">
      <c r="A1053" s="185">
        <v>21</v>
      </c>
      <c r="B1053" s="185"/>
      <c r="C1053" s="270" t="s">
        <v>26040</v>
      </c>
      <c r="D1053" s="292" t="s">
        <v>26041</v>
      </c>
      <c r="E1053" s="61" t="s">
        <v>26042</v>
      </c>
      <c r="F1053" s="61"/>
      <c r="G1053" s="298" t="s">
        <v>26043</v>
      </c>
      <c r="H1053" s="293" t="s">
        <v>26044</v>
      </c>
      <c r="I1053" s="293"/>
      <c r="J1053" s="118" t="s">
        <v>26045</v>
      </c>
      <c r="K1053" s="137" t="s">
        <v>26046</v>
      </c>
      <c r="L1053" s="136" t="s">
        <v>26047</v>
      </c>
      <c r="M1053" s="136" t="s">
        <v>26048</v>
      </c>
    </row>
    <row r="1054" spans="1:13" ht="14.25" customHeight="1">
      <c r="A1054" s="185">
        <v>22</v>
      </c>
      <c r="B1054" s="185"/>
      <c r="C1054" s="270" t="s">
        <v>26049</v>
      </c>
      <c r="D1054" s="292" t="s">
        <v>26050</v>
      </c>
      <c r="E1054" s="61" t="s">
        <v>26051</v>
      </c>
      <c r="F1054" s="61" t="s">
        <v>117</v>
      </c>
      <c r="G1054" s="298" t="s">
        <v>26052</v>
      </c>
      <c r="H1054" s="293" t="s">
        <v>26053</v>
      </c>
      <c r="I1054" s="293"/>
      <c r="J1054" s="118" t="s">
        <v>26054</v>
      </c>
      <c r="K1054" s="137" t="s">
        <v>26055</v>
      </c>
      <c r="L1054" s="136" t="s">
        <v>26056</v>
      </c>
      <c r="M1054" s="136" t="s">
        <v>26057</v>
      </c>
    </row>
    <row r="1055" spans="1:13" ht="14.25" customHeight="1">
      <c r="A1055" s="185">
        <v>23</v>
      </c>
      <c r="B1055" s="185"/>
      <c r="C1055" s="270" t="s">
        <v>26058</v>
      </c>
      <c r="D1055" s="292" t="s">
        <v>26059</v>
      </c>
      <c r="E1055" s="61" t="s">
        <v>26060</v>
      </c>
      <c r="F1055" s="61" t="s">
        <v>219</v>
      </c>
      <c r="G1055" s="298" t="s">
        <v>26061</v>
      </c>
      <c r="H1055" s="293" t="s">
        <v>26062</v>
      </c>
      <c r="I1055" s="293"/>
      <c r="J1055" s="118" t="s">
        <v>26063</v>
      </c>
      <c r="K1055" s="137" t="s">
        <v>26064</v>
      </c>
      <c r="L1055" s="136" t="s">
        <v>26065</v>
      </c>
      <c r="M1055" s="136" t="s">
        <v>26066</v>
      </c>
    </row>
    <row r="1056" spans="1:13" ht="14.25" customHeight="1">
      <c r="A1056" s="185">
        <v>24</v>
      </c>
      <c r="B1056" s="185"/>
      <c r="C1056" s="270" t="s">
        <v>26067</v>
      </c>
      <c r="D1056" s="292" t="s">
        <v>26068</v>
      </c>
      <c r="E1056" s="61" t="s">
        <v>26069</v>
      </c>
      <c r="F1056" s="61" t="s">
        <v>117</v>
      </c>
      <c r="G1056" s="298" t="s">
        <v>26070</v>
      </c>
      <c r="H1056" s="293" t="s">
        <v>26071</v>
      </c>
      <c r="I1056" s="293"/>
      <c r="J1056" s="118" t="s">
        <v>26072</v>
      </c>
      <c r="K1056" s="137" t="s">
        <v>26073</v>
      </c>
      <c r="L1056" s="136" t="s">
        <v>26074</v>
      </c>
      <c r="M1056" s="136" t="s">
        <v>26075</v>
      </c>
    </row>
    <row r="1057" spans="1:13" ht="14.25" customHeight="1">
      <c r="A1057" s="185">
        <v>25</v>
      </c>
      <c r="B1057" s="185"/>
      <c r="C1057" s="270" t="s">
        <v>26076</v>
      </c>
      <c r="D1057" s="292" t="s">
        <v>26077</v>
      </c>
      <c r="E1057" s="61" t="s">
        <v>26078</v>
      </c>
      <c r="F1057" s="61" t="s">
        <v>117</v>
      </c>
      <c r="G1057" s="298" t="s">
        <v>26079</v>
      </c>
      <c r="H1057" s="293" t="s">
        <v>26080</v>
      </c>
      <c r="I1057" s="293"/>
      <c r="J1057" s="293" t="s">
        <v>26081</v>
      </c>
      <c r="K1057" s="137" t="s">
        <v>26082</v>
      </c>
      <c r="L1057" s="136" t="s">
        <v>26083</v>
      </c>
      <c r="M1057" s="136" t="s">
        <v>26084</v>
      </c>
    </row>
    <row r="1058" spans="1:13" ht="14.25" customHeight="1">
      <c r="A1058" s="185">
        <v>26</v>
      </c>
      <c r="B1058" s="185"/>
      <c r="C1058" s="270" t="s">
        <v>26085</v>
      </c>
      <c r="D1058" s="292" t="s">
        <v>26086</v>
      </c>
      <c r="E1058" s="61" t="s">
        <v>26087</v>
      </c>
      <c r="F1058" s="61" t="s">
        <v>54</v>
      </c>
      <c r="G1058" s="298" t="s">
        <v>26088</v>
      </c>
      <c r="H1058" s="293" t="s">
        <v>26089</v>
      </c>
      <c r="I1058" s="293"/>
      <c r="J1058" s="118" t="s">
        <v>26090</v>
      </c>
      <c r="K1058" s="137" t="s">
        <v>26091</v>
      </c>
      <c r="L1058" s="136" t="s">
        <v>26092</v>
      </c>
      <c r="M1058" s="136" t="s">
        <v>26093</v>
      </c>
    </row>
    <row r="1059" spans="1:13" ht="14.25" customHeight="1">
      <c r="A1059" s="185">
        <v>27</v>
      </c>
      <c r="B1059" s="185"/>
      <c r="C1059" s="270" t="s">
        <v>26094</v>
      </c>
      <c r="D1059" s="292" t="s">
        <v>26095</v>
      </c>
      <c r="E1059" s="61" t="s">
        <v>26096</v>
      </c>
      <c r="F1059" s="61" t="s">
        <v>117</v>
      </c>
      <c r="G1059" s="298" t="s">
        <v>26097</v>
      </c>
      <c r="H1059" s="293" t="s">
        <v>26098</v>
      </c>
      <c r="I1059" s="293"/>
      <c r="J1059" s="118" t="s">
        <v>26099</v>
      </c>
      <c r="K1059" s="137" t="s">
        <v>26100</v>
      </c>
      <c r="L1059" s="136" t="s">
        <v>26101</v>
      </c>
      <c r="M1059" s="136" t="s">
        <v>26102</v>
      </c>
    </row>
    <row r="1060" spans="1:13" ht="14.25" customHeight="1">
      <c r="A1060" s="185">
        <v>28</v>
      </c>
      <c r="B1060" s="185"/>
      <c r="C1060" s="270" t="s">
        <v>26103</v>
      </c>
      <c r="D1060" s="292" t="s">
        <v>26104</v>
      </c>
      <c r="E1060" s="61" t="s">
        <v>26105</v>
      </c>
      <c r="F1060" s="61" t="s">
        <v>65</v>
      </c>
      <c r="G1060" s="298" t="s">
        <v>26106</v>
      </c>
      <c r="H1060" s="293" t="s">
        <v>26107</v>
      </c>
      <c r="I1060" s="293"/>
      <c r="J1060" s="118" t="s">
        <v>26108</v>
      </c>
      <c r="K1060" s="137" t="s">
        <v>26109</v>
      </c>
      <c r="L1060" s="136" t="s">
        <v>26110</v>
      </c>
      <c r="M1060" s="136" t="s">
        <v>26111</v>
      </c>
    </row>
    <row r="1061" spans="1:13" ht="14.25" customHeight="1">
      <c r="A1061" s="185">
        <v>29</v>
      </c>
      <c r="B1061" s="185"/>
      <c r="C1061" s="270" t="s">
        <v>26112</v>
      </c>
      <c r="D1061" s="292" t="s">
        <v>26113</v>
      </c>
      <c r="E1061" s="61" t="s">
        <v>26114</v>
      </c>
      <c r="F1061" s="61" t="s">
        <v>219</v>
      </c>
      <c r="G1061" s="298" t="s">
        <v>26115</v>
      </c>
      <c r="H1061" s="293" t="s">
        <v>26116</v>
      </c>
      <c r="I1061" s="293"/>
      <c r="J1061" s="118" t="s">
        <v>26117</v>
      </c>
      <c r="K1061" s="137" t="s">
        <v>26118</v>
      </c>
      <c r="L1061" s="136" t="s">
        <v>26119</v>
      </c>
      <c r="M1061" s="136" t="s">
        <v>26120</v>
      </c>
    </row>
    <row r="1062" spans="1:13" ht="14.25" customHeight="1">
      <c r="A1062" s="185">
        <v>30</v>
      </c>
      <c r="B1062" s="185"/>
      <c r="C1062" s="270" t="s">
        <v>26121</v>
      </c>
      <c r="D1062" s="292" t="s">
        <v>26122</v>
      </c>
      <c r="E1062" s="61" t="s">
        <v>26123</v>
      </c>
      <c r="F1062" s="61" t="s">
        <v>54</v>
      </c>
      <c r="G1062" s="298" t="s">
        <v>26124</v>
      </c>
      <c r="H1062" s="293" t="s">
        <v>26125</v>
      </c>
      <c r="I1062" s="293"/>
      <c r="J1062" s="118" t="s">
        <v>26126</v>
      </c>
      <c r="K1062" s="137" t="s">
        <v>26127</v>
      </c>
      <c r="L1062" s="136" t="s">
        <v>26128</v>
      </c>
      <c r="M1062" s="136" t="s">
        <v>26129</v>
      </c>
    </row>
    <row r="1063" spans="1:13" ht="14.25" customHeight="1">
      <c r="A1063" s="185">
        <v>31</v>
      </c>
      <c r="B1063" s="185"/>
      <c r="C1063" s="270" t="s">
        <v>26130</v>
      </c>
      <c r="D1063" s="292" t="s">
        <v>26131</v>
      </c>
      <c r="E1063" s="61" t="s">
        <v>26132</v>
      </c>
      <c r="F1063" s="61" t="s">
        <v>65</v>
      </c>
      <c r="G1063" s="298" t="s">
        <v>26133</v>
      </c>
      <c r="H1063" s="293" t="s">
        <v>26134</v>
      </c>
      <c r="I1063" s="293"/>
      <c r="J1063" s="293" t="s">
        <v>26135</v>
      </c>
      <c r="K1063" s="137" t="s">
        <v>26136</v>
      </c>
      <c r="L1063" s="136" t="s">
        <v>26137</v>
      </c>
      <c r="M1063" s="136" t="s">
        <v>26138</v>
      </c>
    </row>
    <row r="1064" spans="1:13" ht="14.25" customHeight="1">
      <c r="A1064" s="185">
        <v>32</v>
      </c>
      <c r="B1064" s="185"/>
      <c r="C1064" s="270" t="s">
        <v>26139</v>
      </c>
      <c r="D1064" s="292" t="s">
        <v>26140</v>
      </c>
      <c r="E1064" s="61" t="s">
        <v>26141</v>
      </c>
      <c r="F1064" s="61" t="s">
        <v>65</v>
      </c>
      <c r="G1064" s="298" t="s">
        <v>26142</v>
      </c>
      <c r="H1064" s="293" t="s">
        <v>26143</v>
      </c>
      <c r="I1064" s="293"/>
      <c r="J1064" s="118" t="s">
        <v>26144</v>
      </c>
      <c r="K1064" s="137" t="s">
        <v>26145</v>
      </c>
      <c r="L1064" s="136" t="s">
        <v>26146</v>
      </c>
      <c r="M1064" s="136" t="s">
        <v>26147</v>
      </c>
    </row>
    <row r="1065" spans="1:13" ht="14.25" customHeight="1">
      <c r="A1065" s="185">
        <v>33</v>
      </c>
      <c r="B1065" s="185"/>
      <c r="C1065" s="270" t="s">
        <v>26148</v>
      </c>
      <c r="D1065" s="292" t="s">
        <v>26149</v>
      </c>
      <c r="E1065" s="61" t="s">
        <v>26150</v>
      </c>
      <c r="F1065" s="61" t="s">
        <v>65</v>
      </c>
      <c r="G1065" s="298" t="s">
        <v>26151</v>
      </c>
      <c r="H1065" s="293" t="s">
        <v>26152</v>
      </c>
      <c r="I1065" s="293"/>
      <c r="J1065" s="118" t="s">
        <v>26153</v>
      </c>
      <c r="K1065" s="137" t="s">
        <v>26154</v>
      </c>
      <c r="L1065" s="136" t="s">
        <v>26155</v>
      </c>
      <c r="M1065" s="136" t="s">
        <v>26156</v>
      </c>
    </row>
    <row r="1066" spans="1:13" ht="14.25" customHeight="1">
      <c r="A1066" s="185">
        <v>34</v>
      </c>
      <c r="B1066" s="185"/>
      <c r="C1066" s="270" t="s">
        <v>26157</v>
      </c>
      <c r="D1066" s="292" t="s">
        <v>26158</v>
      </c>
      <c r="E1066" s="61" t="s">
        <v>26159</v>
      </c>
      <c r="F1066" s="61" t="s">
        <v>65</v>
      </c>
      <c r="G1066" s="298" t="s">
        <v>26160</v>
      </c>
      <c r="H1066" s="293" t="s">
        <v>26161</v>
      </c>
      <c r="I1066" s="293"/>
      <c r="J1066" s="118" t="s">
        <v>26162</v>
      </c>
      <c r="K1066" s="137" t="s">
        <v>26163</v>
      </c>
      <c r="L1066" s="136" t="s">
        <v>26164</v>
      </c>
      <c r="M1066" s="136" t="s">
        <v>26165</v>
      </c>
    </row>
    <row r="1067" spans="1:13" ht="15.75" customHeight="1">
      <c r="A1067" s="185">
        <v>35</v>
      </c>
      <c r="B1067" s="185"/>
      <c r="C1067" s="271" t="s">
        <v>26166</v>
      </c>
      <c r="D1067" s="259" t="s">
        <v>26167</v>
      </c>
      <c r="E1067" s="61" t="s">
        <v>26168</v>
      </c>
      <c r="F1067" s="185" t="s">
        <v>65</v>
      </c>
      <c r="G1067" s="298" t="s">
        <v>26169</v>
      </c>
      <c r="H1067" s="260" t="s">
        <v>26170</v>
      </c>
      <c r="I1067" s="260"/>
      <c r="J1067" s="118" t="s">
        <v>26171</v>
      </c>
      <c r="K1067" s="137" t="s">
        <v>26172</v>
      </c>
      <c r="L1067" s="136" t="s">
        <v>26173</v>
      </c>
      <c r="M1067" s="136" t="s">
        <v>26174</v>
      </c>
    </row>
    <row r="1068" spans="1:13" ht="15.75" customHeight="1">
      <c r="A1068" s="185">
        <v>36</v>
      </c>
      <c r="B1068" s="185"/>
      <c r="C1068" s="271" t="s">
        <v>26175</v>
      </c>
      <c r="D1068" s="259" t="s">
        <v>26176</v>
      </c>
      <c r="E1068" s="61" t="s">
        <v>26177</v>
      </c>
      <c r="F1068" s="185" t="s">
        <v>219</v>
      </c>
      <c r="G1068" s="298" t="s">
        <v>26178</v>
      </c>
      <c r="H1068" s="260" t="s">
        <v>26179</v>
      </c>
      <c r="I1068" s="260"/>
      <c r="J1068" s="118" t="s">
        <v>26180</v>
      </c>
      <c r="K1068" s="137" t="s">
        <v>26181</v>
      </c>
      <c r="L1068" s="47" t="s">
        <v>26182</v>
      </c>
      <c r="M1068" s="136" t="s">
        <v>26183</v>
      </c>
    </row>
    <row r="1069" spans="1:13" ht="14.25" customHeight="1">
      <c r="A1069" s="210">
        <v>1</v>
      </c>
      <c r="B1069" s="210"/>
      <c r="C1069" s="211" t="s">
        <v>26184</v>
      </c>
      <c r="D1069" s="238" t="s">
        <v>26185</v>
      </c>
      <c r="E1069" s="283" t="s">
        <v>8457</v>
      </c>
      <c r="F1069" s="283" t="s">
        <v>563</v>
      </c>
      <c r="G1069" s="213" t="s">
        <v>26186</v>
      </c>
      <c r="H1069" s="215" t="s">
        <v>26187</v>
      </c>
      <c r="I1069" s="215"/>
      <c r="J1069" s="215" t="s">
        <v>26188</v>
      </c>
      <c r="K1069" s="215" t="s">
        <v>26189</v>
      </c>
      <c r="L1069" s="210" t="s">
        <v>26190</v>
      </c>
      <c r="M1069" s="247" t="s">
        <v>26191</v>
      </c>
    </row>
    <row r="1070" spans="1:13" ht="15.75" customHeight="1">
      <c r="A1070" s="185">
        <v>2</v>
      </c>
      <c r="B1070" s="185"/>
      <c r="C1070" s="271" t="s">
        <v>26192</v>
      </c>
      <c r="D1070" s="259" t="s">
        <v>26193</v>
      </c>
      <c r="E1070" s="121" t="s">
        <v>26194</v>
      </c>
      <c r="F1070" s="121" t="s">
        <v>65</v>
      </c>
      <c r="G1070" s="299" t="s">
        <v>26195</v>
      </c>
      <c r="H1070" s="118" t="s">
        <v>26196</v>
      </c>
      <c r="I1070" s="118"/>
      <c r="J1070" s="118" t="s">
        <v>26197</v>
      </c>
      <c r="K1070" s="137" t="s">
        <v>26198</v>
      </c>
      <c r="L1070" s="136" t="s">
        <v>26199</v>
      </c>
      <c r="M1070" s="136" t="s">
        <v>26200</v>
      </c>
    </row>
    <row r="1071" spans="1:13" ht="15.75" customHeight="1">
      <c r="A1071" s="185">
        <v>3</v>
      </c>
      <c r="B1071" s="185"/>
      <c r="C1071" s="271" t="s">
        <v>26201</v>
      </c>
      <c r="D1071" s="259" t="s">
        <v>26202</v>
      </c>
      <c r="E1071" s="121" t="s">
        <v>26203</v>
      </c>
      <c r="F1071" s="121" t="s">
        <v>117</v>
      </c>
      <c r="G1071" s="299" t="s">
        <v>26204</v>
      </c>
      <c r="H1071" s="118" t="s">
        <v>26205</v>
      </c>
      <c r="I1071" s="118"/>
      <c r="J1071" s="118" t="s">
        <v>26206</v>
      </c>
      <c r="K1071" s="137" t="s">
        <v>26207</v>
      </c>
      <c r="L1071" s="136" t="s">
        <v>26208</v>
      </c>
      <c r="M1071" s="136" t="s">
        <v>26209</v>
      </c>
    </row>
    <row r="1072" spans="1:13" ht="15.75" customHeight="1">
      <c r="A1072" s="185">
        <v>4</v>
      </c>
      <c r="B1072" s="185"/>
      <c r="C1072" s="271" t="s">
        <v>26210</v>
      </c>
      <c r="D1072" s="259" t="s">
        <v>26211</v>
      </c>
      <c r="E1072" s="121" t="s">
        <v>26212</v>
      </c>
      <c r="F1072" s="121" t="s">
        <v>65</v>
      </c>
      <c r="G1072" s="299" t="s">
        <v>26213</v>
      </c>
      <c r="H1072" s="118" t="s">
        <v>26214</v>
      </c>
      <c r="I1072" s="118"/>
      <c r="J1072" s="118" t="s">
        <v>26215</v>
      </c>
      <c r="K1072" s="137" t="s">
        <v>26216</v>
      </c>
      <c r="L1072" s="136" t="s">
        <v>26217</v>
      </c>
      <c r="M1072" s="136" t="s">
        <v>26218</v>
      </c>
    </row>
    <row r="1073" spans="1:13" ht="15.75" customHeight="1">
      <c r="A1073" s="185">
        <v>5</v>
      </c>
      <c r="B1073" s="185"/>
      <c r="C1073" s="271" t="s">
        <v>26219</v>
      </c>
      <c r="D1073" s="259" t="s">
        <v>26220</v>
      </c>
      <c r="E1073" s="121" t="s">
        <v>26221</v>
      </c>
      <c r="F1073" s="121" t="s">
        <v>65</v>
      </c>
      <c r="G1073" s="299" t="s">
        <v>26222</v>
      </c>
      <c r="H1073" s="118" t="s">
        <v>26223</v>
      </c>
      <c r="I1073" s="118"/>
      <c r="J1073" s="118" t="s">
        <v>26224</v>
      </c>
      <c r="K1073" s="137" t="s">
        <v>26225</v>
      </c>
      <c r="L1073" s="136" t="s">
        <v>26226</v>
      </c>
      <c r="M1073" s="136" t="s">
        <v>26227</v>
      </c>
    </row>
    <row r="1074" spans="1:13" ht="15.75" customHeight="1">
      <c r="A1074" s="185">
        <v>6</v>
      </c>
      <c r="B1074" s="185"/>
      <c r="C1074" s="271" t="s">
        <v>26228</v>
      </c>
      <c r="D1074" s="259" t="s">
        <v>26229</v>
      </c>
      <c r="E1074" s="121" t="s">
        <v>26230</v>
      </c>
      <c r="F1074" s="121" t="s">
        <v>65</v>
      </c>
      <c r="G1074" s="299" t="s">
        <v>26231</v>
      </c>
      <c r="H1074" s="118" t="s">
        <v>26232</v>
      </c>
      <c r="I1074" s="118"/>
      <c r="J1074" s="118" t="s">
        <v>26233</v>
      </c>
      <c r="K1074" s="137" t="s">
        <v>26234</v>
      </c>
      <c r="L1074" s="136" t="s">
        <v>26235</v>
      </c>
      <c r="M1074" s="136" t="s">
        <v>26236</v>
      </c>
    </row>
    <row r="1075" spans="1:13" ht="15.75" customHeight="1">
      <c r="A1075" s="185">
        <v>7</v>
      </c>
      <c r="B1075" s="185"/>
      <c r="C1075" s="271" t="s">
        <v>26237</v>
      </c>
      <c r="D1075" s="259" t="s">
        <v>26238</v>
      </c>
      <c r="E1075" s="121" t="s">
        <v>26239</v>
      </c>
      <c r="F1075" s="121" t="s">
        <v>117</v>
      </c>
      <c r="G1075" s="299" t="s">
        <v>26240</v>
      </c>
      <c r="H1075" s="118" t="s">
        <v>26241</v>
      </c>
      <c r="I1075" s="118"/>
      <c r="J1075" s="118" t="s">
        <v>26242</v>
      </c>
      <c r="K1075" s="137" t="s">
        <v>26243</v>
      </c>
      <c r="L1075" s="136" t="s">
        <v>26244</v>
      </c>
      <c r="M1075" s="136" t="s">
        <v>26245</v>
      </c>
    </row>
    <row r="1076" spans="1:13" ht="15.75" customHeight="1">
      <c r="A1076" s="185">
        <v>8</v>
      </c>
      <c r="B1076" s="185"/>
      <c r="C1076" s="271" t="s">
        <v>26246</v>
      </c>
      <c r="D1076" s="259" t="s">
        <v>26247</v>
      </c>
      <c r="E1076" s="121" t="s">
        <v>26248</v>
      </c>
      <c r="F1076" s="121" t="s">
        <v>117</v>
      </c>
      <c r="G1076" s="299" t="s">
        <v>26249</v>
      </c>
      <c r="H1076" s="118" t="s">
        <v>26250</v>
      </c>
      <c r="I1076" s="118"/>
      <c r="J1076" s="118" t="s">
        <v>26251</v>
      </c>
      <c r="K1076" s="137" t="s">
        <v>26252</v>
      </c>
      <c r="L1076" s="136" t="s">
        <v>26253</v>
      </c>
      <c r="M1076" s="136" t="s">
        <v>26254</v>
      </c>
    </row>
    <row r="1077" spans="1:13" ht="15.75" customHeight="1">
      <c r="A1077" s="185">
        <v>9</v>
      </c>
      <c r="B1077" s="185"/>
      <c r="C1077" s="271" t="s">
        <v>26255</v>
      </c>
      <c r="D1077" s="259" t="s">
        <v>26256</v>
      </c>
      <c r="E1077" s="121" t="s">
        <v>26257</v>
      </c>
      <c r="F1077" s="121" t="s">
        <v>117</v>
      </c>
      <c r="G1077" s="299" t="s">
        <v>26258</v>
      </c>
      <c r="H1077" s="118" t="s">
        <v>26259</v>
      </c>
      <c r="I1077" s="118"/>
      <c r="J1077" s="118" t="s">
        <v>26260</v>
      </c>
      <c r="K1077" s="137" t="s">
        <v>26261</v>
      </c>
      <c r="L1077" s="136" t="s">
        <v>26262</v>
      </c>
      <c r="M1077" s="136" t="s">
        <v>26263</v>
      </c>
    </row>
    <row r="1078" spans="1:13" ht="15.75" customHeight="1">
      <c r="A1078" s="185">
        <v>10</v>
      </c>
      <c r="B1078" s="185"/>
      <c r="C1078" s="271" t="s">
        <v>26264</v>
      </c>
      <c r="D1078" s="259" t="s">
        <v>26265</v>
      </c>
      <c r="E1078" s="121" t="s">
        <v>26266</v>
      </c>
      <c r="F1078" s="121" t="s">
        <v>65</v>
      </c>
      <c r="G1078" s="299" t="s">
        <v>26267</v>
      </c>
      <c r="H1078" s="118" t="s">
        <v>26268</v>
      </c>
      <c r="I1078" s="118"/>
      <c r="J1078" s="118" t="s">
        <v>26269</v>
      </c>
      <c r="K1078" s="137" t="s">
        <v>26270</v>
      </c>
      <c r="L1078" s="136" t="s">
        <v>26271</v>
      </c>
      <c r="M1078" s="136" t="s">
        <v>26272</v>
      </c>
    </row>
    <row r="1079" spans="1:13" ht="15.75" customHeight="1">
      <c r="A1079" s="185">
        <v>11</v>
      </c>
      <c r="B1079" s="185"/>
      <c r="C1079" s="271" t="s">
        <v>26273</v>
      </c>
      <c r="D1079" s="259" t="s">
        <v>26274</v>
      </c>
      <c r="E1079" s="121" t="s">
        <v>26275</v>
      </c>
      <c r="F1079" s="121" t="s">
        <v>65</v>
      </c>
      <c r="G1079" s="299" t="s">
        <v>26276</v>
      </c>
      <c r="H1079" s="118" t="s">
        <v>26277</v>
      </c>
      <c r="I1079" s="118"/>
      <c r="J1079" s="118" t="s">
        <v>26278</v>
      </c>
      <c r="K1079" s="137" t="s">
        <v>26279</v>
      </c>
      <c r="L1079" s="136" t="s">
        <v>26280</v>
      </c>
      <c r="M1079" s="136" t="s">
        <v>26281</v>
      </c>
    </row>
    <row r="1080" spans="1:13" ht="15.75" customHeight="1">
      <c r="A1080" s="185">
        <v>12</v>
      </c>
      <c r="B1080" s="185"/>
      <c r="C1080" s="271" t="s">
        <v>26282</v>
      </c>
      <c r="D1080" s="259" t="s">
        <v>26283</v>
      </c>
      <c r="E1080" s="121" t="s">
        <v>26284</v>
      </c>
      <c r="F1080" s="121" t="s">
        <v>117</v>
      </c>
      <c r="G1080" s="299" t="s">
        <v>26285</v>
      </c>
      <c r="H1080" s="118" t="s">
        <v>26286</v>
      </c>
      <c r="I1080" s="118"/>
      <c r="J1080" s="118" t="s">
        <v>26287</v>
      </c>
      <c r="K1080" s="137" t="s">
        <v>26288</v>
      </c>
      <c r="L1080" s="136" t="s">
        <v>26289</v>
      </c>
      <c r="M1080" s="136" t="s">
        <v>26290</v>
      </c>
    </row>
    <row r="1081" spans="1:13" ht="15.75" customHeight="1">
      <c r="A1081" s="185">
        <v>13</v>
      </c>
      <c r="B1081" s="185"/>
      <c r="C1081" s="271" t="s">
        <v>26291</v>
      </c>
      <c r="D1081" s="259" t="s">
        <v>26292</v>
      </c>
      <c r="E1081" s="121" t="s">
        <v>26293</v>
      </c>
      <c r="F1081" s="121" t="s">
        <v>117</v>
      </c>
      <c r="G1081" s="299" t="s">
        <v>26294</v>
      </c>
      <c r="H1081" s="118" t="s">
        <v>26295</v>
      </c>
      <c r="I1081" s="118"/>
      <c r="J1081" s="118" t="s">
        <v>26296</v>
      </c>
      <c r="K1081" s="137" t="s">
        <v>26297</v>
      </c>
      <c r="L1081" s="136" t="s">
        <v>26298</v>
      </c>
      <c r="M1081" s="136" t="s">
        <v>26299</v>
      </c>
    </row>
    <row r="1082" spans="1:13" ht="15.75" customHeight="1">
      <c r="A1082" s="185">
        <v>14</v>
      </c>
      <c r="B1082" s="185"/>
      <c r="C1082" s="271" t="s">
        <v>14468</v>
      </c>
      <c r="D1082" s="259" t="s">
        <v>26300</v>
      </c>
      <c r="E1082" s="121" t="s">
        <v>26301</v>
      </c>
      <c r="F1082" s="121" t="s">
        <v>117</v>
      </c>
      <c r="G1082" s="299" t="s">
        <v>26302</v>
      </c>
      <c r="H1082" s="118" t="s">
        <v>26303</v>
      </c>
      <c r="I1082" s="118"/>
      <c r="J1082" s="118" t="s">
        <v>26304</v>
      </c>
      <c r="K1082" s="137" t="s">
        <v>26305</v>
      </c>
      <c r="L1082" s="136" t="s">
        <v>26306</v>
      </c>
      <c r="M1082" s="136" t="s">
        <v>26307</v>
      </c>
    </row>
    <row r="1083" spans="1:13" ht="15.75" customHeight="1">
      <c r="A1083" s="185">
        <v>15</v>
      </c>
      <c r="B1083" s="185"/>
      <c r="C1083" s="271" t="s">
        <v>26308</v>
      </c>
      <c r="D1083" s="259" t="s">
        <v>26309</v>
      </c>
      <c r="E1083" s="121" t="s">
        <v>26310</v>
      </c>
      <c r="F1083" s="121" t="s">
        <v>54</v>
      </c>
      <c r="G1083" s="299" t="s">
        <v>26311</v>
      </c>
      <c r="H1083" s="118" t="s">
        <v>26312</v>
      </c>
      <c r="I1083" s="118"/>
      <c r="J1083" s="118" t="s">
        <v>26313</v>
      </c>
      <c r="K1083" s="137" t="s">
        <v>26314</v>
      </c>
      <c r="L1083" s="136" t="s">
        <v>26315</v>
      </c>
      <c r="M1083" s="136" t="s">
        <v>26316</v>
      </c>
    </row>
    <row r="1084" spans="1:13" ht="15.75" customHeight="1">
      <c r="A1084" s="185">
        <v>16</v>
      </c>
      <c r="B1084" s="185"/>
      <c r="C1084" s="271" t="s">
        <v>26317</v>
      </c>
      <c r="D1084" s="259" t="s">
        <v>26318</v>
      </c>
      <c r="E1084" s="121" t="s">
        <v>26319</v>
      </c>
      <c r="F1084" s="121" t="s">
        <v>65</v>
      </c>
      <c r="G1084" s="299" t="s">
        <v>26320</v>
      </c>
      <c r="H1084" s="118" t="s">
        <v>26321</v>
      </c>
      <c r="I1084" s="118"/>
      <c r="J1084" s="118" t="s">
        <v>26322</v>
      </c>
      <c r="K1084" s="137" t="s">
        <v>26323</v>
      </c>
      <c r="L1084" s="136" t="s">
        <v>26324</v>
      </c>
      <c r="M1084" s="136" t="s">
        <v>26325</v>
      </c>
    </row>
    <row r="1085" spans="1:13" ht="15.75" customHeight="1">
      <c r="A1085" s="185">
        <v>17</v>
      </c>
      <c r="B1085" s="185"/>
      <c r="C1085" s="271" t="s">
        <v>26326</v>
      </c>
      <c r="D1085" s="259" t="s">
        <v>26327</v>
      </c>
      <c r="E1085" s="121" t="s">
        <v>26328</v>
      </c>
      <c r="F1085" s="121" t="s">
        <v>219</v>
      </c>
      <c r="G1085" s="299" t="s">
        <v>26329</v>
      </c>
      <c r="H1085" s="118" t="s">
        <v>26330</v>
      </c>
      <c r="I1085" s="118"/>
      <c r="J1085" s="118" t="s">
        <v>26331</v>
      </c>
      <c r="K1085" s="137" t="s">
        <v>26332</v>
      </c>
      <c r="L1085" s="136" t="s">
        <v>26333</v>
      </c>
      <c r="M1085" s="136" t="s">
        <v>26334</v>
      </c>
    </row>
    <row r="1086" spans="1:13" ht="15.75" customHeight="1">
      <c r="A1086" s="185">
        <v>18</v>
      </c>
      <c r="B1086" s="185"/>
      <c r="C1086" s="271" t="s">
        <v>26335</v>
      </c>
      <c r="D1086" s="259" t="s">
        <v>26336</v>
      </c>
      <c r="E1086" s="121" t="s">
        <v>26337</v>
      </c>
      <c r="F1086" s="121" t="s">
        <v>117</v>
      </c>
      <c r="G1086" s="299" t="s">
        <v>26338</v>
      </c>
      <c r="H1086" s="118" t="s">
        <v>26339</v>
      </c>
      <c r="I1086" s="118"/>
      <c r="J1086" s="118" t="s">
        <v>26340</v>
      </c>
      <c r="K1086" s="137" t="s">
        <v>26341</v>
      </c>
      <c r="L1086" s="136" t="s">
        <v>26342</v>
      </c>
      <c r="M1086" s="136" t="s">
        <v>26343</v>
      </c>
    </row>
    <row r="1087" spans="1:13" ht="15.75" customHeight="1">
      <c r="A1087" s="185">
        <v>19</v>
      </c>
      <c r="B1087" s="185"/>
      <c r="C1087" s="271" t="s">
        <v>26344</v>
      </c>
      <c r="D1087" s="259" t="s">
        <v>26345</v>
      </c>
      <c r="E1087" s="121" t="s">
        <v>26346</v>
      </c>
      <c r="F1087" s="121" t="s">
        <v>117</v>
      </c>
      <c r="G1087" s="299" t="s">
        <v>26347</v>
      </c>
      <c r="H1087" s="118" t="s">
        <v>26348</v>
      </c>
      <c r="I1087" s="118"/>
      <c r="J1087" s="118" t="s">
        <v>26349</v>
      </c>
      <c r="K1087" s="137" t="s">
        <v>26350</v>
      </c>
      <c r="L1087" s="136" t="s">
        <v>26351</v>
      </c>
      <c r="M1087" s="136" t="s">
        <v>26352</v>
      </c>
    </row>
    <row r="1088" spans="1:13" ht="15.75" customHeight="1">
      <c r="A1088" s="185">
        <v>20</v>
      </c>
      <c r="B1088" s="185"/>
      <c r="C1088" s="271" t="s">
        <v>26353</v>
      </c>
      <c r="D1088" s="259" t="s">
        <v>26354</v>
      </c>
      <c r="E1088" s="121" t="s">
        <v>26355</v>
      </c>
      <c r="F1088" s="121" t="s">
        <v>54</v>
      </c>
      <c r="G1088" s="299" t="s">
        <v>26356</v>
      </c>
      <c r="H1088" s="118" t="s">
        <v>26357</v>
      </c>
      <c r="I1088" s="118"/>
      <c r="J1088" s="118" t="s">
        <v>26358</v>
      </c>
      <c r="K1088" s="137" t="s">
        <v>26359</v>
      </c>
      <c r="L1088" s="136" t="s">
        <v>26360</v>
      </c>
      <c r="M1088" s="136" t="s">
        <v>26361</v>
      </c>
    </row>
    <row r="1089" spans="1:13" ht="15.75" customHeight="1">
      <c r="A1089" s="185">
        <v>21</v>
      </c>
      <c r="B1089" s="185"/>
      <c r="C1089" s="271" t="s">
        <v>26362</v>
      </c>
      <c r="D1089" s="259" t="s">
        <v>26363</v>
      </c>
      <c r="E1089" s="121" t="s">
        <v>26364</v>
      </c>
      <c r="F1089" s="121" t="s">
        <v>54</v>
      </c>
      <c r="G1089" s="299" t="s">
        <v>26365</v>
      </c>
      <c r="H1089" s="260" t="s">
        <v>26366</v>
      </c>
      <c r="I1089" s="260"/>
      <c r="J1089" s="118" t="s">
        <v>26367</v>
      </c>
      <c r="K1089" s="137" t="s">
        <v>26368</v>
      </c>
      <c r="L1089" s="136" t="s">
        <v>26369</v>
      </c>
      <c r="M1089" s="136" t="s">
        <v>26370</v>
      </c>
    </row>
    <row r="1090" spans="1:13" ht="15.75" customHeight="1">
      <c r="A1090" s="185">
        <v>22</v>
      </c>
      <c r="B1090" s="185"/>
      <c r="C1090" s="271" t="s">
        <v>26371</v>
      </c>
      <c r="D1090" s="259" t="s">
        <v>26372</v>
      </c>
      <c r="E1090" s="121" t="s">
        <v>26373</v>
      </c>
      <c r="F1090" s="121" t="s">
        <v>117</v>
      </c>
      <c r="G1090" s="299" t="s">
        <v>26374</v>
      </c>
      <c r="H1090" s="118" t="s">
        <v>26375</v>
      </c>
      <c r="I1090" s="118"/>
      <c r="J1090" s="118" t="s">
        <v>26376</v>
      </c>
      <c r="K1090" s="137" t="s">
        <v>26377</v>
      </c>
      <c r="L1090" s="136" t="s">
        <v>26378</v>
      </c>
      <c r="M1090" s="136" t="s">
        <v>26379</v>
      </c>
    </row>
    <row r="1091" spans="1:13" ht="15.75" customHeight="1">
      <c r="A1091" s="185">
        <v>23</v>
      </c>
      <c r="B1091" s="185"/>
      <c r="C1091" s="271" t="s">
        <v>26380</v>
      </c>
      <c r="D1091" s="259" t="s">
        <v>26381</v>
      </c>
      <c r="E1091" s="121" t="s">
        <v>26382</v>
      </c>
      <c r="F1091" s="121" t="s">
        <v>65</v>
      </c>
      <c r="G1091" s="299" t="s">
        <v>26383</v>
      </c>
      <c r="H1091" s="118" t="s">
        <v>26384</v>
      </c>
      <c r="I1091" s="118"/>
      <c r="J1091" s="118" t="s">
        <v>26385</v>
      </c>
      <c r="K1091" s="137" t="s">
        <v>26386</v>
      </c>
      <c r="L1091" s="136" t="s">
        <v>26387</v>
      </c>
      <c r="M1091" s="136" t="s">
        <v>26388</v>
      </c>
    </row>
    <row r="1092" spans="1:13" ht="15.75" customHeight="1">
      <c r="A1092" s="185">
        <v>24</v>
      </c>
      <c r="B1092" s="185"/>
      <c r="C1092" s="271" t="s">
        <v>26389</v>
      </c>
      <c r="D1092" s="259" t="s">
        <v>26390</v>
      </c>
      <c r="E1092" s="123" t="s">
        <v>26391</v>
      </c>
      <c r="F1092" s="123" t="s">
        <v>54</v>
      </c>
      <c r="G1092" s="299" t="s">
        <v>26392</v>
      </c>
      <c r="H1092" s="137" t="s">
        <v>26393</v>
      </c>
      <c r="I1092" s="137"/>
      <c r="J1092" s="137" t="s">
        <v>26394</v>
      </c>
      <c r="K1092" s="137" t="s">
        <v>26395</v>
      </c>
      <c r="L1092" s="136" t="s">
        <v>26396</v>
      </c>
      <c r="M1092" s="136" t="s">
        <v>26397</v>
      </c>
    </row>
    <row r="1093" spans="1:13" ht="15.75" customHeight="1">
      <c r="A1093" s="185">
        <v>25</v>
      </c>
      <c r="B1093" s="185"/>
      <c r="C1093" s="271" t="s">
        <v>26398</v>
      </c>
      <c r="D1093" s="259" t="s">
        <v>26399</v>
      </c>
      <c r="E1093" s="121" t="s">
        <v>26400</v>
      </c>
      <c r="F1093" s="121" t="s">
        <v>65</v>
      </c>
      <c r="G1093" s="299" t="s">
        <v>26401</v>
      </c>
      <c r="H1093" s="118" t="s">
        <v>26402</v>
      </c>
      <c r="I1093" s="118"/>
      <c r="J1093" s="118" t="s">
        <v>26403</v>
      </c>
      <c r="K1093" s="137" t="s">
        <v>26404</v>
      </c>
      <c r="L1093" s="136" t="s">
        <v>26405</v>
      </c>
      <c r="M1093" s="136" t="s">
        <v>26406</v>
      </c>
    </row>
    <row r="1094" spans="1:13" ht="15.75" customHeight="1">
      <c r="A1094" s="185">
        <v>26</v>
      </c>
      <c r="B1094" s="185"/>
      <c r="C1094" s="271" t="s">
        <v>26407</v>
      </c>
      <c r="D1094" s="259" t="s">
        <v>26408</v>
      </c>
      <c r="E1094" s="121" t="s">
        <v>26409</v>
      </c>
      <c r="F1094" s="121" t="s">
        <v>65</v>
      </c>
      <c r="G1094" s="299" t="s">
        <v>26410</v>
      </c>
      <c r="H1094" s="118" t="s">
        <v>26411</v>
      </c>
      <c r="I1094" s="118"/>
      <c r="J1094" s="137" t="s">
        <v>26412</v>
      </c>
      <c r="K1094" s="137" t="s">
        <v>26413</v>
      </c>
      <c r="L1094" s="136" t="s">
        <v>26414</v>
      </c>
      <c r="M1094" s="136" t="s">
        <v>26415</v>
      </c>
    </row>
    <row r="1095" spans="1:13" ht="15.75" customHeight="1">
      <c r="A1095" s="185">
        <v>27</v>
      </c>
      <c r="B1095" s="185"/>
      <c r="C1095" s="271" t="s">
        <v>26416</v>
      </c>
      <c r="D1095" s="259" t="s">
        <v>26417</v>
      </c>
      <c r="E1095" s="121" t="s">
        <v>26418</v>
      </c>
      <c r="F1095" s="121" t="s">
        <v>117</v>
      </c>
      <c r="G1095" s="299" t="s">
        <v>26419</v>
      </c>
      <c r="H1095" s="118" t="s">
        <v>26420</v>
      </c>
      <c r="I1095" s="118"/>
      <c r="J1095" s="118" t="s">
        <v>26421</v>
      </c>
      <c r="K1095" s="137" t="s">
        <v>26422</v>
      </c>
      <c r="L1095" s="136" t="s">
        <v>26423</v>
      </c>
      <c r="M1095" s="136" t="s">
        <v>26424</v>
      </c>
    </row>
    <row r="1096" spans="1:13" ht="15.75" customHeight="1">
      <c r="A1096" s="185">
        <v>28</v>
      </c>
      <c r="B1096" s="185"/>
      <c r="C1096" s="271" t="s">
        <v>26425</v>
      </c>
      <c r="D1096" s="259" t="s">
        <v>26426</v>
      </c>
      <c r="E1096" s="121" t="s">
        <v>26427</v>
      </c>
      <c r="F1096" s="121" t="s">
        <v>65</v>
      </c>
      <c r="G1096" s="299" t="s">
        <v>26428</v>
      </c>
      <c r="H1096" s="118" t="s">
        <v>26429</v>
      </c>
      <c r="I1096" s="118"/>
      <c r="J1096" s="118" t="s">
        <v>26430</v>
      </c>
      <c r="K1096" s="137" t="s">
        <v>26431</v>
      </c>
      <c r="L1096" s="136" t="s">
        <v>26432</v>
      </c>
      <c r="M1096" s="136" t="s">
        <v>26433</v>
      </c>
    </row>
    <row r="1097" spans="1:13" ht="15.75" customHeight="1">
      <c r="A1097" s="185">
        <v>29</v>
      </c>
      <c r="B1097" s="185"/>
      <c r="C1097" s="271" t="s">
        <v>26434</v>
      </c>
      <c r="D1097" s="259" t="s">
        <v>26435</v>
      </c>
      <c r="E1097" s="121" t="s">
        <v>26436</v>
      </c>
      <c r="F1097" s="121" t="s">
        <v>65</v>
      </c>
      <c r="G1097" s="299" t="s">
        <v>26437</v>
      </c>
      <c r="H1097" s="118" t="s">
        <v>26438</v>
      </c>
      <c r="I1097" s="118"/>
      <c r="J1097" s="118" t="s">
        <v>26439</v>
      </c>
      <c r="K1097" s="137" t="s">
        <v>26440</v>
      </c>
      <c r="L1097" s="136" t="s">
        <v>26441</v>
      </c>
      <c r="M1097" s="136" t="s">
        <v>26442</v>
      </c>
    </row>
    <row r="1098" spans="1:13" ht="15.75" customHeight="1">
      <c r="A1098" s="185">
        <v>30</v>
      </c>
      <c r="B1098" s="185"/>
      <c r="C1098" s="271" t="s">
        <v>26443</v>
      </c>
      <c r="D1098" s="259" t="s">
        <v>26444</v>
      </c>
      <c r="E1098" s="121" t="s">
        <v>26445</v>
      </c>
      <c r="F1098" s="121" t="s">
        <v>65</v>
      </c>
      <c r="G1098" s="299" t="s">
        <v>26446</v>
      </c>
      <c r="H1098" s="118" t="s">
        <v>26447</v>
      </c>
      <c r="I1098" s="118"/>
      <c r="J1098" s="118" t="s">
        <v>26448</v>
      </c>
      <c r="K1098" s="137" t="s">
        <v>26449</v>
      </c>
      <c r="L1098" s="136" t="s">
        <v>26450</v>
      </c>
      <c r="M1098" s="136" t="s">
        <v>26451</v>
      </c>
    </row>
    <row r="1099" spans="1:13" ht="15.75" customHeight="1">
      <c r="A1099" s="185">
        <v>31</v>
      </c>
      <c r="B1099" s="185"/>
      <c r="C1099" s="271" t="s">
        <v>26452</v>
      </c>
      <c r="D1099" s="259" t="s">
        <v>26453</v>
      </c>
      <c r="E1099" s="121" t="s">
        <v>13110</v>
      </c>
      <c r="F1099" s="121" t="s">
        <v>117</v>
      </c>
      <c r="G1099" s="299" t="s">
        <v>26454</v>
      </c>
      <c r="H1099" s="118" t="s">
        <v>26455</v>
      </c>
      <c r="I1099" s="118"/>
      <c r="J1099" s="118" t="s">
        <v>26456</v>
      </c>
      <c r="K1099" s="137" t="s">
        <v>26457</v>
      </c>
      <c r="L1099" s="136" t="s">
        <v>26458</v>
      </c>
      <c r="M1099" s="136" t="s">
        <v>26459</v>
      </c>
    </row>
    <row r="1100" spans="1:13" ht="15.75" customHeight="1">
      <c r="A1100" s="185">
        <v>32</v>
      </c>
      <c r="B1100" s="185"/>
      <c r="C1100" s="271" t="s">
        <v>19915</v>
      </c>
      <c r="D1100" s="259" t="s">
        <v>19916</v>
      </c>
      <c r="E1100" s="121" t="s">
        <v>19328</v>
      </c>
      <c r="F1100" s="121" t="s">
        <v>117</v>
      </c>
      <c r="G1100" s="299" t="s">
        <v>26460</v>
      </c>
      <c r="H1100" s="118" t="s">
        <v>26461</v>
      </c>
      <c r="I1100" s="118"/>
      <c r="J1100" s="118" t="s">
        <v>26462</v>
      </c>
      <c r="K1100" s="137" t="s">
        <v>26463</v>
      </c>
      <c r="L1100" s="136" t="s">
        <v>26464</v>
      </c>
      <c r="M1100" s="136" t="s">
        <v>26465</v>
      </c>
    </row>
    <row r="1101" spans="1:13" ht="15.75" customHeight="1">
      <c r="A1101" s="185">
        <v>33</v>
      </c>
      <c r="B1101" s="185"/>
      <c r="C1101" s="271" t="s">
        <v>26466</v>
      </c>
      <c r="D1101" s="259" t="s">
        <v>26467</v>
      </c>
      <c r="E1101" s="121" t="s">
        <v>26468</v>
      </c>
      <c r="F1101" s="121" t="s">
        <v>117</v>
      </c>
      <c r="G1101" s="299" t="s">
        <v>1565</v>
      </c>
      <c r="H1101" s="118" t="s">
        <v>26469</v>
      </c>
      <c r="I1101" s="118"/>
      <c r="J1101" s="118" t="s">
        <v>26470</v>
      </c>
      <c r="K1101" s="137" t="s">
        <v>26471</v>
      </c>
      <c r="L1101" s="136" t="s">
        <v>26472</v>
      </c>
      <c r="M1101" s="136" t="s">
        <v>26473</v>
      </c>
    </row>
    <row r="1102" spans="1:13" ht="15.75" customHeight="1">
      <c r="A1102" s="185">
        <v>34</v>
      </c>
      <c r="B1102" s="185"/>
      <c r="C1102" s="271" t="s">
        <v>26474</v>
      </c>
      <c r="D1102" s="259" t="s">
        <v>26475</v>
      </c>
      <c r="E1102" s="121" t="s">
        <v>26476</v>
      </c>
      <c r="F1102" s="121" t="s">
        <v>219</v>
      </c>
      <c r="G1102" s="299" t="s">
        <v>26477</v>
      </c>
      <c r="H1102" s="118" t="s">
        <v>26478</v>
      </c>
      <c r="I1102" s="118"/>
      <c r="J1102" s="118" t="s">
        <v>26479</v>
      </c>
      <c r="K1102" s="137" t="s">
        <v>26480</v>
      </c>
      <c r="L1102" s="136" t="s">
        <v>26481</v>
      </c>
      <c r="M1102" s="136" t="s">
        <v>26482</v>
      </c>
    </row>
    <row r="1103" spans="1:13" ht="15.75" customHeight="1">
      <c r="A1103" s="185">
        <v>35</v>
      </c>
      <c r="B1103" s="185"/>
      <c r="C1103" s="271" t="s">
        <v>26483</v>
      </c>
      <c r="D1103" s="259" t="s">
        <v>26484</v>
      </c>
      <c r="E1103" s="121" t="s">
        <v>26485</v>
      </c>
      <c r="F1103" s="121" t="s">
        <v>117</v>
      </c>
      <c r="G1103" s="299" t="s">
        <v>26486</v>
      </c>
      <c r="H1103" s="118" t="s">
        <v>26487</v>
      </c>
      <c r="I1103" s="118"/>
      <c r="J1103" s="118" t="s">
        <v>26488</v>
      </c>
      <c r="K1103" s="137" t="s">
        <v>26489</v>
      </c>
      <c r="L1103" s="136" t="s">
        <v>26490</v>
      </c>
      <c r="M1103" s="136" t="s">
        <v>26491</v>
      </c>
    </row>
    <row r="1104" spans="1:13" ht="15.75" customHeight="1">
      <c r="A1104" s="185">
        <v>36</v>
      </c>
      <c r="B1104" s="185"/>
      <c r="C1104" s="271" t="s">
        <v>26492</v>
      </c>
      <c r="D1104" s="259" t="s">
        <v>26493</v>
      </c>
      <c r="E1104" s="121" t="s">
        <v>26494</v>
      </c>
      <c r="F1104" s="121" t="s">
        <v>563</v>
      </c>
      <c r="G1104" s="299" t="s">
        <v>26495</v>
      </c>
      <c r="H1104" s="118" t="s">
        <v>26496</v>
      </c>
      <c r="I1104" s="118"/>
      <c r="J1104" s="118" t="s">
        <v>26497</v>
      </c>
      <c r="K1104" s="137" t="s">
        <v>26498</v>
      </c>
      <c r="L1104" s="136" t="s">
        <v>26499</v>
      </c>
      <c r="M1104" s="136" t="s">
        <v>26500</v>
      </c>
    </row>
    <row r="1105" spans="1:13" ht="15.75" customHeight="1">
      <c r="A1105" s="185">
        <v>37</v>
      </c>
      <c r="B1105" s="185"/>
      <c r="C1105" s="271" t="s">
        <v>26501</v>
      </c>
      <c r="D1105" s="259" t="s">
        <v>26502</v>
      </c>
      <c r="E1105" s="121" t="s">
        <v>26503</v>
      </c>
      <c r="F1105" s="121" t="s">
        <v>65</v>
      </c>
      <c r="G1105" s="299" t="s">
        <v>26504</v>
      </c>
      <c r="H1105" s="118" t="s">
        <v>26505</v>
      </c>
      <c r="I1105" s="118"/>
      <c r="J1105" s="118" t="s">
        <v>26506</v>
      </c>
      <c r="K1105" s="137" t="s">
        <v>26507</v>
      </c>
      <c r="L1105" s="136" t="s">
        <v>26508</v>
      </c>
      <c r="M1105" s="136" t="s">
        <v>26509</v>
      </c>
    </row>
    <row r="1106" spans="1:13" ht="15.75" customHeight="1">
      <c r="A1106" s="185">
        <v>38</v>
      </c>
      <c r="B1106" s="185"/>
      <c r="C1106" s="271" t="s">
        <v>26510</v>
      </c>
      <c r="D1106" s="259" t="s">
        <v>26511</v>
      </c>
      <c r="E1106" s="123" t="s">
        <v>26512</v>
      </c>
      <c r="F1106" s="123" t="s">
        <v>54</v>
      </c>
      <c r="G1106" s="299" t="s">
        <v>26513</v>
      </c>
      <c r="H1106" s="137" t="s">
        <v>26514</v>
      </c>
      <c r="I1106" s="137"/>
      <c r="J1106" s="137" t="s">
        <v>26515</v>
      </c>
      <c r="K1106" s="137" t="s">
        <v>26516</v>
      </c>
      <c r="L1106" s="113" t="s">
        <v>26517</v>
      </c>
      <c r="M1106" s="136" t="s">
        <v>26518</v>
      </c>
    </row>
    <row r="1107" spans="1:13" ht="15.75" customHeight="1">
      <c r="A1107" s="185">
        <v>39</v>
      </c>
      <c r="B1107" s="185"/>
      <c r="C1107" s="271" t="s">
        <v>26519</v>
      </c>
      <c r="D1107" s="259" t="s">
        <v>26520</v>
      </c>
      <c r="E1107" s="121" t="s">
        <v>26521</v>
      </c>
      <c r="F1107" s="121" t="s">
        <v>54</v>
      </c>
      <c r="G1107" s="299" t="s">
        <v>26522</v>
      </c>
      <c r="H1107" s="118" t="s">
        <v>26523</v>
      </c>
      <c r="I1107" s="118"/>
      <c r="J1107" s="118" t="s">
        <v>26524</v>
      </c>
      <c r="K1107" s="137" t="s">
        <v>26525</v>
      </c>
      <c r="L1107" s="136" t="s">
        <v>26526</v>
      </c>
      <c r="M1107" s="136" t="s">
        <v>26527</v>
      </c>
    </row>
    <row r="1108" spans="1:13" ht="15.75" customHeight="1">
      <c r="A1108" s="185">
        <v>40</v>
      </c>
      <c r="B1108" s="185"/>
      <c r="C1108" s="271" t="s">
        <v>21687</v>
      </c>
      <c r="D1108" s="259" t="s">
        <v>21688</v>
      </c>
      <c r="E1108" s="121" t="s">
        <v>21689</v>
      </c>
      <c r="F1108" s="121" t="s">
        <v>117</v>
      </c>
      <c r="G1108" s="299" t="s">
        <v>26528</v>
      </c>
      <c r="H1108" s="118" t="s">
        <v>26529</v>
      </c>
      <c r="I1108" s="118"/>
      <c r="J1108" s="118" t="s">
        <v>26530</v>
      </c>
      <c r="K1108" s="137" t="s">
        <v>26531</v>
      </c>
      <c r="L1108" s="136" t="s">
        <v>26532</v>
      </c>
      <c r="M1108" s="136" t="s">
        <v>26533</v>
      </c>
    </row>
    <row r="1109" spans="1:13" ht="14.25" customHeight="1">
      <c r="A1109" s="210">
        <v>1</v>
      </c>
      <c r="B1109" s="210"/>
      <c r="C1109" s="211" t="s">
        <v>26534</v>
      </c>
      <c r="D1109" s="238" t="s">
        <v>26535</v>
      </c>
      <c r="E1109" s="283" t="s">
        <v>26536</v>
      </c>
      <c r="F1109" s="283" t="s">
        <v>117</v>
      </c>
      <c r="G1109" s="213" t="s">
        <v>26537</v>
      </c>
      <c r="H1109" s="239" t="s">
        <v>26538</v>
      </c>
      <c r="I1109" s="239"/>
      <c r="J1109" s="215" t="s">
        <v>26539</v>
      </c>
      <c r="K1109" s="215" t="s">
        <v>26540</v>
      </c>
      <c r="L1109" s="210" t="s">
        <v>26541</v>
      </c>
      <c r="M1109" s="247" t="s">
        <v>26542</v>
      </c>
    </row>
    <row r="1110" spans="1:13" ht="15.75" customHeight="1">
      <c r="A1110" s="185">
        <v>2</v>
      </c>
      <c r="B1110" s="185"/>
      <c r="C1110" s="271" t="s">
        <v>26543</v>
      </c>
      <c r="D1110" s="259" t="s">
        <v>26544</v>
      </c>
      <c r="E1110" s="121" t="s">
        <v>26545</v>
      </c>
      <c r="F1110" s="121" t="s">
        <v>65</v>
      </c>
      <c r="G1110" s="299" t="s">
        <v>26546</v>
      </c>
      <c r="H1110" s="260" t="s">
        <v>26547</v>
      </c>
      <c r="I1110" s="260"/>
      <c r="J1110" s="118" t="s">
        <v>26548</v>
      </c>
      <c r="K1110" s="137" t="s">
        <v>26549</v>
      </c>
      <c r="L1110" s="136" t="s">
        <v>26550</v>
      </c>
      <c r="M1110" s="136" t="s">
        <v>26551</v>
      </c>
    </row>
    <row r="1111" spans="1:13" ht="15.75" customHeight="1">
      <c r="A1111" s="185">
        <v>3</v>
      </c>
      <c r="B1111" s="185"/>
      <c r="C1111" s="271" t="s">
        <v>26552</v>
      </c>
      <c r="D1111" s="259" t="s">
        <v>26553</v>
      </c>
      <c r="E1111" s="121" t="s">
        <v>26554</v>
      </c>
      <c r="F1111" s="121" t="s">
        <v>117</v>
      </c>
      <c r="G1111" s="299" t="s">
        <v>26555</v>
      </c>
      <c r="H1111" s="260" t="s">
        <v>26556</v>
      </c>
      <c r="I1111" s="260"/>
      <c r="J1111" s="118" t="s">
        <v>26557</v>
      </c>
      <c r="K1111" s="137" t="s">
        <v>26558</v>
      </c>
      <c r="L1111" s="136" t="s">
        <v>26559</v>
      </c>
      <c r="M1111" s="136" t="s">
        <v>26560</v>
      </c>
    </row>
    <row r="1112" spans="1:13" ht="15.75" customHeight="1">
      <c r="A1112" s="185">
        <v>4</v>
      </c>
      <c r="B1112" s="185"/>
      <c r="C1112" s="271" t="s">
        <v>26561</v>
      </c>
      <c r="D1112" s="259" t="s">
        <v>26562</v>
      </c>
      <c r="E1112" s="121" t="s">
        <v>26563</v>
      </c>
      <c r="F1112" s="121" t="s">
        <v>117</v>
      </c>
      <c r="G1112" s="299" t="s">
        <v>26564</v>
      </c>
      <c r="H1112" s="260" t="s">
        <v>26565</v>
      </c>
      <c r="I1112" s="260"/>
      <c r="J1112" s="118" t="s">
        <v>26566</v>
      </c>
      <c r="K1112" s="137" t="s">
        <v>26567</v>
      </c>
      <c r="L1112" s="136" t="s">
        <v>26568</v>
      </c>
      <c r="M1112" s="136" t="s">
        <v>26569</v>
      </c>
    </row>
    <row r="1113" spans="1:13" ht="15.75" customHeight="1">
      <c r="A1113" s="185">
        <v>5</v>
      </c>
      <c r="B1113" s="185"/>
      <c r="C1113" s="271" t="s">
        <v>26570</v>
      </c>
      <c r="D1113" s="259" t="s">
        <v>26571</v>
      </c>
      <c r="E1113" s="121" t="s">
        <v>26572</v>
      </c>
      <c r="F1113" s="121" t="s">
        <v>117</v>
      </c>
      <c r="G1113" s="299" t="s">
        <v>26573</v>
      </c>
      <c r="H1113" s="260" t="s">
        <v>26574</v>
      </c>
      <c r="I1113" s="260"/>
      <c r="J1113" s="118" t="s">
        <v>26575</v>
      </c>
      <c r="K1113" s="137" t="s">
        <v>26576</v>
      </c>
      <c r="L1113" s="136" t="s">
        <v>26577</v>
      </c>
      <c r="M1113" s="136" t="s">
        <v>26578</v>
      </c>
    </row>
    <row r="1114" spans="1:13" ht="15.75" customHeight="1">
      <c r="A1114" s="185">
        <v>6</v>
      </c>
      <c r="B1114" s="185"/>
      <c r="C1114" s="271" t="s">
        <v>26579</v>
      </c>
      <c r="D1114" s="259" t="s">
        <v>26580</v>
      </c>
      <c r="E1114" s="121" t="s">
        <v>26581</v>
      </c>
      <c r="F1114" s="121" t="s">
        <v>65</v>
      </c>
      <c r="G1114" s="299" t="s">
        <v>26582</v>
      </c>
      <c r="H1114" s="260" t="s">
        <v>26583</v>
      </c>
      <c r="I1114" s="260"/>
      <c r="J1114" s="118" t="s">
        <v>26584</v>
      </c>
      <c r="K1114" s="137" t="s">
        <v>26585</v>
      </c>
      <c r="L1114" s="136" t="s">
        <v>26586</v>
      </c>
      <c r="M1114" s="136" t="s">
        <v>26587</v>
      </c>
    </row>
    <row r="1115" spans="1:13" ht="15.75" customHeight="1">
      <c r="A1115" s="185">
        <v>7</v>
      </c>
      <c r="B1115" s="185"/>
      <c r="C1115" s="271" t="s">
        <v>26588</v>
      </c>
      <c r="D1115" s="259" t="s">
        <v>26589</v>
      </c>
      <c r="E1115" s="121" t="s">
        <v>26590</v>
      </c>
      <c r="F1115" s="121" t="s">
        <v>65</v>
      </c>
      <c r="G1115" s="299" t="s">
        <v>26591</v>
      </c>
      <c r="H1115" s="260" t="s">
        <v>26592</v>
      </c>
      <c r="I1115" s="260"/>
      <c r="J1115" s="118" t="s">
        <v>26593</v>
      </c>
      <c r="K1115" s="137" t="s">
        <v>26594</v>
      </c>
      <c r="L1115" s="136" t="s">
        <v>26595</v>
      </c>
      <c r="M1115" s="136" t="s">
        <v>26596</v>
      </c>
    </row>
    <row r="1116" spans="1:13" ht="15.75" customHeight="1">
      <c r="A1116" s="185">
        <v>8</v>
      </c>
      <c r="B1116" s="185"/>
      <c r="C1116" s="271" t="s">
        <v>26597</v>
      </c>
      <c r="D1116" s="259" t="s">
        <v>26598</v>
      </c>
      <c r="E1116" s="121" t="s">
        <v>26599</v>
      </c>
      <c r="F1116" s="121" t="s">
        <v>65</v>
      </c>
      <c r="G1116" s="299" t="s">
        <v>26600</v>
      </c>
      <c r="H1116" s="260" t="s">
        <v>26601</v>
      </c>
      <c r="I1116" s="260"/>
      <c r="J1116" s="118" t="s">
        <v>26602</v>
      </c>
      <c r="K1116" s="137" t="s">
        <v>26603</v>
      </c>
      <c r="L1116" s="136" t="s">
        <v>26604</v>
      </c>
      <c r="M1116" s="136" t="s">
        <v>26605</v>
      </c>
    </row>
    <row r="1117" spans="1:13" ht="15.75" customHeight="1">
      <c r="A1117" s="185">
        <v>9</v>
      </c>
      <c r="B1117" s="185"/>
      <c r="C1117" s="271" t="s">
        <v>26606</v>
      </c>
      <c r="D1117" s="259" t="s">
        <v>26607</v>
      </c>
      <c r="E1117" s="121" t="s">
        <v>26608</v>
      </c>
      <c r="F1117" s="121" t="s">
        <v>65</v>
      </c>
      <c r="G1117" s="299" t="s">
        <v>26609</v>
      </c>
      <c r="H1117" s="260" t="s">
        <v>26610</v>
      </c>
      <c r="I1117" s="260"/>
      <c r="J1117" s="118" t="s">
        <v>26611</v>
      </c>
      <c r="K1117" s="137" t="s">
        <v>26612</v>
      </c>
      <c r="L1117" s="136" t="s">
        <v>26613</v>
      </c>
      <c r="M1117" s="136" t="s">
        <v>26614</v>
      </c>
    </row>
    <row r="1118" spans="1:13" ht="15.75" customHeight="1">
      <c r="A1118" s="185">
        <v>10</v>
      </c>
      <c r="B1118" s="185"/>
      <c r="C1118" s="271" t="s">
        <v>26615</v>
      </c>
      <c r="D1118" s="259" t="s">
        <v>26616</v>
      </c>
      <c r="E1118" s="121" t="s">
        <v>26617</v>
      </c>
      <c r="F1118" s="121" t="s">
        <v>65</v>
      </c>
      <c r="G1118" s="299" t="s">
        <v>26618</v>
      </c>
      <c r="H1118" s="260" t="s">
        <v>26619</v>
      </c>
      <c r="I1118" s="260"/>
      <c r="J1118" s="118" t="s">
        <v>26620</v>
      </c>
      <c r="K1118" s="137" t="s">
        <v>26621</v>
      </c>
      <c r="L1118" s="136" t="s">
        <v>26622</v>
      </c>
      <c r="M1118" s="136" t="s">
        <v>26623</v>
      </c>
    </row>
    <row r="1119" spans="1:13" ht="15.75" customHeight="1">
      <c r="A1119" s="185">
        <v>11</v>
      </c>
      <c r="B1119" s="185"/>
      <c r="C1119" s="271" t="s">
        <v>26624</v>
      </c>
      <c r="D1119" s="259" t="s">
        <v>26625</v>
      </c>
      <c r="E1119" s="121" t="s">
        <v>26626</v>
      </c>
      <c r="F1119" s="121" t="s">
        <v>117</v>
      </c>
      <c r="G1119" s="299" t="s">
        <v>26627</v>
      </c>
      <c r="H1119" s="260" t="s">
        <v>26628</v>
      </c>
      <c r="I1119" s="260"/>
      <c r="J1119" s="118" t="s">
        <v>26629</v>
      </c>
      <c r="K1119" s="137" t="s">
        <v>26630</v>
      </c>
      <c r="L1119" s="136" t="s">
        <v>26631</v>
      </c>
      <c r="M1119" s="136" t="s">
        <v>26632</v>
      </c>
    </row>
    <row r="1120" spans="1:13" ht="15.75" customHeight="1">
      <c r="A1120" s="185">
        <v>12</v>
      </c>
      <c r="B1120" s="185"/>
      <c r="C1120" s="271" t="s">
        <v>26633</v>
      </c>
      <c r="D1120" s="259" t="s">
        <v>26634</v>
      </c>
      <c r="E1120" s="121" t="s">
        <v>26635</v>
      </c>
      <c r="F1120" s="121" t="s">
        <v>219</v>
      </c>
      <c r="G1120" s="299" t="s">
        <v>26636</v>
      </c>
      <c r="H1120" s="260" t="s">
        <v>26637</v>
      </c>
      <c r="I1120" s="260"/>
      <c r="J1120" s="118" t="s">
        <v>26638</v>
      </c>
      <c r="K1120" s="137" t="s">
        <v>26639</v>
      </c>
      <c r="L1120" s="136" t="s">
        <v>26640</v>
      </c>
      <c r="M1120" s="136" t="s">
        <v>26641</v>
      </c>
    </row>
    <row r="1121" spans="1:13" ht="15.75" customHeight="1">
      <c r="A1121" s="185">
        <v>13</v>
      </c>
      <c r="B1121" s="185"/>
      <c r="C1121" s="271" t="s">
        <v>26642</v>
      </c>
      <c r="D1121" s="259" t="s">
        <v>26643</v>
      </c>
      <c r="E1121" s="121" t="s">
        <v>26644</v>
      </c>
      <c r="F1121" s="121" t="s">
        <v>54</v>
      </c>
      <c r="G1121" s="299" t="s">
        <v>26645</v>
      </c>
      <c r="H1121" s="260" t="s">
        <v>26646</v>
      </c>
      <c r="I1121" s="260"/>
      <c r="J1121" s="118" t="s">
        <v>26647</v>
      </c>
      <c r="K1121" s="137" t="s">
        <v>26648</v>
      </c>
      <c r="L1121" s="136" t="s">
        <v>26649</v>
      </c>
      <c r="M1121" s="136" t="s">
        <v>26650</v>
      </c>
    </row>
    <row r="1122" spans="1:13" ht="15.75" customHeight="1">
      <c r="A1122" s="185">
        <v>14</v>
      </c>
      <c r="B1122" s="185"/>
      <c r="C1122" s="271" t="s">
        <v>26651</v>
      </c>
      <c r="D1122" s="259" t="s">
        <v>26652</v>
      </c>
      <c r="E1122" s="121" t="s">
        <v>26653</v>
      </c>
      <c r="F1122" s="121" t="s">
        <v>54</v>
      </c>
      <c r="G1122" s="299" t="s">
        <v>26654</v>
      </c>
      <c r="H1122" s="260" t="s">
        <v>26655</v>
      </c>
      <c r="I1122" s="260"/>
      <c r="J1122" s="118" t="s">
        <v>26656</v>
      </c>
      <c r="K1122" s="137" t="s">
        <v>26657</v>
      </c>
      <c r="L1122" s="136" t="s">
        <v>26658</v>
      </c>
      <c r="M1122" s="136" t="s">
        <v>26659</v>
      </c>
    </row>
    <row r="1123" spans="1:13" ht="15.75" customHeight="1">
      <c r="A1123" s="185">
        <v>15</v>
      </c>
      <c r="B1123" s="185"/>
      <c r="C1123" s="271" t="s">
        <v>26660</v>
      </c>
      <c r="D1123" s="259" t="s">
        <v>26661</v>
      </c>
      <c r="E1123" s="121" t="s">
        <v>26662</v>
      </c>
      <c r="F1123" s="121" t="s">
        <v>54</v>
      </c>
      <c r="G1123" s="299" t="s">
        <v>26663</v>
      </c>
      <c r="H1123" s="118" t="s">
        <v>26664</v>
      </c>
      <c r="I1123" s="118"/>
      <c r="J1123" s="118" t="s">
        <v>26665</v>
      </c>
      <c r="K1123" s="137" t="s">
        <v>26666</v>
      </c>
      <c r="L1123" s="136" t="s">
        <v>26667</v>
      </c>
      <c r="M1123" s="136" t="s">
        <v>26668</v>
      </c>
    </row>
    <row r="1124" spans="1:13" ht="15.75" customHeight="1">
      <c r="A1124" s="185">
        <v>16</v>
      </c>
      <c r="B1124" s="185"/>
      <c r="C1124" s="271" t="s">
        <v>26669</v>
      </c>
      <c r="D1124" s="259" t="s">
        <v>26670</v>
      </c>
      <c r="E1124" s="121" t="s">
        <v>26671</v>
      </c>
      <c r="F1124" s="121" t="s">
        <v>54</v>
      </c>
      <c r="G1124" s="299" t="s">
        <v>26672</v>
      </c>
      <c r="H1124" s="118" t="s">
        <v>26673</v>
      </c>
      <c r="I1124" s="118"/>
      <c r="J1124" s="118" t="s">
        <v>26674</v>
      </c>
      <c r="K1124" s="137" t="s">
        <v>26675</v>
      </c>
      <c r="L1124" s="136" t="s">
        <v>26676</v>
      </c>
      <c r="M1124" s="136" t="s">
        <v>26677</v>
      </c>
    </row>
    <row r="1125" spans="1:13" ht="15.75" customHeight="1">
      <c r="A1125" s="185">
        <v>17</v>
      </c>
      <c r="B1125" s="185"/>
      <c r="C1125" s="271" t="s">
        <v>26678</v>
      </c>
      <c r="D1125" s="259" t="s">
        <v>26679</v>
      </c>
      <c r="E1125" s="121" t="s">
        <v>26680</v>
      </c>
      <c r="F1125" s="271" t="s">
        <v>219</v>
      </c>
      <c r="G1125" s="299" t="s">
        <v>26681</v>
      </c>
      <c r="H1125" s="118" t="s">
        <v>26682</v>
      </c>
      <c r="I1125" s="118"/>
      <c r="J1125" s="118" t="s">
        <v>26683</v>
      </c>
      <c r="K1125" s="137" t="s">
        <v>26684</v>
      </c>
      <c r="L1125" s="136" t="s">
        <v>26685</v>
      </c>
      <c r="M1125" s="136" t="s">
        <v>26686</v>
      </c>
    </row>
    <row r="1126" spans="1:13" ht="15.75" customHeight="1">
      <c r="A1126" s="185">
        <v>18</v>
      </c>
      <c r="B1126" s="185"/>
      <c r="C1126" s="271" t="s">
        <v>26687</v>
      </c>
      <c r="D1126" s="259" t="s">
        <v>26688</v>
      </c>
      <c r="E1126" s="121" t="s">
        <v>26689</v>
      </c>
      <c r="F1126" s="121" t="s">
        <v>65</v>
      </c>
      <c r="G1126" s="299" t="s">
        <v>26690</v>
      </c>
      <c r="H1126" s="118" t="s">
        <v>26691</v>
      </c>
      <c r="I1126" s="118"/>
      <c r="J1126" s="118" t="s">
        <v>26692</v>
      </c>
      <c r="K1126" s="137" t="s">
        <v>26693</v>
      </c>
      <c r="L1126" s="136" t="s">
        <v>26694</v>
      </c>
      <c r="M1126" s="136" t="s">
        <v>26695</v>
      </c>
    </row>
    <row r="1127" spans="1:13" ht="15.75" customHeight="1">
      <c r="A1127" s="185">
        <v>19</v>
      </c>
      <c r="B1127" s="185"/>
      <c r="C1127" s="271" t="s">
        <v>26696</v>
      </c>
      <c r="D1127" s="259" t="s">
        <v>26697</v>
      </c>
      <c r="E1127" s="121" t="s">
        <v>26698</v>
      </c>
      <c r="F1127" s="121" t="s">
        <v>54</v>
      </c>
      <c r="G1127" s="299" t="s">
        <v>26699</v>
      </c>
      <c r="H1127" s="118" t="s">
        <v>26700</v>
      </c>
      <c r="I1127" s="118"/>
      <c r="J1127" s="118" t="s">
        <v>26701</v>
      </c>
      <c r="K1127" s="137" t="s">
        <v>26702</v>
      </c>
      <c r="L1127" s="136" t="s">
        <v>26703</v>
      </c>
      <c r="M1127" s="136" t="s">
        <v>26704</v>
      </c>
    </row>
    <row r="1128" spans="1:13" ht="15.75" customHeight="1">
      <c r="A1128" s="185">
        <v>20</v>
      </c>
      <c r="B1128" s="185"/>
      <c r="C1128" s="271" t="s">
        <v>26705</v>
      </c>
      <c r="D1128" s="259" t="s">
        <v>26706</v>
      </c>
      <c r="E1128" s="121" t="s">
        <v>26707</v>
      </c>
      <c r="F1128" s="121" t="s">
        <v>65</v>
      </c>
      <c r="G1128" s="299" t="s">
        <v>26708</v>
      </c>
      <c r="H1128" s="118" t="s">
        <v>26709</v>
      </c>
      <c r="I1128" s="118"/>
      <c r="J1128" s="118" t="s">
        <v>26710</v>
      </c>
      <c r="K1128" s="137" t="s">
        <v>26711</v>
      </c>
      <c r="L1128" s="136" t="s">
        <v>26712</v>
      </c>
      <c r="M1128" s="136" t="s">
        <v>26713</v>
      </c>
    </row>
    <row r="1129" spans="1:13" ht="15.75" customHeight="1">
      <c r="A1129" s="185">
        <v>21</v>
      </c>
      <c r="B1129" s="185"/>
      <c r="C1129" s="271" t="s">
        <v>26714</v>
      </c>
      <c r="D1129" s="259" t="s">
        <v>26715</v>
      </c>
      <c r="E1129" s="121" t="s">
        <v>26716</v>
      </c>
      <c r="F1129" s="121" t="s">
        <v>117</v>
      </c>
      <c r="G1129" s="299" t="s">
        <v>26717</v>
      </c>
      <c r="H1129" s="118" t="s">
        <v>26718</v>
      </c>
      <c r="I1129" s="118"/>
      <c r="J1129" s="118" t="s">
        <v>26719</v>
      </c>
      <c r="K1129" s="137" t="s">
        <v>26720</v>
      </c>
      <c r="L1129" s="136" t="s">
        <v>26721</v>
      </c>
      <c r="M1129" s="136" t="s">
        <v>26722</v>
      </c>
    </row>
    <row r="1130" spans="1:13" ht="15.75" customHeight="1">
      <c r="A1130" s="185">
        <v>22</v>
      </c>
      <c r="B1130" s="185"/>
      <c r="C1130" s="271" t="s">
        <v>26723</v>
      </c>
      <c r="D1130" s="259" t="s">
        <v>26724</v>
      </c>
      <c r="E1130" s="121" t="s">
        <v>26725</v>
      </c>
      <c r="F1130" s="121" t="s">
        <v>65</v>
      </c>
      <c r="G1130" s="299" t="s">
        <v>26726</v>
      </c>
      <c r="H1130" s="118" t="s">
        <v>26727</v>
      </c>
      <c r="I1130" s="118"/>
      <c r="J1130" s="118" t="s">
        <v>26728</v>
      </c>
      <c r="K1130" s="137" t="s">
        <v>26729</v>
      </c>
      <c r="L1130" s="136" t="s">
        <v>26730</v>
      </c>
      <c r="M1130" s="136" t="s">
        <v>26731</v>
      </c>
    </row>
    <row r="1131" spans="1:13" ht="15.75" customHeight="1">
      <c r="A1131" s="185">
        <v>23</v>
      </c>
      <c r="B1131" s="185"/>
      <c r="C1131" s="271" t="s">
        <v>26732</v>
      </c>
      <c r="D1131" s="259" t="s">
        <v>26733</v>
      </c>
      <c r="E1131" s="121" t="s">
        <v>26734</v>
      </c>
      <c r="F1131" s="121" t="s">
        <v>65</v>
      </c>
      <c r="G1131" s="299" t="s">
        <v>26735</v>
      </c>
      <c r="H1131" s="118" t="s">
        <v>26736</v>
      </c>
      <c r="I1131" s="118"/>
      <c r="J1131" s="118" t="s">
        <v>26737</v>
      </c>
      <c r="K1131" s="137" t="s">
        <v>26738</v>
      </c>
      <c r="L1131" s="136" t="s">
        <v>26739</v>
      </c>
      <c r="M1131" s="136" t="s">
        <v>26740</v>
      </c>
    </row>
    <row r="1132" spans="1:13" ht="15.75" customHeight="1">
      <c r="A1132" s="185">
        <v>24</v>
      </c>
      <c r="B1132" s="185"/>
      <c r="C1132" s="271" t="s">
        <v>26741</v>
      </c>
      <c r="D1132" s="259" t="s">
        <v>26742</v>
      </c>
      <c r="E1132" s="121" t="s">
        <v>613</v>
      </c>
      <c r="F1132" s="121" t="s">
        <v>117</v>
      </c>
      <c r="G1132" s="299" t="s">
        <v>26743</v>
      </c>
      <c r="H1132" s="118" t="s">
        <v>26744</v>
      </c>
      <c r="I1132" s="118"/>
      <c r="J1132" s="118" t="s">
        <v>26745</v>
      </c>
      <c r="K1132" s="137" t="s">
        <v>26746</v>
      </c>
      <c r="L1132" s="136" t="s">
        <v>26747</v>
      </c>
      <c r="M1132" s="136" t="s">
        <v>26748</v>
      </c>
    </row>
    <row r="1133" spans="1:13" ht="15.75" customHeight="1">
      <c r="A1133" s="185">
        <v>25</v>
      </c>
      <c r="B1133" s="185"/>
      <c r="C1133" s="271" t="s">
        <v>26749</v>
      </c>
      <c r="D1133" s="259" t="s">
        <v>26750</v>
      </c>
      <c r="E1133" s="121" t="s">
        <v>26751</v>
      </c>
      <c r="F1133" s="121" t="s">
        <v>117</v>
      </c>
      <c r="G1133" s="299" t="s">
        <v>26752</v>
      </c>
      <c r="H1133" s="13" t="s">
        <v>26753</v>
      </c>
      <c r="I1133" s="13"/>
      <c r="J1133" s="118" t="s">
        <v>26754</v>
      </c>
      <c r="K1133" s="137" t="s">
        <v>26755</v>
      </c>
      <c r="L1133" s="136" t="s">
        <v>26756</v>
      </c>
      <c r="M1133" s="136" t="s">
        <v>26757</v>
      </c>
    </row>
    <row r="1134" spans="1:13" ht="15.75" customHeight="1">
      <c r="A1134" s="185">
        <v>26</v>
      </c>
      <c r="B1134" s="185"/>
      <c r="C1134" s="271" t="s">
        <v>26758</v>
      </c>
      <c r="D1134" s="259" t="s">
        <v>26759</v>
      </c>
      <c r="E1134" s="121" t="s">
        <v>26760</v>
      </c>
      <c r="F1134" s="121" t="s">
        <v>117</v>
      </c>
      <c r="G1134" s="299" t="s">
        <v>26761</v>
      </c>
      <c r="H1134" s="137" t="s">
        <v>26762</v>
      </c>
      <c r="I1134" s="137"/>
      <c r="J1134" s="118" t="s">
        <v>26763</v>
      </c>
      <c r="K1134" s="137" t="s">
        <v>26764</v>
      </c>
      <c r="L1134" s="136" t="s">
        <v>26765</v>
      </c>
      <c r="M1134" s="136" t="s">
        <v>26766</v>
      </c>
    </row>
    <row r="1135" spans="1:13" ht="15.75" customHeight="1">
      <c r="A1135" s="185">
        <v>27</v>
      </c>
      <c r="B1135" s="185"/>
      <c r="C1135" s="271" t="s">
        <v>26767</v>
      </c>
      <c r="D1135" s="259" t="s">
        <v>26768</v>
      </c>
      <c r="E1135" s="123" t="s">
        <v>26769</v>
      </c>
      <c r="F1135" s="123" t="s">
        <v>117</v>
      </c>
      <c r="G1135" s="299" t="s">
        <v>26770</v>
      </c>
      <c r="H1135" s="137" t="s">
        <v>26771</v>
      </c>
      <c r="I1135" s="137"/>
      <c r="J1135" s="137" t="s">
        <v>26772</v>
      </c>
      <c r="K1135" s="137" t="s">
        <v>26773</v>
      </c>
      <c r="L1135" s="136" t="s">
        <v>26774</v>
      </c>
      <c r="M1135" s="136" t="s">
        <v>26775</v>
      </c>
    </row>
    <row r="1136" spans="1:13" ht="15.75" customHeight="1">
      <c r="A1136" s="185">
        <v>28</v>
      </c>
      <c r="B1136" s="185"/>
      <c r="C1136" s="271" t="s">
        <v>26776</v>
      </c>
      <c r="D1136" s="259" t="s">
        <v>26777</v>
      </c>
      <c r="E1136" s="121" t="s">
        <v>26778</v>
      </c>
      <c r="F1136" s="121" t="s">
        <v>65</v>
      </c>
      <c r="G1136" s="299" t="s">
        <v>26779</v>
      </c>
      <c r="H1136" s="118" t="s">
        <v>26780</v>
      </c>
      <c r="I1136" s="118"/>
      <c r="J1136" s="118" t="s">
        <v>26781</v>
      </c>
      <c r="K1136" s="137" t="s">
        <v>26782</v>
      </c>
      <c r="L1136" s="136" t="s">
        <v>26783</v>
      </c>
      <c r="M1136" s="136" t="s">
        <v>26784</v>
      </c>
    </row>
    <row r="1137" spans="1:13" ht="15.75" customHeight="1">
      <c r="A1137" s="185">
        <v>29</v>
      </c>
      <c r="B1137" s="185"/>
      <c r="C1137" s="271" t="s">
        <v>26785</v>
      </c>
      <c r="D1137" s="259" t="s">
        <v>26786</v>
      </c>
      <c r="E1137" s="121" t="s">
        <v>26787</v>
      </c>
      <c r="F1137" s="121" t="s">
        <v>54</v>
      </c>
      <c r="G1137" s="299" t="s">
        <v>26788</v>
      </c>
      <c r="H1137" s="260" t="s">
        <v>26789</v>
      </c>
      <c r="I1137" s="260"/>
      <c r="J1137" s="259" t="s">
        <v>26790</v>
      </c>
      <c r="K1137" s="137" t="s">
        <v>26791</v>
      </c>
      <c r="L1137" s="136" t="s">
        <v>26792</v>
      </c>
      <c r="M1137" s="136" t="s">
        <v>26793</v>
      </c>
    </row>
    <row r="1138" spans="1:13" ht="15.75" customHeight="1">
      <c r="A1138" s="185">
        <v>30</v>
      </c>
      <c r="B1138" s="185"/>
      <c r="C1138" s="271" t="s">
        <v>26794</v>
      </c>
      <c r="D1138" s="259" t="s">
        <v>26795</v>
      </c>
      <c r="E1138" s="121" t="s">
        <v>26796</v>
      </c>
      <c r="F1138" s="121" t="s">
        <v>65</v>
      </c>
      <c r="G1138" s="299" t="s">
        <v>26797</v>
      </c>
      <c r="H1138" s="118" t="s">
        <v>26798</v>
      </c>
      <c r="I1138" s="118"/>
      <c r="J1138" s="118" t="s">
        <v>26799</v>
      </c>
      <c r="K1138" s="137" t="s">
        <v>26800</v>
      </c>
      <c r="L1138" s="136" t="s">
        <v>26801</v>
      </c>
      <c r="M1138" s="136" t="s">
        <v>26802</v>
      </c>
    </row>
    <row r="1139" spans="1:13" ht="15.75" customHeight="1">
      <c r="A1139" s="185">
        <v>31</v>
      </c>
      <c r="B1139" s="185"/>
      <c r="C1139" s="271" t="s">
        <v>26803</v>
      </c>
      <c r="D1139" s="259" t="s">
        <v>26804</v>
      </c>
      <c r="E1139" s="121" t="s">
        <v>26805</v>
      </c>
      <c r="F1139" s="121" t="s">
        <v>65</v>
      </c>
      <c r="G1139" s="299" t="s">
        <v>26806</v>
      </c>
      <c r="H1139" s="118" t="s">
        <v>26807</v>
      </c>
      <c r="I1139" s="118"/>
      <c r="J1139" s="118" t="s">
        <v>26808</v>
      </c>
      <c r="K1139" s="137" t="s">
        <v>26809</v>
      </c>
      <c r="L1139" s="136" t="s">
        <v>26810</v>
      </c>
      <c r="M1139" s="136" t="s">
        <v>26811</v>
      </c>
    </row>
    <row r="1140" spans="1:13" ht="15.75" customHeight="1">
      <c r="A1140" s="185">
        <v>32</v>
      </c>
      <c r="B1140" s="185"/>
      <c r="C1140" s="271" t="s">
        <v>26812</v>
      </c>
      <c r="D1140" s="259" t="s">
        <v>26813</v>
      </c>
      <c r="E1140" s="121" t="s">
        <v>26814</v>
      </c>
      <c r="F1140" s="121" t="s">
        <v>117</v>
      </c>
      <c r="G1140" s="299" t="s">
        <v>26815</v>
      </c>
      <c r="H1140" s="118" t="s">
        <v>26816</v>
      </c>
      <c r="I1140" s="118"/>
      <c r="J1140" s="118" t="s">
        <v>26817</v>
      </c>
      <c r="K1140" s="137" t="s">
        <v>26818</v>
      </c>
      <c r="L1140" s="136" t="s">
        <v>26819</v>
      </c>
      <c r="M1140" s="136" t="s">
        <v>26820</v>
      </c>
    </row>
    <row r="1141" spans="1:13" ht="15.75" customHeight="1">
      <c r="A1141" s="185">
        <v>33</v>
      </c>
      <c r="B1141" s="185"/>
      <c r="C1141" s="271" t="s">
        <v>26821</v>
      </c>
      <c r="D1141" s="259" t="s">
        <v>26822</v>
      </c>
      <c r="E1141" s="121" t="s">
        <v>26823</v>
      </c>
      <c r="F1141" s="121" t="s">
        <v>65</v>
      </c>
      <c r="G1141" s="299" t="s">
        <v>26824</v>
      </c>
      <c r="H1141" s="118" t="s">
        <v>26825</v>
      </c>
      <c r="I1141" s="118"/>
      <c r="J1141" s="118" t="s">
        <v>26826</v>
      </c>
      <c r="K1141" s="137" t="s">
        <v>26827</v>
      </c>
      <c r="L1141" s="136" t="s">
        <v>26828</v>
      </c>
      <c r="M1141" s="136" t="s">
        <v>26829</v>
      </c>
    </row>
    <row r="1142" spans="1:13" ht="15.75" customHeight="1">
      <c r="A1142" s="185">
        <v>34</v>
      </c>
      <c r="B1142" s="185"/>
      <c r="C1142" s="271" t="s">
        <v>26830</v>
      </c>
      <c r="D1142" s="259" t="s">
        <v>26831</v>
      </c>
      <c r="E1142" s="121" t="s">
        <v>26832</v>
      </c>
      <c r="F1142" s="121" t="s">
        <v>664</v>
      </c>
      <c r="G1142" s="299" t="s">
        <v>26833</v>
      </c>
      <c r="H1142" s="118" t="s">
        <v>26834</v>
      </c>
      <c r="I1142" s="118"/>
      <c r="J1142" s="118" t="s">
        <v>26835</v>
      </c>
      <c r="K1142" s="137" t="s">
        <v>26836</v>
      </c>
      <c r="L1142" s="136" t="s">
        <v>26837</v>
      </c>
      <c r="M1142" s="136" t="s">
        <v>26838</v>
      </c>
    </row>
    <row r="1143" spans="1:13" ht="15.75" customHeight="1">
      <c r="A1143" s="185">
        <v>35</v>
      </c>
      <c r="B1143" s="185"/>
      <c r="C1143" s="271" t="s">
        <v>26839</v>
      </c>
      <c r="D1143" s="259" t="s">
        <v>26840</v>
      </c>
      <c r="E1143" s="121" t="s">
        <v>26841</v>
      </c>
      <c r="F1143" s="121" t="s">
        <v>117</v>
      </c>
      <c r="G1143" s="299" t="s">
        <v>26842</v>
      </c>
      <c r="H1143" s="118" t="s">
        <v>26843</v>
      </c>
      <c r="I1143" s="118"/>
      <c r="J1143" s="118" t="s">
        <v>26844</v>
      </c>
      <c r="K1143" s="137" t="s">
        <v>26845</v>
      </c>
      <c r="L1143" s="136" t="s">
        <v>26846</v>
      </c>
      <c r="M1143" s="136" t="s">
        <v>26847</v>
      </c>
    </row>
    <row r="1144" spans="1:13" ht="15.75" customHeight="1">
      <c r="A1144" s="185">
        <v>36</v>
      </c>
      <c r="B1144" s="185"/>
      <c r="C1144" s="271" t="s">
        <v>26848</v>
      </c>
      <c r="D1144" s="259" t="s">
        <v>26849</v>
      </c>
      <c r="E1144" s="123" t="s">
        <v>26850</v>
      </c>
      <c r="F1144" s="123" t="s">
        <v>117</v>
      </c>
      <c r="G1144" s="299" t="s">
        <v>26851</v>
      </c>
      <c r="H1144" s="137" t="s">
        <v>26852</v>
      </c>
      <c r="I1144" s="137"/>
      <c r="J1144" s="137" t="s">
        <v>26853</v>
      </c>
      <c r="K1144" s="137" t="s">
        <v>26854</v>
      </c>
      <c r="L1144" s="136" t="s">
        <v>26855</v>
      </c>
      <c r="M1144" s="136" t="s">
        <v>26856</v>
      </c>
    </row>
    <row r="1145" spans="1:13" ht="14.25" customHeight="1">
      <c r="A1145" s="210">
        <v>1</v>
      </c>
      <c r="B1145" s="210"/>
      <c r="C1145" s="211" t="s">
        <v>26857</v>
      </c>
      <c r="D1145" s="238" t="s">
        <v>26858</v>
      </c>
      <c r="E1145" s="283" t="s">
        <v>26859</v>
      </c>
      <c r="F1145" s="283" t="s">
        <v>65</v>
      </c>
      <c r="G1145" s="213" t="s">
        <v>26860</v>
      </c>
      <c r="H1145" s="239" t="s">
        <v>26861</v>
      </c>
      <c r="I1145" s="239"/>
      <c r="J1145" s="263" t="s">
        <v>26862</v>
      </c>
      <c r="K1145" s="215" t="s">
        <v>26863</v>
      </c>
      <c r="L1145" s="210" t="s">
        <v>26864</v>
      </c>
      <c r="M1145" s="247" t="s">
        <v>26865</v>
      </c>
    </row>
    <row r="1146" spans="1:13" ht="15.75" customHeight="1">
      <c r="A1146" s="185">
        <v>2</v>
      </c>
      <c r="B1146" s="185"/>
      <c r="C1146" s="271" t="s">
        <v>26866</v>
      </c>
      <c r="D1146" s="259" t="s">
        <v>26867</v>
      </c>
      <c r="E1146" s="121" t="s">
        <v>26868</v>
      </c>
      <c r="F1146" s="121" t="s">
        <v>117</v>
      </c>
      <c r="G1146" s="299" t="s">
        <v>26869</v>
      </c>
      <c r="H1146" s="118" t="s">
        <v>26870</v>
      </c>
      <c r="I1146" s="118"/>
      <c r="J1146" s="118" t="s">
        <v>26871</v>
      </c>
      <c r="K1146" s="137" t="s">
        <v>26872</v>
      </c>
      <c r="L1146" s="136" t="s">
        <v>26873</v>
      </c>
      <c r="M1146" s="136" t="s">
        <v>26874</v>
      </c>
    </row>
    <row r="1147" spans="1:13" ht="15.75" customHeight="1">
      <c r="A1147" s="185">
        <v>3</v>
      </c>
      <c r="B1147" s="185"/>
      <c r="C1147" s="271" t="s">
        <v>26875</v>
      </c>
      <c r="D1147" s="259" t="s">
        <v>26876</v>
      </c>
      <c r="E1147" s="121" t="s">
        <v>13101</v>
      </c>
      <c r="F1147" s="121" t="s">
        <v>65</v>
      </c>
      <c r="G1147" s="299" t="s">
        <v>26877</v>
      </c>
      <c r="H1147" s="118" t="s">
        <v>26878</v>
      </c>
      <c r="I1147" s="118"/>
      <c r="J1147" s="118" t="s">
        <v>26879</v>
      </c>
      <c r="K1147" s="137" t="s">
        <v>26880</v>
      </c>
      <c r="L1147" s="136" t="s">
        <v>26881</v>
      </c>
      <c r="M1147" s="136" t="s">
        <v>26882</v>
      </c>
    </row>
    <row r="1148" spans="1:13" ht="15.75" customHeight="1">
      <c r="A1148" s="185">
        <v>4</v>
      </c>
      <c r="B1148" s="185"/>
      <c r="C1148" s="271" t="s">
        <v>26883</v>
      </c>
      <c r="D1148" s="259" t="s">
        <v>26884</v>
      </c>
      <c r="E1148" s="121" t="s">
        <v>26885</v>
      </c>
      <c r="F1148" s="121" t="s">
        <v>65</v>
      </c>
      <c r="G1148" s="299" t="s">
        <v>26886</v>
      </c>
      <c r="H1148" s="118" t="s">
        <v>26887</v>
      </c>
      <c r="I1148" s="118"/>
      <c r="J1148" s="118" t="s">
        <v>26888</v>
      </c>
      <c r="K1148" s="137" t="s">
        <v>26889</v>
      </c>
      <c r="L1148" s="136" t="s">
        <v>26890</v>
      </c>
      <c r="M1148" s="136" t="s">
        <v>26891</v>
      </c>
    </row>
    <row r="1149" spans="1:13" ht="15.75" customHeight="1">
      <c r="A1149" s="185">
        <v>5</v>
      </c>
      <c r="B1149" s="185"/>
      <c r="C1149" s="271" t="s">
        <v>26892</v>
      </c>
      <c r="D1149" s="259" t="s">
        <v>26893</v>
      </c>
      <c r="E1149" s="121" t="s">
        <v>26894</v>
      </c>
      <c r="F1149" s="121" t="s">
        <v>117</v>
      </c>
      <c r="G1149" s="299" t="s">
        <v>26895</v>
      </c>
      <c r="H1149" s="118" t="s">
        <v>26896</v>
      </c>
      <c r="I1149" s="118"/>
      <c r="J1149" s="118" t="s">
        <v>26897</v>
      </c>
      <c r="K1149" s="137" t="s">
        <v>26898</v>
      </c>
      <c r="L1149" s="136" t="s">
        <v>26899</v>
      </c>
      <c r="M1149" s="136" t="s">
        <v>26900</v>
      </c>
    </row>
    <row r="1150" spans="1:13" ht="15.75" customHeight="1">
      <c r="A1150" s="185">
        <v>6</v>
      </c>
      <c r="B1150" s="185"/>
      <c r="C1150" s="271" t="s">
        <v>26901</v>
      </c>
      <c r="D1150" s="259" t="s">
        <v>26902</v>
      </c>
      <c r="E1150" s="121" t="s">
        <v>26903</v>
      </c>
      <c r="F1150" s="121" t="s">
        <v>117</v>
      </c>
      <c r="G1150" s="299" t="s">
        <v>26904</v>
      </c>
      <c r="H1150" s="118" t="s">
        <v>26905</v>
      </c>
      <c r="I1150" s="118"/>
      <c r="J1150" s="118" t="s">
        <v>26906</v>
      </c>
      <c r="K1150" s="137" t="s">
        <v>26907</v>
      </c>
      <c r="L1150" s="136" t="s">
        <v>26908</v>
      </c>
      <c r="M1150" s="136" t="s">
        <v>26909</v>
      </c>
    </row>
    <row r="1151" spans="1:13" ht="15.75" customHeight="1">
      <c r="A1151" s="185">
        <v>7</v>
      </c>
      <c r="B1151" s="185"/>
      <c r="C1151" s="271" t="s">
        <v>26910</v>
      </c>
      <c r="D1151" s="259" t="s">
        <v>26911</v>
      </c>
      <c r="E1151" s="121" t="s">
        <v>26912</v>
      </c>
      <c r="F1151" s="121" t="s">
        <v>117</v>
      </c>
      <c r="G1151" s="299" t="s">
        <v>26913</v>
      </c>
      <c r="H1151" s="118" t="s">
        <v>26914</v>
      </c>
      <c r="I1151" s="118"/>
      <c r="J1151" s="118" t="s">
        <v>26915</v>
      </c>
      <c r="K1151" s="137" t="s">
        <v>26916</v>
      </c>
      <c r="L1151" s="136" t="s">
        <v>26917</v>
      </c>
      <c r="M1151" s="136" t="s">
        <v>26918</v>
      </c>
    </row>
    <row r="1152" spans="1:13" ht="15.75" customHeight="1">
      <c r="A1152" s="185">
        <v>8</v>
      </c>
      <c r="B1152" s="185"/>
      <c r="C1152" s="271" t="s">
        <v>26919</v>
      </c>
      <c r="D1152" s="259" t="s">
        <v>26920</v>
      </c>
      <c r="E1152" s="121" t="s">
        <v>26921</v>
      </c>
      <c r="F1152" s="121" t="s">
        <v>65</v>
      </c>
      <c r="G1152" s="299" t="s">
        <v>26922</v>
      </c>
      <c r="H1152" s="118" t="s">
        <v>26923</v>
      </c>
      <c r="I1152" s="118"/>
      <c r="J1152" s="118" t="s">
        <v>26924</v>
      </c>
      <c r="K1152" s="137" t="s">
        <v>26925</v>
      </c>
      <c r="L1152" s="136" t="s">
        <v>26926</v>
      </c>
      <c r="M1152" s="136" t="s">
        <v>26927</v>
      </c>
    </row>
    <row r="1153" spans="1:13" ht="15.75" customHeight="1">
      <c r="A1153" s="185">
        <v>9</v>
      </c>
      <c r="B1153" s="185"/>
      <c r="C1153" s="271" t="s">
        <v>26928</v>
      </c>
      <c r="D1153" s="259" t="s">
        <v>26929</v>
      </c>
      <c r="E1153" s="121" t="s">
        <v>26930</v>
      </c>
      <c r="F1153" s="121" t="s">
        <v>65</v>
      </c>
      <c r="G1153" s="299" t="s">
        <v>26931</v>
      </c>
      <c r="H1153" s="118" t="s">
        <v>26932</v>
      </c>
      <c r="I1153" s="118"/>
      <c r="J1153" s="118" t="s">
        <v>26933</v>
      </c>
      <c r="K1153" s="137" t="s">
        <v>26934</v>
      </c>
      <c r="L1153" s="136" t="s">
        <v>26935</v>
      </c>
      <c r="M1153" s="136" t="s">
        <v>26936</v>
      </c>
    </row>
    <row r="1154" spans="1:13" ht="15.75" customHeight="1">
      <c r="A1154" s="185">
        <v>10</v>
      </c>
      <c r="B1154" s="185"/>
      <c r="C1154" s="271" t="s">
        <v>26937</v>
      </c>
      <c r="D1154" s="259" t="s">
        <v>26938</v>
      </c>
      <c r="E1154" s="121" t="s">
        <v>26939</v>
      </c>
      <c r="F1154" s="121" t="s">
        <v>54</v>
      </c>
      <c r="G1154" s="299" t="s">
        <v>26940</v>
      </c>
      <c r="H1154" s="118" t="s">
        <v>26941</v>
      </c>
      <c r="I1154" s="118"/>
      <c r="J1154" s="118" t="s">
        <v>26942</v>
      </c>
      <c r="K1154" s="137" t="s">
        <v>26943</v>
      </c>
      <c r="L1154" s="136" t="s">
        <v>26944</v>
      </c>
      <c r="M1154" s="136" t="s">
        <v>26945</v>
      </c>
    </row>
    <row r="1155" spans="1:13" ht="15.75" customHeight="1">
      <c r="A1155" s="185">
        <v>11</v>
      </c>
      <c r="B1155" s="185"/>
      <c r="C1155" s="271" t="s">
        <v>26946</v>
      </c>
      <c r="D1155" s="259" t="s">
        <v>26947</v>
      </c>
      <c r="E1155" s="121" t="s">
        <v>26948</v>
      </c>
      <c r="F1155" s="121" t="s">
        <v>65</v>
      </c>
      <c r="G1155" s="299" t="s">
        <v>26949</v>
      </c>
      <c r="H1155" s="118" t="s">
        <v>26950</v>
      </c>
      <c r="I1155" s="118"/>
      <c r="J1155" s="118" t="s">
        <v>26951</v>
      </c>
      <c r="K1155" s="137" t="s">
        <v>26952</v>
      </c>
      <c r="L1155" s="136" t="s">
        <v>26953</v>
      </c>
      <c r="M1155" s="136" t="s">
        <v>26954</v>
      </c>
    </row>
    <row r="1156" spans="1:13" ht="15.75" customHeight="1">
      <c r="A1156" s="185">
        <v>12</v>
      </c>
      <c r="B1156" s="185"/>
      <c r="C1156" s="271" t="s">
        <v>26955</v>
      </c>
      <c r="D1156" s="259" t="s">
        <v>26956</v>
      </c>
      <c r="E1156" s="121" t="s">
        <v>26957</v>
      </c>
      <c r="F1156" s="121" t="s">
        <v>65</v>
      </c>
      <c r="G1156" s="299" t="s">
        <v>26958</v>
      </c>
      <c r="H1156" s="118" t="s">
        <v>26959</v>
      </c>
      <c r="I1156" s="118"/>
      <c r="J1156" s="118" t="s">
        <v>26960</v>
      </c>
      <c r="K1156" s="137" t="s">
        <v>26961</v>
      </c>
      <c r="L1156" s="136" t="s">
        <v>26962</v>
      </c>
      <c r="M1156" s="136" t="s">
        <v>26963</v>
      </c>
    </row>
    <row r="1157" spans="1:13" ht="15.75" customHeight="1">
      <c r="A1157" s="185">
        <v>13</v>
      </c>
      <c r="B1157" s="185"/>
      <c r="C1157" s="271" t="s">
        <v>26964</v>
      </c>
      <c r="D1157" s="259" t="s">
        <v>26965</v>
      </c>
      <c r="E1157" s="121" t="s">
        <v>26966</v>
      </c>
      <c r="F1157" s="121" t="s">
        <v>117</v>
      </c>
      <c r="G1157" s="299" t="s">
        <v>26967</v>
      </c>
      <c r="H1157" s="118" t="s">
        <v>26968</v>
      </c>
      <c r="I1157" s="118"/>
      <c r="J1157" s="118" t="s">
        <v>26969</v>
      </c>
      <c r="K1157" s="137" t="s">
        <v>26970</v>
      </c>
      <c r="L1157" s="136" t="s">
        <v>26971</v>
      </c>
      <c r="M1157" s="136" t="s">
        <v>26972</v>
      </c>
    </row>
    <row r="1158" spans="1:13" ht="15.75" customHeight="1">
      <c r="A1158" s="185">
        <v>14</v>
      </c>
      <c r="B1158" s="185"/>
      <c r="C1158" s="271" t="s">
        <v>26973</v>
      </c>
      <c r="D1158" s="259" t="s">
        <v>26974</v>
      </c>
      <c r="E1158" s="121" t="s">
        <v>26975</v>
      </c>
      <c r="F1158" s="121" t="s">
        <v>54</v>
      </c>
      <c r="G1158" s="299" t="s">
        <v>26976</v>
      </c>
      <c r="H1158" s="118" t="s">
        <v>26977</v>
      </c>
      <c r="I1158" s="118"/>
      <c r="J1158" s="118" t="s">
        <v>26978</v>
      </c>
      <c r="K1158" s="137" t="s">
        <v>26979</v>
      </c>
      <c r="L1158" s="136" t="s">
        <v>26980</v>
      </c>
      <c r="M1158" s="136" t="s">
        <v>26981</v>
      </c>
    </row>
    <row r="1159" spans="1:13" ht="15.75" customHeight="1">
      <c r="A1159" s="185">
        <v>15</v>
      </c>
      <c r="B1159" s="185"/>
      <c r="C1159" s="271" t="s">
        <v>26982</v>
      </c>
      <c r="D1159" s="259" t="s">
        <v>26983</v>
      </c>
      <c r="E1159" s="121" t="s">
        <v>26984</v>
      </c>
      <c r="F1159" s="121" t="s">
        <v>117</v>
      </c>
      <c r="G1159" s="299" t="s">
        <v>26985</v>
      </c>
      <c r="H1159" s="118" t="s">
        <v>26986</v>
      </c>
      <c r="I1159" s="118"/>
      <c r="J1159" s="118" t="s">
        <v>26987</v>
      </c>
      <c r="K1159" s="137" t="s">
        <v>26988</v>
      </c>
      <c r="L1159" s="136" t="s">
        <v>26989</v>
      </c>
      <c r="M1159" s="136" t="s">
        <v>26990</v>
      </c>
    </row>
    <row r="1160" spans="1:13" ht="15.75" customHeight="1">
      <c r="A1160" s="185">
        <v>16</v>
      </c>
      <c r="B1160" s="185"/>
      <c r="C1160" s="271" t="s">
        <v>26991</v>
      </c>
      <c r="D1160" s="259" t="s">
        <v>26992</v>
      </c>
      <c r="E1160" s="121" t="s">
        <v>26993</v>
      </c>
      <c r="F1160" s="121" t="s">
        <v>65</v>
      </c>
      <c r="G1160" s="299" t="s">
        <v>26994</v>
      </c>
      <c r="H1160" s="118" t="s">
        <v>26995</v>
      </c>
      <c r="I1160" s="118"/>
      <c r="J1160" s="118" t="s">
        <v>26996</v>
      </c>
      <c r="K1160" s="137" t="s">
        <v>26997</v>
      </c>
      <c r="L1160" s="136" t="s">
        <v>26998</v>
      </c>
      <c r="M1160" s="136" t="s">
        <v>26999</v>
      </c>
    </row>
    <row r="1161" spans="1:13" ht="15.75" customHeight="1">
      <c r="A1161" s="185">
        <v>17</v>
      </c>
      <c r="B1161" s="185"/>
      <c r="C1161" s="271" t="s">
        <v>27000</v>
      </c>
      <c r="D1161" s="259" t="s">
        <v>27001</v>
      </c>
      <c r="E1161" s="121" t="s">
        <v>27002</v>
      </c>
      <c r="F1161" s="121" t="s">
        <v>54</v>
      </c>
      <c r="G1161" s="299" t="s">
        <v>27003</v>
      </c>
      <c r="H1161" s="118" t="s">
        <v>27004</v>
      </c>
      <c r="I1161" s="118"/>
      <c r="J1161" s="118" t="s">
        <v>27005</v>
      </c>
      <c r="K1161" s="137" t="s">
        <v>27006</v>
      </c>
      <c r="L1161" s="136" t="s">
        <v>27007</v>
      </c>
      <c r="M1161" s="136" t="s">
        <v>27008</v>
      </c>
    </row>
    <row r="1162" spans="1:13" ht="15.75" customHeight="1">
      <c r="A1162" s="185">
        <v>18</v>
      </c>
      <c r="B1162" s="185"/>
      <c r="C1162" s="271" t="s">
        <v>27009</v>
      </c>
      <c r="D1162" s="259" t="s">
        <v>27010</v>
      </c>
      <c r="E1162" s="121" t="s">
        <v>27011</v>
      </c>
      <c r="F1162" s="121" t="s">
        <v>65</v>
      </c>
      <c r="G1162" s="299" t="s">
        <v>27012</v>
      </c>
      <c r="H1162" s="118" t="s">
        <v>27013</v>
      </c>
      <c r="I1162" s="118"/>
      <c r="J1162" s="118" t="s">
        <v>27014</v>
      </c>
      <c r="K1162" s="137" t="s">
        <v>27015</v>
      </c>
      <c r="L1162" s="136" t="s">
        <v>27016</v>
      </c>
      <c r="M1162" s="136" t="s">
        <v>27017</v>
      </c>
    </row>
    <row r="1163" spans="1:13" ht="15.75" customHeight="1">
      <c r="A1163" s="185">
        <v>19</v>
      </c>
      <c r="B1163" s="185"/>
      <c r="C1163" s="271" t="s">
        <v>27018</v>
      </c>
      <c r="D1163" s="259" t="s">
        <v>27019</v>
      </c>
      <c r="E1163" s="121" t="s">
        <v>27020</v>
      </c>
      <c r="F1163" s="121" t="s">
        <v>219</v>
      </c>
      <c r="G1163" s="299" t="s">
        <v>27021</v>
      </c>
      <c r="H1163" s="118" t="s">
        <v>27022</v>
      </c>
      <c r="I1163" s="118"/>
      <c r="J1163" s="118" t="s">
        <v>27023</v>
      </c>
      <c r="K1163" s="137" t="s">
        <v>27024</v>
      </c>
      <c r="L1163" s="136" t="s">
        <v>27025</v>
      </c>
      <c r="M1163" s="136" t="s">
        <v>27026</v>
      </c>
    </row>
    <row r="1164" spans="1:13" ht="15.75" customHeight="1">
      <c r="A1164" s="185">
        <v>20</v>
      </c>
      <c r="B1164" s="185"/>
      <c r="C1164" s="271" t="s">
        <v>27027</v>
      </c>
      <c r="D1164" s="259" t="s">
        <v>27028</v>
      </c>
      <c r="E1164" s="121" t="s">
        <v>27029</v>
      </c>
      <c r="F1164" s="121" t="s">
        <v>54</v>
      </c>
      <c r="G1164" s="299" t="s">
        <v>27030</v>
      </c>
      <c r="H1164" s="118" t="s">
        <v>27031</v>
      </c>
      <c r="I1164" s="118"/>
      <c r="J1164" s="118" t="s">
        <v>27032</v>
      </c>
      <c r="K1164" s="137" t="s">
        <v>27033</v>
      </c>
      <c r="L1164" s="136" t="s">
        <v>27034</v>
      </c>
      <c r="M1164" s="136" t="s">
        <v>27035</v>
      </c>
    </row>
    <row r="1165" spans="1:13" ht="15.75" customHeight="1">
      <c r="A1165" s="185">
        <v>21</v>
      </c>
      <c r="B1165" s="185"/>
      <c r="C1165" s="271" t="s">
        <v>27036</v>
      </c>
      <c r="D1165" s="259" t="s">
        <v>27037</v>
      </c>
      <c r="E1165" s="121" t="s">
        <v>27038</v>
      </c>
      <c r="F1165" s="121" t="s">
        <v>65</v>
      </c>
      <c r="G1165" s="299" t="s">
        <v>27039</v>
      </c>
      <c r="H1165" s="118" t="s">
        <v>27040</v>
      </c>
      <c r="I1165" s="118"/>
      <c r="J1165" s="118" t="s">
        <v>27041</v>
      </c>
      <c r="K1165" s="137" t="s">
        <v>27042</v>
      </c>
      <c r="L1165" s="136" t="s">
        <v>27043</v>
      </c>
      <c r="M1165" s="136" t="s">
        <v>27044</v>
      </c>
    </row>
    <row r="1166" spans="1:13" ht="15.75" customHeight="1">
      <c r="A1166" s="185">
        <v>22</v>
      </c>
      <c r="B1166" s="185"/>
      <c r="C1166" s="271" t="s">
        <v>27045</v>
      </c>
      <c r="D1166" s="259" t="s">
        <v>27046</v>
      </c>
      <c r="E1166" s="121" t="s">
        <v>27047</v>
      </c>
      <c r="F1166" s="121" t="s">
        <v>65</v>
      </c>
      <c r="G1166" s="299" t="s">
        <v>27048</v>
      </c>
      <c r="H1166" s="118" t="s">
        <v>27049</v>
      </c>
      <c r="I1166" s="118"/>
      <c r="J1166" s="118" t="s">
        <v>27050</v>
      </c>
      <c r="K1166" s="137" t="s">
        <v>27051</v>
      </c>
      <c r="L1166" s="136" t="s">
        <v>27052</v>
      </c>
      <c r="M1166" s="136" t="s">
        <v>27053</v>
      </c>
    </row>
    <row r="1167" spans="1:13" ht="15.75" customHeight="1">
      <c r="A1167" s="185">
        <v>23</v>
      </c>
      <c r="B1167" s="185"/>
      <c r="C1167" s="271" t="s">
        <v>27054</v>
      </c>
      <c r="D1167" s="259" t="s">
        <v>27055</v>
      </c>
      <c r="E1167" s="121" t="s">
        <v>27056</v>
      </c>
      <c r="F1167" s="121" t="s">
        <v>117</v>
      </c>
      <c r="G1167" s="299" t="s">
        <v>27057</v>
      </c>
      <c r="H1167" s="118" t="s">
        <v>27058</v>
      </c>
      <c r="I1167" s="118"/>
      <c r="J1167" s="118" t="s">
        <v>27059</v>
      </c>
      <c r="K1167" s="137" t="s">
        <v>27060</v>
      </c>
      <c r="L1167" s="136" t="s">
        <v>27061</v>
      </c>
      <c r="M1167" s="136" t="s">
        <v>27062</v>
      </c>
    </row>
    <row r="1168" spans="1:13" ht="15.75" customHeight="1">
      <c r="A1168" s="185">
        <v>24</v>
      </c>
      <c r="B1168" s="185"/>
      <c r="C1168" s="271" t="s">
        <v>27063</v>
      </c>
      <c r="D1168" s="259" t="s">
        <v>27064</v>
      </c>
      <c r="E1168" s="121" t="s">
        <v>27065</v>
      </c>
      <c r="F1168" s="121" t="s">
        <v>65</v>
      </c>
      <c r="G1168" s="299" t="s">
        <v>27066</v>
      </c>
      <c r="H1168" s="118" t="s">
        <v>27067</v>
      </c>
      <c r="I1168" s="118"/>
      <c r="J1168" s="118" t="s">
        <v>27068</v>
      </c>
      <c r="K1168" s="137" t="s">
        <v>27069</v>
      </c>
      <c r="L1168" s="136" t="s">
        <v>27070</v>
      </c>
      <c r="M1168" s="136" t="s">
        <v>27071</v>
      </c>
    </row>
    <row r="1169" spans="1:13" ht="15.75" customHeight="1">
      <c r="A1169" s="185">
        <v>25</v>
      </c>
      <c r="B1169" s="185"/>
      <c r="C1169" s="271" t="s">
        <v>27072</v>
      </c>
      <c r="D1169" s="259" t="s">
        <v>27073</v>
      </c>
      <c r="E1169" s="121" t="s">
        <v>27074</v>
      </c>
      <c r="F1169" s="121" t="s">
        <v>65</v>
      </c>
      <c r="G1169" s="299" t="s">
        <v>27075</v>
      </c>
      <c r="H1169" s="118" t="s">
        <v>27076</v>
      </c>
      <c r="I1169" s="118"/>
      <c r="J1169" s="118" t="s">
        <v>27077</v>
      </c>
      <c r="K1169" s="137" t="s">
        <v>27078</v>
      </c>
      <c r="L1169" s="136" t="s">
        <v>27079</v>
      </c>
      <c r="M1169" s="136" t="s">
        <v>27080</v>
      </c>
    </row>
    <row r="1170" spans="1:13" ht="15.75" customHeight="1">
      <c r="A1170" s="185">
        <v>26</v>
      </c>
      <c r="B1170" s="185"/>
      <c r="C1170" s="271" t="s">
        <v>22860</v>
      </c>
      <c r="D1170" s="259" t="s">
        <v>22861</v>
      </c>
      <c r="E1170" s="121" t="s">
        <v>22862</v>
      </c>
      <c r="F1170" s="121" t="s">
        <v>65</v>
      </c>
      <c r="G1170" s="299" t="s">
        <v>27081</v>
      </c>
      <c r="H1170" s="118" t="s">
        <v>27082</v>
      </c>
      <c r="I1170" s="13"/>
      <c r="J1170" s="13" t="s">
        <v>27083</v>
      </c>
      <c r="K1170" s="137" t="s">
        <v>27084</v>
      </c>
      <c r="L1170" s="136" t="s">
        <v>27085</v>
      </c>
      <c r="M1170" s="136" t="s">
        <v>27086</v>
      </c>
    </row>
    <row r="1171" spans="1:13" ht="15.75" customHeight="1">
      <c r="A1171" s="185">
        <v>27</v>
      </c>
      <c r="B1171" s="185"/>
      <c r="C1171" s="271" t="s">
        <v>27087</v>
      </c>
      <c r="D1171" s="259" t="s">
        <v>27088</v>
      </c>
      <c r="E1171" s="121" t="s">
        <v>27089</v>
      </c>
      <c r="F1171" s="271" t="s">
        <v>219</v>
      </c>
      <c r="G1171" s="299" t="s">
        <v>27090</v>
      </c>
      <c r="H1171" s="118" t="s">
        <v>27091</v>
      </c>
      <c r="I1171" s="118"/>
      <c r="J1171" s="118" t="s">
        <v>27092</v>
      </c>
      <c r="K1171" s="137" t="s">
        <v>27093</v>
      </c>
      <c r="L1171" s="136" t="s">
        <v>27094</v>
      </c>
      <c r="M1171" s="136" t="s">
        <v>27095</v>
      </c>
    </row>
    <row r="1172" spans="1:13" ht="15.75" customHeight="1">
      <c r="A1172" s="185">
        <v>28</v>
      </c>
      <c r="B1172" s="185"/>
      <c r="C1172" s="271" t="s">
        <v>27096</v>
      </c>
      <c r="D1172" s="259" t="s">
        <v>27097</v>
      </c>
      <c r="E1172" s="123" t="s">
        <v>27098</v>
      </c>
      <c r="F1172" s="123" t="s">
        <v>65</v>
      </c>
      <c r="G1172" s="299" t="s">
        <v>27099</v>
      </c>
      <c r="H1172" s="137" t="s">
        <v>27100</v>
      </c>
      <c r="I1172" s="137"/>
      <c r="J1172" s="137" t="s">
        <v>27101</v>
      </c>
      <c r="K1172" s="137" t="s">
        <v>27102</v>
      </c>
      <c r="L1172" s="136" t="s">
        <v>27103</v>
      </c>
      <c r="M1172" s="136" t="s">
        <v>27104</v>
      </c>
    </row>
    <row r="1173" spans="1:13" ht="15.75" customHeight="1">
      <c r="A1173" s="61">
        <v>29</v>
      </c>
      <c r="B1173" s="61"/>
      <c r="C1173" s="272" t="s">
        <v>27105</v>
      </c>
      <c r="D1173" s="226" t="s">
        <v>27106</v>
      </c>
      <c r="E1173" s="121" t="s">
        <v>27107</v>
      </c>
      <c r="F1173" s="121" t="s">
        <v>117</v>
      </c>
      <c r="G1173" s="300" t="s">
        <v>27108</v>
      </c>
      <c r="H1173" s="118" t="s">
        <v>27109</v>
      </c>
      <c r="I1173" s="118"/>
      <c r="J1173" s="118" t="s">
        <v>27110</v>
      </c>
      <c r="K1173" s="137" t="s">
        <v>27111</v>
      </c>
      <c r="L1173" s="136" t="s">
        <v>27112</v>
      </c>
      <c r="M1173" s="136" t="s">
        <v>27113</v>
      </c>
    </row>
    <row r="1174" spans="1:13" ht="15.75" customHeight="1">
      <c r="A1174" s="185">
        <v>30</v>
      </c>
      <c r="B1174" s="185"/>
      <c r="C1174" s="271" t="s">
        <v>27114</v>
      </c>
      <c r="D1174" s="259" t="s">
        <v>27115</v>
      </c>
      <c r="E1174" s="121" t="s">
        <v>27116</v>
      </c>
      <c r="F1174" s="121" t="s">
        <v>219</v>
      </c>
      <c r="G1174" s="299" t="s">
        <v>27117</v>
      </c>
      <c r="H1174" s="118" t="s">
        <v>27118</v>
      </c>
      <c r="I1174" s="118"/>
      <c r="J1174" s="118" t="s">
        <v>27119</v>
      </c>
      <c r="K1174" s="137" t="s">
        <v>27120</v>
      </c>
      <c r="L1174" s="136" t="s">
        <v>27121</v>
      </c>
      <c r="M1174" s="136" t="s">
        <v>27122</v>
      </c>
    </row>
    <row r="1175" spans="1:13" ht="15.75" customHeight="1">
      <c r="A1175" s="185">
        <v>31</v>
      </c>
      <c r="B1175" s="185"/>
      <c r="C1175" s="271" t="s">
        <v>27123</v>
      </c>
      <c r="D1175" s="259" t="s">
        <v>27124</v>
      </c>
      <c r="E1175" s="121" t="s">
        <v>27125</v>
      </c>
      <c r="F1175" s="121" t="s">
        <v>54</v>
      </c>
      <c r="G1175" s="299" t="s">
        <v>27126</v>
      </c>
      <c r="H1175" s="118" t="s">
        <v>27127</v>
      </c>
      <c r="I1175" s="118"/>
      <c r="J1175" s="118" t="s">
        <v>27128</v>
      </c>
      <c r="K1175" s="137" t="s">
        <v>27129</v>
      </c>
      <c r="L1175" s="136" t="s">
        <v>27130</v>
      </c>
      <c r="M1175" s="136" t="s">
        <v>27131</v>
      </c>
    </row>
    <row r="1176" spans="1:13" ht="15.75" customHeight="1">
      <c r="A1176" s="185">
        <v>32</v>
      </c>
      <c r="B1176" s="185"/>
      <c r="C1176" s="271" t="s">
        <v>27132</v>
      </c>
      <c r="D1176" s="259" t="s">
        <v>27133</v>
      </c>
      <c r="E1176" s="121" t="s">
        <v>27134</v>
      </c>
      <c r="F1176" s="121" t="s">
        <v>117</v>
      </c>
      <c r="G1176" s="299" t="s">
        <v>27135</v>
      </c>
      <c r="H1176" s="118" t="s">
        <v>27136</v>
      </c>
      <c r="I1176" s="118"/>
      <c r="J1176" s="118" t="s">
        <v>27137</v>
      </c>
      <c r="K1176" s="137" t="s">
        <v>27138</v>
      </c>
      <c r="L1176" s="136" t="s">
        <v>27139</v>
      </c>
      <c r="M1176" s="136" t="s">
        <v>27140</v>
      </c>
    </row>
    <row r="1177" spans="1:13" ht="15.75" customHeight="1">
      <c r="A1177" s="185">
        <v>33</v>
      </c>
      <c r="B1177" s="185"/>
      <c r="C1177" s="271" t="s">
        <v>27141</v>
      </c>
      <c r="D1177" s="259" t="s">
        <v>27142</v>
      </c>
      <c r="E1177" s="121" t="s">
        <v>27143</v>
      </c>
      <c r="F1177" s="121" t="s">
        <v>65</v>
      </c>
      <c r="G1177" s="299" t="s">
        <v>27144</v>
      </c>
      <c r="H1177" s="118" t="s">
        <v>27145</v>
      </c>
      <c r="I1177" s="118"/>
      <c r="J1177" s="118" t="s">
        <v>27146</v>
      </c>
      <c r="K1177" s="137" t="s">
        <v>27147</v>
      </c>
      <c r="L1177" s="136" t="s">
        <v>27148</v>
      </c>
      <c r="M1177" s="136" t="s">
        <v>27149</v>
      </c>
    </row>
    <row r="1178" spans="1:13" ht="15.75" customHeight="1">
      <c r="A1178" s="185">
        <v>34</v>
      </c>
      <c r="B1178" s="185"/>
      <c r="C1178" s="271" t="s">
        <v>27150</v>
      </c>
      <c r="D1178" s="259" t="s">
        <v>27151</v>
      </c>
      <c r="E1178" s="121" t="s">
        <v>27152</v>
      </c>
      <c r="F1178" s="121" t="s">
        <v>117</v>
      </c>
      <c r="G1178" s="299" t="s">
        <v>27153</v>
      </c>
      <c r="H1178" s="118" t="s">
        <v>27154</v>
      </c>
      <c r="I1178" s="118"/>
      <c r="J1178" s="118" t="s">
        <v>27155</v>
      </c>
      <c r="K1178" s="137" t="s">
        <v>27156</v>
      </c>
      <c r="L1178" s="136" t="s">
        <v>27157</v>
      </c>
      <c r="M1178" s="136" t="s">
        <v>27158</v>
      </c>
    </row>
    <row r="1179" spans="1:13" ht="15.75" customHeight="1">
      <c r="A1179" s="185">
        <v>35</v>
      </c>
      <c r="B1179" s="185"/>
      <c r="C1179" s="271" t="s">
        <v>27159</v>
      </c>
      <c r="D1179" s="259" t="s">
        <v>27160</v>
      </c>
      <c r="E1179" s="121" t="s">
        <v>27161</v>
      </c>
      <c r="F1179" s="121" t="s">
        <v>117</v>
      </c>
      <c r="G1179" s="299" t="s">
        <v>27162</v>
      </c>
      <c r="H1179" s="118" t="s">
        <v>27163</v>
      </c>
      <c r="I1179" s="118"/>
      <c r="J1179" s="118" t="s">
        <v>27164</v>
      </c>
      <c r="K1179" s="137" t="s">
        <v>27165</v>
      </c>
      <c r="L1179" s="136" t="s">
        <v>27166</v>
      </c>
      <c r="M1179" s="136" t="s">
        <v>27167</v>
      </c>
    </row>
    <row r="1180" spans="1:13" ht="15.75" customHeight="1">
      <c r="A1180" s="185">
        <v>36</v>
      </c>
      <c r="B1180" s="185"/>
      <c r="C1180" s="271" t="s">
        <v>27168</v>
      </c>
      <c r="D1180" s="259" t="s">
        <v>27169</v>
      </c>
      <c r="E1180" s="121" t="s">
        <v>603</v>
      </c>
      <c r="F1180" s="121" t="s">
        <v>54</v>
      </c>
      <c r="G1180" s="299" t="s">
        <v>27170</v>
      </c>
      <c r="H1180" s="118" t="s">
        <v>27171</v>
      </c>
      <c r="I1180" s="118"/>
      <c r="J1180" s="118" t="s">
        <v>27172</v>
      </c>
      <c r="K1180" s="137" t="s">
        <v>27173</v>
      </c>
      <c r="L1180" s="136" t="s">
        <v>27174</v>
      </c>
      <c r="M1180" s="136" t="s">
        <v>27175</v>
      </c>
    </row>
    <row r="1181" spans="1:13" ht="14.25" customHeight="1">
      <c r="A1181" s="210">
        <v>1</v>
      </c>
      <c r="B1181" s="210"/>
      <c r="C1181" s="211" t="s">
        <v>27176</v>
      </c>
      <c r="D1181" s="238" t="s">
        <v>27177</v>
      </c>
      <c r="E1181" s="283" t="s">
        <v>27178</v>
      </c>
      <c r="F1181" s="283" t="s">
        <v>65</v>
      </c>
      <c r="G1181" s="213" t="s">
        <v>27179</v>
      </c>
      <c r="H1181" s="215" t="s">
        <v>27180</v>
      </c>
      <c r="I1181" s="215"/>
      <c r="J1181" s="215" t="s">
        <v>27181</v>
      </c>
      <c r="K1181" s="215" t="s">
        <v>27182</v>
      </c>
      <c r="L1181" s="210" t="s">
        <v>27183</v>
      </c>
      <c r="M1181" s="247" t="s">
        <v>27184</v>
      </c>
    </row>
    <row r="1182" spans="1:13" ht="15.75" customHeight="1">
      <c r="A1182" s="185">
        <v>2</v>
      </c>
      <c r="B1182" s="185"/>
      <c r="C1182" s="271" t="s">
        <v>27185</v>
      </c>
      <c r="D1182" s="259" t="s">
        <v>27186</v>
      </c>
      <c r="E1182" s="121" t="s">
        <v>27187</v>
      </c>
      <c r="F1182" s="121" t="s">
        <v>65</v>
      </c>
      <c r="G1182" s="299" t="s">
        <v>27188</v>
      </c>
      <c r="H1182" s="118" t="s">
        <v>27189</v>
      </c>
      <c r="I1182" s="118"/>
      <c r="J1182" s="118" t="s">
        <v>27190</v>
      </c>
      <c r="K1182" s="137" t="s">
        <v>27191</v>
      </c>
      <c r="L1182" s="136" t="s">
        <v>27192</v>
      </c>
      <c r="M1182" s="136" t="s">
        <v>27193</v>
      </c>
    </row>
    <row r="1183" spans="1:13" ht="15.75" customHeight="1">
      <c r="A1183" s="185">
        <v>3</v>
      </c>
      <c r="B1183" s="185"/>
      <c r="C1183" s="271" t="s">
        <v>27194</v>
      </c>
      <c r="D1183" s="259" t="s">
        <v>27195</v>
      </c>
      <c r="E1183" s="121" t="s">
        <v>27196</v>
      </c>
      <c r="F1183" s="121" t="s">
        <v>65</v>
      </c>
      <c r="G1183" s="299" t="s">
        <v>27197</v>
      </c>
      <c r="H1183" s="118" t="s">
        <v>27198</v>
      </c>
      <c r="I1183" s="118"/>
      <c r="J1183" s="118" t="s">
        <v>27199</v>
      </c>
      <c r="K1183" s="137" t="s">
        <v>27200</v>
      </c>
      <c r="L1183" s="136" t="s">
        <v>27201</v>
      </c>
      <c r="M1183" s="136" t="s">
        <v>27202</v>
      </c>
    </row>
    <row r="1184" spans="1:13" ht="15.75" customHeight="1">
      <c r="A1184" s="185">
        <v>4</v>
      </c>
      <c r="B1184" s="185"/>
      <c r="C1184" s="271" t="s">
        <v>27203</v>
      </c>
      <c r="D1184" s="259" t="s">
        <v>27204</v>
      </c>
      <c r="E1184" s="121" t="s">
        <v>27205</v>
      </c>
      <c r="F1184" s="121" t="s">
        <v>65</v>
      </c>
      <c r="G1184" s="299" t="s">
        <v>27206</v>
      </c>
      <c r="H1184" s="118" t="s">
        <v>27207</v>
      </c>
      <c r="I1184" s="118"/>
      <c r="J1184" s="118" t="s">
        <v>27208</v>
      </c>
      <c r="K1184" s="137" t="s">
        <v>27209</v>
      </c>
      <c r="L1184" s="136" t="s">
        <v>27210</v>
      </c>
      <c r="M1184" s="136" t="s">
        <v>27211</v>
      </c>
    </row>
    <row r="1185" spans="1:13" ht="15.75" customHeight="1">
      <c r="A1185" s="185">
        <v>5</v>
      </c>
      <c r="B1185" s="185"/>
      <c r="C1185" s="271" t="s">
        <v>27212</v>
      </c>
      <c r="D1185" s="259" t="s">
        <v>27213</v>
      </c>
      <c r="E1185" s="121" t="s">
        <v>27214</v>
      </c>
      <c r="F1185" s="121" t="s">
        <v>117</v>
      </c>
      <c r="G1185" s="299" t="s">
        <v>27215</v>
      </c>
      <c r="H1185" s="118" t="s">
        <v>27216</v>
      </c>
      <c r="I1185" s="118"/>
      <c r="J1185" s="118" t="s">
        <v>27217</v>
      </c>
      <c r="K1185" s="137" t="s">
        <v>27218</v>
      </c>
      <c r="L1185" s="136" t="s">
        <v>27219</v>
      </c>
      <c r="M1185" s="136" t="s">
        <v>27220</v>
      </c>
    </row>
    <row r="1186" spans="1:13" ht="15.75" customHeight="1">
      <c r="A1186" s="185">
        <v>6</v>
      </c>
      <c r="B1186" s="185"/>
      <c r="C1186" s="271" t="s">
        <v>27221</v>
      </c>
      <c r="D1186" s="259" t="s">
        <v>27222</v>
      </c>
      <c r="E1186" s="121" t="s">
        <v>27223</v>
      </c>
      <c r="F1186" s="121" t="s">
        <v>117</v>
      </c>
      <c r="G1186" s="299" t="s">
        <v>27224</v>
      </c>
      <c r="H1186" s="118" t="s">
        <v>27225</v>
      </c>
      <c r="I1186" s="118"/>
      <c r="J1186" s="259" t="s">
        <v>27226</v>
      </c>
      <c r="K1186" s="137" t="s">
        <v>27227</v>
      </c>
      <c r="L1186" s="136" t="s">
        <v>27228</v>
      </c>
      <c r="M1186" s="136" t="s">
        <v>27229</v>
      </c>
    </row>
    <row r="1187" spans="1:13" ht="15.75" customHeight="1">
      <c r="A1187" s="185">
        <v>7</v>
      </c>
      <c r="B1187" s="185"/>
      <c r="C1187" s="271" t="s">
        <v>27230</v>
      </c>
      <c r="D1187" s="259" t="s">
        <v>27231</v>
      </c>
      <c r="E1187" s="121" t="s">
        <v>27232</v>
      </c>
      <c r="F1187" s="121" t="s">
        <v>65</v>
      </c>
      <c r="G1187" s="299" t="s">
        <v>27233</v>
      </c>
      <c r="H1187" s="118" t="s">
        <v>27234</v>
      </c>
      <c r="I1187" s="118"/>
      <c r="J1187" s="118" t="s">
        <v>27235</v>
      </c>
      <c r="K1187" s="137" t="s">
        <v>27236</v>
      </c>
      <c r="L1187" s="136" t="s">
        <v>27237</v>
      </c>
      <c r="M1187" s="136" t="s">
        <v>27238</v>
      </c>
    </row>
    <row r="1188" spans="1:13" ht="15.75" customHeight="1">
      <c r="A1188" s="185">
        <v>8</v>
      </c>
      <c r="B1188" s="185"/>
      <c r="C1188" s="271" t="s">
        <v>27239</v>
      </c>
      <c r="D1188" s="259" t="s">
        <v>27240</v>
      </c>
      <c r="E1188" s="121" t="s">
        <v>27241</v>
      </c>
      <c r="F1188" s="121" t="s">
        <v>65</v>
      </c>
      <c r="G1188" s="299" t="s">
        <v>27242</v>
      </c>
      <c r="H1188" s="118" t="s">
        <v>27243</v>
      </c>
      <c r="I1188" s="118"/>
      <c r="J1188" s="118" t="s">
        <v>27244</v>
      </c>
      <c r="K1188" s="137" t="s">
        <v>27245</v>
      </c>
      <c r="L1188" s="136" t="s">
        <v>27246</v>
      </c>
      <c r="M1188" s="136" t="s">
        <v>27247</v>
      </c>
    </row>
    <row r="1189" spans="1:13" ht="15.75" customHeight="1">
      <c r="A1189" s="185">
        <v>9</v>
      </c>
      <c r="B1189" s="185"/>
      <c r="C1189" s="271" t="s">
        <v>27248</v>
      </c>
      <c r="D1189" s="259" t="s">
        <v>27249</v>
      </c>
      <c r="E1189" s="121" t="s">
        <v>27250</v>
      </c>
      <c r="F1189" s="121" t="s">
        <v>65</v>
      </c>
      <c r="G1189" s="299" t="s">
        <v>27251</v>
      </c>
      <c r="H1189" s="118" t="s">
        <v>27252</v>
      </c>
      <c r="I1189" s="118"/>
      <c r="J1189" s="118" t="s">
        <v>27253</v>
      </c>
      <c r="K1189" s="137" t="s">
        <v>27254</v>
      </c>
      <c r="L1189" s="136" t="s">
        <v>27255</v>
      </c>
      <c r="M1189" s="136" t="s">
        <v>27256</v>
      </c>
    </row>
    <row r="1190" spans="1:13" ht="15.75" customHeight="1">
      <c r="A1190" s="185">
        <v>10</v>
      </c>
      <c r="B1190" s="185"/>
      <c r="C1190" s="271" t="s">
        <v>27257</v>
      </c>
      <c r="D1190" s="259" t="s">
        <v>27258</v>
      </c>
      <c r="E1190" s="121" t="s">
        <v>27259</v>
      </c>
      <c r="F1190" s="121" t="s">
        <v>117</v>
      </c>
      <c r="G1190" s="299" t="s">
        <v>27260</v>
      </c>
      <c r="H1190" s="118" t="s">
        <v>27261</v>
      </c>
      <c r="I1190" s="118"/>
      <c r="J1190" s="118" t="s">
        <v>27262</v>
      </c>
      <c r="K1190" s="137" t="s">
        <v>27263</v>
      </c>
      <c r="L1190" s="136" t="s">
        <v>27264</v>
      </c>
      <c r="M1190" s="136" t="s">
        <v>27265</v>
      </c>
    </row>
    <row r="1191" spans="1:13" ht="15.75" customHeight="1">
      <c r="A1191" s="185">
        <v>11</v>
      </c>
      <c r="B1191" s="185"/>
      <c r="C1191" s="271" t="s">
        <v>27266</v>
      </c>
      <c r="D1191" s="259" t="s">
        <v>27267</v>
      </c>
      <c r="E1191" s="121" t="s">
        <v>27268</v>
      </c>
      <c r="F1191" s="121" t="s">
        <v>117</v>
      </c>
      <c r="G1191" s="299" t="s">
        <v>27269</v>
      </c>
      <c r="H1191" s="118" t="s">
        <v>27270</v>
      </c>
      <c r="I1191" s="118"/>
      <c r="J1191" s="118" t="s">
        <v>27271</v>
      </c>
      <c r="K1191" s="137" t="s">
        <v>27272</v>
      </c>
      <c r="L1191" s="136" t="s">
        <v>27273</v>
      </c>
      <c r="M1191" s="136" t="s">
        <v>27274</v>
      </c>
    </row>
    <row r="1192" spans="1:13" ht="15.75" customHeight="1">
      <c r="A1192" s="185">
        <v>12</v>
      </c>
      <c r="B1192" s="185"/>
      <c r="C1192" s="271" t="s">
        <v>27275</v>
      </c>
      <c r="D1192" s="259" t="s">
        <v>27276</v>
      </c>
      <c r="E1192" s="113" t="s">
        <v>27277</v>
      </c>
      <c r="F1192" s="121" t="s">
        <v>19877</v>
      </c>
      <c r="G1192" s="299" t="s">
        <v>27278</v>
      </c>
      <c r="H1192" s="118" t="s">
        <v>27279</v>
      </c>
      <c r="I1192" s="118"/>
      <c r="J1192" s="118" t="s">
        <v>27280</v>
      </c>
      <c r="K1192" s="137" t="s">
        <v>27281</v>
      </c>
      <c r="L1192" s="136" t="s">
        <v>27282</v>
      </c>
      <c r="M1192" s="136" t="s">
        <v>27283</v>
      </c>
    </row>
    <row r="1193" spans="1:13" ht="15.75" customHeight="1">
      <c r="A1193" s="185">
        <v>13</v>
      </c>
      <c r="B1193" s="185"/>
      <c r="C1193" s="271" t="s">
        <v>27284</v>
      </c>
      <c r="D1193" s="259" t="s">
        <v>27285</v>
      </c>
      <c r="E1193" s="121" t="s">
        <v>27286</v>
      </c>
      <c r="F1193" s="121" t="s">
        <v>54</v>
      </c>
      <c r="G1193" s="299" t="s">
        <v>27287</v>
      </c>
      <c r="H1193" s="118" t="s">
        <v>27288</v>
      </c>
      <c r="I1193" s="118"/>
      <c r="J1193" s="118" t="s">
        <v>27289</v>
      </c>
      <c r="K1193" s="137" t="s">
        <v>27290</v>
      </c>
      <c r="L1193" s="136" t="s">
        <v>27291</v>
      </c>
      <c r="M1193" s="136" t="s">
        <v>27292</v>
      </c>
    </row>
    <row r="1194" spans="1:13" ht="15.75" customHeight="1">
      <c r="A1194" s="185">
        <v>14</v>
      </c>
      <c r="B1194" s="185"/>
      <c r="C1194" s="271" t="s">
        <v>27293</v>
      </c>
      <c r="D1194" s="259" t="s">
        <v>27294</v>
      </c>
      <c r="E1194" s="121" t="s">
        <v>27295</v>
      </c>
      <c r="F1194" s="121" t="s">
        <v>54</v>
      </c>
      <c r="G1194" s="299" t="s">
        <v>27296</v>
      </c>
      <c r="H1194" s="118" t="s">
        <v>27297</v>
      </c>
      <c r="I1194" s="118"/>
      <c r="J1194" s="118" t="s">
        <v>27298</v>
      </c>
      <c r="K1194" s="137" t="s">
        <v>27299</v>
      </c>
      <c r="L1194" s="136" t="s">
        <v>27300</v>
      </c>
      <c r="M1194" s="136" t="s">
        <v>27301</v>
      </c>
    </row>
    <row r="1195" spans="1:13" ht="15.75" customHeight="1">
      <c r="A1195" s="185">
        <v>15</v>
      </c>
      <c r="B1195" s="185"/>
      <c r="C1195" s="271" t="s">
        <v>27302</v>
      </c>
      <c r="D1195" s="259" t="s">
        <v>27303</v>
      </c>
      <c r="E1195" s="121" t="s">
        <v>27304</v>
      </c>
      <c r="F1195" s="121" t="s">
        <v>54</v>
      </c>
      <c r="G1195" s="299" t="s">
        <v>27305</v>
      </c>
      <c r="H1195" s="118" t="s">
        <v>27306</v>
      </c>
      <c r="I1195" s="118"/>
      <c r="J1195" s="118" t="s">
        <v>27307</v>
      </c>
      <c r="K1195" s="137" t="s">
        <v>27308</v>
      </c>
      <c r="L1195" s="136" t="s">
        <v>27309</v>
      </c>
      <c r="M1195" s="136" t="s">
        <v>27310</v>
      </c>
    </row>
    <row r="1196" spans="1:13" ht="15.75" customHeight="1">
      <c r="A1196" s="185">
        <v>16</v>
      </c>
      <c r="B1196" s="185"/>
      <c r="C1196" s="271" t="s">
        <v>27311</v>
      </c>
      <c r="D1196" s="259" t="s">
        <v>27312</v>
      </c>
      <c r="E1196" s="121" t="s">
        <v>27313</v>
      </c>
      <c r="F1196" s="121" t="s">
        <v>117</v>
      </c>
      <c r="G1196" s="299" t="s">
        <v>27314</v>
      </c>
      <c r="H1196" s="118" t="s">
        <v>27315</v>
      </c>
      <c r="I1196" s="118"/>
      <c r="J1196" s="118" t="s">
        <v>27316</v>
      </c>
      <c r="K1196" s="137" t="s">
        <v>27317</v>
      </c>
      <c r="L1196" s="136" t="s">
        <v>27318</v>
      </c>
      <c r="M1196" s="136" t="s">
        <v>27319</v>
      </c>
    </row>
    <row r="1197" spans="1:13" ht="15.75" customHeight="1">
      <c r="A1197" s="185">
        <v>17</v>
      </c>
      <c r="B1197" s="185"/>
      <c r="C1197" s="271" t="s">
        <v>27320</v>
      </c>
      <c r="D1197" s="259" t="s">
        <v>27321</v>
      </c>
      <c r="E1197" s="121" t="s">
        <v>27322</v>
      </c>
      <c r="F1197" s="121" t="s">
        <v>54</v>
      </c>
      <c r="G1197" s="299" t="s">
        <v>27323</v>
      </c>
      <c r="H1197" s="118" t="s">
        <v>27324</v>
      </c>
      <c r="I1197" s="118"/>
      <c r="J1197" s="118" t="s">
        <v>27325</v>
      </c>
      <c r="K1197" s="137" t="s">
        <v>27326</v>
      </c>
      <c r="L1197" s="136" t="s">
        <v>27327</v>
      </c>
      <c r="M1197" s="136" t="s">
        <v>27328</v>
      </c>
    </row>
    <row r="1198" spans="1:13" ht="15.75" customHeight="1">
      <c r="A1198" s="185">
        <v>18</v>
      </c>
      <c r="B1198" s="185"/>
      <c r="C1198" s="271" t="s">
        <v>27329</v>
      </c>
      <c r="D1198" s="259" t="s">
        <v>27330</v>
      </c>
      <c r="E1198" s="121" t="s">
        <v>27331</v>
      </c>
      <c r="F1198" s="121" t="s">
        <v>117</v>
      </c>
      <c r="G1198" s="299" t="s">
        <v>27332</v>
      </c>
      <c r="H1198" s="118" t="s">
        <v>27333</v>
      </c>
      <c r="I1198" s="118"/>
      <c r="J1198" s="118" t="s">
        <v>27334</v>
      </c>
      <c r="K1198" s="137" t="s">
        <v>27335</v>
      </c>
      <c r="L1198" s="136" t="s">
        <v>27336</v>
      </c>
      <c r="M1198" s="136" t="s">
        <v>27337</v>
      </c>
    </row>
    <row r="1199" spans="1:13" ht="15.75" customHeight="1">
      <c r="A1199" s="185">
        <v>19</v>
      </c>
      <c r="B1199" s="185"/>
      <c r="C1199" s="271" t="s">
        <v>27338</v>
      </c>
      <c r="D1199" s="259" t="s">
        <v>27339</v>
      </c>
      <c r="E1199" s="121" t="s">
        <v>27340</v>
      </c>
      <c r="F1199" s="121" t="s">
        <v>54</v>
      </c>
      <c r="G1199" s="299" t="s">
        <v>27341</v>
      </c>
      <c r="H1199" s="118" t="s">
        <v>27342</v>
      </c>
      <c r="I1199" s="118"/>
      <c r="J1199" s="118" t="s">
        <v>27343</v>
      </c>
      <c r="K1199" s="137" t="s">
        <v>27344</v>
      </c>
      <c r="L1199" s="136" t="s">
        <v>27345</v>
      </c>
      <c r="M1199" s="136" t="s">
        <v>27346</v>
      </c>
    </row>
    <row r="1200" spans="1:13" ht="15.75" customHeight="1">
      <c r="A1200" s="185">
        <v>20</v>
      </c>
      <c r="B1200" s="185"/>
      <c r="C1200" s="271" t="s">
        <v>27347</v>
      </c>
      <c r="D1200" s="259" t="s">
        <v>27348</v>
      </c>
      <c r="E1200" s="121" t="s">
        <v>27349</v>
      </c>
      <c r="F1200" s="271" t="s">
        <v>54</v>
      </c>
      <c r="G1200" s="299" t="s">
        <v>27350</v>
      </c>
      <c r="H1200" s="118" t="s">
        <v>27351</v>
      </c>
      <c r="I1200" s="118"/>
      <c r="J1200" s="118" t="s">
        <v>27352</v>
      </c>
      <c r="K1200" s="137" t="s">
        <v>27353</v>
      </c>
      <c r="L1200" s="136" t="s">
        <v>27354</v>
      </c>
      <c r="M1200" s="136" t="s">
        <v>27355</v>
      </c>
    </row>
    <row r="1201" spans="1:13" ht="15.75" customHeight="1">
      <c r="A1201" s="185">
        <v>21</v>
      </c>
      <c r="B1201" s="185"/>
      <c r="C1201" s="271" t="s">
        <v>27356</v>
      </c>
      <c r="D1201" s="259" t="s">
        <v>27357</v>
      </c>
      <c r="E1201" s="121" t="s">
        <v>27358</v>
      </c>
      <c r="F1201" s="121" t="s">
        <v>54</v>
      </c>
      <c r="G1201" s="299" t="s">
        <v>27359</v>
      </c>
      <c r="H1201" s="118" t="s">
        <v>27360</v>
      </c>
      <c r="I1201" s="118"/>
      <c r="J1201" s="118" t="s">
        <v>27361</v>
      </c>
      <c r="K1201" s="137" t="s">
        <v>27362</v>
      </c>
      <c r="L1201" s="136" t="s">
        <v>27363</v>
      </c>
      <c r="M1201" s="136" t="s">
        <v>27364</v>
      </c>
    </row>
    <row r="1202" spans="1:13" ht="15.75" customHeight="1">
      <c r="A1202" s="185">
        <v>22</v>
      </c>
      <c r="B1202" s="185"/>
      <c r="C1202" s="271" t="s">
        <v>27365</v>
      </c>
      <c r="D1202" s="259" t="s">
        <v>27366</v>
      </c>
      <c r="E1202" s="121" t="s">
        <v>27367</v>
      </c>
      <c r="F1202" s="271" t="s">
        <v>117</v>
      </c>
      <c r="G1202" s="299" t="s">
        <v>22276</v>
      </c>
      <c r="H1202" s="118" t="s">
        <v>27368</v>
      </c>
      <c r="I1202" s="118"/>
      <c r="J1202" s="118" t="s">
        <v>27369</v>
      </c>
      <c r="K1202" s="137" t="s">
        <v>27370</v>
      </c>
      <c r="L1202" s="136" t="s">
        <v>27371</v>
      </c>
      <c r="M1202" s="136" t="s">
        <v>27372</v>
      </c>
    </row>
    <row r="1203" spans="1:13" ht="15.75" customHeight="1">
      <c r="A1203" s="185">
        <v>23</v>
      </c>
      <c r="B1203" s="185"/>
      <c r="C1203" s="271" t="s">
        <v>27373</v>
      </c>
      <c r="D1203" s="259" t="s">
        <v>27374</v>
      </c>
      <c r="E1203" s="121" t="s">
        <v>1994</v>
      </c>
      <c r="F1203" s="121" t="s">
        <v>54</v>
      </c>
      <c r="G1203" s="299" t="s">
        <v>27375</v>
      </c>
      <c r="H1203" s="118" t="s">
        <v>27376</v>
      </c>
      <c r="I1203" s="118"/>
      <c r="J1203" s="118" t="s">
        <v>27377</v>
      </c>
      <c r="K1203" s="137" t="s">
        <v>27378</v>
      </c>
      <c r="L1203" s="136" t="s">
        <v>27379</v>
      </c>
      <c r="M1203" s="136" t="s">
        <v>27380</v>
      </c>
    </row>
    <row r="1204" spans="1:13" ht="15.75" customHeight="1">
      <c r="A1204" s="185">
        <v>24</v>
      </c>
      <c r="B1204" s="185"/>
      <c r="C1204" s="271" t="s">
        <v>27381</v>
      </c>
      <c r="D1204" s="259" t="s">
        <v>27382</v>
      </c>
      <c r="E1204" s="121" t="s">
        <v>27383</v>
      </c>
      <c r="F1204" s="121" t="s">
        <v>65</v>
      </c>
      <c r="G1204" s="299" t="s">
        <v>27384</v>
      </c>
      <c r="H1204" s="118" t="s">
        <v>27385</v>
      </c>
      <c r="I1204" s="118"/>
      <c r="J1204" s="118" t="s">
        <v>27386</v>
      </c>
      <c r="K1204" s="137" t="s">
        <v>27387</v>
      </c>
      <c r="L1204" s="136" t="s">
        <v>27388</v>
      </c>
      <c r="M1204" s="136" t="s">
        <v>27389</v>
      </c>
    </row>
    <row r="1205" spans="1:13" ht="15.75" customHeight="1">
      <c r="A1205" s="185">
        <v>25</v>
      </c>
      <c r="B1205" s="185"/>
      <c r="C1205" s="271" t="s">
        <v>27390</v>
      </c>
      <c r="D1205" s="259" t="s">
        <v>27391</v>
      </c>
      <c r="E1205" s="121" t="s">
        <v>27392</v>
      </c>
      <c r="F1205" s="121" t="s">
        <v>219</v>
      </c>
      <c r="G1205" s="299" t="s">
        <v>27393</v>
      </c>
      <c r="H1205" s="118" t="s">
        <v>27394</v>
      </c>
      <c r="I1205" s="118"/>
      <c r="J1205" s="118" t="s">
        <v>27395</v>
      </c>
      <c r="K1205" s="137" t="s">
        <v>27396</v>
      </c>
      <c r="L1205" s="136" t="s">
        <v>27397</v>
      </c>
      <c r="M1205" s="136" t="s">
        <v>27398</v>
      </c>
    </row>
    <row r="1206" spans="1:13" ht="15.75" customHeight="1">
      <c r="A1206" s="185">
        <v>26</v>
      </c>
      <c r="B1206" s="185"/>
      <c r="C1206" s="271" t="s">
        <v>27399</v>
      </c>
      <c r="D1206" s="259" t="s">
        <v>27400</v>
      </c>
      <c r="E1206" s="121" t="s">
        <v>27401</v>
      </c>
      <c r="F1206" s="121" t="s">
        <v>54</v>
      </c>
      <c r="G1206" s="299" t="s">
        <v>27402</v>
      </c>
      <c r="H1206" s="118" t="s">
        <v>27403</v>
      </c>
      <c r="I1206" s="118"/>
      <c r="J1206" s="118" t="s">
        <v>27404</v>
      </c>
      <c r="K1206" s="137" t="s">
        <v>27405</v>
      </c>
      <c r="L1206" s="136" t="s">
        <v>27406</v>
      </c>
      <c r="M1206" s="136" t="s">
        <v>27407</v>
      </c>
    </row>
    <row r="1207" spans="1:13" ht="15.75" customHeight="1">
      <c r="A1207" s="185">
        <v>27</v>
      </c>
      <c r="B1207" s="185"/>
      <c r="C1207" s="271" t="s">
        <v>27408</v>
      </c>
      <c r="D1207" s="259" t="s">
        <v>27409</v>
      </c>
      <c r="E1207" s="121" t="s">
        <v>27410</v>
      </c>
      <c r="F1207" s="271" t="s">
        <v>65</v>
      </c>
      <c r="G1207" s="299" t="s">
        <v>27411</v>
      </c>
      <c r="H1207" s="118" t="s">
        <v>27412</v>
      </c>
      <c r="I1207" s="118"/>
      <c r="J1207" s="118" t="s">
        <v>27413</v>
      </c>
      <c r="K1207" s="137" t="s">
        <v>27414</v>
      </c>
      <c r="L1207" s="136" t="s">
        <v>27415</v>
      </c>
      <c r="M1207" s="136" t="s">
        <v>27416</v>
      </c>
    </row>
    <row r="1208" spans="1:13" ht="15.75" customHeight="1">
      <c r="A1208" s="185">
        <v>28</v>
      </c>
      <c r="B1208" s="185"/>
      <c r="C1208" s="271" t="s">
        <v>27417</v>
      </c>
      <c r="D1208" s="259" t="s">
        <v>27418</v>
      </c>
      <c r="E1208" s="121" t="s">
        <v>27419</v>
      </c>
      <c r="F1208" s="271" t="s">
        <v>117</v>
      </c>
      <c r="G1208" s="299" t="s">
        <v>27420</v>
      </c>
      <c r="H1208" s="118" t="s">
        <v>27421</v>
      </c>
      <c r="I1208" s="13"/>
      <c r="J1208" s="13" t="s">
        <v>27422</v>
      </c>
      <c r="K1208" s="137" t="s">
        <v>27423</v>
      </c>
      <c r="L1208" s="136" t="s">
        <v>27424</v>
      </c>
      <c r="M1208" s="136" t="s">
        <v>27425</v>
      </c>
    </row>
    <row r="1209" spans="1:13" ht="15.75" customHeight="1">
      <c r="A1209" s="185">
        <v>29</v>
      </c>
      <c r="B1209" s="185"/>
      <c r="C1209" s="271" t="s">
        <v>27426</v>
      </c>
      <c r="D1209" s="259" t="s">
        <v>27427</v>
      </c>
      <c r="E1209" s="121" t="s">
        <v>27428</v>
      </c>
      <c r="F1209" s="271" t="s">
        <v>6748</v>
      </c>
      <c r="G1209" s="299" t="s">
        <v>27429</v>
      </c>
      <c r="H1209" s="118" t="s">
        <v>27430</v>
      </c>
      <c r="I1209" s="118"/>
      <c r="J1209" s="118" t="s">
        <v>27431</v>
      </c>
      <c r="K1209" s="137" t="s">
        <v>27432</v>
      </c>
      <c r="L1209" s="136" t="s">
        <v>27433</v>
      </c>
      <c r="M1209" s="136" t="s">
        <v>27434</v>
      </c>
    </row>
    <row r="1210" spans="1:13" ht="14.25" customHeight="1">
      <c r="A1210" s="210">
        <v>1</v>
      </c>
      <c r="B1210" s="210"/>
      <c r="C1210" s="211" t="s">
        <v>27435</v>
      </c>
      <c r="D1210" s="238" t="s">
        <v>27436</v>
      </c>
      <c r="E1210" s="283" t="s">
        <v>27437</v>
      </c>
      <c r="F1210" s="283" t="s">
        <v>117</v>
      </c>
      <c r="G1210" s="213" t="s">
        <v>27438</v>
      </c>
      <c r="H1210" s="214" t="s">
        <v>27439</v>
      </c>
      <c r="I1210" s="214"/>
      <c r="J1210" s="263" t="s">
        <v>27440</v>
      </c>
      <c r="K1210" s="215" t="s">
        <v>27441</v>
      </c>
      <c r="L1210" s="210" t="s">
        <v>27442</v>
      </c>
      <c r="M1210" s="247" t="s">
        <v>27443</v>
      </c>
    </row>
    <row r="1211" spans="1:13" ht="15.75" customHeight="1">
      <c r="A1211" s="185">
        <v>2</v>
      </c>
      <c r="B1211" s="185"/>
      <c r="C1211" s="271" t="s">
        <v>27444</v>
      </c>
      <c r="D1211" s="259" t="s">
        <v>27445</v>
      </c>
      <c r="E1211" s="121" t="s">
        <v>27446</v>
      </c>
      <c r="F1211" s="121" t="s">
        <v>65</v>
      </c>
      <c r="G1211" s="299" t="s">
        <v>27447</v>
      </c>
      <c r="H1211" s="260" t="s">
        <v>27448</v>
      </c>
      <c r="I1211" s="301"/>
      <c r="J1211" s="13" t="s">
        <v>27449</v>
      </c>
      <c r="K1211" s="137" t="s">
        <v>27450</v>
      </c>
      <c r="L1211" s="136" t="s">
        <v>27451</v>
      </c>
      <c r="M1211" s="136" t="s">
        <v>27452</v>
      </c>
    </row>
    <row r="1212" spans="1:13" ht="15.75" customHeight="1">
      <c r="A1212" s="185">
        <v>3</v>
      </c>
      <c r="B1212" s="185"/>
      <c r="C1212" s="271" t="s">
        <v>27453</v>
      </c>
      <c r="D1212" s="259" t="s">
        <v>27454</v>
      </c>
      <c r="E1212" s="121" t="s">
        <v>27455</v>
      </c>
      <c r="F1212" s="121" t="s">
        <v>65</v>
      </c>
      <c r="G1212" s="299" t="s">
        <v>27456</v>
      </c>
      <c r="H1212" s="260" t="s">
        <v>27457</v>
      </c>
      <c r="I1212" s="260"/>
      <c r="J1212" s="259" t="s">
        <v>27458</v>
      </c>
      <c r="K1212" s="137" t="s">
        <v>27459</v>
      </c>
      <c r="L1212" s="136" t="s">
        <v>27460</v>
      </c>
      <c r="M1212" s="136" t="s">
        <v>27461</v>
      </c>
    </row>
    <row r="1213" spans="1:13" ht="15.75" customHeight="1">
      <c r="A1213" s="185">
        <v>4</v>
      </c>
      <c r="B1213" s="185"/>
      <c r="C1213" s="271" t="s">
        <v>27462</v>
      </c>
      <c r="D1213" s="259" t="s">
        <v>27463</v>
      </c>
      <c r="E1213" s="121" t="s">
        <v>27464</v>
      </c>
      <c r="F1213" s="121" t="s">
        <v>117</v>
      </c>
      <c r="G1213" s="299" t="s">
        <v>27465</v>
      </c>
      <c r="H1213" s="260" t="s">
        <v>27466</v>
      </c>
      <c r="I1213" s="260"/>
      <c r="J1213" s="259" t="s">
        <v>27467</v>
      </c>
      <c r="K1213" s="137" t="s">
        <v>27468</v>
      </c>
      <c r="L1213" s="136" t="s">
        <v>27469</v>
      </c>
      <c r="M1213" s="136" t="s">
        <v>27470</v>
      </c>
    </row>
    <row r="1214" spans="1:13" ht="15.75" customHeight="1">
      <c r="A1214" s="185">
        <v>5</v>
      </c>
      <c r="B1214" s="185"/>
      <c r="C1214" s="271" t="s">
        <v>27471</v>
      </c>
      <c r="D1214" s="259" t="s">
        <v>27472</v>
      </c>
      <c r="E1214" s="121" t="s">
        <v>27473</v>
      </c>
      <c r="F1214" s="121" t="s">
        <v>117</v>
      </c>
      <c r="G1214" s="299" t="s">
        <v>27474</v>
      </c>
      <c r="H1214" s="260" t="s">
        <v>27475</v>
      </c>
      <c r="I1214" s="260"/>
      <c r="J1214" s="259" t="s">
        <v>27476</v>
      </c>
      <c r="K1214" s="137" t="s">
        <v>27477</v>
      </c>
      <c r="L1214" s="136" t="s">
        <v>27478</v>
      </c>
      <c r="M1214" s="136" t="s">
        <v>27479</v>
      </c>
    </row>
    <row r="1215" spans="1:13" ht="15.75" customHeight="1">
      <c r="A1215" s="185">
        <v>6</v>
      </c>
      <c r="B1215" s="185"/>
      <c r="C1215" s="271" t="s">
        <v>27480</v>
      </c>
      <c r="D1215" s="259" t="s">
        <v>27481</v>
      </c>
      <c r="E1215" s="121" t="s">
        <v>27482</v>
      </c>
      <c r="F1215" s="121" t="s">
        <v>117</v>
      </c>
      <c r="G1215" s="299" t="s">
        <v>27483</v>
      </c>
      <c r="H1215" s="260" t="s">
        <v>27484</v>
      </c>
      <c r="I1215" s="260"/>
      <c r="J1215" s="226" t="s">
        <v>27485</v>
      </c>
      <c r="K1215" s="137" t="s">
        <v>27486</v>
      </c>
      <c r="L1215" s="136" t="s">
        <v>27487</v>
      </c>
      <c r="M1215" s="136" t="s">
        <v>27488</v>
      </c>
    </row>
    <row r="1216" spans="1:13" ht="15.75" customHeight="1">
      <c r="A1216" s="185">
        <v>7</v>
      </c>
      <c r="B1216" s="185"/>
      <c r="C1216" s="271" t="s">
        <v>27489</v>
      </c>
      <c r="D1216" s="259" t="s">
        <v>27490</v>
      </c>
      <c r="E1216" s="121" t="s">
        <v>27491</v>
      </c>
      <c r="F1216" s="121" t="s">
        <v>65</v>
      </c>
      <c r="G1216" s="299" t="s">
        <v>27492</v>
      </c>
      <c r="H1216" s="260" t="s">
        <v>27493</v>
      </c>
      <c r="I1216" s="260"/>
      <c r="J1216" s="259" t="s">
        <v>27494</v>
      </c>
      <c r="K1216" s="137" t="s">
        <v>27495</v>
      </c>
      <c r="L1216" s="136" t="s">
        <v>27496</v>
      </c>
      <c r="M1216" s="136" t="s">
        <v>27497</v>
      </c>
    </row>
    <row r="1217" spans="1:13" ht="15.75" customHeight="1">
      <c r="A1217" s="185">
        <v>8</v>
      </c>
      <c r="B1217" s="185"/>
      <c r="C1217" s="271" t="s">
        <v>27498</v>
      </c>
      <c r="D1217" s="259" t="s">
        <v>27499</v>
      </c>
      <c r="E1217" s="121" t="s">
        <v>27500</v>
      </c>
      <c r="F1217" s="121" t="s">
        <v>65</v>
      </c>
      <c r="G1217" s="299" t="s">
        <v>27501</v>
      </c>
      <c r="H1217" s="260" t="s">
        <v>27502</v>
      </c>
      <c r="I1217" s="260"/>
      <c r="J1217" s="259" t="s">
        <v>27503</v>
      </c>
      <c r="K1217" s="137" t="s">
        <v>27504</v>
      </c>
      <c r="L1217" s="136" t="s">
        <v>27505</v>
      </c>
      <c r="M1217" s="136" t="s">
        <v>27506</v>
      </c>
    </row>
    <row r="1218" spans="1:13" ht="15.75" customHeight="1">
      <c r="A1218" s="185">
        <v>9</v>
      </c>
      <c r="B1218" s="185"/>
      <c r="C1218" s="271" t="s">
        <v>27507</v>
      </c>
      <c r="D1218" s="259" t="s">
        <v>27508</v>
      </c>
      <c r="E1218" s="121" t="s">
        <v>27509</v>
      </c>
      <c r="F1218" s="121" t="s">
        <v>65</v>
      </c>
      <c r="G1218" s="299" t="s">
        <v>27510</v>
      </c>
      <c r="H1218" s="260" t="s">
        <v>27511</v>
      </c>
      <c r="I1218" s="260"/>
      <c r="J1218" s="259" t="s">
        <v>27512</v>
      </c>
      <c r="K1218" s="137" t="s">
        <v>27513</v>
      </c>
      <c r="L1218" s="136" t="s">
        <v>27514</v>
      </c>
      <c r="M1218" s="136" t="s">
        <v>27515</v>
      </c>
    </row>
    <row r="1219" spans="1:13" ht="15.75" customHeight="1">
      <c r="A1219" s="185">
        <v>10</v>
      </c>
      <c r="B1219" s="185"/>
      <c r="C1219" s="271" t="s">
        <v>27516</v>
      </c>
      <c r="D1219" s="259" t="s">
        <v>27517</v>
      </c>
      <c r="E1219" s="121" t="s">
        <v>27518</v>
      </c>
      <c r="F1219" s="121" t="s">
        <v>65</v>
      </c>
      <c r="G1219" s="299" t="s">
        <v>27519</v>
      </c>
      <c r="H1219" s="260" t="s">
        <v>27520</v>
      </c>
      <c r="I1219" s="260"/>
      <c r="J1219" s="259" t="s">
        <v>27521</v>
      </c>
      <c r="K1219" s="137" t="s">
        <v>27522</v>
      </c>
      <c r="L1219" s="136" t="s">
        <v>27523</v>
      </c>
      <c r="M1219" s="136" t="s">
        <v>27524</v>
      </c>
    </row>
    <row r="1220" spans="1:13" ht="15.75" customHeight="1">
      <c r="A1220" s="185">
        <v>11</v>
      </c>
      <c r="B1220" s="185"/>
      <c r="C1220" s="271" t="s">
        <v>27525</v>
      </c>
      <c r="D1220" s="259" t="s">
        <v>27526</v>
      </c>
      <c r="E1220" s="121" t="s">
        <v>27527</v>
      </c>
      <c r="F1220" s="121" t="s">
        <v>117</v>
      </c>
      <c r="G1220" s="299" t="s">
        <v>27528</v>
      </c>
      <c r="H1220" s="260" t="s">
        <v>27529</v>
      </c>
      <c r="I1220" s="260"/>
      <c r="J1220" s="259" t="s">
        <v>27530</v>
      </c>
      <c r="K1220" s="137" t="s">
        <v>27531</v>
      </c>
      <c r="L1220" s="136" t="s">
        <v>27532</v>
      </c>
      <c r="M1220" s="136" t="s">
        <v>27533</v>
      </c>
    </row>
    <row r="1221" spans="1:13" ht="15.75" customHeight="1">
      <c r="A1221" s="185">
        <v>12</v>
      </c>
      <c r="B1221" s="185"/>
      <c r="C1221" s="271" t="s">
        <v>27534</v>
      </c>
      <c r="D1221" s="259" t="s">
        <v>27535</v>
      </c>
      <c r="E1221" s="121" t="s">
        <v>27536</v>
      </c>
      <c r="F1221" s="121" t="s">
        <v>65</v>
      </c>
      <c r="G1221" s="299" t="s">
        <v>27537</v>
      </c>
      <c r="H1221" s="260" t="s">
        <v>27538</v>
      </c>
      <c r="I1221" s="260"/>
      <c r="J1221" s="259" t="s">
        <v>27539</v>
      </c>
      <c r="K1221" s="137" t="s">
        <v>27540</v>
      </c>
      <c r="L1221" s="136" t="s">
        <v>27541</v>
      </c>
      <c r="M1221" s="136" t="s">
        <v>27542</v>
      </c>
    </row>
    <row r="1222" spans="1:13" ht="15.75" customHeight="1">
      <c r="A1222" s="185">
        <v>13</v>
      </c>
      <c r="B1222" s="185"/>
      <c r="C1222" s="271" t="s">
        <v>27543</v>
      </c>
      <c r="D1222" s="259" t="s">
        <v>27544</v>
      </c>
      <c r="E1222" s="121" t="s">
        <v>27545</v>
      </c>
      <c r="F1222" s="121" t="s">
        <v>65</v>
      </c>
      <c r="G1222" s="299" t="s">
        <v>27546</v>
      </c>
      <c r="H1222" s="260" t="s">
        <v>27547</v>
      </c>
      <c r="I1222" s="260"/>
      <c r="J1222" s="259" t="s">
        <v>27548</v>
      </c>
      <c r="K1222" s="137" t="s">
        <v>27549</v>
      </c>
      <c r="L1222" s="136" t="s">
        <v>27550</v>
      </c>
      <c r="M1222" s="136" t="s">
        <v>27551</v>
      </c>
    </row>
    <row r="1223" spans="1:13" ht="15.75" customHeight="1">
      <c r="A1223" s="185">
        <v>14</v>
      </c>
      <c r="B1223" s="185"/>
      <c r="C1223" s="271" t="s">
        <v>27552</v>
      </c>
      <c r="D1223" s="259" t="s">
        <v>27553</v>
      </c>
      <c r="E1223" s="121" t="s">
        <v>27554</v>
      </c>
      <c r="F1223" s="121" t="s">
        <v>117</v>
      </c>
      <c r="G1223" s="299" t="s">
        <v>27555</v>
      </c>
      <c r="H1223" s="260" t="s">
        <v>27556</v>
      </c>
      <c r="I1223" s="260"/>
      <c r="J1223" s="259" t="s">
        <v>27557</v>
      </c>
      <c r="K1223" s="137" t="s">
        <v>27558</v>
      </c>
      <c r="L1223" s="136" t="s">
        <v>27559</v>
      </c>
      <c r="M1223" s="136" t="s">
        <v>27560</v>
      </c>
    </row>
    <row r="1224" spans="1:13" ht="15.75" customHeight="1">
      <c r="A1224" s="185">
        <v>15</v>
      </c>
      <c r="B1224" s="185"/>
      <c r="C1224" s="271" t="s">
        <v>27561</v>
      </c>
      <c r="D1224" s="259" t="s">
        <v>27562</v>
      </c>
      <c r="E1224" s="121" t="s">
        <v>27563</v>
      </c>
      <c r="F1224" s="121" t="s">
        <v>65</v>
      </c>
      <c r="G1224" s="299" t="s">
        <v>27564</v>
      </c>
      <c r="H1224" s="260" t="s">
        <v>27565</v>
      </c>
      <c r="I1224" s="260"/>
      <c r="J1224" s="259" t="s">
        <v>27566</v>
      </c>
      <c r="K1224" s="137" t="s">
        <v>27567</v>
      </c>
      <c r="L1224" s="136" t="s">
        <v>27568</v>
      </c>
      <c r="M1224" s="136" t="s">
        <v>27569</v>
      </c>
    </row>
    <row r="1225" spans="1:13" ht="15.75" customHeight="1">
      <c r="A1225" s="185">
        <v>16</v>
      </c>
      <c r="B1225" s="185"/>
      <c r="C1225" s="271" t="s">
        <v>27570</v>
      </c>
      <c r="D1225" s="259" t="s">
        <v>27571</v>
      </c>
      <c r="E1225" s="121" t="s">
        <v>27572</v>
      </c>
      <c r="F1225" s="121" t="s">
        <v>54</v>
      </c>
      <c r="G1225" s="299" t="s">
        <v>27573</v>
      </c>
      <c r="H1225" s="260" t="s">
        <v>27574</v>
      </c>
      <c r="I1225" s="260"/>
      <c r="J1225" s="259" t="s">
        <v>27575</v>
      </c>
      <c r="K1225" s="137" t="s">
        <v>27576</v>
      </c>
      <c r="L1225" s="136" t="s">
        <v>27577</v>
      </c>
      <c r="M1225" s="136" t="s">
        <v>27578</v>
      </c>
    </row>
    <row r="1226" spans="1:13" ht="15.75" customHeight="1">
      <c r="A1226" s="185">
        <v>17</v>
      </c>
      <c r="B1226" s="185"/>
      <c r="C1226" s="271" t="s">
        <v>27579</v>
      </c>
      <c r="D1226" s="259" t="s">
        <v>27580</v>
      </c>
      <c r="E1226" s="121" t="s">
        <v>27581</v>
      </c>
      <c r="F1226" s="121" t="s">
        <v>65</v>
      </c>
      <c r="G1226" s="299" t="s">
        <v>27582</v>
      </c>
      <c r="H1226" s="260" t="s">
        <v>27583</v>
      </c>
      <c r="I1226" s="260"/>
      <c r="J1226" s="259" t="s">
        <v>27584</v>
      </c>
      <c r="K1226" s="137" t="s">
        <v>27585</v>
      </c>
      <c r="L1226" s="136" t="s">
        <v>27586</v>
      </c>
      <c r="M1226" s="136" t="s">
        <v>27587</v>
      </c>
    </row>
    <row r="1227" spans="1:13" ht="15.75" customHeight="1">
      <c r="A1227" s="61">
        <v>18</v>
      </c>
      <c r="B1227" s="61"/>
      <c r="C1227" s="272" t="s">
        <v>27588</v>
      </c>
      <c r="D1227" s="226" t="s">
        <v>27589</v>
      </c>
      <c r="E1227" s="121" t="s">
        <v>27590</v>
      </c>
      <c r="F1227" s="121" t="s">
        <v>65</v>
      </c>
      <c r="G1227" s="300" t="s">
        <v>27591</v>
      </c>
      <c r="H1227" s="227" t="s">
        <v>27592</v>
      </c>
      <c r="I1227" s="227"/>
      <c r="J1227" s="226" t="s">
        <v>27593</v>
      </c>
      <c r="K1227" s="118" t="s">
        <v>27594</v>
      </c>
      <c r="L1227" s="136" t="s">
        <v>27595</v>
      </c>
      <c r="M1227" s="136" t="s">
        <v>27596</v>
      </c>
    </row>
    <row r="1228" spans="1:13" ht="15.75" customHeight="1">
      <c r="A1228" s="185">
        <v>19</v>
      </c>
      <c r="B1228" s="185"/>
      <c r="C1228" s="271" t="s">
        <v>27597</v>
      </c>
      <c r="D1228" s="259" t="s">
        <v>27598</v>
      </c>
      <c r="E1228" s="121" t="s">
        <v>27599</v>
      </c>
      <c r="F1228" s="121" t="s">
        <v>117</v>
      </c>
      <c r="G1228" s="299" t="s">
        <v>27600</v>
      </c>
      <c r="H1228" s="260" t="s">
        <v>27601</v>
      </c>
      <c r="I1228" s="260"/>
      <c r="J1228" s="259" t="s">
        <v>27602</v>
      </c>
      <c r="K1228" s="137" t="s">
        <v>27603</v>
      </c>
      <c r="L1228" s="136" t="s">
        <v>27604</v>
      </c>
      <c r="M1228" s="136" t="s">
        <v>27605</v>
      </c>
    </row>
    <row r="1229" spans="1:13" ht="15.75" customHeight="1">
      <c r="A1229" s="185">
        <v>20</v>
      </c>
      <c r="B1229" s="185"/>
      <c r="C1229" s="271" t="s">
        <v>27606</v>
      </c>
      <c r="D1229" s="259" t="s">
        <v>27607</v>
      </c>
      <c r="E1229" s="121" t="s">
        <v>27608</v>
      </c>
      <c r="F1229" s="121" t="s">
        <v>54</v>
      </c>
      <c r="G1229" s="299" t="s">
        <v>27609</v>
      </c>
      <c r="H1229" s="260" t="s">
        <v>27610</v>
      </c>
      <c r="I1229" s="260"/>
      <c r="J1229" s="226" t="s">
        <v>27611</v>
      </c>
      <c r="K1229" s="137" t="s">
        <v>27612</v>
      </c>
      <c r="L1229" s="136" t="s">
        <v>27613</v>
      </c>
      <c r="M1229" s="136" t="s">
        <v>27614</v>
      </c>
    </row>
    <row r="1230" spans="1:13" ht="15.75" customHeight="1">
      <c r="A1230" s="185">
        <v>21</v>
      </c>
      <c r="B1230" s="185"/>
      <c r="C1230" s="271" t="s">
        <v>27615</v>
      </c>
      <c r="D1230" s="259" t="s">
        <v>27616</v>
      </c>
      <c r="E1230" s="121" t="s">
        <v>27617</v>
      </c>
      <c r="F1230" s="121" t="s">
        <v>65</v>
      </c>
      <c r="G1230" s="299" t="s">
        <v>27618</v>
      </c>
      <c r="H1230" s="260" t="s">
        <v>27619</v>
      </c>
      <c r="I1230" s="260"/>
      <c r="J1230" s="259" t="s">
        <v>27620</v>
      </c>
      <c r="K1230" s="137" t="s">
        <v>27621</v>
      </c>
      <c r="L1230" s="136" t="s">
        <v>27622</v>
      </c>
      <c r="M1230" s="136" t="s">
        <v>27623</v>
      </c>
    </row>
    <row r="1231" spans="1:13" ht="15.75" customHeight="1">
      <c r="A1231" s="185">
        <v>22</v>
      </c>
      <c r="B1231" s="185"/>
      <c r="C1231" s="271" t="s">
        <v>27624</v>
      </c>
      <c r="D1231" s="259" t="s">
        <v>27625</v>
      </c>
      <c r="E1231" s="121" t="s">
        <v>27626</v>
      </c>
      <c r="F1231" s="121" t="s">
        <v>54</v>
      </c>
      <c r="G1231" s="299" t="s">
        <v>27627</v>
      </c>
      <c r="H1231" s="260" t="s">
        <v>27628</v>
      </c>
      <c r="I1231" s="260"/>
      <c r="J1231" s="259" t="s">
        <v>27629</v>
      </c>
      <c r="K1231" s="137" t="s">
        <v>27630</v>
      </c>
      <c r="L1231" s="136" t="s">
        <v>27631</v>
      </c>
      <c r="M1231" s="136" t="s">
        <v>27632</v>
      </c>
    </row>
    <row r="1232" spans="1:13" ht="15.75" customHeight="1">
      <c r="A1232" s="185">
        <v>23</v>
      </c>
      <c r="B1232" s="185"/>
      <c r="C1232" s="271" t="s">
        <v>27633</v>
      </c>
      <c r="D1232" s="259" t="s">
        <v>27634</v>
      </c>
      <c r="E1232" s="121" t="s">
        <v>27635</v>
      </c>
      <c r="F1232" s="121" t="s">
        <v>219</v>
      </c>
      <c r="G1232" s="299" t="s">
        <v>27636</v>
      </c>
      <c r="H1232" s="260" t="s">
        <v>27637</v>
      </c>
      <c r="I1232" s="260"/>
      <c r="J1232" s="259" t="s">
        <v>27638</v>
      </c>
      <c r="K1232" s="137" t="s">
        <v>27639</v>
      </c>
      <c r="L1232" s="136" t="s">
        <v>27640</v>
      </c>
      <c r="M1232" s="136" t="s">
        <v>27641</v>
      </c>
    </row>
    <row r="1233" spans="1:13" ht="15.75" customHeight="1">
      <c r="A1233" s="185">
        <v>24</v>
      </c>
      <c r="B1233" s="185"/>
      <c r="C1233" s="271" t="s">
        <v>27642</v>
      </c>
      <c r="D1233" s="259" t="s">
        <v>27643</v>
      </c>
      <c r="E1233" s="121" t="s">
        <v>27644</v>
      </c>
      <c r="F1233" s="121" t="s">
        <v>219</v>
      </c>
      <c r="G1233" s="299" t="s">
        <v>27645</v>
      </c>
      <c r="H1233" s="260" t="s">
        <v>27646</v>
      </c>
      <c r="I1233" s="260"/>
      <c r="J1233" s="259" t="s">
        <v>27647</v>
      </c>
      <c r="K1233" s="137" t="s">
        <v>27648</v>
      </c>
      <c r="L1233" s="136" t="s">
        <v>27649</v>
      </c>
      <c r="M1233" s="136" t="s">
        <v>27650</v>
      </c>
    </row>
    <row r="1234" spans="1:13" ht="15.75" customHeight="1">
      <c r="A1234" s="185">
        <v>25</v>
      </c>
      <c r="B1234" s="185"/>
      <c r="C1234" s="271" t="s">
        <v>27651</v>
      </c>
      <c r="D1234" s="259" t="s">
        <v>27652</v>
      </c>
      <c r="E1234" s="121" t="s">
        <v>27653</v>
      </c>
      <c r="F1234" s="121" t="s">
        <v>65</v>
      </c>
      <c r="G1234" s="299" t="s">
        <v>27654</v>
      </c>
      <c r="H1234" s="260" t="s">
        <v>27655</v>
      </c>
      <c r="I1234" s="260"/>
      <c r="J1234" s="259" t="s">
        <v>27656</v>
      </c>
      <c r="K1234" s="137" t="s">
        <v>27657</v>
      </c>
      <c r="L1234" s="136" t="s">
        <v>27658</v>
      </c>
      <c r="M1234" s="136" t="s">
        <v>27659</v>
      </c>
    </row>
    <row r="1235" spans="1:13" ht="15.75" customHeight="1">
      <c r="A1235" s="185">
        <v>26</v>
      </c>
      <c r="B1235" s="185"/>
      <c r="C1235" s="271" t="s">
        <v>27660</v>
      </c>
      <c r="D1235" s="259" t="s">
        <v>27661</v>
      </c>
      <c r="E1235" s="121" t="s">
        <v>27662</v>
      </c>
      <c r="F1235" s="121" t="s">
        <v>65</v>
      </c>
      <c r="G1235" s="299" t="s">
        <v>27663</v>
      </c>
      <c r="H1235" s="260" t="s">
        <v>27664</v>
      </c>
      <c r="I1235" s="260"/>
      <c r="J1235" s="259" t="s">
        <v>27665</v>
      </c>
      <c r="K1235" s="137" t="s">
        <v>27666</v>
      </c>
      <c r="L1235" s="136" t="s">
        <v>27667</v>
      </c>
      <c r="M1235" s="136" t="s">
        <v>27668</v>
      </c>
    </row>
    <row r="1236" spans="1:13" ht="15.75" customHeight="1">
      <c r="A1236" s="185">
        <v>27</v>
      </c>
      <c r="B1236" s="185"/>
      <c r="C1236" s="271" t="s">
        <v>27669</v>
      </c>
      <c r="D1236" s="259" t="s">
        <v>27670</v>
      </c>
      <c r="E1236" s="121" t="s">
        <v>27671</v>
      </c>
      <c r="F1236" s="121" t="s">
        <v>54</v>
      </c>
      <c r="G1236" s="299" t="s">
        <v>27672</v>
      </c>
      <c r="H1236" s="260" t="s">
        <v>27673</v>
      </c>
      <c r="I1236" s="260"/>
      <c r="J1236" s="259" t="s">
        <v>27674</v>
      </c>
      <c r="K1236" s="137" t="s">
        <v>27675</v>
      </c>
      <c r="L1236" s="136" t="s">
        <v>27676</v>
      </c>
      <c r="M1236" s="136" t="s">
        <v>27677</v>
      </c>
    </row>
    <row r="1237" spans="1:13" ht="15.75" customHeight="1">
      <c r="A1237" s="185">
        <v>28</v>
      </c>
      <c r="B1237" s="185"/>
      <c r="C1237" s="271" t="s">
        <v>27678</v>
      </c>
      <c r="D1237" s="259" t="s">
        <v>27679</v>
      </c>
      <c r="E1237" s="121" t="s">
        <v>27680</v>
      </c>
      <c r="F1237" s="121" t="s">
        <v>54</v>
      </c>
      <c r="G1237" s="299" t="s">
        <v>27681</v>
      </c>
      <c r="H1237" s="260" t="s">
        <v>27682</v>
      </c>
      <c r="I1237" s="260"/>
      <c r="J1237" s="259" t="s">
        <v>27683</v>
      </c>
      <c r="K1237" s="137" t="s">
        <v>27684</v>
      </c>
      <c r="L1237" s="136" t="s">
        <v>27685</v>
      </c>
      <c r="M1237" s="136" t="s">
        <v>27686</v>
      </c>
    </row>
    <row r="1238" spans="1:13" ht="15.75" customHeight="1">
      <c r="A1238" s="185">
        <v>29</v>
      </c>
      <c r="B1238" s="185"/>
      <c r="C1238" s="271" t="s">
        <v>27687</v>
      </c>
      <c r="D1238" s="259" t="s">
        <v>27688</v>
      </c>
      <c r="E1238" s="121" t="s">
        <v>27689</v>
      </c>
      <c r="F1238" s="121" t="s">
        <v>54</v>
      </c>
      <c r="G1238" s="299" t="s">
        <v>27690</v>
      </c>
      <c r="H1238" s="260" t="s">
        <v>27691</v>
      </c>
      <c r="I1238" s="260"/>
      <c r="J1238" s="259" t="s">
        <v>27692</v>
      </c>
      <c r="K1238" s="137" t="s">
        <v>27693</v>
      </c>
      <c r="L1238" s="136" t="s">
        <v>27694</v>
      </c>
      <c r="M1238" s="136" t="s">
        <v>27695</v>
      </c>
    </row>
    <row r="1239" spans="1:13" ht="15.75" customHeight="1">
      <c r="A1239" s="185">
        <v>30</v>
      </c>
      <c r="B1239" s="185"/>
      <c r="C1239" s="271" t="s">
        <v>27696</v>
      </c>
      <c r="D1239" s="259" t="s">
        <v>27697</v>
      </c>
      <c r="E1239" s="121" t="s">
        <v>27698</v>
      </c>
      <c r="F1239" s="121" t="s">
        <v>54</v>
      </c>
      <c r="G1239" s="299" t="s">
        <v>27699</v>
      </c>
      <c r="H1239" s="260" t="s">
        <v>27700</v>
      </c>
      <c r="I1239" s="260"/>
      <c r="J1239" s="259" t="s">
        <v>27701</v>
      </c>
      <c r="K1239" s="137" t="s">
        <v>27702</v>
      </c>
      <c r="L1239" s="136" t="s">
        <v>27703</v>
      </c>
      <c r="M1239" s="136" t="s">
        <v>27704</v>
      </c>
    </row>
    <row r="1240" spans="1:13" ht="15.75" customHeight="1">
      <c r="A1240" s="185">
        <v>31</v>
      </c>
      <c r="B1240" s="185"/>
      <c r="C1240" s="271" t="s">
        <v>27705</v>
      </c>
      <c r="D1240" s="259" t="s">
        <v>27706</v>
      </c>
      <c r="E1240" s="121" t="s">
        <v>27707</v>
      </c>
      <c r="F1240" s="121" t="s">
        <v>54</v>
      </c>
      <c r="G1240" s="299" t="s">
        <v>27708</v>
      </c>
      <c r="H1240" s="260" t="s">
        <v>27709</v>
      </c>
      <c r="I1240" s="260"/>
      <c r="J1240" s="259" t="s">
        <v>27710</v>
      </c>
      <c r="K1240" s="137" t="s">
        <v>27711</v>
      </c>
      <c r="L1240" s="136" t="s">
        <v>27712</v>
      </c>
      <c r="M1240" s="136" t="s">
        <v>27713</v>
      </c>
    </row>
    <row r="1241" spans="1:13" ht="15.75" customHeight="1">
      <c r="A1241" s="185">
        <v>32</v>
      </c>
      <c r="B1241" s="185"/>
      <c r="C1241" s="271" t="s">
        <v>27714</v>
      </c>
      <c r="D1241" s="259" t="s">
        <v>27715</v>
      </c>
      <c r="E1241" s="121" t="s">
        <v>27716</v>
      </c>
      <c r="F1241" s="121" t="s">
        <v>54</v>
      </c>
      <c r="G1241" s="299" t="s">
        <v>27717</v>
      </c>
      <c r="H1241" s="260" t="s">
        <v>27718</v>
      </c>
      <c r="I1241" s="260"/>
      <c r="J1241" s="259" t="s">
        <v>27719</v>
      </c>
      <c r="K1241" s="137" t="s">
        <v>27720</v>
      </c>
      <c r="L1241" s="136" t="s">
        <v>27721</v>
      </c>
      <c r="M1241" s="136" t="s">
        <v>27722</v>
      </c>
    </row>
    <row r="1242" spans="1:13" ht="15.75" customHeight="1">
      <c r="A1242" s="185">
        <v>33</v>
      </c>
      <c r="B1242" s="185"/>
      <c r="C1242" s="271" t="s">
        <v>27723</v>
      </c>
      <c r="D1242" s="259" t="s">
        <v>27724</v>
      </c>
      <c r="E1242" s="121" t="s">
        <v>27725</v>
      </c>
      <c r="F1242" s="121" t="s">
        <v>117</v>
      </c>
      <c r="G1242" s="299" t="s">
        <v>27726</v>
      </c>
      <c r="H1242" s="260" t="s">
        <v>27727</v>
      </c>
      <c r="I1242" s="260"/>
      <c r="J1242" s="259" t="s">
        <v>27728</v>
      </c>
      <c r="K1242" s="137" t="s">
        <v>27729</v>
      </c>
      <c r="L1242" s="136" t="s">
        <v>27730</v>
      </c>
      <c r="M1242" s="136" t="s">
        <v>27731</v>
      </c>
    </row>
    <row r="1243" spans="1:13" ht="15.75" customHeight="1">
      <c r="A1243" s="185">
        <v>34</v>
      </c>
      <c r="B1243" s="185"/>
      <c r="C1243" s="271" t="s">
        <v>27732</v>
      </c>
      <c r="D1243" s="259" t="s">
        <v>27733</v>
      </c>
      <c r="E1243" s="121" t="s">
        <v>27734</v>
      </c>
      <c r="F1243" s="121" t="s">
        <v>117</v>
      </c>
      <c r="G1243" s="299" t="s">
        <v>27735</v>
      </c>
      <c r="H1243" s="260" t="s">
        <v>27736</v>
      </c>
      <c r="I1243" s="260"/>
      <c r="J1243" s="259" t="s">
        <v>27737</v>
      </c>
      <c r="K1243" s="137" t="s">
        <v>27738</v>
      </c>
      <c r="L1243" s="136" t="s">
        <v>27739</v>
      </c>
      <c r="M1243" s="136" t="s">
        <v>27740</v>
      </c>
    </row>
    <row r="1244" spans="1:13" ht="15.75" customHeight="1">
      <c r="A1244" s="185">
        <v>35</v>
      </c>
      <c r="B1244" s="185"/>
      <c r="C1244" s="271" t="s">
        <v>27741</v>
      </c>
      <c r="D1244" s="259" t="s">
        <v>27742</v>
      </c>
      <c r="E1244" s="121" t="s">
        <v>27743</v>
      </c>
      <c r="F1244" s="121" t="s">
        <v>54</v>
      </c>
      <c r="G1244" s="299" t="s">
        <v>27744</v>
      </c>
      <c r="H1244" s="260" t="s">
        <v>27745</v>
      </c>
      <c r="I1244" s="260"/>
      <c r="J1244" s="259" t="s">
        <v>27746</v>
      </c>
      <c r="K1244" s="137" t="s">
        <v>27747</v>
      </c>
      <c r="L1244" s="136" t="s">
        <v>27748</v>
      </c>
      <c r="M1244" s="136" t="s">
        <v>27749</v>
      </c>
    </row>
    <row r="1245" spans="1:13" ht="15.75" customHeight="1">
      <c r="A1245" s="185">
        <v>36</v>
      </c>
      <c r="B1245" s="185"/>
      <c r="C1245" s="271" t="s">
        <v>27750</v>
      </c>
      <c r="D1245" s="259" t="s">
        <v>27751</v>
      </c>
      <c r="E1245" s="121" t="s">
        <v>27752</v>
      </c>
      <c r="F1245" s="271" t="s">
        <v>65</v>
      </c>
      <c r="G1245" s="299" t="s">
        <v>27753</v>
      </c>
      <c r="H1245" s="260" t="s">
        <v>27754</v>
      </c>
      <c r="I1245" s="260"/>
      <c r="J1245" s="259" t="s">
        <v>27755</v>
      </c>
      <c r="K1245" s="137" t="s">
        <v>27756</v>
      </c>
      <c r="L1245" s="136" t="s">
        <v>27757</v>
      </c>
      <c r="M1245" s="136" t="s">
        <v>27758</v>
      </c>
    </row>
    <row r="1246" spans="1:13" ht="15.75" customHeight="1">
      <c r="A1246" s="185">
        <v>37</v>
      </c>
      <c r="B1246" s="185"/>
      <c r="C1246" s="271" t="s">
        <v>27759</v>
      </c>
      <c r="D1246" s="259" t="s">
        <v>27760</v>
      </c>
      <c r="E1246" s="121" t="s">
        <v>27761</v>
      </c>
      <c r="F1246" s="271" t="s">
        <v>6748</v>
      </c>
      <c r="G1246" s="299" t="s">
        <v>27762</v>
      </c>
      <c r="H1246" s="260" t="s">
        <v>27763</v>
      </c>
      <c r="I1246" s="260"/>
      <c r="J1246" s="259" t="s">
        <v>27764</v>
      </c>
      <c r="K1246" s="137" t="s">
        <v>27765</v>
      </c>
      <c r="L1246" s="136" t="s">
        <v>27766</v>
      </c>
      <c r="M1246" s="136" t="s">
        <v>27767</v>
      </c>
    </row>
    <row r="1247" spans="1:13" ht="15.75" customHeight="1">
      <c r="A1247" s="185">
        <v>38</v>
      </c>
      <c r="B1247" s="185"/>
      <c r="C1247" s="271" t="s">
        <v>27768</v>
      </c>
      <c r="D1247" s="259" t="s">
        <v>27769</v>
      </c>
      <c r="E1247" s="121" t="s">
        <v>27770</v>
      </c>
      <c r="F1247" s="271" t="s">
        <v>65</v>
      </c>
      <c r="G1247" s="299" t="s">
        <v>27771</v>
      </c>
      <c r="H1247" s="260" t="s">
        <v>27772</v>
      </c>
      <c r="I1247" s="260"/>
      <c r="J1247" s="259" t="s">
        <v>27773</v>
      </c>
      <c r="K1247" s="137" t="s">
        <v>27774</v>
      </c>
      <c r="L1247" s="113" t="s">
        <v>27775</v>
      </c>
      <c r="M1247" s="136" t="s">
        <v>27776</v>
      </c>
    </row>
    <row r="1248" spans="1:13" ht="15.75" customHeight="1">
      <c r="A1248" s="185">
        <v>39</v>
      </c>
      <c r="B1248" s="185"/>
      <c r="C1248" s="271" t="s">
        <v>27777</v>
      </c>
      <c r="D1248" s="259" t="s">
        <v>27778</v>
      </c>
      <c r="E1248" s="121" t="s">
        <v>27779</v>
      </c>
      <c r="F1248" s="271" t="s">
        <v>117</v>
      </c>
      <c r="G1248" s="299" t="s">
        <v>27780</v>
      </c>
      <c r="H1248" s="260" t="s">
        <v>27781</v>
      </c>
      <c r="I1248" s="260"/>
      <c r="J1248" s="259" t="s">
        <v>27782</v>
      </c>
      <c r="K1248" s="137" t="s">
        <v>27783</v>
      </c>
      <c r="L1248" s="136" t="s">
        <v>27784</v>
      </c>
      <c r="M1248" s="136" t="s">
        <v>27785</v>
      </c>
    </row>
    <row r="1249" spans="1:13" ht="14.25" customHeight="1">
      <c r="A1249" s="302">
        <v>1</v>
      </c>
      <c r="B1249" s="302"/>
      <c r="C1249" s="211" t="s">
        <v>27786</v>
      </c>
      <c r="D1249" s="238" t="s">
        <v>27787</v>
      </c>
      <c r="E1249" s="283" t="s">
        <v>27788</v>
      </c>
      <c r="F1249" s="283" t="s">
        <v>117</v>
      </c>
      <c r="G1249" s="213" t="s">
        <v>27789</v>
      </c>
      <c r="H1249" s="303" t="s">
        <v>27790</v>
      </c>
      <c r="I1249" s="303"/>
      <c r="J1249" s="303" t="s">
        <v>27791</v>
      </c>
      <c r="K1249" s="215" t="s">
        <v>27792</v>
      </c>
      <c r="L1249" s="210" t="s">
        <v>27793</v>
      </c>
      <c r="M1249" s="247" t="s">
        <v>27794</v>
      </c>
    </row>
    <row r="1250" spans="1:13" ht="15.75" customHeight="1">
      <c r="A1250" s="304">
        <v>2</v>
      </c>
      <c r="B1250" s="304"/>
      <c r="C1250" s="271" t="s">
        <v>27795</v>
      </c>
      <c r="D1250" s="259" t="s">
        <v>27796</v>
      </c>
      <c r="E1250" s="121" t="s">
        <v>27797</v>
      </c>
      <c r="F1250" s="121" t="s">
        <v>65</v>
      </c>
      <c r="G1250" s="299" t="s">
        <v>27798</v>
      </c>
      <c r="H1250" s="305" t="s">
        <v>27799</v>
      </c>
      <c r="I1250" s="305"/>
      <c r="J1250" s="305" t="s">
        <v>27800</v>
      </c>
      <c r="K1250" s="137" t="s">
        <v>27801</v>
      </c>
      <c r="L1250" s="136" t="s">
        <v>27802</v>
      </c>
      <c r="M1250" s="136" t="s">
        <v>27803</v>
      </c>
    </row>
    <row r="1251" spans="1:13" ht="15.75" customHeight="1">
      <c r="A1251" s="185">
        <v>3</v>
      </c>
      <c r="B1251" s="185"/>
      <c r="C1251" s="271" t="s">
        <v>27804</v>
      </c>
      <c r="D1251" s="259" t="s">
        <v>27805</v>
      </c>
      <c r="E1251" s="123" t="s">
        <v>27806</v>
      </c>
      <c r="F1251" s="123" t="s">
        <v>65</v>
      </c>
      <c r="G1251" s="299" t="s">
        <v>27807</v>
      </c>
      <c r="H1251" s="305" t="s">
        <v>27808</v>
      </c>
      <c r="I1251" s="305"/>
      <c r="J1251" s="305" t="s">
        <v>27809</v>
      </c>
      <c r="K1251" s="137" t="s">
        <v>27810</v>
      </c>
      <c r="L1251" s="136" t="s">
        <v>27811</v>
      </c>
      <c r="M1251" s="136" t="s">
        <v>27812</v>
      </c>
    </row>
    <row r="1252" spans="1:13" ht="15.75" customHeight="1">
      <c r="A1252" s="304">
        <v>4</v>
      </c>
      <c r="B1252" s="304"/>
      <c r="C1252" s="271" t="s">
        <v>27813</v>
      </c>
      <c r="D1252" s="259" t="s">
        <v>27814</v>
      </c>
      <c r="E1252" s="121" t="s">
        <v>27815</v>
      </c>
      <c r="F1252" s="121" t="s">
        <v>117</v>
      </c>
      <c r="G1252" s="299" t="s">
        <v>27816</v>
      </c>
      <c r="H1252" s="305" t="s">
        <v>27817</v>
      </c>
      <c r="I1252" s="305"/>
      <c r="J1252" s="305" t="s">
        <v>27818</v>
      </c>
      <c r="K1252" s="137" t="s">
        <v>27819</v>
      </c>
      <c r="L1252" s="136" t="s">
        <v>27820</v>
      </c>
      <c r="M1252" s="136" t="s">
        <v>27821</v>
      </c>
    </row>
    <row r="1253" spans="1:13" ht="15.75" customHeight="1">
      <c r="A1253" s="304">
        <v>5</v>
      </c>
      <c r="B1253" s="304"/>
      <c r="C1253" s="271" t="s">
        <v>27822</v>
      </c>
      <c r="D1253" s="259" t="s">
        <v>27823</v>
      </c>
      <c r="E1253" s="121" t="s">
        <v>27824</v>
      </c>
      <c r="F1253" s="121" t="s">
        <v>117</v>
      </c>
      <c r="G1253" s="299" t="s">
        <v>27825</v>
      </c>
      <c r="H1253" s="305" t="s">
        <v>27826</v>
      </c>
      <c r="I1253" s="305"/>
      <c r="J1253" s="305" t="s">
        <v>27827</v>
      </c>
      <c r="K1253" s="137" t="s">
        <v>27828</v>
      </c>
      <c r="L1253" s="136" t="s">
        <v>27829</v>
      </c>
      <c r="M1253" s="136" t="s">
        <v>27830</v>
      </c>
    </row>
    <row r="1254" spans="1:13" ht="15.75" customHeight="1">
      <c r="A1254" s="304">
        <v>6</v>
      </c>
      <c r="B1254" s="304"/>
      <c r="C1254" s="271" t="s">
        <v>27831</v>
      </c>
      <c r="D1254" s="259" t="s">
        <v>27832</v>
      </c>
      <c r="E1254" s="121" t="s">
        <v>27833</v>
      </c>
      <c r="F1254" s="121" t="s">
        <v>219</v>
      </c>
      <c r="G1254" s="299" t="s">
        <v>27834</v>
      </c>
      <c r="H1254" s="305" t="s">
        <v>27835</v>
      </c>
      <c r="I1254" s="305"/>
      <c r="J1254" s="305" t="s">
        <v>27836</v>
      </c>
      <c r="K1254" s="137" t="s">
        <v>27837</v>
      </c>
      <c r="L1254" s="136" t="s">
        <v>27838</v>
      </c>
      <c r="M1254" s="136" t="s">
        <v>27839</v>
      </c>
    </row>
    <row r="1255" spans="1:13" ht="15.75" customHeight="1">
      <c r="A1255" s="304">
        <v>7</v>
      </c>
      <c r="B1255" s="304"/>
      <c r="C1255" s="271" t="s">
        <v>27840</v>
      </c>
      <c r="D1255" s="259" t="s">
        <v>27841</v>
      </c>
      <c r="E1255" s="121" t="s">
        <v>27842</v>
      </c>
      <c r="F1255" s="121" t="s">
        <v>65</v>
      </c>
      <c r="G1255" s="299" t="s">
        <v>27843</v>
      </c>
      <c r="H1255" s="305" t="s">
        <v>27844</v>
      </c>
      <c r="I1255" s="305"/>
      <c r="J1255" s="305" t="s">
        <v>27845</v>
      </c>
      <c r="K1255" s="137" t="s">
        <v>27846</v>
      </c>
      <c r="L1255" s="136" t="s">
        <v>27847</v>
      </c>
      <c r="M1255" s="136" t="s">
        <v>27848</v>
      </c>
    </row>
    <row r="1256" spans="1:13" ht="15.75" customHeight="1">
      <c r="A1256" s="304">
        <v>8</v>
      </c>
      <c r="B1256" s="304"/>
      <c r="C1256" s="271" t="s">
        <v>27849</v>
      </c>
      <c r="D1256" s="259" t="s">
        <v>27850</v>
      </c>
      <c r="E1256" s="121" t="s">
        <v>27851</v>
      </c>
      <c r="F1256" s="121" t="s">
        <v>117</v>
      </c>
      <c r="G1256" s="299" t="s">
        <v>27852</v>
      </c>
      <c r="H1256" s="305" t="s">
        <v>27853</v>
      </c>
      <c r="I1256" s="305"/>
      <c r="J1256" s="305" t="s">
        <v>27854</v>
      </c>
      <c r="K1256" s="137" t="s">
        <v>27855</v>
      </c>
      <c r="L1256" s="136" t="s">
        <v>27856</v>
      </c>
      <c r="M1256" s="136" t="s">
        <v>27857</v>
      </c>
    </row>
    <row r="1257" spans="1:13" ht="15.75" customHeight="1">
      <c r="A1257" s="304">
        <v>9</v>
      </c>
      <c r="B1257" s="304"/>
      <c r="C1257" s="271" t="s">
        <v>27858</v>
      </c>
      <c r="D1257" s="259" t="s">
        <v>27859</v>
      </c>
      <c r="E1257" s="121" t="s">
        <v>27860</v>
      </c>
      <c r="F1257" s="121" t="s">
        <v>54</v>
      </c>
      <c r="G1257" s="299" t="s">
        <v>27861</v>
      </c>
      <c r="H1257" s="305" t="s">
        <v>27862</v>
      </c>
      <c r="I1257" s="305"/>
      <c r="J1257" s="305" t="s">
        <v>27863</v>
      </c>
      <c r="K1257" s="137" t="s">
        <v>27864</v>
      </c>
      <c r="L1257" s="136" t="s">
        <v>27865</v>
      </c>
      <c r="M1257" s="136" t="s">
        <v>27866</v>
      </c>
    </row>
    <row r="1258" spans="1:13" ht="15.75" customHeight="1">
      <c r="A1258" s="304">
        <v>10</v>
      </c>
      <c r="B1258" s="304"/>
      <c r="C1258" s="271" t="s">
        <v>27867</v>
      </c>
      <c r="D1258" s="259" t="s">
        <v>27868</v>
      </c>
      <c r="E1258" s="121" t="s">
        <v>27869</v>
      </c>
      <c r="F1258" s="121" t="s">
        <v>117</v>
      </c>
      <c r="G1258" s="299" t="s">
        <v>27870</v>
      </c>
      <c r="H1258" s="305" t="s">
        <v>27871</v>
      </c>
      <c r="I1258" s="305"/>
      <c r="J1258" s="305" t="s">
        <v>27872</v>
      </c>
      <c r="K1258" s="137" t="s">
        <v>27873</v>
      </c>
      <c r="L1258" s="136" t="s">
        <v>27874</v>
      </c>
      <c r="M1258" s="136" t="s">
        <v>27875</v>
      </c>
    </row>
    <row r="1259" spans="1:13" ht="15.75" customHeight="1">
      <c r="A1259" s="304">
        <v>11</v>
      </c>
      <c r="B1259" s="304"/>
      <c r="C1259" s="271" t="s">
        <v>27876</v>
      </c>
      <c r="D1259" s="259" t="s">
        <v>27877</v>
      </c>
      <c r="E1259" s="121" t="s">
        <v>27878</v>
      </c>
      <c r="F1259" s="121" t="s">
        <v>65</v>
      </c>
      <c r="G1259" s="299" t="s">
        <v>27879</v>
      </c>
      <c r="H1259" s="305" t="s">
        <v>27880</v>
      </c>
      <c r="I1259" s="305"/>
      <c r="J1259" s="305" t="s">
        <v>27881</v>
      </c>
      <c r="K1259" s="137" t="s">
        <v>27882</v>
      </c>
      <c r="L1259" s="136" t="s">
        <v>27883</v>
      </c>
      <c r="M1259" s="136" t="s">
        <v>27884</v>
      </c>
    </row>
    <row r="1260" spans="1:13" ht="15.75" customHeight="1">
      <c r="A1260" s="304">
        <v>12</v>
      </c>
      <c r="B1260" s="304"/>
      <c r="C1260" s="271" t="s">
        <v>27885</v>
      </c>
      <c r="D1260" s="259" t="s">
        <v>27886</v>
      </c>
      <c r="E1260" s="121" t="s">
        <v>27887</v>
      </c>
      <c r="F1260" s="121" t="s">
        <v>54</v>
      </c>
      <c r="G1260" s="299" t="s">
        <v>27888</v>
      </c>
      <c r="H1260" s="13" t="s">
        <v>27889</v>
      </c>
      <c r="I1260" s="13"/>
      <c r="J1260" s="305" t="s">
        <v>27890</v>
      </c>
      <c r="K1260" s="137" t="s">
        <v>27891</v>
      </c>
      <c r="L1260" s="136" t="s">
        <v>27892</v>
      </c>
      <c r="M1260" s="136" t="s">
        <v>27893</v>
      </c>
    </row>
    <row r="1261" spans="1:13" ht="15.75" customHeight="1">
      <c r="A1261" s="304">
        <v>13</v>
      </c>
      <c r="B1261" s="304"/>
      <c r="C1261" s="271" t="s">
        <v>27894</v>
      </c>
      <c r="D1261" s="259" t="s">
        <v>27895</v>
      </c>
      <c r="E1261" s="121" t="s">
        <v>27896</v>
      </c>
      <c r="F1261" s="121" t="s">
        <v>65</v>
      </c>
      <c r="G1261" s="299" t="s">
        <v>27897</v>
      </c>
      <c r="H1261" s="305" t="s">
        <v>27898</v>
      </c>
      <c r="I1261" s="305"/>
      <c r="J1261" s="305" t="s">
        <v>27899</v>
      </c>
      <c r="K1261" s="137" t="s">
        <v>27900</v>
      </c>
      <c r="L1261" s="136" t="s">
        <v>27901</v>
      </c>
      <c r="M1261" s="136" t="s">
        <v>27902</v>
      </c>
    </row>
    <row r="1262" spans="1:13" ht="15.75" customHeight="1">
      <c r="A1262" s="304">
        <v>14</v>
      </c>
      <c r="B1262" s="304"/>
      <c r="C1262" s="271" t="s">
        <v>27903</v>
      </c>
      <c r="D1262" s="259" t="s">
        <v>27904</v>
      </c>
      <c r="E1262" s="121" t="s">
        <v>27905</v>
      </c>
      <c r="F1262" s="121" t="s">
        <v>54</v>
      </c>
      <c r="G1262" s="299" t="s">
        <v>27906</v>
      </c>
      <c r="H1262" s="305" t="s">
        <v>27907</v>
      </c>
      <c r="I1262" s="305"/>
      <c r="J1262" s="305" t="s">
        <v>27908</v>
      </c>
      <c r="K1262" s="137" t="s">
        <v>27909</v>
      </c>
      <c r="L1262" s="136" t="s">
        <v>27910</v>
      </c>
      <c r="M1262" s="136" t="s">
        <v>27911</v>
      </c>
    </row>
    <row r="1263" spans="1:13" ht="15.75" customHeight="1">
      <c r="A1263" s="304">
        <v>15</v>
      </c>
      <c r="B1263" s="304"/>
      <c r="C1263" s="271" t="s">
        <v>27912</v>
      </c>
      <c r="D1263" s="259" t="s">
        <v>27913</v>
      </c>
      <c r="E1263" s="121" t="s">
        <v>27914</v>
      </c>
      <c r="F1263" s="121" t="s">
        <v>117</v>
      </c>
      <c r="G1263" s="299" t="s">
        <v>27915</v>
      </c>
      <c r="H1263" s="305" t="s">
        <v>27916</v>
      </c>
      <c r="I1263" s="305"/>
      <c r="J1263" s="305" t="s">
        <v>27917</v>
      </c>
      <c r="K1263" s="137" t="s">
        <v>27918</v>
      </c>
      <c r="L1263" s="136" t="s">
        <v>27919</v>
      </c>
      <c r="M1263" s="136" t="s">
        <v>27920</v>
      </c>
    </row>
    <row r="1264" spans="1:13" ht="15.75" customHeight="1">
      <c r="A1264" s="304">
        <v>16</v>
      </c>
      <c r="B1264" s="304"/>
      <c r="C1264" s="271" t="s">
        <v>27921</v>
      </c>
      <c r="D1264" s="259" t="s">
        <v>27922</v>
      </c>
      <c r="E1264" s="121" t="s">
        <v>27923</v>
      </c>
      <c r="F1264" s="121" t="s">
        <v>117</v>
      </c>
      <c r="G1264" s="299" t="s">
        <v>27924</v>
      </c>
      <c r="H1264" s="305" t="s">
        <v>27925</v>
      </c>
      <c r="I1264" s="305"/>
      <c r="J1264" s="305" t="s">
        <v>27926</v>
      </c>
      <c r="K1264" s="137" t="s">
        <v>27927</v>
      </c>
      <c r="L1264" s="136" t="s">
        <v>27928</v>
      </c>
      <c r="M1264" s="136" t="s">
        <v>27929</v>
      </c>
    </row>
    <row r="1265" spans="1:13" ht="15.75" customHeight="1">
      <c r="A1265" s="304">
        <v>17</v>
      </c>
      <c r="B1265" s="304"/>
      <c r="C1265" s="271" t="s">
        <v>27930</v>
      </c>
      <c r="D1265" s="259" t="s">
        <v>27931</v>
      </c>
      <c r="E1265" s="121" t="s">
        <v>27932</v>
      </c>
      <c r="F1265" s="121" t="s">
        <v>65</v>
      </c>
      <c r="G1265" s="299" t="s">
        <v>27933</v>
      </c>
      <c r="H1265" s="305" t="s">
        <v>27934</v>
      </c>
      <c r="I1265" s="305"/>
      <c r="J1265" s="305" t="s">
        <v>27935</v>
      </c>
      <c r="K1265" s="137" t="s">
        <v>27936</v>
      </c>
      <c r="L1265" s="136" t="s">
        <v>27937</v>
      </c>
      <c r="M1265" s="136" t="s">
        <v>27938</v>
      </c>
    </row>
    <row r="1266" spans="1:13" ht="15.75" customHeight="1">
      <c r="A1266" s="304">
        <v>18</v>
      </c>
      <c r="B1266" s="304"/>
      <c r="C1266" s="271" t="s">
        <v>27939</v>
      </c>
      <c r="D1266" s="259" t="s">
        <v>27940</v>
      </c>
      <c r="E1266" s="121" t="s">
        <v>27941</v>
      </c>
      <c r="F1266" s="121" t="s">
        <v>117</v>
      </c>
      <c r="G1266" s="299" t="s">
        <v>27942</v>
      </c>
      <c r="H1266" s="305" t="s">
        <v>27943</v>
      </c>
      <c r="I1266" s="305"/>
      <c r="J1266" s="305" t="s">
        <v>27944</v>
      </c>
      <c r="K1266" s="137" t="s">
        <v>27945</v>
      </c>
      <c r="L1266" s="136" t="s">
        <v>27946</v>
      </c>
      <c r="M1266" s="136" t="s">
        <v>27947</v>
      </c>
    </row>
    <row r="1267" spans="1:13" ht="15.75" customHeight="1">
      <c r="A1267" s="304">
        <v>19</v>
      </c>
      <c r="B1267" s="304"/>
      <c r="C1267" s="271" t="s">
        <v>27948</v>
      </c>
      <c r="D1267" s="259" t="s">
        <v>27949</v>
      </c>
      <c r="E1267" s="121" t="s">
        <v>27950</v>
      </c>
      <c r="F1267" s="121" t="s">
        <v>117</v>
      </c>
      <c r="G1267" s="299" t="s">
        <v>27951</v>
      </c>
      <c r="H1267" s="305" t="s">
        <v>27952</v>
      </c>
      <c r="I1267" s="305"/>
      <c r="J1267" s="305" t="s">
        <v>27953</v>
      </c>
      <c r="K1267" s="137" t="s">
        <v>27954</v>
      </c>
      <c r="L1267" s="136" t="s">
        <v>27955</v>
      </c>
      <c r="M1267" s="136" t="s">
        <v>27956</v>
      </c>
    </row>
    <row r="1268" spans="1:13" ht="15.75" customHeight="1">
      <c r="A1268" s="304">
        <v>20</v>
      </c>
      <c r="B1268" s="304"/>
      <c r="C1268" s="271" t="s">
        <v>27957</v>
      </c>
      <c r="D1268" s="259" t="s">
        <v>27958</v>
      </c>
      <c r="E1268" s="121" t="s">
        <v>27959</v>
      </c>
      <c r="F1268" s="121" t="s">
        <v>117</v>
      </c>
      <c r="G1268" s="299" t="s">
        <v>27960</v>
      </c>
      <c r="H1268" s="305" t="s">
        <v>27961</v>
      </c>
      <c r="I1268" s="305"/>
      <c r="J1268" s="305" t="s">
        <v>27962</v>
      </c>
      <c r="K1268" s="137" t="s">
        <v>27963</v>
      </c>
      <c r="L1268" s="136" t="s">
        <v>27964</v>
      </c>
      <c r="M1268" s="136" t="s">
        <v>27965</v>
      </c>
    </row>
    <row r="1269" spans="1:13" ht="15.75" customHeight="1">
      <c r="A1269" s="304">
        <v>21</v>
      </c>
      <c r="B1269" s="304"/>
      <c r="C1269" s="271" t="s">
        <v>27966</v>
      </c>
      <c r="D1269" s="259" t="s">
        <v>27967</v>
      </c>
      <c r="E1269" s="121" t="s">
        <v>27968</v>
      </c>
      <c r="F1269" s="121" t="s">
        <v>65</v>
      </c>
      <c r="G1269" s="299" t="s">
        <v>27969</v>
      </c>
      <c r="H1269" s="305" t="s">
        <v>27970</v>
      </c>
      <c r="I1269" s="305"/>
      <c r="J1269" s="305" t="s">
        <v>27971</v>
      </c>
      <c r="K1269" s="137" t="s">
        <v>27972</v>
      </c>
      <c r="L1269" s="136" t="s">
        <v>27973</v>
      </c>
      <c r="M1269" s="136" t="s">
        <v>27974</v>
      </c>
    </row>
    <row r="1270" spans="1:13" ht="15.75" customHeight="1">
      <c r="A1270" s="304">
        <v>22</v>
      </c>
      <c r="B1270" s="304"/>
      <c r="C1270" s="271" t="s">
        <v>27975</v>
      </c>
      <c r="D1270" s="259" t="s">
        <v>27976</v>
      </c>
      <c r="E1270" s="121" t="s">
        <v>27977</v>
      </c>
      <c r="F1270" s="121" t="s">
        <v>65</v>
      </c>
      <c r="G1270" s="299" t="s">
        <v>27978</v>
      </c>
      <c r="H1270" s="305" t="s">
        <v>27979</v>
      </c>
      <c r="I1270" s="305"/>
      <c r="J1270" s="305" t="s">
        <v>27980</v>
      </c>
      <c r="K1270" s="137" t="s">
        <v>27981</v>
      </c>
      <c r="L1270" s="136" t="s">
        <v>27982</v>
      </c>
      <c r="M1270" s="136" t="s">
        <v>27983</v>
      </c>
    </row>
    <row r="1271" spans="1:13" ht="15.75" customHeight="1">
      <c r="A1271" s="304">
        <v>23</v>
      </c>
      <c r="B1271" s="304"/>
      <c r="C1271" s="271" t="s">
        <v>27984</v>
      </c>
      <c r="D1271" s="259" t="s">
        <v>27985</v>
      </c>
      <c r="E1271" s="121" t="s">
        <v>27986</v>
      </c>
      <c r="F1271" s="121" t="s">
        <v>65</v>
      </c>
      <c r="G1271" s="299" t="s">
        <v>27987</v>
      </c>
      <c r="H1271" s="13" t="s">
        <v>27988</v>
      </c>
      <c r="I1271" s="13"/>
      <c r="J1271" s="305" t="s">
        <v>27989</v>
      </c>
      <c r="K1271" s="137" t="s">
        <v>27990</v>
      </c>
      <c r="L1271" s="136" t="s">
        <v>27991</v>
      </c>
      <c r="M1271" s="136" t="s">
        <v>27992</v>
      </c>
    </row>
    <row r="1272" spans="1:13" ht="15.75" customHeight="1">
      <c r="A1272" s="304">
        <v>24</v>
      </c>
      <c r="B1272" s="304"/>
      <c r="C1272" s="271" t="s">
        <v>27993</v>
      </c>
      <c r="D1272" s="259" t="s">
        <v>27994</v>
      </c>
      <c r="E1272" s="121" t="s">
        <v>27995</v>
      </c>
      <c r="F1272" s="121" t="s">
        <v>65</v>
      </c>
      <c r="G1272" s="299" t="s">
        <v>27996</v>
      </c>
      <c r="H1272" s="305" t="s">
        <v>27997</v>
      </c>
      <c r="I1272" s="305"/>
      <c r="J1272" s="259" t="s">
        <v>27998</v>
      </c>
      <c r="K1272" s="137" t="s">
        <v>27999</v>
      </c>
      <c r="L1272" s="136" t="s">
        <v>28000</v>
      </c>
      <c r="M1272" s="136" t="s">
        <v>28001</v>
      </c>
    </row>
    <row r="1273" spans="1:13" ht="15.75" customHeight="1">
      <c r="A1273" s="185">
        <v>25</v>
      </c>
      <c r="B1273" s="185"/>
      <c r="C1273" s="271" t="s">
        <v>28002</v>
      </c>
      <c r="D1273" s="259" t="s">
        <v>28003</v>
      </c>
      <c r="E1273" s="123" t="s">
        <v>28004</v>
      </c>
      <c r="F1273" s="123" t="s">
        <v>117</v>
      </c>
      <c r="G1273" s="299" t="s">
        <v>28005</v>
      </c>
      <c r="H1273" s="305" t="s">
        <v>28006</v>
      </c>
      <c r="I1273" s="305"/>
      <c r="J1273" s="259" t="s">
        <v>28007</v>
      </c>
      <c r="K1273" s="137" t="s">
        <v>28008</v>
      </c>
      <c r="L1273" s="136" t="s">
        <v>28009</v>
      </c>
      <c r="M1273" s="136" t="s">
        <v>28010</v>
      </c>
    </row>
    <row r="1274" spans="1:13" ht="15.75" customHeight="1">
      <c r="A1274" s="304">
        <v>26</v>
      </c>
      <c r="B1274" s="304"/>
      <c r="C1274" s="271" t="s">
        <v>28011</v>
      </c>
      <c r="D1274" s="259" t="s">
        <v>28012</v>
      </c>
      <c r="E1274" s="121" t="s">
        <v>28013</v>
      </c>
      <c r="F1274" s="121" t="s">
        <v>117</v>
      </c>
      <c r="G1274" s="299" t="s">
        <v>28014</v>
      </c>
      <c r="H1274" s="305" t="s">
        <v>28015</v>
      </c>
      <c r="I1274" s="305"/>
      <c r="J1274" s="226" t="s">
        <v>28016</v>
      </c>
      <c r="K1274" s="137" t="s">
        <v>28017</v>
      </c>
      <c r="L1274" s="136" t="s">
        <v>28018</v>
      </c>
      <c r="M1274" s="136" t="s">
        <v>28019</v>
      </c>
    </row>
    <row r="1275" spans="1:13" ht="15.75" customHeight="1">
      <c r="A1275" s="304">
        <v>27</v>
      </c>
      <c r="B1275" s="304"/>
      <c r="C1275" s="271" t="s">
        <v>28020</v>
      </c>
      <c r="D1275" s="259" t="s">
        <v>28021</v>
      </c>
      <c r="E1275" s="121" t="s">
        <v>28022</v>
      </c>
      <c r="F1275" s="121" t="s">
        <v>54</v>
      </c>
      <c r="G1275" s="299" t="s">
        <v>28023</v>
      </c>
      <c r="H1275" s="305" t="s">
        <v>28024</v>
      </c>
      <c r="I1275" s="305"/>
      <c r="J1275" s="259" t="s">
        <v>28025</v>
      </c>
      <c r="K1275" s="137" t="s">
        <v>28026</v>
      </c>
      <c r="L1275" s="136" t="s">
        <v>28027</v>
      </c>
      <c r="M1275" s="136" t="s">
        <v>28028</v>
      </c>
    </row>
    <row r="1276" spans="1:13" ht="15.75" customHeight="1">
      <c r="A1276" s="304">
        <v>28</v>
      </c>
      <c r="B1276" s="304"/>
      <c r="C1276" s="271" t="s">
        <v>28029</v>
      </c>
      <c r="D1276" s="259" t="s">
        <v>28030</v>
      </c>
      <c r="E1276" s="121" t="s">
        <v>28031</v>
      </c>
      <c r="F1276" s="121" t="s">
        <v>219</v>
      </c>
      <c r="G1276" s="299" t="s">
        <v>28032</v>
      </c>
      <c r="H1276" s="305" t="s">
        <v>28033</v>
      </c>
      <c r="I1276" s="305"/>
      <c r="J1276" s="259" t="s">
        <v>28034</v>
      </c>
      <c r="K1276" s="137" t="s">
        <v>28035</v>
      </c>
      <c r="L1276" s="136" t="s">
        <v>28036</v>
      </c>
      <c r="M1276" s="136" t="s">
        <v>28037</v>
      </c>
    </row>
    <row r="1277" spans="1:13" ht="15.75" customHeight="1">
      <c r="A1277" s="304">
        <v>29</v>
      </c>
      <c r="B1277" s="304"/>
      <c r="C1277" s="271" t="s">
        <v>28038</v>
      </c>
      <c r="D1277" s="259" t="s">
        <v>28039</v>
      </c>
      <c r="E1277" s="121" t="s">
        <v>28040</v>
      </c>
      <c r="F1277" s="121" t="s">
        <v>117</v>
      </c>
      <c r="G1277" s="299" t="s">
        <v>28041</v>
      </c>
      <c r="H1277" s="305" t="s">
        <v>28042</v>
      </c>
      <c r="I1277" s="305"/>
      <c r="J1277" s="259" t="s">
        <v>28043</v>
      </c>
      <c r="K1277" s="137" t="s">
        <v>28044</v>
      </c>
      <c r="L1277" s="136" t="s">
        <v>28045</v>
      </c>
      <c r="M1277" s="136" t="s">
        <v>28046</v>
      </c>
    </row>
    <row r="1278" spans="1:13" ht="15.75" customHeight="1">
      <c r="A1278" s="304">
        <v>30</v>
      </c>
      <c r="B1278" s="304"/>
      <c r="C1278" s="271" t="s">
        <v>28047</v>
      </c>
      <c r="D1278" s="259" t="s">
        <v>28048</v>
      </c>
      <c r="E1278" s="121" t="s">
        <v>28049</v>
      </c>
      <c r="F1278" s="121" t="s">
        <v>54</v>
      </c>
      <c r="G1278" s="299" t="s">
        <v>27350</v>
      </c>
      <c r="H1278" s="305" t="s">
        <v>28050</v>
      </c>
      <c r="I1278" s="305"/>
      <c r="J1278" s="259" t="s">
        <v>28051</v>
      </c>
      <c r="K1278" s="137" t="s">
        <v>28052</v>
      </c>
      <c r="L1278" s="136" t="s">
        <v>28053</v>
      </c>
      <c r="M1278" s="136" t="s">
        <v>28054</v>
      </c>
    </row>
    <row r="1279" spans="1:13" ht="15.75" customHeight="1">
      <c r="A1279" s="304">
        <v>31</v>
      </c>
      <c r="B1279" s="304"/>
      <c r="C1279" s="271" t="s">
        <v>28055</v>
      </c>
      <c r="D1279" s="259" t="s">
        <v>28056</v>
      </c>
      <c r="E1279" s="121" t="s">
        <v>28057</v>
      </c>
      <c r="F1279" s="121" t="s">
        <v>117</v>
      </c>
      <c r="G1279" s="299" t="s">
        <v>28058</v>
      </c>
      <c r="H1279" s="305" t="s">
        <v>28059</v>
      </c>
      <c r="I1279" s="306"/>
      <c r="J1279" s="13" t="s">
        <v>28060</v>
      </c>
      <c r="K1279" s="137" t="s">
        <v>28061</v>
      </c>
      <c r="L1279" s="136" t="s">
        <v>28062</v>
      </c>
      <c r="M1279" s="136" t="s">
        <v>28063</v>
      </c>
    </row>
    <row r="1280" spans="1:13" ht="15.75" customHeight="1">
      <c r="A1280" s="304">
        <v>32</v>
      </c>
      <c r="B1280" s="304"/>
      <c r="C1280" s="271" t="s">
        <v>28064</v>
      </c>
      <c r="D1280" s="259" t="s">
        <v>28065</v>
      </c>
      <c r="E1280" s="121" t="s">
        <v>28066</v>
      </c>
      <c r="F1280" s="121" t="s">
        <v>65</v>
      </c>
      <c r="G1280" s="299" t="s">
        <v>28067</v>
      </c>
      <c r="H1280" s="305" t="s">
        <v>28068</v>
      </c>
      <c r="I1280" s="305"/>
      <c r="J1280" s="259" t="s">
        <v>28069</v>
      </c>
      <c r="K1280" s="137" t="s">
        <v>28070</v>
      </c>
      <c r="L1280" s="136" t="s">
        <v>28071</v>
      </c>
      <c r="M1280" s="136" t="s">
        <v>28072</v>
      </c>
    </row>
    <row r="1281" spans="1:13" ht="15.75" customHeight="1">
      <c r="A1281" s="304">
        <v>33</v>
      </c>
      <c r="B1281" s="304"/>
      <c r="C1281" s="271" t="s">
        <v>28073</v>
      </c>
      <c r="D1281" s="259" t="s">
        <v>28074</v>
      </c>
      <c r="E1281" s="121" t="s">
        <v>28075</v>
      </c>
      <c r="F1281" s="121" t="s">
        <v>117</v>
      </c>
      <c r="G1281" s="299" t="s">
        <v>28076</v>
      </c>
      <c r="H1281" s="305" t="s">
        <v>28077</v>
      </c>
      <c r="I1281" s="305"/>
      <c r="J1281" s="259" t="s">
        <v>28078</v>
      </c>
      <c r="K1281" s="137" t="s">
        <v>28079</v>
      </c>
      <c r="L1281" s="136" t="s">
        <v>28080</v>
      </c>
      <c r="M1281" s="136" t="s">
        <v>28081</v>
      </c>
    </row>
    <row r="1282" spans="1:13" ht="15.75" customHeight="1">
      <c r="A1282" s="304">
        <v>34</v>
      </c>
      <c r="B1282" s="304"/>
      <c r="C1282" s="271" t="s">
        <v>28082</v>
      </c>
      <c r="D1282" s="259" t="s">
        <v>28083</v>
      </c>
      <c r="E1282" s="121" t="s">
        <v>28084</v>
      </c>
      <c r="F1282" s="121" t="s">
        <v>54</v>
      </c>
      <c r="G1282" s="299" t="s">
        <v>28085</v>
      </c>
      <c r="H1282" s="305" t="s">
        <v>28086</v>
      </c>
      <c r="I1282" s="305"/>
      <c r="J1282" s="259" t="s">
        <v>28087</v>
      </c>
      <c r="K1282" s="137" t="s">
        <v>28088</v>
      </c>
      <c r="L1282" s="136" t="s">
        <v>28089</v>
      </c>
      <c r="M1282" s="136" t="s">
        <v>28090</v>
      </c>
    </row>
    <row r="1283" spans="1:13" ht="15.75" customHeight="1">
      <c r="A1283" s="304">
        <v>35</v>
      </c>
      <c r="B1283" s="304"/>
      <c r="C1283" s="271" t="s">
        <v>28091</v>
      </c>
      <c r="D1283" s="259" t="s">
        <v>28092</v>
      </c>
      <c r="E1283" s="121" t="s">
        <v>28093</v>
      </c>
      <c r="F1283" s="121" t="s">
        <v>117</v>
      </c>
      <c r="G1283" s="299" t="s">
        <v>28094</v>
      </c>
      <c r="H1283" s="305" t="s">
        <v>28095</v>
      </c>
      <c r="I1283" s="305"/>
      <c r="J1283" s="259" t="s">
        <v>28096</v>
      </c>
      <c r="K1283" s="137" t="s">
        <v>28097</v>
      </c>
      <c r="L1283" s="136" t="s">
        <v>28098</v>
      </c>
      <c r="M1283" s="136" t="s">
        <v>28099</v>
      </c>
    </row>
    <row r="1284" spans="1:13" ht="15.75" customHeight="1">
      <c r="A1284" s="304">
        <v>36</v>
      </c>
      <c r="B1284" s="304"/>
      <c r="C1284" s="271" t="s">
        <v>28100</v>
      </c>
      <c r="D1284" s="259" t="s">
        <v>28101</v>
      </c>
      <c r="E1284" s="121" t="s">
        <v>28102</v>
      </c>
      <c r="F1284" s="121" t="s">
        <v>664</v>
      </c>
      <c r="G1284" s="299" t="s">
        <v>28103</v>
      </c>
      <c r="H1284" s="305" t="s">
        <v>28104</v>
      </c>
      <c r="I1284" s="305"/>
      <c r="J1284" s="259" t="s">
        <v>28105</v>
      </c>
      <c r="K1284" s="137" t="s">
        <v>28106</v>
      </c>
      <c r="L1284" s="136" t="s">
        <v>28107</v>
      </c>
      <c r="M1284" s="136" t="s">
        <v>28108</v>
      </c>
    </row>
    <row r="1285" spans="1:13" ht="15.75" customHeight="1">
      <c r="A1285" s="185">
        <v>37</v>
      </c>
      <c r="B1285" s="185"/>
      <c r="C1285" s="271" t="s">
        <v>28109</v>
      </c>
      <c r="D1285" s="259" t="s">
        <v>28110</v>
      </c>
      <c r="E1285" s="121" t="s">
        <v>28111</v>
      </c>
      <c r="F1285" s="121" t="s">
        <v>54</v>
      </c>
      <c r="G1285" s="299" t="s">
        <v>28112</v>
      </c>
      <c r="H1285" s="305" t="s">
        <v>28113</v>
      </c>
      <c r="I1285" s="305"/>
      <c r="J1285" s="259" t="s">
        <v>28114</v>
      </c>
      <c r="K1285" s="137" t="s">
        <v>28115</v>
      </c>
      <c r="L1285" s="136" t="s">
        <v>28116</v>
      </c>
      <c r="M1285" s="136" t="s">
        <v>28117</v>
      </c>
    </row>
    <row r="1286" spans="1:13" ht="15.75" customHeight="1">
      <c r="A1286" s="185">
        <v>38</v>
      </c>
      <c r="B1286" s="185"/>
      <c r="C1286" s="271" t="s">
        <v>28118</v>
      </c>
      <c r="D1286" s="259" t="s">
        <v>28119</v>
      </c>
      <c r="E1286" s="121" t="s">
        <v>28120</v>
      </c>
      <c r="F1286" s="121" t="s">
        <v>117</v>
      </c>
      <c r="G1286" s="299" t="s">
        <v>28121</v>
      </c>
      <c r="H1286" s="305" t="s">
        <v>28122</v>
      </c>
      <c r="I1286" s="305"/>
      <c r="J1286" s="259" t="s">
        <v>28123</v>
      </c>
      <c r="K1286" s="137" t="s">
        <v>28124</v>
      </c>
      <c r="L1286" s="113" t="s">
        <v>28125</v>
      </c>
      <c r="M1286" s="136" t="s">
        <v>28126</v>
      </c>
    </row>
    <row r="1287" spans="1:13" ht="14.25" customHeight="1">
      <c r="A1287" s="210">
        <v>1</v>
      </c>
      <c r="B1287" s="210"/>
      <c r="C1287" s="211" t="s">
        <v>28127</v>
      </c>
      <c r="D1287" s="238" t="s">
        <v>28128</v>
      </c>
      <c r="E1287" s="283" t="s">
        <v>28129</v>
      </c>
      <c r="F1287" s="283" t="s">
        <v>117</v>
      </c>
      <c r="G1287" s="213" t="s">
        <v>28130</v>
      </c>
      <c r="H1287" s="214" t="s">
        <v>28131</v>
      </c>
      <c r="I1287" s="214"/>
      <c r="J1287" s="263" t="s">
        <v>28132</v>
      </c>
      <c r="K1287" s="215" t="s">
        <v>28133</v>
      </c>
      <c r="L1287" s="210" t="s">
        <v>28134</v>
      </c>
      <c r="M1287" s="247" t="s">
        <v>28135</v>
      </c>
    </row>
    <row r="1288" spans="1:13" ht="15.75" customHeight="1">
      <c r="A1288" s="185">
        <v>2</v>
      </c>
      <c r="B1288" s="185"/>
      <c r="C1288" s="271" t="s">
        <v>28136</v>
      </c>
      <c r="D1288" s="259" t="s">
        <v>28137</v>
      </c>
      <c r="E1288" s="121" t="s">
        <v>28138</v>
      </c>
      <c r="F1288" s="121" t="s">
        <v>65</v>
      </c>
      <c r="G1288" s="299" t="s">
        <v>28139</v>
      </c>
      <c r="H1288" s="260" t="s">
        <v>28140</v>
      </c>
      <c r="I1288" s="260"/>
      <c r="J1288" s="259" t="s">
        <v>28141</v>
      </c>
      <c r="K1288" s="137" t="s">
        <v>28142</v>
      </c>
      <c r="L1288" s="136" t="s">
        <v>28143</v>
      </c>
      <c r="M1288" s="136" t="s">
        <v>28144</v>
      </c>
    </row>
    <row r="1289" spans="1:13" ht="15.75" customHeight="1">
      <c r="A1289" s="185">
        <v>3</v>
      </c>
      <c r="B1289" s="185"/>
      <c r="C1289" s="271" t="s">
        <v>28145</v>
      </c>
      <c r="D1289" s="259" t="s">
        <v>28146</v>
      </c>
      <c r="E1289" s="121" t="s">
        <v>28147</v>
      </c>
      <c r="F1289" s="121" t="s">
        <v>65</v>
      </c>
      <c r="G1289" s="299" t="s">
        <v>28148</v>
      </c>
      <c r="H1289" s="260" t="s">
        <v>28149</v>
      </c>
      <c r="I1289" s="260"/>
      <c r="J1289" s="259" t="s">
        <v>28150</v>
      </c>
      <c r="K1289" s="137" t="s">
        <v>28151</v>
      </c>
      <c r="L1289" s="136" t="s">
        <v>28152</v>
      </c>
      <c r="M1289" s="136" t="s">
        <v>28153</v>
      </c>
    </row>
    <row r="1290" spans="1:13" ht="15.75" customHeight="1">
      <c r="A1290" s="185">
        <v>4</v>
      </c>
      <c r="B1290" s="185"/>
      <c r="C1290" s="271" t="s">
        <v>28154</v>
      </c>
      <c r="D1290" s="259" t="s">
        <v>28155</v>
      </c>
      <c r="E1290" s="121" t="s">
        <v>28156</v>
      </c>
      <c r="F1290" s="121" t="s">
        <v>65</v>
      </c>
      <c r="G1290" s="299" t="s">
        <v>28157</v>
      </c>
      <c r="H1290" s="260" t="s">
        <v>28158</v>
      </c>
      <c r="I1290" s="260"/>
      <c r="J1290" s="259" t="s">
        <v>28159</v>
      </c>
      <c r="K1290" s="137" t="s">
        <v>28160</v>
      </c>
      <c r="L1290" s="136" t="s">
        <v>28161</v>
      </c>
      <c r="M1290" s="136" t="s">
        <v>28162</v>
      </c>
    </row>
    <row r="1291" spans="1:13" ht="15.75" customHeight="1">
      <c r="A1291" s="185">
        <v>5</v>
      </c>
      <c r="B1291" s="185"/>
      <c r="C1291" s="271" t="s">
        <v>28163</v>
      </c>
      <c r="D1291" s="259" t="s">
        <v>28164</v>
      </c>
      <c r="E1291" s="121" t="s">
        <v>28165</v>
      </c>
      <c r="F1291" s="121" t="s">
        <v>65</v>
      </c>
      <c r="G1291" s="299" t="s">
        <v>28166</v>
      </c>
      <c r="H1291" s="260" t="s">
        <v>28167</v>
      </c>
      <c r="I1291" s="260"/>
      <c r="J1291" s="226" t="s">
        <v>28168</v>
      </c>
      <c r="K1291" s="137" t="s">
        <v>28169</v>
      </c>
      <c r="L1291" s="136" t="s">
        <v>28170</v>
      </c>
      <c r="M1291" s="136" t="s">
        <v>28171</v>
      </c>
    </row>
    <row r="1292" spans="1:13" ht="15.75" customHeight="1">
      <c r="A1292" s="185">
        <v>6</v>
      </c>
      <c r="B1292" s="185"/>
      <c r="C1292" s="271" t="s">
        <v>28172</v>
      </c>
      <c r="D1292" s="259" t="s">
        <v>28173</v>
      </c>
      <c r="E1292" s="121" t="s">
        <v>28174</v>
      </c>
      <c r="F1292" s="121" t="s">
        <v>117</v>
      </c>
      <c r="G1292" s="299" t="s">
        <v>28175</v>
      </c>
      <c r="H1292" s="260" t="s">
        <v>28176</v>
      </c>
      <c r="I1292" s="260"/>
      <c r="J1292" s="259" t="s">
        <v>28177</v>
      </c>
      <c r="K1292" s="137" t="s">
        <v>28178</v>
      </c>
      <c r="L1292" s="136" t="s">
        <v>28179</v>
      </c>
      <c r="M1292" s="136" t="s">
        <v>28180</v>
      </c>
    </row>
    <row r="1293" spans="1:13" ht="15.75" customHeight="1">
      <c r="A1293" s="185">
        <v>7</v>
      </c>
      <c r="B1293" s="185"/>
      <c r="C1293" s="271" t="s">
        <v>28181</v>
      </c>
      <c r="D1293" s="259" t="s">
        <v>28182</v>
      </c>
      <c r="E1293" s="121" t="s">
        <v>28183</v>
      </c>
      <c r="F1293" s="121" t="s">
        <v>54</v>
      </c>
      <c r="G1293" s="299" t="s">
        <v>28184</v>
      </c>
      <c r="H1293" s="260" t="s">
        <v>28185</v>
      </c>
      <c r="I1293" s="260"/>
      <c r="J1293" s="259" t="s">
        <v>28186</v>
      </c>
      <c r="K1293" s="137" t="s">
        <v>28187</v>
      </c>
      <c r="L1293" s="136" t="s">
        <v>28188</v>
      </c>
      <c r="M1293" s="136" t="s">
        <v>28189</v>
      </c>
    </row>
    <row r="1294" spans="1:13" ht="15.75" customHeight="1">
      <c r="A1294" s="185">
        <v>8</v>
      </c>
      <c r="B1294" s="185"/>
      <c r="C1294" s="271" t="s">
        <v>28190</v>
      </c>
      <c r="D1294" s="259" t="s">
        <v>28191</v>
      </c>
      <c r="E1294" s="121" t="s">
        <v>28192</v>
      </c>
      <c r="F1294" s="121" t="s">
        <v>117</v>
      </c>
      <c r="G1294" s="299" t="s">
        <v>28193</v>
      </c>
      <c r="H1294" s="260" t="s">
        <v>28194</v>
      </c>
      <c r="I1294" s="260"/>
      <c r="J1294" s="259" t="s">
        <v>28195</v>
      </c>
      <c r="K1294" s="13" t="s">
        <v>28196</v>
      </c>
      <c r="L1294" s="136" t="s">
        <v>28197</v>
      </c>
      <c r="M1294" s="136" t="s">
        <v>28198</v>
      </c>
    </row>
    <row r="1295" spans="1:13" ht="15.75" customHeight="1">
      <c r="A1295" s="185">
        <v>9</v>
      </c>
      <c r="B1295" s="185"/>
      <c r="C1295" s="271" t="s">
        <v>28199</v>
      </c>
      <c r="D1295" s="259" t="s">
        <v>28200</v>
      </c>
      <c r="E1295" s="121" t="s">
        <v>28201</v>
      </c>
      <c r="F1295" s="121" t="s">
        <v>54</v>
      </c>
      <c r="G1295" s="299" t="s">
        <v>28202</v>
      </c>
      <c r="H1295" s="260" t="s">
        <v>28203</v>
      </c>
      <c r="I1295" s="260"/>
      <c r="J1295" s="259" t="s">
        <v>28204</v>
      </c>
      <c r="K1295" s="137" t="s">
        <v>28205</v>
      </c>
      <c r="L1295" s="136" t="s">
        <v>28206</v>
      </c>
      <c r="M1295" s="136" t="s">
        <v>28207</v>
      </c>
    </row>
    <row r="1296" spans="1:13" ht="15.75" customHeight="1">
      <c r="A1296" s="185">
        <v>10</v>
      </c>
      <c r="B1296" s="185"/>
      <c r="C1296" s="271" t="s">
        <v>28208</v>
      </c>
      <c r="D1296" s="259" t="s">
        <v>28209</v>
      </c>
      <c r="E1296" s="121" t="s">
        <v>4957</v>
      </c>
      <c r="F1296" s="121" t="s">
        <v>65</v>
      </c>
      <c r="G1296" s="299" t="s">
        <v>28210</v>
      </c>
      <c r="H1296" s="260" t="s">
        <v>28211</v>
      </c>
      <c r="I1296" s="260"/>
      <c r="J1296" s="259" t="s">
        <v>28212</v>
      </c>
      <c r="K1296" s="137" t="s">
        <v>28213</v>
      </c>
      <c r="L1296" s="136" t="s">
        <v>28214</v>
      </c>
      <c r="M1296" s="136" t="s">
        <v>28215</v>
      </c>
    </row>
    <row r="1297" spans="1:13" ht="15.75" customHeight="1">
      <c r="A1297" s="185">
        <v>11</v>
      </c>
      <c r="B1297" s="185"/>
      <c r="C1297" s="271" t="s">
        <v>16669</v>
      </c>
      <c r="D1297" s="259" t="s">
        <v>16670</v>
      </c>
      <c r="E1297" s="121" t="s">
        <v>16671</v>
      </c>
      <c r="F1297" s="121" t="s">
        <v>117</v>
      </c>
      <c r="G1297" s="299" t="s">
        <v>28216</v>
      </c>
      <c r="H1297" s="260" t="s">
        <v>28217</v>
      </c>
      <c r="I1297" s="260"/>
      <c r="J1297" s="259" t="s">
        <v>28218</v>
      </c>
      <c r="K1297" s="137" t="s">
        <v>28219</v>
      </c>
      <c r="L1297" s="136" t="s">
        <v>28220</v>
      </c>
      <c r="M1297" s="136" t="s">
        <v>28221</v>
      </c>
    </row>
    <row r="1298" spans="1:13" ht="15.75" customHeight="1">
      <c r="A1298" s="185">
        <v>12</v>
      </c>
      <c r="B1298" s="185"/>
      <c r="C1298" s="271" t="s">
        <v>28222</v>
      </c>
      <c r="D1298" s="259" t="s">
        <v>28223</v>
      </c>
      <c r="E1298" s="121" t="s">
        <v>28224</v>
      </c>
      <c r="F1298" s="121" t="s">
        <v>117</v>
      </c>
      <c r="G1298" s="299" t="s">
        <v>28225</v>
      </c>
      <c r="H1298" s="260" t="s">
        <v>28226</v>
      </c>
      <c r="I1298" s="260"/>
      <c r="J1298" s="259" t="s">
        <v>28227</v>
      </c>
      <c r="K1298" s="137" t="s">
        <v>28228</v>
      </c>
      <c r="L1298" s="136" t="s">
        <v>28229</v>
      </c>
      <c r="M1298" s="136" t="s">
        <v>28230</v>
      </c>
    </row>
    <row r="1299" spans="1:13" ht="15.75" customHeight="1">
      <c r="A1299" s="185">
        <v>13</v>
      </c>
      <c r="B1299" s="185"/>
      <c r="C1299" s="271" t="s">
        <v>28231</v>
      </c>
      <c r="D1299" s="259" t="s">
        <v>28232</v>
      </c>
      <c r="E1299" s="121" t="s">
        <v>28233</v>
      </c>
      <c r="F1299" s="121" t="s">
        <v>65</v>
      </c>
      <c r="G1299" s="299" t="s">
        <v>28234</v>
      </c>
      <c r="H1299" s="13" t="s">
        <v>28235</v>
      </c>
      <c r="I1299" s="13"/>
      <c r="J1299" s="259" t="s">
        <v>28236</v>
      </c>
      <c r="K1299" s="137" t="s">
        <v>28237</v>
      </c>
      <c r="L1299" s="136" t="s">
        <v>28238</v>
      </c>
      <c r="M1299" s="136" t="s">
        <v>28239</v>
      </c>
    </row>
    <row r="1300" spans="1:13" ht="15.75" customHeight="1">
      <c r="A1300" s="185">
        <v>14</v>
      </c>
      <c r="B1300" s="185"/>
      <c r="C1300" s="271" t="s">
        <v>28240</v>
      </c>
      <c r="D1300" s="259" t="s">
        <v>28241</v>
      </c>
      <c r="E1300" s="121" t="s">
        <v>28242</v>
      </c>
      <c r="F1300" s="121" t="s">
        <v>65</v>
      </c>
      <c r="G1300" s="299" t="s">
        <v>28243</v>
      </c>
      <c r="H1300" s="260" t="s">
        <v>28244</v>
      </c>
      <c r="I1300" s="260"/>
      <c r="J1300" s="259" t="s">
        <v>28245</v>
      </c>
      <c r="K1300" s="137" t="s">
        <v>28246</v>
      </c>
      <c r="L1300" s="136" t="s">
        <v>28247</v>
      </c>
      <c r="M1300" s="136" t="s">
        <v>28248</v>
      </c>
    </row>
    <row r="1301" spans="1:13" ht="15.75" customHeight="1">
      <c r="A1301" s="185">
        <v>15</v>
      </c>
      <c r="B1301" s="185"/>
      <c r="C1301" s="271" t="s">
        <v>28249</v>
      </c>
      <c r="D1301" s="259" t="s">
        <v>28250</v>
      </c>
      <c r="E1301" s="121" t="s">
        <v>28251</v>
      </c>
      <c r="F1301" s="121" t="s">
        <v>65</v>
      </c>
      <c r="G1301" s="299" t="s">
        <v>28252</v>
      </c>
      <c r="H1301" s="260" t="s">
        <v>28253</v>
      </c>
      <c r="I1301" s="260"/>
      <c r="J1301" s="259" t="s">
        <v>28254</v>
      </c>
      <c r="K1301" s="137" t="s">
        <v>28255</v>
      </c>
      <c r="L1301" s="136" t="s">
        <v>28256</v>
      </c>
      <c r="M1301" s="136" t="s">
        <v>28257</v>
      </c>
    </row>
    <row r="1302" spans="1:13" ht="15.75" customHeight="1">
      <c r="A1302" s="185">
        <v>16</v>
      </c>
      <c r="B1302" s="185"/>
      <c r="C1302" s="271" t="s">
        <v>28258</v>
      </c>
      <c r="D1302" s="259" t="s">
        <v>28259</v>
      </c>
      <c r="E1302" s="121" t="s">
        <v>28260</v>
      </c>
      <c r="F1302" s="121" t="s">
        <v>65</v>
      </c>
      <c r="G1302" s="299" t="s">
        <v>28261</v>
      </c>
      <c r="H1302" s="260" t="s">
        <v>28262</v>
      </c>
      <c r="I1302" s="260"/>
      <c r="J1302" s="259" t="s">
        <v>28263</v>
      </c>
      <c r="K1302" s="137" t="s">
        <v>28264</v>
      </c>
      <c r="L1302" s="136" t="s">
        <v>28265</v>
      </c>
      <c r="M1302" s="136" t="s">
        <v>28266</v>
      </c>
    </row>
    <row r="1303" spans="1:13" ht="15.75" customHeight="1">
      <c r="A1303" s="185">
        <v>17</v>
      </c>
      <c r="B1303" s="185"/>
      <c r="C1303" s="271" t="s">
        <v>28267</v>
      </c>
      <c r="D1303" s="259" t="s">
        <v>28268</v>
      </c>
      <c r="E1303" s="121" t="s">
        <v>28269</v>
      </c>
      <c r="F1303" s="121" t="s">
        <v>65</v>
      </c>
      <c r="G1303" s="299" t="s">
        <v>28270</v>
      </c>
      <c r="H1303" s="260" t="s">
        <v>28271</v>
      </c>
      <c r="I1303" s="260"/>
      <c r="J1303" s="259" t="s">
        <v>28272</v>
      </c>
      <c r="K1303" s="137" t="s">
        <v>28273</v>
      </c>
      <c r="L1303" s="136" t="s">
        <v>28274</v>
      </c>
      <c r="M1303" s="136" t="s">
        <v>28275</v>
      </c>
    </row>
    <row r="1304" spans="1:13" ht="15.75" customHeight="1">
      <c r="A1304" s="185">
        <v>18</v>
      </c>
      <c r="B1304" s="185"/>
      <c r="C1304" s="271" t="s">
        <v>28276</v>
      </c>
      <c r="D1304" s="259" t="s">
        <v>28277</v>
      </c>
      <c r="E1304" s="121" t="s">
        <v>28278</v>
      </c>
      <c r="F1304" s="121" t="s">
        <v>65</v>
      </c>
      <c r="G1304" s="299" t="s">
        <v>28279</v>
      </c>
      <c r="H1304" s="260" t="s">
        <v>28280</v>
      </c>
      <c r="I1304" s="260"/>
      <c r="J1304" s="259" t="s">
        <v>28281</v>
      </c>
      <c r="K1304" s="137" t="s">
        <v>28282</v>
      </c>
      <c r="L1304" s="136" t="s">
        <v>28283</v>
      </c>
      <c r="M1304" s="136" t="s">
        <v>28284</v>
      </c>
    </row>
    <row r="1305" spans="1:13" ht="15.75" customHeight="1">
      <c r="A1305" s="185">
        <v>19</v>
      </c>
      <c r="B1305" s="185"/>
      <c r="C1305" s="271" t="s">
        <v>28285</v>
      </c>
      <c r="D1305" s="259" t="s">
        <v>28286</v>
      </c>
      <c r="E1305" s="121" t="s">
        <v>28287</v>
      </c>
      <c r="F1305" s="121" t="s">
        <v>117</v>
      </c>
      <c r="G1305" s="299" t="s">
        <v>28288</v>
      </c>
      <c r="H1305" s="260" t="s">
        <v>28289</v>
      </c>
      <c r="I1305" s="260"/>
      <c r="J1305" s="259" t="s">
        <v>28290</v>
      </c>
      <c r="K1305" s="137" t="s">
        <v>28291</v>
      </c>
      <c r="L1305" s="136" t="s">
        <v>28292</v>
      </c>
      <c r="M1305" s="136" t="s">
        <v>28293</v>
      </c>
    </row>
    <row r="1306" spans="1:13" ht="15.75" customHeight="1">
      <c r="A1306" s="185">
        <v>20</v>
      </c>
      <c r="B1306" s="185"/>
      <c r="C1306" s="271" t="s">
        <v>6469</v>
      </c>
      <c r="D1306" s="259" t="s">
        <v>6470</v>
      </c>
      <c r="E1306" s="121" t="s">
        <v>6471</v>
      </c>
      <c r="F1306" s="121" t="s">
        <v>664</v>
      </c>
      <c r="G1306" s="299" t="s">
        <v>10709</v>
      </c>
      <c r="H1306" s="260" t="s">
        <v>28294</v>
      </c>
      <c r="I1306" s="260"/>
      <c r="J1306" s="259" t="s">
        <v>6475</v>
      </c>
      <c r="K1306" s="137" t="s">
        <v>10710</v>
      </c>
      <c r="L1306" s="136" t="s">
        <v>10711</v>
      </c>
      <c r="M1306" s="136" t="s">
        <v>10712</v>
      </c>
    </row>
    <row r="1307" spans="1:13" ht="15.75" customHeight="1">
      <c r="A1307" s="185">
        <v>21</v>
      </c>
      <c r="B1307" s="185"/>
      <c r="C1307" s="271" t="s">
        <v>28295</v>
      </c>
      <c r="D1307" s="259" t="s">
        <v>28296</v>
      </c>
      <c r="E1307" s="121" t="s">
        <v>28297</v>
      </c>
      <c r="F1307" s="121" t="s">
        <v>65</v>
      </c>
      <c r="G1307" s="299" t="s">
        <v>28298</v>
      </c>
      <c r="H1307" s="260" t="s">
        <v>28299</v>
      </c>
      <c r="I1307" s="260"/>
      <c r="J1307" s="259" t="s">
        <v>28300</v>
      </c>
      <c r="K1307" s="137" t="s">
        <v>28301</v>
      </c>
      <c r="L1307" s="136" t="s">
        <v>28302</v>
      </c>
      <c r="M1307" s="136" t="s">
        <v>28303</v>
      </c>
    </row>
    <row r="1308" spans="1:13" ht="15.75" customHeight="1">
      <c r="A1308" s="185">
        <v>22</v>
      </c>
      <c r="B1308" s="185"/>
      <c r="C1308" s="271" t="s">
        <v>28304</v>
      </c>
      <c r="D1308" s="259" t="s">
        <v>28305</v>
      </c>
      <c r="E1308" s="121" t="s">
        <v>28306</v>
      </c>
      <c r="F1308" s="121" t="s">
        <v>117</v>
      </c>
      <c r="G1308" s="299" t="s">
        <v>17841</v>
      </c>
      <c r="H1308" s="260" t="s">
        <v>28307</v>
      </c>
      <c r="I1308" s="260"/>
      <c r="J1308" s="259" t="s">
        <v>28308</v>
      </c>
      <c r="K1308" s="137" t="s">
        <v>28309</v>
      </c>
      <c r="L1308" s="136" t="s">
        <v>28310</v>
      </c>
      <c r="M1308" s="136" t="s">
        <v>28311</v>
      </c>
    </row>
    <row r="1309" spans="1:13" ht="15.75" customHeight="1">
      <c r="A1309" s="185">
        <v>23</v>
      </c>
      <c r="B1309" s="185"/>
      <c r="C1309" s="271" t="s">
        <v>28312</v>
      </c>
      <c r="D1309" s="259" t="s">
        <v>28313</v>
      </c>
      <c r="E1309" s="121" t="s">
        <v>28314</v>
      </c>
      <c r="F1309" s="121" t="s">
        <v>117</v>
      </c>
      <c r="G1309" s="299" t="s">
        <v>28315</v>
      </c>
      <c r="H1309" s="260" t="s">
        <v>28316</v>
      </c>
      <c r="I1309" s="260"/>
      <c r="J1309" s="259" t="s">
        <v>28317</v>
      </c>
      <c r="K1309" s="137" t="s">
        <v>28318</v>
      </c>
      <c r="L1309" s="136" t="s">
        <v>28319</v>
      </c>
      <c r="M1309" s="136" t="s">
        <v>28320</v>
      </c>
    </row>
    <row r="1310" spans="1:13" ht="15.75" customHeight="1">
      <c r="A1310" s="185">
        <v>24</v>
      </c>
      <c r="B1310" s="185"/>
      <c r="C1310" s="271" t="s">
        <v>28321</v>
      </c>
      <c r="D1310" s="259" t="s">
        <v>28322</v>
      </c>
      <c r="E1310" s="121" t="s">
        <v>28323</v>
      </c>
      <c r="F1310" s="121" t="s">
        <v>18151</v>
      </c>
      <c r="G1310" s="299" t="s">
        <v>28324</v>
      </c>
      <c r="H1310" s="260" t="s">
        <v>28325</v>
      </c>
      <c r="I1310" s="260"/>
      <c r="J1310" s="259" t="s">
        <v>28326</v>
      </c>
      <c r="K1310" s="137" t="s">
        <v>28327</v>
      </c>
      <c r="L1310" s="136" t="s">
        <v>28328</v>
      </c>
      <c r="M1310" s="136" t="s">
        <v>28329</v>
      </c>
    </row>
    <row r="1311" spans="1:13" ht="15.75" customHeight="1">
      <c r="A1311" s="185">
        <v>25</v>
      </c>
      <c r="B1311" s="185"/>
      <c r="C1311" s="271" t="s">
        <v>28330</v>
      </c>
      <c r="D1311" s="259" t="s">
        <v>28331</v>
      </c>
      <c r="E1311" s="121" t="s">
        <v>28332</v>
      </c>
      <c r="F1311" s="121" t="s">
        <v>54</v>
      </c>
      <c r="G1311" s="299" t="s">
        <v>28333</v>
      </c>
      <c r="H1311" s="260" t="s">
        <v>28334</v>
      </c>
      <c r="I1311" s="260"/>
      <c r="J1311" s="259" t="s">
        <v>28335</v>
      </c>
      <c r="K1311" s="137" t="s">
        <v>28336</v>
      </c>
      <c r="L1311" s="136" t="s">
        <v>28337</v>
      </c>
      <c r="M1311" s="136" t="s">
        <v>28338</v>
      </c>
    </row>
    <row r="1312" spans="1:13" ht="15.75" customHeight="1">
      <c r="A1312" s="185">
        <v>26</v>
      </c>
      <c r="B1312" s="185"/>
      <c r="C1312" s="271" t="s">
        <v>28339</v>
      </c>
      <c r="D1312" s="259" t="s">
        <v>28340</v>
      </c>
      <c r="E1312" s="121" t="s">
        <v>28341</v>
      </c>
      <c r="F1312" s="121" t="s">
        <v>117</v>
      </c>
      <c r="G1312" s="299" t="s">
        <v>28342</v>
      </c>
      <c r="H1312" s="260" t="s">
        <v>28343</v>
      </c>
      <c r="I1312" s="260"/>
      <c r="J1312" s="259" t="s">
        <v>28344</v>
      </c>
      <c r="K1312" s="137" t="s">
        <v>28345</v>
      </c>
      <c r="L1312" s="136" t="s">
        <v>28346</v>
      </c>
      <c r="M1312" s="136" t="s">
        <v>28347</v>
      </c>
    </row>
    <row r="1313" spans="1:13" ht="15.75" customHeight="1">
      <c r="A1313" s="185">
        <v>27</v>
      </c>
      <c r="B1313" s="185"/>
      <c r="C1313" s="271" t="s">
        <v>28348</v>
      </c>
      <c r="D1313" s="259" t="s">
        <v>28349</v>
      </c>
      <c r="E1313" s="121" t="s">
        <v>28350</v>
      </c>
      <c r="F1313" s="121" t="s">
        <v>219</v>
      </c>
      <c r="G1313" s="299" t="s">
        <v>28351</v>
      </c>
      <c r="H1313" s="260" t="s">
        <v>28352</v>
      </c>
      <c r="I1313" s="260"/>
      <c r="J1313" s="259" t="s">
        <v>28353</v>
      </c>
      <c r="K1313" s="137" t="s">
        <v>28354</v>
      </c>
      <c r="L1313" s="136" t="s">
        <v>28355</v>
      </c>
      <c r="M1313" s="136" t="s">
        <v>28356</v>
      </c>
    </row>
    <row r="1314" spans="1:13" ht="15.75" customHeight="1">
      <c r="A1314" s="185">
        <v>28</v>
      </c>
      <c r="B1314" s="185"/>
      <c r="C1314" s="271" t="s">
        <v>28357</v>
      </c>
      <c r="D1314" s="259" t="s">
        <v>28358</v>
      </c>
      <c r="E1314" s="121" t="s">
        <v>28359</v>
      </c>
      <c r="F1314" s="121" t="s">
        <v>54</v>
      </c>
      <c r="G1314" s="299" t="s">
        <v>28360</v>
      </c>
      <c r="H1314" s="260" t="s">
        <v>28361</v>
      </c>
      <c r="I1314" s="260"/>
      <c r="J1314" s="259" t="s">
        <v>28362</v>
      </c>
      <c r="K1314" s="137" t="s">
        <v>28363</v>
      </c>
      <c r="L1314" s="136" t="s">
        <v>28364</v>
      </c>
      <c r="M1314" s="136" t="s">
        <v>28365</v>
      </c>
    </row>
    <row r="1315" spans="1:13" ht="15.75" customHeight="1">
      <c r="A1315" s="185">
        <v>29</v>
      </c>
      <c r="B1315" s="185"/>
      <c r="C1315" s="271" t="s">
        <v>28366</v>
      </c>
      <c r="D1315" s="259" t="s">
        <v>28367</v>
      </c>
      <c r="E1315" s="121" t="s">
        <v>28368</v>
      </c>
      <c r="F1315" s="121" t="s">
        <v>65</v>
      </c>
      <c r="G1315" s="299" t="s">
        <v>28369</v>
      </c>
      <c r="H1315" s="260" t="s">
        <v>28370</v>
      </c>
      <c r="I1315" s="260"/>
      <c r="J1315" s="259" t="s">
        <v>28371</v>
      </c>
      <c r="K1315" s="137" t="s">
        <v>28372</v>
      </c>
      <c r="L1315" s="136" t="s">
        <v>28373</v>
      </c>
      <c r="M1315" s="136" t="s">
        <v>28374</v>
      </c>
    </row>
    <row r="1316" spans="1:13" ht="15.75" customHeight="1">
      <c r="A1316" s="185">
        <v>30</v>
      </c>
      <c r="B1316" s="185"/>
      <c r="C1316" s="271" t="s">
        <v>28375</v>
      </c>
      <c r="D1316" s="259" t="s">
        <v>28376</v>
      </c>
      <c r="E1316" s="121" t="s">
        <v>28377</v>
      </c>
      <c r="F1316" s="121" t="s">
        <v>65</v>
      </c>
      <c r="G1316" s="299" t="s">
        <v>28378</v>
      </c>
      <c r="H1316" s="260" t="s">
        <v>28379</v>
      </c>
      <c r="I1316" s="260"/>
      <c r="J1316" s="259" t="s">
        <v>28380</v>
      </c>
      <c r="K1316" s="137" t="s">
        <v>28381</v>
      </c>
      <c r="L1316" s="136" t="s">
        <v>28382</v>
      </c>
      <c r="M1316" s="136" t="s">
        <v>28383</v>
      </c>
    </row>
    <row r="1317" spans="1:13" ht="15.75" customHeight="1">
      <c r="A1317" s="185">
        <v>31</v>
      </c>
      <c r="B1317" s="185"/>
      <c r="C1317" s="271" t="s">
        <v>28384</v>
      </c>
      <c r="D1317" s="259" t="s">
        <v>28385</v>
      </c>
      <c r="E1317" s="121" t="s">
        <v>28386</v>
      </c>
      <c r="F1317" s="121" t="s">
        <v>65</v>
      </c>
      <c r="G1317" s="299" t="s">
        <v>28387</v>
      </c>
      <c r="H1317" s="260" t="s">
        <v>28388</v>
      </c>
      <c r="I1317" s="260"/>
      <c r="J1317" s="259" t="s">
        <v>28389</v>
      </c>
      <c r="K1317" s="137" t="s">
        <v>28390</v>
      </c>
      <c r="L1317" s="136" t="s">
        <v>28391</v>
      </c>
      <c r="M1317" s="136" t="s">
        <v>28392</v>
      </c>
    </row>
    <row r="1318" spans="1:13" ht="15.75" customHeight="1">
      <c r="A1318" s="185">
        <v>32</v>
      </c>
      <c r="B1318" s="185"/>
      <c r="C1318" s="271" t="s">
        <v>28393</v>
      </c>
      <c r="D1318" s="259" t="s">
        <v>28394</v>
      </c>
      <c r="E1318" s="121" t="s">
        <v>28395</v>
      </c>
      <c r="F1318" s="121" t="s">
        <v>65</v>
      </c>
      <c r="G1318" s="299" t="s">
        <v>28396</v>
      </c>
      <c r="H1318" s="260" t="s">
        <v>28397</v>
      </c>
      <c r="I1318" s="260"/>
      <c r="J1318" s="259" t="s">
        <v>28398</v>
      </c>
      <c r="K1318" s="137" t="s">
        <v>28399</v>
      </c>
      <c r="L1318" s="136" t="s">
        <v>28400</v>
      </c>
      <c r="M1318" s="136" t="s">
        <v>28401</v>
      </c>
    </row>
    <row r="1319" spans="1:13" ht="15.75" customHeight="1">
      <c r="A1319" s="185">
        <v>33</v>
      </c>
      <c r="B1319" s="185"/>
      <c r="C1319" s="271" t="s">
        <v>28402</v>
      </c>
      <c r="D1319" s="259" t="s">
        <v>28403</v>
      </c>
      <c r="E1319" s="121" t="s">
        <v>28404</v>
      </c>
      <c r="F1319" s="271" t="s">
        <v>54</v>
      </c>
      <c r="G1319" s="299" t="s">
        <v>28405</v>
      </c>
      <c r="H1319" s="260" t="s">
        <v>28406</v>
      </c>
      <c r="I1319" s="260"/>
      <c r="J1319" s="259" t="s">
        <v>28407</v>
      </c>
      <c r="K1319" s="137" t="s">
        <v>28408</v>
      </c>
      <c r="L1319" s="136" t="s">
        <v>28409</v>
      </c>
      <c r="M1319" s="136" t="s">
        <v>28410</v>
      </c>
    </row>
    <row r="1320" spans="1:13" ht="15.75" customHeight="1">
      <c r="A1320" s="185">
        <v>34</v>
      </c>
      <c r="B1320" s="185"/>
      <c r="C1320" s="271" t="s">
        <v>28411</v>
      </c>
      <c r="D1320" s="259" t="s">
        <v>28412</v>
      </c>
      <c r="E1320" s="121" t="s">
        <v>28413</v>
      </c>
      <c r="F1320" s="271" t="s">
        <v>22524</v>
      </c>
      <c r="G1320" s="299" t="s">
        <v>28414</v>
      </c>
      <c r="H1320" s="260" t="s">
        <v>28415</v>
      </c>
      <c r="I1320" s="260"/>
      <c r="J1320" s="259" t="s">
        <v>28416</v>
      </c>
      <c r="K1320" s="137" t="s">
        <v>28417</v>
      </c>
      <c r="L1320" s="136" t="s">
        <v>28418</v>
      </c>
      <c r="M1320" s="136" t="s">
        <v>28419</v>
      </c>
    </row>
    <row r="1321" spans="1:13" ht="14.25" customHeight="1">
      <c r="A1321" s="210">
        <v>1</v>
      </c>
      <c r="B1321" s="210"/>
      <c r="C1321" s="211" t="s">
        <v>28420</v>
      </c>
      <c r="D1321" s="238" t="s">
        <v>28421</v>
      </c>
      <c r="E1321" s="283" t="s">
        <v>28422</v>
      </c>
      <c r="F1321" s="283" t="s">
        <v>54</v>
      </c>
      <c r="G1321" s="213" t="s">
        <v>28423</v>
      </c>
      <c r="H1321" s="214" t="s">
        <v>28424</v>
      </c>
      <c r="I1321" s="214"/>
      <c r="J1321" s="263" t="s">
        <v>28425</v>
      </c>
      <c r="K1321" s="215" t="s">
        <v>28426</v>
      </c>
      <c r="L1321" s="210" t="s">
        <v>28427</v>
      </c>
      <c r="M1321" s="247" t="s">
        <v>28428</v>
      </c>
    </row>
    <row r="1322" spans="1:13" ht="15.75" customHeight="1">
      <c r="A1322" s="185">
        <v>2</v>
      </c>
      <c r="B1322" s="185"/>
      <c r="C1322" s="271" t="s">
        <v>28429</v>
      </c>
      <c r="D1322" s="259" t="s">
        <v>28430</v>
      </c>
      <c r="E1322" s="121" t="s">
        <v>1061</v>
      </c>
      <c r="F1322" s="121" t="s">
        <v>117</v>
      </c>
      <c r="G1322" s="299" t="s">
        <v>825</v>
      </c>
      <c r="H1322" s="260" t="s">
        <v>28431</v>
      </c>
      <c r="I1322" s="260"/>
      <c r="J1322" s="259" t="s">
        <v>28432</v>
      </c>
      <c r="K1322" s="137" t="s">
        <v>28433</v>
      </c>
      <c r="L1322" s="136" t="s">
        <v>28434</v>
      </c>
      <c r="M1322" s="136" t="s">
        <v>28435</v>
      </c>
    </row>
    <row r="1323" spans="1:13" ht="15.75" customHeight="1">
      <c r="A1323" s="185">
        <v>3</v>
      </c>
      <c r="B1323" s="185"/>
      <c r="C1323" s="271" t="s">
        <v>28436</v>
      </c>
      <c r="D1323" s="259" t="s">
        <v>28437</v>
      </c>
      <c r="E1323" s="121" t="s">
        <v>28438</v>
      </c>
      <c r="F1323" s="121" t="s">
        <v>65</v>
      </c>
      <c r="G1323" s="299" t="s">
        <v>28439</v>
      </c>
      <c r="H1323" s="260" t="s">
        <v>28440</v>
      </c>
      <c r="I1323" s="301"/>
      <c r="J1323" s="13" t="s">
        <v>28441</v>
      </c>
      <c r="K1323" s="137" t="s">
        <v>28442</v>
      </c>
      <c r="L1323" s="136" t="s">
        <v>28443</v>
      </c>
      <c r="M1323" s="136" t="s">
        <v>28444</v>
      </c>
    </row>
    <row r="1324" spans="1:13" ht="15.75" customHeight="1">
      <c r="A1324" s="185">
        <v>4</v>
      </c>
      <c r="B1324" s="185"/>
      <c r="C1324" s="271" t="s">
        <v>28445</v>
      </c>
      <c r="D1324" s="259" t="s">
        <v>28446</v>
      </c>
      <c r="E1324" s="121" t="s">
        <v>28447</v>
      </c>
      <c r="F1324" s="121" t="s">
        <v>117</v>
      </c>
      <c r="G1324" s="299" t="s">
        <v>28448</v>
      </c>
      <c r="H1324" s="260" t="s">
        <v>28449</v>
      </c>
      <c r="I1324" s="260"/>
      <c r="J1324" s="259" t="s">
        <v>28450</v>
      </c>
      <c r="K1324" s="137" t="s">
        <v>28451</v>
      </c>
      <c r="L1324" s="136" t="s">
        <v>28452</v>
      </c>
      <c r="M1324" s="136" t="s">
        <v>28453</v>
      </c>
    </row>
    <row r="1325" spans="1:13" ht="15.75" customHeight="1">
      <c r="A1325" s="185">
        <v>5</v>
      </c>
      <c r="B1325" s="185"/>
      <c r="C1325" s="271" t="s">
        <v>28454</v>
      </c>
      <c r="D1325" s="259" t="s">
        <v>28455</v>
      </c>
      <c r="E1325" s="121" t="s">
        <v>28456</v>
      </c>
      <c r="F1325" s="121" t="s">
        <v>65</v>
      </c>
      <c r="G1325" s="299" t="s">
        <v>28457</v>
      </c>
      <c r="H1325" s="260" t="s">
        <v>28458</v>
      </c>
      <c r="I1325" s="260"/>
      <c r="J1325" s="259" t="s">
        <v>28459</v>
      </c>
      <c r="K1325" s="137" t="s">
        <v>28460</v>
      </c>
      <c r="L1325" s="136" t="s">
        <v>28461</v>
      </c>
      <c r="M1325" s="136" t="s">
        <v>28462</v>
      </c>
    </row>
    <row r="1326" spans="1:13" ht="15.75" customHeight="1">
      <c r="A1326" s="185">
        <v>6</v>
      </c>
      <c r="B1326" s="185"/>
      <c r="C1326" s="271" t="s">
        <v>28463</v>
      </c>
      <c r="D1326" s="259" t="s">
        <v>28464</v>
      </c>
      <c r="E1326" s="121" t="s">
        <v>28465</v>
      </c>
      <c r="F1326" s="121" t="s">
        <v>65</v>
      </c>
      <c r="G1326" s="299" t="s">
        <v>28466</v>
      </c>
      <c r="H1326" s="260" t="s">
        <v>28467</v>
      </c>
      <c r="I1326" s="260"/>
      <c r="J1326" s="259" t="s">
        <v>28468</v>
      </c>
      <c r="K1326" s="137" t="s">
        <v>28469</v>
      </c>
      <c r="L1326" s="136" t="s">
        <v>28470</v>
      </c>
      <c r="M1326" s="136" t="s">
        <v>28471</v>
      </c>
    </row>
    <row r="1327" spans="1:13" ht="15.75" customHeight="1">
      <c r="A1327" s="185">
        <v>7</v>
      </c>
      <c r="B1327" s="185"/>
      <c r="C1327" s="271" t="s">
        <v>28472</v>
      </c>
      <c r="D1327" s="259" t="s">
        <v>28473</v>
      </c>
      <c r="E1327" s="121" t="s">
        <v>28474</v>
      </c>
      <c r="F1327" s="121" t="s">
        <v>117</v>
      </c>
      <c r="G1327" s="299" t="s">
        <v>28475</v>
      </c>
      <c r="H1327" s="260" t="s">
        <v>28476</v>
      </c>
      <c r="I1327" s="260"/>
      <c r="J1327" s="259" t="s">
        <v>28477</v>
      </c>
      <c r="K1327" s="137" t="s">
        <v>28478</v>
      </c>
      <c r="L1327" s="136" t="s">
        <v>28479</v>
      </c>
      <c r="M1327" s="136" t="s">
        <v>28480</v>
      </c>
    </row>
    <row r="1328" spans="1:13" ht="15.75" customHeight="1">
      <c r="A1328" s="185">
        <v>8</v>
      </c>
      <c r="B1328" s="185"/>
      <c r="C1328" s="271" t="s">
        <v>28481</v>
      </c>
      <c r="D1328" s="259" t="s">
        <v>28482</v>
      </c>
      <c r="E1328" s="121" t="s">
        <v>28483</v>
      </c>
      <c r="F1328" s="121" t="s">
        <v>54</v>
      </c>
      <c r="G1328" s="299" t="s">
        <v>28484</v>
      </c>
      <c r="H1328" s="260" t="s">
        <v>28485</v>
      </c>
      <c r="I1328" s="260"/>
      <c r="J1328" s="259" t="s">
        <v>28486</v>
      </c>
      <c r="K1328" s="137" t="s">
        <v>28487</v>
      </c>
      <c r="L1328" s="136" t="s">
        <v>28488</v>
      </c>
      <c r="M1328" s="136" t="s">
        <v>28489</v>
      </c>
    </row>
    <row r="1329" spans="1:13" ht="15.75" customHeight="1">
      <c r="A1329" s="185">
        <v>9</v>
      </c>
      <c r="B1329" s="185"/>
      <c r="C1329" s="271" t="s">
        <v>28490</v>
      </c>
      <c r="D1329" s="259" t="s">
        <v>28491</v>
      </c>
      <c r="E1329" s="121" t="s">
        <v>28492</v>
      </c>
      <c r="F1329" s="121" t="s">
        <v>54</v>
      </c>
      <c r="G1329" s="299" t="s">
        <v>28493</v>
      </c>
      <c r="H1329" s="260" t="s">
        <v>28494</v>
      </c>
      <c r="I1329" s="260"/>
      <c r="J1329" s="259" t="s">
        <v>28495</v>
      </c>
      <c r="K1329" s="137" t="s">
        <v>28496</v>
      </c>
      <c r="L1329" s="136" t="s">
        <v>28497</v>
      </c>
      <c r="M1329" s="136" t="s">
        <v>28498</v>
      </c>
    </row>
    <row r="1330" spans="1:13" ht="15.75" customHeight="1">
      <c r="A1330" s="185">
        <v>10</v>
      </c>
      <c r="B1330" s="185"/>
      <c r="C1330" s="271" t="s">
        <v>28499</v>
      </c>
      <c r="D1330" s="259" t="s">
        <v>28500</v>
      </c>
      <c r="E1330" s="121" t="s">
        <v>28501</v>
      </c>
      <c r="F1330" s="121" t="s">
        <v>65</v>
      </c>
      <c r="G1330" s="299" t="s">
        <v>28502</v>
      </c>
      <c r="H1330" s="260" t="s">
        <v>28503</v>
      </c>
      <c r="I1330" s="260"/>
      <c r="J1330" s="259" t="s">
        <v>28504</v>
      </c>
      <c r="K1330" s="137" t="s">
        <v>28505</v>
      </c>
      <c r="L1330" s="136" t="s">
        <v>28506</v>
      </c>
      <c r="M1330" s="136" t="s">
        <v>28507</v>
      </c>
    </row>
    <row r="1331" spans="1:13" ht="15.75" customHeight="1">
      <c r="A1331" s="185">
        <v>11</v>
      </c>
      <c r="B1331" s="185"/>
      <c r="C1331" s="271" t="s">
        <v>28508</v>
      </c>
      <c r="D1331" s="259" t="s">
        <v>28509</v>
      </c>
      <c r="E1331" s="121" t="s">
        <v>28510</v>
      </c>
      <c r="F1331" s="121" t="s">
        <v>65</v>
      </c>
      <c r="G1331" s="299" t="s">
        <v>28511</v>
      </c>
      <c r="H1331" s="260" t="s">
        <v>28512</v>
      </c>
      <c r="I1331" s="260"/>
      <c r="J1331" s="259" t="s">
        <v>28513</v>
      </c>
      <c r="K1331" s="137" t="s">
        <v>28514</v>
      </c>
      <c r="L1331" s="136" t="s">
        <v>28515</v>
      </c>
      <c r="M1331" s="136" t="s">
        <v>28516</v>
      </c>
    </row>
    <row r="1332" spans="1:13" ht="15.75" customHeight="1">
      <c r="A1332" s="185">
        <v>12</v>
      </c>
      <c r="B1332" s="185"/>
      <c r="C1332" s="271" t="s">
        <v>28517</v>
      </c>
      <c r="D1332" s="259" t="s">
        <v>28518</v>
      </c>
      <c r="E1332" s="121" t="s">
        <v>28519</v>
      </c>
      <c r="F1332" s="121" t="s">
        <v>117</v>
      </c>
      <c r="G1332" s="299" t="s">
        <v>28520</v>
      </c>
      <c r="H1332" s="260" t="s">
        <v>28521</v>
      </c>
      <c r="I1332" s="260"/>
      <c r="J1332" s="259" t="s">
        <v>28522</v>
      </c>
      <c r="K1332" s="137" t="s">
        <v>28523</v>
      </c>
      <c r="L1332" s="136" t="s">
        <v>28524</v>
      </c>
      <c r="M1332" s="136" t="s">
        <v>28525</v>
      </c>
    </row>
    <row r="1333" spans="1:13" ht="15.75" customHeight="1">
      <c r="A1333" s="185">
        <v>13</v>
      </c>
      <c r="B1333" s="185"/>
      <c r="C1333" s="271" t="s">
        <v>28526</v>
      </c>
      <c r="D1333" s="259" t="s">
        <v>28527</v>
      </c>
      <c r="E1333" s="121" t="s">
        <v>28528</v>
      </c>
      <c r="F1333" s="121" t="s">
        <v>117</v>
      </c>
      <c r="G1333" s="299" t="s">
        <v>28529</v>
      </c>
      <c r="H1333" s="260" t="s">
        <v>28530</v>
      </c>
      <c r="I1333" s="260"/>
      <c r="J1333" s="259" t="s">
        <v>28531</v>
      </c>
      <c r="K1333" s="137" t="s">
        <v>28532</v>
      </c>
      <c r="L1333" s="136" t="s">
        <v>28533</v>
      </c>
      <c r="M1333" s="136" t="s">
        <v>28534</v>
      </c>
    </row>
    <row r="1334" spans="1:13" ht="15.75" customHeight="1">
      <c r="A1334" s="185">
        <v>14</v>
      </c>
      <c r="B1334" s="185"/>
      <c r="C1334" s="271" t="s">
        <v>28535</v>
      </c>
      <c r="D1334" s="259" t="s">
        <v>28536</v>
      </c>
      <c r="E1334" s="121" t="s">
        <v>28537</v>
      </c>
      <c r="F1334" s="121" t="s">
        <v>219</v>
      </c>
      <c r="G1334" s="299" t="s">
        <v>28538</v>
      </c>
      <c r="H1334" s="260" t="s">
        <v>28539</v>
      </c>
      <c r="I1334" s="260"/>
      <c r="J1334" s="259" t="s">
        <v>28540</v>
      </c>
      <c r="K1334" s="137" t="s">
        <v>28541</v>
      </c>
      <c r="L1334" s="136" t="s">
        <v>28542</v>
      </c>
      <c r="M1334" s="136" t="s">
        <v>28543</v>
      </c>
    </row>
    <row r="1335" spans="1:13" ht="15.75" customHeight="1">
      <c r="A1335" s="185">
        <v>15</v>
      </c>
      <c r="B1335" s="185"/>
      <c r="C1335" s="271" t="s">
        <v>28544</v>
      </c>
      <c r="D1335" s="259" t="s">
        <v>28545</v>
      </c>
      <c r="E1335" s="121" t="s">
        <v>16057</v>
      </c>
      <c r="F1335" s="121" t="s">
        <v>65</v>
      </c>
      <c r="G1335" s="299" t="s">
        <v>28546</v>
      </c>
      <c r="H1335" s="260" t="s">
        <v>28547</v>
      </c>
      <c r="I1335" s="260"/>
      <c r="J1335" s="259" t="s">
        <v>28548</v>
      </c>
      <c r="K1335" s="137" t="s">
        <v>28549</v>
      </c>
      <c r="L1335" s="136" t="s">
        <v>28550</v>
      </c>
      <c r="M1335" s="136" t="s">
        <v>28551</v>
      </c>
    </row>
    <row r="1336" spans="1:13" ht="15.75" customHeight="1">
      <c r="A1336" s="185">
        <v>16</v>
      </c>
      <c r="B1336" s="185"/>
      <c r="C1336" s="271" t="s">
        <v>28552</v>
      </c>
      <c r="D1336" s="259" t="s">
        <v>28553</v>
      </c>
      <c r="E1336" s="121" t="s">
        <v>28554</v>
      </c>
      <c r="F1336" s="121" t="s">
        <v>117</v>
      </c>
      <c r="G1336" s="299" t="s">
        <v>28555</v>
      </c>
      <c r="H1336" s="260" t="s">
        <v>28556</v>
      </c>
      <c r="I1336" s="260"/>
      <c r="J1336" s="259" t="s">
        <v>28557</v>
      </c>
      <c r="K1336" s="137" t="s">
        <v>28558</v>
      </c>
      <c r="L1336" s="136" t="s">
        <v>28559</v>
      </c>
      <c r="M1336" s="136" t="s">
        <v>28560</v>
      </c>
    </row>
    <row r="1337" spans="1:13" ht="15.75" customHeight="1">
      <c r="A1337" s="185">
        <v>17</v>
      </c>
      <c r="B1337" s="185"/>
      <c r="C1337" s="271" t="s">
        <v>28561</v>
      </c>
      <c r="D1337" s="259" t="s">
        <v>28562</v>
      </c>
      <c r="E1337" s="121" t="s">
        <v>28563</v>
      </c>
      <c r="F1337" s="121" t="s">
        <v>65</v>
      </c>
      <c r="G1337" s="299" t="s">
        <v>28564</v>
      </c>
      <c r="H1337" s="260" t="s">
        <v>28565</v>
      </c>
      <c r="I1337" s="260"/>
      <c r="J1337" s="259" t="s">
        <v>28566</v>
      </c>
      <c r="K1337" s="137" t="s">
        <v>28567</v>
      </c>
      <c r="L1337" s="136" t="s">
        <v>28568</v>
      </c>
      <c r="M1337" s="136" t="s">
        <v>28569</v>
      </c>
    </row>
    <row r="1338" spans="1:13" ht="15.75" customHeight="1">
      <c r="A1338" s="185">
        <v>18</v>
      </c>
      <c r="B1338" s="185"/>
      <c r="C1338" s="271" t="s">
        <v>28570</v>
      </c>
      <c r="D1338" s="259" t="s">
        <v>28571</v>
      </c>
      <c r="E1338" s="121" t="s">
        <v>28572</v>
      </c>
      <c r="F1338" s="121" t="s">
        <v>65</v>
      </c>
      <c r="G1338" s="299" t="s">
        <v>28573</v>
      </c>
      <c r="H1338" s="260" t="s">
        <v>28574</v>
      </c>
      <c r="I1338" s="260"/>
      <c r="J1338" s="259" t="s">
        <v>28575</v>
      </c>
      <c r="K1338" s="137" t="s">
        <v>28576</v>
      </c>
      <c r="L1338" s="136" t="s">
        <v>28577</v>
      </c>
      <c r="M1338" s="136" t="s">
        <v>28578</v>
      </c>
    </row>
    <row r="1339" spans="1:13" ht="15.75" customHeight="1">
      <c r="A1339" s="185">
        <v>19</v>
      </c>
      <c r="B1339" s="185"/>
      <c r="C1339" s="271" t="s">
        <v>28579</v>
      </c>
      <c r="D1339" s="259" t="s">
        <v>28580</v>
      </c>
      <c r="E1339" s="121" t="s">
        <v>28581</v>
      </c>
      <c r="F1339" s="121" t="s">
        <v>117</v>
      </c>
      <c r="G1339" s="299" t="s">
        <v>28582</v>
      </c>
      <c r="H1339" s="260" t="s">
        <v>28583</v>
      </c>
      <c r="I1339" s="260"/>
      <c r="J1339" s="259" t="s">
        <v>28584</v>
      </c>
      <c r="K1339" s="137" t="s">
        <v>28585</v>
      </c>
      <c r="L1339" s="136" t="s">
        <v>28586</v>
      </c>
      <c r="M1339" s="136" t="s">
        <v>28587</v>
      </c>
    </row>
    <row r="1340" spans="1:13" ht="15.75" customHeight="1">
      <c r="A1340" s="185">
        <v>20</v>
      </c>
      <c r="B1340" s="185"/>
      <c r="C1340" s="271" t="s">
        <v>28588</v>
      </c>
      <c r="D1340" s="259" t="s">
        <v>28589</v>
      </c>
      <c r="E1340" s="121" t="s">
        <v>28590</v>
      </c>
      <c r="F1340" s="121" t="s">
        <v>219</v>
      </c>
      <c r="G1340" s="299" t="s">
        <v>28591</v>
      </c>
      <c r="H1340" s="260" t="s">
        <v>28592</v>
      </c>
      <c r="I1340" s="260"/>
      <c r="J1340" s="259" t="s">
        <v>28593</v>
      </c>
      <c r="K1340" s="137" t="s">
        <v>28594</v>
      </c>
      <c r="L1340" s="136" t="s">
        <v>28595</v>
      </c>
      <c r="M1340" s="136" t="s">
        <v>28596</v>
      </c>
    </row>
    <row r="1341" spans="1:13" ht="15.75" customHeight="1">
      <c r="A1341" s="185">
        <v>21</v>
      </c>
      <c r="B1341" s="185"/>
      <c r="C1341" s="271" t="s">
        <v>28597</v>
      </c>
      <c r="D1341" s="259" t="s">
        <v>28598</v>
      </c>
      <c r="E1341" s="121" t="s">
        <v>28599</v>
      </c>
      <c r="F1341" s="121" t="s">
        <v>65</v>
      </c>
      <c r="G1341" s="299" t="s">
        <v>28600</v>
      </c>
      <c r="H1341" s="260" t="s">
        <v>28601</v>
      </c>
      <c r="I1341" s="260"/>
      <c r="J1341" s="259" t="s">
        <v>28602</v>
      </c>
      <c r="K1341" s="137" t="s">
        <v>28603</v>
      </c>
      <c r="L1341" s="136" t="s">
        <v>28604</v>
      </c>
      <c r="M1341" s="136" t="s">
        <v>28605</v>
      </c>
    </row>
    <row r="1342" spans="1:13" ht="15.75" customHeight="1">
      <c r="A1342" s="185">
        <v>22</v>
      </c>
      <c r="B1342" s="185"/>
      <c r="C1342" s="271" t="s">
        <v>28606</v>
      </c>
      <c r="D1342" s="259" t="s">
        <v>28607</v>
      </c>
      <c r="E1342" s="121" t="s">
        <v>28608</v>
      </c>
      <c r="F1342" s="121" t="s">
        <v>65</v>
      </c>
      <c r="G1342" s="299" t="s">
        <v>28609</v>
      </c>
      <c r="H1342" s="260" t="s">
        <v>28610</v>
      </c>
      <c r="I1342" s="260"/>
      <c r="J1342" s="259" t="s">
        <v>28611</v>
      </c>
      <c r="K1342" s="137" t="s">
        <v>28612</v>
      </c>
      <c r="L1342" s="136" t="s">
        <v>28613</v>
      </c>
      <c r="M1342" s="136" t="s">
        <v>28614</v>
      </c>
    </row>
    <row r="1343" spans="1:13" ht="15.75" customHeight="1">
      <c r="A1343" s="185">
        <v>23</v>
      </c>
      <c r="B1343" s="185"/>
      <c r="C1343" s="271" t="s">
        <v>28615</v>
      </c>
      <c r="D1343" s="259" t="s">
        <v>28616</v>
      </c>
      <c r="E1343" s="121" t="s">
        <v>28617</v>
      </c>
      <c r="F1343" s="271" t="s">
        <v>65</v>
      </c>
      <c r="G1343" s="299" t="s">
        <v>28618</v>
      </c>
      <c r="H1343" s="260" t="s">
        <v>28619</v>
      </c>
      <c r="I1343" s="260"/>
      <c r="J1343" s="259" t="s">
        <v>28620</v>
      </c>
      <c r="K1343" s="137" t="s">
        <v>28621</v>
      </c>
      <c r="L1343" s="136" t="s">
        <v>28622</v>
      </c>
      <c r="M1343" s="136" t="s">
        <v>28623</v>
      </c>
    </row>
    <row r="1344" spans="1:13" ht="15.75" customHeight="1">
      <c r="A1344" s="185">
        <v>24</v>
      </c>
      <c r="B1344" s="185"/>
      <c r="C1344" s="271" t="s">
        <v>28624</v>
      </c>
      <c r="D1344" s="259" t="s">
        <v>28625</v>
      </c>
      <c r="E1344" s="121" t="s">
        <v>28626</v>
      </c>
      <c r="F1344" s="271" t="s">
        <v>65</v>
      </c>
      <c r="G1344" s="299" t="s">
        <v>28627</v>
      </c>
      <c r="H1344" s="260" t="s">
        <v>28628</v>
      </c>
      <c r="I1344" s="260"/>
      <c r="J1344" s="259" t="s">
        <v>28629</v>
      </c>
      <c r="K1344" s="137" t="s">
        <v>28630</v>
      </c>
      <c r="L1344" s="136" t="s">
        <v>28631</v>
      </c>
      <c r="M1344" s="136" t="s">
        <v>28632</v>
      </c>
    </row>
    <row r="1345" spans="1:13" ht="15.75" customHeight="1">
      <c r="A1345" s="185">
        <v>25</v>
      </c>
      <c r="B1345" s="185"/>
      <c r="C1345" s="271" t="s">
        <v>28633</v>
      </c>
      <c r="D1345" s="259" t="s">
        <v>28634</v>
      </c>
      <c r="E1345" s="121" t="s">
        <v>28635</v>
      </c>
      <c r="F1345" s="121" t="s">
        <v>54</v>
      </c>
      <c r="G1345" s="299" t="s">
        <v>28636</v>
      </c>
      <c r="H1345" s="260" t="s">
        <v>28637</v>
      </c>
      <c r="I1345" s="260"/>
      <c r="J1345" s="259" t="s">
        <v>28638</v>
      </c>
      <c r="K1345" s="137" t="s">
        <v>28639</v>
      </c>
      <c r="L1345" s="136" t="s">
        <v>28640</v>
      </c>
      <c r="M1345" s="136" t="s">
        <v>28641</v>
      </c>
    </row>
    <row r="1346" spans="1:13" ht="15.75" customHeight="1">
      <c r="A1346" s="185">
        <v>26</v>
      </c>
      <c r="B1346" s="185"/>
      <c r="C1346" s="271" t="s">
        <v>28642</v>
      </c>
      <c r="D1346" s="259" t="s">
        <v>28643</v>
      </c>
      <c r="E1346" s="121" t="s">
        <v>28644</v>
      </c>
      <c r="F1346" s="121" t="s">
        <v>65</v>
      </c>
      <c r="G1346" s="299" t="s">
        <v>28645</v>
      </c>
      <c r="H1346" s="260" t="s">
        <v>28646</v>
      </c>
      <c r="I1346" s="260"/>
      <c r="J1346" s="259" t="s">
        <v>28647</v>
      </c>
      <c r="K1346" s="137" t="s">
        <v>28648</v>
      </c>
      <c r="L1346" s="136" t="s">
        <v>28649</v>
      </c>
      <c r="M1346" s="136" t="s">
        <v>28650</v>
      </c>
    </row>
    <row r="1347" spans="1:13" ht="15.75" customHeight="1">
      <c r="A1347" s="185">
        <v>27</v>
      </c>
      <c r="B1347" s="185"/>
      <c r="C1347" s="271" t="s">
        <v>19782</v>
      </c>
      <c r="D1347" s="259" t="s">
        <v>19783</v>
      </c>
      <c r="E1347" s="121" t="s">
        <v>3883</v>
      </c>
      <c r="F1347" s="121" t="s">
        <v>65</v>
      </c>
      <c r="G1347" s="299" t="s">
        <v>28651</v>
      </c>
      <c r="H1347" s="260" t="s">
        <v>28652</v>
      </c>
      <c r="I1347" s="260"/>
      <c r="J1347" s="259" t="s">
        <v>28653</v>
      </c>
      <c r="K1347" s="137" t="s">
        <v>28654</v>
      </c>
      <c r="L1347" s="136" t="s">
        <v>28655</v>
      </c>
      <c r="M1347" s="136" t="s">
        <v>28656</v>
      </c>
    </row>
    <row r="1348" spans="1:13" ht="15.75" customHeight="1">
      <c r="A1348" s="185">
        <v>28</v>
      </c>
      <c r="B1348" s="185"/>
      <c r="C1348" s="271" t="s">
        <v>28657</v>
      </c>
      <c r="D1348" s="259" t="s">
        <v>28658</v>
      </c>
      <c r="E1348" s="121" t="s">
        <v>28659</v>
      </c>
      <c r="F1348" s="121" t="s">
        <v>117</v>
      </c>
      <c r="G1348" s="299" t="s">
        <v>28660</v>
      </c>
      <c r="H1348" s="260" t="s">
        <v>28661</v>
      </c>
      <c r="I1348" s="260"/>
      <c r="J1348" s="259" t="s">
        <v>28662</v>
      </c>
      <c r="K1348" s="137" t="s">
        <v>28663</v>
      </c>
      <c r="L1348" s="136" t="s">
        <v>28664</v>
      </c>
      <c r="M1348" s="136" t="s">
        <v>28665</v>
      </c>
    </row>
    <row r="1349" spans="1:13" ht="15.75" customHeight="1">
      <c r="A1349" s="185">
        <v>29</v>
      </c>
      <c r="B1349" s="185"/>
      <c r="C1349" s="271" t="s">
        <v>28666</v>
      </c>
      <c r="D1349" s="259" t="s">
        <v>28667</v>
      </c>
      <c r="E1349" s="121" t="s">
        <v>28668</v>
      </c>
      <c r="F1349" s="121" t="s">
        <v>65</v>
      </c>
      <c r="G1349" s="299" t="s">
        <v>28669</v>
      </c>
      <c r="H1349" s="260" t="s">
        <v>28670</v>
      </c>
      <c r="I1349" s="260"/>
      <c r="J1349" s="259" t="s">
        <v>28671</v>
      </c>
      <c r="K1349" s="137" t="s">
        <v>28672</v>
      </c>
      <c r="L1349" s="136" t="s">
        <v>28673</v>
      </c>
      <c r="M1349" s="136" t="s">
        <v>28674</v>
      </c>
    </row>
    <row r="1350" spans="1:13" ht="15.75" customHeight="1">
      <c r="A1350" s="185">
        <v>30</v>
      </c>
      <c r="B1350" s="185"/>
      <c r="C1350" s="271" t="s">
        <v>28675</v>
      </c>
      <c r="D1350" s="259" t="s">
        <v>28676</v>
      </c>
      <c r="E1350" s="121" t="s">
        <v>28677</v>
      </c>
      <c r="F1350" s="121" t="s">
        <v>65</v>
      </c>
      <c r="G1350" s="299" t="s">
        <v>28678</v>
      </c>
      <c r="H1350" s="260" t="s">
        <v>28679</v>
      </c>
      <c r="I1350" s="260"/>
      <c r="J1350" s="259" t="s">
        <v>28680</v>
      </c>
      <c r="K1350" s="137" t="s">
        <v>28681</v>
      </c>
      <c r="L1350" s="136" t="s">
        <v>28682</v>
      </c>
      <c r="M1350" s="136" t="s">
        <v>28683</v>
      </c>
    </row>
    <row r="1351" spans="1:13" ht="15.75" customHeight="1">
      <c r="A1351" s="185">
        <v>31</v>
      </c>
      <c r="B1351" s="185"/>
      <c r="C1351" s="271" t="s">
        <v>28684</v>
      </c>
      <c r="D1351" s="259" t="s">
        <v>28685</v>
      </c>
      <c r="E1351" s="121" t="s">
        <v>28686</v>
      </c>
      <c r="F1351" s="121" t="s">
        <v>65</v>
      </c>
      <c r="G1351" s="299" t="s">
        <v>28687</v>
      </c>
      <c r="H1351" s="260" t="s">
        <v>28688</v>
      </c>
      <c r="I1351" s="260"/>
      <c r="J1351" s="259" t="s">
        <v>28689</v>
      </c>
      <c r="K1351" s="137" t="s">
        <v>28690</v>
      </c>
      <c r="L1351" s="136" t="s">
        <v>28691</v>
      </c>
      <c r="M1351" s="136" t="s">
        <v>28692</v>
      </c>
    </row>
    <row r="1352" spans="1:13" ht="15.75" customHeight="1">
      <c r="A1352" s="185">
        <v>32</v>
      </c>
      <c r="B1352" s="185"/>
      <c r="C1352" s="271" t="s">
        <v>28693</v>
      </c>
      <c r="D1352" s="259" t="s">
        <v>28694</v>
      </c>
      <c r="E1352" s="121" t="s">
        <v>28695</v>
      </c>
      <c r="F1352" s="121" t="s">
        <v>117</v>
      </c>
      <c r="G1352" s="299" t="s">
        <v>28696</v>
      </c>
      <c r="H1352" s="260" t="s">
        <v>28697</v>
      </c>
      <c r="I1352" s="260"/>
      <c r="J1352" s="259" t="s">
        <v>28698</v>
      </c>
      <c r="K1352" s="137" t="s">
        <v>28699</v>
      </c>
      <c r="L1352" s="136" t="s">
        <v>28700</v>
      </c>
      <c r="M1352" s="136" t="s">
        <v>28701</v>
      </c>
    </row>
    <row r="1353" spans="1:13" ht="15.75" customHeight="1">
      <c r="A1353" s="185">
        <v>33</v>
      </c>
      <c r="B1353" s="185"/>
      <c r="C1353" s="271" t="s">
        <v>28702</v>
      </c>
      <c r="D1353" s="259" t="s">
        <v>28703</v>
      </c>
      <c r="E1353" s="121" t="s">
        <v>28704</v>
      </c>
      <c r="F1353" s="121" t="s">
        <v>219</v>
      </c>
      <c r="G1353" s="299" t="s">
        <v>28705</v>
      </c>
      <c r="H1353" s="260" t="s">
        <v>28706</v>
      </c>
      <c r="I1353" s="260"/>
      <c r="J1353" s="259" t="s">
        <v>28707</v>
      </c>
      <c r="K1353" s="137" t="s">
        <v>28708</v>
      </c>
      <c r="L1353" s="136" t="s">
        <v>28709</v>
      </c>
      <c r="M1353" s="136" t="s">
        <v>28710</v>
      </c>
    </row>
    <row r="1354" spans="1:13" ht="15.75" customHeight="1">
      <c r="A1354" s="185">
        <v>34</v>
      </c>
      <c r="B1354" s="185"/>
      <c r="C1354" s="271" t="s">
        <v>28711</v>
      </c>
      <c r="D1354" s="259" t="s">
        <v>28712</v>
      </c>
      <c r="E1354" s="121" t="s">
        <v>28713</v>
      </c>
      <c r="F1354" s="121" t="s">
        <v>117</v>
      </c>
      <c r="G1354" s="299" t="s">
        <v>28714</v>
      </c>
      <c r="H1354" s="260" t="s">
        <v>28715</v>
      </c>
      <c r="I1354" s="260"/>
      <c r="J1354" s="259" t="s">
        <v>28716</v>
      </c>
      <c r="K1354" s="137" t="s">
        <v>28717</v>
      </c>
      <c r="L1354" s="136" t="s">
        <v>28718</v>
      </c>
      <c r="M1354" s="136" t="s">
        <v>28719</v>
      </c>
    </row>
    <row r="1355" spans="1:13" ht="15.75" customHeight="1">
      <c r="A1355" s="185">
        <v>35</v>
      </c>
      <c r="B1355" s="185"/>
      <c r="C1355" s="271" t="s">
        <v>28720</v>
      </c>
      <c r="D1355" s="259" t="s">
        <v>28721</v>
      </c>
      <c r="E1355" s="121" t="s">
        <v>28722</v>
      </c>
      <c r="F1355" s="121" t="s">
        <v>117</v>
      </c>
      <c r="G1355" s="299" t="s">
        <v>28723</v>
      </c>
      <c r="H1355" s="260" t="s">
        <v>28724</v>
      </c>
      <c r="I1355" s="260"/>
      <c r="J1355" s="259" t="s">
        <v>28725</v>
      </c>
      <c r="K1355" s="137" t="s">
        <v>28726</v>
      </c>
      <c r="L1355" s="136" t="s">
        <v>28727</v>
      </c>
      <c r="M1355" s="26" t="s">
        <v>28728</v>
      </c>
    </row>
    <row r="1356" spans="1:13" ht="14.25" customHeight="1">
      <c r="A1356" s="210">
        <v>1</v>
      </c>
      <c r="B1356" s="210"/>
      <c r="C1356" s="211" t="s">
        <v>9310</v>
      </c>
      <c r="D1356" s="238" t="s">
        <v>9311</v>
      </c>
      <c r="E1356" s="283" t="s">
        <v>9312</v>
      </c>
      <c r="F1356" s="283" t="s">
        <v>117</v>
      </c>
      <c r="G1356" s="213" t="s">
        <v>10987</v>
      </c>
      <c r="H1356" s="214" t="s">
        <v>28729</v>
      </c>
      <c r="I1356" s="214"/>
      <c r="J1356" s="263" t="s">
        <v>9316</v>
      </c>
      <c r="K1356" s="215" t="s">
        <v>10988</v>
      </c>
      <c r="L1356" s="210" t="s">
        <v>10989</v>
      </c>
      <c r="M1356" s="247" t="s">
        <v>10990</v>
      </c>
    </row>
    <row r="1357" spans="1:13" ht="15.75" customHeight="1">
      <c r="A1357" s="185">
        <v>2</v>
      </c>
      <c r="B1357" s="185"/>
      <c r="C1357" s="271" t="s">
        <v>28730</v>
      </c>
      <c r="D1357" s="259" t="s">
        <v>28731</v>
      </c>
      <c r="E1357" s="123" t="s">
        <v>28732</v>
      </c>
      <c r="F1357" s="123" t="s">
        <v>563</v>
      </c>
      <c r="G1357" s="299" t="s">
        <v>28733</v>
      </c>
      <c r="H1357" s="260" t="s">
        <v>28734</v>
      </c>
      <c r="I1357" s="260"/>
      <c r="J1357" s="259" t="s">
        <v>11771</v>
      </c>
      <c r="K1357" s="137" t="s">
        <v>28735</v>
      </c>
      <c r="L1357" s="136" t="s">
        <v>28736</v>
      </c>
      <c r="M1357" s="136" t="s">
        <v>28737</v>
      </c>
    </row>
    <row r="1358" spans="1:13" ht="15.75" customHeight="1">
      <c r="A1358" s="185">
        <v>3</v>
      </c>
      <c r="B1358" s="185"/>
      <c r="C1358" s="271" t="s">
        <v>28738</v>
      </c>
      <c r="D1358" s="259" t="s">
        <v>28739</v>
      </c>
      <c r="E1358" s="121" t="s">
        <v>28740</v>
      </c>
      <c r="F1358" s="121" t="s">
        <v>65</v>
      </c>
      <c r="G1358" s="299" t="s">
        <v>28741</v>
      </c>
      <c r="H1358" s="260" t="s">
        <v>28742</v>
      </c>
      <c r="I1358" s="260"/>
      <c r="J1358" s="259" t="s">
        <v>28743</v>
      </c>
      <c r="K1358" s="137" t="s">
        <v>28744</v>
      </c>
      <c r="L1358" s="136" t="s">
        <v>28745</v>
      </c>
      <c r="M1358" s="136" t="s">
        <v>28746</v>
      </c>
    </row>
    <row r="1359" spans="1:13" ht="15.75" customHeight="1">
      <c r="A1359" s="185">
        <v>4</v>
      </c>
      <c r="B1359" s="185"/>
      <c r="C1359" s="271" t="s">
        <v>28747</v>
      </c>
      <c r="D1359" s="259" t="s">
        <v>28748</v>
      </c>
      <c r="E1359" s="121" t="s">
        <v>28749</v>
      </c>
      <c r="F1359" s="121" t="s">
        <v>117</v>
      </c>
      <c r="G1359" s="299" t="s">
        <v>28750</v>
      </c>
      <c r="H1359" s="260" t="s">
        <v>28751</v>
      </c>
      <c r="I1359" s="260"/>
      <c r="J1359" s="259" t="s">
        <v>28752</v>
      </c>
      <c r="K1359" s="137" t="s">
        <v>28753</v>
      </c>
      <c r="L1359" s="136" t="s">
        <v>28754</v>
      </c>
      <c r="M1359" s="136" t="s">
        <v>28755</v>
      </c>
    </row>
    <row r="1360" spans="1:13" ht="15.75" customHeight="1">
      <c r="A1360" s="185">
        <v>5</v>
      </c>
      <c r="B1360" s="185"/>
      <c r="C1360" s="271" t="s">
        <v>28756</v>
      </c>
      <c r="D1360" s="259" t="s">
        <v>28757</v>
      </c>
      <c r="E1360" s="121" t="s">
        <v>28758</v>
      </c>
      <c r="F1360" s="121" t="s">
        <v>65</v>
      </c>
      <c r="G1360" s="299" t="s">
        <v>28759</v>
      </c>
      <c r="H1360" s="260" t="s">
        <v>28760</v>
      </c>
      <c r="I1360" s="260"/>
      <c r="J1360" s="259" t="s">
        <v>28761</v>
      </c>
      <c r="K1360" s="137" t="s">
        <v>28762</v>
      </c>
      <c r="L1360" s="136" t="s">
        <v>28763</v>
      </c>
      <c r="M1360" s="136" t="s">
        <v>28764</v>
      </c>
    </row>
    <row r="1361" spans="1:13" ht="15.75" customHeight="1">
      <c r="A1361" s="185">
        <v>6</v>
      </c>
      <c r="B1361" s="185"/>
      <c r="C1361" s="271" t="s">
        <v>28765</v>
      </c>
      <c r="D1361" s="259" t="s">
        <v>28766</v>
      </c>
      <c r="E1361" s="121" t="s">
        <v>28767</v>
      </c>
      <c r="F1361" s="121" t="s">
        <v>54</v>
      </c>
      <c r="G1361" s="299" t="s">
        <v>28768</v>
      </c>
      <c r="H1361" s="260" t="s">
        <v>28769</v>
      </c>
      <c r="I1361" s="260"/>
      <c r="J1361" s="259" t="s">
        <v>28770</v>
      </c>
      <c r="K1361" s="137" t="s">
        <v>28771</v>
      </c>
      <c r="L1361" s="136" t="s">
        <v>28772</v>
      </c>
      <c r="M1361" s="136" t="s">
        <v>28773</v>
      </c>
    </row>
    <row r="1362" spans="1:13" ht="15.75" customHeight="1">
      <c r="A1362" s="185">
        <v>7</v>
      </c>
      <c r="B1362" s="185"/>
      <c r="C1362" s="271" t="s">
        <v>28774</v>
      </c>
      <c r="D1362" s="259" t="s">
        <v>28775</v>
      </c>
      <c r="E1362" s="121" t="s">
        <v>28776</v>
      </c>
      <c r="F1362" s="121" t="s">
        <v>117</v>
      </c>
      <c r="G1362" s="299" t="s">
        <v>28777</v>
      </c>
      <c r="H1362" s="260" t="s">
        <v>28778</v>
      </c>
      <c r="I1362" s="260"/>
      <c r="J1362" s="259" t="s">
        <v>28779</v>
      </c>
      <c r="K1362" s="137" t="s">
        <v>28780</v>
      </c>
      <c r="L1362" s="136" t="s">
        <v>28781</v>
      </c>
      <c r="M1362" s="136" t="s">
        <v>28782</v>
      </c>
    </row>
    <row r="1363" spans="1:13" ht="15.75" customHeight="1">
      <c r="A1363" s="185">
        <v>8</v>
      </c>
      <c r="B1363" s="185"/>
      <c r="C1363" s="271" t="s">
        <v>28783</v>
      </c>
      <c r="D1363" s="259" t="s">
        <v>28784</v>
      </c>
      <c r="E1363" s="121" t="s">
        <v>11683</v>
      </c>
      <c r="F1363" s="121" t="s">
        <v>117</v>
      </c>
      <c r="G1363" s="299" t="s">
        <v>28785</v>
      </c>
      <c r="H1363" s="260" t="s">
        <v>28786</v>
      </c>
      <c r="I1363" s="260"/>
      <c r="J1363" s="259" t="s">
        <v>28787</v>
      </c>
      <c r="K1363" s="137" t="s">
        <v>28788</v>
      </c>
      <c r="L1363" s="136" t="s">
        <v>28789</v>
      </c>
      <c r="M1363" s="136" t="s">
        <v>28790</v>
      </c>
    </row>
    <row r="1364" spans="1:13" ht="15.75" customHeight="1">
      <c r="A1364" s="185">
        <v>9</v>
      </c>
      <c r="B1364" s="185"/>
      <c r="C1364" s="271" t="s">
        <v>28791</v>
      </c>
      <c r="D1364" s="259" t="s">
        <v>28792</v>
      </c>
      <c r="E1364" s="121" t="s">
        <v>28793</v>
      </c>
      <c r="F1364" s="121" t="s">
        <v>54</v>
      </c>
      <c r="G1364" s="299" t="s">
        <v>28794</v>
      </c>
      <c r="H1364" s="260" t="s">
        <v>28795</v>
      </c>
      <c r="I1364" s="260"/>
      <c r="J1364" s="259" t="s">
        <v>28796</v>
      </c>
      <c r="K1364" s="137" t="s">
        <v>28797</v>
      </c>
      <c r="L1364" s="136" t="s">
        <v>28798</v>
      </c>
      <c r="M1364" s="136" t="s">
        <v>28799</v>
      </c>
    </row>
    <row r="1365" spans="1:13" ht="15.75" customHeight="1">
      <c r="A1365" s="185">
        <v>10</v>
      </c>
      <c r="B1365" s="185"/>
      <c r="C1365" s="271" t="s">
        <v>28800</v>
      </c>
      <c r="D1365" s="259" t="s">
        <v>28801</v>
      </c>
      <c r="E1365" s="121" t="s">
        <v>28802</v>
      </c>
      <c r="F1365" s="121" t="s">
        <v>65</v>
      </c>
      <c r="G1365" s="299" t="s">
        <v>28803</v>
      </c>
      <c r="H1365" s="260" t="s">
        <v>28804</v>
      </c>
      <c r="I1365" s="260"/>
      <c r="J1365" s="259" t="s">
        <v>28805</v>
      </c>
      <c r="K1365" s="137" t="s">
        <v>28806</v>
      </c>
      <c r="L1365" s="136" t="s">
        <v>28807</v>
      </c>
      <c r="M1365" s="136" t="s">
        <v>28808</v>
      </c>
    </row>
    <row r="1366" spans="1:13" ht="15.75" customHeight="1">
      <c r="A1366" s="185">
        <v>11</v>
      </c>
      <c r="B1366" s="185"/>
      <c r="C1366" s="271" t="s">
        <v>28809</v>
      </c>
      <c r="D1366" s="259" t="s">
        <v>28810</v>
      </c>
      <c r="E1366" s="121" t="s">
        <v>28811</v>
      </c>
      <c r="F1366" s="121" t="s">
        <v>65</v>
      </c>
      <c r="G1366" s="299" t="s">
        <v>28812</v>
      </c>
      <c r="H1366" s="260" t="s">
        <v>28813</v>
      </c>
      <c r="I1366" s="260"/>
      <c r="J1366" s="259" t="s">
        <v>28814</v>
      </c>
      <c r="K1366" s="137" t="s">
        <v>28815</v>
      </c>
      <c r="L1366" s="136" t="s">
        <v>28816</v>
      </c>
      <c r="M1366" s="136" t="s">
        <v>28817</v>
      </c>
    </row>
    <row r="1367" spans="1:13" ht="15.75" customHeight="1">
      <c r="A1367" s="185">
        <v>12</v>
      </c>
      <c r="B1367" s="185"/>
      <c r="C1367" s="271" t="s">
        <v>28818</v>
      </c>
      <c r="D1367" s="259" t="s">
        <v>28819</v>
      </c>
      <c r="E1367" s="121" t="s">
        <v>28820</v>
      </c>
      <c r="F1367" s="121" t="s">
        <v>117</v>
      </c>
      <c r="G1367" s="299" t="s">
        <v>28821</v>
      </c>
      <c r="H1367" s="260" t="s">
        <v>28822</v>
      </c>
      <c r="I1367" s="260"/>
      <c r="J1367" s="259" t="s">
        <v>28823</v>
      </c>
      <c r="K1367" s="137" t="s">
        <v>28824</v>
      </c>
      <c r="L1367" s="136" t="s">
        <v>28825</v>
      </c>
      <c r="M1367" s="136" t="s">
        <v>28826</v>
      </c>
    </row>
    <row r="1368" spans="1:13" ht="15.75" customHeight="1">
      <c r="A1368" s="185">
        <v>13</v>
      </c>
      <c r="B1368" s="185"/>
      <c r="C1368" s="271" t="s">
        <v>28827</v>
      </c>
      <c r="D1368" s="259" t="s">
        <v>28828</v>
      </c>
      <c r="E1368" s="121" t="s">
        <v>28829</v>
      </c>
      <c r="F1368" s="121" t="s">
        <v>54</v>
      </c>
      <c r="G1368" s="299" t="s">
        <v>28830</v>
      </c>
      <c r="H1368" s="13" t="s">
        <v>28831</v>
      </c>
      <c r="I1368" s="13"/>
      <c r="J1368" s="259" t="s">
        <v>28832</v>
      </c>
      <c r="K1368" s="137" t="s">
        <v>28833</v>
      </c>
      <c r="L1368" s="136" t="s">
        <v>28834</v>
      </c>
      <c r="M1368" s="136" t="s">
        <v>28835</v>
      </c>
    </row>
    <row r="1369" spans="1:13" ht="15.75" customHeight="1">
      <c r="A1369" s="185">
        <v>14</v>
      </c>
      <c r="B1369" s="185"/>
      <c r="C1369" s="271" t="s">
        <v>28836</v>
      </c>
      <c r="D1369" s="259" t="s">
        <v>28837</v>
      </c>
      <c r="E1369" s="121" t="s">
        <v>28838</v>
      </c>
      <c r="F1369" s="121" t="s">
        <v>664</v>
      </c>
      <c r="G1369" s="299" t="s">
        <v>28839</v>
      </c>
      <c r="H1369" s="260" t="s">
        <v>28840</v>
      </c>
      <c r="I1369" s="260"/>
      <c r="J1369" s="259" t="s">
        <v>28841</v>
      </c>
      <c r="K1369" s="137" t="s">
        <v>28842</v>
      </c>
      <c r="L1369" s="136" t="s">
        <v>28843</v>
      </c>
      <c r="M1369" s="136" t="s">
        <v>28844</v>
      </c>
    </row>
    <row r="1370" spans="1:13" ht="15.75" customHeight="1">
      <c r="A1370" s="185">
        <v>15</v>
      </c>
      <c r="B1370" s="185"/>
      <c r="C1370" s="271" t="s">
        <v>28845</v>
      </c>
      <c r="D1370" s="259" t="s">
        <v>28846</v>
      </c>
      <c r="E1370" s="121" t="s">
        <v>28847</v>
      </c>
      <c r="F1370" s="121" t="s">
        <v>65</v>
      </c>
      <c r="G1370" s="299" t="s">
        <v>28848</v>
      </c>
      <c r="H1370" s="118" t="s">
        <v>28849</v>
      </c>
      <c r="I1370" s="118"/>
      <c r="J1370" s="260" t="s">
        <v>28850</v>
      </c>
      <c r="K1370" s="137" t="s">
        <v>28851</v>
      </c>
      <c r="L1370" s="136" t="s">
        <v>28852</v>
      </c>
      <c r="M1370" s="136" t="s">
        <v>28853</v>
      </c>
    </row>
    <row r="1371" spans="1:13" ht="15.75" customHeight="1">
      <c r="A1371" s="185">
        <v>16</v>
      </c>
      <c r="B1371" s="185"/>
      <c r="C1371" s="271" t="s">
        <v>28854</v>
      </c>
      <c r="D1371" s="259" t="s">
        <v>28855</v>
      </c>
      <c r="E1371" s="121" t="s">
        <v>28856</v>
      </c>
      <c r="F1371" s="121" t="s">
        <v>117</v>
      </c>
      <c r="G1371" s="299" t="s">
        <v>28857</v>
      </c>
      <c r="H1371" s="118" t="s">
        <v>28858</v>
      </c>
      <c r="I1371" s="118"/>
      <c r="J1371" s="260" t="s">
        <v>28859</v>
      </c>
      <c r="K1371" s="137" t="s">
        <v>28860</v>
      </c>
      <c r="L1371" s="136" t="s">
        <v>28861</v>
      </c>
      <c r="M1371" s="136" t="s">
        <v>28862</v>
      </c>
    </row>
    <row r="1372" spans="1:13" ht="15.75" customHeight="1">
      <c r="A1372" s="185">
        <v>17</v>
      </c>
      <c r="B1372" s="185"/>
      <c r="C1372" s="271" t="s">
        <v>28863</v>
      </c>
      <c r="D1372" s="259" t="s">
        <v>28864</v>
      </c>
      <c r="E1372" s="121" t="s">
        <v>28865</v>
      </c>
      <c r="F1372" s="121" t="s">
        <v>54</v>
      </c>
      <c r="G1372" s="299" t="s">
        <v>28866</v>
      </c>
      <c r="H1372" s="118" t="s">
        <v>28867</v>
      </c>
      <c r="I1372" s="118"/>
      <c r="J1372" s="260" t="s">
        <v>28868</v>
      </c>
      <c r="K1372" s="137" t="s">
        <v>28869</v>
      </c>
      <c r="L1372" s="136" t="s">
        <v>28870</v>
      </c>
      <c r="M1372" s="136" t="s">
        <v>28871</v>
      </c>
    </row>
    <row r="1373" spans="1:13" ht="15.75" customHeight="1">
      <c r="A1373" s="61">
        <v>18</v>
      </c>
      <c r="B1373" s="61"/>
      <c r="C1373" s="272" t="s">
        <v>28872</v>
      </c>
      <c r="D1373" s="226" t="s">
        <v>28873</v>
      </c>
      <c r="E1373" s="121" t="s">
        <v>28874</v>
      </c>
      <c r="F1373" s="121" t="s">
        <v>117</v>
      </c>
      <c r="G1373" s="300" t="s">
        <v>28875</v>
      </c>
      <c r="H1373" s="118" t="s">
        <v>28876</v>
      </c>
      <c r="I1373" s="118"/>
      <c r="J1373" s="227" t="s">
        <v>28877</v>
      </c>
      <c r="K1373" s="118" t="s">
        <v>28878</v>
      </c>
      <c r="L1373" s="136" t="s">
        <v>28879</v>
      </c>
      <c r="M1373" s="136" t="s">
        <v>28880</v>
      </c>
    </row>
    <row r="1374" spans="1:13" ht="15.75" customHeight="1">
      <c r="A1374" s="61">
        <v>19</v>
      </c>
      <c r="B1374" s="61"/>
      <c r="C1374" s="272" t="s">
        <v>28881</v>
      </c>
      <c r="D1374" s="226" t="s">
        <v>28882</v>
      </c>
      <c r="E1374" s="121" t="s">
        <v>28883</v>
      </c>
      <c r="F1374" s="121" t="s">
        <v>117</v>
      </c>
      <c r="G1374" s="300" t="s">
        <v>28884</v>
      </c>
      <c r="H1374" s="118" t="s">
        <v>28885</v>
      </c>
      <c r="I1374" s="118"/>
      <c r="J1374" s="227" t="s">
        <v>28886</v>
      </c>
      <c r="K1374" s="118" t="s">
        <v>28887</v>
      </c>
      <c r="L1374" s="136" t="s">
        <v>28888</v>
      </c>
      <c r="M1374" s="136" t="s">
        <v>28889</v>
      </c>
    </row>
    <row r="1375" spans="1:13" ht="15.75" customHeight="1">
      <c r="A1375" s="185">
        <v>20</v>
      </c>
      <c r="B1375" s="185"/>
      <c r="C1375" s="271" t="s">
        <v>28890</v>
      </c>
      <c r="D1375" s="259" t="s">
        <v>28891</v>
      </c>
      <c r="E1375" s="121" t="s">
        <v>28892</v>
      </c>
      <c r="F1375" s="121" t="s">
        <v>65</v>
      </c>
      <c r="G1375" s="299" t="s">
        <v>28893</v>
      </c>
      <c r="H1375" s="118" t="s">
        <v>28894</v>
      </c>
      <c r="I1375" s="118"/>
      <c r="J1375" s="260" t="s">
        <v>28895</v>
      </c>
      <c r="K1375" s="137" t="s">
        <v>28896</v>
      </c>
      <c r="L1375" s="136" t="s">
        <v>28897</v>
      </c>
      <c r="M1375" s="136" t="s">
        <v>28898</v>
      </c>
    </row>
    <row r="1376" spans="1:13" ht="15.75" customHeight="1">
      <c r="A1376" s="185">
        <v>21</v>
      </c>
      <c r="B1376" s="185"/>
      <c r="C1376" s="271" t="s">
        <v>28899</v>
      </c>
      <c r="D1376" s="259" t="s">
        <v>28900</v>
      </c>
      <c r="E1376" s="123" t="s">
        <v>28901</v>
      </c>
      <c r="F1376" s="123" t="s">
        <v>219</v>
      </c>
      <c r="G1376" s="299" t="s">
        <v>27117</v>
      </c>
      <c r="H1376" s="137" t="s">
        <v>28902</v>
      </c>
      <c r="I1376" s="137"/>
      <c r="J1376" s="260" t="s">
        <v>28903</v>
      </c>
      <c r="K1376" s="137" t="s">
        <v>28904</v>
      </c>
      <c r="L1376" s="136" t="s">
        <v>28905</v>
      </c>
      <c r="M1376" s="136" t="s">
        <v>28906</v>
      </c>
    </row>
    <row r="1377" spans="1:13" ht="15.75" customHeight="1">
      <c r="A1377" s="185">
        <v>22</v>
      </c>
      <c r="B1377" s="185"/>
      <c r="C1377" s="271" t="s">
        <v>28907</v>
      </c>
      <c r="D1377" s="259" t="s">
        <v>28908</v>
      </c>
      <c r="E1377" s="121" t="s">
        <v>28909</v>
      </c>
      <c r="F1377" s="121" t="s">
        <v>664</v>
      </c>
      <c r="G1377" s="299" t="s">
        <v>20286</v>
      </c>
      <c r="H1377" s="118" t="s">
        <v>28910</v>
      </c>
      <c r="I1377" s="118"/>
      <c r="J1377" s="227" t="s">
        <v>28911</v>
      </c>
      <c r="K1377" s="137" t="s">
        <v>28912</v>
      </c>
      <c r="L1377" s="136" t="s">
        <v>28913</v>
      </c>
      <c r="M1377" s="136" t="s">
        <v>28914</v>
      </c>
    </row>
    <row r="1378" spans="1:13" ht="15.75" customHeight="1">
      <c r="A1378" s="61">
        <v>23</v>
      </c>
      <c r="B1378" s="61"/>
      <c r="C1378" s="272" t="s">
        <v>28915</v>
      </c>
      <c r="D1378" s="226" t="s">
        <v>28916</v>
      </c>
      <c r="E1378" s="121" t="s">
        <v>28917</v>
      </c>
      <c r="F1378" s="121" t="s">
        <v>117</v>
      </c>
      <c r="G1378" s="300" t="s">
        <v>28918</v>
      </c>
      <c r="H1378" s="118" t="s">
        <v>28919</v>
      </c>
      <c r="I1378" s="118"/>
      <c r="J1378" s="227" t="s">
        <v>28920</v>
      </c>
      <c r="K1378" s="118" t="s">
        <v>28921</v>
      </c>
      <c r="L1378" s="136" t="s">
        <v>28922</v>
      </c>
      <c r="M1378" s="136" t="s">
        <v>28923</v>
      </c>
    </row>
    <row r="1379" spans="1:13" ht="15.75" customHeight="1">
      <c r="A1379" s="61">
        <v>24</v>
      </c>
      <c r="B1379" s="61"/>
      <c r="C1379" s="272" t="s">
        <v>28924</v>
      </c>
      <c r="D1379" s="226" t="s">
        <v>28925</v>
      </c>
      <c r="E1379" s="121" t="s">
        <v>28926</v>
      </c>
      <c r="F1379" s="121" t="s">
        <v>117</v>
      </c>
      <c r="G1379" s="300" t="s">
        <v>28927</v>
      </c>
      <c r="H1379" s="118" t="s">
        <v>28928</v>
      </c>
      <c r="I1379" s="118"/>
      <c r="J1379" s="227" t="s">
        <v>28929</v>
      </c>
      <c r="K1379" s="118" t="s">
        <v>28930</v>
      </c>
      <c r="L1379" s="136" t="s">
        <v>28931</v>
      </c>
      <c r="M1379" s="136" t="s">
        <v>28932</v>
      </c>
    </row>
    <row r="1380" spans="1:13" ht="15.75" customHeight="1">
      <c r="A1380" s="61">
        <v>25</v>
      </c>
      <c r="B1380" s="61"/>
      <c r="C1380" s="272" t="s">
        <v>28933</v>
      </c>
      <c r="D1380" s="226" t="s">
        <v>28934</v>
      </c>
      <c r="E1380" s="121" t="s">
        <v>28935</v>
      </c>
      <c r="F1380" s="121" t="s">
        <v>65</v>
      </c>
      <c r="G1380" s="300" t="s">
        <v>28936</v>
      </c>
      <c r="H1380" s="118" t="s">
        <v>28937</v>
      </c>
      <c r="I1380" s="118"/>
      <c r="J1380" s="227" t="s">
        <v>28938</v>
      </c>
      <c r="K1380" s="118" t="s">
        <v>28939</v>
      </c>
      <c r="L1380" s="136" t="s">
        <v>28940</v>
      </c>
      <c r="M1380" s="136" t="s">
        <v>28941</v>
      </c>
    </row>
    <row r="1381" spans="1:13" ht="15.75" customHeight="1">
      <c r="A1381" s="185">
        <v>26</v>
      </c>
      <c r="B1381" s="185"/>
      <c r="C1381" s="271" t="s">
        <v>28942</v>
      </c>
      <c r="D1381" s="259" t="s">
        <v>28943</v>
      </c>
      <c r="E1381" s="121" t="s">
        <v>28944</v>
      </c>
      <c r="F1381" s="121" t="s">
        <v>117</v>
      </c>
      <c r="G1381" s="299" t="s">
        <v>28945</v>
      </c>
      <c r="H1381" s="118" t="s">
        <v>28946</v>
      </c>
      <c r="I1381" s="118"/>
      <c r="J1381" s="260" t="s">
        <v>28947</v>
      </c>
      <c r="K1381" s="137" t="s">
        <v>28948</v>
      </c>
      <c r="L1381" s="136" t="s">
        <v>28949</v>
      </c>
      <c r="M1381" s="136" t="s">
        <v>28950</v>
      </c>
    </row>
    <row r="1382" spans="1:13" ht="15.75" customHeight="1">
      <c r="A1382" s="185">
        <v>27</v>
      </c>
      <c r="B1382" s="185"/>
      <c r="C1382" s="271" t="s">
        <v>28951</v>
      </c>
      <c r="D1382" s="259" t="s">
        <v>28952</v>
      </c>
      <c r="E1382" s="121" t="s">
        <v>28953</v>
      </c>
      <c r="F1382" s="121" t="s">
        <v>117</v>
      </c>
      <c r="G1382" s="299" t="s">
        <v>28954</v>
      </c>
      <c r="H1382" s="118" t="s">
        <v>28955</v>
      </c>
      <c r="I1382" s="118"/>
      <c r="J1382" s="260" t="s">
        <v>28956</v>
      </c>
      <c r="K1382" s="137" t="s">
        <v>28957</v>
      </c>
      <c r="L1382" s="136" t="s">
        <v>28958</v>
      </c>
      <c r="M1382" s="136" t="s">
        <v>28959</v>
      </c>
    </row>
    <row r="1383" spans="1:13" ht="15.75" customHeight="1">
      <c r="A1383" s="185">
        <v>28</v>
      </c>
      <c r="B1383" s="185"/>
      <c r="C1383" s="271" t="s">
        <v>28960</v>
      </c>
      <c r="D1383" s="259" t="s">
        <v>28961</v>
      </c>
      <c r="E1383" s="121" t="s">
        <v>28962</v>
      </c>
      <c r="F1383" s="121" t="s">
        <v>65</v>
      </c>
      <c r="G1383" s="299" t="s">
        <v>28963</v>
      </c>
      <c r="H1383" s="118" t="s">
        <v>28964</v>
      </c>
      <c r="I1383" s="118"/>
      <c r="J1383" s="260" t="s">
        <v>28965</v>
      </c>
      <c r="K1383" s="137" t="s">
        <v>28966</v>
      </c>
      <c r="L1383" s="136" t="s">
        <v>28967</v>
      </c>
      <c r="M1383" s="136" t="s">
        <v>28968</v>
      </c>
    </row>
    <row r="1384" spans="1:13" ht="15.75" customHeight="1">
      <c r="A1384" s="185">
        <v>29</v>
      </c>
      <c r="B1384" s="185"/>
      <c r="C1384" s="271" t="s">
        <v>28969</v>
      </c>
      <c r="D1384" s="259" t="s">
        <v>28970</v>
      </c>
      <c r="E1384" s="121" t="s">
        <v>28971</v>
      </c>
      <c r="F1384" s="121" t="s">
        <v>117</v>
      </c>
      <c r="G1384" s="299" t="s">
        <v>28972</v>
      </c>
      <c r="H1384" s="118" t="s">
        <v>28973</v>
      </c>
      <c r="I1384" s="118"/>
      <c r="J1384" s="260" t="s">
        <v>28974</v>
      </c>
      <c r="K1384" s="137" t="s">
        <v>28975</v>
      </c>
      <c r="L1384" s="136" t="s">
        <v>28976</v>
      </c>
      <c r="M1384" s="136" t="s">
        <v>28977</v>
      </c>
    </row>
    <row r="1385" spans="1:13" ht="15.75" customHeight="1">
      <c r="A1385" s="185">
        <v>30</v>
      </c>
      <c r="B1385" s="185"/>
      <c r="C1385" s="271" t="s">
        <v>28978</v>
      </c>
      <c r="D1385" s="259" t="s">
        <v>28979</v>
      </c>
      <c r="E1385" s="121" t="s">
        <v>28980</v>
      </c>
      <c r="F1385" s="121" t="s">
        <v>54</v>
      </c>
      <c r="G1385" s="299" t="s">
        <v>28981</v>
      </c>
      <c r="H1385" s="118" t="s">
        <v>28982</v>
      </c>
      <c r="I1385" s="118"/>
      <c r="J1385" s="260" t="s">
        <v>28983</v>
      </c>
      <c r="K1385" s="137" t="s">
        <v>28984</v>
      </c>
      <c r="L1385" s="136" t="s">
        <v>28985</v>
      </c>
      <c r="M1385" s="136" t="s">
        <v>28986</v>
      </c>
    </row>
    <row r="1386" spans="1:13" ht="15.75" customHeight="1">
      <c r="A1386" s="61">
        <v>31</v>
      </c>
      <c r="B1386" s="61"/>
      <c r="C1386" s="272" t="s">
        <v>28987</v>
      </c>
      <c r="D1386" s="226" t="s">
        <v>28988</v>
      </c>
      <c r="E1386" s="121" t="s">
        <v>28989</v>
      </c>
      <c r="F1386" s="121" t="s">
        <v>117</v>
      </c>
      <c r="G1386" s="300" t="s">
        <v>28990</v>
      </c>
      <c r="H1386" s="118" t="s">
        <v>28991</v>
      </c>
      <c r="I1386" s="118"/>
      <c r="J1386" s="227" t="s">
        <v>28992</v>
      </c>
      <c r="K1386" s="118" t="s">
        <v>28993</v>
      </c>
      <c r="L1386" s="136" t="s">
        <v>28994</v>
      </c>
      <c r="M1386" s="136" t="s">
        <v>28995</v>
      </c>
    </row>
    <row r="1387" spans="1:13" ht="15.75" customHeight="1">
      <c r="A1387" s="185">
        <v>32</v>
      </c>
      <c r="B1387" s="185"/>
      <c r="C1387" s="271" t="s">
        <v>28996</v>
      </c>
      <c r="D1387" s="259" t="s">
        <v>28997</v>
      </c>
      <c r="E1387" s="121" t="s">
        <v>28998</v>
      </c>
      <c r="F1387" s="121" t="s">
        <v>65</v>
      </c>
      <c r="G1387" s="299" t="s">
        <v>28999</v>
      </c>
      <c r="H1387" s="13" t="s">
        <v>29000</v>
      </c>
      <c r="I1387" s="13"/>
      <c r="J1387" s="260" t="s">
        <v>29001</v>
      </c>
      <c r="K1387" s="137" t="s">
        <v>29002</v>
      </c>
      <c r="L1387" s="136" t="s">
        <v>29003</v>
      </c>
      <c r="M1387" s="136" t="s">
        <v>29004</v>
      </c>
    </row>
    <row r="1388" spans="1:13" ht="15.75" customHeight="1">
      <c r="A1388" s="185">
        <v>33</v>
      </c>
      <c r="B1388" s="185"/>
      <c r="C1388" s="271" t="s">
        <v>29005</v>
      </c>
      <c r="D1388" s="259" t="s">
        <v>29006</v>
      </c>
      <c r="E1388" s="121" t="s">
        <v>29007</v>
      </c>
      <c r="F1388" s="121" t="s">
        <v>117</v>
      </c>
      <c r="G1388" s="299" t="s">
        <v>29008</v>
      </c>
      <c r="H1388" s="118" t="s">
        <v>29009</v>
      </c>
      <c r="I1388" s="118"/>
      <c r="J1388" s="260" t="s">
        <v>29010</v>
      </c>
      <c r="K1388" s="137" t="s">
        <v>29011</v>
      </c>
      <c r="L1388" s="136" t="s">
        <v>29012</v>
      </c>
      <c r="M1388" s="136" t="s">
        <v>29013</v>
      </c>
    </row>
    <row r="1389" spans="1:13" ht="15.75" customHeight="1">
      <c r="A1389" s="185">
        <v>34</v>
      </c>
      <c r="B1389" s="185"/>
      <c r="C1389" s="271" t="s">
        <v>29014</v>
      </c>
      <c r="D1389" s="259" t="s">
        <v>29015</v>
      </c>
      <c r="E1389" s="121" t="s">
        <v>29016</v>
      </c>
      <c r="F1389" s="121" t="s">
        <v>117</v>
      </c>
      <c r="G1389" s="299" t="s">
        <v>17207</v>
      </c>
      <c r="H1389" s="118" t="s">
        <v>29017</v>
      </c>
      <c r="I1389" s="118"/>
      <c r="J1389" s="260" t="s">
        <v>29018</v>
      </c>
      <c r="K1389" s="137" t="s">
        <v>29019</v>
      </c>
      <c r="L1389" s="136" t="s">
        <v>29020</v>
      </c>
      <c r="M1389" s="136" t="s">
        <v>29021</v>
      </c>
    </row>
    <row r="1390" spans="1:13" ht="15.75" customHeight="1">
      <c r="A1390" s="185">
        <v>35</v>
      </c>
      <c r="B1390" s="185"/>
      <c r="C1390" s="271" t="s">
        <v>29022</v>
      </c>
      <c r="D1390" s="259" t="s">
        <v>29023</v>
      </c>
      <c r="E1390" s="121" t="s">
        <v>29024</v>
      </c>
      <c r="F1390" s="121" t="s">
        <v>54</v>
      </c>
      <c r="G1390" s="299" t="s">
        <v>29025</v>
      </c>
      <c r="H1390" s="118" t="s">
        <v>29026</v>
      </c>
      <c r="I1390" s="118"/>
      <c r="J1390" s="260" t="s">
        <v>29027</v>
      </c>
      <c r="K1390" s="137" t="s">
        <v>29028</v>
      </c>
      <c r="L1390" s="136" t="s">
        <v>29029</v>
      </c>
      <c r="M1390" s="136" t="s">
        <v>29030</v>
      </c>
    </row>
    <row r="1391" spans="1:13" ht="15.75" customHeight="1">
      <c r="A1391" s="185">
        <v>36</v>
      </c>
      <c r="B1391" s="185"/>
      <c r="C1391" s="271" t="s">
        <v>29031</v>
      </c>
      <c r="D1391" s="259" t="s">
        <v>29032</v>
      </c>
      <c r="E1391" s="121" t="s">
        <v>29033</v>
      </c>
      <c r="F1391" s="271" t="s">
        <v>219</v>
      </c>
      <c r="G1391" s="299" t="s">
        <v>29034</v>
      </c>
      <c r="H1391" s="118" t="s">
        <v>29035</v>
      </c>
      <c r="I1391" s="118"/>
      <c r="J1391" s="260" t="s">
        <v>29036</v>
      </c>
      <c r="K1391" s="137" t="s">
        <v>29037</v>
      </c>
      <c r="L1391" s="136" t="s">
        <v>29038</v>
      </c>
      <c r="M1391" s="136" t="s">
        <v>29039</v>
      </c>
    </row>
    <row r="1392" spans="1:13" ht="15" customHeight="1">
      <c r="A1392" s="61">
        <v>37</v>
      </c>
      <c r="B1392" s="61"/>
      <c r="C1392" s="272" t="s">
        <v>29040</v>
      </c>
      <c r="D1392" s="226" t="s">
        <v>29041</v>
      </c>
      <c r="E1392" s="121" t="s">
        <v>29042</v>
      </c>
      <c r="F1392" s="272" t="s">
        <v>117</v>
      </c>
      <c r="G1392" s="300" t="s">
        <v>29043</v>
      </c>
      <c r="H1392" s="118" t="s">
        <v>29044</v>
      </c>
      <c r="I1392" s="118"/>
      <c r="J1392" s="227" t="s">
        <v>29045</v>
      </c>
      <c r="K1392" s="118" t="s">
        <v>29046</v>
      </c>
      <c r="L1392" s="136" t="s">
        <v>29047</v>
      </c>
      <c r="M1392" s="136" t="s">
        <v>29048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HƯỚNG DẪN NHẬP LIỆU</vt:lpstr>
      <vt:lpstr>Tổng hợp</vt:lpstr>
      <vt:lpstr>HSK1 (3.0)</vt:lpstr>
      <vt:lpstr>HSK2 (3.0)</vt:lpstr>
      <vt:lpstr>HSK2 (3.0) test</vt:lpstr>
      <vt:lpstr>HSK3 (3.0)</vt:lpstr>
      <vt:lpstr>HSK2 cũ</vt:lpstr>
      <vt:lpstr>HSK 3 (3.0) test</vt:lpstr>
      <vt:lpstr>HSK3 cũ</vt:lpstr>
      <vt:lpstr>HSK4 cũ</vt:lpstr>
      <vt:lpstr>HSK1 cũ</vt:lpstr>
      <vt:lpstr>HSK5 cũ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Nhóm Nhập liệu</cp:lastModifiedBy>
  <dcterms:created xsi:type="dcterms:W3CDTF">2026-06-04T08:14:52Z</dcterms:created>
  <dcterms:modified xsi:type="dcterms:W3CDTF">2026-06-04T08:14:52Z</dcterms:modified>
</cp:coreProperties>
</file>